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21.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17.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20.xml"/>
  <Override ContentType="application/vnd.openxmlformats-officedocument.spreadsheetml.comments+xml" PartName="/xl/comments22.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spreadsheetml.comments+xml" PartName="/xl/comments18.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Персонаж" sheetId="1" r:id="rId4"/>
    <sheet state="visible" name="Учет" sheetId="2" r:id="rId5"/>
    <sheet state="visible" name="Заметки" sheetId="3" r:id="rId6"/>
    <sheet state="visible" name="Приемы" sheetId="4" r:id="rId7"/>
    <sheet state="visible" name="Оружие" sheetId="5" r:id="rId8"/>
    <sheet state="visible" name="Алхимик" sheetId="6" r:id="rId9"/>
    <sheet state="visible" name="Гончар" sheetId="7" r:id="rId10"/>
    <sheet state="visible" name="Кожевник" sheetId="8" r:id="rId11"/>
    <sheet state="visible" name="Кузнец" sheetId="9" r:id="rId12"/>
    <sheet state="visible" name="Механик" sheetId="10" r:id="rId13"/>
    <sheet state="visible" name="Писарь" sheetId="11" r:id="rId14"/>
    <sheet state="visible" name="Плотник" sheetId="12" r:id="rId15"/>
    <sheet state="visible" name="Портной" sheetId="13" r:id="rId16"/>
    <sheet state="visible" name="Рудокоп" sheetId="14" r:id="rId17"/>
    <sheet state="visible" name="Стеклодув" sheetId="15" r:id="rId18"/>
    <sheet state="visible" name="Строитель" sheetId="16" r:id="rId19"/>
    <sheet state="visible" name="Чародей" sheetId="17" r:id="rId20"/>
    <sheet state="visible" name="Ювелир" sheetId="18" r:id="rId21"/>
    <sheet state="visible" name="Одежда, доспехи и щиты" sheetId="19" r:id="rId22"/>
    <sheet state="visible" name="Материалы и инструменты" sheetId="20" r:id="rId23"/>
    <sheet state="visible" name="Путешествия, еда, магические пр" sheetId="21" r:id="rId24"/>
    <sheet state="visible" name="Профессии и боевые навыки" sheetId="22" r:id="rId25"/>
    <sheet state="visible" name="Учеба" sheetId="23" r:id="rId26"/>
    <sheet state="visible" name="Списки" sheetId="24" r:id="rId27"/>
    <sheet state="hidden" name="Здоровье и опыт" sheetId="25" r:id="rId28"/>
    <sheet state="hidden" name="Скорость атаки" sheetId="26" r:id="rId29"/>
  </sheets>
  <definedNames>
    <definedName name="Без_щита">'Одежда, доспехи и щиты'!$AG$7:$AG$13</definedName>
    <definedName name="ЛЕВАЯ_НОГА">'Одежда, доспехи и щиты'!$AI$38:$AI$47</definedName>
    <definedName name="Деревянный_кулачный_щит">'Одежда, доспехи и щиты'!$AB$7:$AB$13</definedName>
    <definedName name="Магия_хаоса">'Списки'!$V$24:$V$27</definedName>
    <definedName name="Древковое_оружие">'Списки'!$J$24:$J$28</definedName>
    <definedName name="ТОРС">'Одежда, доспехи и щиты'!$AB$38:$AB$47</definedName>
    <definedName name="Нога">'Списки'!$H$34:$H$37</definedName>
    <definedName name="ПРАВАЯ_НОГА">'Одежда, доспехи и щиты'!$AE$38:$AE$46</definedName>
    <definedName name="Древесина">'Списки'!$M$33:$M$40</definedName>
    <definedName name="Средний_металлический_щит">'Одежда, доспехи и щиты'!$AC$7:$AC$12</definedName>
    <definedName name="Щиты">'Списки'!$S$24:$S$25</definedName>
    <definedName name="ПРАВАЯ_РУКА">'Одежда, доспехи и щиты'!$AC$38:$AC$46</definedName>
    <definedName name="Некромантия">'Списки'!$Y$24:$Y$25</definedName>
    <definedName name="Деревянный_ростовой_щит">'Одежда, доспехи и щиты'!$AF$7:$AF$13</definedName>
    <definedName name="Длинные_клинки">'Списки'!$H$24:$H$28</definedName>
    <definedName name="Простая_одежда">'Одежда, доспехи и щиты'!$Q$7:$Q$15</definedName>
    <definedName name="Огнестрельное_оружие">'Списки'!$L$24:$L$28</definedName>
    <definedName name="Экзотическое_оружие">'Списки'!$K$24:$K$28</definedName>
    <definedName name="ЛЕВАЯ_РУКА">'Одежда, доспехи и щиты'!$AD$38:$AD$46</definedName>
    <definedName name="Магия_крови">'Списки'!$X$24:$X$25</definedName>
    <definedName name="Тяжелые_доспехи">'Одежда, доспехи и щиты'!$V$7:$V$15</definedName>
    <definedName name="Парадная_одежда">'Одежда, доспехи и щиты'!$S$7:$S$15</definedName>
    <definedName name="Арбалеты">'Списки'!$N$24:$N$28</definedName>
    <definedName name="Легкие_доспехи">'Одежда, доспехи и щиты'!$T$7:$T$15</definedName>
    <definedName name="Металлический_кулачный_щит">'Одежда, доспехи и щиты'!$AA$7:$AA$12</definedName>
    <definedName name="Топоры_и_дробящее_оружие">'Списки'!$I$24:$I$28</definedName>
    <definedName name="Средние_доспехи">'Одежда, доспехи и щиты'!$U$7:$U$15</definedName>
    <definedName name="Пол">'Списки'!$L$98:$L$100</definedName>
    <definedName name="ДревесинаМетал">'Списки'!$N$33:$N$41</definedName>
    <definedName name="Метал">'Списки'!$L$33:$L$39</definedName>
    <definedName name="Рукопашный_бой">'Списки'!$P$24:$P$28</definedName>
    <definedName name="Металлический_ростовой_щит">'Одежда, доспехи и щиты'!$AE$7:$AE$12</definedName>
    <definedName name="ГОЛОВА">'Одежда, доспехи и щиты'!$AA$38:$AA$45</definedName>
    <definedName name="Заклинания">'Списки'!$S$24:$S$28</definedName>
    <definedName name="Луки">'Списки'!$O$24:$O$28</definedName>
    <definedName name="Магия_порядка">'Списки'!$T$24:$T$27</definedName>
    <definedName name="Импровизированный_бой">'Списки'!$R$24:$R$28</definedName>
    <definedName name="Метательное_оружие">'Списки'!$M$24:$M$28</definedName>
    <definedName name="Магия_воды">'Списки'!$W$24:$W$25</definedName>
    <definedName name="Средний_деревянный_щит">'Одежда, доспехи и щиты'!$AD$7:$AD$13</definedName>
    <definedName name="Борьба">'Списки'!$Q$24:$Q$28</definedName>
    <definedName name="Без_одежды">'Одежда, доспехи и щиты'!$W$7:$W$15</definedName>
    <definedName name="Кулак">'Списки'!$G$34:$G$37</definedName>
    <definedName name="Предмет_изучения">'Профессии и боевые навыки'!$E$3:$E$61</definedName>
    <definedName name="Теплая_одежда">'Одежда, доспехи и щиты'!$R$7:$R$15</definedName>
    <definedName name="Короткие_клинки">'Списки'!$G$24:$G$28</definedName>
    <definedName name="Боевой_дух">'Списки'!$G$46:$Q$46</definedName>
    <definedName name="Магия_огня">'Списки'!$U$24:$U$27</definedName>
    <definedName hidden="1" localSheetId="21" name="_xlnm._FilterDatabase">'Профессии и боевые навыки'!$A$2:$Q$59</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От игрового времени зависит в какой точке находится персонаж относительно других игровых персонажей - в прошлом, будущем или настоящем.</t>
      </text>
    </comment>
    <comment authorId="0" ref="AC4">
      <text>
        <t xml:space="preserve">Поставьте галочку, если персонаж закрепил прием за активный опыт. В будущем при использовании такого приема не нужен будет бросок на Боевой Дух (кроме приема Дикость).</t>
      </text>
    </comment>
    <comment authorId="0" ref="L5">
      <text>
        <t xml:space="preserve">Уровень     Необходимый опыт
2                            20
3                            60
4                           120
5                           200
6                           300
7                           420
8                           560
9                           720
10                         900
11                        1100
12                        1320</t>
      </text>
    </comment>
    <comment authorId="0" ref="M6">
      <text>
        <t xml:space="preserve">Поставьте галочку, если профессия была отпрактикована в течение текущего уровня.</t>
      </text>
    </comment>
    <comment authorId="0" ref="C10">
      <text>
        <t xml:space="preserve">Сила увеличивает урон в ближнем бою и урон от метательного оружия, а также повышает сопротивление и добавляет немного здоровья.</t>
      </text>
    </comment>
    <comment authorId="0" ref="K10">
      <text>
        <t xml:space="preserve">Максимальный боевой дух равен минимальному атрибуту без учета неважных атрибутов. Важные атрибуты отмечены галочкой слева, неважные - не отмечены.</t>
      </text>
    </comment>
    <comment authorId="0" ref="C11">
      <text>
        <t xml:space="preserve">Каждые два очка Ловкости увеличивают точность персонажа, в том числе точность заклинаниями снарядного типа.</t>
      </text>
    </comment>
    <comment authorId="0" ref="C12">
      <text>
        <t xml:space="preserve">Выносливость существенно повышает здоровье персонажа и увеличивает его концентрацию. Некоторые приемы можно применять чаще при высокой Выносливости.</t>
      </text>
    </comment>
    <comment authorId="0" ref="L12">
      <text>
        <t xml:space="preserve">Боевой дух - Шанс успеха
5                       85%
4                       80%
3                       70%
2                       60%
1                       50%
0                       30%
-1                      20%
-2                      10%
-3                       5%</t>
      </text>
    </comment>
    <comment authorId="0" ref="C13">
      <text>
        <t xml:space="preserve">Гибкость увеличивает уворот персонажа, делая его более сложной мишенью для вражеских атак. Доспехи могут ограничить эффективный уворот от Гибкости.</t>
      </text>
    </comment>
    <comment authorId="0" ref="C14">
      <text>
        <t xml:space="preserve">Быстрота повышает скорость действий (включая скорость атаки и скорость сотворения заклинаний) и максимальную скорость бега.</t>
      </text>
    </comment>
    <comment authorId="0" ref="K14">
      <text>
        <t xml:space="preserve">Начальная скорость бега всегда на 1 м/с ниже максимальной скорости бега.</t>
      </text>
    </comment>
    <comment authorId="0" ref="C15">
      <text>
        <t xml:space="preserve">Творческое начало,
способность придумывать новые идеи. Начиная с 5 Креативности персонажам нужно меньше маны для сотворения заклинаний.</t>
      </text>
    </comment>
    <comment authorId="0" ref="K15">
      <text>
        <t xml:space="preserve">Максимальная скорость бега зависит от расы, надетых доспехов, наличия ростового щита и Быстроты. Каждые 5 очков Быстроты дает +1 к максимальной скорости бега (МСБ).</t>
      </text>
    </comment>
    <comment authorId="0" ref="C16">
      <text>
        <t xml:space="preserve">Рассудительность,
здравый смысл, память и способность рефлексировать. Каждая единица СОЗ увеличивает максимальный запас маны на 20 единиц и дает +1 к Концентрации.</t>
      </text>
    </comment>
    <comment authorId="0" ref="K16">
      <text>
        <t xml:space="preserve">Персонаж тратит на 5% меньше маны на сотворение заклинаний, если его Креативность 5. За каждые последующие 2 очка Креативности скидка увеличивается еще на 5%.</t>
      </text>
    </comment>
    <comment authorId="0" ref="C17">
      <text>
        <t xml:space="preserve">Интеллект влияет на количество стартовых профессий персонажа,
на максимальное кол-во профессий, которые могут быть
одновременно повышены при получении уровня и на
максимальное кол-во боевых навыков, которые можно
повысить с уровнем. Каждое очко ИНТ увеличивает максимальный запас маны на 10 ед.</t>
      </text>
    </comment>
    <comment authorId="0" ref="K17">
      <text>
        <t xml:space="preserve">Если в течение одной секунды сотворения заклинания персонаж получает урон в одну часть тела, который превышает Концентрацию, сотворение заклинания прерывается и мана потрачена впустую.</t>
      </text>
    </comment>
    <comment authorId="0" ref="C18">
      <text>
        <t xml:space="preserve">Религиозное рвение, набожность и преданность божеству. Каждая единица
Веры дает +1 очко преданности (ОП). Вера увеличивает
шанс того, что божество спасёт персонажа от удара, от которого тот должен был бы потерять сознание (шанс +2% за каждое очко Веры).</t>
      </text>
    </comment>
    <comment authorId="0" ref="K18">
      <text>
        <t xml:space="preserve">Максимальное количество профессий для повышения при повышении уровня персонажа.</t>
      </text>
    </comment>
    <comment authorId="0" ref="C19">
      <text>
        <t xml:space="preserve">Красноречие, умение
подбирать слова, формулировать мысли. Способность убеждать, шутить, флиртовать, угрожать, запугивать, знание общественных правил, норм этикета, а также риторика.</t>
      </text>
    </comment>
    <comment authorId="0" ref="K19">
      <text>
        <t xml:space="preserve">Шанс того, что божество сбережет персонажа от удара, от которого тот должен был бы потерять сознание. Напрямую зависит от Веры.</t>
      </text>
    </comment>
    <comment authorId="0" ref="C20">
      <text>
        <t xml:space="preserve">Наблюдательность и осмотрительность персонажа. Каждая единица Восприятия увеличивает максимальный запас маны на 5 ед. и регенерацию маны на 4 ед. за отдых.</t>
      </text>
    </comment>
    <comment authorId="0" ref="K20">
      <text>
        <t xml:space="preserve">Внешность персонажа зависит от физеологических особенностей, физической подготовки, прически, чистоплотности и одежды.</t>
      </text>
    </comment>
    <comment authorId="0" ref="K21">
      <text>
        <t xml:space="preserve">Сопротивление зависит от расы, навыка рукопашного боя, борьбы и Силы. При сопротивлении силовым приемам (включая захваты) нужно сделать бросок 1d4+Сопротивление.</t>
      </text>
    </comment>
    <comment authorId="0" ref="K27">
      <text>
        <t xml:space="preserve">Поклонение одному из божеств представленных в сеттинге может давать бонус к здоровью (на усмотрение Мастера). Чем выше преданность персонажа (очки преданности) - тем выше бонус.</t>
      </text>
    </comment>
    <comment authorId="0" ref="C30">
      <text>
        <t xml:space="preserve">Персонаж может восстанавливать ману во время отдыха не чаще, чем раз в 24 часа.</t>
      </text>
    </comment>
    <comment authorId="0" ref="K32">
      <text>
        <t xml:space="preserve">Для того, чтобы оружие для атаки было в списке справа нужно указать его в ячейках U46-U51 (доступное оружие).</t>
      </text>
    </comment>
    <comment authorId="0" ref="K33">
      <text>
        <t xml:space="preserve">Минимальные атрибуты для того, чтобы использовать выбранное оружие.</t>
      </text>
    </comment>
    <comment authorId="0" ref="AC37">
      <text>
        <t xml:space="preserve">Поставьте галочку, если персонаж закрепил заклинание за активный опыт. В будущем при использовании такого заклинания не нужен будет бросок на Боевой Дух.</t>
      </text>
    </comment>
    <comment authorId="0" ref="AD37">
      <text>
        <t xml:space="preserve">Поставьте галочку, если заклинание является основным (1 уровня) в соответствующей школе магии или это не заклинание а пассивная способность. Это не требует закрепления и затрат активного опыта.</t>
      </text>
    </comment>
    <comment authorId="0" ref="AF37">
      <text>
        <t xml:space="preserve">ССЗ - Скорость сотворения заклинания</t>
      </text>
    </comment>
    <comment authorId="0" ref="AG37">
      <text>
        <t xml:space="preserve">ССЗ - Скорость сотворения заклинания</t>
      </text>
    </comment>
    <comment authorId="0" ref="AH37">
      <text>
        <t xml:space="preserve">РМ - расход маны</t>
      </text>
    </comment>
    <comment authorId="0" ref="AI37">
      <text>
        <t xml:space="preserve">РМ - Расход маны</t>
      </text>
    </comment>
    <comment authorId="0" ref="AV37">
      <text>
        <t xml:space="preserve">ПЗ - Провал заклинания из-за доспехов или щита</t>
      </text>
    </comment>
    <comment authorId="0" ref="C38">
      <text>
        <t xml:space="preserve">Если указанная выше одежда или доспехи покрывают все части тела (комплект) - поставьте галочку справа. Если нет - уберите галочку справа. Чтобы указать элемент одежды/доспехоа надетый на каждую часть тела, используйте таблицу в строке 126 на этой странице.
</t>
      </text>
    </comment>
    <comment authorId="0" ref="K45">
      <text>
        <t xml:space="preserve">Некоторым оружием проще попасть, некоторым - сложнее.</t>
      </text>
    </comment>
    <comment authorId="0" ref="W45">
      <text>
        <t xml:space="preserve">Оружие (включая кулаки и ноги) и щиты. Если вы хотите выбрать «Кастет», выберите «Кулак» в качестве оружия и «Кастет» в качестве вспомогательного оружия в разделе «Атака». То же самое работает и с поножами.</t>
      </text>
    </comment>
    <comment authorId="0" ref="K46">
      <text>
        <t xml:space="preserve">Каждый уровень боевого навыка дает +1 к точности.</t>
      </text>
    </comment>
    <comment authorId="0" ref="K47">
      <text>
        <t xml:space="preserve">Некоторые виды оружия используются представителями соответствующих профессий. Профессия второго уровня дает +1 к точности с такими оружиями. Список профессий и соответствующих "профессиональных" оружий представлен в закладке "Профессии и боевые навыки".</t>
      </text>
    </comment>
    <comment authorId="0" ref="K48">
      <text>
        <t xml:space="preserve">Каждые 2 очка Ловкости дают +1 к точности.</t>
      </text>
    </comment>
    <comment authorId="0" ref="C49">
      <text>
        <t xml:space="preserve">Эффективное уклонение от Гибкости всегда уменьшается до значения, указанного справа. Если написано «Без ограничений», то одежда не влияет на уклонение от Гибкости.</t>
      </text>
    </comment>
    <comment authorId="0" ref="K49">
      <text>
        <t xml:space="preserve">Поклонение одному из божеств представленных в сеттинге может давать бонус к точности (на усмотрение Мастера). Чем выше преданность персонажа (очки преданности) - тем выше бонус.</t>
      </text>
    </comment>
    <comment authorId="0" ref="K55">
      <text>
        <t xml:space="preserve">Порог свыше которого штраф к точности (-4)</t>
      </text>
    </comment>
    <comment authorId="0" ref="K58">
      <text>
        <t xml:space="preserve">Оружие игнорирует Х физической брони, где Х - это значение, указанное справа. </t>
      </text>
    </comment>
    <comment authorId="0" ref="K60">
      <text>
        <t xml:space="preserve">КО - Категория оружия</t>
      </text>
    </comment>
    <comment authorId="0" ref="K72">
      <text>
        <t xml:space="preserve">Поклонение одному из божеств представленных в сеттинге может давать бонус к урону (на усмотрение Мастера). Чем выше преданность персонажа (очки преданности) - тем выше бонус.</t>
      </text>
    </comment>
    <comment authorId="0" ref="K73">
      <text>
        <t xml:space="preserve">Расчет бонуса от Силы:
А) Для метательного и одноручного оружия ближнего боя: СИЛ/(5/КО)
Б) Для двуручного оружия ближнего боя: СИЛ/(4/КО)
СИЛ - Сила персонажа
КО - Категория оружия</t>
      </text>
    </comment>
    <comment authorId="0" ref="K74">
      <text>
        <t xml:space="preserve">Применяется только к оружию первой категорию (изначальная скорость атаки 1). Каждые 5 очков Быстроты увеличивают урон на 1 единицу.</t>
      </text>
    </comment>
    <comment authorId="0" ref="K75">
      <text>
        <t xml:space="preserve">Расчет бонуса от Силы:
А) Для метательного и одноручного оружия ближнего боя: СИЛ/(5/КО)
Б) Для двуручного оружия ближнего боя: СИЛ/(4/КО)
СИЛ - Сила персонажа
КО - Категория оружия</t>
      </text>
    </comment>
    <comment authorId="0" ref="J83">
      <text>
        <t xml:space="preserve">Поставьте галочку, если боевой навык был отпрактикован в течение текущего уровня.</t>
      </text>
    </comment>
    <comment authorId="0" ref="H124">
      <text>
        <t xml:space="preserve">Вы также можете использовать таблицу ниже в качестве альтернативного комплекта доспехов/одежды, которые может носить Ваш персонаж. Просто уберите галочку в ячейке D39 и начнут действовать все параметры альтернативного комплекта.</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
      <text>
        <t xml:space="preserve">Полученные средства и их источник</t>
      </text>
    </comment>
    <comment authorId="0" ref="J4">
      <text>
        <t xml:space="preserve">в медных монетах</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
      <text>
        <t xml:space="preserve">1: максимальный потенциал качества: Хорошее
1-2: максимальный потенциал качества: Отличное
1-2-3: максимальный потенциал качества: Превосходное</t>
      </text>
    </comment>
    <comment authorId="0" ref="J1">
      <text>
        <t xml:space="preserve">Точность</t>
      </text>
    </comment>
    <comment authorId="0" ref="K1">
      <text>
        <t xml:space="preserve">К.О. - Категория Оружия</t>
      </text>
    </comment>
    <comment authorId="0" ref="L1">
      <text>
        <t xml:space="preserve">Рыночная цена бронзового (или деревянного, из орешника) оружия стандартного качества в серебряных монетах. Цена быстрой продажи будет вдвое ниже.
Рыночную цену оружия, изготовленного из других материалов и более высокого качества, можно узнать в соответствующей вкладке - «Кузнец», «Плотник» или «Механик».</t>
      </text>
    </comment>
    <comment authorId="0" ref="O1">
      <text>
        <t xml:space="preserve">Прочность</t>
      </text>
    </comment>
    <comment authorId="0" ref="S1">
      <text>
        <t xml:space="preserve">Максимальная дальность дальнего боя в метрах</t>
      </text>
    </comment>
    <comment authorId="0" ref="T1">
      <text>
        <t xml:space="preserve">Если дистанция стрельбы выше штрафного порога, стрелок получает штраф к точности: -4</t>
      </text>
    </comment>
    <comment authorId="0" ref="A2">
      <text>
        <t xml:space="preserve">Свёрнутые строки содержат расчет среднего урона в секунду (DPS) для Вашего удобства.</t>
      </text>
    </comment>
    <comment authorId="0" ref="R77">
      <text>
        <t xml:space="preserve">У.П.В. - Удар при вытаскивании. Уникальная возможность раз за бой наносить удар катаной за секунду, вытаскивая её из ножен.</t>
      </text>
    </comment>
    <comment authorId="0" ref="A117">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 authorId="0" ref="A166">
      <text>
        <t xml:space="preserve">Может использоваться для добычи руды</t>
      </text>
    </comment>
    <comment authorId="0" ref="A360">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 authorId="0" ref="S559">
      <text>
        <t xml:space="preserve">Максимальная дальность дальнего боя в метрах</t>
      </text>
    </comment>
    <comment authorId="0" ref="T559">
      <text>
        <t xml:space="preserve">Если дистанция стрельбы выше штрафного порога, стрелок получает штраф к точности: -4</t>
      </text>
    </comment>
    <comment authorId="0" ref="A646">
      <text>
        <t xml:space="preserve">В зависимости от качества и материала</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
      <text>
        <t xml:space="preserve">Восстанавливает 1d8 очков здоровья во всех частях тела за 24 часа. Персонаж может выпить зелье за 1 секунду, при условии что оно уже у него в руке.</t>
      </text>
    </comment>
    <comment authorId="0" ref="N8">
      <text>
        <t xml:space="preserve">Рыночная цена в серебряных монетах. Цена быстрой продажи будет вдвое ниже.</t>
      </text>
    </comment>
    <comment authorId="0" ref="B9">
      <text>
        <t xml:space="preserve">Восстанавливает 1d8 очков здоровья во всех частях тела за 1 час.</t>
      </text>
    </comment>
    <comment authorId="0" ref="B10">
      <text>
        <t xml:space="preserve">Восстанавливает 1d8 очков здоровья во всех частях тела сразу после выпивания.</t>
      </text>
    </comment>
    <comment authorId="0" ref="B26">
      <text>
        <t xml:space="preserve">Восстанавливает 1d8 очков здоровья в выбранной части тела за 24 часа. В каждой мази 3 дозы, которые можно так использовать. Мазь применяется на открытый участок кожи (без доспехов).</t>
      </text>
    </comment>
    <comment authorId="0" ref="B44">
      <text>
        <t xml:space="preserve">Зелье восстанавливает 1d20 маны через 24 часа после употребления.</t>
      </text>
    </comment>
    <comment authorId="0" ref="B62">
      <text>
        <t xml:space="preserve">Яд можно нанести на оружие или снаряды для стрельбы (стрелы, болты, пули). Чтобы яд подействовал, оружие должно нанести урон (яд должен попасть в кровь). Этот яд наносит 1d4 урона в конце 5й секунды, 10й секунды и 15й секунды.</t>
      </text>
    </comment>
    <comment authorId="0" ref="B63">
      <text>
        <t xml:space="preserve">Яд можно нанести на оружие или снаряды для стрельбы (стрелы, болты, пули). Чтобы яд подействовал, оружие должно нанести урон (яд должен попасть в кровь). Этот яд наносит 1d6 урона в конце 5й секунды, 10й секунды, 15й и 20й секунды.</t>
      </text>
    </comment>
    <comment authorId="0" ref="B71">
      <text>
        <t xml:space="preserve">Противоядие X уровня нейтрализует яды X уровня или ниже. Уровень яда соответствует необходимому уровню Алхимика, который нужен для его изготовления.</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Любые керамические изделия должны быть сначала вылеплены из сырой глины или фарфора, а потом обожжены в печи.</t>
      </text>
    </comment>
    <comment authorId="0" ref="F5">
      <text>
        <t xml:space="preserve">Форму для кирпичей может сделать Плотник или Кузнец</t>
      </text>
    </comment>
    <comment authorId="0" ref="H5">
      <text>
        <t xml:space="preserve">Форму для черепицы может сделать Плотник или Кузнец</t>
      </text>
    </comment>
    <comment authorId="0" ref="B6">
      <text>
        <t xml:space="preserve">Тарелку хорошего качества можно зачаровать и проводить особый ритуал, восстанавливающий ману. Подробности в закладке "Зачарование".</t>
      </text>
    </comment>
    <comment authorId="0" ref="H6">
      <text>
        <t xml:space="preserve">из черепицы</t>
      </text>
    </comment>
    <comment authorId="0" ref="B8">
      <text>
        <t xml:space="preserve">Рыночная цена в серебряных монетах. Цена быстрой продажи может быть вдвое ниже.</t>
      </text>
    </comment>
    <comment authorId="0" ref="B12">
      <text>
        <t xml:space="preserve">Обжиг глины требует высокой температуры. В зависимости от выбранного топлива, Гончар может добиться необходимой температуры для создания керамических изделий. 
</t>
      </text>
    </comment>
    <comment authorId="0" ref="B15">
      <text>
        <t xml:space="preserve">Время изготовления включает только активное время, когда требуется труд Гончара. Время на обжиг не входит в это значение.</t>
      </text>
    </comment>
    <comment authorId="0" ref="B18">
      <text>
        <t xml:space="preserve">Для изготовления тарелки или кружки нужно сделать успешный бросок на Гончара. Результат броска должен быть равен или выше сложности, указанной справа. В случае провала броска на Гончара,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тарелка получается хорошего качества, а не стандартного.</t>
      </text>
    </comment>
    <comment authorId="0" ref="B24">
      <text>
        <t xml:space="preserve">Если бросок на Гончара ниже указанной сложности изготовления тарелки хорошего качества, но достаточный для тарелки стандартного качества, персонаж может закончить работу до конца, получив в результате тарелку более низкого качества, чем он изначально рассчитывал.</t>
      </text>
    </comment>
    <comment authorId="0" ref="B29">
      <text>
        <t xml:space="preserve">Голем подчиняется только своему создателю, его нельзя продать. Цена указана для учета себестоимости.</t>
      </text>
    </comment>
    <comment authorId="0" ref="B33">
      <text>
        <t xml:space="preserve">Обжиг глины требует высокой температуры. В зависимости от выбранного топлива, Гончар может добиться необходимой температуры для создания керамических изделий. 
</t>
      </text>
    </comment>
    <comment authorId="0" ref="B40">
      <text>
        <t xml:space="preserve">Для изготовления голема нужно сделать броски на Гончара и Чародея, и сложить результаты бросков. Сумма результатов должна быть равна или выше сложности, указанной справа. В случае неудачи, персонаж тратит 20% времени на изготовление и ему придется измельчить неудавшегося голема, чтобы вернуть использованные материалы. В случае критического успеха (20 на одном кубике и выше 10 на втором), голем получается на одну категорию качества выше.</t>
      </text>
    </comment>
    <comment authorId="0" ref="B47">
      <text>
        <t xml:space="preserve">Если сумма бросков на Гончара и Чародея ниже указанной сложности изготовления голема хорошего качества, но достаточная для голема стандартного качества, персонаж может закончить работу до конца, получив в результате голема более низкого качества, чем он изначально рассчитывал.</t>
      </text>
    </comment>
    <comment authorId="0" ref="B54">
      <text>
        <t xml:space="preserve">Если сумма бросков на Гончара и Чародея ниже указанной сложности изготовления голема отличного качества, но достаточная для голема стандартного/хорошего качества, персонаж может закончить работу до конца, получив в результате голема более низкого качества, чем он изначально рассчитывал.</t>
      </text>
    </comment>
    <comment authorId="0" ref="B59">
      <text>
        <t xml:space="preserve">Кукла подчиняется только своему создателю, её нельзя продать. Цена указана для учета себестоимости.</t>
      </text>
    </comment>
    <comment authorId="0" ref="B63">
      <text>
        <t xml:space="preserve">Обжиг глины требует высокой температуры. В зависимости от выбранного топлива, Гончар может добиться необходимой температуры для создания керамических изделий. 
</t>
      </text>
    </comment>
    <comment authorId="0" ref="B70">
      <text>
        <t xml:space="preserve">Для изготовления живой куклы нужно сделать броски на Гончара и Чародея, и сложить результаты бросков. Сумма результатов должна быть равна или выше сложности, указанной справа. В случае неудачи, персонаж тратит 20% времени на изготовление и ему придется измельчить неудавшуюся куклу, чтобы вернуть использованные материалы. В случае критического успеха (20 на одном кубике и выше 10 на втором), кукла получается на одну категорию качества выше.</t>
      </text>
    </comment>
    <comment authorId="0" ref="B77">
      <text>
        <t xml:space="preserve">Если сумма бросков на Гончара и Чародея ниже указанной сложности изготовления куклы хорошего качества, но достаточная для куклы стандартного качества, персонаж может закончить работу до конца, получив в результате куклу более низкого качества, чем он изначально рассчитывал.</t>
      </text>
    </comment>
    <comment authorId="0" ref="B84">
      <text>
        <t xml:space="preserve">Если сумма бросков на Гончара и Чародея ниже указанной сложности изготовления куклы отличного качества, но достаточная для куклы стандартного/хорошего качества, персонаж может закончить работу до конца, получив в результате куклу более низкого качества, чем он изначально рассчитывал.</t>
      </text>
    </comment>
    <comment authorId="0" ref="B89">
      <text>
        <t xml:space="preserve">Голем подчиняется только своему создателю, его нельзя продать. Цена указана для учета себестоимости.</t>
      </text>
    </comment>
    <comment authorId="0" ref="B93">
      <text>
        <t xml:space="preserve">Обжиг глины требует высокой температуры. В зависимости от выбранного топлива, Гончар может добиться необходимой температуры для создания керамических изделий. 
</t>
      </text>
    </comment>
    <comment authorId="0" ref="B100">
      <text>
        <t xml:space="preserve">Для изготовления голема нужно сделать броски на Гончара и Чародея, и сложить результаты бросков. Сумма результатов должна быть равна или выше сложности, указанной справа. В случае неудачи, персонаж тратит 20% времени на изготовление и ему придется измельчить неудавшегося голема, чтобы вернуть использованные материалы. В случае критического успеха (20 на одном кубике и выше 10 на втором), голем получается на одну категорию качества выше.</t>
      </text>
    </comment>
    <comment authorId="0" ref="B107">
      <text>
        <t xml:space="preserve">Если сумма бросков на Гончара и Чародея ниже указанной сложности изготовления голема хорошего качества, но достаточная для голема стандартного качества, персонаж может закончить работу до конца, получив в результате голема более низкого качества, чем он изначально рассчитывал.</t>
      </text>
    </comment>
    <comment authorId="0" ref="B114">
      <text>
        <t xml:space="preserve">Если сумма бросков на Гончара и Чародея ниже указанной сложности изготовления голема отличного качества, но достаточная для голема стандартного/хорошего качества, персонаж может закончить работу до конца, получив в результате голема более низкого качества, чем он изначально рассчитывал.</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Рыночная цена в серебряных монетах. Цена быстрой продажи может быть вдвое ниже.</t>
      </text>
    </comment>
    <comment authorId="0" ref="B14">
      <text>
        <t xml:space="preserve">Для выделки кожи нужно сделать успешный бросок на Кожевника. Результат броска должен быть равен или выше сложности, указанной справа. В случае провала броска на Кожевника, персонаж тратит 20% времени на выделку и портит все шкуры, приводя их в негодность.</t>
      </text>
    </comment>
    <comment authorId="0" ref="B19">
      <text>
        <t xml:space="preserve">Рыночная цена в серебряных монетах. Цена быстрой продажи может быть вдвое ниже.</t>
      </text>
    </comment>
    <comment authorId="0" ref="B26">
      <text>
        <t xml:space="preserve">Для изготовки доспехов нужно сделать успешный бросок на Кожевника. Результат броска должен быть равен или выше сложности, указанной справа. В случае провала броска на Кожевника, персонаж тратит 20% времени на изготовку и 30% от числа необходимых материалов. В случае критического успеха (20 на кубике), доспехи оказываются качественнее на одну ступень.</t>
      </text>
    </comment>
    <comment authorId="0" ref="B33">
      <text>
        <t xml:space="preserve">Если бросок на Кожевника ниже указанной сложности изготовления доспехов хорошего качества, но достаточный для доспехов стандартного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40">
      <text>
        <t xml:space="preserve">Если бросок на Кожевника ниже указанной сложности изготовления доспехов отличного качества, но достаточный для доспехов стандартного/хорошего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47">
      <text>
        <t xml:space="preserve">Если бросок на Кожевника ниже указанной сложности изготовления доспехов превосходного качества, но достаточный для доспехов стандартного/хорошего/отличного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58">
      <text>
        <t xml:space="preserve">Рыночная цена в серебряных монетах. Цена быстрой продажи может быть вдвое ниже.</t>
      </text>
    </comment>
    <comment authorId="0" ref="J61">
      <text>
        <t xml:space="preserve">Выше шанс срабатывания зачарования</t>
      </text>
    </comment>
    <comment authorId="0" ref="J63">
      <text>
        <t xml:space="preserve">Лучший шанс срабатывания зачарования</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Выберете оружие из выпадающего списка в ячейке справа чтобы найти цену и прочие параметры интересующего вас изделия</t>
      </text>
    </comment>
    <comment authorId="0" ref="B13">
      <text>
        <t xml:space="preserve">Рыночная цена в серебряных монетах. Цена быстрой продажи может быть вдвое ниже.</t>
      </text>
    </comment>
    <comment authorId="0" ref="B16">
      <text>
        <t xml:space="preserve">Помимо указанного справа оборудования Кузнецу для ковки оружия всегда нужна наковальня.</t>
      </text>
    </comment>
    <comment authorId="0" ref="B17">
      <text>
        <t xml:space="preserve">Ковка металлического оружия требует высокой температуры. В зависимости от выбранного топлива, Кузнец может добиться необходимой температуры для разогрева металла до состояния ковки. 
В случае, если метал только выплавили из руды, Кузнец может сразу ковать оружие, пока материал еще горячий. Это позволит сэкономить на топливе. В этом случае себестоимость оружия ниже. 
</t>
      </text>
    </comment>
    <comment authorId="0" ref="B24">
      <text>
        <t xml:space="preserve">Для ковки предмета нужно сделать успешный бросок на Кузнеца. Результат броска должен быть равен или выше сложности, указанной справа. В случае провала броска на Кузнеца, персонаж тратит 20% времени на
ковку и ему придется переплавить неудавшееся изделие, чтобы вернуть использованные материалы. В случае критического успеха (20 на кубике), оружие оказывается качественнее на одну ступень.</t>
      </text>
    </comment>
    <comment authorId="0" ref="B31">
      <text>
        <t xml:space="preserve">Если бросок на Кузнеца ниже указанной сложности изготовления оружия хорошего качества, но достаточный для оружия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38">
      <text>
        <t xml:space="preserve">Если бросок на Кузнеца ниже указанной сложности изготовления оружия отличного качества, но достаточный для оружия 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45">
      <text>
        <t xml:space="preserve">Если бросок на Кузнеца ниже указанной сложности изготовления оружия отличного качества, но достаточный для оружия отличного/хорошего/стандартного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54">
      <text>
        <t xml:space="preserve">Рыночная цена в серебряных монетах. Цена быстрой продажи может быть вдвое ниже.</t>
      </text>
    </comment>
    <comment authorId="0" ref="M54">
      <text>
        <t xml:space="preserve">Рыночная цена в серебряных монетах. Цена быстрой продажи может быть вдвое ниже.</t>
      </text>
    </comment>
    <comment authorId="0" ref="AJ55">
      <text>
        <t xml:space="preserve">МСБ - Максимальная скорость бега
СД - Скорость действий</t>
      </text>
    </comment>
    <comment authorId="0" ref="B57">
      <text>
        <t xml:space="preserve">Помимо указанного справа оборудования Кузнецу для ковки доспехов всегда нужна наковальня.</t>
      </text>
    </comment>
    <comment authorId="0" ref="M57">
      <text>
        <t xml:space="preserve">Помимо указанного справа оборудования Кузнецу для ковки доспехов всегда нужна наковальня.</t>
      </text>
    </comment>
    <comment authorId="0" ref="B58">
      <text>
        <t xml:space="preserve">Ковка металлических досехов требует высокой температуры. В зависимости от выбранного топлива, Кузнец может добиться необходимой температуры для разогрева металла до состояния ковки. 
В случае, если метал только выплавили из руды, Кузнец может сразу ковать доспехи, пока материал еще горячий. Это позволит сэкономить на топливе. В этом случае себестоимость доспехов ниже. 
</t>
      </text>
    </comment>
    <comment authorId="0" ref="M58">
      <text>
        <t xml:space="preserve">Ковка металлических досехов требует высокой температуры. В зависимости от выбранного топлива, Кузнец может добиться необходимой температуры для разогрева металла до состояния ковки. 
В случае, если метал только выплавили из руды, Кузнец может сразу ковать доспехи, пока материал еще горячий. Это позволит сэкономить на топливе. В этом случае себестоимость доспехов ниже. 
</t>
      </text>
    </comment>
    <comment authorId="0" ref="AE59">
      <text>
        <t xml:space="preserve">Выше шанс срабатывания зачарования</t>
      </text>
    </comment>
    <comment authorId="0" ref="AE61">
      <text>
        <t xml:space="preserve">Лучший шанс срабатывания зачарования</t>
      </text>
    </comment>
    <comment authorId="0" ref="B65">
      <text>
        <t xml:space="preserve">Для изготовки доспехов нужно сделать успешный бросок на Кузнеца. Результат броска должен быть равен или выше сложности, указанной справа. В случае провала броска на Кузнеца, персонаж тратит 20% времени на изготовку и ему придется переплавлять/переделывать неудавшийся доспех, чтобы вернуть использованные материалы. В случае критического успеха (20 на кубике), доспехи оказывается качественнее на одну ступень.</t>
      </text>
    </comment>
    <comment authorId="0" ref="M65">
      <text>
        <t xml:space="preserve">Для изготовки доспехов нужно сделать успешный бросок на Кузнеца. Результат броска должен быть равен или выше сложности, указанной справа. В случае провала броска на Кузнеца, персонаж тратит 20% времени на изготовку и ему придется переплавлять/переделывать неудавшийся доспех, чтобы вернуть использованные материалы. В случае критического успеха (20 на кубике), доспехи оказывается качественнее на одну ступень.</t>
      </text>
    </comment>
    <comment authorId="0" ref="AE69">
      <text>
        <t xml:space="preserve">Выше шанс срабатывания зачарования</t>
      </text>
    </comment>
    <comment authorId="0" ref="AE71">
      <text>
        <t xml:space="preserve">Лучший шанс срабатывания зачарования</t>
      </text>
    </comment>
    <comment authorId="0" ref="B72">
      <text>
        <t xml:space="preserve">Если бросок на Кузнеца ниже указанной сложности изготовления доспехов хорошего качества, но достаточный для доспехов стандартного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M72">
      <text>
        <t xml:space="preserve">Если бросок на Кузнеца ниже указанной сложности изготовления доспехов хорошего качества, но достаточный для доспехов стандартного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79">
      <text>
        <t xml:space="preserve">Если бросок на Кузнеца ниже указанной сложности изготовления доспехов отличного качества, но достаточный для доспехов стандартного/хорошего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M79">
      <text>
        <t xml:space="preserve">Если бросок на Кузнеца ниже указанной сложности изготовления доспехов отличного качества, но достаточный для доспехов стандартного/хорошего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86">
      <text>
        <t xml:space="preserve">Если бросок на Кузнеца ниже указанной сложности изготовления доспехов превосходного качества, но достаточный для доспехов стандартного/хорошего/отличного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M86">
      <text>
        <t xml:space="preserve">Если бросок на Кузнеца ниже указанной сложности изготовления доспехов превосходного качества, но достаточный для доспехов стандартного/хорошего/отличного качества, персонаж может закончить работу до конца, получив в результате доспехи более низкого качества, чем он изначально рассчитывал.</t>
      </text>
    </comment>
    <comment authorId="0" ref="B92">
      <text>
        <t xml:space="preserve">Выберете щит из выпадающего списка в ячейке справа чтобы найти цену и прочие параметры интересующего вас изделия.</t>
      </text>
    </comment>
    <comment authorId="0" ref="X98">
      <text>
        <t xml:space="preserve">Маг может затратить дополнительное время на сотворение заклинания чтобы снизить шанс провала заклинания. За каждую секунду продления заклинания шанс провала снижается на 10% (процентных пунктов).</t>
      </text>
    </comment>
    <comment authorId="0" ref="B99">
      <text>
        <t xml:space="preserve">Рыночная цена в серебряных монетах. Цена быстрой продажи может быть вдвое ниже.</t>
      </text>
    </comment>
    <comment authorId="0" ref="Z101">
      <text>
        <t xml:space="preserve">Штраф к точности при ударе оружием, которое персонаж держит в основной руке, в то время как он блокирует удары щитом, который держит во второй руке. Навык щитов 0/1/2/3 соответственно дает штраф -3/-2/-1/0.</t>
      </text>
    </comment>
    <comment authorId="0" ref="B102">
      <text>
        <t xml:space="preserve">Помимо указанного справа оборудования Кузнецу для ковки щитов всегда нужна наковальня.</t>
      </text>
    </comment>
    <comment authorId="0" ref="M102">
      <text>
        <t xml:space="preserve">Рыночная цена в серебряных монетах. Цена быстрой продажи может быть вдвое ниже.</t>
      </text>
    </comment>
    <comment authorId="0" ref="B103">
      <text>
        <t xml:space="preserve">Ковка металлических щитов требует высокой температуры. В зависимости от выбранного топлива, Кузнец может добиться необходимой температуры для разогрева металла до состояния ковки. 
В случае, если метал только выплавили из руды, Кузнец может сразу ковать щиты, пока материал еще горячий. Это позволит сэкономить на топливе. В этом случае себестоимость щитов ниже. 
</t>
      </text>
    </comment>
    <comment authorId="0" ref="U105">
      <text>
        <t xml:space="preserve">Выше шанс срабатывания</t>
      </text>
    </comment>
    <comment authorId="0" ref="U107">
      <text>
        <t xml:space="preserve">Лучший шанс срабатывания</t>
      </text>
    </comment>
    <comment authorId="0" ref="B111">
      <text>
        <t xml:space="preserve">Для изготовки щита нужно сделать успешный бросок на Плотника или Кузнеца, в зависимости от материала. Результат броска должен быть равен или выше сложности, указанной справа. В случае провала броска, персонаж тратит 20% времени на изготовку и теряет 30% материалов, если щит деревянный или ему придется переплавлять/переделывать неудавшийся щит, если он металлический, чтобы вернуть использованные материалы. В случае критического успеха (20 на кубике), щит оказывается качественнее на одну ступень.</t>
      </text>
    </comment>
    <comment authorId="0" ref="U114">
      <text>
        <t xml:space="preserve">Выше шанс срабатывания</t>
      </text>
    </comment>
    <comment authorId="0" ref="U116">
      <text>
        <t xml:space="preserve">Лучший шанс срабатывания</t>
      </text>
    </comment>
    <comment authorId="0" ref="B119">
      <text>
        <t xml:space="preserve">Если бросок на Плотника/Кузнеца ниже указанной сложности изготовления щита хорошего качества, но достаточный для щита стандартного качества, персонаж может закончить работу до конца, получив в результате щит более низкого качества, чем он изначально рассчитывал.</t>
      </text>
    </comment>
    <comment authorId="0" ref="U123">
      <text>
        <t xml:space="preserve">Выше шанс срабатывания</t>
      </text>
    </comment>
    <comment authorId="0" ref="U125">
      <text>
        <t xml:space="preserve">Лучший шанс срабатывания</t>
      </text>
    </comment>
    <comment authorId="0" ref="B127">
      <text>
        <t xml:space="preserve">Если бросок на Плотника/Кузнеца ниже указанной сложности изготовления щита отличного качества, но достаточный для щита стандартного/хорошего качества, персонаж может закончить работу до конца, получив в результате щит более низкого качества, чем он изначально рассчитывал.</t>
      </text>
    </comment>
    <comment authorId="0" ref="B135">
      <text>
        <t xml:space="preserve">Если бросок на Плотника/Кузнеца ниже указанной сложности изготовления щита превосходного качества, но достаточный для щита стандартного/хорошего/отличного качества, персонаж может закончить работу до конца, получив в результате щит более низкого качества, чем он изначально рассчитывал.</t>
      </text>
    </comment>
    <comment authorId="0" ref="M144">
      <text>
        <t xml:space="preserve">Рыночная цена в серебряных монетах. Цена быстрой продажи может быть вдвое ниже.</t>
      </text>
    </comment>
    <comment authorId="0" ref="M148">
      <text>
        <t xml:space="preserve">Ковка металлических изделий требует высокой температуры. В зависимости от выбранного топлива, Кузнец может добиться необходимой температуры для разогрева металла до состояния ковки. 
В случае, если метал только выплавили из руды, Кузнец может сразу ковать изделие, пока материал еще горячий. Это позволит сэкономить на топливе. В этом случае себестоимость изделия ниже. 
</t>
      </text>
    </comment>
    <comment authorId="0" ref="M155">
      <text>
        <t xml:space="preserve">Для ковки предмета нужно сделать успешный бросок на Кузнеца. Результат броска должен быть равен или выше сложности, указанной справа. В случае провала броска на Кузнеца, персонаж тратит 20% времени на
ковку и ему придется переплавить неудавшееся изделие, чтобы вернуть использованные материалы. В случае критического успеха (20 на кубике), оружие оказывается качественнее на одну ступень.</t>
      </text>
    </comment>
    <comment authorId="0" ref="M162">
      <text>
        <t xml:space="preserve">Если бросок на Кузнеца ниже указанной сложности изготовления оружия хорошего качества, но достаточный для оружия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M170">
      <text>
        <t xml:space="preserve">Рыночная цена в серебряных монетах. Цена быстрой продажи может быть вдвое ниже.
В случае производства множества пуль берется во внимание дробная часть числа цены.</t>
      </text>
    </comment>
    <comment authorId="0" ref="M174">
      <text>
        <t xml:space="preserve">Изготовление пуль требует высокой температуры. В зависимости от выбранного топлива, Кузнец может добиться необходимой температуры для разогрева металла до податливого состояния. 
В случае, если метал только выплавили из руды, Кузнец может сразу изготавливать пули, пока материал еще горячий. Это позволит сэкономить на топливе. В этом случае себестоимость пули ниже. 
</t>
      </text>
    </comment>
    <comment authorId="0" ref="M181">
      <text>
        <t xml:space="preserve">Для ковки предмета нужно сделать успешный бросок на Кузнеца. Результат броска должен быть равен или выше сложности, указанной справа. В случае провала броска на Кузнеца, персонаж тратит 20% времени на
ковку и ему придется переплавить неудавшееся изделие, чтобы вернуть использованные материалы. В случае критического успеха (20 на кубике), оружие оказывается качественнее на одну ступень.</t>
      </text>
    </comment>
    <comment authorId="0" ref="M188">
      <text>
        <t xml:space="preserve">Если бросок на Кузнеца ниже указанной сложности изготовления пули хорошего качества, но достаточный для пули стандартного качества, персонаж может закончить работу до конца, получив в результате пулю более низкого качества, чем он изначально рассчитывал.</t>
      </text>
    </comment>
    <comment authorId="0" ref="B200">
      <text>
        <t xml:space="preserve">Used for bows. Bow arrows are generally longer in length and have stabilizing vanes near the back while bolts always do not.</t>
      </text>
    </comment>
    <comment authorId="0" ref="B201">
      <text>
        <t xml:space="preserve">Used for crossbows. Crossbow Bolts are generally shorter in length (16-22-inches) and have no stabilizing vanes near the back while arrows always do.</t>
      </text>
    </comment>
    <comment authorId="0" ref="M208">
      <text>
        <t xml:space="preserve">Рыночная цена в серебряных монетах. Цена быстрой продажи может быть вдвое ниже.
В случае производства множества стрел/болтов берется во внимание дробная часть числа цены.</t>
      </text>
    </comment>
    <comment authorId="0" ref="M214">
      <text>
        <t xml:space="preserve">Изготовление наконечников стрел/болтов требует высокой температуры. В зависимости от выбранного топлива, Кузнец может добиться необходимой температуры для разогрева металла до податливого состояния. 
В случае, если метал только выплавили из руды, Кузнец может сразу изготавливать пули, пока материал еще горячий. Это позволит сэкономить на топливе. В этом случае себестоимость пули ниже. 
</t>
      </text>
    </comment>
    <comment authorId="0" ref="M221">
      <text>
        <t xml:space="preserve">Чтобы сделать стрелу или болт, нужно сделать броски на Плотника и Кузнеца и сложить их результаты. Чтобы добиться успеха, сумма бросков должна быть равна или выше сложности, указанной справа. Если попытка не удалась, персонаж тратит 20% времени на работу и безвозвратно теряет половину древесных материалов, а металлические детали придется переплавлять для восстановления материалов. В случае критического успеха (20 на одном кубике и выше 10 на втором) стрела или болт становятся на одну категорию качества выше.</t>
      </text>
    </comment>
    <comment authorId="0" ref="M229">
      <text>
        <t xml:space="preserve">Если сумма бросков Плотника и Кузнеца ниже заявленной сложности изготовления стрелы/болта хорошего качества, но достаточна для стрелы/болта стандартного качества, персонаж может закончить работу, в результате чего будет получена стрела/болт более низкого качества. чем он изначально предполагал.</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4">
      <text>
        <t xml:space="preserve">Рыночная цена в серебряных монетах. Цена быстрой продажи может быть вдвое ниже.</t>
      </text>
    </comment>
    <comment authorId="0" ref="B18">
      <text>
        <t xml:space="preserve">Изготовление деталей для металлического оружия требует высокой температуры. В зависимости от выбранного топлива, Механик может добиться необходимой температуры для разогрева металла до состояния, когда ему можно придать нужную форму. 
В случае, если метал только выплавили из руды, Механик может сразу начать делать детали для оружия, пока метал еще горячий. Это позволит сэкономить на топливе. В этом случае себестоимость оружия ниже. 
</t>
      </text>
    </comment>
    <comment authorId="0" ref="B25">
      <text>
        <t xml:space="preserve">Для изготовления огнестрела нужно сделать успешный бросок на Механика. Результат броска должен быть равен или выше сложности, указанной справа. В случае провала броска на Механика, персонаж тратит 20% времени на
работу и ему придется переплавить металлическую часть неудавшегося огнестрела, чтобы вернуть использованные материалы. В случае критического успеха (20 на кубике), огнестрел оказывается качественнее на одну ступень.</t>
      </text>
    </comment>
    <comment authorId="0" ref="B32">
      <text>
        <t xml:space="preserve">Если бросок на Механика ниже указанной сложности изготовления оружия хорошего качества, но достаточный для оружия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39">
      <text>
        <t xml:space="preserve">Если бросок на Механика ниже указанной сложности изготовления оружия отличного качества, но достаточный для оружия 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46">
      <text>
        <t xml:space="preserve">Если бросок на Механика ниже указанной сложности изготовления оружия отличного качества, но достаточный для оружия отличного/хорошего/стандартного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52">
      <text>
        <t xml:space="preserve">Рыночная цена в серебряных монетах. Цена быстрой продажи может быть вдвое ниже.</t>
      </text>
    </comment>
    <comment authorId="0" ref="B56">
      <text>
        <t xml:space="preserve">Изготовление компонентов для металлической ловушки требует высокой температуры. В зависимости от выбранного топлива, Механик может добиться необходимой температуры для разогрева металла до состояния, когда ему можно придать нужную форму. 
В случае, если метал только выплавили из руды, Механик может сразу начать делать компоненты для ловушки, пока материал еще горячий. Это позволит сэкономить на топливе. В этом случае себестоимость ловушки ниже. 
</t>
      </text>
    </comment>
    <comment authorId="0" ref="B63">
      <text>
        <t xml:space="preserve">Для изготовления ловушки нужно сделать успешный бросок на Механика. Результат броска должен быть равен или выше сложности, указанной справа. В случае провала броска на Механика, персонаж тратит 20% времени на
работу и ему придется переплавить металлическую часть неудавшейся ловушки, чтобы вернуть использованные материалы. В случае критического успеха (20 на кубике), ловушка оказывается качественнее на одну ступень.</t>
      </text>
    </comment>
    <comment authorId="0" ref="B70">
      <text>
        <t xml:space="preserve">Если бросок на Механика ниже указанной сложности изготовления ловушки хорошего качества, но достаточный для ловушки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77">
      <text>
        <t xml:space="preserve">Рыночная цена в серебряных монетах. Цена быстрой продажи может быть вдвое ниже.</t>
      </text>
    </comment>
    <comment authorId="0" ref="B83">
      <text>
        <t xml:space="preserve">Изготовление компонентов для бомбы требует высокой температуры. В зависимости от выбранного топлива, Механик может добиться необходимой температуры для разогрева металла до состояния, когда ему можно придать нужную форму. 
В случае, если метал только выплавили из руды, Механик может сразу начать делать компоненты для бомбы, пока материал еще горячий. Это позволит сэкономить на топливе. В этом случае себестоимость бомбы ниже. 
</t>
      </text>
    </comment>
    <comment authorId="0" ref="B90">
      <text>
        <t xml:space="preserve">Для изготовления бомбы нужно сделать успешный бросок на Механика. Результат броска должен быть равен или выше сложности, указанной справа. В случае провала броска на Механика, персонаж тратит 20% времени на
работу и ему придется переплавить металлическую часть неудавшегося изделия, чтобы вернуть использованные материалы. В случае критического успеха (20 на кубике), бомба оказывается качественнее на одну ступень.</t>
      </text>
    </comment>
    <comment authorId="0" ref="B97">
      <text>
        <t xml:space="preserve">Если бросок на Механика ниже указанной сложности изготовления бомбы хорошего качества, но достаточный для бомбы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104">
      <text>
        <t xml:space="preserve">Если бросок на Механика ниже указанной сложности изготовления бомбы отличного качества, но достаточный для бомбы стандартного/хорошего качества, персонаж может закончить работу до конца, получив в результате бомбу более низкого качества, чем он изначально рассчитывал.</t>
      </text>
    </comment>
    <comment authorId="0" ref="B119">
      <text>
        <t xml:space="preserve">Рыночная цена в серебряных монетах. Цена быстрой продажи может быть вдвое ниже.</t>
      </text>
    </comment>
    <comment authorId="0" ref="B125">
      <text>
        <t xml:space="preserve">Изготовление металлических деталей для арбалета требует высокой температуры. В зависимости от выбранного топлива, Механик может добиться необходимой температуры для разогрева металла до состояния, когда ему можно придать нужную форму. 
В случае, если метал только выплавили из руды, Механик может сразу начать делать детали для арбалета пока метал еще горячий. Это позволит сэкономить на топливе. В этом случае себестоимость арбалета ниже. 
</t>
      </text>
    </comment>
    <comment authorId="0" ref="B132">
      <text>
        <t xml:space="preserve">Для изготовления арбалета нужно сделать броски на Плотника и Механика, и сложить результаты бросков. Для успеха сумма бросков должна быть равна или выше сложности, указанной справа. В случае провала бросков, персонаж тратит 20% времени на работу и безвозвратно теряет половину древесных материалов, а металлические части нужно будет переплавить, чтобы вернуть материалы. В случае критического успеха (20 на одном кубике и выше 10 на втором), арбалет оказывается качественнее на одну ступень.</t>
      </text>
    </comment>
    <comment authorId="0" ref="B140">
      <text>
        <t xml:space="preserve">Если сумма бросков на Плотника и Механика ниже указанной сложности изготовления арбалета хорошего качества, но достаточная для арбалета стандартного качества, персонаж может закончить работу до конца, получив в результате арбалет более низкого качества, чем он изначально рассчитывал.</t>
      </text>
    </comment>
    <comment authorId="0" ref="B148">
      <text>
        <t xml:space="preserve">Если сумма бросков на Плотника и Механика ниже указанной сложности изготовления арбалета отличного качества, но достаточная для арбалета хорошего/стандартного качества, персонаж может закончить работу до конца, получив в результате арбалет более низкого качества, чем он изначально рассчитывал.</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C6">
      <text>
        <t xml:space="preserve">Писарь может написать на пергаменте или бумаге слова, необходимые для произнесения заклинания.
Далее персонаж с приемом "Начертание" может вдохнуть магию в начертанные свитки, чтобы их мог использовать любой желающий. Подробнее об этом в закладке "Зачарование" (таблица внизу).</t>
      </text>
    </comment>
    <comment authorId="0" ref="F8">
      <text>
        <t xml:space="preserve">Вы можете поменять категорию заклинания в закладке "Зачарование".</t>
      </text>
    </comment>
    <comment authorId="0" ref="C11">
      <text>
        <t xml:space="preserve">Рыночная цена в серебряных монетах. Цена быстрой продажи может быть вдвое ниже.</t>
      </text>
    </comment>
    <comment authorId="0" ref="C16">
      <text>
        <t xml:space="preserve">Коэффициент трудоёмкости на уровень заклинания</t>
      </text>
    </comment>
    <comment authorId="0" ref="C21">
      <text>
        <t xml:space="preserve">Рыночная цена в серебряных монетах. Цена быстрой продажи может быть вдвое ниже.</t>
      </text>
    </comment>
    <comment authorId="0" ref="C24">
      <text>
        <t xml:space="preserve">Коэффициент трудоёмкости на уровень заклинания</t>
      </text>
    </comment>
    <comment authorId="0" ref="C29">
      <text>
        <t xml:space="preserve">Рыночная цена в серебряных монетах. Цена быстрой продажи может быть вдвое ниже.</t>
      </text>
    </comment>
    <comment authorId="0" ref="C32">
      <text>
        <t xml:space="preserve">Коэффициент трудоёмкости на уровень заклинания</t>
      </text>
    </comment>
    <comment authorId="0" ref="C41">
      <text>
        <t xml:space="preserve">В том числе это может быть учебник для освоения основ какой-либо профессии. Профессии, которые можно освоить благодаря учебнику отмечены единицуй в закладке "Профессии" в колонке Q.
Рыночная цена в серебряных монетах. Цена быстрой продажи может быть вдвое ниже.</t>
      </text>
    </comment>
    <comment authorId="0" ref="C46">
      <text>
        <t xml:space="preserve">Коэффициент трудоёмкости на уровень сложности книги</t>
      </text>
    </comment>
    <comment authorId="0" ref="C51">
      <text>
        <t xml:space="preserve">Рыночная цена в серебряных монетах. Цена быстрой продажи может быть вдвое ниже.</t>
      </text>
    </comment>
    <comment authorId="0" ref="C54">
      <text>
        <t xml:space="preserve">Коэффициент трудоёмкости на уровень сложности книги</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4">
      <text>
        <t xml:space="preserve">Рыночная цена в серебряных монетах. Цена быстрой продажи может быть вдвое ниже.</t>
      </text>
    </comment>
    <comment authorId="0" ref="B21">
      <text>
        <t xml:space="preserve">Для изготовления оружия нужно сделать успешный бросок на Плотника. Результат броска должен быть равен или выше сложности, указанной справа. В случае провала броска на Плотника, персонаж тратит 20% времени на работу и безвозвратно теряет половину материала. В случае критического успеха (20 на кубике), оружие оказывается качественнее на одну ступень.</t>
      </text>
    </comment>
    <comment authorId="0" ref="B28">
      <text>
        <t xml:space="preserve">Если бросок на Плотника ниже указанной сложности изготовления оружия хорошего качества, но достаточный для оружия 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35">
      <text>
        <t xml:space="preserve">Если бросок на Плотника ниже указанной сложности изготовления оружия отличного качества, но достаточный для оружия 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42">
      <text>
        <t xml:space="preserve">Если бросок на Плотника ниже указанной сложности изготовления оружия превосходного качества, но достаточный для оружия отличного/хорошего/стандартного качества, персонаж может закончить работу до конца, получив в результате оружие более низкого качества, чем он изначально рассчитывал.</t>
      </text>
    </comment>
    <comment authorId="0" ref="B46">
      <text>
        <t xml:space="preserve">Деревянные щиты менее прочны, чем металлические, но существует 15%-ная вероятность того, что рубящее или колющее оружие противника застрянет в щите после успешного блока (дробящее оружие не может застрять). Застрявшее оружие можно вытащить из щита, если противник пройдет проверку Силы. Сложность проверки указана в таблице справа. Для вытаскивания оружия потребуется одна секунда. Если врагу не удастся вытащить оружие, в следующую секунду он может предпринять еще одну попытку.
Помимо этого, деревянные щиты легче, поэтому требуют меньше Выносливости.</t>
      </text>
    </comment>
    <comment authorId="0" ref="M52">
      <text>
        <t xml:space="preserve">Деревянные щиты менее прочны, чем металлические, но существует 15%-ная вероятность того, что рубящее или колющее оружие противника застрянет в щите после успешного блока (дробящее оружие не может застрять). Застрявшее оружие можно вытащить из щита, если противник пройдет проверку Силы. Сложность проверки указана в таблице справа. Для вытаскивания оружия потребуется одна секунда. Если врагу не удастся вытащить оружие, в следующую секунду он может предпринять еще одну попытку.</t>
      </text>
    </comment>
    <comment authorId="0" ref="B55">
      <text>
        <t xml:space="preserve">Рыночная цена в серебряных монетах. Цена быстрой продажи может быть вдвое ниже.</t>
      </text>
    </comment>
    <comment authorId="0" ref="AA57">
      <text>
        <t xml:space="preserve">Штраф к точности при ударе оружием, удерживаемым в основной руке, при этом блокируя щитом второй рукой. Навык щитов 0/1/2/3 соответственно дает штраф -3/-2/-1/0.</t>
      </text>
    </comment>
    <comment authorId="0" ref="M58">
      <text>
        <t xml:space="preserve">Рыночная цена в серебряных монетах. Цена быстрой продажи может быть вдвое ниже.</t>
      </text>
    </comment>
    <comment authorId="0" ref="V61">
      <text>
        <t xml:space="preserve">Выше шанс срабатывания заклинания.</t>
      </text>
    </comment>
    <comment authorId="0" ref="B62">
      <text>
        <t xml:space="preserve">Чтобы сделать щит, вам нужно сделать успешный бросок на Плотника. Результат броска должен быть равен или выше сложности, указанной справа. Если бросок провален, персонаж тратит 20% времени на работу и теряет 30% материалов. В случае критического успеха (20 на кубике) щит становится на один уровень качества выше.</t>
      </text>
    </comment>
    <comment authorId="0" ref="V63">
      <text>
        <t xml:space="preserve">Лучший возможный шанс срабатывания заклинания.</t>
      </text>
    </comment>
    <comment authorId="0" ref="B69">
      <text>
        <t xml:space="preserve">Если бросок на Плотника ниже указанной сложности изготовления щита хорошего качества, но достаточный для щита стандартного качества, персонаж может закончить работу до конца, получив в результате щит более низкого качества, чем он изначально рассчитывал.</t>
      </text>
    </comment>
    <comment authorId="0" ref="V71">
      <text>
        <t xml:space="preserve">Выше шанс срабатывания заклинания.</t>
      </text>
    </comment>
    <comment authorId="0" ref="V73">
      <text>
        <t xml:space="preserve">Лучший возможный шанс срабатывания заклинания.</t>
      </text>
    </comment>
    <comment authorId="0" ref="B76">
      <text>
        <t xml:space="preserve">Если бросок на Плотника ниже указанной сложности изготовления щита отличного качества, но достаточный для щита хорошего/стандартного качества, персонаж может закончить работу до конца, получив в результате щит более низкого качества, чем он изначально рассчитывал.</t>
      </text>
    </comment>
    <comment authorId="0" ref="V81">
      <text>
        <t xml:space="preserve">Выше шанс срабатывания заклинания.</t>
      </text>
    </comment>
    <comment authorId="0" ref="B83">
      <text>
        <t xml:space="preserve">Если бросок на Плотника ниже указанной сложности изготовления щита превосходного качества, но достаточный для щита отличного/хорошего/стандартного качества, персонаж может закончить работу до конца, получив в результате щит более низкого качества, чем он изначально рассчитывал.</t>
      </text>
    </comment>
    <comment authorId="0" ref="V83">
      <text>
        <t xml:space="preserve">Лучший возможный шанс срабатывания заклинания.</t>
      </text>
    </comment>
    <comment authorId="0" ref="B95">
      <text>
        <t xml:space="preserve">Рыночная цена в серебряных монетах. Цена быстрой продажи может быть вдвое ниже.</t>
      </text>
    </comment>
    <comment authorId="0" ref="M95">
      <text>
        <t xml:space="preserve">Рыночная цена в серебряных монетах. Цена быстрой продажи может быть вдвое ниже.</t>
      </text>
    </comment>
    <comment authorId="0" ref="B102">
      <text>
        <t xml:space="preserve">Чтобы сделать изделие, вам нужно сделать успешный бросок на Плотника. Результат броска должен быть равен или выше сложности, указанной справа. Если бросок провален, персонаж тратит 20% времени на работу и теряет 30% материалов. В случае критического успеха (20 на кубике) изделие становится на один уровень качества выше.</t>
      </text>
    </comment>
    <comment authorId="0" ref="M102">
      <text>
        <t xml:space="preserve">Для изготовления ловушки нужно сделать успешный бросок на Плотника. Результат броска должен быть равен или выше сложности, указанной справа. В случае провала броска на Механика, персонаж тратит 20% времени на работу и безвозвратно теряет половину древесных материалов. В случае критического успеха (20 на кубике), изделие оказывается качественнее на одну ступень.</t>
      </text>
    </comment>
    <comment authorId="0" ref="B109">
      <text>
        <t xml:space="preserve">Если бросок на Плотника ниже указанной сложности изготовления предмета хорошего качества, но достаточный для предмета стандартного качества, персонаж может закончить работу до конца, получив в результате изделие более низкого качества, чем он изначально рассчитывал.</t>
      </text>
    </comment>
    <comment authorId="0" ref="B116">
      <text>
        <t xml:space="preserve">Если бросок на Плотника ниже указанной сложности изготовления предмета отличного качества, но достаточный для предмета хорошего/стандартного качества, персонаж может закончить работу до конца, получив в результате изделие более низкого качества, чем он изначально рассчитывал.</t>
      </text>
    </comment>
    <comment authorId="0" ref="B123">
      <text>
        <t xml:space="preserve">Если бросок на Плотника ниже указанной сложности изготовления предмета превосходного качества, но достаточный для предмета отличного/хорошего/стандартного качества, персонаж может закончить работу до конца, получив в результате изделие более низкого качества, чем он изначально рассчитывал.</t>
      </text>
    </comment>
    <comment authorId="0" ref="B137">
      <text>
        <t xml:space="preserve">Рыночная цена в серебряных монетах. Цена быстрой продажи может быть вдвое ниже.</t>
      </text>
    </comment>
    <comment authorId="0" ref="M138">
      <text>
        <t xml:space="preserve">Рыночная цена в серебряных монетах. Цена быстрой продажи может быть вдвое ниже.
В случае производства множества стрел/болтов берется во внимание дробная часть числа цены.</t>
      </text>
    </comment>
    <comment authorId="0" ref="B143">
      <text>
        <t xml:space="preserve">Изготовление металлических деталей для арбалета требует высокой температуры. В зависимости от выбранного топлива, Механик может добиться необходимой температуры для разогрева металла до состояния, когда ему можно придать нужную форму. 
В случае, если метал только выплавили из руды, Механик может сразу начать делать детали для арбалета пока метал еще горячий. Это позволит сэкономить на топливе. В этом случае себестоимость арбалета ниже. 
</t>
      </text>
    </comment>
    <comment authorId="0" ref="M144">
      <text>
        <t xml:space="preserve">Изготовление наконечников стрел/болтов требует высокой температуры. В зависимости от выбранного топлива, Кузнец может добиться необходимой температуры для разогрева металла до податливого состояния. 
В случае, если метал только выплавили из руды, Кузнец может сразу изготавливать пули, пока материал еще горячий. Это позволит сэкономить на топливе. В этом случае себестоимость пули ниже. 
</t>
      </text>
    </comment>
    <comment authorId="0" ref="B150">
      <text>
        <t xml:space="preserve">Для изготовления арбалета нужно сделать броски на Плотника и Механика, и сложить результаты бросков. Для успеха сумма бросков должна быть равна или выше сложности, указанной справа. В случае провала бросков, персонаж тратит 20% времени на работу и безвозвратно теряет половину древесных материалов, а металлические части нужно будет переплавить, чтобы вернуть материалы. В случае критического успеха (20 на одном кубике и выше 10 на втором), арбалет оказывается качественнее на одну ступень.</t>
      </text>
    </comment>
    <comment authorId="0" ref="M151">
      <text>
        <t xml:space="preserve">Чтобы сделать стрелу или болт, нужно сделать броски на Плотника и Кузнеца и сложить их результаты. Чтобы добиться успеха, сумма бросков должна быть равна или выше сложности, указанной справа. Если попытка не удалась, персонаж тратит 20% времени на работу и безвозвратно теряет половину древесных материалов, а металлические детали придется переплавлять для восстановления материалов. В случае критического успеха (20 на одном кубике и выше 10 на втором) стрела или болт становятся на одну категорию качества выше.</t>
      </text>
    </comment>
    <comment authorId="0" ref="B158">
      <text>
        <t xml:space="preserve">Если сумма бросков на Плотника и Механика ниже указанной сложности изготовления арбалета хорошего качества, но достаточная для арбалета стандартного качества, персонаж может закончить работу до конца, получив в результате арбалет более низкого качества, чем он изначально рассчитывал.</t>
      </text>
    </comment>
    <comment authorId="0" ref="M159">
      <text>
        <t xml:space="preserve">Если сумма бросков Плотника и Кузнеца ниже заявленной сложности изготовления стрелы/болта хорошего качества, но достаточна для стрелы/болта стандартного качества, персонаж может закончить работу, в результате чего будет получена стрела/болт более низкого качества. чем он изначально предполагал.</t>
      </text>
    </comment>
    <comment authorId="0" ref="B166">
      <text>
        <t xml:space="preserve">Если сумма бросков на Плотника и Механика ниже указанной сложности изготовления арбалета отличного качества, но достаточная для арбалета хорошего/стандартного качества, персонаж может закончить работу до конца, получив в результате арбалет более низкого качества, чем он изначально рассчитывал.</t>
      </text>
    </comment>
    <comment authorId="0" ref="M170">
      <text>
        <t xml:space="preserve">Для получения древесного угля горение должно быть медленным и неполным, чтобы древесина высыхала, а ее структура и способность к горению сохранялись. Этот процесс — превращение древесины в древесный уголь — занимает около 14-16 часов и дает готовые к употреблению куски древесного угля.</t>
      </text>
    </comment>
    <comment authorId="0" ref="M173">
      <text>
        <t xml:space="preserve">Рыночная цена в серебряных монетах. Цена быстрой продажи может быть вдвое ниже.</t>
      </text>
    </comment>
    <comment authorId="0" ref="M177">
      <text>
        <t xml:space="preserve">Для получения древесного угля горение должно быть медленным и неполным, чтобы древесина высыхала, а ее структура и способность к горению сохранялись.
</t>
      </text>
    </comment>
    <comment authorId="0" ref="M185">
      <text>
        <t xml:space="preserve">Для изготовления древесного угля нужно сделать успешный бросок на Плотника. Результат броска должен быть равен или выше сложности, указанной справа. В случае провала броска на Плотника, персонаж тратит 20% активного времени на работу и безвозвратно теряет половину древесных материалов.</t>
      </text>
    </comment>
    <comment authorId="0" ref="B203">
      <text>
        <t xml:space="preserve">Используется для луков. Стрелы из лука обычно длиннее и имеют стабилизирующие лопатки сзади, тогда как арбалетные болты их не имеют.</t>
      </text>
    </comment>
    <comment authorId="0" ref="B204">
      <text>
        <t xml:space="preserve">Используется для арбалетов. Арбалетные болты обычно короче (16–22 дюйма) и не имеют стабилизирующих лопастей сзади, в то время как стрелы всегда имеют их.</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1">
      <text>
        <t xml:space="preserve">Рыночная цена в серебряных монетах. Цена быстрой продажи может быть вдвое ниже.</t>
      </text>
    </comment>
    <comment authorId="0" ref="J14">
      <text>
        <t xml:space="preserve">Рыночная цена в серебряных монетах. Цена быстрой продажи может быть вдвое ниже.</t>
      </text>
    </comment>
    <comment authorId="0" ref="B16">
      <text>
        <t xml:space="preserve"> в серебряных монетах</t>
      </text>
    </comment>
    <comment authorId="0" ref="P17">
      <text>
        <t xml:space="preserve">Выше шанс срабатывания зачарования</t>
      </text>
    </comment>
    <comment authorId="0" ref="B18">
      <text>
        <t xml:space="preserve">Для вышивки одежды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вышивку и 30% от числа необходимых материалов. В случае критического успеха (20 на кубике), одежда оказывается качественнее на одну ступень.</t>
      </text>
    </comment>
    <comment authorId="0" ref="P19">
      <text>
        <t xml:space="preserve">Лучший шанс срабатывания зачарования</t>
      </text>
    </comment>
    <comment authorId="0" ref="B25">
      <text>
        <t xml:space="preserve">Если бросок на Портного ниже указанной сложности вышивки одежды хорошего качества, но достаточный для одежды стандартного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P26">
      <text>
        <t xml:space="preserve">Выше шанс срабатывания зачарования</t>
      </text>
    </comment>
    <comment authorId="0" ref="P28">
      <text>
        <t xml:space="preserve">Лучший шанс срабатывания зачарования</t>
      </text>
    </comment>
    <comment authorId="0" ref="B32">
      <text>
        <t xml:space="preserve">Если бросок на Портного ниже указанной сложности вышивки одежды отличного качества, но достаточный для одежды стандартного/хорошего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P35">
      <text>
        <t xml:space="preserve">Выше шанс срабатывания зачарования</t>
      </text>
    </comment>
    <comment authorId="0" ref="P37">
      <text>
        <t xml:space="preserve">Лучший шанс срабатывания зачарования</t>
      </text>
    </comment>
    <comment authorId="0" ref="B39">
      <text>
        <t xml:space="preserve">Если бросок на Портного ниже указанной сложности вышивки одежды превосходного качества, но достаточный для одежды стандартного/хорошего/отличного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44">
      <text>
        <t xml:space="preserve">Рыночная цена в серебряных монетах. Цена быстрой продажи может быть вдвое ниже.</t>
      </text>
    </comment>
    <comment authorId="0" ref="B51">
      <text>
        <t xml:space="preserve">Для вышивки одежды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вышивку и 30% от числа необходимых материалов. В случае критического успеха (20 на кубике), одежда оказывается качественнее на одну ступень.</t>
      </text>
    </comment>
    <comment authorId="0" ref="B58">
      <text>
        <t xml:space="preserve">Если бросок на Портного ниже указанной сложности вышивки одежды хорошего качества, но достаточный для одежды стандартного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65">
      <text>
        <t xml:space="preserve">Если бросок на Портного ниже указанной сложности вышивки одежды отличного качества, но достаточный для одежды стандартного/хорошего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72">
      <text>
        <t xml:space="preserve">Если бросок на Портного ниже указанной сложности вышивки одежды превосходного качества, но достаточный для одежды стандартного/хорошего/отличного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77">
      <text>
        <t xml:space="preserve">Рыночная цена в серебряных монетах. Цена быстрой продажи может быть вдвое ниже.</t>
      </text>
    </comment>
    <comment authorId="0" ref="B84">
      <text>
        <t xml:space="preserve">Для вышивки одежды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вышивку и 30% от числа необходимых материалов. В случае критического успеха (20 на кубике), одежда оказывается качественнее на одну ступень.</t>
      </text>
    </comment>
    <comment authorId="0" ref="J84">
      <text>
        <t xml:space="preserve">Для создания тряпичной бумаги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создание бумаги и 30% от числа необходимых материалов.</t>
      </text>
    </comment>
    <comment authorId="0" ref="B91">
      <text>
        <t xml:space="preserve">Если бросок на Портного ниже указанной сложности вышивки одежды хорошего качества, но достаточный для одежды стандартного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98">
      <text>
        <t xml:space="preserve">Если бросок на Портного ниже указанной сложности вышивки одежды отличного качества, но достаточный для одежды стандартного/хорошего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105">
      <text>
        <t xml:space="preserve">Если бросок на Портного ниже указанной сложности вышивки одежды превосходного качества, но достаточный для одежды стандартного/хорошего/отличного качества, персонаж может закончить работу до конца, получив в результате одежду более низкого качества, чем он изначально рассчитывал.</t>
      </text>
    </comment>
    <comment authorId="0" ref="B110">
      <text>
        <t xml:space="preserve">Рыночная цена в серебряных монетах. Цена быстрой продажи может быть вдвое ниже.</t>
      </text>
    </comment>
    <comment authorId="0" ref="B117">
      <text>
        <t xml:space="preserve">Для изготовки шпагата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изготовку и 30% от числа необходимых материалов.</t>
      </text>
    </comment>
    <comment authorId="0" ref="B125">
      <text>
        <t xml:space="preserve">Для изготовки веревки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изготовку и 30% от числа необходимых материалов.</t>
      </text>
    </comment>
    <comment authorId="0" ref="B135">
      <text>
        <t xml:space="preserve">Для изготовки рыбацкой сети нужно сделать успешный бросок на Портного. Результат броска должен быть равен или выше сложности, указанной справа. В случае провала броска на Портного, персонаж тратит 20% времени на изготовку и 30% от числа необходимых материалов.</t>
      </text>
    </comment>
  </commentLi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
      <text>
        <t xml:space="preserve">В случае критического успеха (20 на кубике), персонаж находит драгоценный камень, указанный справа. В случае критического провала (1 на кубике), рабочие инструменты персонажа теряют 50% своей макимальной прочности. Если инструменты не починит кузнец, то в следующий раз при критическом провале они сломаются полностью, без возможности восстановления. </t>
      </text>
    </comment>
    <comment authorId="0" ref="H8">
      <text>
        <t xml:space="preserve">Драгоценным камнем может оказаться любой из камней указанный для текущего уровня Рудокопа и уровней ниже. Например, уровень Рудокопа 3 и выпала 20-ка на кубике. С вероятностью 1/8 это будет яшма, оникс, обсидиан, агат, опал, родонит, янтарь или малахит.</t>
      </text>
    </comment>
    <comment authorId="0" ref="B39">
      <text>
        <t xml:space="preserve">Рыночная цена в серебряных монетах. Цена быстрой продажи может быть вдвое ниже.</t>
      </text>
    </comment>
    <comment authorId="0" ref="B47">
      <text>
        <t xml:space="preserve">Для придания камню нужной формы нужно сделать успешный бросок на Рудокопа. Результат броска должен быть равен или выше сложности, указанной справа. В случае провала броска на Рудокопа, персонаж тратит 20% времени на обтёсывание и теряет материал (камень раскалывается).</t>
      </text>
    </comment>
    <comment authorId="0" ref="B51">
      <text>
        <t xml:space="preserve">Рыночная цена в серебряных монетах. Цена быстрой продажи может быть вдвое ниже.</t>
      </text>
    </comment>
    <comment authorId="0" ref="B58">
      <text>
        <t xml:space="preserve">Для выплавки металлического слитка нужно сделать успешный бросок на Рудокопа или Кузнеца. Результат броска должен быть равен или выше сложности, указанной справа. В случае провала броска на Рудокопа ил Кузнеца, персонаж тратит 20% времени на выплавку и ему нужно заново собирать и плавить метал.</t>
      </text>
    </comment>
    <comment authorId="0" ref="B61">
      <text>
        <t xml:space="preserve">Выплавление металлических слитков требует высокой температуры. В зависимости от выбранного топлива, Рудокоп может добиться необходимой температуры для выплавления соответствующего металла.
</t>
      </text>
    </comment>
    <comment authorId="0" ref="D65">
      <text>
        <t xml:space="preserve">Для изготовления стали нужно обладать профессией Рудокопа и Алхимика одновременно, либо собрать представителей этих профессий вместе.</t>
      </text>
    </comment>
    <comment authorId="0" ref="E65">
      <text>
        <t xml:space="preserve">Булатная сталь создается непосредственно в процессе создания изделия. Она не хранится в слитках. Для изготовления изделия из булатной стали нужно обладать профессией Рудокопа, Алхимика и Кузнеца одновременно, либо собрать представителей этих профессий вместе.</t>
      </text>
    </comment>
    <comment authorId="0" ref="B66">
      <text>
        <t xml:space="preserve">Рыночная цена в серебряных монетах. Цена быстрой продажи может быть вдвое ниже.</t>
      </text>
    </comment>
    <comment authorId="0" ref="B76">
      <text>
        <t xml:space="preserve">Для выплавки металлического слитка нужно сделать успешный бросок на Рудокопа. Результат броска должен быть равен или выше сложности, указанной справа. В случае провала броска на Рудокопа, персонаж тратит 20% времени на выплавку и ему нужно заново собирать и плавить метал.</t>
      </text>
    </comment>
    <comment authorId="0" ref="B78">
      <text>
        <t xml:space="preserve">Чтобы сделать стальной слиток (или изделие из булатной стали), нужно сделать броски на Рудокопа и Алхимика, и сложить результаты. Сумма результатов должна быть равна или превышать сложность, указанную справа. В случае неудачи персонаж тратит 20% времени на плавку и теряет использованные материалы. В случае критического успеха (20 на одном кубике и выше 10 на втором) слиток изготавливается в два раза быстрее.</t>
      </text>
    </comment>
    <comment authorId="0" ref="B82">
      <text>
        <t xml:space="preserve">Создание сплавов требует высокой температуры. В зависимости от выбранного топлива, Рудокоп может добиться необходимой температуры для создания соответствующего сплава.</t>
      </text>
    </comment>
  </commentLi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Зеленоватое или мутное стекло. Подходит для глазурирования.</t>
      </text>
    </comment>
    <comment authorId="0" ref="F9">
      <text>
        <t xml:space="preserve">Фиал или склянка может пригодится для сбора жидкостей, в том числе хранения алхимических зелий, мазей, ядов и антидотов.</t>
      </text>
    </comment>
    <comment authorId="0" ref="E13">
      <text>
        <t xml:space="preserve">Рыночная цена в серебряных монетах. Цена быстрой продажи может быть вдвое ниже.</t>
      </text>
    </comment>
    <comment authorId="0" ref="E15">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B16">
      <text>
        <t xml:space="preserve">Рыночная цена в серебряных монетах. Цена быстрой продажи может быть вдвое ниже.</t>
      </text>
    </comment>
    <comment authorId="0" ref="B18">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E21">
      <text>
        <t xml:space="preserve">Для изготовления изделия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изделие получается хорошего качества, а не стандартного.</t>
      </text>
    </comment>
    <comment authorId="0" ref="B24">
      <text>
        <t xml:space="preserve">Для изготовления лесного стекла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стекло получается хорошего качества, а не стандартного.</t>
      </text>
    </comment>
    <comment authorId="0" ref="B30">
      <text>
        <t xml:space="preserve">Если бросок на Стеклодува ниже указанной сложности изготовления стекла хорошего качества, но достаточный для стекла стандартного качества, персонаж может закончить работу до конца, получив в результате стекло более низкого качества, чем он изначально рассчитывал.</t>
      </text>
    </comment>
    <comment authorId="0" ref="E30">
      <text>
        <t xml:space="preserve">Если бросок на Стеклодува ниже указанной сложности изготовления продукта хорошего качества, но достаточный для фиала стандартного качества, персонаж может закончить работу до конца, получив в результате продукт более низкого качества, чем он изначально рассчитывал.</t>
      </text>
    </comment>
    <comment authorId="0" ref="C33">
      <text>
        <t xml:space="preserve">Прозрачное, бесцветное</t>
      </text>
    </comment>
    <comment authorId="0" ref="F33">
      <text>
        <t xml:space="preserve">Фиал или склянка может пригодится для сбора жидкостей, в том числе хранения алхимических зелий, мазей, ядов и антидотов.</t>
      </text>
    </comment>
    <comment authorId="0" ref="E37">
      <text>
        <t xml:space="preserve">Рыночная цена в серебряных монетах. Цена быстрой продажи может быть вдвое ниже.</t>
      </text>
    </comment>
    <comment authorId="0" ref="E39">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B40">
      <text>
        <t xml:space="preserve">Рыночная цена в серебряных монетах. Цена быстрой продажи может быть вдвое ниже.</t>
      </text>
    </comment>
    <comment authorId="0" ref="B42">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E45">
      <text>
        <t xml:space="preserve">Для изготовления изделия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изделие получается хорошего качества, а не стандартного.</t>
      </text>
    </comment>
    <comment authorId="0" ref="B48">
      <text>
        <t xml:space="preserve">Для изготовления содового стекла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стекло получается хорошего качества, а не стандартного.</t>
      </text>
    </comment>
    <comment authorId="0" ref="B54">
      <text>
        <t xml:space="preserve">Если бросок на Стеклодува ниже указанной сложности изготовления стекла хорошего качества, но достаточный для стекла стандартного качества, персонаж может закончить работу до конца, получив в результате стекла более низкого качества, чем он изначально рассчитывал.</t>
      </text>
    </comment>
    <comment authorId="0" ref="E54">
      <text>
        <t xml:space="preserve">Если бросок на Стеклодува ниже указанной сложности изготовления продукта хорошего качества, но достаточный для фиала стандартного качества, персонаж может закончить работу до конца, получив в результате продукт более низкого качества, чем он изначально рассчитывал.</t>
      </text>
    </comment>
    <comment authorId="0" ref="C57">
      <text>
        <t xml:space="preserve">Прозрачное и пригодное для создания хрусталя и оптических изделий</t>
      </text>
    </comment>
    <comment authorId="0" ref="E61">
      <text>
        <t xml:space="preserve">Рыночная цена в серебряных монетах. Цена быстрой продажи может быть вдвое ниже.</t>
      </text>
    </comment>
    <comment authorId="0" ref="E63">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B64">
      <text>
        <t xml:space="preserve">Рыночная цена в серебряных монетах. Цена быстрой продажи может быть вдвое ниже.</t>
      </text>
    </comment>
    <comment authorId="0" ref="B66">
      <text>
        <t xml:space="preserve">Изготовления стекла требует высокой температуры. В зависимости от выбранного топлива, Стеклодув может добиться необходимой температуры для создания стеклянных изделий. 
В случае, если стекло только выплавили из кварца, Стеклодув может сразу изготовить изделие, пока стекло еще горячее. Это позволит сэкономить на топливе. В этом случае себестоимость изделия ниже. </t>
      </text>
    </comment>
    <comment authorId="0" ref="E69">
      <text>
        <t xml:space="preserve">Для изготовления изделия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изделие, чтобы вернуть использованные материалы. В случае критического успеха (20 на кубике), изделие получается хорошего качества, а не стандартного.</t>
      </text>
    </comment>
    <comment authorId="0" ref="B72">
      <text>
        <t xml:space="preserve">Для изготовления свинцового стекла нужно сделать успешный бросок на Стеклодува. Результат броска должен быть равен или выше сложности, указанной справа. В случае провала броска на Стеклодува, персонаж тратит 20% времени на
изготовление и ему придется измельчить неудавшееся стекло, чтобы вернуть использованные материалы. В случае критического успеха (20 на кубике), стекло получается хорошего качества, а не стандартного.</t>
      </text>
    </comment>
    <comment authorId="0" ref="B78">
      <text>
        <t xml:space="preserve">Если бросок на Стеклодува ниже указанной сложности изготовления стекла хорошего качества, но достаточный для стекла стандартного качества, персонаж может закончить работу до конца, получив в результате стекло более низкого качества, чем он изначально рассчитывал.</t>
      </text>
    </comment>
    <comment authorId="0" ref="E78">
      <text>
        <t xml:space="preserve">Если бросок на Стеклодува ниже указанной сложности изготовления продукта хорошего качества, но достаточный для фиала стандартного качества, персонаж может закончить работу до конца, получив в результате продукт более низкого качества, чем он изначально рассчитывал.</t>
      </text>
    </comment>
  </commentLi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9">
      <text>
        <t xml:space="preserve">Печь или Горн необходим Гончарам, Кузнецам и Стеклодувам для обжига и плавки. Также очень полезна для Поваров в целях приготовления еды.</t>
      </text>
    </comment>
    <comment authorId="0" ref="B21">
      <text>
        <t xml:space="preserve">Рыночная цена в серебряных монетах. Цена быстрой продажи может быть вдвое ниже.</t>
      </text>
    </comment>
    <comment authorId="0" ref="B28">
      <text>
        <t xml:space="preserve">Для строительства печи нужно сделать успешный бросок на Строителя. Результат броска должен быть равен или выше сложности, указанной справа. В случае провала броска на Строителя, персонаж тратит 20% времени на
изготовление и ему придется разобрать неудавшуюся конструкцию, чтобы вернуть использованные материалы. В случае критического успеха (20 на кубике), печь получается хорошего качества, а не стандартного.</t>
      </text>
    </comment>
    <comment authorId="0" ref="B35">
      <text>
        <t xml:space="preserve">Если бросок на Строителя ниже указанной сложности строительства печи хорошего качества, но достаточный для печи стандартного качества, персонаж может закончить работу до конца, получив в результате печь более низкого качества, чем он изначально рассчитывал.</t>
      </text>
    </comment>
    <comment authorId="0" ref="B71">
      <text>
        <t xml:space="preserve">Площадь: 40 м2</t>
      </text>
    </comment>
  </commentList>
</comments>
</file>

<file path=xl/comments1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
      <text>
        <t xml:space="preserve">Означает заклинание с характеристиками первой ступени по всем показателям ( Х / _ / _ ). Справа указана цена такого зачарования в серебрянных монетах. Стоимость зачарованного предмета равна сумме цены зачарования и самого предмета. Зачарованию подлежват только предметы хорошего качества и выше.</t>
      </text>
    </comment>
    <comment authorId="0" ref="R12">
      <text>
        <t xml:space="preserve">Оружие первой категории (например кинжал) с 22% вероятностью активирует заклинание первой категории. 
Одежда или доспехи зачарованные заклинанием первой категории активируют эффект заклинания при попадании по ним оружием или заклинанием первой категории с вероятностью 22%</t>
      </text>
    </comment>
    <comment authorId="0" ref="V14">
      <text>
        <t xml:space="preserve">Оружие пятой категории (например двуручный меч) с вероятностью 62% активирует заклинание третей категории. 
Одежда или доспехи зачарованные заклинанием третей категории активируют эффект заклинания при попадании по ним оружием или заклинанием пятой категории с вероятностью 62%</t>
      </text>
    </comment>
    <comment authorId="0" ref="B18">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заклинание оказывается мощнее на одну ступень.</t>
      </text>
    </comment>
    <comment authorId="0" ref="B20">
      <text>
        <t xml:space="preserve">Означает заклинание с характеристиками второй ступени по всем показателям ( _ / Х / _ ). Справа указана цена такого зачарования в серебрянных монетах. Стоимость зачарованного предмета равна сумме цены зачарования и самого предмета.</t>
      </text>
    </comment>
    <comment authorId="0" ref="B25">
      <text>
        <t xml:space="preserve">Если бросок на Чародея ниже указанной сложности второй мощность заклинания, но достаточный для первой мощности, персонаж может закончить работу до конца, получив в результате более слабое зачарование, чем он изначально рассчитывал.</t>
      </text>
    </comment>
    <comment authorId="0" ref="B27">
      <text>
        <t xml:space="preserve">Означает заклинание с характеристиками третей ступени по всем показателям ( _ / _ / Х ). Справа указана цена такого зачарования в серебрянных монетах. Стоимость зачарованного предмета равна сумме цены зачарования и самого предмета.</t>
      </text>
    </comment>
    <comment authorId="0" ref="B32">
      <text>
        <t xml:space="preserve">Если бросок на Чародея ниже указанной сложности третей мощности заклинания, но достаточный для первой/второй мощности, персонаж может закончить работу до конца, получив в результате более слабое зачарование, чем он изначально рассчитывал.</t>
      </text>
    </comment>
    <comment authorId="0" ref="B35">
      <text>
        <t xml:space="preserve">Роба должна быть хорошего качества или выше. Робу стандартного качества нельзя зачаровать.</t>
      </text>
    </comment>
    <comment authorId="0" ref="B36">
      <text>
        <t xml:space="preserve">Помимо зачарования робы заклинанием, можно зачаровать её на дополнительную физическую и магическую броню, как указано в этой таблице.</t>
      </text>
    </comment>
    <comment authorId="0" ref="B37">
      <text>
        <t xml:space="preserve">Рыночная цена в серебряных монетах. Цена быстрой продажи может быть вдвое ниже.</t>
      </text>
    </comment>
    <comment authorId="0" ref="B39">
      <text>
        <t xml:space="preserve">Рыночная цена в серебряных монетах. Цена быстрой продажи будет вдвое ниже.
Персонаж сам может сшить робу хорошего качества, если обладает профессией Ткач на достаточном уровне. Подробности в закладке "Ожежда, доспехи и щиты".</t>
      </text>
    </comment>
    <comment authorId="0" ref="B44">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роба оказывается качественнее на одну ступень.</t>
      </text>
    </comment>
    <comment authorId="0" ref="B46">
      <text>
        <t xml:space="preserve">Рыночная цена в серебряных монетах. Цена быстрой продажи может быть вдвое ниже.</t>
      </text>
    </comment>
    <comment authorId="0" ref="B52">
      <text>
        <t xml:space="preserve">Если бросок на Чародея ниже указанной сложности для зачарования робы отличного качества, но достаточный для эффекта зачарования робы хорошего качества, персонаж может закончить работу до конца, получив в результате более слабое зачарование, чем он изначально рассчитывал.</t>
      </text>
    </comment>
    <comment authorId="0" ref="B54">
      <text>
        <t xml:space="preserve">Рыночная цена в серебряных монетах. Цена быстрой продажи может быть вдвое ниже.</t>
      </text>
    </comment>
    <comment authorId="0" ref="B60">
      <text>
        <t xml:space="preserve">Если бросок на Чародея ниже указанной сложности для зачарования робы превосходного качества, но достаточный для эффекта зачарования робы хорошего/отличного качества, персонаж может закончить работу до конца, получив в результате более слабое зачарование, чем он изначально рассчитывал.</t>
      </text>
    </comment>
    <comment authorId="0" ref="B63">
      <text>
        <t xml:space="preserve">Кольцо должно быть хорошего качества или выше. Кольцо стандартного качества нельзя зачаровать. Персонаж не может носить больше двух колец одновременно.</t>
      </text>
    </comment>
    <comment authorId="0" ref="W63">
      <text>
        <t xml:space="preserve">Кольцо должно быть хорошего качества или выше. Кольцо стандартного качества нельзя зачаровать. Персонаж не может носить больше двух колец одновременно.</t>
      </text>
    </comment>
    <comment authorId="0" ref="B64">
      <text>
        <t xml:space="preserve">Кольца нельзя зачаровать заклинанием, но можно зачаровать её на прибавку к здоровью, мане и выбранным атрибутам (в этой таблице) или зачаровать на защиту (таблица справа).</t>
      </text>
    </comment>
    <comment authorId="0" ref="B65">
      <text>
        <t xml:space="preserve">Рыночная цена в серебряных монетах. Цена быстрой продажи может быть вдвое ниже.</t>
      </text>
    </comment>
    <comment authorId="0" ref="C66">
      <text>
        <t xml:space="preserve">Кольцо добавляет +10 ОЗ к максимамальному запасу (не текущему) или к +10 к максимальному запасу маны, на выбор Чародея</t>
      </text>
    </comment>
    <comment authorId="0" ref="D66">
      <text>
        <t xml:space="preserve">Кольцо добавляет +1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66">
      <text>
        <t xml:space="preserve">Кольцо добавляет +2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66">
      <text>
        <t xml:space="preserve">Кольцо добавляет +3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X66">
      <text>
        <t xml:space="preserve">+1 к физической броне во всех частях тела. Бонус складывается с бонусом от доспехов и заклинаний</t>
      </text>
    </comment>
    <comment authorId="0" ref="B67">
      <text>
        <t xml:space="preserve">Рыночная цена в серебряных монетах. Цена быстрой продажи может быть вдвое ниже.
Персонаж сам может изготовить кольцо хорошего качества, если обладает профессией Ювелир на достаточном уровне. Подробности в закладке "Ювелирные изделия".</t>
      </text>
    </comment>
    <comment authorId="0" ref="B72">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кольцо оказывается качественнее на одну ступень.</t>
      </text>
    </comment>
    <comment authorId="0" ref="W72">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кольцо оказывается качественнее на одну ступень.</t>
      </text>
    </comment>
    <comment authorId="0" ref="B74">
      <text>
        <t xml:space="preserve">Рыночная цена в серебряных монетах. Цена быстрой продажи может быть вдвое ниже.</t>
      </text>
    </comment>
    <comment authorId="0" ref="W74">
      <text>
        <t xml:space="preserve">Рыночная цена в серебряных монетах. Цена быстрой продажи будет вдвое ниже.</t>
      </text>
    </comment>
    <comment authorId="0" ref="D75">
      <text>
        <t xml:space="preserve">Кольцо добавляет +1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75">
      <text>
        <t xml:space="preserve">Кольцо добавляет +2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75">
      <text>
        <t xml:space="preserve">Кольцо добавляет +3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X75">
      <text>
        <t xml:space="preserve">+1 к физической и магической броне во всех частях тела. Бонус складывается с бонусом от доспехов и заклинаний</t>
      </text>
    </comment>
    <comment authorId="0" ref="B80">
      <text>
        <t xml:space="preserve">Если бросок на Чародея ниже указанной сложности для зачарования кольца отличного качества, но достаточный для эффекта зачарования кольца хорошего качества, персонаж может закончить работу до конца, получив в результате более слабое зачарование, чем он изначально рассчитывал.</t>
      </text>
    </comment>
    <comment authorId="0" ref="W80">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t>
      </text>
    </comment>
    <comment authorId="0" ref="B82">
      <text>
        <t xml:space="preserve">Рыночная цена в серебряных монетах. Цена быстрой продажи может быть вдвое ниже.</t>
      </text>
    </comment>
    <comment authorId="0" ref="W82">
      <text>
        <t xml:space="preserve">Рыночная цена в серебряных монетах. Цена быстрой продажи будет вдвое ниже.</t>
      </text>
    </comment>
    <comment authorId="0" ref="D83">
      <text>
        <t xml:space="preserve">Кольцо добавляет +1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83">
      <text>
        <t xml:space="preserve">Кольцо добавляет +2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83">
      <text>
        <t xml:space="preserve">Кольцо добавляет +3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X83">
      <text>
        <t xml:space="preserve">+1 к физической и магической броне во всех частях тела, +1 очко на всех спас бросках против заклинаний, а также +1 к сопротивлению. Бонус складывается с бонусом от доспехов и заклинаний.</t>
      </text>
    </comment>
    <comment authorId="0" ref="B88">
      <text>
        <t xml:space="preserve">Если бросок на Чародея ниже указанной сложности для зачарования кольца превосходного качества, но достаточный для эффекта зачарования кольца хорошего/отличного качества, персонаж может закончить работу до конца, получив в результате более слабое зачарование, чем он изначально рассчитывал.</t>
      </text>
    </comment>
    <comment authorId="0" ref="W88">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t>
      </text>
    </comment>
    <comment authorId="0" ref="B91">
      <text>
        <t xml:space="preserve">Амулет или талисман должен быть хорошего качества или выше. Амулет или талисман стандартного качества нельзя зачаровать. Персонаж не может носить больше одного амулета или талисмана.</t>
      </text>
    </comment>
    <comment authorId="0" ref="B92">
      <text>
        <t xml:space="preserve">Амулеты и талисманы нельзя зачаровать заклинанием, но можно зачаровать на прибавку к здоровью, мане и выбранным атрибутам (в этой таблице).</t>
      </text>
    </comment>
    <comment authorId="0" ref="B93">
      <text>
        <t xml:space="preserve">Рыночная цена в серебряных монетах. Цена быстрой продажи может быть вдвое ниже.</t>
      </text>
    </comment>
    <comment authorId="0" ref="C94">
      <text>
        <t xml:space="preserve">Амулет добавляет +10 ОЗ к максимамальному запасу (не текущему) или к +10 к максимальному запасу маны, на выбор Чародея</t>
      </text>
    </comment>
    <comment authorId="0" ref="D94">
      <text>
        <t xml:space="preserve">Амулет добавляет +1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94">
      <text>
        <t xml:space="preserve">Амулет добавляет +2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94">
      <text>
        <t xml:space="preserve">Амулет добавляет +3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95">
      <text>
        <t xml:space="preserve">Рыночная цена в серебряных монетах. Цена быстрой продажи может быть вдвое ниже.
Персонаж сам может изготовить амулет хорошего качества, если обладает профессией Ювелир на достаточном уровне. Подробности в закладке "Ювелирные изделия".</t>
      </text>
    </comment>
    <comment authorId="0" ref="B100">
      <text>
        <t xml:space="preserve">Для зачарования предмета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кольцо оказывается качественнее на одну ступень.</t>
      </text>
    </comment>
    <comment authorId="0" ref="B102">
      <text>
        <t xml:space="preserve">Рыночная цена в серебряных монетах. Цена быстрой продажи может быть вдвое ниже.</t>
      </text>
    </comment>
    <comment authorId="0" ref="D103">
      <text>
        <t xml:space="preserve">Амулет добавляет +1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103">
      <text>
        <t xml:space="preserve">Амулет добавляет +2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103">
      <text>
        <t xml:space="preserve">Амулет добавляет +3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108">
      <text>
        <t xml:space="preserve">Если бросок на Чародея ниже указанной сложности для зачарования амулета отличного качества, но достаточный для эффекта зачарования амулета хорошего качества, персонаж может закончить работу до конца, получив в результате более слабое зачарование, чем он изначально рассчитывал.</t>
      </text>
    </comment>
    <comment authorId="0" ref="D111">
      <text>
        <t xml:space="preserve">Амулет добавляет +1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111">
      <text>
        <t xml:space="preserve">Амулет добавляет +2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111">
      <text>
        <t xml:space="preserve">Амулет добавляет +3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116">
      <text>
        <t xml:space="preserve">Если бросок на Чародея ниже указанной сложности для зачарования амулета превосходного качества, но достаточный для эффекта зачарования амулета хорошего/отличного качества, персонаж может закончить работу до конца, получив в результате более слабое зачарование, чем он изначально рассчитывал.</t>
      </text>
    </comment>
    <comment authorId="0" ref="B119">
      <text>
        <t xml:space="preserve">Серьги должны быть хорошего качества или выше. Серьги стандартного качества нельзя зачаровать. Персонаж не может носить больше одной пары серёг.</t>
      </text>
    </comment>
    <comment authorId="0" ref="B120">
      <text>
        <t xml:space="preserve">Серьги нельзя зачаровать заклинанием, но можно зачаровать на прибавку к здоровью, мане и выбранным атрибутам (в этой таблице).</t>
      </text>
    </comment>
    <comment authorId="0" ref="B121">
      <text>
        <t xml:space="preserve">Рыночная цена в серебряных монетах. Цена быстрой продажи будет вдвое ниже.</t>
      </text>
    </comment>
    <comment authorId="0" ref="C122">
      <text>
        <t xml:space="preserve">Серьги добавляют +10 ОЗ к максимамальному запасу (не текущему) или к +10 к максимальному запасу маны, на выбор Чародея</t>
      </text>
    </comment>
    <comment authorId="0" ref="D122">
      <text>
        <t xml:space="preserve">Серьги добавляют +1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122">
      <text>
        <t xml:space="preserve">Серьги добавляют +2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122">
      <text>
        <t xml:space="preserve">Серьги добавляют +3 к любому основному физическому или ментальному атрибуту,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123">
      <text>
        <t xml:space="preserve">Рыночная цена в серебряных монетах. Цена быстрой продажи может быть вдвое ниже.
Персонаж сам может изготовить серьги хорошего качества, если обладает профессией Ювелир на достаточном уровне. Подробности в закладке "Ювелирные изделия".</t>
      </text>
    </comment>
    <comment authorId="0" ref="B128">
      <text>
        <t xml:space="preserve">Для зачарования серёг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серьги оказываются качественнее на одну ступень.</t>
      </text>
    </comment>
    <comment authorId="0" ref="D131">
      <text>
        <t xml:space="preserve">Серьги добавляют +1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131">
      <text>
        <t xml:space="preserve">Серьги добавляют +2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131">
      <text>
        <t xml:space="preserve">Серьги добавляют +3 к двум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136">
      <text>
        <t xml:space="preserve">Если бросок на Чародея ниже указанной сложности для зачарования серёг отличного качества, но достаточный для эффекта зачарования серёг хорошего качества, персонаж может закончить работу до конца, получив в результате более слабое зачарование, чем он изначально рассчитывал.</t>
      </text>
    </comment>
    <comment authorId="0" ref="D139">
      <text>
        <t xml:space="preserve">Серьги добавляют +1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E139">
      <text>
        <t xml:space="preserve">Серьги добавляют +2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F139">
      <text>
        <t xml:space="preserve">Серьги добавляют +3 к трём разным атрибутам, по выбору Чародея.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B144">
      <text>
        <t xml:space="preserve">Если бросок на Чародея ниже указанной сложности для зачарования серёг превосходного качества, но достаточный для эффекта зачарования серёг хорошего/отличного качества, персонаж может закончить работу до конца, получив в результате более слабое зачарование, чем он изначально рассчитывал.</t>
      </text>
    </comment>
    <comment authorId="0" ref="B147">
      <text>
        <t xml:space="preserve">Тарелка должна быть хорошего качества. Тарелку стандартного качества нельзя зачаровать. Персонаж не может использовать для ритуала больше одной тарелки в сутки. </t>
      </text>
    </comment>
    <comment authorId="0" ref="B149">
      <text>
        <t xml:space="preserve">Рыночная цена в серебряных монетах. Цена быстрой продажи будет вдвое ниже.</t>
      </text>
    </comment>
    <comment authorId="0" ref="C150">
      <text>
        <t xml:space="preserve">Тарелка позволяет делать ритуал, который восстанавливает 50% от дневной регенерации маны персонажа. Ритуал длится 1 час. В течение ритуала персонаж должен сконцентрироваться на тарелке, его не должно ничего отвлекать.</t>
      </text>
    </comment>
    <comment authorId="0" ref="B151">
      <text>
        <t xml:space="preserve">Рыночная цена в серебряных монетах. Цена быстрой продажи может быть вдвое ниже.
Персонаж сам может изготовить тарелку хорошего качества, если обладает профессией Гончар на достаточном уровне. Подробности в закладке "Керамика".</t>
      </text>
    </comment>
    <comment authorId="0" ref="B156">
      <text>
        <t xml:space="preserve">Для зачарования тарелки нужно сделать успешный бросок на Чародея. Результат броска должен быть равен или выше сложности, указанной справа. В случае провала
броска на Чародея, персонаж тратит 20% времени на
зачарование и 100% необходимой маны. В случае критического успеха (20 на кубике), эффективность тарелки вырастает в полтора раза.</t>
      </text>
    </comment>
    <comment authorId="0" ref="B159">
      <text>
        <t xml:space="preserve">Для создания магических свитков персонаж должен владеть приемом "Начертание". Любой может использовать магические свитки для сотворения магии (даже если он не владеет магическими способностями). Прочтение заклинания со свитка требует столько же времени, сколько и сотворения заклинания без него. Высокая Быстрота может ускорить прочтения свитка так же, как и сотворение заклинания.</t>
      </text>
    </comment>
    <comment authorId="0" ref="B162">
      <text>
        <t xml:space="preserve">Параметры магических свитков зависят от ряда факторов:
- категория заклинания
- затраты по мане
- уровень заклинания
- мощность заклинания</t>
      </text>
    </comment>
    <comment authorId="0" ref="B165">
      <text>
        <t xml:space="preserve">Означает заклинание с характеристиками первой ступени по всем показателям ( Х / _ / _ )
Справа указана цена свитка с таким зачарованием в серебрянных монетах. </t>
      </text>
    </comment>
    <comment authorId="0" ref="B166">
      <text>
        <t xml:space="preserve">Рыночная цена в серебряных монетах. Цена быстрой продажи будет вдвое ниже.
Персонаж сам может подготовить нужный свиток, если обладает профессией Писарь на достаточном уровне. Подробности в закладке "Свиткаи и книги".</t>
      </text>
    </comment>
    <comment authorId="0" ref="B172">
      <text>
        <t xml:space="preserve">Для зачарования начертанного свитка нужно сделать бросок на Чародея и Писаря. Далее нужно сложить результаты бросков. Для успеха сумма бросков должна быть равна или выше сложности, указанной справа. 
В случае провала бросков, персонаж тратит 20% времени на зачарование и теряет 100% маны, необходимой для создания магического свитка. 
В случае критического успеха (20 на одном кубике и выше 10 на втором), мощность заклинания в свитке оказывается выше на одну ступень.</t>
      </text>
    </comment>
    <comment authorId="0" ref="B175">
      <text>
        <t xml:space="preserve">Означает заклинание с характеристиками второй ступени по всем показателям ( _ / Х / _ )
Справа указана цена свитка с таким зачарованием в серебрянных монетах. </t>
      </text>
    </comment>
    <comment authorId="0" ref="B181">
      <text>
        <t xml:space="preserve">Если сумма бросков на Чародея и Писаря ниже указанной сложности для зачарования свитка с заклинанием 2-й мощности, но достаточная для зачарования на заклинание 1-й мощности, персонаж может закончить работу до конца, получив в результате более слабое зачарование, чем он изначально рассчитывал.</t>
      </text>
    </comment>
    <comment authorId="0" ref="B184">
      <text>
        <t xml:space="preserve">Означает заклинание с характеристиками третей ступени по всем показателям ( _ / _ / Х )
Справа указана цена свитка с таким зачарованием в серебрянных монетах. </t>
      </text>
    </comment>
    <comment authorId="0" ref="B190">
      <text>
        <t xml:space="preserve">Если сумма бросков на Чародея и Писаря ниже указанной сложности для зачарования свитка с заклинанием 3-й мощности, но достаточная для зачарования на заклинание 1-й или 2-й мощности, персонаж может закончить работу до конца, получив в результате более слабое зачарование, чем он изначально рассчитывал.</t>
      </text>
    </comment>
  </commentList>
</comments>
</file>

<file path=xl/comments16.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Кольца хорошего качества и выше впоследствии могут быть зачарованы Чародеем, давая полезные бонусы своему обладателю.</t>
      </text>
    </comment>
    <comment authorId="0" ref="C9">
      <text>
        <t xml:space="preserve">Рыночная цена в серебряных монетах. Цена быстрой продажи может быть вдвое ниже.</t>
      </text>
    </comment>
    <comment authorId="0" ref="C10">
      <text>
        <t xml:space="preserve">Рыночная цена в серебряных монетах.
Кузнецы и Рудокопы могут выплавлять металл из руды. Рудокопы могут добыть нужную руду.</t>
      </text>
    </comment>
    <comment authorId="0" ref="C13">
      <text>
        <t xml:space="preserve">Изготовление металлических ювелирных изделий требует высокой температуры. В зависимости от выбранного топлива, Ювелир может добиться необходимой температуры для разогрева металла до поддатливого состояния. 
В случае, если метал только выплавили из руды, Ювелир может сразу делать ювелирное изделие, пока материал еще горячий. Это позволит сэкономить на топливе. В этом случае себестоимость изделия ниже. 
</t>
      </text>
    </comment>
    <comment authorId="0" ref="C20">
      <text>
        <t xml:space="preserve">Для изготовления кольца нужно сделать успешный бросок на Ювелира. Результат броска должен быть равен или выше сложности, указанной справа. В случае провала броска на Ювелира, персонаж тратит 20% времени на
изготовление и ему придется переплавить неудавшееся изделие, чтобы вернуть использованные материалы. В случае критического успеха (20 на кубике), кольцо получается хорошего качества, а не стандартного.</t>
      </text>
    </comment>
    <comment authorId="0" ref="C27">
      <text>
        <t xml:space="preserve">Если бросок на Ювелира ниже указанной сложности изготовления кольца хорошего качества, но достаточный для кольца стандартного качества, персонаж может закончить работу до конца, получив в результате кольцо более низкого качества, чем он изначально рассчитывал.</t>
      </text>
    </comment>
    <comment authorId="0" ref="C30">
      <text>
        <t xml:space="preserve">Кольца отличного и превосходного качества должны быть инкрустированы драгоценными камнями.</t>
      </text>
    </comment>
    <comment authorId="0" ref="C35">
      <text>
        <t xml:space="preserve">Если бросок на Ювелира ниже указанной сложности изготовления кольца отличного качества, но достаточный для кольца стандартного/хорошего качества, персонаж может закончить работу до конца, получив в результате кольцо более низкого качества, чем он изначально рассчитывал.</t>
      </text>
    </comment>
    <comment authorId="0" ref="C38">
      <text>
        <t xml:space="preserve">Кольца отличного и превосходного качества должны быть инкрустированы драгоценными камнями.</t>
      </text>
    </comment>
    <comment authorId="0" ref="C43">
      <text>
        <t xml:space="preserve">Если бросок на Ювелира ниже указанной сложности изготовления кольца превосходного качества, но достаточный для кольца стандартного/хорошего/отличного качества, персонаж может закончить работу до конца, получив в результате кольцо более низкого качества, чем он изначально рассчитывал.</t>
      </text>
    </comment>
    <comment authorId="0" ref="C46">
      <text>
        <t xml:space="preserve">Амулеты и талисманы хорошего качества и выше впоследствии могут быть зачарованы Чародеем, давая полезные бонусы своему обладателю.</t>
      </text>
    </comment>
    <comment authorId="0" ref="C48">
      <text>
        <t xml:space="preserve">Рыночная цена в серебряных монетах. Цена быстрой продажи может быть вдвое ниже.</t>
      </text>
    </comment>
    <comment authorId="0" ref="C52">
      <text>
        <t xml:space="preserve">Изготовление металлических ювелирных изделий требует высокой температуры. В зависимости от выбранного топлива, Ювелир может добиться необходимой температуры для разогрева металла до поддатливого состояния. 
В случае, если метал только выплавили из руды, Ювелир может сразу делать ювелирное изделие, пока материал еще горячий. Это позволит сэкономить на топливе. В этом случае себестоимость изделия ниже. 
</t>
      </text>
    </comment>
    <comment authorId="0" ref="C59">
      <text>
        <t xml:space="preserve">Для изготовления амулета нужно сделать успешный бросок на Ювелира. Результат броска должен быть равен или выше сложности, указанной справа. В случае провала броска на Ювелира, персонаж тратит 20% времени на
изготовление и ему придется переплавить неудавшееся изделие, чтобы вернуть использованные материалы. В случае критического успеха (20 на кубике), амулет получается хорошего качества, а не стандартного.</t>
      </text>
    </comment>
    <comment authorId="0" ref="C66">
      <text>
        <t xml:space="preserve">Если бросок на Ювелира ниже указанной сложности изготовления амулета хорошего качества, но достаточный для кольца стандартного качества, персонаж может закончить работу до конца, получив в результате амулет более низкого качества, чем он изначально рассчитывал.</t>
      </text>
    </comment>
    <comment authorId="0" ref="C69">
      <text>
        <t xml:space="preserve">Амулеты и талисманы отличного и превосходного качества должны быть инкрустированы драгоценными камнями.</t>
      </text>
    </comment>
    <comment authorId="0" ref="C74">
      <text>
        <t xml:space="preserve">Если бросок на Ювелира ниже указанной сложности изготовления амулета отличного качества, но достаточный для амулета стандартного/хорошего качества, персонаж может закончить работу до конца, получив в результате амулет более низкого качества, чем он изначально рассчитывал.</t>
      </text>
    </comment>
    <comment authorId="0" ref="C77">
      <text>
        <t xml:space="preserve">Амулеты и талисманы отличного и превосходного качества должны быть инкрустированы драгоценными камнями.</t>
      </text>
    </comment>
    <comment authorId="0" ref="C82">
      <text>
        <t xml:space="preserve">Если бросок на Ювелира ниже указанной сложности изготовления амулета превосходного качества, но достаточный для амулета стандартного/хорошего/отличного качества, персонаж может закончить работу до конца, получив в результате амулет более низкого качества, чем он изначально рассчитывал.</t>
      </text>
    </comment>
    <comment authorId="0" ref="C85">
      <text>
        <t xml:space="preserve">Серьги хорошего качества и выше впоследствии могут быть зачарованы Чародеем, давая полезные бонусы своему обладателю.</t>
      </text>
    </comment>
    <comment authorId="0" ref="C87">
      <text>
        <t xml:space="preserve">Рыночная цена в серебряных монетах. Цена быстрой продажи может быть вдвое ниже.</t>
      </text>
    </comment>
    <comment authorId="0" ref="C91">
      <text>
        <t xml:space="preserve">Изготовление металлических ювелирных изделий требует высокой температуры. В зависимости от выбранного топлива, Ювелир может добиться необходимой температуры для разогрева металла до поддатливого состояния. 
В случае, если метал только выплавили из руды, Ювелир может сразу делать ювелирное изделие, пока материал еще горячий. Это позволит сэкономить на топливе. В этом случае себестоимость изделия ниже. 
</t>
      </text>
    </comment>
    <comment authorId="0" ref="C98">
      <text>
        <t xml:space="preserve">Для изготовления серёг нужно сделать успешный бросок на Ювелира. Результат броска должен быть равен или выше сложности, указанной справа. В случае провала броска на Ювелира, персонаж тратит 20% времени на изготовление и ему придется переплавить неудавшееся изделие, чтобы вернуть использованные материалы. В случае критического успеха (20 на кубике), серьги получатся хорошего качества, а не стандартного.</t>
      </text>
    </comment>
    <comment authorId="0" ref="C105">
      <text>
        <t xml:space="preserve">Если бросок на Ювелира ниже указанной сложности изготовления серёг хорошего качества, но достаточный для серёг стандартного качества, персонаж может закончить работу до конца, получив в результате серьги более низкого качества, чем он изначально рассчитывал.</t>
      </text>
    </comment>
    <comment authorId="0" ref="C108">
      <text>
        <t xml:space="preserve">Серьги отличного и превосходного качества должны быть инкрустированы драгоценными камнями.</t>
      </text>
    </comment>
    <comment authorId="0" ref="C113">
      <text>
        <t xml:space="preserve">Если бросок на Ювелира ниже указанной сложности изготовления серёг отличного качества, но достаточный для серёг стандартного/хорошего качества, персонаж может закончить работу до конца, получив в результате серьги более низкого качества, чем он изначально рассчитывал.</t>
      </text>
    </comment>
    <comment authorId="0" ref="C116">
      <text>
        <t xml:space="preserve">Серьги отличного и превосходного качества должны быть инкрустированы драгоценными камнями.</t>
      </text>
    </comment>
    <comment authorId="0" ref="C121">
      <text>
        <t xml:space="preserve">Если бросок на Ювелира ниже указанной сложности изготовления серёг превосходного качества, но достаточный для серёг стандартного/хорошего/отличного качества, персонаж может закончить работу до конца, получив в результате серьги более низкого качества, чем он изначально рассчитывал.</t>
      </text>
    </comment>
  </commentList>
</comments>
</file>

<file path=xl/comments17.xml><?xml version="1.0" encoding="utf-8"?>
<comments xmlns:r="http://schemas.openxmlformats.org/officeDocument/2006/relationships" xmlns="http://schemas.openxmlformats.org/spreadsheetml/2006/main" xmlns:xr="http://schemas.microsoft.com/office/spreadsheetml/2014/revision">
  <authors>
    <author/>
  </authors>
  <commentList>
    <comment authorId="0" ref="B9">
      <text>
        <t xml:space="preserve">Рыночная цена в серебряных монетах. Цена быстрой продажи может быть вдвое ниже.</t>
      </text>
    </comment>
    <comment authorId="0" ref="J12">
      <text>
        <t xml:space="preserve">Выше шанс срабатывания зачарования</t>
      </text>
    </comment>
    <comment authorId="0" ref="J14">
      <text>
        <t xml:space="preserve">Лучший шанс срабатывания зачарования</t>
      </text>
    </comment>
    <comment authorId="0" ref="J21">
      <text>
        <t xml:space="preserve">Выше шанс срабатывания зачарования</t>
      </text>
    </comment>
    <comment authorId="0" ref="J23">
      <text>
        <t xml:space="preserve">Лучший шанс срабатывания зачарования</t>
      </text>
    </comment>
    <comment authorId="0" ref="J30">
      <text>
        <t xml:space="preserve">Выше шанс срабатывания зачарования</t>
      </text>
    </comment>
    <comment authorId="0" ref="J32">
      <text>
        <t xml:space="preserve">Лучший шанс срабатывания зачарования</t>
      </text>
    </comment>
    <comment authorId="0" ref="B39">
      <text>
        <t xml:space="preserve">Рыночная цена в серебряных монетах. Цена быстрой продажи может быть вдвое ниже.</t>
      </text>
    </comment>
    <comment authorId="0" ref="Q39">
      <text>
        <t xml:space="preserve">пример</t>
      </text>
    </comment>
    <comment authorId="0" ref="J42">
      <text>
        <t xml:space="preserve">Выше шанс срабатывания зачарования</t>
      </text>
    </comment>
    <comment authorId="0" ref="J44">
      <text>
        <t xml:space="preserve">Лучший шанс срабатывания зачарования</t>
      </text>
    </comment>
    <comment authorId="0" ref="N48">
      <text>
        <t xml:space="preserve">МСБ - Максимальная скорость бега
СД - Скорость действий</t>
      </text>
    </comment>
    <comment authorId="0" ref="J52">
      <text>
        <t xml:space="preserve">Выше шанс срабатывания зачарования</t>
      </text>
    </comment>
    <comment authorId="0" ref="J54">
      <text>
        <t xml:space="preserve">Лучший шанс срабатывания зачарования</t>
      </text>
    </comment>
    <comment authorId="0" ref="J62">
      <text>
        <t xml:space="preserve">Выше шанс срабатывания зачарования</t>
      </text>
    </comment>
    <comment authorId="0" ref="J64">
      <text>
        <t xml:space="preserve">Лучший шанс срабатывания зачарования</t>
      </text>
    </comment>
    <comment authorId="0" ref="O70">
      <text>
        <t xml:space="preserve">Штраф к точности при ударе оружием, которое персонаж держит в основной руке, в то время как он блокирует удары щитом, который держит во второй руке. Навык щитов 0/1/2/3 соответственно дает штраф -3/-2/-1/0.</t>
      </text>
    </comment>
    <comment authorId="0" ref="B71">
      <text>
        <t xml:space="preserve">Рыночная цена в серебряных монетах. Цена быстрой продажи может быть вдвое ниже.</t>
      </text>
    </comment>
    <comment authorId="0" ref="K74">
      <text>
        <t xml:space="preserve">Выше шанс срабатывания</t>
      </text>
    </comment>
    <comment authorId="0" ref="K76">
      <text>
        <t xml:space="preserve">Лучший шанс срабатывания</t>
      </text>
    </comment>
    <comment authorId="0" ref="K83">
      <text>
        <t xml:space="preserve">Выше шанс срабатывания</t>
      </text>
    </comment>
    <comment authorId="0" ref="K85">
      <text>
        <t xml:space="preserve">Лучший шанс срабатывания</t>
      </text>
    </comment>
    <comment authorId="0" ref="K92">
      <text>
        <t xml:space="preserve">Выше шанс срабатывания</t>
      </text>
    </comment>
    <comment authorId="0" ref="K94">
      <text>
        <t xml:space="preserve">Лучший шанс срабатывания</t>
      </text>
    </comment>
    <comment authorId="0" ref="O100">
      <text>
        <t xml:space="preserve">Штраф к точности при ударе оружием, удерживаемым в основной руке, при этом блокируя щитом второй рукой. Навык щитов 0/1/2/3 соответственно дает штраф -3/-2/-1/0.</t>
      </text>
    </comment>
    <comment authorId="0" ref="B101">
      <text>
        <t xml:space="preserve">Рыночная цена в серебряных монетах. Цена быстрой продажи может быть вдвое ниже.</t>
      </text>
    </comment>
    <comment authorId="0" ref="K104">
      <text>
        <t xml:space="preserve">Выше шанс срабатывания заклинания.</t>
      </text>
    </comment>
    <comment authorId="0" ref="K106">
      <text>
        <t xml:space="preserve">Лучший возможный шанс срабатывания заклинания.</t>
      </text>
    </comment>
    <comment authorId="0" ref="K114">
      <text>
        <t xml:space="preserve">Выше шанс срабатывания заклинания.</t>
      </text>
    </comment>
    <comment authorId="0" ref="K116">
      <text>
        <t xml:space="preserve">Лучший возможный шанс срабатывания заклинания.</t>
      </text>
    </comment>
    <comment authorId="0" ref="K124">
      <text>
        <t xml:space="preserve">Выше шанс срабатывания заклинания.</t>
      </text>
    </comment>
    <comment authorId="0" ref="K126">
      <text>
        <t xml:space="preserve">Лучший возможный шанс срабатывания заклинания.</t>
      </text>
    </comment>
  </commentList>
</comments>
</file>

<file path=xl/comments18.xml><?xml version="1.0" encoding="utf-8"?>
<comments xmlns:r="http://schemas.openxmlformats.org/officeDocument/2006/relationships" xmlns="http://schemas.openxmlformats.org/spreadsheetml/2006/main" xmlns:xr="http://schemas.microsoft.com/office/spreadsheetml/2014/revision">
  <authors>
    <author/>
  </authors>
  <commentList>
    <comment authorId="0" ref="E9">
      <text>
        <t xml:space="preserve">Уровень изделия равен уровню профессии, которая необходима для его изготовления.</t>
      </text>
    </comment>
    <comment authorId="0" ref="G23">
      <text>
        <t xml:space="preserve">Подходит только для создания оружия</t>
      </text>
    </comment>
    <comment authorId="0" ref="E66">
      <text>
        <t xml:space="preserve">включает стаместку</t>
      </text>
    </comment>
    <comment authorId="0" ref="F105">
      <text>
        <t xml:space="preserve">Чернила, пергамент и перо, без пергамента</t>
      </text>
    </comment>
  </commentList>
</comments>
</file>

<file path=xl/comments19.xml><?xml version="1.0" encoding="utf-8"?>
<comments xmlns:r="http://schemas.openxmlformats.org/officeDocument/2006/relationships" xmlns="http://schemas.openxmlformats.org/spreadsheetml/2006/main" xmlns:xr="http://schemas.microsoft.com/office/spreadsheetml/2014/revision">
  <authors>
    <author/>
  </authors>
  <commentList>
    <comment authorId="0" ref="I6">
      <text>
        <t xml:space="preserve">Тарелка позволяет делать ритуал, который восстанавливает 50% от дневной регенерации маны персонажа. Ритуал длится один час. В течение ритуала персонаж должен сконцентрироваться на тарелке, его не должно ничего отвлекать.</t>
      </text>
    </comment>
    <comment authorId="0" ref="D7">
      <text>
        <t xml:space="preserve">Факел горит 1 час и освещает пространство в 10 метрах вокруг</t>
      </text>
    </comment>
    <comment authorId="0" ref="I7">
      <text>
        <t xml:space="preserve">Вдвое эффективней, чем глиняная тарелка</t>
      </text>
    </comment>
    <comment authorId="0" ref="I8">
      <text>
        <t xml:space="preserve">Позволяет использовать магические предметы (например скипетры)</t>
      </text>
    </comment>
    <comment authorId="0" ref="I9">
      <text>
        <t xml:space="preserve">Даёт прибавку к профессии или
боевому навыку. Детали описаны в приеме «Магическая татуировка»</t>
      </text>
    </comment>
    <comment authorId="0" ref="I10">
      <text>
        <t xml:space="preserve">Кольцо добавляет +10 ОЗ к максимальному запасу (не текущему).</t>
      </text>
    </comment>
    <comment authorId="0" ref="I11">
      <text>
        <t xml:space="preserve">Кольцо добавляет +20 ОЗ к максимальному запасу (не текущему).</t>
      </text>
    </comment>
    <comment authorId="0" ref="I12">
      <text>
        <t xml:space="preserve">Кольцо добавляет +30 ОЗ к максимальному запасу (не текущему).</t>
      </text>
    </comment>
    <comment authorId="0" ref="I13">
      <text>
        <t xml:space="preserve">Кольцо добавляет +10 маны к максимальному запасу (не текущему).</t>
      </text>
    </comment>
    <comment authorId="0" ref="I14">
      <text>
        <t xml:space="preserve">Кольцо добавляет +20 маны к максимальному запасу (не текущему).</t>
      </text>
    </comment>
    <comment authorId="0" ref="I15">
      <text>
        <t xml:space="preserve">Кольцо добавляет +30 маны к максимальному запасу (не текущему).</t>
      </text>
    </comment>
    <comment authorId="0" ref="I16">
      <text>
        <t xml:space="preserve">Кольцо добавляет +1 к любому основному физическому или ментальному атрибуту, по выбору Чародея, который его зачаровал. Бонус к атрибуту влияет на итоговое значение атрибута, но не учитывается при проверке минимальных требований приемов или заклинаний.
Персонаж может получать бонус не более, чем от двух колец одновременно.</t>
      </text>
    </comment>
    <comment authorId="0" ref="I17">
      <text>
        <t xml:space="preserve">Увеличивает два атрибута
персонажа на 1 очко</t>
      </text>
    </comment>
    <comment authorId="0" ref="I18">
      <text>
        <t xml:space="preserve">Увеличивает три атрибута
персонажа на 1 очко</t>
      </text>
    </comment>
    <comment authorId="0" ref="I19">
      <text>
        <t xml:space="preserve">+1 к физической броне во всех частях тела. Бонус складывается с бонусом от доспехов и заклинаний</t>
      </text>
    </comment>
    <comment authorId="0" ref="I20">
      <text>
        <t xml:space="preserve">+1 к физической и магической броне во всех частях тела. Бонус складывается с бонусом от доспехов и заклинаний</t>
      </text>
    </comment>
    <comment authorId="0" ref="I21">
      <text>
        <t xml:space="preserve">+1 к физической и магической броне во всех частях тела, +1 очко на всех спас бросках против заклинаний, а также +1 к сопротивлению. Бонус складывается с бонусом от доспехов и заклинаний.</t>
      </text>
    </comment>
    <comment authorId="0" ref="D22">
      <text>
        <t xml:space="preserve">В комплект альпиниста входят специальные крючья, наконечники ботинок, перчатки и обвязка. Вы можете использовать комплект альпиниста как действие, чтобы закрепиться; когда вы это сделаете, вы не сможете упасть более чем на 7 метров от точки, в которой вы закрепились, и вы не сможете подняться более чем на 7 метров от этой точки, не отсоединив якорь.</t>
      </text>
    </comment>
    <comment authorId="0" ref="I22">
      <text>
        <t xml:space="preserve">Увеличивает один из атрибутов
персонажа на 1 очко</t>
      </text>
    </comment>
    <comment authorId="0" ref="D23">
      <text>
        <t xml:space="preserve">Свеча горит 1 час и освещает пространство в 3 метрах вокруг</t>
      </text>
    </comment>
    <comment authorId="0" ref="I23">
      <text>
        <t xml:space="preserve">Увеличивает два атрибута
персонажа на 1 очко</t>
      </text>
    </comment>
    <comment authorId="0" ref="D24">
      <text>
        <t xml:space="preserve">Включает всё необходимое для оказания первой помощи (использования профессии Лекарь). Не включает бинти, зелья или лечебные мази.</t>
      </text>
    </comment>
    <comment authorId="0" ref="I24">
      <text>
        <t xml:space="preserve">Увеличивает три атрибута
персонажа на 1 очко</t>
      </text>
    </comment>
    <comment authorId="0" ref="D25">
      <text>
        <t xml:space="preserve">Включает 3 листа пергамента</t>
      </text>
    </comment>
    <comment authorId="0" ref="I25">
      <text>
        <t xml:space="preserve">Серьги добавляют +1 к любому основному физическому или ментальному атрибуту, по выбору Чародея, который их зачаровал. Бонус к атрибуту влияет на итоговое значение атрибута, но не учитывается при проверке минимальных требований приемов или заклинаний.</t>
      </text>
    </comment>
    <comment authorId="0" ref="I28">
      <text>
        <t xml:space="preserve">Означает заклинание с характеристиками первой ступени по всем показателям ( Х / _ / _ )</t>
      </text>
    </comment>
    <comment authorId="0" ref="I29">
      <text>
        <t xml:space="preserve">Означает заклинание с характеристиками второй ступени по всем показателям ( _ / X / _ )</t>
      </text>
    </comment>
    <comment authorId="0" ref="I30">
      <text>
        <t xml:space="preserve">Означает заклинание с характеристиками третей ступени по всем показателям ( _ / _ / X )</t>
      </text>
    </comment>
  </commentList>
</comments>
</file>

<file path=xl/comments20.xml><?xml version="1.0" encoding="utf-8"?>
<comments xmlns:r="http://schemas.openxmlformats.org/officeDocument/2006/relationships" xmlns="http://schemas.openxmlformats.org/spreadsheetml/2006/main" xmlns:xr="http://schemas.microsoft.com/office/spreadsheetml/2014/revision">
  <authors>
    <author/>
  </authors>
  <commentList>
    <comment authorId="0" ref="F2">
      <text>
        <t xml:space="preserve">Каждые 4 очка основного атрибута дают +1 к броску на соответствующую профессию</t>
      </text>
    </comment>
    <comment authorId="0" ref="G2">
      <text>
        <t xml:space="preserve">Каждые 6 очков основного атрибута дают +1 к броску на соответствующую профессию</t>
      </text>
    </comment>
    <comment authorId="0" ref="H2">
      <text>
        <t xml:space="preserve">Штрафы, если у персонажа нет профессии (уровень 0)</t>
      </text>
    </comment>
    <comment authorId="0" ref="I2">
      <text>
        <t xml:space="preserve">Приемы, которые можно взять при наличии соответствующей профессии определенного уровня</t>
      </text>
    </comment>
    <comment authorId="0" ref="L2">
      <text>
        <t xml:space="preserve">Персонаж получает +1 к точности, используя оружие указанное ниже, если соответствующая профессия 2го уровня или выше.</t>
      </text>
    </comment>
    <comment authorId="0" ref="P2">
      <text>
        <t xml:space="preserve">Если указан 0, то по книге нельзя изучить профессию и/или боевой навык</t>
      </text>
    </comment>
    <comment authorId="0" ref="Q2">
      <text>
        <t xml:space="preserve">Учитель должен владеть профессией или боевым навыком, которому он обучает. Минимальный уровень: 3</t>
      </text>
    </comment>
  </commentList>
</comments>
</file>

<file path=xl/comments2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Укажите имя учителя</t>
      </text>
    </comment>
    <comment authorId="0" ref="G12">
      <text>
        <t xml:space="preserve">Когда накопленный прогресс достигнет целевого значения по шкале основного и вторичного атрибута, персонаж получит 1 уровень изучаемой профессии или боевого навыка.</t>
      </text>
    </comment>
    <comment authorId="0" ref="D23">
      <text>
        <t xml:space="preserve">Ниже в колонке нужно указать результаты бросков на основной атрибут. 1d10+X, где X - это текущее значение основного атрибута со всеми действующими бонусами, если такие есть.</t>
      </text>
    </comment>
    <comment authorId="0" ref="E23">
      <text>
        <t xml:space="preserve">Ниже в колонке нужно указать результаты бросков на вторичный атрибут. 1d10+Y, где Y - это текущее значение вторичного атрибута со всеми действующими бонусами, если такие есть.</t>
      </text>
    </comment>
    <comment authorId="0" ref="F23">
      <text>
        <t xml:space="preserve">Выберите, как проходило обучение. С учителем, с учебником или самостоятельно.</t>
      </text>
    </comment>
    <comment authorId="0" ref="G23">
      <text>
        <t xml:space="preserve">Прогресс будет указан ниже автоматически, с учетом учебного метода. Сумма накопленного прогресса отображена на графике сверху.</t>
      </text>
    </comment>
    <comment authorId="0" ref="H23">
      <text>
        <t xml:space="preserve">Прогресс будет указан ниже автоматически, с учетом учебного метода. Сумма накопленного прогресса отображена на графике сверху.</t>
      </text>
    </comment>
  </commentList>
</comments>
</file>

<file path=xl/comments2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7">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 authorId="0" ref="I45">
      <text>
        <t xml:space="preserve">Представленные ниже греческие боги приведены лишь в качестве примера. Вы можете (и должны) разместить здесь собственных богов в соответствии с сеттингом.</t>
      </text>
    </comment>
    <comment authorId="0" ref="B48">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 authorId="0" ref="B195">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 authorId="0" ref="B226">
      <text>
        <t xml:space="preserve">или Бастард. Оружие находится одноверменно в двух категориях - Длинные клинки и Экзотическое оружие. Если у персонажа есть навык владения экзотическим оружием, то он может сражаться таким мечом одной рукой</t>
      </text>
    </comment>
  </commentList>
</comments>
</file>

<file path=xl/sharedStrings.xml><?xml version="1.0" encoding="utf-8"?>
<sst xmlns="http://schemas.openxmlformats.org/spreadsheetml/2006/main" count="9568" uniqueCount="2529">
  <si>
    <t>Изначальные атрибуты</t>
  </si>
  <si>
    <t>Текущие атрибуты</t>
  </si>
  <si>
    <t>Использовано опыта</t>
  </si>
  <si>
    <t>Бонус</t>
  </si>
  <si>
    <t>Итого</t>
  </si>
  <si>
    <t>Игрок</t>
  </si>
  <si>
    <t>&lt; Имя игрока &gt;</t>
  </si>
  <si>
    <t xml:space="preserve"> </t>
  </si>
  <si>
    <t>Версия 1.00</t>
  </si>
  <si>
    <t>Персонаж</t>
  </si>
  <si>
    <t>&lt; Имя персонажа &gt;</t>
  </si>
  <si>
    <t>авто</t>
  </si>
  <si>
    <t>вручную</t>
  </si>
  <si>
    <t>Раса</t>
  </si>
  <si>
    <t>Человек</t>
  </si>
  <si>
    <t>Тип действия</t>
  </si>
  <si>
    <t>Мобильное</t>
  </si>
  <si>
    <t>Приемы</t>
  </si>
  <si>
    <t>Игровое время:</t>
  </si>
  <si>
    <t>&lt; разместите портрет здесь &gt;</t>
  </si>
  <si>
    <t>Пол</t>
  </si>
  <si>
    <t>Мужчина</t>
  </si>
  <si>
    <t>Закреплено?</t>
  </si>
  <si>
    <t>Название исполненного приема</t>
  </si>
  <si>
    <t>Статус</t>
  </si>
  <si>
    <t>Требования</t>
  </si>
  <si>
    <t>Несовместимо с</t>
  </si>
  <si>
    <t>Описание</t>
  </si>
  <si>
    <t>10 апреля</t>
  </si>
  <si>
    <t>Уровень</t>
  </si>
  <si>
    <t>_</t>
  </si>
  <si>
    <t>Пассивный опыт (полученный):</t>
  </si>
  <si>
    <t>Отпрактиковано</t>
  </si>
  <si>
    <t>Профессии (бросок 1d20)</t>
  </si>
  <si>
    <t>Основной атрибут</t>
  </si>
  <si>
    <t>Вторичный</t>
  </si>
  <si>
    <t>Прочее</t>
  </si>
  <si>
    <t>Голова</t>
  </si>
  <si>
    <t>Месторасположение:</t>
  </si>
  <si>
    <t>Активный опыт (непотраченный):</t>
  </si>
  <si>
    <t>Использовано опыта всего:</t>
  </si>
  <si>
    <t>Важные</t>
  </si>
  <si>
    <t>Атрибуты (бросок 1d10)</t>
  </si>
  <si>
    <t>Сокращение</t>
  </si>
  <si>
    <t>Сила</t>
  </si>
  <si>
    <t>СИЛ</t>
  </si>
  <si>
    <t>Максимальный боевой дух</t>
  </si>
  <si>
    <t>Правая рука</t>
  </si>
  <si>
    <t>Левая рука</t>
  </si>
  <si>
    <t>Ловкость</t>
  </si>
  <si>
    <t>ЛОВ</t>
  </si>
  <si>
    <t>Текущий боевой дух</t>
  </si>
  <si>
    <t>Выносливость</t>
  </si>
  <si>
    <t>ВЫН</t>
  </si>
  <si>
    <t>Шанс успеха</t>
  </si>
  <si>
    <t>Гибкость</t>
  </si>
  <si>
    <t>ГИБ</t>
  </si>
  <si>
    <t>Быстрота</t>
  </si>
  <si>
    <t>БЫС</t>
  </si>
  <si>
    <t>Начальная скорость бега (м/с)</t>
  </si>
  <si>
    <t>Креативность</t>
  </si>
  <si>
    <t>КРЕ</t>
  </si>
  <si>
    <t>Максимальная скорость бега (м/с)</t>
  </si>
  <si>
    <t>Сознательность</t>
  </si>
  <si>
    <t>СОЗ</t>
  </si>
  <si>
    <t>Снижение затрат маны (скидка)</t>
  </si>
  <si>
    <t>Интеллект</t>
  </si>
  <si>
    <t>ИНТ</t>
  </si>
  <si>
    <t>Концентрация</t>
  </si>
  <si>
    <t>Вера</t>
  </si>
  <si>
    <t>ВЕР</t>
  </si>
  <si>
    <t>Повышение профессий с новым уровнем</t>
  </si>
  <si>
    <t>Социализация</t>
  </si>
  <si>
    <t>СОЦ</t>
  </si>
  <si>
    <t>Божественное вмешательство</t>
  </si>
  <si>
    <t>Правая нога</t>
  </si>
  <si>
    <t>Левая нога</t>
  </si>
  <si>
    <t>Восприятие</t>
  </si>
  <si>
    <t>ВОС</t>
  </si>
  <si>
    <t>Внешность</t>
  </si>
  <si>
    <t>Сопротивление</t>
  </si>
  <si>
    <t>Деньги</t>
  </si>
  <si>
    <t>Максимальный запас маны, в т. ч.</t>
  </si>
  <si>
    <t>Общий запас здоровья, в т. ч.</t>
  </si>
  <si>
    <t>Золото</t>
  </si>
  <si>
    <t>Серебро</t>
  </si>
  <si>
    <t>Медь</t>
  </si>
  <si>
    <t xml:space="preserve">  Мана от Сознательности</t>
  </si>
  <si>
    <t>Здоровье от Силы</t>
  </si>
  <si>
    <t>Инвентарь</t>
  </si>
  <si>
    <t xml:space="preserve">  Мана от Веры</t>
  </si>
  <si>
    <t>Здоровье от Выносливости</t>
  </si>
  <si>
    <t xml:space="preserve">  Мана от расы и уровня</t>
  </si>
  <si>
    <t>Здоровье от расы и уровня</t>
  </si>
  <si>
    <t>Итого приемов выучено</t>
  </si>
  <si>
    <t xml:space="preserve">  Мана от божества</t>
  </si>
  <si>
    <t>Бонус от божества</t>
  </si>
  <si>
    <t>Потрачено опыта</t>
  </si>
  <si>
    <t xml:space="preserve">  Другие бонусы к мане</t>
  </si>
  <si>
    <t>Другие бонусы к здоровью</t>
  </si>
  <si>
    <t>Текущий запас маны</t>
  </si>
  <si>
    <t>Регенерация здоровья (за отдых)</t>
  </si>
  <si>
    <t>Основные варианты атаки с учетом экипировки и приемов</t>
  </si>
  <si>
    <t>Регенерация маны (за отдых)</t>
  </si>
  <si>
    <t>Описание атаки</t>
  </si>
  <si>
    <t>Скорость атаки</t>
  </si>
  <si>
    <t>Точность</t>
  </si>
  <si>
    <t>Урон</t>
  </si>
  <si>
    <t>Шанс крита</t>
  </si>
  <si>
    <t>Парирование</t>
  </si>
  <si>
    <t>Блок</t>
  </si>
  <si>
    <t>Дальность</t>
  </si>
  <si>
    <t>Дополнительная информация</t>
  </si>
  <si>
    <t>Атака</t>
  </si>
  <si>
    <t>Удар коротким мечом (1 рукой)</t>
  </si>
  <si>
    <t>1d6+2</t>
  </si>
  <si>
    <t>Ближний бой</t>
  </si>
  <si>
    <t>Защита</t>
  </si>
  <si>
    <t>Оружие</t>
  </si>
  <si>
    <t>Обычный удар</t>
  </si>
  <si>
    <t>Удар коротким мечом (2 руками)</t>
  </si>
  <si>
    <t>1d6+3</t>
  </si>
  <si>
    <t>&lt; название надетой одежды / доспехов &gt;</t>
  </si>
  <si>
    <t>Требования к оружию</t>
  </si>
  <si>
    <t>Выстрел из короткого лука</t>
  </si>
  <si>
    <t>16/64</t>
  </si>
  <si>
    <t>Мобильный дальний бой (ст. 2)</t>
  </si>
  <si>
    <t>Тип надетой одежды</t>
  </si>
  <si>
    <t>Простая_одежда</t>
  </si>
  <si>
    <t>Материал оружия</t>
  </si>
  <si>
    <t>Материал</t>
  </si>
  <si>
    <t>Лён</t>
  </si>
  <si>
    <t>Качество оружия</t>
  </si>
  <si>
    <t>Стандартное</t>
  </si>
  <si>
    <t>Качество</t>
  </si>
  <si>
    <t>Вспомогательное оружие</t>
  </si>
  <si>
    <t>Без оружия</t>
  </si>
  <si>
    <t>Заклинания</t>
  </si>
  <si>
    <t>Очки внешности от одежды</t>
  </si>
  <si>
    <t>Материал вспомогательного оружия</t>
  </si>
  <si>
    <t>Основное или пассивное</t>
  </si>
  <si>
    <t>Название исполненного заклинания</t>
  </si>
  <si>
    <t>Изначальная ССЗ</t>
  </si>
  <si>
    <t>ССЗ с учетом Быстроты</t>
  </si>
  <si>
    <t>Изначальный РМ</t>
  </si>
  <si>
    <t>РМ с учетом скидки от Креативности</t>
  </si>
  <si>
    <t>Школа магии</t>
  </si>
  <si>
    <t>Описание заклинания</t>
  </si>
  <si>
    <t>Базовая точность</t>
  </si>
  <si>
    <t>Навык магии</t>
  </si>
  <si>
    <t>Точность от Ловкости</t>
  </si>
  <si>
    <t>Временный бонус</t>
  </si>
  <si>
    <t>Итого точность</t>
  </si>
  <si>
    <t>Дистанция заклинания</t>
  </si>
  <si>
    <t>метров</t>
  </si>
  <si>
    <t>Шанс ПЗ</t>
  </si>
  <si>
    <t>Детали заклинания</t>
  </si>
  <si>
    <t>Мин урон</t>
  </si>
  <si>
    <t>Макс урон</t>
  </si>
  <si>
    <t>Сред. урон</t>
  </si>
  <si>
    <t>Мин лечение</t>
  </si>
  <si>
    <t>Макс лечение</t>
  </si>
  <si>
    <t>Сред. лечение</t>
  </si>
  <si>
    <t>Бонус от приема</t>
  </si>
  <si>
    <t>Прчоие эффекты</t>
  </si>
  <si>
    <t>Значение эффекта</t>
  </si>
  <si>
    <t>Комплект покрывает все части тела?</t>
  </si>
  <si>
    <t>Качество вспомогательного оружия</t>
  </si>
  <si>
    <t>Физическая броня</t>
  </si>
  <si>
    <t>Тип снаряда (стрела, болт, пуля)</t>
  </si>
  <si>
    <t>Штраф к скорости передвижения</t>
  </si>
  <si>
    <t>Материал снаряда</t>
  </si>
  <si>
    <t>Бронза</t>
  </si>
  <si>
    <t>Штраф к скорости действий</t>
  </si>
  <si>
    <t>Тип атаки</t>
  </si>
  <si>
    <t>Импровизированный бой</t>
  </si>
  <si>
    <t>Зачарование</t>
  </si>
  <si>
    <t>Задействованная часть тела №1</t>
  </si>
  <si>
    <t>Личные особенности:</t>
  </si>
  <si>
    <t>Наличие черты:</t>
  </si>
  <si>
    <t>Результат:</t>
  </si>
  <si>
    <t>Ограничение уворота от Гибкости</t>
  </si>
  <si>
    <t>Задействованная часть тела №2</t>
  </si>
  <si>
    <t>Красивое лицо</t>
  </si>
  <si>
    <t>Макс. кол-во заклинаний в бою</t>
  </si>
  <si>
    <t>Используемый боевой навык</t>
  </si>
  <si>
    <t>Штраф к броскам</t>
  </si>
  <si>
    <t>Бонус / штраф от оружия</t>
  </si>
  <si>
    <t>Изящная осанка</t>
  </si>
  <si>
    <t>Доступное оружие</t>
  </si>
  <si>
    <t>Материал, качество</t>
  </si>
  <si>
    <t>ПРЧ</t>
  </si>
  <si>
    <t>Бонус к сопротивлению</t>
  </si>
  <si>
    <t>Точность от боевого навыка</t>
  </si>
  <si>
    <t>Выбитый передний зуб</t>
  </si>
  <si>
    <t>Короткий меч</t>
  </si>
  <si>
    <t>Бронза, стандарт</t>
  </si>
  <si>
    <t>Бонус к точности от профессии</t>
  </si>
  <si>
    <t>Уродливое лицо</t>
  </si>
  <si>
    <t>Короткий лук</t>
  </si>
  <si>
    <t>Орешник, стандарт</t>
  </si>
  <si>
    <t>Уворот от Гибкости</t>
  </si>
  <si>
    <t>Бонус к точности от Ловкости</t>
  </si>
  <si>
    <t>Уродливые шрамы на лице</t>
  </si>
  <si>
    <t>Ограничение от доспехов</t>
  </si>
  <si>
    <t>Уродливые ожоги на лице</t>
  </si>
  <si>
    <t>Резкий удар</t>
  </si>
  <si>
    <t>Бонус от приемов</t>
  </si>
  <si>
    <t>Дополнительная точность от приема</t>
  </si>
  <si>
    <t>Хромота</t>
  </si>
  <si>
    <t>Временная коррекция</t>
  </si>
  <si>
    <t>Горб</t>
  </si>
  <si>
    <t>Итого уворот</t>
  </si>
  <si>
    <t>Сутулость</t>
  </si>
  <si>
    <t>Зачарованные предметы</t>
  </si>
  <si>
    <t>Парирование оружия</t>
  </si>
  <si>
    <t>Особенности оружия</t>
  </si>
  <si>
    <t>Подтянутое тело</t>
  </si>
  <si>
    <t>Парирование от Ловкости</t>
  </si>
  <si>
    <t>Максимальная дальность оружия</t>
  </si>
  <si>
    <t>Прическа</t>
  </si>
  <si>
    <t>Без прически</t>
  </si>
  <si>
    <t>Итого парирование</t>
  </si>
  <si>
    <t>Дальность оружия без штрафа</t>
  </si>
  <si>
    <t>Чистоплотность</t>
  </si>
  <si>
    <t>Не мылся две недели</t>
  </si>
  <si>
    <t>Экипированный тип щита</t>
  </si>
  <si>
    <t>Без_щита</t>
  </si>
  <si>
    <t>Дополнительный шанс крит. удара</t>
  </si>
  <si>
    <t>Одежда</t>
  </si>
  <si>
    <t>Требования для использования щита</t>
  </si>
  <si>
    <t>Итого шанс критического удара</t>
  </si>
  <si>
    <t>Итого очки внешности:</t>
  </si>
  <si>
    <t>Материал щита</t>
  </si>
  <si>
    <t>Пронзание</t>
  </si>
  <si>
    <t>Качество щита</t>
  </si>
  <si>
    <t>Максимальная прочность</t>
  </si>
  <si>
    <t>Набожность</t>
  </si>
  <si>
    <t>Итого заклинаний выучено</t>
  </si>
  <si>
    <t>Изначальная скорость атаки (КО)</t>
  </si>
  <si>
    <t>Максимальное кол-во очков преданности (ОП)</t>
  </si>
  <si>
    <t>*основные заклинания и пассивные способности не нужно закреплять, они достаются персонажу "бесплатно"</t>
  </si>
  <si>
    <t>Штраф к точности</t>
  </si>
  <si>
    <t>Скорость действия (СД)</t>
  </si>
  <si>
    <t>Доступные для распределения очки преданности</t>
  </si>
  <si>
    <t>Штраф от доспехов</t>
  </si>
  <si>
    <t>Божество</t>
  </si>
  <si>
    <t>Очки преданности</t>
  </si>
  <si>
    <t>Базовый эффект</t>
  </si>
  <si>
    <t>Рвение</t>
  </si>
  <si>
    <t>Клятва</t>
  </si>
  <si>
    <t>Молитва</t>
  </si>
  <si>
    <t>Обряд</t>
  </si>
  <si>
    <t>Обет</t>
  </si>
  <si>
    <t>Эффект молитвы</t>
  </si>
  <si>
    <t>Талант</t>
  </si>
  <si>
    <t>Ограничение запаса маны</t>
  </si>
  <si>
    <t>Скорректированная скорость атаки</t>
  </si>
  <si>
    <t>Зевс</t>
  </si>
  <si>
    <t>Блок щита</t>
  </si>
  <si>
    <t>Урон оружия стандартного качества</t>
  </si>
  <si>
    <t>Бонус от боевого навыка</t>
  </si>
  <si>
    <t>Урон от вспомогательного оружия</t>
  </si>
  <si>
    <t>Бонус от Ловкости</t>
  </si>
  <si>
    <t>Урон снаряда</t>
  </si>
  <si>
    <t>Другоие бонусы</t>
  </si>
  <si>
    <t>Грани кубика для броска</t>
  </si>
  <si>
    <t>Стиль защиты:</t>
  </si>
  <si>
    <t>Да</t>
  </si>
  <si>
    <t>Итого блок</t>
  </si>
  <si>
    <t>Количество бросков</t>
  </si>
  <si>
    <t>Вы будете блокировать и парировать вместо уворота?</t>
  </si>
  <si>
    <t>Ездовое животное</t>
  </si>
  <si>
    <t>Животное-компаньон</t>
  </si>
  <si>
    <t>Зарезервированный блок 20%</t>
  </si>
  <si>
    <t>Персонаж использует щит для блокирования</t>
  </si>
  <si>
    <t>Блок для распределения</t>
  </si>
  <si>
    <t>Бонус от качества оружия</t>
  </si>
  <si>
    <t>Персонаж использует оружие для парирования</t>
  </si>
  <si>
    <t>Физическая броня от доспехов</t>
  </si>
  <si>
    <t>Средний исходный урон оружия</t>
  </si>
  <si>
    <t>Бонус от зачарования</t>
  </si>
  <si>
    <t>Бонус к урону от божества</t>
  </si>
  <si>
    <t>Распределение блока и парирования</t>
  </si>
  <si>
    <t>Временная физическая броня</t>
  </si>
  <si>
    <t>Бонус к урону от Силы</t>
  </si>
  <si>
    <t>Зарезервировано</t>
  </si>
  <si>
    <t xml:space="preserve">                  Распределено</t>
  </si>
  <si>
    <t>Корректировка на оптимальный удар</t>
  </si>
  <si>
    <t>Скорректирован. очки Блока и Пар.</t>
  </si>
  <si>
    <t>Итого физическая броня</t>
  </si>
  <si>
    <t>Бонус к урону от Быстроты</t>
  </si>
  <si>
    <t>Части тела</t>
  </si>
  <si>
    <t>Магическая броня от божества</t>
  </si>
  <si>
    <t>Бонус к урону от Креативности</t>
  </si>
  <si>
    <t>ГОЛОВА</t>
  </si>
  <si>
    <t>Бонус к урону от приема</t>
  </si>
  <si>
    <t>ТОРС</t>
  </si>
  <si>
    <t>Временная магическая броня</t>
  </si>
  <si>
    <t>ПРАВАЯ РУКА</t>
  </si>
  <si>
    <t>Итого магическая броня</t>
  </si>
  <si>
    <t>Итого средний урон</t>
  </si>
  <si>
    <t>ЛЕВАЯ РУКА</t>
  </si>
  <si>
    <t>Запись урона</t>
  </si>
  <si>
    <t>ПРАВАЯ НОГА</t>
  </si>
  <si>
    <t>Минимальный урон</t>
  </si>
  <si>
    <t>ЛЕВАЯ НОГА</t>
  </si>
  <si>
    <t>Максимальный урон</t>
  </si>
  <si>
    <t>Осталось очков блока:</t>
  </si>
  <si>
    <t>О*</t>
  </si>
  <si>
    <t>Боевые навыки:</t>
  </si>
  <si>
    <t>Осталось очков парирования:</t>
  </si>
  <si>
    <t>*Боевые навыки отпрактикованные в течение текущего уровня</t>
  </si>
  <si>
    <r>
      <rPr>
        <rFont val="Calibri"/>
        <color theme="1"/>
        <sz val="8.0"/>
      </rPr>
      <t xml:space="preserve">На персонаже надет полный комплект одежды/доспехов с </t>
    </r>
    <r>
      <rPr>
        <rFont val="Calibri"/>
        <b/>
        <color theme="1"/>
        <sz val="8.0"/>
      </rPr>
      <t xml:space="preserve">однородными элементами </t>
    </r>
    <r>
      <rPr>
        <rFont val="Calibri"/>
        <color theme="1"/>
        <sz val="8.0"/>
      </rPr>
      <t>(единый комплект)</t>
    </r>
  </si>
  <si>
    <t>Максимальное здоровье</t>
  </si>
  <si>
    <t>Текущее здоровье</t>
  </si>
  <si>
    <t>Название</t>
  </si>
  <si>
    <t>Магическая броня</t>
  </si>
  <si>
    <t>Натуральный уворот</t>
  </si>
  <si>
    <t>Уворот от ГИБ</t>
  </si>
  <si>
    <t>Ограничение уворота от ГИБ</t>
  </si>
  <si>
    <t>Уворот от ГИБ с учетом ограничений</t>
  </si>
  <si>
    <t>Итого уворот при оптимальном ударе (-5)</t>
  </si>
  <si>
    <r>
      <rPr>
        <rFont val="Calibri"/>
        <color theme="1"/>
        <sz val="8.0"/>
      </rPr>
      <t xml:space="preserve">На персонаже надеты </t>
    </r>
    <r>
      <rPr>
        <rFont val="Calibri"/>
        <b/>
        <color theme="1"/>
        <sz val="8.0"/>
      </rPr>
      <t>разнородные элементы</t>
    </r>
    <r>
      <rPr>
        <rFont val="Calibri"/>
        <color theme="1"/>
        <sz val="8.0"/>
      </rPr>
      <t xml:space="preserve"> одежды/доспехов (не единый комплект)</t>
    </r>
  </si>
  <si>
    <r>
      <rPr>
        <rFont val="Calibri"/>
        <color theme="1"/>
        <sz val="8.0"/>
      </rPr>
      <t xml:space="preserve">Выбор надетых элементов доспехов на отдельных частях тела, </t>
    </r>
    <r>
      <rPr>
        <rFont val="Calibri"/>
        <b/>
        <color theme="1"/>
        <sz val="8.0"/>
      </rPr>
      <t>вручную</t>
    </r>
  </si>
  <si>
    <t>Надето элементов:</t>
  </si>
  <si>
    <t>Максимальное кол-во заклинаний в бою</t>
  </si>
  <si>
    <t>Легкие_доспехи</t>
  </si>
  <si>
    <t>Средние_доспехи</t>
  </si>
  <si>
    <t>Тяжелые_доспехи</t>
  </si>
  <si>
    <t>Учет опыта</t>
  </si>
  <si>
    <t>Финансовый учет</t>
  </si>
  <si>
    <t>Учет маны</t>
  </si>
  <si>
    <t>Пассивеый опыт</t>
  </si>
  <si>
    <t>Полученный опыт</t>
  </si>
  <si>
    <t>Активы</t>
  </si>
  <si>
    <t>Пассивы</t>
  </si>
  <si>
    <t>Максимальное кол-во маны</t>
  </si>
  <si>
    <t>Активный опыт</t>
  </si>
  <si>
    <t>Наличные</t>
  </si>
  <si>
    <t>Доступная мана</t>
  </si>
  <si>
    <t>Потраченный опыт, вкл.</t>
  </si>
  <si>
    <t>Потраченные деньги, вкл.</t>
  </si>
  <si>
    <t>Пример</t>
  </si>
  <si>
    <t>Яростный удар</t>
  </si>
  <si>
    <t>Приключения</t>
  </si>
  <si>
    <t>Начальный набор ткача</t>
  </si>
  <si>
    <t>Наследство от дедушки</t>
  </si>
  <si>
    <t>Огненный шар</t>
  </si>
  <si>
    <t>Ловкость до 5</t>
  </si>
  <si>
    <t>Бой с гремлинами</t>
  </si>
  <si>
    <t>Регенерация маны за 1 день</t>
  </si>
  <si>
    <t>Быстрота до 4, 5</t>
  </si>
  <si>
    <t>Миссия: железная шахта</t>
  </si>
  <si>
    <t>Встреченные персонажи</t>
  </si>
  <si>
    <t>События</t>
  </si>
  <si>
    <t>Имя</t>
  </si>
  <si>
    <t>Кто это?</t>
  </si>
  <si>
    <t>Место</t>
  </si>
  <si>
    <t>Время</t>
  </si>
  <si>
    <t>Важная информация</t>
  </si>
  <si>
    <t>№</t>
  </si>
  <si>
    <t>Название приема</t>
  </si>
  <si>
    <t>Статус приема</t>
  </si>
  <si>
    <t>Архимаг</t>
  </si>
  <si>
    <t>Пассивный</t>
  </si>
  <si>
    <t>Любые 3 ментальных атрибута должны быть не менее 15, 3 магических силы (например, Сила воздуха и т.д.).</t>
  </si>
  <si>
    <t>Персонаж освоил массу различных заклинаний и теперь по-настоящему разбирается в магии. Теперь он справедливо может называть себя Архимагом. Архимаг получает +50 Маны, +20% к эффективности заклинаний (всех свойств), +5 к концентрации и +5% шанс сотворить все заклинания с критическим эффектом.</t>
  </si>
  <si>
    <t>Баллистический расчет</t>
  </si>
  <si>
    <t>Активный атакующий</t>
  </si>
  <si>
    <t>Интеллект 5, Механик 3.</t>
  </si>
  <si>
    <t>Применимо один раз в день. У персонажа математический склад ума, который позволяет быстро рассчитать траекторию полёта снаряда. Персонаж получает +(Механик) к точности для атаки дальнего боя (в т.ч. для заклинания снарядного типа), когда инициирует бой. При этом, персонаж не получает штраф за атаку на дальней дистанции (-4 к точности).</t>
  </si>
  <si>
    <t>Без остановки</t>
  </si>
  <si>
    <t>Сила 4, Быстрота 4, Выносливость 4.</t>
  </si>
  <si>
    <t>После того как персонаж сделал критический удар, сбил цель с ног (к примеру, фатальным ударом) или прервал сотворение заклинания, он может подготовить следующую атаку на 1 секунду быстрее, чем обычно. Если у персонажа и без этого скорость атаки 1, то этот прием не дает никакого эффекта.</t>
  </si>
  <si>
    <t>Бесстрашие</t>
  </si>
  <si>
    <t>Сознательность 5, отсутствие щита и/или доспехов (тканевая одежда допускается), отсутствие кастетов и/или наголенников.</t>
  </si>
  <si>
    <t>Когда персонаж осмеливается сразиться с объективно более сильным соперником, первый воспринимает это как самопреодоление, и все его основные атрибуты (от Силы до Восприятия) увеличиваются на 3 очка до конца этого боя. Помимо этого, персонаж всегда имеет 50% шанс сопротивляться эффекту страха (до броска на БД).</t>
  </si>
  <si>
    <t>Боевая акробатика</t>
  </si>
  <si>
    <t>Гибкость 5, Быстрота 5, Ловкость 5, отсутствие средних или тяжелых доспехов на персонаже.</t>
  </si>
  <si>
    <t>Персонаж порхает как бабочка и уклоняется от вражеских ударов: +1/2 к увороту во всех частях тела (Ловкость 5/10). Эффект действует даже когда персонаж достиг предела уворота от Гибкости. Боевая акробатика не действует, если персонаж делает стационарные действия (например, творит заклинание). Если персонаж делает прием «Удар с прыжка», его штраф к увороту снижается и становится: -2/-1/0 (Ловкость 5/10/15).</t>
  </si>
  <si>
    <t>Божественная кара</t>
  </si>
  <si>
    <t>Вера 5.</t>
  </si>
  <si>
    <t>Можно применять 1/2/3 раза за бой (число почитаемых богов 1/2/3). Вера персонажа настолько сильна, что бог дарует ему свою божественную силу для нанесения особо мощного удара. Кара наносит дополнительный магический урон в зависимости от категории оружия персонажа.
Категория оружия      Дополнительный магический урон
1                                      1/2d4
2                                      1/2d6
3                                      1/2d8
4                                      1/2d10
5 и более                        1/2d12
                                        (Вера _/15)</t>
  </si>
  <si>
    <t>Бывалый</t>
  </si>
  <si>
    <t>Констебль 3, Сознательность 6, Интеллект 6.</t>
  </si>
  <si>
    <t>Персонажа много раз обманывали и ранили в самое больное место. Он стал осмотрительнее. Теперь этот персонаж неуязвим для следующих приемов: «Проходной удар», «Грязный бой», «Обманный маневр», «Лицемер». Общий входящий урон от «Удара в спину» уменьшен на 50%. Шанс получения критического удара снижен на 5/10% (Констебль 4/7). Сопротивление +1.</t>
  </si>
  <si>
    <t>Восстановление маны</t>
  </si>
  <si>
    <t>Активное состояние</t>
  </si>
  <si>
    <t>Восприятие 5, любой навык магии 1.</t>
  </si>
  <si>
    <t>Прием можно использовать один раз в бою, но не чаще раза в день. Персонажу не хватает маны, поэтому он восстанавливает ее во время боя. Персонаж должен потратить не менее 50% своего общего запаса маны во время боя, чтобы войти в состояние «Восстановления маны». В этом состоянии персонаж восстанавливает Х единиц Маны в секунду, в течение (Восприятие) секунд, где Х - наивысший магический навык персонажа. Применение заклинаний преждевременно прерывает эффект восстановления маны. Персонаж может двигаться и готовить атаки в состоянии восстановления маны без ограничений.</t>
  </si>
  <si>
    <t>Вторая кожа</t>
  </si>
  <si>
    <t>Восприятие 5, Кожевник 2.</t>
  </si>
  <si>
    <t>Если персонаж носит самодельную легкую броню, он получает +1/2 очка физической и магической брони (Кожевник 2/4). Такая броня прочнее и идеально ему подходит (+1 к Внешности). Также доспехи меньше болтаются, что увеличивает максимальный уворот от Гибкости на 2 очка (прием совместим с приемом «Комфортные доспехи»). Если персонаж встречает животное, из кожи/шкуры которого сделаны его доспехи (из шкуры его сородичей), животное может испугаться и убежать (бросок на БД со стороны животного). Обратите внимание, что такие доспехи должны быть изготовлены самим персонажем.</t>
  </si>
  <si>
    <t>Выпад</t>
  </si>
  <si>
    <t>Ловкость 5, Гибкость 5; Длинные клинки, Экзотическое оружие или Древковое оружие 2/4.</t>
  </si>
  <si>
    <t>Можно использовать не чаще, чем 1/2 раза за бой. Опытный воин вытягивается вперед, чтобы достать до своего противника. Благодаря этому, его атака на мгновение опережает врага (эффект Первого удара) и становится более точной: точность +3. Если персонаж использует оружие уже имеющее характеристику «Первый удар», он может поразить цель, находящуюся на расстоянии 2 метров (2 гекса) от него. Этот прием не может быть выполнен, если персонаж в седле (на ездовом животном).</t>
  </si>
  <si>
    <t>Выстрел в упор</t>
  </si>
  <si>
    <t>Ловкость 5, Охотник 2, боевой дух &gt; 0, боевой навык любого оружия дальнего боя 1.</t>
  </si>
  <si>
    <t>Охотник не боится стрелять, когда зверь бежит прямо на него. Совсем наоборот, он стреляет лучше и увереннее. Используя любое дальнобойное оружие на дистанции до 5 метров включительно, персонаж получает +3/5 к точности (Ловкость 5/9). Прием нельзя применять, если БД персонажа опускается до нуля или ниже.</t>
  </si>
  <si>
    <t>Гениальная импровизация</t>
  </si>
  <si>
    <t>Артист 3, Импровизированный бой 5.</t>
  </si>
  <si>
    <t>Выдающаяся импровизация на сцене позволяет персонажу делать талантливо срежиссированные и по-настоящему смертельные атаки. Теперь урон импровизированных атак растет также и от Интеллекта, в той же мере как и от Силы или Креативности. Все импровизированные атаки получают +1 к эффекту пронзания (пробивания).</t>
  </si>
  <si>
    <t>Голос природы</t>
  </si>
  <si>
    <t>Пассивный и активный</t>
  </si>
  <si>
    <t>Социализация 5, Укротитель 3.</t>
  </si>
  <si>
    <t>Персонаж много времени уделял общению с животными и научился изменять голос под обстоятельства. Он может выбрать любой желаемый тон голоса: +1 к броску на Артиста на вокальные действия. Это также делает персонажа более харизматичным: +1 к проверке Социализации при вербальном взаимодействии. Он запоминает голоса других и может воспроизводить их, в том числе звуки животных. Если он раньше сталкивался с ужасными существами, он может воспроизвести их звук (рык), чтобы попытаться напугать других: эффект страха на 1/2/3/4/5/6/7 секунд (Укротитель 3/4/5/6/7/8/9) в радиусе 10 метров. Цель может пытаться пройти проверку боевого духа, чтобы сопротивляться страху. Устрашающий звук можно один раз в день.</t>
  </si>
  <si>
    <t>Горец</t>
  </si>
  <si>
    <t>Сознательность 10, Сильный рудокоп, Кисти альпиниста.</t>
  </si>
  <si>
    <t>Отправившись в горы, персонаж может достичь уровня легенды в любом Боевом навыке самостоятельно. При этом у него должен быть максимально высокий боевой навык: оружейный - 5, щиты - 2, или магия - 8. Чистый горный воздух позволяет излечить любую болезнь. Персонаж становится более стойким к холоду. Горец получает +30% сопротивления к заклинаниям магии Воды и Земли (шанс, что эти заклинания не подействуют).</t>
  </si>
  <si>
    <t>Горький опыт</t>
  </si>
  <si>
    <t>Интеллект 5, Сознательность 5, Пивовар 2.</t>
  </si>
  <si>
    <t>Персонажу часто приходилось выливать неудавшийся алкоголь и начинать все сначала. В то время как другие в случае неудачи впадают в отчаяние и тянутся к бутылке, персонаж делает работу над ошибками. Когда персонаж промахивается, он сразу же извлекает урок и делает следующую атаку аккуратнее. Это требует огромного терпения, которое есть только у Пивовара. Персонаж получает +(Пивовар) к точности за каждый промах; эффект накапливается в случае нескольких промахов подряд. Эффект прерывается, если персонаж попадает/задевает врага или меняет цель атаки.</t>
  </si>
  <si>
    <t>Грязный бой</t>
  </si>
  <si>
    <t>Сила 4, Креативность 4, Выносливость 4.</t>
  </si>
  <si>
    <t>Можно использовать не чаще, чем 1/2/3 раз за бой (Выносливость 4/6/8). Используя Рукопашный бой, Импровизированный бой или Борьбу против гуманоидов, персонаж делает неожиданные грязные трюки, наносящие дополнительную боль. Публичное использование приема может понизить репутацию персонажа. «Грязный бой» добавляет +ld4/6/8 урона при ударе (Креативность 4/6/8). Он в два раза эффективнее против лежащих, ослепленных или оглушенных врагов и имеет +5% дополнительный шанс критического удара по этим врагам. Грязный бой совместим с некоторыми ударами, которые позволяют сделать следующие приемы: «Мастер рукопашного боя», «Мастер импровизированного боя», «Мастер борьбы» (больше деталей в описании соответствующих приемов).</t>
  </si>
  <si>
    <t>Двойной магический беспредел</t>
  </si>
  <si>
    <t>2 ментальных атрибута должны быть, не менее 8, Однорукий маг, Терпение волшебника, Оружие в каждой руке.</t>
  </si>
  <si>
    <t>Маг перестал быть мальчиком для битья и теперь может делать заклинания параллельно каждой рукой. При этом расходуется на 25% больше Маны за заклинание и скорость сотворения магии (ССМ) замедляется на 25% (для каждой руки). Если заклинание снарядного типа с броском на точность (как огненная стрела или ледяная стрела), персонаж получает те же штрафы, что и в бою с оружием в каждой руке (точность -3/-3 к заклинанию, созданному правой / левой рукой).</t>
  </si>
  <si>
    <t>Диалоги о рыбалке</t>
  </si>
  <si>
    <t>Активный</t>
  </si>
  <si>
    <t>Восприятие 5, Рыбак 3.</t>
  </si>
  <si>
    <t>Этот персонаж действительно любит ловить рыбу. Если они рыбачат хотя бы час и поймают что-то стоящее, их боевой дух повышается с вероятностью (Рыбак)*5%. Если они идут на рыбалку с кем-то, у кого есть такой же прием («Диалоги о рыбалке»), они начинают болтать о рыбалке, тем самым увеличивая шанс до (Рыболов)* 10%. Максимальный достижимый уровень боевого духа используя этот прием - 4.</t>
  </si>
  <si>
    <t>Дикость</t>
  </si>
  <si>
    <t>Сила 8, Яростный удар, персонаж и/или его союзник ранены врагом.</t>
  </si>
  <si>
    <t>«Хладнокровный убийца» и «Ясность разума».</t>
  </si>
  <si>
    <t>Можно использовать не чаще, чем раз в день. Во время состояния Дикости персонаж не может делать следующие приемы: «Удар в спину», «Грязный бой», «Коварный удар», «Раздача монаха» и «Изучить врага». Во время состояния Дикости, игрок не знает сколько урона получает его персонаж (узнает только в конце).
Персонажа переполняет ярость и он обрушивает свой первобытный, дикий гнев на своих врагов, несмотря на все правила приличия. Состояние Дикости длится 1d10+(ВОС) секунд. В состоянии Дикости персонаж теряет все свои очки парирования и/или блока и временно теряет 1 очко Сознательности каждые 5 секунд. Когда Сознательность достигает нуля, персонаж теряет рассудок и начинает атаковать ближайшее существо, пока не убьет, потом перекидываясь на следующего (не выбирая - врага или союзника). Персонажу нужно 2 секунды, чтобы успокоиться, и выбросить 4 или больше, выкинув ld6 + (текущая Сознательность), чтобы выйти из этого состояния. Дикость позволяет выполнять «Яростный удар» неограниченное количество раз. Во время Дикости, после каждого Яростного удара, независимо от того, было попадание или промах, Быстрота персонажа увеличивается на 1 очко, но не более, чем +10 к Быстроте и не более 23 очков Быстроты суммарно (без учета магических эффектов). Если персонаж делает «Яростный удар» обеими руками параллельно, он получает +1 к БЫС за каждый из этих ударов. Помимо этого, персонаж не упадет, если ОЗ в любой из его частей тела упадет ниже 10% (но упадет, если достигнет 0 или меньше).</t>
  </si>
  <si>
    <t>Духовное превосходство</t>
  </si>
  <si>
    <t>Выносливость 6, Сознательность 6, Рукопашный бой или Древковое оружие 4, Равновесие в бою, Духовное развитие, отсутствие щита и/или доспехов (тканевая одежда допускается), отсутствие кастетов и/или наголенников.</t>
  </si>
  <si>
    <t>Персонаж достиг полной гармонии тела и духа. Текущее значение боевого духа становится дополнительной физической и магической броней (и сопротивлением яду), а также дополнительным физическим уроном в ближнем бою. «Духовное превосходство» не защищает от чистого урона (например, от болевых приемов Борьбы или эффектов кровотечения). Если БД персонажа отрицательный, он получает соответствующие штрафы к урону и броне вместо бонусов. Значение урона и брони не может упасть ниже нуля.</t>
  </si>
  <si>
    <t>Духовное развитие</t>
  </si>
  <si>
    <t>Сознательность 5, Философ 2.</t>
  </si>
  <si>
    <t>Персонаж переоценивает свое истинное «я» и окружающий мир, раскрываясь для самосовершенствования. Это позволяет переназначить текущие «малозначимые» характеристики из атрибутов персонажа, выбрав 3 новых атрибута как «малозначимые» для персонажа (вместо двух). Как и прежде, «малозначимые» атрибуты не влияют на максимальный боевой дух. Когда персонаж впервые успешно выполняет прием Духовное развитие - его БД увеличивается на 1 очко.</t>
  </si>
  <si>
    <t>Иглоукалывание</t>
  </si>
  <si>
    <t>Активный атакующий и Пассивный</t>
  </si>
  <si>
    <t>Восприятие 5, Портной 2.</t>
  </si>
  <si>
    <t>Можно использовать не чаще, чем 1/2 раз за бой (ВЫН 4/11). Персонаж умеет продеть нитку в иголку и воткнуть иголку в ткань. Теперь он может сделать игольчатый удар, увеличивая точность и пронзание атаки. Бонус равен уровню Портного персонажа. Более того, он умеет лучше зашивать раны: +1 ОЗ во время оказания первой помощи (пассивный бонус при использовании способности Лекаря).</t>
  </si>
  <si>
    <t>Изучить врага</t>
  </si>
  <si>
    <t>Интеллект 5, Писарь 2.</t>
  </si>
  <si>
    <t>Можно использовать не чаще, чем 1/2/3 раза за день (Интеллект 5/8/11). Персонаж читает врага как открытую книгу. За секунду / мгновенно (Быстрота _/6) он может изучить врага и узнать следующую информацию о нём:
- Распределение очков парирования или блока (до атаки)
- Физическую броню в каждой части тела
- Уворот в каждой части тела, только после первой атаки по врагу
- Бонус к точности (1d20+X), только после первой атаки врага
- Значение одного из его физических атрибутов (по выбору игрока)
Повторение приема «Изучить врага» против того же врага позволяет обновить вышеуказанную информацию получить более продвинутые сведения: значение еще одного физического атрибута, текущее здоровье в одной из частей тела и список всех немагических эффектов, которые сейчас есть на противнике. Персонаж может повторять прием не чаще, чем раз в 3 секунды. Персонаж при выполнении приема не ограничен в движениях.</t>
  </si>
  <si>
    <t>Инкрустирование</t>
  </si>
  <si>
    <t>Ремесло</t>
  </si>
  <si>
    <t>Интеллект 5, Ювелир 3, Чародей 3.</t>
  </si>
  <si>
    <t>Персонаж хорошо разбирается в драгоценных камнях и может раскрывать их силу, зачаровывать и вставлять их в оружие и доспехи (только средние или тяжелые). Каждое оружие или щит имеют одно условное свободное место (слот) для драгоценного камня, как и каждый элемент средней брони. При этом каждый элемент тяжелой брони имеет два таких места. Драгоценные камни нельзя инкрустировать в легкие доспехи. Совпадающие бонусы от различных зачарованных предметов не совместимы. Эффекты от инкрустирования различных драгоценных камней описаны в большой таблице ниже:
Наименьшая из двух профессий:                    Возможный эффект                                                                                                         Время, необходимое для зачарования и                Сложность при броске на Ювелира и Чародея                Необходимые материалы
Ювелир / Чародей (уровень)                            Оружие и щиты                                  Средние / тяжелые доспехи                                 инкрустирования драгоценного камня                               (проверяется сумма бросков)
3                                                                               Урон +1                                              Магическая броня +1/2                                                           1 час                                                                                   24                                                        Яшма, оникс, обсидиан
4                                                                               Урон +2 или атрибут +1                    Магическая броня +2/4 или атрибут +1                                 1 час                                                                                   24                                                        Агат, опал, родонит
5                                                                               Урон +3 или атрибут +1                    Магическая броня +3/6 или атрибут +1                                 4 час                                                                                   32                                                        Янтарь, малахит
6                                                                               Урон +4 или атрибут +2                    Магическая броня +4/8 или атрибут +2                                 4 час                                                                                   32                                                        Аметист, цитрин
7                                                                               Урон +5 или атрибут +2                    Магическая броня +5/10 или атрибут +2                               11 часов                                                                             40                                                        Аквамарин, топаз
8                                                                               Урон +6 или атрибут +2                    Магическая броня +6/12 или атрибут +2                               16 часов                                                                             44                                                        Жемчуг, сапфир
9                                                                               Урон +7 или атрибут +3                    Магическая броня +7/14 или атрибут +2                               22 часов                                                                             48                                                        Алмаз, изумруд, рубин</t>
  </si>
  <si>
    <t>Источник силы</t>
  </si>
  <si>
    <t>Выносливость 9, Неутомимость.</t>
  </si>
  <si>
    <t>Можно использовать не чаще, чем 1/2/3 раза в день (Выносливость 9/10/11). Когда прием «Неутомимость» начинает действовать и у персонажа не хватает маны на заклинание, он все еще может его сделать, потратив всю оставшуюся ману (но не менее 1 ед. маны).</t>
  </si>
  <si>
    <t>Кавалерист</t>
  </si>
  <si>
    <t>Наездник 3, Ловкость 6.</t>
  </si>
  <si>
    <t xml:space="preserve">Персонаж освоил мастерство конного боя и теперь намного опаснее в седле:
Особенности боя верхом                                           Без приема Кавалерист             С приемом Кавалерист
Штраф к увороту в ближнем бою                                                -3                                             -2
Бонус к увороту в дальнем бою                                                  +2                                            +3
Бонус к точности при атаке                                                           -                                             +1
Бонус к точности при попытки затоптать врага        В зависимости от животного        В зависимости от скакуна +1
Ускорение ездового животного                                  В зависимости от скакуна            В зависимости от скакуна +1
Угол поворота за 1 секунду без потери скорости              20 градусов                             30 градусов
Угол поворота за 1 секунду с потерей скорости                30 градусов                             45 градусов
(-30% к скорости)       </t>
  </si>
  <si>
    <t>Китобой</t>
  </si>
  <si>
    <t>Интеллект 8, Рыбак 5, Моряк 5, Охотник 5.</t>
  </si>
  <si>
    <t>Персонажу приходилось охотиться на огромных тварей и в нужный момент его рука не дрогнет. Люди вокруг признают его мастерство и смекалку, поэтому последуют за ним даже на опасную охоту. Китобой наносит дополнительный физический урон по целям, которые превосходят персонажа по категории размера. Урон зависит от категории оружия. Первым точным ударом Китобой помечает существо до конца боя. Все союзники персонажа имеют повышенный шанс нанести критический удар по меченному существу: +5%.
Категория оружия        Дополнительный физический урон
1                                                        2/3/4d4 
2                                                        2/3/4d6 
3                                                        2/3/4d8 
4                                                       2/3/4d10 
5 и более                                         2/3/4d12 
                                              (Интеллект 8/14/20)</t>
  </si>
  <si>
    <t>Коварный удар</t>
  </si>
  <si>
    <t>Выносливость 4, Креативность 4, боевой навык оружия ближнего боя 1.</t>
  </si>
  <si>
    <t>Только с оружием ближнего боя, для которого используется боевой навык не ниже первого уровня. Можно использовать не чаще, чем 1/2/3 раз за бой (Выносливость 4/6/8). Персонаж использует свою хитрость, чтобы нанести внезапный удар. Коварный удар можно сделать только целясь в определенную часть тела (удар в случайную часть тела - не годится). Коварный удар имеет дополнительную точность: +(Креативность)/2, дополнительный урон (Креативность)/2 и шанс критического удара +5%</t>
  </si>
  <si>
    <t>Конный лучник</t>
  </si>
  <si>
    <t>Ловкость 9, Гибкость 9, Наездник 4, Луки 4.</t>
  </si>
  <si>
    <t>Используя короткие луки и составные короткие луки, персонаж может стрелять во время езды на своем скакуне (это не обязательно должен быть именно конь). При этом, это негативно сказывается на меткости. Штраф к точности: -3/-2/-1 (Наездник 4/5/6). Если ездовое животное стоит на месте, штрафа к стрельбе из седла нет.</t>
  </si>
  <si>
    <t>Кража заклинания</t>
  </si>
  <si>
    <t>Сознательность 5, Креативность 5, Вор 2, любой навык магии 1.</t>
  </si>
  <si>
    <t>Персонаж берет чужое, не спрашивая разрешения. Если персонаж однажды увидел как другой маг делает заклинание, он может потом попробовать повторить это заклинание. Это может произойти даже в бою против этого самого мага. Описание заклинания и требования остаются ему неизвестны пока он успешно не повторит его, делая как минимум один успешный бросок на БД (за новое заклинание). Повторенные заклинания считаются отпрактикованными и персонаж может закрепить их за свой активный опыт. У персонажа может быть неограниченное число замеченных и повторенных заклинаний, но он может закрепить не более 1/2/3 украденных заклинаний (Вор 3/6/9) без необходимости иметь уровень навыка магии, соответствующий кругу заклинания. За исключением этого, все остальные минимальные требования обязательны для закрепления заклинания.</t>
  </si>
  <si>
    <t>Лечебная магия</t>
  </si>
  <si>
    <t>Сознательность 4, Лекарь 2.</t>
  </si>
  <si>
    <t>Персонаж научился применять свой опыт Лекаря для более эффективного использования исцеляющих заклинаний. Лечебный эффект заклинаний увеличивается на 20/25/30% (Лекарь 2/4/6) и останавливает кровотечение.</t>
  </si>
  <si>
    <t>Лицемер</t>
  </si>
  <si>
    <t>Пассивный и Активный</t>
  </si>
  <si>
    <t>Креативность 6, Социализация 6, Мошенник и/или Артист 3.</t>
  </si>
  <si>
    <t>Немного лицемерия и люди к тебе потянутся. Персонаж выбирает лживый путь для достижения своих целей. Лицемер входит в доверие к человеку, а потом предает без жалости и раскаяния. Не чаще, чем раз в три дня персонаж может сделать одно из двух действий:
1. Подружиться с кем-то, кто никогда бы этого не сделал, находясь в здравом уме;
2. Перебросить проверку на Социализацию. Результатом будет являться второй бросок, даже если он хуже первого.</t>
  </si>
  <si>
    <t>Любимое оружие</t>
  </si>
  <si>
    <t>Боевой оружейный навык 2.</t>
  </si>
  <si>
    <t>Персонаж выбирает свое любимое оружие (может быть также и кулак или нога) и наносит им дополнительно 1/2 урона (одноручный / двуручный хват). Если оружейный навык 4, персонаж дополнительно получает +1 к точности, используя такое оружие. Прием работает на всё оружие выбранного типа (например, кинжал или ручной топор, не путайте с группой оружия). Прием можно закрепить несколько раз для разных видов оружия.</t>
  </si>
  <si>
    <t>Маг в седле</t>
  </si>
  <si>
    <t>Ловкость 10, Наездник 5, Однорукий маг, Кавалерист</t>
  </si>
  <si>
    <t>Персонаж в совершенстве освоил верховую езду и волшебство. Теперь он может творить заклинания 1/2/3 уровня (Наездник 5/6/7) во время движения ездового животного, держа поводья одной рукой, не снижая скорость передвижения животного. Если животное стоит на месте, персонаж может творить любые доступные ему заклинания, находясь в седле.</t>
  </si>
  <si>
    <t>Магическая татуировка</t>
  </si>
  <si>
    <t>Креативность 6, Художник 3, Чародей 3.</t>
  </si>
  <si>
    <t>Персонаж может набивать определенное изображение на теле цели (включая его собственное тело) в виде татуировки, которая дает постоянный магический эффект. Татуировщику нужны чернила и игла. Можно иметь не более двух магических татуировок. Волшебная татуировка повышает уровень Профессии или боевого навыка, как представлено в таблице выше. *Татуировка не может повышать боевые навыки персонажа до уровня легенды. Прием также не дает персонажу первый уровень профессии или боевого навыка, если у него не было его раньше.
Уровень наименьшей из двух профессий        *Возможный эффект                                                                Необходимое время на создание татуировки        Сложность суммарного броска на Художника и Чародея        Необходимые материалы
3                                                                           Любая профессия, которая есть у татуировщика +1                                               1 час                                                                                      24                                                       Любые чернила и игла
5                                                                           Любая профессия +1                                                                                                 4 часа                                                                                     32                                                       Любые чернила и игла
7                                                                           Любой боевой навык, который есть у татуировщика +1                                       11 часов                                                                                   40                                                       Редкие чернила и игла
8                                                                           Любой боевой навык +1                                                                                           16 часов                                                                                  44                                                       Волшебные чернила и игла
9                                                                           Любой боевой навык и любая профессия +1                                                          22 часа                                                                                   48                                                       Волшебные чернила и игла</t>
  </si>
  <si>
    <t>Мастер арбалетов</t>
  </si>
  <si>
    <t>Ловкость 10, Арбалеты 4.</t>
  </si>
  <si>
    <t>Можно использовать не чаще, чем 1/2 раза в день (Арбалеты 4/6). Персонаж делает особенно меткий (точность +2) и пронзающий выстрел, который при полном пронзании физической брони врага способен пробить часть тела насквозь. В результате, арбалетный болт дальше полетит в цель, стоящую позади врага, в такую же часть тела. Точность и урон будут такими же, как и для первой цели. Бонус к пронзанию описан в таблице ниже:
Вид арбалета                      Дополнительное пронзание
Ручной арбалет                                      1/2d4
Легкий арбалет                                       1/2d6
Средний арбалет                                    1/2d8 
Тяжелый арбалет                                   1/2d10 
Осадный арбалет                                   1/2d12 
                                                         (Ловкость _/17)</t>
  </si>
  <si>
    <t>Мастер борьбы</t>
  </si>
  <si>
    <t>Сила 10, Ловкость 10, Борьба 4.</t>
  </si>
  <si>
    <t>Можно использовать не чаще, чем 1/2 раза в день (Борьба 4/6). Борец стал мастером и теперь может применять сложные трюки. Использование любого из трех нижеупомянутых трюков считается использованием приема «Мастер борьбы». Для применения трюков А) и Б) необходимо схватить врага по всем правилам, описанным в разделе 9.8. правил. Прием нельзя выполнять во время езды.
A) Схватить врага и использовать его как прикрытие. Если персонаж ожидает атаки (ближний бой, дальний бой, заклинания снарядного типа), он может прикрыться рядом стоящим врагом. Если захват успешен, схваченная часть тела подвергается входящей атаке.
Б) Схватить врага, поднять его и кинуть. Это возможно только в том случае, если у персонажа достаточно Силы, чтобы поднять вес цели. Дальность броска: до 5 метров. Если тело врага достаточно тяжелое и при падении задевает другое существо, то оно сбивает последнее с ног. Если у персонажа достаточно Силы, то он может перевернуть врага в воздухе за дополнительную секунду и приземлиться на его голову, разбивая её об землю, мгновенно нанеся чистый урон, равный четырехкратному урону от болевого приема. Этот трюк совместим с приемом «Грязный бой». 
В) Прыгнуть на врага. Персонаж прыгает на врага и давит его, мгновенно нанося физический урон. Если (Сила) + ld4+l персонажа больше, чем (Выносливость) + ld4 + (Сопротивление) цели, персонаж сбивает цель с ног и они оба будут лежать на земле. Если персонажу не удалось сбить врага с ног в результате прыжка, то будет лежать только он сам. В случае успешного применения приема, персонаж своим весом наносит физический урон равный утроенному урону от болевого приема в выбранную часть тела. Этот трюк совместим с «Грязным боем».</t>
  </si>
  <si>
    <t>Мастер длинных клинков</t>
  </si>
  <si>
    <t>Сила 10, Ловкость 10, Длинные клинки 4.</t>
  </si>
  <si>
    <t>Можно использовать не чаще, чем 1/2 раза в день (Длинные клинки 4/6). Опытный мечник может вогнать лезвие в брюхо, а потом распороть его во время извлечения меча. После попадания длинным клинком в торс, персонаж может исполнить прием и в следующую секунду нанести дополнительно половинный урон (бросок на этот урон делается отдельно). Этот прием считается отдельной атакой, со Скоростью атаки 1, гарантированным попаданием и стандартной вероятностью нанести критический удар. Прием нельзя делать во время езды.</t>
  </si>
  <si>
    <t>Мастер древкового оружия</t>
  </si>
  <si>
    <t>Активный атакующий и Активный защитный</t>
  </si>
  <si>
    <t>Ловкость 10, Гибкость 10, Древковое оружие 4.</t>
  </si>
  <si>
    <t>Можно использовать не чаще, чем 1/2 раза в день (Древковое оружие 4/6). Боец научился эффективно выгибаться и балансировать своим древковым оружием, совершая точные атаки, не забывая про оборону. Прием дает дополнительную точность: + (Гибкость)/2. Если у оружия нет особенности «Первый удар», оно его получает. Если у оружия есть Первый удар, им можно атаковать в радиусе 1 метра (через гекс). Во время подготовки Мастерского удара персонаж может использовать очки парирования оружия для самозащиты (обычно нельзя). Прием нельзя выполнять во время езды.</t>
  </si>
  <si>
    <t>Мастер импровизированного боя</t>
  </si>
  <si>
    <t>Сила или Креативность 10, Ловкость 10, Импровизированный бой 4.</t>
  </si>
  <si>
    <t>Можно использовать не чаще, чем 1/2 раза в день (Импровизированный бой 4/6). Персонаж достиг мастерства и может делать неожиданные атаки по своим врагам. Прием готовится на секунду быстрее, чем стандартная атака и способен нанести урон сразу двум врагам, стоящим на смежных клетках друг с другом и персонажем. Прием поражает две ближайшие части тела: правая-левая рука/нога, торс-торс, голова-голова. Этот прием можно применять одновременно с приемом «Грязный бой». Прием нельзя выполнять во время езды.
Пассивная часть: персонаж может использовать импровизированный бой, чтобы парировать входящие атаки, если он сам не готовит атаку (как, если бы персонаж держал оружие). Прием дает 30/40/50 очков парирования (Импровизированный бой 4/5/6) + соответствующий бонус от Ловкости</t>
  </si>
  <si>
    <t>Мастер коротких клинков</t>
  </si>
  <si>
    <t>Ловкость 10, Быстрота 10, Короткие клинки 4.</t>
  </si>
  <si>
    <t>Можно использовать не чаще, чем 1/2 раза в день (Короткие клинки 4/6). Персонаж овладел искусством боя на коротких клинках и теперь может наносить мощные удары. Мастерский удар пробивает 10 единиц физической и магической брони, наносит дополнительный урон (Ловкость/2), вызывает эффект кровотечения (как прием «Раздирающий удар») и сжигает ману цели. Количество сожженной маны равно нанесенному урону, умноженному на результат броска 1d12. Прием нельзя выполнять во время езды.</t>
  </si>
  <si>
    <t>Мастер луков</t>
  </si>
  <si>
    <t>Сила 10, Ловкость 10, Луки 4.</t>
  </si>
  <si>
    <t>Можно использовать не чаще, чем 1/2 раза в день (Луки 4/6). Лучник стал мастером и теперь может стрелять сразу двумя стрелами одновременно. В случае успешного попадания (задевающее попадание не считается), вторая стрела летит в ту же часть тела, что и первая, если разница между результатом броска на точность и уворотом цели не меньше 5. Если разница меньше, вторая стрела прилетит в ближайшую соседнюю часть тела. Прием нельзя выполнять во время езды, даже обладая приемом «Конный лучник».</t>
  </si>
  <si>
    <t>Мастер метательного оружия</t>
  </si>
  <si>
    <t>Сила 10, Ловкость 10, Метательное оружие 4.</t>
  </si>
  <si>
    <t>Можно использовать не чаще, чем 1/2 раза в день (Метательное оружие 4/6). Персонаж калечит врагов, не позволяя им покинуть поле боя или эффективно сражаться. Успешное применение приема накладывает эффект увечья на часть тела цели. Эта часть тела получает все штрафы, как если бы ее ОЗ был &lt;50%. Эффект увечья заканчивается вместе с боем или после лечения. Кроме того, прием наносит дополнительный урон равный Силе персонажа.</t>
  </si>
  <si>
    <t>Мастер огнестрельного оружия</t>
  </si>
  <si>
    <t>Выносливость 10, Интеллект 10, Огнестрельное оружие 4.</t>
  </si>
  <si>
    <t>Можно использовать не чаще, чем 1/2 раза в день (Огнестрельное оружие 4/6). Когда у персонажа в руках уже заряженное огнестрельное оружие, он может сделать особенно мощный выстрел, компенсируя отдачу своим телом. Такой выстрел достанет даже цель вдалеке и может сбить с ног. Максимальная дальность и пороговая дальность такого выстрела увеличена на 50%. При попадании, пуля сбивает врага с ног, если наносит не меньше 25% от максимального количества ОЗ части тела. Шанс критического попадания у такого выстрела повышен на 5/10% (Огнестрельное оружие 4/6).</t>
  </si>
  <si>
    <t>Мастер рукопашного боя</t>
  </si>
  <si>
    <t>Сила 10, Ловкость 10, Рукопашный бой 4.</t>
  </si>
  <si>
    <t>Можно использовать не чаще, чем 1/2 раза в день (Рукопашный бой 4/6). Персонаж стал опасным бойцом. Теперь он может раскидывать ублюдков, используя сразу два новых приема рукопашного боя. Использование любой из двух нижеупомянутых атак считается использованием приема «Мастер рукопашного боя».
A) Апперкот. Персонаж совершает удар снизу-вверх с огромной силой, подбрасывая врагов в воздух. Атака должна быть нацелена на туловище или голову. Апперкот наносит 4 дополнительных урона от обычной атаки кулаком. Если персонаж успешно попадает в цель и его (Сила) + ld4+l больше, чем (Выносливость) + ld4 + (Сопротивление) цели, то он подбрасывает врага в воздух. Если разница между противоположными проверками больше 3 (в пользу персонажа), цель летит так высоко, что остается в воздухе 1 секунду и только потом падает. 
Б) Подсечка. Персонаж бьет цель по ноге так сильно, что сбивает врага с ног. Эта способность работает только против существ, которые стоят на 2 ногах. Подсечка добавляет 8 единиц урона к атаке ногой. Персонажу удается сбить противника с ног, если он успешно попал в ногу цели и его (Ловкость)+ld4+3 выше, чем у цели (Выносливость) + ld4 + (Сопротивление). Если разница между противоположными проверками больше 3 (в пользу персонажа), цель падает и ударяется затылком, получая 1d20 физического урона в голову. Эта атака совместима с приемом «Грязный бой». Прием нельзя выполнять во время езды.</t>
  </si>
  <si>
    <t>Мастер топоров и дробящего оружия</t>
  </si>
  <si>
    <t>Сила 10, Выносливость 10, Топоры и дробящее оружие 4.</t>
  </si>
  <si>
    <t>Можно использовать не чаще, чем 1/2 раза в день (Топоры и дробящее оружие 4/6). Персонаж с напором пробивается через оборону врага. Прием наносит дополнительный урон равный Силе персонажа. Если прием был парирован или блокирован врагом, враг получает штраф: -100 очков парирования или блока (соответственно) на следующие 10 секунд. Прием нельзя выполнять во время езды.</t>
  </si>
  <si>
    <t>Мастер экзотического оружия</t>
  </si>
  <si>
    <t>Сила 10, Ловкость 10, Экзотическое оружие 4.</t>
  </si>
  <si>
    <t>Можно использовать не чаще, чем 1/2 раза в день (Экзотическое оружие 4/6). Персонаж освоил секретные техники обращения с экзотическим оружием, чтобы кромсать своих врагов. Прием наносит дополнительный урон: (Ловкость или Сила)/2 и дезориентирует цель: точность -10 в течение следующих 10 секунд. Начиная с пятой секунды цель может бросить на боевой дух, чтобы выйти из состояния дезориентации. Прием нельзя выполнять во время езды.</t>
  </si>
  <si>
    <t>Медитация</t>
  </si>
  <si>
    <t>Сознательность 4; Сознательность персонажа должная быть выше Восприятия.</t>
  </si>
  <si>
    <t>Персонаж может забыть о мирской суете и привести голову в порядок. «Медитация» длится 1 час. В результате медитации боевой дух персонажа становится 0/1/2 (Сознательность 4/7/10).</t>
  </si>
  <si>
    <t>Метаболизм</t>
  </si>
  <si>
    <t>Быстрота 5, Алхимик 3.</t>
  </si>
  <si>
    <t>Самодельные зелья действуют на персонажа эффективнее: +10% к эффекту за каждый уровень Алхимика. Персонаж может выпить одно дополнительное зелье без риска тошноты (3 вместо 2). Частый контакт с различными веществами увеличивает естественную регенерацию персонажа: +1 ОЗ регенерации в день во всех частях тела.</t>
  </si>
  <si>
    <t>Морской волк</t>
  </si>
  <si>
    <t>Ловкость 5, Социализация 5, Моряк 2.</t>
  </si>
  <si>
    <t>Матросу часто приходилось попадать в экстремальные ситуации, принимать быстрые решения, делать то, что он никогда раньше не делал. Он обрел авторитет среди остальных членов экипажа, которые вдохновляются его примером. Во время боя, после того как Морской волк делает успешный бросок на БД (по любому поводу), он и его союзники в радиусе 10 метров получают бонус к урону на следующий удар в этом бою, зависящий от категории оружия.
Категория оружия        Дополнительный физический урон
1                                                          1/2d4 
2                                                          1/2d6 
3                                                          1/2d8 
4                                                         1/2d10 
5 и более                                           1/2d12 
                                                      (Моряк 2/6)
Дополнительно, с вероятностью (Моряк)*10% члены его команды (союзники) в радиусе 10 метров получают повышение БД на 1 ед. Такое повышение БД духа может произойти не чаще, чем раз в неделю.</t>
  </si>
  <si>
    <t>Мудрец</t>
  </si>
  <si>
    <t>Сознательность 5, Философ 1.</t>
  </si>
  <si>
    <t>Размышления об идеальных сущностях помогают магам контролировать свой поток маны. Персонаж получает +10 маны за каждый уровень Философа. Мудрец имеет более высокую эффективность при обучении кого-то новым профессиям или боевым навыкам: +0.5 к коэффициенту эффективности обучения.</t>
  </si>
  <si>
    <t>Мясник</t>
  </si>
  <si>
    <t>Повар 2, Короткие клинки или Топоры и дробящее оружие 2.</t>
  </si>
  <si>
    <t>Персонаж снабжает кухню свежим мясом, шинкуя своих врагов на куски. Используя Короткие клинки и/или Топоры и дробящее оружие, персонаж наносит дополнительный урон: (Повар)/2. Округление всегда делается в меньшую сторону. Заточка вышеупомянутого оружия дает шанс повышения БД мясника. И наоборот, затупившееся оружие может понизить БД.</t>
  </si>
  <si>
    <t>Неизбежность</t>
  </si>
  <si>
    <t>Креативность 5, Сознательность 5, Констебль 1.</t>
  </si>
  <si>
    <t>Можно использовать не чаще, чем 1/2/3 раза в день (Восприятие 5/7/9). Персонаж привык использовать служебное положение для достижения своих целей. Он научился заставлять других сдаваться и подчиняться, а после этого выбивать из них показания. Его целям сложнее сопротивляться негативным эффектам с помощью боевого духа. Учетная вероятиность успеха цели от БД снижается в зависимости от Креативности персонажа, как показано в таблице ниже:
БД                   -3           -2            -1             0             1             2             3             4              5
Стандарт        5%        10%        20%        30%        50%        60%        70%        80%        90%
С приемом:                                                                        
КРЕ 5              0%         5%         15%        25%        45%        55%        65%        75%        85%
КРЕ 6              0%         0%         10%        20%        40%        50%        60%        70%        80%
КРЕ 7              0%         0%          5%         15%        35%        45%        55%        65%        75%
КРЕ 8              0%         0%          0%         10%        30%        40%        50%        60%        70%
КРЕ 9              0%         0%          0%          5%         25%        35%        45%        55%        65%
КРЕ 10            0%         0%          0%          0%         20%        30%        40%        50%        60%
КРЕ 11            0%         0%          0%          0%         15%        25%        35%        45%        55%
КРЕ 12            0%         0%          0%          0%         10%        20%        30%        40%        50%
КРЕ 13            0%         0%          0%          0%          5%         15%        25%        35%        45%
КРЕ 14            0%         0%          0%          0%          0%         10%        20%        30%        40%</t>
  </si>
  <si>
    <t>Начертание</t>
  </si>
  <si>
    <t>Интеллект 5, Писарь 2, Чародей 2.</t>
  </si>
  <si>
    <t>Персонаж научился писать магические свитки, содержащие закрепленные заклинания. Любой персонаж, умеющий читать, может использовать такой свиток для сотворения заклинания (им самим не обязательно владеть магией или иметь профессию Чародея). После первого использования свиток теряет свои магические свойства (одноразовое использование). Время использования свитка равно изначальному времени сотворения соответствующего заклинания. В листе «Писарь» в цифровом листе персонажа указаны необходимые материалы и достижимые свойства начертанных заклинаний. В зависимости от чернил, пера и бумаги свитки могут содержать заклинания более высокого уровня. Написав свиток, персонаж тратит Ману, которую он потратил бы на написанное заклинание. Магический свиток не имеет срока годности.</t>
  </si>
  <si>
    <t>Неприхотливая магия</t>
  </si>
  <si>
    <t>Концентрация 6, любой навык магии 2.</t>
  </si>
  <si>
    <t>Персонажу проще делать заклинания в доспехах. Прием полностью устраняет шанс провала заклинания первого круга, понижает такую вероятность для заклинаний 2-го круга на 50%, 3-го круга на 40%, 4-го круга на 30%. Шанс провала заклинания с закрепленным приемом «Неприхотливая магия»:
Шанс провала заклинания с приемом Неприхотливая магия
Круг заклинания                                           1           2           3            4           5           6           7+
Без доспехов или в тканевой одежде        0%        0%        0%        0%        0%        0%        0%
Легкие доспехи                                            0%        0%        0%        0%        20%      20%      20%
Средние доспехи                                         0%        0%        0%       10%       40%     40%      40%
Тяжелые доспехи                                         0%       20%      30%      40%       70%     70%      70%
Прием «Стабильная магия» еще сильнее снижает штрафы при ношении доспехов.
Предположим, что персонаж носит отдельные элементы брони или броню разных типов (например, кожаные сапоги и кольчугу). В этом случае у каждого элемента будет индивидуальное воздействие на вероятность провала заклинаний, описанное в их цифровом листе персонажа — лист «Одежда, доспехи, щиты».</t>
  </si>
  <si>
    <t>Новый горизонт</t>
  </si>
  <si>
    <t>Навык магии 3</t>
  </si>
  <si>
    <t>Персонаж посвятил много времени практикованию своего любимого заклинания и превзошел его границы. Игрок может выбрать одно переменное свойство у закрепленного заклинания, которое имеет прогрессию (выглядит, как A/B/C). Это свойство получает четвертую ступень прогрессии (A/B/C/D), позволяя персонажу усилить эффективность заклинания, если он достиг соответствующего значения атрибута. Требование атрибута к четвертой ступени прогрессии растет в том же тренде, как и до этого.
Например, заклинание длится 1/2/3 секунды (Сознательность 4/6/8). Если персонаж берет прием, прогрессия может быть продлена до 1/2/3/4 секунд (Сознательность 4/6/8/10). 
Новый горизонт нельзя применять к переменным параметрам заклинания, прогрессия которых зависит от уровня навыка магии. Прием может быть закреплен несколько раз для разных заклинаний (прием нельзя использовать на разные свойства одного и того же заклинания).</t>
  </si>
  <si>
    <t>Ночная смена</t>
  </si>
  <si>
    <t>Выносливость 5, Пастух 2.</t>
  </si>
  <si>
    <t>Персонажу приходилось пасти скот по ночам. Теперь для того, чтобы нормально высыпаться и восстанавливать силы, ему необходимо спать только 75% от обычного времени (для обычного человека: 6 часов вместо 8). Помимо этого, он получает +1 к точности в ночное время суток (от заката до рассвета). Прием не дает персонажу возможность видеть в темноте. В главе 10.1. описаны правила ведения боя в темноте и условиях ограниченной видимости.</t>
  </si>
  <si>
    <t>Нырок</t>
  </si>
  <si>
    <t>Активный защитный</t>
  </si>
  <si>
    <t>Быстрота 5, отсутствие тяжелых доспехов.</t>
  </si>
  <si>
    <t>Нырок можно делать не чаще, чем 1/2 раза за бой (Выносливость _/8). Персонаж пытается нырнуть под удар врага при этом занимая предпочтительную позицию: +80% к увороту от Гибкости против одного врага на 1 секунду. Во время этой секунды персонаж не может готовить удар или бить. Если Нырок оказался успешным, персонаж получает +50% к точности (в расчете от текущего бонуса к точности) и +5/10% к шансу нанести критический удар (Интеллект 5/10). Если Нырок оказывается неудачным и по персонажу попадают, он получает дополнительно на 20% больше урона. Если у персонажа закреплен прием «Шаг в сторону», он будет срабатывать, когда персонаж успешно увернулся от атаки при использовании приема «Нырок».</t>
  </si>
  <si>
    <t>Обманный маневр</t>
  </si>
  <si>
    <t>Быстрота 4, Креативность 4, Мошенник 1.</t>
  </si>
  <si>
    <t>Можно использовать не чаще, чем 1/2/3 раза в день (Мошенник 1/3/5). Прием не работает против персонажей, у которых есть прием «Бывалый». Если Креативность персонажа выше, чем Сознательность врага, персонаж может запутать врага и подставить случайную часть тела под удар, независимо от того, куда враг целился. Случайная часть тела определяется броском 1d8 (подробности в главе 9.1.). В отличие от оптимального удара, персонаж не теряет 5 ед. уворота в случайной части тела.</t>
  </si>
  <si>
    <t>Однорукий маг</t>
  </si>
  <si>
    <t>Ловкость 6, Выносливость 5.</t>
  </si>
  <si>
    <t xml:space="preserve">Маг может использовать одну руку для сотворения заклинаний, освобождая при этом вторую руку. Прием не дает возможность использовать другую руку, чтобы одновременно создавать два заклинания параллельно (с этим поможет прием «Двойной магический беспредел»). Пример: персонаж может атаковать врага своим кинжалом в основной руке, одновременно применяя заклинания другой рукой. Если заклинание снарядного типа с броском точности (например, огненная стрела), персонаж получает те же штрафы для заклинания и оружия/щита, как описано в приеме «Оружие в каждой руке». </t>
  </si>
  <si>
    <t>Оратор</t>
  </si>
  <si>
    <t>Активный и Пассивный</t>
  </si>
  <si>
    <t>Социализация 5.</t>
  </si>
  <si>
    <t>Персонаж не боится публичных выступлений и знает как правильно контролировать свое дыхание. Добавляет +1 к броскам на профессии Мошенник, Торговец и Артист, если задействована речь. Раз за день персонаж может добавить 1d4 к броску на Социализацию, если его внешность 2 или выше. Без приема “Оратор” персонажу нужно успешно пройти проверку на БД выступая перед массой людей.</t>
  </si>
  <si>
    <t>Оружие в каждой руке</t>
  </si>
  <si>
    <t>Ловкость 8.</t>
  </si>
  <si>
    <t>Прием позволяет снизить штрафы к точности используя два оружия одновременно (см. таблицу снизу). *Легкое оружие - это оружие, которое весит 6 условных единиц веса или меньше. Вес оружия можно посмотреть в закладке «Оружие» в цифровом листе персонажа.
                                                                                                                Точность                                             Парирование
Условие                                                                             Основная рука        Вторая рука        Основная рука        Вторая рука
Обычные штрафы                                                                      -8                           -12                          -24                         -36
*Легкое оружие во второй руке                                                 -6                           -10                          -18                         -30
С приемом                                                                                  -5                            -5                           -15                         -15
*Легкое оружие во второй руке + прием                                  -3                            -3                             -9                          -9</t>
  </si>
  <si>
    <t>Острый нюх</t>
  </si>
  <si>
    <t>Восприятие 5, Охотник 3.</t>
  </si>
  <si>
    <t>Опыт выслеживания добычи дал персонажу острое обоняние. Охотники могут чувствовать запах и отслеживать цель, определяя какое животное или гуманоид находится впереди. К ним гораздо труднее подкрасться (+2 к оппозиционному броску на Восприятие) или даже обнаружить, поскольку они умеют заметать собственные следы. Охотники более высокого уровня могут приблизительно сказать в какое время цель была в определенном месте. Кроме того, острое обоняние становится очень полезным в условиях ограниченного зрения (темнота, слепота и т. д.), они по запаху чуют направление расположения существ в пределах радиуса (Охотник) метров.</t>
  </si>
  <si>
    <t>Ответный удар</t>
  </si>
  <si>
    <t>Быстрота 5, Восприятие 5.</t>
  </si>
  <si>
    <t>Можно использовать не больше, чем 1/2/3 раза за бой (Выносливость _/8/15). После успешного парирования оружием скорость действий персонажа для следующей атаки этим оружием увеличивается на 50%. Например, Быстрота персонажа - 6 и соответственно, текущая скорость действий +18%. После успешного парирования атаки противника рапирой, персонаж может сделать прием «Ответный удар» и это увеличит скорость действий до +68%, что, в свою очередь, ускорит подготовку к атаке с 3 до 1 секунды для рапиры. Это позволит персонажу совершить атаку рапирой сразу в следующую секунду после парирования.</t>
  </si>
  <si>
    <t>Паства</t>
  </si>
  <si>
    <t>Сознательность 6, Пастух или Укротитель 3, любой навык магии 1.</t>
  </si>
  <si>
    <t>Стадо следует за персонажем на убой. Персонаж может призывать одно дополнительное существо сверх лимита, указанного в заклинании. Срок жизни существ, которых призвал персонаж, повышается на 3/5/7 секунд (Пастух 3/5/7). Все призванные и прирученные персонажем существа получают +1 к точности.</t>
  </si>
  <si>
    <t>Песнь битвы</t>
  </si>
  <si>
    <t>Креативность 6, Социализация 6. Артист 2</t>
  </si>
  <si>
    <t>Песню битвы можно исполнять не чаще, чем раз в день, и только во время боя. Персонаж научился сочетать свои музыкальные, актерские и вокальные таланты. Когда бой начинается, он может начать одновременно петь и играть на музыкальном инструменте, при этом теряя возможность бегать (может только ходить со скоростью 1 м/с). Уворот персонажа от Гибкости во время Песни снижается как у стационарного действия (-50%). В этом состоянии его руки заняты и он не может сражаться или творить заклинания. Не может разговаривать с союзниками.
Уровень Артиста             Часть песни            Время периода, секунды           Бонус союзникам и самому исполнителю
2                                       Вступление                                 1-5                            +2 к любым оппозиционным защитным броскам (в т.ч. сопротивление захватам и магии)
3                                          Куплет 1                                 6 - 10                          Шанс критического удара и заклинания +5%
4                                          Припев                                   11-15                          Точность +3 / -3
5                                          Куплет 2                                 16-20                          СА и ССМ ускоряется на18%
6                                          Припев                                 21 - 25                          Точность +3 / -3
7                                          Куплет 3                               26 - 30                          Уворот +3
8                                          Припев                                 31 - 35                          Точность +3 / -3
9                                          Куплет 4                               36 - 40                          Скорость бега +1
10                                        Припев                                 41 - 45                          Точность +3 / -3
11                                       Концовка                               46 - 50                          +2 к любым оппозиционным атакующим броскам (в т.ч. захваты и магию)
Войдя в состояние «Песни битвы», персонаж повышает боеспособность ближайших союзников. После того как музыкант перестал играть, эффект его музыки всё еще звенит в ушах его союзников и его самого. Все эффекты, которые успели подействовать, длятся еще столько же времени, сколько длилась песня с самого начала. Если, к примеру, персонаж успел отыграть 15 секунд, то возникшие эффекты будут действовать на цели еще 15 секунд после этого. Быстрота не влияет на скорость активации эффектов «Песни битвы».
Каждый куплет песни добавляет усиливающий эффект, вдобавок к эффектам предыдущих куплетов. Персонаж может выбрать воодушевляющий припев для союзников или издевательский припев для врагов (понимающих язык песни). В зависимости от этого каждый спетый припев будет добавлять +3 к точности союзников либо снижать точность врагов на 3. Этот прием воздействует на всех союзников (врагов) в радиусе (Социализация) метров.
Во время Песни игрок может один раз сделать бросок на Креативность по сложности 15/20. В случае успеха он может пропустить 1/2 выбранные части музыкального произведения, либо поменять части местами. Вступление и концовка всегда остаются на своих местах. Пропущенная часть не даст никакого положительного эффекта. Игрок выбирает сложность сам. В случае провала Песня досрочно прерывается.</t>
  </si>
  <si>
    <t>Песнь вдохновения</t>
  </si>
  <si>
    <t>Социализация 5, Креативность 5, Артист 2.</t>
  </si>
  <si>
    <t>Можно использовать не чаще одного раза в три дня. Трубадур может использовать свои вокальные данные и музыкальный инструмент, чтобы спеть ободряющую песню, при этом теряя возможность бегать (может только ходить со скоростью 1 м/с). Уворот персонажа от Гибкости во время Песни снижается как у стационарного действия (-50%). В этом состоянии его руки заняты и он не может сражаться или творить заклинания. Не может разговаривать с союзниками.
У слушателей песни есть шанс повысить боевой дух. Однако чем искушеннее слушатель, тем сложнее ему угодить. Трубадур должен сделать бросок на Артиста, добавив бонус уровня своего инструмента (который равен требуемому уровню Плотника для его изготовления). Если результат равен или выше броска слушателя на Интеллект - это успех, и слушатель получает +1 к БД. Каждая повторная песнь вдохновения, исполненная одним и тем же трубадуром, добавляет +1 к броску слушателя. Используя этот прием, персонаж не может повысить боевой дух слушателей выше 4. Песнь вдохновения не действует на самого музыканта.</t>
  </si>
  <si>
    <t>Пробивной удар</t>
  </si>
  <si>
    <t>Сила 5, Сознательность 5, Выносливость 5, Рукопашный бой 3 или Древковое оружие 3, отсутствие щита и/или доспехов (тканевая одежда допускается), отсутствие кастетов и/или наголенников.</t>
  </si>
  <si>
    <t>Можно использовать не чаще, чем 1/2/3 раза за бой (ВЫН 5/8/11). Пробивной удар можно сделать кулаком, ногой или посохом. Персонаж концентрируется и бьет со всей силы. Никакие доспехи не спасут врага в этот момент. Удар пронзает (пробивает) 4/8/12 физической брони, включая физическую броню, полученную с помощью магии (СИЛ 5/7/9). Если персонаж достаточно проворный, его успешный проникающий удар также применяет эффект «Раскол брони», уменьшающий физическую броню цели на 1/2/3 единицы до конца боя (ЛОВ 6/8/10). Множественные эффекты «Раскол брони» совместимы друг с другом. Броня не может быть уменьшена ниже нуля.</t>
  </si>
  <si>
    <t>Проходной удар</t>
  </si>
  <si>
    <t>Креативность 5, Восприятие 5, боевой навык ближнего боя 2.</t>
  </si>
  <si>
    <t>Можно использовать не чаще, чем один раз за бой против одного противника. Персонаж сражается против врага, который активно защищается - блокирует и/или парирует. Но даже к таким врагам персонаж нашел подход и проход. Используя оружие ближнего боя, он делает фальшивый выпад по части тела и, не доводя удар до конца, потом резко бьет в другую часть тела. Благодаря этому, у жертвы снижается учетное количество очков блока или парирования в части тела, которая выбрана для Проходного удара: 1d6+(Креативность).</t>
  </si>
  <si>
    <t>Равновесие в бою</t>
  </si>
  <si>
    <t>Ловкость 4, Гибкость 4, Рукопашный бой 2 или Древковое оружие 2, отсутствие щита и/или доспехов (тканевая одежда допускается), отсутствие кастетов и/или наголенников.</t>
  </si>
  <si>
    <t>Можно применять 1/2/3 раза за бой (Выносливость 4/8/12). Персонаж может сгибаться и балансировать, сражаясь кулаками, ногами или боевым посохом. Это позволяет ему лучше уклоняться от вражеских атак. При этом, чем больше он выгибается, тем больше рискует потерять равновесие и упасть. Он получает +1/3/5/7/9 к увороту в выбранной части тела, если преодолеет сложность броска на Ловкость: 5/10/15/20/25. Игрок сам выбирает с какой сложностью он делает манёвр. В случае провала броска - он теряет равновесие и падает. Прием можно делать даже во время того, как персонаж исполняет стационарное действие, например делает заклинание. Эффект от приема будет работать даже если персонаж достиг предела уворота от Гибкости. Не применимо одновременно с другими активными защитными приемами и в состоянии «Дикости». Если персонаж держит в руках посох, он может его задействовать, чтобы получить +1/2/3 к броску (Древковое оружие 2/4/6). В этот момент он не может готовить удар посохом или парировать.</t>
  </si>
  <si>
    <t>Раздача монаха</t>
  </si>
  <si>
    <t>Выносливость 5, Быстрота 5, Сознательность 5, Рукопашный бой 3 или Древковое оружие 3, Равновесие в бою, отсутствие щита и/или доспехов (тканевая одежда допускается), отсутствие кастетов и/или наголенников.</t>
  </si>
  <si>
    <t>Можно использовать не чаще, чем 1/2 раза за бой (Сознательность 5/7). Персонаж может делать комбинацию ударов кулаками, ногами или посохом, чтобы победить своего врага. Каждый последующий удар против одного и того же врага должен быть направлен в часть тела, которая отличается от предыдущей части тела, в которую бил монах. Например, первый удар в голову, потом в туловище, снова в голову, в правую руку и так далее. Активное состояние “Раздача монаха” остается активным, если персонаж успешно поразил цель во время предыдущей атаки (не промахнулся), в противном случае эффект прекращается.
Первый удар – обычная атака. Каждая последующая успешная атака имеет дополнительно +3 точности и +3 урона. Максимальное количество ударов в раздаче равно Выносливости персонажа. Если персонаж дерется двумя руками (каждой рукой параллельно), его первый и второй удары могут быть нанесены одновременно в одну секунду (для получения бонуса).
Очередность ударов                  Точность               Урон
                       1                           нет бонуса         нет бонуса
                       2                                 +3                       +3
                       3                                 +6                       +6
                       4                                 +9                       +9
                       5                                +12                     +12
                       6                                +15                     +15
                       ...                                  ...                        ...
Если скорость действий персонажа +50% или больше, он может наносить по два удара кулаком в секунду во время Раздачи монаха (обычно для этого персонажу нужна Быстрота 20).
Раздача монаха совместима с приемом «Ясность разума» (эти два активных состояния могут быть активны одновременно). Применение любого активного приема во время «Раздачи монаха» прервет действие приема «Раздача монаха».</t>
  </si>
  <si>
    <t>Раздирающий удар</t>
  </si>
  <si>
    <t>Сила 5, Ловкость 5, Лекарь 2, режущее или колющее оружие (включая оружие дальнего боя).</t>
  </si>
  <si>
    <t>Можно использовать не чаще, чем 1/2 раз за бой (ВЫН _/9). Персонаж знает где пролегают крупные кровеносные сосуды и пытается их порезать. Если ему удается попасть «Раздирающим ударом» в часть тела, применяется эффект кровотечения. Кровотечение наносит дополнительный урон с течением времени. Суммарный урон от кровотечения составляет 50% от нанесенного при ударе урона. Каждую секунду кровотечение наносит максимум 3 единицы урона. Пример: персонаж использует «Раздирающий удар». Он наносит 22 урона за удар и дополнительно 11 урона с течением времени следующим образом:
Секунда        1         2        3        4        5        6        7        8        9
Урон             22        0        3        0        3        0        3        0        2
Урон от кровотечения чистый. Его нельзя уменьшить физической или магической броней.</t>
  </si>
  <si>
    <t>Раздражающий удар</t>
  </si>
  <si>
    <t>Ловкость 6, Сознательность 5, Рукопашный бой 2 и/или Древковое оружие 2, отсутствие щита и/или доспехов (тканевая одежда допускается), отсутствие кастетов и/или наголенников.</t>
  </si>
  <si>
    <t>Можно использовать не чаще, чем 1/2 раз за бой (Сознательность 5/10). Персонаж научился останавливать вражеских магов, делая отвлекающие удары кулаками, ногами или посохом. Если персонаж бьет цель, её Концентрация снижается на величину урона раздражающего удара. Концентрация цели восстанавливается по 1 очку каждые 5 секунд. Эффект сниженной Концентрации начинает действовать на следующую секунду после секунды нанесения Раздражающего удара.</t>
  </si>
  <si>
    <t>Реалистичная картина</t>
  </si>
  <si>
    <t>Художник: 3, Креативность 6, любая школа магии 1.</t>
  </si>
  <si>
    <t>Персонаж вкладывает всю душу в свои работы и научился создавать рисунки, которые трудно отличить от реальности. Художник может рисовать картины с особыми свойствами (и слабой магической аурой).
Реалистичный портрет. Человек должен позировать художнику, чтобы его можно было точно изобразить. Рисование портрета занимает 1d20+20 часов. Для того, чтобы портрет получился реалистичным, персонажу надо сделать успешный бросок на Художника. Сложность: 12. Если портрет удался (бросок на Художника 12 или выше), персонаж может связываться с человеком, изображенным на его портрете, общаться с ним, видеть мимику его лица. Сеанс связи может продолжаться не дольше 10 минут и не чаще, чем раз в день.
Реалистичный пейзаж. Художник должен находиться в месте, которое он изображает на холсте. Рисование пейзажа занимает 1d20+30 часов. Для того, чтобы пейзаж получился реалистичным, персонажу надо сделать успешный бросок на Художника. Сложность: 15. Если пейзаж удался, персонаж может раз в три дня проникать в собственную картину, оказываясь в нарисованном месте.
У персонажа может быть не более 1/2/3/4/5 реалистичных картин одновременно (Художник 3/4/5/6/7). Посторонние люди не могут пользоваться эффектами картин, которые описаны выше.</t>
  </si>
  <si>
    <t>Рывок</t>
  </si>
  <si>
    <t>Выносливость 4, Быстрота 5.</t>
  </si>
  <si>
    <t>Может быть использовано не чаще, чем 1/2/3 раза в бою (Выносливость 4/7/10). Персонаж бросается вперед с повышенной скоростью. На секунду его скорость бега удваивается. Новый Рывок можно сделать не раньше, чем через 6 секунд после предыдущего. Во время секунды Рывка, персонаж не может использовать свои руки (готовить удар, атаковать, схватить кого-то или что-то и т.д.). При этом он сохраняет все накопленные секунды подготовки мобильного действия. В случае если скорость бега персонажа во время Рывка в два раза больше, чем у врага, враг не сможет ударить по персонажу в ближнем бою, даже если враг бежит за персонажем. В погоне без Рывка, враг бы все еще смог бы нанести удар в ближнем бою в первую секунду «убегания»).</t>
  </si>
  <si>
    <t>Секущий удар</t>
  </si>
  <si>
    <t>Сила 10, Выносливость 10, Без остановки.</t>
  </si>
  <si>
    <t>Можно использовать не более, чем 1/2/3 раза за бой (Выносливость 10/14/18). Персонаж ныряет в самую гущу битвы, совершая горизонтальные удары, которые обязательно до кого-нибудь достанут. Сначала атака нацелена на руку. Если промахивается, то торс следующий. В случае неудачи атака продолжается по стоящему рядом персонажу в том же порядке, в зависимости от траектории удара. Угол Секущего удара 180 градусов. Можно выполнить Секущий удар вместе с приемом «Яростный удар», хотя он тоже активный атакующий. Критический «Секущий удар» прорезает цель и наносит урон соседней цели (при попадании).</t>
  </si>
  <si>
    <t>Серия бросков</t>
  </si>
  <si>
    <t>Креативность 4, Метательное оружие 2.</t>
  </si>
  <si>
    <t>Персонаж не остановится, пока не закидает врага острыми предметами. Каждое попадание метательным оружием по врагу увеличивает урон от следующего попадания метательного оружия на (Креативность/2) единиц (не обязательно попадать в ту же часть тела). Эффект накапливается. Промах не сбрасывает бонус к урону, накопившейся от предыдущих удачных бросков.</t>
  </si>
  <si>
    <t>Сила воды</t>
  </si>
  <si>
    <t>Интеллект 6, Рыбак 3, Магия воды 3.</t>
  </si>
  <si>
    <t>«Сила огня».</t>
  </si>
  <si>
    <t>Вода становится источником силы и очищения. Находясь в воде, персонаж может творить заклинания магии воды и заклинания других школ 1/2/3/4/5 (Рыбак 3/4/5/6/7) уровня (нельзя делать во время плавания). Персонаж может размещать заклинания магии воды в морских раковинах. Уровень Рыбака равен лимиту вставленных уровней заклинаний. Например, у персонажа профессия Рыбака 7 уровня. Он может иметь 3 ракушки с заклинаниями 2го уровня и один с заклинанием первого уровня. Помимо этого, благодаря Силе воды, персонаж получает +5% к шансу критического эффекта при сотворении магии воды.</t>
  </si>
  <si>
    <t>Сила воздуха</t>
  </si>
  <si>
    <t>Креативность 6, Стеклодув 3, Магия воздуха 3.</t>
  </si>
  <si>
    <t>«Сила земли»</t>
  </si>
  <si>
    <t>Ветра наполняют персонажа древней энергией. Стеклодувы могут использовать поток воздуха для создания уникальных сосудов для размещения заклинаний магии воздуха любого уровня и заклинаний других школ магии 1/2/3/4/5 (Стеклодув 3/4/5/6/7) уровня. Уровень Стеклодува равен условному лимиту уровней заклинаний, которые можно разместить. К примеру, персонаж является Стеклодувом 7 уровня. Он может иметь 3 сосуда с заклинаниями 2го уровня и один с заклинанием первого уровня. Помимо этого, персонаж получает +5% к шансу критического эффекта при сотворении магии воздуха.</t>
  </si>
  <si>
    <t>Сила демонологии</t>
  </si>
  <si>
    <t>Социализация 6, Торговец 3, Демонология 3.</t>
  </si>
  <si>
    <t>«Сила света»</t>
  </si>
  <si>
    <t>У души, как и у всего вокруг, есть своя цена. Персонаж стал агентом дьявола и теперь может покупать души для своего темного повелителя. Он может убедить человека подписать договор о продаже души на взаимовыгодных условиях. За каждую купленную душу персонаж получает комиссию. Шанс критического эффекта заклинаний Демонологии увеличен на 5%. Опытный Торговец может расширить свой промысел, используя демонов-прислужников. У персонажа может быть не более 1/2/3 прислужников (Торговец 5/7/9). Днем прислужники выглядят как обычные люди, выполняют приказы, заказывают товар у поставщиков, подписывают накладные. Но ночью они меняют облик, становятся свирепыми демонами, которые могут сторожить склад своего хозяина. Демоны-прислужники описаны в таблице ниже:
                                                                         Дневная форма                                                   Ночная форма 
                                                                              (гуманоид)                                                             (демон)
ОЗ                                                   Голова: 39; Торс: 77; Рука или нога: 51        Голова: 69; Торс: 139; Рука или нога: 93
Мана                                                                           315                                                                      210
Физическая броня                                                        0                                                                         2
Магическая броня                                                        2                                                                         0
Скорость Бега                                                              4                                                                         5
Физические атрибуты                                                  6                                                                        11
Ментальные атрибуты                                                 9                                                                        6
Боевые оружейные навыки                                         4                                                                        5
Навык Демонологии                                                     5                                                                        4
Кол-во профессий                                      3 (по выбору игрока)                                                         0
Уровень профессий                                                     5                                                                        0
Демон-прислужник может использовать любое выданное оружие и носить любые предоставленные доспехи</t>
  </si>
  <si>
    <t>Сила земли</t>
  </si>
  <si>
    <t>Сознательность 6, Земледелец 3, Магия земли 3.</t>
  </si>
  <si>
    <t>«Сила воздуха»</t>
  </si>
  <si>
    <t>Матушка-земля помогает персонажу стойко преодолевать любые невзгоды. Стоя на земле, персонаж получает +1/2/3/4/5 к Концентрации (Земледелец 3/4/5/6/7). Растительная пища, собранная Земледельцем, восстанавливает ему до 6/7/8/9/10 ОЗ в день (Земледелец 5/6/7/8/9) во всех частях тела. Некоторые грибы оказывают неожиданный положительный эффект. Сон на земле дает +20% дополнительной регенерации маны. Помимо этого, персонаж получает +5% шанса критического удара при создании заклинаний магии земли.</t>
  </si>
  <si>
    <t>Сила крови</t>
  </si>
  <si>
    <t>Креативность 6, Лекарь 3, Магия крови 3.</t>
  </si>
  <si>
    <t>«Сила рун»</t>
  </si>
  <si>
    <t>Кровь усиливает персонажа, делая его намного более способным и опасным одновременно. Лекарь старается лечить людей и спасать хрупкие жизни. Во время боя люди часто истекают кровью и быстро умирают, а Лекарь может задействовать Магию крови, чтобы изучить кровь потерпевшего и найти подходящего донора. Такие персонажи могут делать переливание крови вне боя (link). Донор может отдать вплоть до 4/5/6/7/8% от максимального запаса здоровья, не теряя при этом свои ОЗ (Лекарь 3/4/5/6/7). Дополнительные ОЗ сверх указанной величины будут отняты у донора (равномерно, из каждой части тела). Переливание крови стоит 1 ед. Маны за каждое перелитое ОЗ. Помимо этого, персонаж получает +5% к шансу сотворить заклинание Магии крови с критическим эффектом.
        Группа крови        Население мира (%)
1        O +                                38.67%
2        A +                                 27.42%
3        B +                                22.02%
4        AB +                                5.88%
5        O -                                   2.55%
6        A -                                    1.99%
7        B -                                   1.11%
8        AB -                                 0.36%
Опытный Лекарь знает как улучшить собственное здоровье и усилить Магию крови:
Уровень Лекаря                Дополнительные преимущества
3                                        +25 ОЗ
4                                        Эффект кровотечения наносит 60% от причиненного урона (вместо 50%)
5                                        Особые антитела сопротивляются эффекту ядов, снижая урон от яда на 25%
6                                        +1 к регенерации ОЗ
7                                        +50 ОЗ (вместо +25 ОЗ)
8                                        Эффект кровотечения наносит 70% от причиненного урона (вместо 60%)
9                                        Один раз в сутки персонаж может ускорить сотворение одного заклинания на 50% за счет 30% снижения здоровья в выбранной части тела (от максимума).</t>
  </si>
  <si>
    <t>Сила огня</t>
  </si>
  <si>
    <t>Восприятие 6, Гончар 3, Магия огня 3.</t>
  </si>
  <si>
    <t>«Сила воды»</t>
  </si>
  <si>
    <t>Пламя дает особую силу. Гончарные сосуды, сделанные персонажем, могут вмещать в себя заклинания магии огня и заклинания других школ магии 1/2/3/4/5 уровня (Гончар 3/4/5/6/7). Уровень Гончара равен условному лимиту уровней заклинаний, которые можно разместить. К примеру, персонаж является Гончаром 7 уровня. Он может иметь 3 глиняных горшка с заклинаниями 2го уровня и 1 с заклинанием первого уровня. Персонаж также получает +5% к шансу сотворить заклинание магии огня с критическим эффектом.</t>
  </si>
  <si>
    <t>Сила порядка</t>
  </si>
  <si>
    <t>Интеллект 6, Механик 3, Магия порядка 3.</t>
  </si>
  <si>
    <t>«Сила хаоса»</t>
  </si>
  <si>
    <t>У персонажа инженерный склад ума, который позволяет видеть мир как материал для конструирования идеального порядка. Каждый механизм или инструмент, связанный со своим создателем, является воплощением дисциплины. Это позволяет магам порядка манипулировать такими объектами, используя свою профессию Механика. Некоторые основные прототипы описаны в таблице на следующей странице. При этом, персонаж может самостоятельно изобретать машины на основе собственных знаний и опыта (одобренные Мастером). Дополнительно персонаж получает +5% к шансу критического эффекта для магии порядка.
Ур. мех.                             Прототип живой машины                                             Возможности, способности, свойства                                                                   Стоимость материалов (серебр. монет)                      Время создания (часов)                  Необходимое кол-во маны, чтобы поддерживать машину
3                                        Мобильная доска на колесах                                      Перевозит небольшие объекты и привлекает внимание                                                                     1.20                                                                          3                                                                                   3 Мана/час
                                          Автоматизиров. гончарный круг                                  +2 к броскам на Гончара, время создания предметов снижается на 30%                                          0.80                                                                          2                                                                                  3 Мана/час
4                                        Пульт управления                                                         Включает механизмы, созданные персонажем, на расстоянии                                                          2.00                                                                          5                                                                                  4 Мана/час
                                          Сигнализация                                                                Предупреждает о приближающихся врагах                                                                                          2.40                                                                          6                                                                                  4 Мана/час
5                                        Циркулярная пила или дрель                                      Режет или сверлит всё подряд: Двуручное, точность -1,                                                                      8.40                                                                        16                                                                                  5 Мана/час
                                                                                                                                 Подготовка первой атаки: 4 сек. Урон: ld8+14 и столько же каждую секунду. Крит +5%.
                                          Пояс чародея                                                               +3 к Броскам на Чародея, время зачарования снижено на 40%                                                         16.00                                                                        14                                                                                  5 Мана/час
6                                        Протез                                                                           Замена потерянной руки или ноги                                                                                                         32.00                                                                        24                                                                                  6 Мана/час
                                          Насос                                                                             Позволяет перекачивать жидкость                                                                                                        28.00                                                                       18                                                                                   6 Мана/час
7                                        Автоматизиров. приспособление для арбалета        Арбалет, приделанный к другому механизму, (например, мобильная доска)                                    36.00                                                                        26                                                                                  7 Мана/час
                                                                                                                                 может стрелять сам по себе
                                          Автоматизиров. устройство                                         Прикрепляется к любому огнестрельному оружию.                                                                             30.00                                                                        12                                                                                 7 Мана/час
                                          для перезарядки огнестрельного оружия                   Получает +50% к увеличению Скорости атаки.
                                          Автоматизиров. кран                                                    +3 к броскам на Строителя, время на строительство снижено на 40%                                               70.00                                                                       42                                                                                15 Мана/час
8                                        Автоматизиров. приспособление, творящее магию  Магическое приспособление, прикрепленное к другому механизму                                                   60.00                                                                        28                                                                                  8 Мана/час
                                                                                                                                 (например, мобильной доске), может творить заклинания 1-4 уровня (Запас маны: 100) 
                                          Автоматизиров. ткацкий станок                                   +4 к броскам на Ткача, время шитья снижается на 60%                                                                      60.00                                                                        32                                                                                12 Мана/час
                                          Сборочный аппарат                                                      +4 к броскам на Механика, время конструирования снижается на 60%                                             80.00                                                                        42                                                                                13 Мана/час
9                                        Могучий живой конструкт                                             Сражается против врагов персонажа. Атрибуты зависят от броска на Механика                            200.00                                                                       56                                                                                16 Мана/час
                                          Буровая машина                                                           +5 к броску на Рудокопа, время добычи руды снижено на 70%                                                         180.00                                                                       52                                                                                 15 Мана/час
                                          Арканный генератор                                                     Производство любого вида энергии                                                                                                      250.00                                                                       56                                                                                18 Мана/час</t>
  </si>
  <si>
    <t>Сила природы</t>
  </si>
  <si>
    <t>Пассивный и активный атакующий.</t>
  </si>
  <si>
    <t>Восприятие 6, Плотник 3, Магия природы 3.</t>
  </si>
  <si>
    <t>«Сила смерти»</t>
  </si>
  <si>
    <t>Персонаж становится един с природой. Самодельное деревянное оружие теперь становится его вместилещем дополнительной маны и источником восстановления здоровья. Количество маны и целительной силы зависит от древесины, из которой изготовлено оружие (дубина, посох, лук, арбалет). Во время удара этим оружием по врагу во время боя (активный атакующий прием), персонаж может черпать целительную энергию природы, чтобы восстановить собственное здоровье. При этом, каждое вытягивание целительной энергии наносит ущерб самому оружию, снижая его прочность на 1d4. Персонаж может делать это не более 1/2/3 раза в день (Магия природы 3/5/7). Подробности указаны в таблице ниже. Персонаж также получает +5% к шансу критического удара при использовании заклинаний магии природы.
Древесина и мин. уровень Плотника              Бонус к мане                 Восстановление ОЗ за 1d4 ед. прочности
Орешник
1 ур.                                                                           15                                                           +1
Клён
2 ур.                                                                           30                                                           +2
Ясень
3 ур.                                                                           45                                                           +3
Вяз
4 ур.                                                                           60                                                           +4
Кедр
5 ур.                                                                           75                                                           +5
Бальза
6 ур.                                                                           90                                                           +6
Тис
7 ур.                                                                          105                                                          +7</t>
  </si>
  <si>
    <t>Сила рун</t>
  </si>
  <si>
    <t>Сознательность 6, Рудокоп 3, Рунная магия 3.</t>
  </si>
  <si>
    <t>«Сила крови»</t>
  </si>
  <si>
    <t>Руны придают персонажу уверенность и внушают страх врагам. Во время копания руды, добытый персонажем кусок породы может пропускать магию (свойство Проводник) при использовании в Импровизированном бою, а также наносить дополнительный магический урон при ударе. Магический урон равен категории оружия, в данному случае категории импровизированного удара (от 1 до 5). Персонаж может вкладывать магию Рун и заклинания других школ 1/2/3/4/5 (Рудокоп 3/4/5/6/7) уровня в обтесанные персонажем камни. Уровень Рудокопа равен лимиту вставленных уровней заклинаний. Например, у персонажа профессия Рудокопа 7 уровня. Он может иметь 3 камня с заклинаниями 2го уровня и один с заклинанием первого уровня. Помимо этого, благодаря Силе рун персонаж получает +5% к шансу критического эффекта при сотворении магии рун.</t>
  </si>
  <si>
    <t>Сила света</t>
  </si>
  <si>
    <t>Вера 6, Портной 3, Магия света 3.</t>
  </si>
  <si>
    <t>«Сила демонологии»</t>
  </si>
  <si>
    <t>Жрецы света сами шьют себе одеяния и другую одежду, чтобы помогать страждущим и нести свет. Опытный Портной может благословить материал для пошива особой освященной одежды. Одежда, сделанная и благословленная персонажем, активирует дополнительные святые эффекты, указанные в таблице на следующей странице. Эффекты не активируются, если такую одежду надевает кто-либо кроме её создателя. Этот эффект не занимает слот зачарования. Аура от такой одежды также влияет и на самого персонажа. Эффекты аур не совместимы. Кроме того, персонаж получает +5% к шансу критического эффекта используя магию Света.
Уровень Портного               Святой эффект рясы  
                                              (выберите одно из двух свойств)                                                                                                                                                   Время необходимое для благословления одежды               Необходимая мана
3                                            Целебная аура (радиус: 2 метра): +30% к получаемому лечению                   Физическая и магическая броня: 1                                                    1 час                                                                      10
4                                            Аура очищения (радиус: 3 метра): +3 к урону против нежити и демонов        Регенирация маны: +8                                                                        2 часа                                                                    20
5                                            Целебная аура (радиус: 4 метров): +60% к получаемому лечению                 Физическая и магическая броня: 2                                                    4 часа                                                                    40
6                                            Аура очищения (радиус: 5 метров): +6 к урону против нежити и демонов      Регенирация маны: +16                                                                      7 часов                                                                  70
7                                            Целебная аура (радиус: 6 метров): +90% к получаемому лечению                 Физическая и магическая броня: 3                                                  11 часов                                                                 110
8                                            Аура очищения (Радиус: 7 метров): +9 к урону против нежити и демонов      Регенирация маны: +24                                                                    16 часов                                                                 160
9                                            Целебная аура (радиус: 8 матеров): +120% к получению лечения                  Физическая и магическая броня: 4                                                   22 часа                                                                  220</t>
  </si>
  <si>
    <t>Сила смерти</t>
  </si>
  <si>
    <t>Интеллект 6, Алхимик 3, Некромантия 3.</t>
  </si>
  <si>
    <t>«Магия природы»</t>
  </si>
  <si>
    <t>Персонаж часто препарирует трупы, чтобы определить причину смерти и узнать об анатомии тела существа. Раздутые внутренние органы, опухоли и странные цвета составляют важный исследовательский материал. К сожалению, мертвые внутренности остаются в своем первоначальном состоянии довольно короткое время. Чтобы продлить его, Алхимики используют уникальный вид бальзама. Они вырезают органы, помещают их в подходящие сосуды и заливают бальзамом. Это может показаться отвратительным, но имеет огромную ценность для изучения и магии. Персонаж может разместить в таких забальзамированных органах заклинания Некромантии. Уровень Алхимика равен условному лимиту уровней заклинаний, которые можно разместить. К примеру, персонаж является Алхимиком 7 уровня. Он может иметь 3 забальзамированных органа с заклинаниями 2го уровня и один с заклинанием первого уровня. Разлагающаяся материя генерирует птомаин, который можно использовать для усиления яда Алхимика. Добавление птомаина в яд делает его еще более смертоносным и добавляет +1 к урону за тик. Персонаж также получает +5% к шансу критического удара при использовании заклинаний Некромантии.</t>
  </si>
  <si>
    <t>Сила хаоса</t>
  </si>
  <si>
    <t>Креативность 6, Пивовар 3, Магия хаоса 3.</t>
  </si>
  <si>
    <t>«Сила порядка»</t>
  </si>
  <si>
    <t>Необузданная сила хаоса сметает все на своем пути. Персонаж черпает силу из алкоголя, который он создает, восстанавливая ОЗ и получая другие преимущества. Он восстанавливает ld4 + (уровень алкоголя) ОЗ в каждой части тела. Восстановление ОЗ таким образом может произойти не чаще, чем раз за день. Пьяный персонаж получает +1/2/3/4/5 к Силе (Пивовар 3/4/5/6/7). Бутылки, содержащие алкоголь, сделанный персонажем, могут быть использованы в качестве сосудов для заклинаний магии хаоса. Уровень Пивовара равен условному лимиту уровней заклинаний, которые можно разместить. К примеру, персонаж является Пивоваром 7 уровня. Он может иметь 3 бутылки с заклинаниями 2го уровня и одну с заклинанием первого уровня. Помимо этого, благодаря «Силе хаоса», персонаж получает +5% к шансу критического эффекта при сотворении магии хаоса.</t>
  </si>
  <si>
    <t>Сильный рудокоп</t>
  </si>
  <si>
    <t>Выносливость 6, Рудокоп 2.</t>
  </si>
  <si>
    <t>Руки персонажа значительно укрепились с тех пор, как он начал добывать руду: +10% к максимальному ОЗ в руках, Бонус к Захвату на силовую фазу: +1/2/3 (Рудокоп 2/4/6). Каждые два уровня профессии Рудокоп дают персонажу +1 к урону киркой.</t>
  </si>
  <si>
    <t>Скрытое колдовство</t>
  </si>
  <si>
    <t>Интеллект 5, Креативность 5, Лазутчик 2.</t>
  </si>
  <si>
    <t>Можно использовать не чаще, чем 1/2/3 раза в день (Лазутчик 2/4/6). Персонаж может творить заклинания настолько плавно (без шума и световых эффектов), что окружающие не обратят на него внимания. Однако для произнесения заклинания по-прежнему требуются движения рук. Если кто-то смотрит прямо на руки персонажа, он заметит, что персонаж делает заклинание.</t>
  </si>
  <si>
    <t>Сопротивление магии</t>
  </si>
  <si>
    <t>Сознательность 5, Креативность 5.</t>
  </si>
  <si>
    <t>Персонаж повстречал достаточно магов и научился отражать заклинания двух школ магии, используя свою Креативность. Персонаж получает шанс 5/10/15/20/25%, что заклинание выбранных школ магии на него не подействует (Креативность 5/6/7/8/9). Отражаются как отрицательные, так и положительные заклинания. Этот прием может быть взят несколько раз для разных школ магии.</t>
  </si>
  <si>
    <t>Стабильная магия</t>
  </si>
  <si>
    <t>Концентрация 9, любой навык магии 3, Неприхотливая магия.</t>
  </si>
  <si>
    <t>Прием полностью устраняет шанс провала заклинания первого и второго круга, понижает такую вероятность для заклинаний 3-го круга на 50%, 4-го круга на 40%, 5-го круга на 30%, а 6-го круга на 20%. Шанс провала заклинания с закрепленным приемом «Стабильная магия» показан в таблице ниже:
Шанс провала заклинания с приемом Стабильная магия
Круг заклинания                                                           1            2           3            4           5           6          7+
Без доспехов или в тканевой одежде                        0%        0%        0%         0%        0%        0%       0%
Легкие доспехи                                                            0%        0%        0%         0%        0%        0%       20%
Средние доспехи                                                         0%        0%        0%         0%       10%      20%      40%
Тяжелые доспехи                                                         0%        0%       20%       30%      40%      50%      70%</t>
  </si>
  <si>
    <t>Стойкость</t>
  </si>
  <si>
    <t>Выносливость 5, любая из следующих профессий должна быть как минимум 2 уровня: Строитель, Рудокоп, Пастух, Земледелец, Кузнец.</t>
  </si>
  <si>
    <t>Тяжелый труд сделал персонажа стойким и живучим. Каждое очко Выносливости теперь дает дополнительно +X к ОЗ, где X - это уровень самой высокой профессии из перечисленных ранее. Эффект приема также распространяется на Выносливость, которая уже есть у персонажа. Например, у персонажа профессия Строитель 5, тогда каждое очко Выносливости будет давать +27 к здоровью, а не +22.</t>
  </si>
  <si>
    <t>Танец смерти</t>
  </si>
  <si>
    <t>Ловкость 4, Гибкость 4, Быстрота 4, Артист 2, отсутствие средних или тяжелых доспехов на персонаже.</t>
  </si>
  <si>
    <t>Может быть использовано не чаще, чем 1/2/3 раза в день (Гибкость 4/6/8) и не чаще, чем раз в бой. Персонаж начинает боевой танец, который делает его осторожнее, отвлекает врагов, пока персонаж наносит сильные и неожиданные удары. Входя в Активное состояние, СА замедляется на 1 секунду, но персонаж наносит дополнительно (Гибкость) урона и получает +1 к точности, + (Артист) к увороту, +5% к шансу критического удара и не теряет уворот, если окружен (атаки сзади). Максимальная длительность Танца смерти: (Артист) * 6 секунд.</t>
  </si>
  <si>
    <t>Терпение волшебника</t>
  </si>
  <si>
    <t>Сознательность 5, Выносливость 5.</t>
  </si>
  <si>
    <t>Можно использовать не чаще, чем 1/2/3 раз за бой (Сознательность 5/7/9). Персонаж может сфокусироваться на сотворении заклинания настолько хорошо, что перестает чувствовать боль. Когда персонаж входит в состояние Терпение волшебника, его Концентрация на сотворении одного заклинания удваивается, а Сопротивление увеличивается на 1/2/3 очка (Выносливость 5/7/9).</t>
  </si>
  <si>
    <t>Удавка на шею</t>
  </si>
  <si>
    <t>Быстрота 5, Вор 3, Лазутчик 1, удавка.</t>
  </si>
  <si>
    <t>Можно использовать не чаще, чем 1/2/3 раз в день (Креативность 4/6/8). Если бросок персонажа на Вора (1d20+Вор) больше, чем бросок цели на Восприятие (1d10+Восприятие), персонаж может незаметно подкрасться к врагу сзади, накинуть удавку на шею и задушить его. Обычно цель сопротивляется, поэтому персонаж может начать душить цель, если его (Сила) + (Вор) + ld4 превосходит сумму врага: (Сила) + (Сопротивление) + ld4. Каждую секунду, персонаж наносит ld8 + (Ловкость) удушающего урона в голову цели (не складывается с уроном от других источников). Наносимый урон всегда измеряется исходя из максимального количества ОЗ в голове цели, а не текущего. Цель теряет сознание, когда накопленный удушающий урон достигает 90% от максимального здоровья в голове. Если цель начали душить - она уже не может самостоятельно прервать удушение. Прервать удушение может только внешний урон по персонажу, который душит, если он превышает его концентрацию. Прием не действует против целей, одетых в латный доспех.</t>
  </si>
  <si>
    <t>Удар в спину</t>
  </si>
  <si>
    <t>Креативность 4, Ловкость 4, Оружейный боевой навык ближнего боя 2, Лазутчик 2.</t>
  </si>
  <si>
    <t>Можно применять 1/2/3 раз за день (задействованный оружейный навык ближнего боя 2/4/6). Персонаж подкрадывается к жертве и атакует сзади оружием ближнего боя. Цель теряет весь уворот, если бросок персонажа на Лазутчика (1d20+Лазутчик) больше, чем бросок цели на Восприятие (1d10+Восприятие). Персонаж наносит дополнительный урон, равный двойной Ловкости. После успешного удара в спину, цель шокирована и обязана сделать бросок на БД. Нельзя сделать больше одного удара в спину в секунду.</t>
  </si>
  <si>
    <t>Удар с прыжка</t>
  </si>
  <si>
    <t>Ловкость 6, Гибкость 5.</t>
  </si>
  <si>
    <t>Можно использовать не чаще, чем 1/2 раз за бой (Выносливость _/8). Можно применять только с оружием ближнего боя. Удар с прыжка требует дополнительную секунду на подготовку по сравнению с обычным ударом. Персонаж использует силу гравитации для нанесения особо мощного удара, при этом рискуя приземлиться на штык врага. Штраф к точности: -1, штраф к увороту: -3. Делая Удар с прыжка, персонаж наносит на 30% больше урона, но и по персонажу проходит на 30% больше урона в секунду нанесения удара (приземления), с той стороны, в которую он прыгает. Если персонажа «принимают» несколько врагов, которые находятся в досягаемости с клеткой приземления, то каждый из них наносит +30% урона по прыгающему персонажу в эту секунду. Прием «Боевая акробатика» снижает штрафы к увороту при использовании приема «Удар с прыжка». Во время прыжка персонаж может преодолеть расстояние равное половине его текущей скорости передвижения.</t>
  </si>
  <si>
    <t>Удар щитом</t>
  </si>
  <si>
    <t>Сила 6, Выносливость 6, Щиты 2.</t>
  </si>
  <si>
    <t>Можно использовать не чаще, чем один раз против одного врага (можно использовать несколько раз против разных врагов). Персонаж использует свой щит как оружие, чтобы ударить и оглушить противника. Шипованные щиты наносят на 2 урона больше. Штрафы за бой с оружием в каждой руке не применяются, если персонаж держит оружие в одной руке, а другой совершает удар щитом.
Тип щита                    С.А.        Точность        Урон        Дополнит. шанс оглуш.
Кулачный щит              2                 0              1d4+1                        -1
Средний щит                3                -1              1d6+2                        0
Ростовой щит               4                -2              1d8+3                       +1
Если (Сила) персонажа + ld4 + (Дополнительный шанс оглушения) &gt; (Выносливость) врага + 1d4, персонажу удается оглушить врага на 1 секунду. Удар щитом невозможно парировать. Его можно только заблокировать или увернуться.</t>
  </si>
  <si>
    <t>Ударник</t>
  </si>
  <si>
    <t>Строитель 3 или Рудокоп 3, Сила 6.</t>
  </si>
  <si>
    <t>Владея дробящим оружием, персонаж научился сокрушать черепа своих врагов. Шанс оглушения при использовании такого оружия увеличивается на 5%, урон: +1.</t>
  </si>
  <si>
    <t>Удобный доспех</t>
  </si>
  <si>
    <t>Сила или Выносливость 8, Ловкость или Гибкость 8.</t>
  </si>
  <si>
    <t>Персонаж привык носить определенный вид доспехов, что привело к повышению его мобильности. Игрок выбирает один из типов доспехов: легкие доспехи, средние доспехи или тяжелые доспехи. Надев выбранный доспех, максимальное ограничение на уворот от Гибкости в этих доспехах увеличивается на 2 очка. Если выбранные доспехи - средние или тяжелые, штраф персонажа к максимальной скорости бега снижается на 1 единицу и штраф к скорости действий снижается на 2.5%. Этот прием можно закреплять несколько раз для разных видов доспехов.</t>
  </si>
  <si>
    <t>Улучшенный удар щитом</t>
  </si>
  <si>
    <t>Сила 10, Удар щитом.</t>
  </si>
  <si>
    <t>Удар щитом становится эффективнее: +2 урона, +2 к точности. Если 1d4 + (Сила) персонажа + дополнительный шанс оглушения выше, чем 1d4 + (Выносливость) врага на 5, оглушение будет длится две секунды вместо одной.</t>
  </si>
  <si>
    <t>Феноменальная память</t>
  </si>
  <si>
    <t>Интеллект 5, Сознательность 5, Языковед 2</t>
  </si>
  <si>
    <t>Персонаж выучил несколько языков и хорошо натренировал память. Теперь он может вспомнить больше информации (иногда Мастер помогает игроку вспомнить некоторые детали прошлого, в том числе встреченных существ). Персонаж никогда не забывает исполненные приемы или заклинания и с большей вероятностью сможет выполнить их снова, при этом не закрепляя: +5% шанс выполнить отпрактикованное заклинание или прием за каждый уровень профессии Языковед (бонус добавляется к текущему шансу успеха БД). Общий шанс выполнить любой прием или заклинание не может превышать 90%.
Пример: боевой дух персонажа 1 и Языковед 4. Он уже делал Яростный удар раньше, но не закрепил его. Феноменальная память позволяет иметь повышенный шанс сделать этот прием снова (боевой дух 1 = 50%, Языковед 4 = 5%*4 = 20%. 50% + 20% = 70% шанс успеха).</t>
  </si>
  <si>
    <t>Фигурка врага</t>
  </si>
  <si>
    <t>Креативность 6, Восприятие 6, Чародей 2, одна из следующих профессий должна быть 3 уровня: Рудокоп, Гончар, Портной, Плотник, Стеклодув.</t>
  </si>
  <si>
    <t>После боя, персонаж может смастерить небольшую копию своего врага - фигурку (миниатюру, чучело, куклу, статуэтку). Персонаж зачаровывает фигурку, как маньяк, связывая её с врагом. Нося такую фигурку с собой, персонаж получает преимущества в бою против этого врага. Максимальное количество фигурок: 1/2/3/4 (Креативность 6/8/10/12). Эффект против этого врага: + Х к увороту и точности, где Х - это уровень профессии, благодаря которой персонаж смастерил фигурку; +5% к шансу критического удара и шансу критического эффекта заклинаний. Бонус к увороту будет действовать даже если персонаж достиг максимального бонуса к увороту от Гибкости. Персонаж знает точное количество ОЗ в частях тела врага. Возможные враги, по образу которых можно сделать фигурку: конкретный персонаж (например, Джон Доу), определенный вид существ (молодые волки или матерые кабаны). Персонаж не может сделать фигурку целой расы, например - всех людей.</t>
  </si>
  <si>
    <t>Хладнокровный убийца</t>
  </si>
  <si>
    <t>Удар в спину или Удавка на шею, Ловкость 10.</t>
  </si>
  <si>
    <t>«Дикость» и «Ясность разума»</t>
  </si>
  <si>
    <t>Убийца довёл до совершенства свое кровавое мастерство и никакие эмоции не помешают ему нанести смертельный удар. Персонаж получает +1 к броску на Лазутчика и +5% к шансу критического удара (не распространяется на заклинания). Если персонаж делает Удар в спину, он автоматически получает 20 при первом броске на точность.
В случае, если персонаж атакует врага, которого он как следует изучил в бою (сделал прием «Изучить врага»), он получает + (Креативность/3) к точности за каждый последующий успешный удар по этому врагу (задевающие удары не считаются). Накопленный бонус к точности сбрасывается в случае промаха или задевающего удара). Эффект «Хладнокровного убийцы» не действует во время использования приемов «Яростный удар» и «Раздача монаха».</t>
  </si>
  <si>
    <t>Хлёсткий удар</t>
  </si>
  <si>
    <t>Ловкость 5, оружие с особенностью - висячая атака.</t>
  </si>
  <si>
    <t>Можно использовать не чаще, чем 1/2 раза за бой (Выносливость 5/12). Гибкий персонаж бьет своим оружием словно кнутом, нанося мощный хлесткий удар: + (Гибкость) к урону.</t>
  </si>
  <si>
    <t>Шаг в сторону</t>
  </si>
  <si>
    <t>Быстрота 6, Интеллект или Креативность 6.</t>
  </si>
  <si>
    <t>Если персонаж уклонился от атаки ближнего боя, он может сократить время подготовки атаки на 1 секунду против того, кто только что по нему промахнулся. Прием не работает, если С.А. персонажа 1. Персонаж должен стоять на ногах (не работает при езде верхом). Прием не имеет эффекта, если секунда уклонения стоит за 1 секунду до атаки. Атака все равно будет совершена в следующую секунду и уклонение не повлияет на атаку персонажа. В качестве примера, представим ситуацию, в которой: Фред обладает приемом «Шаг в сторону» и сражается с Джоном своим коротким мечом. Джон, в свою очередь, бьется топором. В таблице на следующей странице представлен фрагмент такого боя с наглядным эффектом от приема «Шаг в сторону».
№ секунды                Фред                                                                                        Джон
1                                 Удар: попадание                                                                    Подготовка удара (топор)
2                                 Подготовка удара (короткий меч)                                         Подготовка удара (топор)
3                                 Удар: попадание                                                                    Удар: промах
4                                 Эффект от шага в сторону: С.А. -1. Удар: попадание        Подготовка удара (топор)</t>
  </si>
  <si>
    <t>Шквал ударов</t>
  </si>
  <si>
    <t>Ловкость 6, Быстрота 6, Выносливость 4.</t>
  </si>
  <si>
    <t>Можно использовать не чаще, чем 1/2/3/4 раз за бой (Выносливость 4/7/10/13). Если персонаж наносит удары каждую секунду (с учетом Быстроты), то он может сделать три атаки за две секунды одной рукой (вместо двух атак). Если персонаж использует оружие в каждой руке и у него достаточно Выносливости, он может делать Шквал ударов, используя обе руки одновременно.</t>
  </si>
  <si>
    <t>Эксперт обезоруживания</t>
  </si>
  <si>
    <t>Ловкость 6.</t>
  </si>
  <si>
    <t>Персонаж мастерски выковыривает оружие из рук врага, нанося при этом урон. Теперь персонаж может обезоружить цель при броске на обезоруживание, равном оппозиционному броску, и нанести половину урона в руку, которая держит оружие.</t>
  </si>
  <si>
    <t>Энергичность</t>
  </si>
  <si>
    <t>Выносливость 5, Стеклодув 2.</t>
  </si>
  <si>
    <t>Стеклодуву постоянно приходится наполнять легкие воздухом, чтобы выдуть стекло нужной формы. Благодаря этому его дыхательная система развита лучше, чем у других, и он может эффективнее сражаться в длительных боях. Он получает преимущества при использовании оружия ближнего боя или метательного оружия, если каждую секунду делает активные действия, такие как подготовка удара (в т.ч. выстрела), разгон, бег, подготовка заклинания, и бой длится дольше 10 секунд. Ниже в таблице указаны бонусы. Новые эффекты заменяют предыдущие (не складываются)
Время боя                           Эффект
Начиная с 11 секунды        + 1 к урону за каждые 2 уровня Стеклодува
Начиная с 16 секунды        + 1 к урону и точности за каждые 2 уровня Стеклодува
Начиная с 21 секунды        + 1 к урону за каждый уровень Стеклодува, +1 к точности за каждые 2 уровня Стеклодува 
Начиная с 26 секунды        + 1 к урону и точности за каждый уровень Стеклодува</t>
  </si>
  <si>
    <t>Оружие, наносящее дополнительный урон от Силы; персонаж или его союзник ранены врагом.</t>
  </si>
  <si>
    <t>Можно использовать не чаще, чем 1/2 раз за бой (Выносливость _/8). «Яростный удар» наносит дополнительный урон в зависимости от категории оружия и Силы. Если при этом персонаж в плохом расположении духа (низкий БД), это только усиливает его гнев.
Категория оружия          Дополнительный физический урон
1                                      1/2d4 + отрицательный БД
2                                      1/2d6 + отрицательный БД
3                                      1/2d8 + отрицательный БД
4                                      1/2d10 + отрицательный БД
5                                      1/2d12 + отрицательный БД
                                        (Сила _/15)
Прием можно делать одновременно с «Секущим ударом». Прием «Дикость» снимает ограничение на количество «Яростных ударов», которые может сделать персонаж в бою. Если персонаж сделал «Яростный удар», но промахнулся, считается, что прием все равно использован в этом бою.</t>
  </si>
  <si>
    <t>Ясность разума</t>
  </si>
  <si>
    <t>Сознательность 10. Бесстрашие, Медитация, Раздача монаха, отсутствие щита и/или доспехов (тканевая одежда допускается), отсутствие кастетов и/или наголенников.</t>
  </si>
  <si>
    <t>«Хладнокровный убийца» и «Дикость»</t>
  </si>
  <si>
    <t>Во время состояния Ясности персонаж не может делать следующие приемы: «Яростный удар», «Удар в спину», «Удавка на шею», «Грязный бой» и «Коварный удар».
Монах достиг просвещения и может войти в особое состояние, которое успокаивает и очищает его тело и душу, так что он остается в мире с самим собой даже когда кровь льется рекой. Эта способность является вершиной для любого монаха. Ясность разума дает следующие мгновенные эффекты:
- Убирает один любой негативный эффект (дебафф, контроль, оглушение, продолжающийся урон, кровотечение, слепота, яд и т.д.) по выбору игрока;
- Возобновляет использование одного активного приема, сделанного персонажем в бою. Персонаж может опять его сделать;
- Персонаж может получить эффект «Медитации», если пожелает.
Временные эффекты от приема. Длительность: (Вера) или (Восприятие) секунд, по выбору игрока. Получаемый урон не прерывает эффекты.
- Восстанавливает (Сознательность)*3 Маны или вылечивает (Сознательность) ОЗ во всех частях тела в секунду;
- Концентрация повышается на (Сознательность) единиц;
- Максимальная скорость бега +1;
- Эффект приема Бесстрашие удваивается;
- Эффект приема Равновесие в бою удваивается;
- Точность увеличивается на (Сознательность)/2;
Ясность разума совместима с «Раздачей монаха», хотя оба приема являются активными состояниями.</t>
  </si>
  <si>
    <t>Точн.</t>
  </si>
  <si>
    <t>Скорость атаки / К.О.</t>
  </si>
  <si>
    <t>Цена (серебро)</t>
  </si>
  <si>
    <t>Вес</t>
  </si>
  <si>
    <t>Хват</t>
  </si>
  <si>
    <t>Особенности</t>
  </si>
  <si>
    <t>Штрафной порог</t>
  </si>
  <si>
    <t>Дополнительный шанс критического удара</t>
  </si>
  <si>
    <t>Паррирование</t>
  </si>
  <si>
    <t>Железо</t>
  </si>
  <si>
    <t>Сталь</t>
  </si>
  <si>
    <t>Булатная сталь</t>
  </si>
  <si>
    <t>Каврил</t>
  </si>
  <si>
    <t>Грамант</t>
  </si>
  <si>
    <t>Леорит</t>
  </si>
  <si>
    <t>Снаряд</t>
  </si>
  <si>
    <t>Короткие клинки</t>
  </si>
  <si>
    <t>Shields</t>
  </si>
  <si>
    <t>Кукри</t>
  </si>
  <si>
    <t>1d4+0</t>
  </si>
  <si>
    <t>1d4+1</t>
  </si>
  <si>
    <t>1d6+1</t>
  </si>
  <si>
    <t>1d8+4</t>
  </si>
  <si>
    <t>1d8+10</t>
  </si>
  <si>
    <t>1d10+13</t>
  </si>
  <si>
    <t>1-2</t>
  </si>
  <si>
    <t>1 р</t>
  </si>
  <si>
    <t>Min dmg</t>
  </si>
  <si>
    <t>Max dmg</t>
  </si>
  <si>
    <t>Bonus dmg</t>
  </si>
  <si>
    <t>Avg dmg</t>
  </si>
  <si>
    <t>Increase</t>
  </si>
  <si>
    <t>Attack rate</t>
  </si>
  <si>
    <t>DPS</t>
  </si>
  <si>
    <t>Кинжал</t>
  </si>
  <si>
    <t>Крит +5%</t>
  </si>
  <si>
    <t>Average dodge</t>
  </si>
  <si>
    <t>Стилет</t>
  </si>
  <si>
    <t>Пронзание 1</t>
  </si>
  <si>
    <t>Level</t>
  </si>
  <si>
    <t>Крис</t>
  </si>
  <si>
    <t>1-2-3</t>
  </si>
  <si>
    <t>Natural</t>
  </si>
  <si>
    <t>Серп</t>
  </si>
  <si>
    <t>1d6+0</t>
  </si>
  <si>
    <t>1d8+3</t>
  </si>
  <si>
    <t>1d8+6</t>
  </si>
  <si>
    <t>1d10+8</t>
  </si>
  <si>
    <t>1d10+12</t>
  </si>
  <si>
    <t>1d12+15</t>
  </si>
  <si>
    <t>1</t>
  </si>
  <si>
    <t>Пар (24-26-28-30-32)</t>
  </si>
  <si>
    <t>Agility</t>
  </si>
  <si>
    <t>1d8+7</t>
  </si>
  <si>
    <t>1d10+9</t>
  </si>
  <si>
    <t>1d12+16</t>
  </si>
  <si>
    <t>СИЛ 4</t>
  </si>
  <si>
    <t>Пар (28-30-32-34-36)</t>
  </si>
  <si>
    <t>Total</t>
  </si>
  <si>
    <t>Гладиус</t>
  </si>
  <si>
    <t>СИЛ 4 ЛОВ 4</t>
  </si>
  <si>
    <t>SUM</t>
  </si>
  <si>
    <t>Min</t>
  </si>
  <si>
    <t>Average Parry</t>
  </si>
  <si>
    <t>Max</t>
  </si>
  <si>
    <t>Bonus</t>
  </si>
  <si>
    <t>Длинные клинки</t>
  </si>
  <si>
    <t>Меч</t>
  </si>
  <si>
    <t>1d8+2</t>
  </si>
  <si>
    <t>1d8+5</t>
  </si>
  <si>
    <t>1d10+7</t>
  </si>
  <si>
    <t>1d10+11</t>
  </si>
  <si>
    <t>1d12+14</t>
  </si>
  <si>
    <t>1d12+19</t>
  </si>
  <si>
    <t>3d6+21</t>
  </si>
  <si>
    <t>1/2 р</t>
  </si>
  <si>
    <t>Пар (35-38-41-44-47)</t>
  </si>
  <si>
    <t>Палаш</t>
  </si>
  <si>
    <t>1d6+6</t>
  </si>
  <si>
    <t>1d8+8</t>
  </si>
  <si>
    <t>1d8+12</t>
  </si>
  <si>
    <t>1d10+15</t>
  </si>
  <si>
    <t>1d10+20</t>
  </si>
  <si>
    <t>1d12+24</t>
  </si>
  <si>
    <t>СИЛ 4 ЛОВ 5</t>
  </si>
  <si>
    <t>Total buckler value</t>
  </si>
  <si>
    <t>Катана</t>
  </si>
  <si>
    <t>1d10+1</t>
  </si>
  <si>
    <t>1d10+4</t>
  </si>
  <si>
    <t>1d12+6</t>
  </si>
  <si>
    <t>1d12+10</t>
  </si>
  <si>
    <t>3d6+10</t>
  </si>
  <si>
    <t>3d6+15</t>
  </si>
  <si>
    <t>4d6+17</t>
  </si>
  <si>
    <t>Пар (37-40-43-46-49); У.П.В.</t>
  </si>
  <si>
    <t>Total med shield value</t>
  </si>
  <si>
    <t>Сабля</t>
  </si>
  <si>
    <t>STR 4 ЛОВ 5</t>
  </si>
  <si>
    <t>Пар (37-40-43-46-49)</t>
  </si>
  <si>
    <t>Total tower shield value</t>
  </si>
  <si>
    <t>Ятаган</t>
  </si>
  <si>
    <t>СИЛ 5 ЛОВ 5</t>
  </si>
  <si>
    <t>Пар (35-38-41-44-47); Крит +5%</t>
  </si>
  <si>
    <t>Длинный меч</t>
  </si>
  <si>
    <t>1d12+2</t>
  </si>
  <si>
    <t>2d8+7</t>
  </si>
  <si>
    <t>2d8+12</t>
  </si>
  <si>
    <t>2d10+15</t>
  </si>
  <si>
    <t>2d10+21</t>
  </si>
  <si>
    <t>2d12+25</t>
  </si>
  <si>
    <t>СИЛ 6 ЛОВ 5</t>
  </si>
  <si>
    <t>Пар (39-43-47-51-55)</t>
  </si>
  <si>
    <t>Skill</t>
  </si>
  <si>
    <t>Эсток</t>
  </si>
  <si>
    <t>2d6+1</t>
  </si>
  <si>
    <t>2d6+5</t>
  </si>
  <si>
    <t>3d6+5</t>
  </si>
  <si>
    <t>4d6+11</t>
  </si>
  <si>
    <t>5d6+20</t>
  </si>
  <si>
    <t>СИЛ 6 ЛОВ 7</t>
  </si>
  <si>
    <t>Пар (36-41-46-51-56); Пронзание 1</t>
  </si>
  <si>
    <t>Полуторный меч</t>
  </si>
  <si>
    <t>1d12+3</t>
  </si>
  <si>
    <t>1d12+7</t>
  </si>
  <si>
    <t>2d8+8</t>
  </si>
  <si>
    <t>2d8+13</t>
  </si>
  <si>
    <t>2d10+16</t>
  </si>
  <si>
    <t>2d10+22</t>
  </si>
  <si>
    <t>2d12+26</t>
  </si>
  <si>
    <t>СИЛ 6 ЛОВ 6 ВЫН 5</t>
  </si>
  <si>
    <t>2 р</t>
  </si>
  <si>
    <t>Пар (40-44-48-52-56)</t>
  </si>
  <si>
    <t>Фламберг</t>
  </si>
  <si>
    <t>2d8+3</t>
  </si>
  <si>
    <t>2d10+11</t>
  </si>
  <si>
    <t>2d10+17</t>
  </si>
  <si>
    <t>2d12+21</t>
  </si>
  <si>
    <t>2d12+28</t>
  </si>
  <si>
    <t>3d10+32</t>
  </si>
  <si>
    <t>СИЛ 7 ЛОВ 6</t>
  </si>
  <si>
    <t>Пар (40-45-50-55-60); Крит +5%</t>
  </si>
  <si>
    <t>Двуручный меч</t>
  </si>
  <si>
    <t>2d8+5</t>
  </si>
  <si>
    <t>2d8+10</t>
  </si>
  <si>
    <t>2d10+13</t>
  </si>
  <si>
    <t>2d10+19</t>
  </si>
  <si>
    <t>2d12+23</t>
  </si>
  <si>
    <t>2d12+30</t>
  </si>
  <si>
    <t>3d10+34</t>
  </si>
  <si>
    <t>СИЛ 7 ЛОВ 7</t>
  </si>
  <si>
    <t>Пар (42-47-52-57-62)</t>
  </si>
  <si>
    <t>Топоры и дробящее оружие</t>
  </si>
  <si>
    <t>Block</t>
  </si>
  <si>
    <t>ЛОВ bonus</t>
  </si>
  <si>
    <t>Skill bonus</t>
  </si>
  <si>
    <t>Base Block points</t>
  </si>
  <si>
    <t>Bonus Block points from Качество</t>
  </si>
  <si>
    <t>Block points per each Ловкость point</t>
  </si>
  <si>
    <t>Block points per each Skill point</t>
  </si>
  <si>
    <t>Дубина</t>
  </si>
  <si>
    <t>1d8+0</t>
  </si>
  <si>
    <t>1d10+3</t>
  </si>
  <si>
    <t>1d10+6</t>
  </si>
  <si>
    <t>1d12+8</t>
  </si>
  <si>
    <t>СИЛ 3</t>
  </si>
  <si>
    <t>Оглушение1 (5-5-10-10-15%)</t>
  </si>
  <si>
    <t>Buckler base value</t>
  </si>
  <si>
    <t>Buckler</t>
  </si>
  <si>
    <t>+2/4/6</t>
  </si>
  <si>
    <t>+7</t>
  </si>
  <si>
    <t>+5</t>
  </si>
  <si>
    <t>Ручной топор</t>
  </si>
  <si>
    <t>1d4+3</t>
  </si>
  <si>
    <t>1d4+5</t>
  </si>
  <si>
    <t>1d6+9</t>
  </si>
  <si>
    <t>1d8+11</t>
  </si>
  <si>
    <t>1d8+15</t>
  </si>
  <si>
    <t>1d10+18</t>
  </si>
  <si>
    <t>Med Shield  base value</t>
  </si>
  <si>
    <t>Med shield</t>
  </si>
  <si>
    <t>+3/6/9</t>
  </si>
  <si>
    <t>+6</t>
  </si>
  <si>
    <t>Тесак</t>
  </si>
  <si>
    <t>Tower shield  base value</t>
  </si>
  <si>
    <t>Tower shield</t>
  </si>
  <si>
    <t>+4/8/12</t>
  </si>
  <si>
    <t>Кирка</t>
  </si>
  <si>
    <t>1d6+4</t>
  </si>
  <si>
    <t>1d12+22</t>
  </si>
  <si>
    <t>СИЛ 4 ВЫН 4</t>
  </si>
  <si>
    <t>Крит +5%; Пронзание 1</t>
  </si>
  <si>
    <t>Булава</t>
  </si>
  <si>
    <t>СИЛ 4 ВЫН 5</t>
  </si>
  <si>
    <t>Оглушение 2 (5-5-10-10-15%)</t>
  </si>
  <si>
    <t>Цеп</t>
  </si>
  <si>
    <t>1d8+1</t>
  </si>
  <si>
    <t>1d10+10</t>
  </si>
  <si>
    <t>1d12+13</t>
  </si>
  <si>
    <t>1d12+18</t>
  </si>
  <si>
    <t>3d6+19</t>
  </si>
  <si>
    <t>СИЛ 5 ВЫН 5</t>
  </si>
  <si>
    <t>Оглушение 1 (5-5-10-10-15%); -50% Пар/Блок</t>
  </si>
  <si>
    <t>Ослоп</t>
  </si>
  <si>
    <t>Пар (26-29-32-35-38)
Оглушение2 (5-5-10-10-15%)</t>
  </si>
  <si>
    <t>Боевой топор</t>
  </si>
  <si>
    <t>1d6+7</t>
  </si>
  <si>
    <t>1d8+9</t>
  </si>
  <si>
    <t>1d8+13</t>
  </si>
  <si>
    <t>1d10+16</t>
  </si>
  <si>
    <t>1d10+21</t>
  </si>
  <si>
    <t>1d12+27</t>
  </si>
  <si>
    <t>Шестопёр</t>
  </si>
  <si>
    <t>1d12+20</t>
  </si>
  <si>
    <t>1d12+26</t>
  </si>
  <si>
    <t>2d8+29</t>
  </si>
  <si>
    <t>СИЛ 5 ВЫН 6</t>
  </si>
  <si>
    <t>Оглушение2 (5-10-10-15-20%)</t>
  </si>
  <si>
    <t>Чекан</t>
  </si>
  <si>
    <t>Оглушение2 (5-5-10-10-15%) или
Пронзание 2</t>
  </si>
  <si>
    <t>Total bardiche</t>
  </si>
  <si>
    <t>Двуручный молот</t>
  </si>
  <si>
    <t>1d12+21</t>
  </si>
  <si>
    <t>2d8+25</t>
  </si>
  <si>
    <t>2d8+32</t>
  </si>
  <si>
    <t>2d10+37</t>
  </si>
  <si>
    <t>СИЛ 6 ВЫН 5</t>
  </si>
  <si>
    <t>Оглушение3 (5-10-10-15-20%)</t>
  </si>
  <si>
    <t>Total greatsword</t>
  </si>
  <si>
    <t>Двуручный топор</t>
  </si>
  <si>
    <t>1d8+14</t>
  </si>
  <si>
    <t>1d10+24</t>
  </si>
  <si>
    <t>1d12+29</t>
  </si>
  <si>
    <t>1d12+36</t>
  </si>
  <si>
    <t>2d8+41</t>
  </si>
  <si>
    <t>СИЛ 7 ВЫН 6</t>
  </si>
  <si>
    <t>Total bastard sword</t>
  </si>
  <si>
    <t>Древковое оружие</t>
  </si>
  <si>
    <t>Total sword value</t>
  </si>
  <si>
    <t>Посох</t>
  </si>
  <si>
    <t>ЛОВ 3 ГИБ 3</t>
  </si>
  <si>
    <t>Пар (30-32-34-36-38); Проводник</t>
  </si>
  <si>
    <t>Total sickle value</t>
  </si>
  <si>
    <t>Короткое копье</t>
  </si>
  <si>
    <t>1d10+2</t>
  </si>
  <si>
    <t>1d12+4</t>
  </si>
  <si>
    <t>2d10+7</t>
  </si>
  <si>
    <t>2d12+9</t>
  </si>
  <si>
    <t>ЛОВ 4</t>
  </si>
  <si>
    <t>Пар (24-26-28-30-32); Пронзание 1</t>
  </si>
  <si>
    <t>Малая глефа</t>
  </si>
  <si>
    <t>ЛОВ 4 ГИБ 4</t>
  </si>
  <si>
    <t>Пар (32-35-38-41-44)</t>
  </si>
  <si>
    <t>Длинное копье</t>
  </si>
  <si>
    <t>1d12</t>
  </si>
  <si>
    <t>2d8+4</t>
  </si>
  <si>
    <t>2d10+10</t>
  </si>
  <si>
    <t>2d12+18</t>
  </si>
  <si>
    <t>ЛОВ 5 ГИБ 5</t>
  </si>
  <si>
    <t>Пар (36-39-42-45-48); Пронзание 1, П.У.</t>
  </si>
  <si>
    <t>2 h</t>
  </si>
  <si>
    <t>Алебарда</t>
  </si>
  <si>
    <t>2d8+18</t>
  </si>
  <si>
    <t>2d8+24</t>
  </si>
  <si>
    <t>2d10+28</t>
  </si>
  <si>
    <t>ЛОВ 5 ГИБ 5 СИЛ 5</t>
  </si>
  <si>
    <t>Пар (42-46-50-54-58) П.У.</t>
  </si>
  <si>
    <t>Dex bonus</t>
  </si>
  <si>
    <t>Рогатина</t>
  </si>
  <si>
    <t xml:space="preserve">ЛОВ 6 ГИБ 5 </t>
  </si>
  <si>
    <t>Пар (38-42-46-50-54) П.У.</t>
  </si>
  <si>
    <t>Sickle</t>
  </si>
  <si>
    <t>Глефа</t>
  </si>
  <si>
    <t>2d6+2</t>
  </si>
  <si>
    <t>2d6+6</t>
  </si>
  <si>
    <t>Sword</t>
  </si>
  <si>
    <t>Бердыш</t>
  </si>
  <si>
    <t>2d8+2</t>
  </si>
  <si>
    <t>2d12+20</t>
  </si>
  <si>
    <t>2d12+27</t>
  </si>
  <si>
    <t>3d10+31</t>
  </si>
  <si>
    <t>ЛОВ 6 ГИБ 6 СИЛ 6</t>
  </si>
  <si>
    <t>Пар (44-48-52-56-60) П.У.</t>
  </si>
  <si>
    <t>Bastard sword</t>
  </si>
  <si>
    <t>Экзотическое оружие</t>
  </si>
  <si>
    <t>Greatsword</t>
  </si>
  <si>
    <t>Сай</t>
  </si>
  <si>
    <t>Обезоруживание +1</t>
  </si>
  <si>
    <t>Bardiche</t>
  </si>
  <si>
    <t>Катар</t>
  </si>
  <si>
    <t>Квадрен</t>
  </si>
  <si>
    <t>1d12+9</t>
  </si>
  <si>
    <t>Шотел</t>
  </si>
  <si>
    <t>1d12+12</t>
  </si>
  <si>
    <t>2d8+14</t>
  </si>
  <si>
    <t>СИЛ 5 ЛОВ 4</t>
  </si>
  <si>
    <t>-25% Пар/Блок; Крит +5%</t>
  </si>
  <si>
    <t>Рапира</t>
  </si>
  <si>
    <t>ЛОВ 6 ГИБ 6</t>
  </si>
  <si>
    <t>Пар (28-30-32-34-36); Пронзание 1</t>
  </si>
  <si>
    <t>Колючая цепь</t>
  </si>
  <si>
    <t>1d10+5</t>
  </si>
  <si>
    <t>1d12+17</t>
  </si>
  <si>
    <t>2d8+20</t>
  </si>
  <si>
    <t>Крит +5%; -50% Пар/Блок; П.У.</t>
  </si>
  <si>
    <t>Режущее колесо</t>
  </si>
  <si>
    <t>Пар (36-39-42-45-48)</t>
  </si>
  <si>
    <t>Огнестрельное оружие</t>
  </si>
  <si>
    <t>Ручница</t>
  </si>
  <si>
    <t>2d6+8</t>
  </si>
  <si>
    <t>2d10+27</t>
  </si>
  <si>
    <t>2d10+36</t>
  </si>
  <si>
    <t>2d12+43</t>
  </si>
  <si>
    <t>ВЫН 5 ИНТ 5</t>
  </si>
  <si>
    <t>Фитиль 2</t>
  </si>
  <si>
    <t>8</t>
  </si>
  <si>
    <t>Пуля</t>
  </si>
  <si>
    <t>Пистоль с фитильным замком</t>
  </si>
  <si>
    <t>ИНТ 6</t>
  </si>
  <si>
    <t>1 р*</t>
  </si>
  <si>
    <t>Фитиль 2
*Для перезарядки нужны обе руки</t>
  </si>
  <si>
    <t>12</t>
  </si>
  <si>
    <t>Bullet</t>
  </si>
  <si>
    <t>Аркебуза с фитильным замком</t>
  </si>
  <si>
    <t>3d6+2</t>
  </si>
  <si>
    <t>3d8+15</t>
  </si>
  <si>
    <t>3d10+30</t>
  </si>
  <si>
    <t>3d10+40</t>
  </si>
  <si>
    <t>3d12+47</t>
  </si>
  <si>
    <t>56</t>
  </si>
  <si>
    <t>Пистоль с колесцовым замком</t>
  </si>
  <si>
    <t>ИНТ 7</t>
  </si>
  <si>
    <t>20% шанс осечки
*Для перезарядки нужны обе руки</t>
  </si>
  <si>
    <t>Мушкет с колесцовым замком</t>
  </si>
  <si>
    <t>20% шанс осечки</t>
  </si>
  <si>
    <t>Пистоль с кремневым замком</t>
  </si>
  <si>
    <t>ИНТ 8</t>
  </si>
  <si>
    <t>10% шанс осечки
*Для перезарядки нужны обе руки</t>
  </si>
  <si>
    <t>Винтовка с кремневым замком</t>
  </si>
  <si>
    <t>10% шанс осечки</t>
  </si>
  <si>
    <t>Метательное оружие</t>
  </si>
  <si>
    <t>Метательный нож</t>
  </si>
  <si>
    <t>1d4+2</t>
  </si>
  <si>
    <t>1d4+4</t>
  </si>
  <si>
    <t>1d6+5</t>
  </si>
  <si>
    <t>1d6+8</t>
  </si>
  <si>
    <t>1d10+17</t>
  </si>
  <si>
    <t>Мобильность 1</t>
  </si>
  <si>
    <t>Дротик</t>
  </si>
  <si>
    <t>2d8+22</t>
  </si>
  <si>
    <t>Мобильность 1; Пронзание 1</t>
  </si>
  <si>
    <t>Метательный топор</t>
  </si>
  <si>
    <t>1d12+25</t>
  </si>
  <si>
    <t>Пилум</t>
  </si>
  <si>
    <t>2d8+31</t>
  </si>
  <si>
    <t>СИЛ 6 ЛОВ 6</t>
  </si>
  <si>
    <t>Бомба</t>
  </si>
  <si>
    <t>1d20+4</t>
  </si>
  <si>
    <t>1d20+10</t>
  </si>
  <si>
    <t>3d10+10</t>
  </si>
  <si>
    <t>3d10+17</t>
  </si>
  <si>
    <t>2d20+20</t>
  </si>
  <si>
    <t>2d20+28</t>
  </si>
  <si>
    <t>5d10+30</t>
  </si>
  <si>
    <t>ЛОВ 6 ИНТ 6</t>
  </si>
  <si>
    <t>Мобильность 1
Радиус взрыва - 3 метра. Фитиль 2</t>
  </si>
  <si>
    <t>Уровень боевого навыка или материал (для кастетов и наголенников)</t>
  </si>
  <si>
    <t>Использ. рук, ног</t>
  </si>
  <si>
    <t>Бонус к урону и особенности</t>
  </si>
  <si>
    <t>Рукопашный бой</t>
  </si>
  <si>
    <t>Кулак</t>
  </si>
  <si>
    <t>1d4-3</t>
  </si>
  <si>
    <t>1d4-2</t>
  </si>
  <si>
    <t>1d4-1</t>
  </si>
  <si>
    <t>Короткая досягаемость</t>
  </si>
  <si>
    <t>Min. 1 dmg</t>
  </si>
  <si>
    <t>STR bonus</t>
  </si>
  <si>
    <t>Assumption: STR = 6</t>
  </si>
  <si>
    <t>Кастет</t>
  </si>
  <si>
    <t>Оглушение 1 (5-5-5-5-5%)</t>
  </si>
  <si>
    <t>DPS with knuckles</t>
  </si>
  <si>
    <t>Нога</t>
  </si>
  <si>
    <t>1d6-1</t>
  </si>
  <si>
    <t>1 н</t>
  </si>
  <si>
    <t>Стационарное</t>
  </si>
  <si>
    <t>Поножи</t>
  </si>
  <si>
    <t>ВЫН 4</t>
  </si>
  <si>
    <t>Оглушение 2 (5-5-5-10-10%)</t>
  </si>
  <si>
    <t>DPS with pads</t>
  </si>
  <si>
    <t>Борьба</t>
  </si>
  <si>
    <t>Бонус к действиям: схватить, повалить, толкнуть</t>
  </si>
  <si>
    <t>Болевой прием</t>
  </si>
  <si>
    <t>1d10+0</t>
  </si>
  <si>
    <t>1d12+1</t>
  </si>
  <si>
    <t>2d8+1</t>
  </si>
  <si>
    <t>+1 к урону за каждые 2 очка СИЛ</t>
  </si>
  <si>
    <t>QUI 6</t>
  </si>
  <si>
    <t>1 к урону за каждые 4 очка СИЛ и КРЕ;</t>
  </si>
  <si>
    <t>(min 1 d)</t>
  </si>
  <si>
    <t>Быстрый удар</t>
  </si>
  <si>
    <t>+1 к урону за каждые 3.5 очка СИЛ и КРЕ;
Оглушение1 (5-5-5-10-10%)</t>
  </si>
  <si>
    <t>Assumption: СИЛ/CUN = 6</t>
  </si>
  <si>
    <t>+1 к урону за каждые 3 очка СИЛ и КРЕ;
Оглушение1 (5-10-10-15-15%)</t>
  </si>
  <si>
    <t>Сильный удар</t>
  </si>
  <si>
    <t>СИЛ 5</t>
  </si>
  <si>
    <t>+1 к урону за каждые 2.5 очка СИЛ и КРЕ;
Оглушение2 (5-10-10-15-15%)</t>
  </si>
  <si>
    <t>Могучий удар</t>
  </si>
  <si>
    <t>2d8+30</t>
  </si>
  <si>
    <t>+1 к урону за каждые 2 очка СИЛ и КРЕ;
Оглушение2 (10-15-15-20-20%)</t>
  </si>
  <si>
    <t>СИЛ bonus</t>
  </si>
  <si>
    <t>Assumption: STR/CUN = 6</t>
  </si>
  <si>
    <t>Прочее оружие</t>
  </si>
  <si>
    <t>Охотничий капкан</t>
  </si>
  <si>
    <t>Останавливает движение</t>
  </si>
  <si>
    <t>Сложность высвобождения</t>
  </si>
  <si>
    <t>Проверка силы</t>
  </si>
  <si>
    <t>Нет оружия</t>
  </si>
  <si>
    <t>Деревянное оружие</t>
  </si>
  <si>
    <t>Луки</t>
  </si>
  <si>
    <t>Тип лука</t>
  </si>
  <si>
    <t>Орешник</t>
  </si>
  <si>
    <t>Клён</t>
  </si>
  <si>
    <t>Ясень</t>
  </si>
  <si>
    <t>Вяз</t>
  </si>
  <si>
    <t>Кедр</t>
  </si>
  <si>
    <t>Бальза</t>
  </si>
  <si>
    <t>Тис</t>
  </si>
  <si>
    <t>Мобильность 2</t>
  </si>
  <si>
    <t>Стрела</t>
  </si>
  <si>
    <t>Длинный лук</t>
  </si>
  <si>
    <t>Составной короткий лук</t>
  </si>
  <si>
    <t>1d6+10</t>
  </si>
  <si>
    <t>1d8+16</t>
  </si>
  <si>
    <t>1d10+19</t>
  </si>
  <si>
    <t>1d12+28</t>
  </si>
  <si>
    <t>СИЛ 8 ЛОВ 5</t>
  </si>
  <si>
    <t>Составной длинный лук</t>
  </si>
  <si>
    <t>1d10+23</t>
  </si>
  <si>
    <t>1d12+33</t>
  </si>
  <si>
    <t>2d8+37</t>
  </si>
  <si>
    <t>СИЛ 9 ЛОВ 5</t>
  </si>
  <si>
    <t>Mobile ranged (st.2)</t>
  </si>
  <si>
    <t>Арбалеты</t>
  </si>
  <si>
    <t>Ручной арбалет</t>
  </si>
  <si>
    <t>1d10+14</t>
  </si>
  <si>
    <t>1d12+23</t>
  </si>
  <si>
    <t>ЛОВ 3</t>
  </si>
  <si>
    <t>1 h*</t>
  </si>
  <si>
    <t>*Для перезарядки нужны обе руки</t>
  </si>
  <si>
    <t>32</t>
  </si>
  <si>
    <t>Болт</t>
  </si>
  <si>
    <t>Легкий арбалет</t>
  </si>
  <si>
    <t>1d10+26</t>
  </si>
  <si>
    <t>1d12+31</t>
  </si>
  <si>
    <t>40</t>
  </si>
  <si>
    <t>Bolt</t>
  </si>
  <si>
    <t>Средний арбалет</t>
  </si>
  <si>
    <t>1d12+32</t>
  </si>
  <si>
    <t>Тяжелый арбалет</t>
  </si>
  <si>
    <t>1d12+39</t>
  </si>
  <si>
    <t>2d8+44</t>
  </si>
  <si>
    <t>Пронзание 2</t>
  </si>
  <si>
    <t>80</t>
  </si>
  <si>
    <t>Металлические щиты</t>
  </si>
  <si>
    <t>Металлический_кулачный_щит</t>
  </si>
  <si>
    <t>1 h</t>
  </si>
  <si>
    <t>Штраф к шансу оглушения -1</t>
  </si>
  <si>
    <t>Средний_металлический_щит</t>
  </si>
  <si>
    <t>ВЫН 5</t>
  </si>
  <si>
    <t>Без дополнительного шанса оглушения</t>
  </si>
  <si>
    <t>Металлический_ростовой_щит</t>
  </si>
  <si>
    <t>ВЫН 7</t>
  </si>
  <si>
    <t>Дополнительный шанс оглушения +1</t>
  </si>
  <si>
    <t>Деревянные щиты</t>
  </si>
  <si>
    <t>Деревянный_кулачный_щит</t>
  </si>
  <si>
    <t>Средний_деревянный_щит</t>
  </si>
  <si>
    <t>Деревянный_ростовой_щит</t>
  </si>
  <si>
    <t>Снаряды</t>
  </si>
  <si>
    <t>Используется для огнестрельного оружия</t>
  </si>
  <si>
    <t>Используется для луков</t>
  </si>
  <si>
    <t xml:space="preserve">Используется для арбалетов    </t>
  </si>
  <si>
    <t>Цена</t>
  </si>
  <si>
    <t>Множитель прочности</t>
  </si>
  <si>
    <t>Хорошее</t>
  </si>
  <si>
    <t>Отличное</t>
  </si>
  <si>
    <t>Превосходное</t>
  </si>
  <si>
    <t>Пар (36-39-42-45-48) Пронзание 1</t>
  </si>
  <si>
    <t>Алхимия</t>
  </si>
  <si>
    <t>Профессия: Алхимик</t>
  </si>
  <si>
    <t>x+</t>
  </si>
  <si>
    <t>Профильные атрибуты: ИНТ/КРЕ</t>
  </si>
  <si>
    <t>*x - необходимое число ингредиентов</t>
  </si>
  <si>
    <t>Пустой фиал</t>
  </si>
  <si>
    <t>Алхимический продукт</t>
  </si>
  <si>
    <t>Ингредиент</t>
  </si>
  <si>
    <t>Необходимое кол-во ингредиентов</t>
  </si>
  <si>
    <t>Трудоемкость на единицу ингредиентов</t>
  </si>
  <si>
    <t>Время приготовления 1 единицы</t>
  </si>
  <si>
    <t>Время приготовления множества</t>
  </si>
  <si>
    <t>Необходимый уровень Алхимика</t>
  </si>
  <si>
    <t>Сложность броска на Алхимика</t>
  </si>
  <si>
    <t>Необходимые алхимические инструменты</t>
  </si>
  <si>
    <t>Минимальное топливо для варки алхимических продуктов</t>
  </si>
  <si>
    <t>Количество топлива</t>
  </si>
  <si>
    <t>Стоимость топлива (всего)</t>
  </si>
  <si>
    <t>Цена одного продукта</t>
  </si>
  <si>
    <t>Цена за единицу (в серебре)</t>
  </si>
  <si>
    <t>Лечебное зелье 1d8 суточное</t>
  </si>
  <si>
    <t>Корнестрел</t>
  </si>
  <si>
    <t>Простые</t>
  </si>
  <si>
    <t>Дрова</t>
  </si>
  <si>
    <t>Лечебное зелье 1d8 часовое</t>
  </si>
  <si>
    <t>Кругоцвет</t>
  </si>
  <si>
    <t>Лечебное зелье 1d8 мгновенное</t>
  </si>
  <si>
    <t>Красный мох</t>
  </si>
  <si>
    <t>Лечебное зелье 2d8 суточное</t>
  </si>
  <si>
    <t>Златоцвет</t>
  </si>
  <si>
    <t>Лечебное зелье 2d8 часовое</t>
  </si>
  <si>
    <t>Огненная трава</t>
  </si>
  <si>
    <t>Лечебное зелье 2d8 мгновенное</t>
  </si>
  <si>
    <t>Колючая лоза</t>
  </si>
  <si>
    <t>Лечебное зелье 3d8 суточное</t>
  </si>
  <si>
    <t>Продвинутые</t>
  </si>
  <si>
    <t>Остролист</t>
  </si>
  <si>
    <t>Лечебное зелье 3d8 часовое</t>
  </si>
  <si>
    <t>Берёзовый сок</t>
  </si>
  <si>
    <t>Лечебное зелье 3d8 мгновенное</t>
  </si>
  <si>
    <t>Синий мох</t>
  </si>
  <si>
    <t>Лечебное зелье 4d8 суточное</t>
  </si>
  <si>
    <t>Ледяной желудь</t>
  </si>
  <si>
    <t>Лечебное зелье 4d8 часовое</t>
  </si>
  <si>
    <t>Манацвет</t>
  </si>
  <si>
    <t>Лечебное зелье 4d8 мгновенное</t>
  </si>
  <si>
    <t>Розовый гриб</t>
  </si>
  <si>
    <t>Лечебное зелье 5d8 суточное</t>
  </si>
  <si>
    <t>Мастерские</t>
  </si>
  <si>
    <t>Мухомор</t>
  </si>
  <si>
    <t>Лечебное зелье 5d8 часовое</t>
  </si>
  <si>
    <t>Ядовитые колокола</t>
  </si>
  <si>
    <t>Лечебное зелье 5d8 мгновенное</t>
  </si>
  <si>
    <t>Черный мох</t>
  </si>
  <si>
    <t>Лечебное зелье 6d8 суточное</t>
  </si>
  <si>
    <t>Королевская кобра</t>
  </si>
  <si>
    <t>Лечебное зелье 6d8 часовое</t>
  </si>
  <si>
    <t>Яд скорпиона</t>
  </si>
  <si>
    <t>Лечебное зелье 6d8 мгновенное</t>
  </si>
  <si>
    <t>Древолаз</t>
  </si>
  <si>
    <t>Лечебная мазь 1d8 суточное</t>
  </si>
  <si>
    <t>Блуждающий паук</t>
  </si>
  <si>
    <t>Лечебная мазь 1d8 часовое</t>
  </si>
  <si>
    <t>Мраморная улитка</t>
  </si>
  <si>
    <t>Лечебная мазь 1d8 мгновенное</t>
  </si>
  <si>
    <t>Каменная рыба</t>
  </si>
  <si>
    <t>Лечебная мазь 2d8 суточное</t>
  </si>
  <si>
    <t>Хвойные ягоды</t>
  </si>
  <si>
    <t>Лечебная мазь 2d8 часовое</t>
  </si>
  <si>
    <t>Белый мёд</t>
  </si>
  <si>
    <t>Лечебная мазь 2d8 мгновенное</t>
  </si>
  <si>
    <t>Бритвалист</t>
  </si>
  <si>
    <t>Лечебная мазь 3d8 суточное</t>
  </si>
  <si>
    <t>Мудрый корень</t>
  </si>
  <si>
    <t>Лечебная мазь 3d8 часовое</t>
  </si>
  <si>
    <t>Каменная вода</t>
  </si>
  <si>
    <t>Лечебная мазь 3d8 мгновенное</t>
  </si>
  <si>
    <t>Солнцецвет</t>
  </si>
  <si>
    <t>Лечебная мазь 4d8 суточное</t>
  </si>
  <si>
    <t>Старшие семена</t>
  </si>
  <si>
    <t>Лечебная мазь 4d8 часовое</t>
  </si>
  <si>
    <t>Лунный цветок</t>
  </si>
  <si>
    <t>Лечебная мазь 4d8 мгновенное</t>
  </si>
  <si>
    <t>Змеиная роза</t>
  </si>
  <si>
    <t>Лечебная мазь 5d8 суточное</t>
  </si>
  <si>
    <t>Сера</t>
  </si>
  <si>
    <t>Лечебная мазь 5d8 часовое</t>
  </si>
  <si>
    <t>Уголь</t>
  </si>
  <si>
    <t>Лечебная мазь 5d8 мгновенное</t>
  </si>
  <si>
    <t>Селитра</t>
  </si>
  <si>
    <t>Лечебная мазь 6d8 суточное</t>
  </si>
  <si>
    <t>Лечебная мазь 6d8 часовое</t>
  </si>
  <si>
    <t>Лечебная мазь 6d8 мгновенное</t>
  </si>
  <si>
    <t>Зелье маны 1d20 суточное</t>
  </si>
  <si>
    <t>Зелье маны 1d20 часовое</t>
  </si>
  <si>
    <t>Зелье маны 1d20 мгновенное</t>
  </si>
  <si>
    <t>Зелье маны 2d20 суточное</t>
  </si>
  <si>
    <t>Зелье маны 2d20 часовое</t>
  </si>
  <si>
    <t>Зелье маны 2d20 мгновенное</t>
  </si>
  <si>
    <t>Зелье маны 3d20 суточное</t>
  </si>
  <si>
    <t>Зелье маны 3d20 часовое</t>
  </si>
  <si>
    <t>Зелье маны 3d20 мгновенное</t>
  </si>
  <si>
    <t>Зелье маны 4d20 суточное</t>
  </si>
  <si>
    <t>Зелье маны 4d20 часовое</t>
  </si>
  <si>
    <t>Зелье маны 4d20 мгновенное</t>
  </si>
  <si>
    <t>Зелье маны 5d20 суточное</t>
  </si>
  <si>
    <t>Зелье маны 5d20 часовое</t>
  </si>
  <si>
    <t>Зелье маны 5d20 мгновенное</t>
  </si>
  <si>
    <t>Зелье маны 6d20 суточное</t>
  </si>
  <si>
    <t>Зелье маны 6d20 часовое</t>
  </si>
  <si>
    <t>Зелье маны 6d20 мгновенное</t>
  </si>
  <si>
    <t>Яд 1d4 15s</t>
  </si>
  <si>
    <t>Яд 1d6 20s</t>
  </si>
  <si>
    <t>Яд 1d8 25s</t>
  </si>
  <si>
    <t>Яд 1d10 30s</t>
  </si>
  <si>
    <t>Яд 1d12 35s</t>
  </si>
  <si>
    <t>Яд 1d12+1 40s</t>
  </si>
  <si>
    <t>Яд 1d12+2 45s</t>
  </si>
  <si>
    <t>Яд 1d12+3 50s</t>
  </si>
  <si>
    <t>Яд 1d12+4 55s</t>
  </si>
  <si>
    <t>Противоядие 1</t>
  </si>
  <si>
    <t>Противоядие 2</t>
  </si>
  <si>
    <t>Противоядие 3</t>
  </si>
  <si>
    <t>Противоядие 4</t>
  </si>
  <si>
    <t>Противоядие 5</t>
  </si>
  <si>
    <t>Противоядие 6</t>
  </si>
  <si>
    <t>Противоядие 7</t>
  </si>
  <si>
    <t>Противоядие 8</t>
  </si>
  <si>
    <t>link</t>
  </si>
  <si>
    <t>Противоядие 9</t>
  </si>
  <si>
    <t>За ед.</t>
  </si>
  <si>
    <t>Черный порох (x100)</t>
  </si>
  <si>
    <t>incl.</t>
  </si>
  <si>
    <t>75% селитра, 10% сера, and 15% уголь</t>
  </si>
  <si>
    <t>Коричневый порох (x100)</t>
  </si>
  <si>
    <t>79% nitre, 3% Сера, and 18% Уголь</t>
  </si>
  <si>
    <t>Керамика</t>
  </si>
  <si>
    <t>Профессия: Гончар</t>
  </si>
  <si>
    <t>Профильные атрибуты: ИНТ/ЛОВ</t>
  </si>
  <si>
    <t>с формой</t>
  </si>
  <si>
    <t>без формы</t>
  </si>
  <si>
    <t>Тарелка или кружка</t>
  </si>
  <si>
    <t>Кирпич</t>
  </si>
  <si>
    <t>Кровля</t>
  </si>
  <si>
    <t>Время на обжиг</t>
  </si>
  <si>
    <t>часов</t>
  </si>
  <si>
    <t>Цена тарелки стандартного качества</t>
  </si>
  <si>
    <t>Без печи (костёр)</t>
  </si>
  <si>
    <t>Стоимость материала, за 1 единицу</t>
  </si>
  <si>
    <t>С печью</t>
  </si>
  <si>
    <t>Количество материала</t>
  </si>
  <si>
    <t>Необходимое "оборудование"</t>
  </si>
  <si>
    <t>Костёр</t>
  </si>
  <si>
    <t>Печь</t>
  </si>
  <si>
    <t>Минимально необходимое топливо</t>
  </si>
  <si>
    <t>Стоимость топлива, за 1 единицу</t>
  </si>
  <si>
    <t>Время изготовления (часов)</t>
  </si>
  <si>
    <t>Часовая ставка, в серебряных монетах</t>
  </si>
  <si>
    <t>Необходимый уровень Гончара</t>
  </si>
  <si>
    <t>Сложность броска на Гончара</t>
  </si>
  <si>
    <t>Необходимые гончарные инструменты</t>
  </si>
  <si>
    <t>Цена тарелки хорошего качества</t>
  </si>
  <si>
    <t>Обожженный глиняный голем</t>
  </si>
  <si>
    <t>Описание обожженного глиняного голема</t>
  </si>
  <si>
    <t>Стандартный</t>
  </si>
  <si>
    <t>Хороший</t>
  </si>
  <si>
    <t>Отличный</t>
  </si>
  <si>
    <t>Цена голема стандартного качества</t>
  </si>
  <si>
    <t>Общее здоровье</t>
  </si>
  <si>
    <t>Торс</t>
  </si>
  <si>
    <t>Трудоемкость на единицу материала</t>
  </si>
  <si>
    <t>Физический урон</t>
  </si>
  <si>
    <t>Скорость атаки / Категория оружия</t>
  </si>
  <si>
    <t>Необходимый уровень Гончара и Чародея</t>
  </si>
  <si>
    <t>Шанс критического удара</t>
  </si>
  <si>
    <t>Сложность броска на Гончара и Чародея</t>
  </si>
  <si>
    <t>Максимальная скорость бега</t>
  </si>
  <si>
    <t>Уворот</t>
  </si>
  <si>
    <t>Цена голема хорошего качества</t>
  </si>
  <si>
    <t>Сопротивление к огненному урону</t>
  </si>
  <si>
    <t>Время действия голема из обожженной глины не ограничено. Он живет, пока не будет уничтожен. Под контролем Гончара не может быть более одного голема из обожжённой глины.</t>
  </si>
  <si>
    <t>Цена голема отличного качества</t>
  </si>
  <si>
    <t>Живая фарфоровая кукла</t>
  </si>
  <si>
    <t>Описание живой фарфоровой куклы</t>
  </si>
  <si>
    <t>Цена куклы стандартного качества</t>
  </si>
  <si>
    <t>Необходимое оборудование</t>
  </si>
  <si>
    <t>Цена куклы хорошего качества</t>
  </si>
  <si>
    <t>Максимальный запас маны</t>
  </si>
  <si>
    <t>Максимальное количество заклинаний</t>
  </si>
  <si>
    <t>Создатель куклы может научить её делать заклинания, которые умеет делать сам. Эти заклинания всегда будут иметь минимальную эффективность.</t>
  </si>
  <si>
    <t>Время действия живой фарфоровой куклы не ограничено. Она живет, пока не будет уничтожена. Под контролем Гончара не может быть более одной фарфоровой куклы.</t>
  </si>
  <si>
    <t>Цена куклы отличного качества</t>
  </si>
  <si>
    <t>Голем из магмы</t>
  </si>
  <si>
    <t>Описание голема из магмы</t>
  </si>
  <si>
    <t>Плавильня и Печь</t>
  </si>
  <si>
    <t>Трудоемкость на ед. материала</t>
  </si>
  <si>
    <t>1d10+28</t>
  </si>
  <si>
    <t>Часовая ставка, в серебре</t>
  </si>
  <si>
    <t>Магический урон (огонь)</t>
  </si>
  <si>
    <t>Время действия голема из магмы не ограничено. Он живет, пока не будет уничтожен. Под контролем Гончара не может быть более одного голема из магмы.</t>
  </si>
  <si>
    <t>Кожевнечество</t>
  </si>
  <si>
    <t>Профессия: Кожевник</t>
  </si>
  <si>
    <t>Кожа</t>
  </si>
  <si>
    <t>Тонкая кожа</t>
  </si>
  <si>
    <t>Средняя кожа</t>
  </si>
  <si>
    <t>Толстая кожа</t>
  </si>
  <si>
    <t>Пергамент</t>
  </si>
  <si>
    <t>Цена за свёрток</t>
  </si>
  <si>
    <t>Цена за лист</t>
  </si>
  <si>
    <t>Wikipedia</t>
  </si>
  <si>
    <t>Необходимый уровень Кожевника</t>
  </si>
  <si>
    <t>Сложность броска на Кожевника</t>
  </si>
  <si>
    <t>Необходимые инструменты Кожевника</t>
  </si>
  <si>
    <t>Легкие доспехи</t>
  </si>
  <si>
    <t>Рюкзак</t>
  </si>
  <si>
    <t>Седло и стремена</t>
  </si>
  <si>
    <t>Тонкая шкура</t>
  </si>
  <si>
    <t>Средняя шкура</t>
  </si>
  <si>
    <t>Толстая шкура</t>
  </si>
  <si>
    <t>Коэффициент качества</t>
  </si>
  <si>
    <t>Цена комплекта легких доспехов стандартного качества</t>
  </si>
  <si>
    <t>Цена материала</t>
  </si>
  <si>
    <t>Необходимый ур. Кожевника</t>
  </si>
  <si>
    <t>Необходимые инструменты</t>
  </si>
  <si>
    <t>Цена комплекта легких доспехов хорошего качества</t>
  </si>
  <si>
    <t>Цена комплекта легких доспехов отличного качества</t>
  </si>
  <si>
    <t>Бонус к броску на Наездника в зависимости от седла и стремен</t>
  </si>
  <si>
    <t>Стандартное качество</t>
  </si>
  <si>
    <t>Хорошее качество</t>
  </si>
  <si>
    <t>Цена комплекта легких доспехов превосходного качества</t>
  </si>
  <si>
    <t>Цены и характеристики комплектов легких доспехов</t>
  </si>
  <si>
    <t>Цена доспехов</t>
  </si>
  <si>
    <t>Максимальный уворот от Гибкости</t>
  </si>
  <si>
    <t>Шанс провала заклинания</t>
  </si>
  <si>
    <t>Минимальные требования</t>
  </si>
  <si>
    <t>Штрафы</t>
  </si>
  <si>
    <t>Качество \ Материал</t>
  </si>
  <si>
    <t>Стандарт</t>
  </si>
  <si>
    <t>Броня 1</t>
  </si>
  <si>
    <t>Броня 2</t>
  </si>
  <si>
    <t>Броня 3</t>
  </si>
  <si>
    <t>Броня 5</t>
  </si>
  <si>
    <t>Броня 7</t>
  </si>
  <si>
    <t>Броня 9</t>
  </si>
  <si>
    <t>Внешность +0</t>
  </si>
  <si>
    <t>Невозможно</t>
  </si>
  <si>
    <t>200</t>
  </si>
  <si>
    <t>20%</t>
  </si>
  <si>
    <t>Цена за комплект (в серебре)</t>
  </si>
  <si>
    <t>Внешность +1</t>
  </si>
  <si>
    <t>Возможно</t>
  </si>
  <si>
    <t>230</t>
  </si>
  <si>
    <t>19%</t>
  </si>
  <si>
    <t>Внешность +3</t>
  </si>
  <si>
    <t>260</t>
  </si>
  <si>
    <t>18%</t>
  </si>
  <si>
    <t>Броня 4</t>
  </si>
  <si>
    <t>Броня 6</t>
  </si>
  <si>
    <t>Броня 8</t>
  </si>
  <si>
    <t>Броня 10</t>
  </si>
  <si>
    <t>Внешность +5</t>
  </si>
  <si>
    <t>290</t>
  </si>
  <si>
    <t>17%</t>
  </si>
  <si>
    <t>Кузнечное ремесло</t>
  </si>
  <si>
    <t>Профессия: Кузнец</t>
  </si>
  <si>
    <t>Профильные атрибуты: ИНТ/СИЛ</t>
  </si>
  <si>
    <t>Металлическое оружие</t>
  </si>
  <si>
    <t>Выберите оружие</t>
  </si>
  <si>
    <t>Максимальный потенциал качества:</t>
  </si>
  <si>
    <t>Необходимо материалов</t>
  </si>
  <si>
    <t>Необходимый уровень</t>
  </si>
  <si>
    <t>Урон оружия в зависимости от материала и качества</t>
  </si>
  <si>
    <t>Материал (метал)</t>
  </si>
  <si>
    <t>Цена изделия стандартного качества</t>
  </si>
  <si>
    <t>Печь или Горн</t>
  </si>
  <si>
    <t>Плавильня</t>
  </si>
  <si>
    <t>Необходимый уровень Кузнеца</t>
  </si>
  <si>
    <t>Сложность броска на Кузнеца</t>
  </si>
  <si>
    <t>Необходимые кузнечные инструменты</t>
  </si>
  <si>
    <t>Цена изделия хорошего качества</t>
  </si>
  <si>
    <t>Цена изделия отличного качества</t>
  </si>
  <si>
    <t>Цена изделия превосходного качества</t>
  </si>
  <si>
    <t>Металлические доспехи</t>
  </si>
  <si>
    <t>Средние доспехи</t>
  </si>
  <si>
    <t>Тяжелые доспехи</t>
  </si>
  <si>
    <t>Цена комплекта средних доспехов стандартного качества</t>
  </si>
  <si>
    <t>Цена комплекта тяжелых доспехов стандартного качества</t>
  </si>
  <si>
    <t>Броня 13</t>
  </si>
  <si>
    <t>Броня 16</t>
  </si>
  <si>
    <t>100</t>
  </si>
  <si>
    <t>40%</t>
  </si>
  <si>
    <t>-1 МСБ, -6% СД</t>
  </si>
  <si>
    <t>120</t>
  </si>
  <si>
    <t>38%</t>
  </si>
  <si>
    <t>Броня 11</t>
  </si>
  <si>
    <t>Броня 14</t>
  </si>
  <si>
    <t>Броня 17</t>
  </si>
  <si>
    <t>140</t>
  </si>
  <si>
    <t>36%</t>
  </si>
  <si>
    <t>160</t>
  </si>
  <si>
    <t>34%</t>
  </si>
  <si>
    <t>Необходимый ур. Кузнеца</t>
  </si>
  <si>
    <t>Броня 15</t>
  </si>
  <si>
    <t>Броня 19</t>
  </si>
  <si>
    <t>Броня 23</t>
  </si>
  <si>
    <t>50</t>
  </si>
  <si>
    <t>70%</t>
  </si>
  <si>
    <t>-2 МСБ, -12% СД</t>
  </si>
  <si>
    <t>Цена комплекта средних доспехов хорошего качества</t>
  </si>
  <si>
    <t>Цена комплекта тяжелых доспехов хорошего качества</t>
  </si>
  <si>
    <t>Броня 12</t>
  </si>
  <si>
    <t>Броня 20</t>
  </si>
  <si>
    <t>Броня 24</t>
  </si>
  <si>
    <t>60</t>
  </si>
  <si>
    <t>67%</t>
  </si>
  <si>
    <t>70</t>
  </si>
  <si>
    <t>64%</t>
  </si>
  <si>
    <t>Броня 21</t>
  </si>
  <si>
    <t>Броня 25</t>
  </si>
  <si>
    <t>61%</t>
  </si>
  <si>
    <t>Цена комплекта средних доспехов отличного качества</t>
  </si>
  <si>
    <t>Цена комплекта тяжелых доспехов отличного качества</t>
  </si>
  <si>
    <t>Цена комплекта средних доспехов превосходного качества</t>
  </si>
  <si>
    <t>Цена комплекта тяжелых доспехов превосходного качества</t>
  </si>
  <si>
    <t>Выберите щит</t>
  </si>
  <si>
    <t>Металлический кулачный щит</t>
  </si>
  <si>
    <t>Кулачный щит</t>
  </si>
  <si>
    <t>Цена щитов</t>
  </si>
  <si>
    <t>Очки блока</t>
  </si>
  <si>
    <t>Цена кулачного щита стандартного качества</t>
  </si>
  <si>
    <t>Прочность кулачного щита стандартного качества</t>
  </si>
  <si>
    <t>Точность: -3/2/1/0</t>
  </si>
  <si>
    <t>Плавильня и Горн</t>
  </si>
  <si>
    <t>Прочность кулачного щита хорошего качества</t>
  </si>
  <si>
    <t>42</t>
  </si>
  <si>
    <t>Прочность кулачного щита отличного качества</t>
  </si>
  <si>
    <t>44</t>
  </si>
  <si>
    <t>Прочность кулачного щита превосходного качества</t>
  </si>
  <si>
    <t>46</t>
  </si>
  <si>
    <t>Необходимая профессия</t>
  </si>
  <si>
    <t>Кузнец</t>
  </si>
  <si>
    <t>Средний щит</t>
  </si>
  <si>
    <t>Необходимый ур. профессии</t>
  </si>
  <si>
    <t>Прочность среднего щита стандартного качества</t>
  </si>
  <si>
    <t>52</t>
  </si>
  <si>
    <t>Точность: -4/3/2/1</t>
  </si>
  <si>
    <t>Сложность броска на профессию</t>
  </si>
  <si>
    <t>Прочность среднего щита хорошего качества</t>
  </si>
  <si>
    <t>55</t>
  </si>
  <si>
    <t>Цена кулачного щита хорошего качества</t>
  </si>
  <si>
    <t>Прочность среднего щита отличного качества</t>
  </si>
  <si>
    <t>58</t>
  </si>
  <si>
    <t>Прочность среднего щита превосходного качества</t>
  </si>
  <si>
    <t>61</t>
  </si>
  <si>
    <t>Ростовой щит</t>
  </si>
  <si>
    <t>Прочность ростового щита стандартного качества</t>
  </si>
  <si>
    <t>Точность: -5/4/3/2
МСБ: -1</t>
  </si>
  <si>
    <t>Цена кулачного щита отличного качества</t>
  </si>
  <si>
    <t>Прочность ростового щита хорошего качества</t>
  </si>
  <si>
    <t>74</t>
  </si>
  <si>
    <t>Прочность ростового щита отличного качества</t>
  </si>
  <si>
    <t>78</t>
  </si>
  <si>
    <t>Прочность ростового щита превосходного качества</t>
  </si>
  <si>
    <t>82</t>
  </si>
  <si>
    <t>Цена кулачного щита превосходного качества</t>
  </si>
  <si>
    <t>Оружие. Ценообразование и изготовление.</t>
  </si>
  <si>
    <t>Прочие изделия</t>
  </si>
  <si>
    <t>Список для таблицы "Оружие"</t>
  </si>
  <si>
    <t>Лопата</t>
  </si>
  <si>
    <t>Переносной котёл</t>
  </si>
  <si>
    <t>Кухонный котёл</t>
  </si>
  <si>
    <t>Наковальня</t>
  </si>
  <si>
    <t>Оковы</t>
  </si>
  <si>
    <t>Необходимое количество материалов</t>
  </si>
  <si>
    <t>Необх. уровень</t>
  </si>
  <si>
    <t>Минимальный тип топлива для ковки оружия</t>
  </si>
  <si>
    <t>Цена стандартного оружия из бронзы (серебряных монет)</t>
  </si>
  <si>
    <t>Пули</t>
  </si>
  <si>
    <t>Свинец</t>
  </si>
  <si>
    <t>Цена пули стандартного качества</t>
  </si>
  <si>
    <t>Печь и Горн</t>
  </si>
  <si>
    <t>Урон от пули в зависимости от металла и качества</t>
  </si>
  <si>
    <t>Качество пули</t>
  </si>
  <si>
    <t>Средний металлический щит</t>
  </si>
  <si>
    <t>Металлический ростовой щит</t>
  </si>
  <si>
    <t>Стрелы и арбалетные болты</t>
  </si>
  <si>
    <t>Требуются совместные усилия Плотника и Кузнеца. Плотник делает древки, а Кузнец — наконечники для стрел.</t>
  </si>
  <si>
    <t>metal</t>
  </si>
  <si>
    <t>wood</t>
  </si>
  <si>
    <t>CTR</t>
  </si>
  <si>
    <t>weight</t>
  </si>
  <si>
    <t>Req. Lv.</t>
  </si>
  <si>
    <t>Fuel</t>
  </si>
  <si>
    <t>Fuel cost</t>
  </si>
  <si>
    <t>price</t>
  </si>
  <si>
    <t>Выберите тип снаряда</t>
  </si>
  <si>
    <t>Арбалетный болт</t>
  </si>
  <si>
    <t>Необходимо метала</t>
  </si>
  <si>
    <t>Необходимо древесины</t>
  </si>
  <si>
    <t>Quality factor</t>
  </si>
  <si>
    <t>Материал (древесина)</t>
  </si>
  <si>
    <t>Обычная древесина</t>
  </si>
  <si>
    <t>Цена продукта стандартного качества</t>
  </si>
  <si>
    <t>Стоимость металла, за 1 единицу</t>
  </si>
  <si>
    <t>Стоимость древесины, за 1 единицу</t>
  </si>
  <si>
    <t>Metal amount</t>
  </si>
  <si>
    <t>Wood amount</t>
  </si>
  <si>
    <t>Необходимый уровень Кузнеца и Плотника</t>
  </si>
  <si>
    <t>Сложность броска на Кузнеца и Плотника</t>
  </si>
  <si>
    <t>Необходимые плотницкие инструменты</t>
  </si>
  <si>
    <t>Урон от стрел и болтов зависит от металла и качества наконечника</t>
  </si>
  <si>
    <t>Качество стрелы / болта</t>
  </si>
  <si>
    <t>Механика</t>
  </si>
  <si>
    <t>Профессия: Механик</t>
  </si>
  <si>
    <t>Оружие Механика</t>
  </si>
  <si>
    <t>Урон от огнестрельного оружия в зависимости от материала и качества (без учета дополнительного урона от пуль)</t>
  </si>
  <si>
    <t>Необходимый уровень Механика</t>
  </si>
  <si>
    <t>Сложность броска на Механика</t>
  </si>
  <si>
    <t>Необходимые инструменты Механика</t>
  </si>
  <si>
    <t>Капкан (ловушка)</t>
  </si>
  <si>
    <t>Замок с ключом</t>
  </si>
  <si>
    <t>Часы</t>
  </si>
  <si>
    <t>Ущерб от бомбы в зависимости от материала и качества</t>
  </si>
  <si>
    <t>Качество бомбы</t>
  </si>
  <si>
    <t>Материал (порох)</t>
  </si>
  <si>
    <t>Стоимость пороха, за 1 единицу</t>
  </si>
  <si>
    <t>Количество металла</t>
  </si>
  <si>
    <t>Количество пороха</t>
  </si>
  <si>
    <t>Требуются совместные усилия Плотника и Механика.</t>
  </si>
  <si>
    <t>Урон арбалета в зависимости от материала и качества</t>
  </si>
  <si>
    <t>Количество древесины</t>
  </si>
  <si>
    <t>Необходимый ур. Механика и Плотника</t>
  </si>
  <si>
    <t>Сложность броска на Плотника и Механика</t>
  </si>
  <si>
    <t>Изделия Механика</t>
  </si>
  <si>
    <t>кол-во материалов (метал)</t>
  </si>
  <si>
    <t>ТЕМ</t>
  </si>
  <si>
    <t>вес</t>
  </si>
  <si>
    <t>необх. ур.</t>
  </si>
  <si>
    <t>Стоимость топлива</t>
  </si>
  <si>
    <t>цена</t>
  </si>
  <si>
    <t>металл</t>
  </si>
  <si>
    <t>порох</t>
  </si>
  <si>
    <t>2</t>
  </si>
  <si>
    <t>Изделия Механика и Плотника</t>
  </si>
  <si>
    <t>метал</t>
  </si>
  <si>
    <t>древесина</t>
  </si>
  <si>
    <t>Свитки и книги</t>
  </si>
  <si>
    <t>Профессия: Писарь</t>
  </si>
  <si>
    <t>Профильные атрибуты: ИНТ/СОЗ</t>
  </si>
  <si>
    <t>Начертание свитков для дальнейшего зачарования</t>
  </si>
  <si>
    <t>Категория заклинания для потенциального зачарования</t>
  </si>
  <si>
    <t>Уровень заклинания</t>
  </si>
  <si>
    <t>Цена свитка готового для зачарования (мощность 1)</t>
  </si>
  <si>
    <t>Хлопковая бумага</t>
  </si>
  <si>
    <t>Качественная бумага</t>
  </si>
  <si>
    <t>Необходимый объем материала (листы)</t>
  </si>
  <si>
    <t>Время начертания (часов)</t>
  </si>
  <si>
    <t>Коэффициент трудоёмкости</t>
  </si>
  <si>
    <t>Необходимый уровень Писаря</t>
  </si>
  <si>
    <t>Сложность броска на Писаря</t>
  </si>
  <si>
    <t>Необходимые принадлежности Писаря</t>
  </si>
  <si>
    <t>Цена свитка готового для зачарования (мощность 2)</t>
  </si>
  <si>
    <t>Цена свитка готового для зачарования (мощность 3)</t>
  </si>
  <si>
    <t>Написание книги, учебника</t>
  </si>
  <si>
    <t>Уровень сложности книги</t>
  </si>
  <si>
    <t>Любая книга, кроме художественной литературы</t>
  </si>
  <si>
    <t>Художественная литература, мифы, легенды</t>
  </si>
  <si>
    <t>Необходимая Креативность</t>
  </si>
  <si>
    <t>Плотницкое дело</t>
  </si>
  <si>
    <t>Профессия: Плотник</t>
  </si>
  <si>
    <t>Профильные атрибуты: ИНТ/ВОС</t>
  </si>
  <si>
    <t>Цена оружия стандартного качества</t>
  </si>
  <si>
    <t>Необходимый уровень Плотника</t>
  </si>
  <si>
    <t>Сложность броска на Плотника</t>
  </si>
  <si>
    <t>Деревянный кулачный щит</t>
  </si>
  <si>
    <t>Деревянные щиты на 50% менее прочные, чем металлические.</t>
  </si>
  <si>
    <t>С вероятностью 15% оружие застревает в деревянных щитах.</t>
  </si>
  <si>
    <t>Деревянные щиты имеют штраф -1 к попытке оглушить врага Ударом щита (бросок на Силу).</t>
  </si>
  <si>
    <t>Сложность вытаскивания застрявшего оружия (Сложность броска на Силу)</t>
  </si>
  <si>
    <t>Деревянные щиты на ~76% дешевле металлических.</t>
  </si>
  <si>
    <t>Сложность вытаскивания застрявшего оружия</t>
  </si>
  <si>
    <t>Цена деревянных щитов</t>
  </si>
  <si>
    <t>Цена щита стандартного качества</t>
  </si>
  <si>
    <t>Не возможно</t>
  </si>
  <si>
    <t>Цена кулачного щита стандартного качества (серебро)</t>
  </si>
  <si>
    <t>Цена кулачного щита хорошего качества (серебро)</t>
  </si>
  <si>
    <t>Цена кулачного щита отличного качества (серебро)</t>
  </si>
  <si>
    <t>Цена щита хорошего качества</t>
  </si>
  <si>
    <t>Цена кулачного щита превосходного качества (серебро)</t>
  </si>
  <si>
    <t>Деревянный средний щит</t>
  </si>
  <si>
    <t>Цена среднего щита стандартного качества (серебро)</t>
  </si>
  <si>
    <t>Цена среднего щита хорошего качества (серебро)</t>
  </si>
  <si>
    <t>Цена щита отличного качества</t>
  </si>
  <si>
    <t>Цена среднего щита отличного качества (серебро)</t>
  </si>
  <si>
    <t>Цена среднего щита превосходного качества (серебро)</t>
  </si>
  <si>
    <t>Деревянный ростовой щит</t>
  </si>
  <si>
    <t>ВЫН 6</t>
  </si>
  <si>
    <t>Точность: -5/4/3/2
Скорость бега: -1</t>
  </si>
  <si>
    <t>Цена щита превосходного качества</t>
  </si>
  <si>
    <t>Цена ростового щита стандартного качества (серебро)</t>
  </si>
  <si>
    <t>Цена ростового щита хорошего качества (серебро)</t>
  </si>
  <si>
    <t>Цена ростового щита отличного качества (серебро)</t>
  </si>
  <si>
    <t>Цена ростового щита превосходного качества (серебро)</t>
  </si>
  <si>
    <t>Деревянная мебель, музыкальные инструменты и лодки</t>
  </si>
  <si>
    <t>Прочие изделия Плотника</t>
  </si>
  <si>
    <t>Выберите продукт</t>
  </si>
  <si>
    <t>Простая мебель</t>
  </si>
  <si>
    <t>Факел</t>
  </si>
  <si>
    <t>Доска</t>
  </si>
  <si>
    <t>Деревянная балка</t>
  </si>
  <si>
    <t>Дверь</t>
  </si>
  <si>
    <t>Гроб</t>
  </si>
  <si>
    <t>Цена продукта хорошего качества</t>
  </si>
  <si>
    <t>Цена продукта отличного качества</t>
  </si>
  <si>
    <t>Стрелы и болты</t>
  </si>
  <si>
    <t>Необходимо дерева</t>
  </si>
  <si>
    <t>Список изделий Плотника</t>
  </si>
  <si>
    <t>Древесный уголь</t>
  </si>
  <si>
    <t>Цена за 1 единицу</t>
  </si>
  <si>
    <t>Цена за 16 единиц</t>
  </si>
  <si>
    <t>Source</t>
  </si>
  <si>
    <t>Массовое производство</t>
  </si>
  <si>
    <t>Сложная мебель</t>
  </si>
  <si>
    <t>Простой музыкальный инструмент</t>
  </si>
  <si>
    <t>Активное время работы Плотника (часов)</t>
  </si>
  <si>
    <t>Сложный музыкальный инструмент</t>
  </si>
  <si>
    <t>Плоскодонка (двухместная)</t>
  </si>
  <si>
    <t>Широкая гребная лодка (4-х местная)</t>
  </si>
  <si>
    <t>Каноэ, каяк (двухместрая)</t>
  </si>
  <si>
    <t>самая быстрая лодка без паруса</t>
  </si>
  <si>
    <t>Парусная лодка (8-ми местная)</t>
  </si>
  <si>
    <t>Список изделий Механика и Плотника</t>
  </si>
  <si>
    <t>Список изделий Плотника и Кузнеца</t>
  </si>
  <si>
    <t>Портное дело</t>
  </si>
  <si>
    <t>Профессия: Портной</t>
  </si>
  <si>
    <t>Профильные атрибуты: ВОС/ЛОВ</t>
  </si>
  <si>
    <t>Изготовление одежды и других изделий из ткани</t>
  </si>
  <si>
    <t>Цены и характеристики комплектов одежды</t>
  </si>
  <si>
    <t>Ткацкое ремесло - Простая одежда и робы</t>
  </si>
  <si>
    <t>Цена одежды</t>
  </si>
  <si>
    <t>Хлопок</t>
  </si>
  <si>
    <t>Шерсть</t>
  </si>
  <si>
    <t>Шелк</t>
  </si>
  <si>
    <t>Цена комплекта простой одежды стандартного качества</t>
  </si>
  <si>
    <t>Тип, качество \ Материал</t>
  </si>
  <si>
    <t>Парча</t>
  </si>
  <si>
    <t>Простая одежда</t>
  </si>
  <si>
    <t>Внешность +2</t>
  </si>
  <si>
    <t>Внешность +4</t>
  </si>
  <si>
    <t>Без ограничений</t>
  </si>
  <si>
    <t>Необходимый ур. Портного</t>
  </si>
  <si>
    <t>Внешность +6</t>
  </si>
  <si>
    <t>Сложность броска на Портного</t>
  </si>
  <si>
    <t>Необходимые инструменты Портного</t>
  </si>
  <si>
    <t>Внешность +7</t>
  </si>
  <si>
    <t>Цена комплекта простой одежды хорошего качества</t>
  </si>
  <si>
    <t>Теплая одежда</t>
  </si>
  <si>
    <t>Цена комплекта простой одежды отличного качества</t>
  </si>
  <si>
    <t>Парадная одежда, платье</t>
  </si>
  <si>
    <t>Внешность +12</t>
  </si>
  <si>
    <t>Внешность +14</t>
  </si>
  <si>
    <t>Внешность +8</t>
  </si>
  <si>
    <t>Внешность +13</t>
  </si>
  <si>
    <t>Внешность +15</t>
  </si>
  <si>
    <t>Цена комплекта простой одежды превосходного качества</t>
  </si>
  <si>
    <t>Внешность +9</t>
  </si>
  <si>
    <t>Внешность +16</t>
  </si>
  <si>
    <t>Внешность +10</t>
  </si>
  <si>
    <t>Внешность +17</t>
  </si>
  <si>
    <t>Ткацкое ремесло - теплая одежда</t>
  </si>
  <si>
    <t>Спальный мешок</t>
  </si>
  <si>
    <t>Плащ с капющоном</t>
  </si>
  <si>
    <t>Цена комплекта теплой одежды стандартного качества</t>
  </si>
  <si>
    <t>Цена комплекта теплой одежды хорошего качества</t>
  </si>
  <si>
    <t>Цена комплекта теплой одежды отличного качества</t>
  </si>
  <si>
    <t>Цена комплекта теплой одежды превосходного качества</t>
  </si>
  <si>
    <t>Ткацкое ремесло - парадная одежда, платье</t>
  </si>
  <si>
    <t>Тряпичная бумага</t>
  </si>
  <si>
    <t>Пеньковая бумага</t>
  </si>
  <si>
    <t>Пенька</t>
  </si>
  <si>
    <t>Цена комплекта парадной одежды стандартного качества</t>
  </si>
  <si>
    <t>Цена одного листа тряпичной бумаги</t>
  </si>
  <si>
    <t>Цена комплекта парадной одежды хорошего качества</t>
  </si>
  <si>
    <t>Цена комплекта парадной одежды отличного качества</t>
  </si>
  <si>
    <t>Цена комплекта парадной одежды превосходного качества</t>
  </si>
  <si>
    <t>Ткацкое ремесло - шпагат, веревка, рыбацкая сеть</t>
  </si>
  <si>
    <t>Мешок</t>
  </si>
  <si>
    <t>Сложность для проверки Силы, чтобы разорвать шпагат, веревку, сеть</t>
  </si>
  <si>
    <t>Джут</t>
  </si>
  <si>
    <t>Шёлк</t>
  </si>
  <si>
    <t>Сложность броска на Силу</t>
  </si>
  <si>
    <t>Цена шпагата - 1 м</t>
  </si>
  <si>
    <t>Шпагат</t>
  </si>
  <si>
    <t>Веревка</t>
  </si>
  <si>
    <t>Рыбацкая сеть</t>
  </si>
  <si>
    <t>Цена веревки - 1 м</t>
  </si>
  <si>
    <t>Джутовая веревка</t>
  </si>
  <si>
    <t>Льняная веревка</t>
  </si>
  <si>
    <t>Пеньковая веревка</t>
  </si>
  <si>
    <t>Цена рыбацкой сети - 1 кв. м.</t>
  </si>
  <si>
    <t>Добыча руды, выплавка металла и кладка</t>
  </si>
  <si>
    <t>Профессия: Рудокоп</t>
  </si>
  <si>
    <t>Профильные атрибуты: СИЛ/ВЫН</t>
  </si>
  <si>
    <t>Добыча руды</t>
  </si>
  <si>
    <t>Уровень рудокопа</t>
  </si>
  <si>
    <t>Сложность броска на Рудокопа</t>
  </si>
  <si>
    <t>Необходимые инструменты Рудокопа</t>
  </si>
  <si>
    <t>Каменная порода и руда доступные для добычи</t>
  </si>
  <si>
    <t>Время на добычу одной единицы руды, часов</t>
  </si>
  <si>
    <t>Стоимость добычи единицы руды</t>
  </si>
  <si>
    <t>Шанс найти драгоценный камень, в случае критического броска на Рудокопа</t>
  </si>
  <si>
    <t>Тальк, сланец, гипс, песчаник, медь, олово, свинец, цинк</t>
  </si>
  <si>
    <t>Яшма, оникс, обсидиан</t>
  </si>
  <si>
    <t>Известняк, доломит, асбест, каменный уголь, железо</t>
  </si>
  <si>
    <t>Агат, опал, родонит</t>
  </si>
  <si>
    <t>Гранит, кварцит, гравий</t>
  </si>
  <si>
    <t>Янтарь, малахит</t>
  </si>
  <si>
    <t>Мрамор, кобальт</t>
  </si>
  <si>
    <t>Аметист, цитрин</t>
  </si>
  <si>
    <t>Никель, серебро, каврил</t>
  </si>
  <si>
    <t>Аквамарин, топаз</t>
  </si>
  <si>
    <t>Золото, грамант</t>
  </si>
  <si>
    <t>Сапфир</t>
  </si>
  <si>
    <t>Платина, леорит</t>
  </si>
  <si>
    <t>Алмаз, изумруд, рубин</t>
  </si>
  <si>
    <t>Цена каменной породы и руды</t>
  </si>
  <si>
    <t>Название каменной породы или руды</t>
  </si>
  <si>
    <t>Надбавка за полезные свойства</t>
  </si>
  <si>
    <t>Итого стоимость камня, руды</t>
  </si>
  <si>
    <t>Тальк, сланец, гипс, песчаник</t>
  </si>
  <si>
    <t>Цинковая руда</t>
  </si>
  <si>
    <t>Свинцовая руда</t>
  </si>
  <si>
    <t>Медная руда</t>
  </si>
  <si>
    <t>Оловянная руда</t>
  </si>
  <si>
    <t>Известняк, доломит, асбест, каменный уголь</t>
  </si>
  <si>
    <t>Железная руда</t>
  </si>
  <si>
    <t>Мрамор</t>
  </si>
  <si>
    <t>Кобальтовая руда</t>
  </si>
  <si>
    <t>Никелевая руда</t>
  </si>
  <si>
    <t>Серебряная руда</t>
  </si>
  <si>
    <t>Кавриловая руда</t>
  </si>
  <si>
    <t>Золотая руда</t>
  </si>
  <si>
    <t>Грамантовая руда</t>
  </si>
  <si>
    <t>Платиновая руда</t>
  </si>
  <si>
    <t>Леоритовая руда</t>
  </si>
  <si>
    <t>Существенную стоимость руды и металлических слитков составляют транспортные расходы. Они могут сильно отличаться в зависимости от игрового мира, поэтому не включены в рыночную цену.</t>
  </si>
  <si>
    <t>Обтёсанный камень / мрамор</t>
  </si>
  <si>
    <t>Цена обтёсанного камня стандартного качества</t>
  </si>
  <si>
    <t>Камень</t>
  </si>
  <si>
    <t>Необходимый уровень Рудокопа</t>
  </si>
  <si>
    <t>Металлы</t>
  </si>
  <si>
    <t>Оловянный слиток</t>
  </si>
  <si>
    <t>Свинцовый слиток</t>
  </si>
  <si>
    <t>Цинковый слиток</t>
  </si>
  <si>
    <t>Кобальтовый слиток</t>
  </si>
  <si>
    <t>Медный слиток</t>
  </si>
  <si>
    <t>Железный слиток</t>
  </si>
  <si>
    <t>Никелевый слиток</t>
  </si>
  <si>
    <t>Серебрянный слиток</t>
  </si>
  <si>
    <t>Золотой слиток</t>
  </si>
  <si>
    <t>Кавриловый слиток</t>
  </si>
  <si>
    <t>Грамантовый слиток</t>
  </si>
  <si>
    <t>Леоритовый слиток</t>
  </si>
  <si>
    <t>Платиновый слиток</t>
  </si>
  <si>
    <t>Цена за слиток</t>
  </si>
  <si>
    <t>Сложность броска на Рудокопа или Кузнеца</t>
  </si>
  <si>
    <t>Минимально необходимые инструменты Рудокопа или Кузнеца</t>
  </si>
  <si>
    <t>Сплавы</t>
  </si>
  <si>
    <t>Бронзовый слиток</t>
  </si>
  <si>
    <t>Стальной слиток</t>
  </si>
  <si>
    <t>Сера, фосфор, кремний</t>
  </si>
  <si>
    <t>Сложность броска на Рудокопа и Алхимика</t>
  </si>
  <si>
    <t>Необходимые инструменты Алхимика</t>
  </si>
  <si>
    <t>Стеклодувное ремесло</t>
  </si>
  <si>
    <t>Профессия: Стеклодув</t>
  </si>
  <si>
    <t>Изготовление исходного материала</t>
  </si>
  <si>
    <t>Изготовление изделий из стекла</t>
  </si>
  <si>
    <t>Химический состав</t>
  </si>
  <si>
    <t>Стекло</t>
  </si>
  <si>
    <t>SiO2</t>
  </si>
  <si>
    <t>B2О3</t>
  </si>
  <si>
    <t>Al2O3</t>
  </si>
  <si>
    <t>MgO</t>
  </si>
  <si>
    <t>CaO</t>
  </si>
  <si>
    <t>BaO</t>
  </si>
  <si>
    <t>PbO</t>
  </si>
  <si>
    <t>Na2O</t>
  </si>
  <si>
    <t>K2O</t>
  </si>
  <si>
    <t>Fe2O3</t>
  </si>
  <si>
    <t>SO3</t>
  </si>
  <si>
    <t>Название продукта</t>
  </si>
  <si>
    <t>Лесное стекло</t>
  </si>
  <si>
    <t>Название изделия</t>
  </si>
  <si>
    <t>Фиал или склянка</t>
  </si>
  <si>
    <t>Бутылка, ваза или графин</t>
  </si>
  <si>
    <t>Окно</t>
  </si>
  <si>
    <t>Песочные часы</t>
  </si>
  <si>
    <t>Переносной фонарь</t>
  </si>
  <si>
    <t>Оконное</t>
  </si>
  <si>
    <t>71,8</t>
  </si>
  <si>
    <t>—</t>
  </si>
  <si>
    <t>4,1</t>
  </si>
  <si>
    <t>6,7</t>
  </si>
  <si>
    <t>14,8</t>
  </si>
  <si>
    <t>0,1</t>
  </si>
  <si>
    <t>0,5</t>
  </si>
  <si>
    <t>Материал стандартного качества</t>
  </si>
  <si>
    <t>Тарное</t>
  </si>
  <si>
    <t>71,5</t>
  </si>
  <si>
    <t>3,3</t>
  </si>
  <si>
    <t>3,2</t>
  </si>
  <si>
    <t>5,2</t>
  </si>
  <si>
    <t>0,6</t>
  </si>
  <si>
    <t>0,2</t>
  </si>
  <si>
    <t>Посудное</t>
  </si>
  <si>
    <t>7,45</t>
  </si>
  <si>
    <t>0,05</t>
  </si>
  <si>
    <t>Хрусталь</t>
  </si>
  <si>
    <t>56,5</t>
  </si>
  <si>
    <t>0,48</t>
  </si>
  <si>
    <t>0,02</t>
  </si>
  <si>
    <t>Химико-лабораторное</t>
  </si>
  <si>
    <t>68,4</t>
  </si>
  <si>
    <t>2,7</t>
  </si>
  <si>
    <t>3,9</t>
  </si>
  <si>
    <t>8,5</t>
  </si>
  <si>
    <t>9,4</t>
  </si>
  <si>
    <t>7,1</t>
  </si>
  <si>
    <t>Оптическое</t>
  </si>
  <si>
    <t>41,4</t>
  </si>
  <si>
    <t>53,2</t>
  </si>
  <si>
    <t>5,4</t>
  </si>
  <si>
    <t>Кварцоидное</t>
  </si>
  <si>
    <t>3,5</t>
  </si>
  <si>
    <t>Электроколбочное</t>
  </si>
  <si>
    <t>71,9</t>
  </si>
  <si>
    <t>5,5</t>
  </si>
  <si>
    <t>16,1</t>
  </si>
  <si>
    <t>Электровакуумное</t>
  </si>
  <si>
    <t>66,9</t>
  </si>
  <si>
    <t>20,3</t>
  </si>
  <si>
    <t>Медицинское</t>
  </si>
  <si>
    <t>4,5</t>
  </si>
  <si>
    <t>Жаростойкое</t>
  </si>
  <si>
    <t>57,6</t>
  </si>
  <si>
    <t>7,4</t>
  </si>
  <si>
    <t>Необходимый уровень Стеклодува</t>
  </si>
  <si>
    <t>Термостойкое</t>
  </si>
  <si>
    <t>80,5</t>
  </si>
  <si>
    <t>Сложность броска на Стеклодува</t>
  </si>
  <si>
    <t>Термометрическое</t>
  </si>
  <si>
    <t>57,1</t>
  </si>
  <si>
    <t>10,1</t>
  </si>
  <si>
    <t>20,6</t>
  </si>
  <si>
    <t>4,6</t>
  </si>
  <si>
    <t>7,6</t>
  </si>
  <si>
    <t>Необходимые стеклодувные инструменты</t>
  </si>
  <si>
    <t>Защитное</t>
  </si>
  <si>
    <t>Материал хорошего качества</t>
  </si>
  <si>
    <t>Радиационно-стойкое</t>
  </si>
  <si>
    <t>48,2</t>
  </si>
  <si>
    <t>0,65</t>
  </si>
  <si>
    <t>0,15</t>
  </si>
  <si>
    <t>29,5</t>
  </si>
  <si>
    <t>7,5</t>
  </si>
  <si>
    <t>Стеклянное волокно</t>
  </si>
  <si>
    <t>Кварцевый песок</t>
  </si>
  <si>
    <t>Оксид кальция</t>
  </si>
  <si>
    <t>Окись свинца</t>
  </si>
  <si>
    <t>Сода</t>
  </si>
  <si>
    <t>Порошок из морских раковин</t>
  </si>
  <si>
    <t>Свинцовый порошок</t>
  </si>
  <si>
    <t>Зола морских водорослей</t>
  </si>
  <si>
    <t>Древесная зола</t>
  </si>
  <si>
    <t>Содовое стекло</t>
  </si>
  <si>
    <t>Цена стандартного содового стекла</t>
  </si>
  <si>
    <t>Цена хорошего содового стекла</t>
  </si>
  <si>
    <t>Свинцовое стекло</t>
  </si>
  <si>
    <t>Хрустальная ваза, графин</t>
  </si>
  <si>
    <t>Линза</t>
  </si>
  <si>
    <t>Очки</t>
  </si>
  <si>
    <t>Подзорная труба / Телескоп</t>
  </si>
  <si>
    <t>Строительство</t>
  </si>
  <si>
    <t>Профессия: Строитель</t>
  </si>
  <si>
    <t>Профильные атрибуты: ИНТ/ВЫН</t>
  </si>
  <si>
    <t>Забор (10 метров)</t>
  </si>
  <si>
    <t>Цена забора стандартного качества</t>
  </si>
  <si>
    <t>Необходимый уровень Строителя</t>
  </si>
  <si>
    <t>Сложность броска на Строителя</t>
  </si>
  <si>
    <t>Необходимые строительные инструменты</t>
  </si>
  <si>
    <t>Печь / Горн</t>
  </si>
  <si>
    <t>Цена печи стандартного качества</t>
  </si>
  <si>
    <t>Цена печи хорошего качества</t>
  </si>
  <si>
    <t>Мост</t>
  </si>
  <si>
    <t>Цена моста стандартного качества</t>
  </si>
  <si>
    <t>Цена моста хорошего качества</t>
  </si>
  <si>
    <t>Цена моста отличного качества</t>
  </si>
  <si>
    <t>Цена моста превосходного качества</t>
  </si>
  <si>
    <t>Дом, здание</t>
  </si>
  <si>
    <t>Основной материал</t>
  </si>
  <si>
    <t>Цена дома стандартного качества</t>
  </si>
  <si>
    <t>Количество основного материала</t>
  </si>
  <si>
    <t>Стоимость 3 дверей</t>
  </si>
  <si>
    <t>Стоимость 4 окон</t>
  </si>
  <si>
    <t>Стоимость печи</t>
  </si>
  <si>
    <t>Стоимость кровли</t>
  </si>
  <si>
    <t>Цена дома хорошего качества</t>
  </si>
  <si>
    <t>Цена дома отличного качества</t>
  </si>
  <si>
    <t>Цена дома превосходного качества</t>
  </si>
  <si>
    <t>Профессия: Чародей</t>
  </si>
  <si>
    <t>Допущение:</t>
  </si>
  <si>
    <t>Стоимость 10 маны:</t>
  </si>
  <si>
    <t>Шанс активации заклинания в зачарованном предмете</t>
  </si>
  <si>
    <t>Зачарование предметов</t>
  </si>
  <si>
    <t>Категория оружия / Категория заклинания</t>
  </si>
  <si>
    <t>Мощность заклинания 1</t>
  </si>
  <si>
    <t>КЗ</t>
  </si>
  <si>
    <t>Затраты маны</t>
  </si>
  <si>
    <t>Время для зачарования (часов)</t>
  </si>
  <si>
    <t>Коэффициент трудоемкости на уровень заклиняния</t>
  </si>
  <si>
    <t>Необходимый уровень Чародея</t>
  </si>
  <si>
    <t>Отличное качество</t>
  </si>
  <si>
    <t>Сложность броска на Чародея</t>
  </si>
  <si>
    <t>Необходимые чародейские инструменты</t>
  </si>
  <si>
    <t>Мощность заклинания 2</t>
  </si>
  <si>
    <t>Превосходное качество</t>
  </si>
  <si>
    <t>Категория заклинания</t>
  </si>
  <si>
    <t>Мощность заклинания 3</t>
  </si>
  <si>
    <t>Зачарование робы</t>
  </si>
  <si>
    <t>Эффект: доп. физ. броня / маг. броня</t>
  </si>
  <si>
    <t>Цена зачарованной робы хорошего качества</t>
  </si>
  <si>
    <t>Физическая броня / Магическая броня</t>
  </si>
  <si>
    <t>+1/1</t>
  </si>
  <si>
    <t>+1/2</t>
  </si>
  <si>
    <t>+2/2</t>
  </si>
  <si>
    <t>+3/3</t>
  </si>
  <si>
    <t>+4/5</t>
  </si>
  <si>
    <t>Цена робы хорошего качества</t>
  </si>
  <si>
    <t>Цена зачарованной робы отличного качества</t>
  </si>
  <si>
    <t>+2/3</t>
  </si>
  <si>
    <t>+3/4</t>
  </si>
  <si>
    <t>+5/5</t>
  </si>
  <si>
    <t>Цена робы отличного качества</t>
  </si>
  <si>
    <t>Цена зачарованной робы превосходного качества</t>
  </si>
  <si>
    <t>+4/4</t>
  </si>
  <si>
    <t>+5/6</t>
  </si>
  <si>
    <t>Цена робы превосходного качества</t>
  </si>
  <si>
    <t>Зачарование кольца</t>
  </si>
  <si>
    <t>Другое зачарование кольца</t>
  </si>
  <si>
    <t>Эффект: бонус к здоровью, мане или атрибутам</t>
  </si>
  <si>
    <t>Платина</t>
  </si>
  <si>
    <t>Эффект: защита</t>
  </si>
  <si>
    <t>Цена зачарованного кольца хорошего качества</t>
  </si>
  <si>
    <t>+10 ОЗ/Мана</t>
  </si>
  <si>
    <t>Атрибут +1</t>
  </si>
  <si>
    <t>Атрибут +2</t>
  </si>
  <si>
    <t>Атрибут +3</t>
  </si>
  <si>
    <t>+1 Физ. броня</t>
  </si>
  <si>
    <t>+2 Физ. броня</t>
  </si>
  <si>
    <t>+3 Физ. броня</t>
  </si>
  <si>
    <t>Цена кольца хорошего качества</t>
  </si>
  <si>
    <t>Ring cost</t>
  </si>
  <si>
    <t>Цена зачарованного кольца отличного качества</t>
  </si>
  <si>
    <t>+20 ОЗ/Мана</t>
  </si>
  <si>
    <t>Атрибут +1,1</t>
  </si>
  <si>
    <t>Атрибут +2,2</t>
  </si>
  <si>
    <t>Атрибут +3,3</t>
  </si>
  <si>
    <t>+1 Ф/М броня</t>
  </si>
  <si>
    <t>+2 Ф/М броня</t>
  </si>
  <si>
    <t>+3 Ф/М броня</t>
  </si>
  <si>
    <t>Цена кольца отличного качества</t>
  </si>
  <si>
    <t>Цена зачарованного кольца превосходного качества</t>
  </si>
  <si>
    <t>+30 ОЗ/Мана</t>
  </si>
  <si>
    <t>Атрибут +1,1,1</t>
  </si>
  <si>
    <t>Атрибут +2,2,2</t>
  </si>
  <si>
    <t>Атрибут +3,3,3</t>
  </si>
  <si>
    <t>+1 ко всей защите</t>
  </si>
  <si>
    <t>+2 ко всей защите</t>
  </si>
  <si>
    <t>+3 ко всей защите</t>
  </si>
  <si>
    <t>Цена кольца превосходного качества</t>
  </si>
  <si>
    <t>Зачарованные амулеты и талисманы</t>
  </si>
  <si>
    <t>Цена зачарованного амулета хорошего качества</t>
  </si>
  <si>
    <t>Цена амулета хорошего качества</t>
  </si>
  <si>
    <t>Цена зачарованного амулета отличного качества</t>
  </si>
  <si>
    <t>Цена амулета отличного качества</t>
  </si>
  <si>
    <t>Цена зачарованного амулета превосходного качества</t>
  </si>
  <si>
    <t>Цена амулета превосходного качества</t>
  </si>
  <si>
    <t>Зачарованные серьги</t>
  </si>
  <si>
    <t>Цена зачарованных серёг хорошего качества</t>
  </si>
  <si>
    <t>Цена серёг хорошего качества</t>
  </si>
  <si>
    <t>Цена зачарованных серёг отличного качества</t>
  </si>
  <si>
    <t>Цена серёг отличного качества</t>
  </si>
  <si>
    <t>Цена зачарованных серёг превосходного качества</t>
  </si>
  <si>
    <t>Цена серёг превосходного качества</t>
  </si>
  <si>
    <t>Волшебная тарелка</t>
  </si>
  <si>
    <t>Эффект: позволяет делать ритуал восстанавливающий ману</t>
  </si>
  <si>
    <t>Глина</t>
  </si>
  <si>
    <t>Форфор</t>
  </si>
  <si>
    <t>Цена волшебной тарелки хорошего качества</t>
  </si>
  <si>
    <t>+50% мана рег.</t>
  </si>
  <si>
    <t>+100% мана рег.</t>
  </si>
  <si>
    <t>Магические свитки</t>
  </si>
  <si>
    <t>Переменные величины</t>
  </si>
  <si>
    <t>Выберите категорию заклинания:</t>
  </si>
  <si>
    <t>Стоимость заклинания по мане:</t>
  </si>
  <si>
    <t>Уровень заклинания*</t>
  </si>
  <si>
    <t>Цена свитка с заклинанием (мощность 1)</t>
  </si>
  <si>
    <t>Начертанный свиток (потенциальная мощность заклинания 1)</t>
  </si>
  <si>
    <t>Необходимый уровень Чародея и Писаря</t>
  </si>
  <si>
    <t>Сложность броска на Чародея и Писаря</t>
  </si>
  <si>
    <t>Цена свитка с заклинанием (мощность 2)</t>
  </si>
  <si>
    <t>Начертанный свиток (потенциальная мощность заклинания 2)</t>
  </si>
  <si>
    <t>Цена свитка с заклинанием (мощность 3)</t>
  </si>
  <si>
    <t>Начертанный свиток (потенциальная мощность заклинания 3)</t>
  </si>
  <si>
    <r>
      <rPr>
        <rFont val="Calibri"/>
        <color theme="1"/>
        <sz val="9.0"/>
      </rPr>
      <t>*Мощность заклинания 1 означает первую ступень в эффективности (</t>
    </r>
    <r>
      <rPr>
        <rFont val="Calibri"/>
        <color rgb="FFFF0000"/>
        <sz val="9.0"/>
      </rPr>
      <t>X</t>
    </r>
    <r>
      <rPr>
        <rFont val="Calibri"/>
        <color theme="1"/>
        <sz val="9.0"/>
      </rPr>
      <t>/_/_); Мощность заклинания 2 означает вторую ступень в эффективности (_/</t>
    </r>
    <r>
      <rPr>
        <rFont val="Calibri"/>
        <color rgb="FFFF0000"/>
        <sz val="9.0"/>
      </rPr>
      <t>X</t>
    </r>
    <r>
      <rPr>
        <rFont val="Calibri"/>
        <color theme="1"/>
        <sz val="9.0"/>
      </rPr>
      <t>/_); Мощность заклинания 3 означает третью ступень в эффективности (_/_/</t>
    </r>
    <r>
      <rPr>
        <rFont val="Calibri"/>
        <color rgb="FFFF0000"/>
        <sz val="9.0"/>
      </rPr>
      <t>X</t>
    </r>
    <r>
      <rPr>
        <rFont val="Calibri"/>
        <color theme="1"/>
        <sz val="9.0"/>
      </rPr>
      <t>)</t>
    </r>
  </si>
  <si>
    <t>Ювелирное ремесло</t>
  </si>
  <si>
    <t>Профессия: Ювелир</t>
  </si>
  <si>
    <t>Бонус к Внешности от ювелирного изделия (если оно на виду)</t>
  </si>
  <si>
    <t>Кольца</t>
  </si>
  <si>
    <t>Цена кольца стандартного качества</t>
  </si>
  <si>
    <t>Необходимый уровень Ювелира</t>
  </si>
  <si>
    <t>Сложность броска на Ювелира</t>
  </si>
  <si>
    <t>Необходимые ювелирные инструменты</t>
  </si>
  <si>
    <t>Стоимость драгоценного камня</t>
  </si>
  <si>
    <t>Амулеты и талисманы</t>
  </si>
  <si>
    <t>Цена амулета стандартного качества</t>
  </si>
  <si>
    <t>Серьги</t>
  </si>
  <si>
    <t>Цена серёг стандартного качества</t>
  </si>
  <si>
    <t>Стоимость двух драгоценных камней</t>
  </si>
  <si>
    <t>Цены и характеристики одежды, доспехов, щитов</t>
  </si>
  <si>
    <t>Штраф к Точности</t>
  </si>
  <si>
    <t>Теплая_одежда</t>
  </si>
  <si>
    <t>Парадная_одежда</t>
  </si>
  <si>
    <t>Без_одежды</t>
  </si>
  <si>
    <t>Штраф к МСБ</t>
  </si>
  <si>
    <t>Бонус от навыка</t>
  </si>
  <si>
    <t>Метал</t>
  </si>
  <si>
    <t>Древесина</t>
  </si>
  <si>
    <t>Прочность</t>
  </si>
  <si>
    <t>Качество:</t>
  </si>
  <si>
    <t>Орудие атаки</t>
  </si>
  <si>
    <t>Орудие защиты</t>
  </si>
  <si>
    <t>Без щита</t>
  </si>
  <si>
    <t>Цена каждого элемента из комплекта доспехова в отдельности. В таблице ниже пример, где самый дешевый материал, стандартное качество</t>
  </si>
  <si>
    <t>Руки</t>
  </si>
  <si>
    <t>Ноги</t>
  </si>
  <si>
    <t>Комплект</t>
  </si>
  <si>
    <t>Пропорция цены</t>
  </si>
  <si>
    <t>Тканевая одежда (простая, льняная)</t>
  </si>
  <si>
    <t>Легкий доспех (тонкая шкура)</t>
  </si>
  <si>
    <t>Средний доспех (бронза)</t>
  </si>
  <si>
    <t>3</t>
  </si>
  <si>
    <t>Тяжелый доспех (бронза)</t>
  </si>
  <si>
    <t>-1 МСБ, -5% СД</t>
  </si>
  <si>
    <t>Ограничения для сотворения заклинаний и другие штрафы в зависимости от числа надетых элементов доспеха</t>
  </si>
  <si>
    <t>Число надетых элементов доспеха</t>
  </si>
  <si>
    <t>4 (комплект)</t>
  </si>
  <si>
    <t>Тканевая одежда</t>
  </si>
  <si>
    <t>Легкие доспехи
(стандартное качество)</t>
  </si>
  <si>
    <t>Прочие штрафы</t>
  </si>
  <si>
    <t>Средние доспехи
(стандартное качество)</t>
  </si>
  <si>
    <t>Без брони в торсе: -1 МСБ, -3% СД</t>
  </si>
  <si>
    <t>Тяжелые доспехи
(стандартное качество)</t>
  </si>
  <si>
    <t>Без брони в торсе: -2 МСБ, -9% СД</t>
  </si>
  <si>
    <t>0</t>
  </si>
  <si>
    <t>-2 МСБ, -10% СД</t>
  </si>
  <si>
    <t>Цена металлических щитов</t>
  </si>
  <si>
    <t>Материалы и инструменты</t>
  </si>
  <si>
    <t>Ткацкое ремесло</t>
  </si>
  <si>
    <t>Цена за единицу</t>
  </si>
  <si>
    <t>Инструменты</t>
  </si>
  <si>
    <t>Простые инструменты Портного (для изделий до 3 уровня)</t>
  </si>
  <si>
    <t>Продвинутые инструменты Портного (для изделий до 6 уровня)</t>
  </si>
  <si>
    <t>Инструменты Портного-мастера (для изделий 7 уровня и выше)</t>
  </si>
  <si>
    <t>Кожевничество</t>
  </si>
  <si>
    <t>Простые инструменты Кожевника (для изделий до 3 уровня)</t>
  </si>
  <si>
    <t>Продвинутые инструменты Кожевника (для изделий до 6 уровня)</t>
  </si>
  <si>
    <t>Инструменты Кожевника-мастера (для изделий 7 уровня и выше)</t>
  </si>
  <si>
    <t>Кузнечное дело</t>
  </si>
  <si>
    <t>Простые кузнечные инструменты (для изделий до 3 уровня)</t>
  </si>
  <si>
    <t>Продвинутые кузнечные инструменты (для изделий до 6 уровня)</t>
  </si>
  <si>
    <t>Мастерские кузнечные инструменты (для изделий 7 уровня и выше)</t>
  </si>
  <si>
    <t>Жемчуг, сапфир</t>
  </si>
  <si>
    <t>Простые инструменты Ювелира (для изделий до 3 уровня)</t>
  </si>
  <si>
    <t>Продвинутые инструменты Ювелира (для изделий до 6 уровня)</t>
  </si>
  <si>
    <t>Инструменты Ювелира-мастера (для изделий 7 уровня и выше)</t>
  </si>
  <si>
    <t>Гончарное ремесло</t>
  </si>
  <si>
    <t>Фарфор</t>
  </si>
  <si>
    <t>Магма</t>
  </si>
  <si>
    <t>Простые инструменты Гончара (для изделий до 3 уровня)</t>
  </si>
  <si>
    <t>Продвинутые инструменты Гончара (для изделий до 6 уровня)</t>
  </si>
  <si>
    <t>Инструменты Гончара-мастера (для изделий 7 уровня и выше)</t>
  </si>
  <si>
    <t>Механика и инженерное дело</t>
  </si>
  <si>
    <t>Черный порох</t>
  </si>
  <si>
    <t>Коричневый порох</t>
  </si>
  <si>
    <t>Простые инструменты Механика (для изделий до 3 уровня)</t>
  </si>
  <si>
    <t>Продвинутые инструменты Механика (для изделий до 6 уровня)</t>
  </si>
  <si>
    <t>Инструменты Механика-мастера (для изделий 7 уровня и выше)</t>
  </si>
  <si>
    <t>Плотницкое дело (древообработка)</t>
  </si>
  <si>
    <t>Обычная древесина (дрова)</t>
  </si>
  <si>
    <t>Простые плотницкие инструменты (для изделий до 3 уровня)</t>
  </si>
  <si>
    <t>Продвинутые плотницкие инструменты (для изделий до 6 уровня)</t>
  </si>
  <si>
    <t>Мастерские плотницкие инструменты (для изделий 7 уровня и выше)</t>
  </si>
  <si>
    <t>Простые инструменты Алхимика (для продуктов до 3 уровня)</t>
  </si>
  <si>
    <t>Продвинутые инструменты Алхимика (для продуктов до 6 уровня)</t>
  </si>
  <si>
    <t>Инструменты Алхимика-мастера (для продуктов 7 уровня и выше)</t>
  </si>
  <si>
    <t>Пустой фиал или склянка (лесное стекло)</t>
  </si>
  <si>
    <t>Материалы для лечебных зелий и мазей</t>
  </si>
  <si>
    <t>Лоза с шипами</t>
  </si>
  <si>
    <t>Материалы для зелий маны</t>
  </si>
  <si>
    <t>Материалы для ядов</t>
  </si>
  <si>
    <t>Материалы для противоядий</t>
  </si>
  <si>
    <t>Чародейское мастерство</t>
  </si>
  <si>
    <t>Простые инструменты Чародея (для зачарований до 3 уровня)</t>
  </si>
  <si>
    <t>Продвинутые инструменты Чародея (для зачарований до 6 уровня)</t>
  </si>
  <si>
    <t>Инструменты Чародея-мастера (для зачарований до 9 уровня)</t>
  </si>
  <si>
    <t>Писательское мастерство</t>
  </si>
  <si>
    <t>Простые принадлежности Писаря (для написания трудов до 3 уровня)</t>
  </si>
  <si>
    <t>Продвинутые принадлежности Писаря (для написания трудов до 6 уровня)</t>
  </si>
  <si>
    <t>Принадлежности Писаря-мастера (для написания трудов 7 уровня и выше)</t>
  </si>
  <si>
    <t>Материалы для волшебных свитков</t>
  </si>
  <si>
    <t>Цена за единицу (лист)</t>
  </si>
  <si>
    <t>Художественное мастерство</t>
  </si>
  <si>
    <t>Простые инструменты Художника (для работ до 3 уровня)</t>
  </si>
  <si>
    <t>Продвинутые инструменты Художника (для работ до 6 уровня)</t>
  </si>
  <si>
    <t>Инструменты Художника-мастера (для работ с 7 уровня и выше)</t>
  </si>
  <si>
    <t>Простые инструменты Стеклодува (для изделий до 3 уровня)</t>
  </si>
  <si>
    <t>Продвинутые инструменты Стеклодува (для изделий до 6 уровня)</t>
  </si>
  <si>
    <t>Инструменты Стеклодува-мастера (для изделий 7 уровня и выше)</t>
  </si>
  <si>
    <t>Материалы для изготовления стекла</t>
  </si>
  <si>
    <t>Строительное ремесло</t>
  </si>
  <si>
    <t>Песок</t>
  </si>
  <si>
    <t>Глинянный кирпич</t>
  </si>
  <si>
    <t>Обтёсанный камень</t>
  </si>
  <si>
    <t>Обтёсанный мрамор</t>
  </si>
  <si>
    <t>Стеклянное окно</t>
  </si>
  <si>
    <t>Простые инструменты Строителя (для построек до 3 уровня)</t>
  </si>
  <si>
    <t>Продвинутые инструменты Строителя (для построек до 6 уровня)</t>
  </si>
  <si>
    <t>Инструменты Строителя-мастера (для построек 7 уровня и выше)</t>
  </si>
  <si>
    <t>Рудное дело и каменная кладка</t>
  </si>
  <si>
    <t>Серебрянная руда</t>
  </si>
  <si>
    <t>Простые инструменты Рудокопа (для добычи руды до 3 уровня)</t>
  </si>
  <si>
    <t>Продвинутые инструменты Рудокопа (для добычи руды до 6 уровня)</t>
  </si>
  <si>
    <t>Инструменты Рудокопа-мастера (для добычи руды 7 уровня и выше)</t>
  </si>
  <si>
    <t>Топливо</t>
  </si>
  <si>
    <t>Каменный уголь</t>
  </si>
  <si>
    <t>Price for 1 unit</t>
  </si>
  <si>
    <t>Походное снаряжение, еда, напитки</t>
  </si>
  <si>
    <t>Магические предметы</t>
  </si>
  <si>
    <t>Экипировка для путешествий</t>
  </si>
  <si>
    <t>Еда</t>
  </si>
  <si>
    <t>Рюкзак (тонкая шкура)</t>
  </si>
  <si>
    <t>Простой обед на одну персону</t>
  </si>
  <si>
    <t>Глиняная волшебная тарелка +50%</t>
  </si>
  <si>
    <t xml:space="preserve">    в мирное время</t>
  </si>
  <si>
    <t>Фарфоровая волшебная тарелка +100%</t>
  </si>
  <si>
    <t>Джутовая веревка (1 метр)</t>
  </si>
  <si>
    <t xml:space="preserve">    в военное время</t>
  </si>
  <si>
    <t>Магическая перчатка</t>
  </si>
  <si>
    <t>Льняная веревка (1 метр)</t>
  </si>
  <si>
    <t xml:space="preserve">    массовый голод</t>
  </si>
  <si>
    <t>Создание магической татуировки</t>
  </si>
  <si>
    <t>5/час</t>
  </si>
  <si>
    <t>Пеньковая веревка (1 метр)</t>
  </si>
  <si>
    <t>Изысканный обед на одну персону</t>
  </si>
  <si>
    <t>Кольцо здоровья +10</t>
  </si>
  <si>
    <t>Шёлковая веревка (1 метр)</t>
  </si>
  <si>
    <t>Кольцо здоровья +20</t>
  </si>
  <si>
    <t>Кольцо здоровья +30</t>
  </si>
  <si>
    <t>Кольцо маны +10</t>
  </si>
  <si>
    <t>Походный паек на один день (1 перс.)</t>
  </si>
  <si>
    <t>Кольцо маны +20</t>
  </si>
  <si>
    <t>Кольцо маны +30</t>
  </si>
  <si>
    <t>Механический замок с ключом</t>
  </si>
  <si>
    <t>Магическое кольцо +1</t>
  </si>
  <si>
    <t>Глинянная кружка</t>
  </si>
  <si>
    <t>Магическое кольцо +1/1</t>
  </si>
  <si>
    <t>Стеклянный фиал (лесное стекло)</t>
  </si>
  <si>
    <t>Деликатес</t>
  </si>
  <si>
    <t>Магическое кольцо +1/1/1</t>
  </si>
  <si>
    <t>Фиал с маслом</t>
  </si>
  <si>
    <t>Алкогольные напитки (за кружку / бокал)</t>
  </si>
  <si>
    <t>Кольцо защиты +1</t>
  </si>
  <si>
    <t>Дешевое пойло</t>
  </si>
  <si>
    <t>Кольцо защиты +1/1</t>
  </si>
  <si>
    <t>Плащ с капюшоном (лён)</t>
  </si>
  <si>
    <t>Обычное пиво</t>
  </si>
  <si>
    <t>Кольцо защиты +1/1/1</t>
  </si>
  <si>
    <t>Альпинистский комплект</t>
  </si>
  <si>
    <t>Хороший эль</t>
  </si>
  <si>
    <t>Магический амулет +1</t>
  </si>
  <si>
    <t>Свеча</t>
  </si>
  <si>
    <t>Дешевое вино</t>
  </si>
  <si>
    <t>Магический амулет +1/1</t>
  </si>
  <si>
    <t>Лечебный комплект</t>
  </si>
  <si>
    <t>Изысканное вино</t>
  </si>
  <si>
    <t>Магический амулет +1/1/1</t>
  </si>
  <si>
    <t>Чернила, пергамент и перо</t>
  </si>
  <si>
    <t>Магические серьги +1</t>
  </si>
  <si>
    <t>Пероносной котёл</t>
  </si>
  <si>
    <t>Магические серьги +1/1</t>
  </si>
  <si>
    <t>Кремень и огниво</t>
  </si>
  <si>
    <t>Магические серьги +1/1/1</t>
  </si>
  <si>
    <t>Магический свиток (заклинание 1 ур. 1 мощности)</t>
  </si>
  <si>
    <t>Магический свиток (заклинание 1 ур. 2 мощности)</t>
  </si>
  <si>
    <t>Магический свиток (заклинание 1 ур. 3 мощности)</t>
  </si>
  <si>
    <t>Проживание в таверне</t>
  </si>
  <si>
    <t>Качество \ Количество кроватей</t>
  </si>
  <si>
    <t>Стоимость одной ночи проживания</t>
  </si>
  <si>
    <t>Одиночная комната</t>
  </si>
  <si>
    <t>Двойная комната</t>
  </si>
  <si>
    <t>Тройная комната</t>
  </si>
  <si>
    <t>Бедная, убогая комната</t>
  </si>
  <si>
    <t>Достойная, удобная комната</t>
  </si>
  <si>
    <t>Богатая, аристократическая комната</t>
  </si>
  <si>
    <t>Предрасположенность</t>
  </si>
  <si>
    <t>Профессия</t>
  </si>
  <si>
    <t>Вторичный атрибут</t>
  </si>
  <si>
    <t>Использование без подготовки</t>
  </si>
  <si>
    <t>Связанные приемы</t>
  </si>
  <si>
    <t>Профессиональное оружие</t>
  </si>
  <si>
    <t>Профессиональный бонус к точности</t>
  </si>
  <si>
    <t>*Целевое значение шкалы прогресса - сумма результатов бросков на основной атрибут</t>
  </si>
  <si>
    <t>*Целевое значение шкалы прогресса - сумма результатов бросков на вторичный атрибут</t>
  </si>
  <si>
    <t>Коэффициент эффективности книги (учебника)</t>
  </si>
  <si>
    <t>Коэффициент эффективности от учителя</t>
  </si>
  <si>
    <t>Пояснения к процессу обучения</t>
  </si>
  <si>
    <t>Дисциплина ума</t>
  </si>
  <si>
    <t>Ремесленник</t>
  </si>
  <si>
    <t>Алхимик</t>
  </si>
  <si>
    <t>штраф -4</t>
  </si>
  <si>
    <t>Метаболизм, Сила смерти</t>
  </si>
  <si>
    <t>Уровень профессии x0.5</t>
  </si>
  <si>
    <t>1. Одна учебная сессия (тренировка) длится 4 часа. Персонаж не может учиться больше одного раза в день.</t>
  </si>
  <si>
    <t>Самовыражение</t>
  </si>
  <si>
    <t>Артист</t>
  </si>
  <si>
    <t>Лицемер, Песнь вдохновения, Песнь битвы,
Гениальная импровизация, Танец смерти</t>
  </si>
  <si>
    <t>2. После 4-х часового занятия игрок должен сделать два броска: на основной и на вторичный атрибут (которые соответствуют профессии/боевому навыку). Получившийся бросок затем умножается на коэффициент эффективности и добавляется в соответствующую шкалу прогресса. Коэффициент эффективности зависит от уровня профессии/боевого навыка учителя: (уровень)*0.5.</t>
  </si>
  <si>
    <t>Вор</t>
  </si>
  <si>
    <t>Удавка на шею, Кража заклинания</t>
  </si>
  <si>
    <t>3. Как только сумма усилий достигнет целевой величины как основных, так и второстепенных атрибутов - Персонаж получает Профессию 1 ур.</t>
  </si>
  <si>
    <t>Гончар</t>
  </si>
  <si>
    <t>Сила огня, Фигурка врага</t>
  </si>
  <si>
    <t>4. Рыночная стоимость одного занятия с учителем равна стоимости 4 часов работы учителя на своем уровне ремесла (по аналогии с тем, как если бы он в это время создавал какой-то продукт требующий его текущего уровня Профессии). Эту информацию можно посмотреть в разделе, посвященному крафту предметов.</t>
  </si>
  <si>
    <t>Натуралист</t>
  </si>
  <si>
    <t>Земледелец</t>
  </si>
  <si>
    <t>Сила земли, Стойкость</t>
  </si>
  <si>
    <t>Кожевник</t>
  </si>
  <si>
    <t>Констебль</t>
  </si>
  <si>
    <t>штраф -2</t>
  </si>
  <si>
    <t>Бывалый, Неизбежность</t>
  </si>
  <si>
    <t>Стойкость, Горец</t>
  </si>
  <si>
    <t>Контроль тела</t>
  </si>
  <si>
    <t>Лазутчик</t>
  </si>
  <si>
    <t>Удар в спину, Незаметное колдовство, Удавка на шею</t>
  </si>
  <si>
    <t>Лекарь</t>
  </si>
  <si>
    <t>Лечебная магия, Сила крови, Раздирающий удар</t>
  </si>
  <si>
    <t>Механик</t>
  </si>
  <si>
    <t>Баллистический расчет, Сила порядка</t>
  </si>
  <si>
    <t>Моряк</t>
  </si>
  <si>
    <t>Морской волк, Китобой</t>
  </si>
  <si>
    <t>Мошенник</t>
  </si>
  <si>
    <t>Лицемер, Обманный маневр</t>
  </si>
  <si>
    <t>Наездник</t>
  </si>
  <si>
    <t>Кавалерист, Маг в седле, Конный лучник</t>
  </si>
  <si>
    <t>Охотник</t>
  </si>
  <si>
    <t>Острый нюх, Выстрел в упор, Китобой</t>
  </si>
  <si>
    <t>Пастух</t>
  </si>
  <si>
    <t>Ночная смена, Стойкость, Паства</t>
  </si>
  <si>
    <t>Пивовар</t>
  </si>
  <si>
    <t>Горький опыт, Сила хаоса</t>
  </si>
  <si>
    <t>Писарь</t>
  </si>
  <si>
    <t>Начертание, Изучить врага</t>
  </si>
  <si>
    <t>Плотник</t>
  </si>
  <si>
    <t>Сила природы, Фигурка врага</t>
  </si>
  <si>
    <t>Повар</t>
  </si>
  <si>
    <t>Портной</t>
  </si>
  <si>
    <t>Иглоукалывание, Сила света, Фигурка врага</t>
  </si>
  <si>
    <t>Рудокоп</t>
  </si>
  <si>
    <t>Сильный рудокоп, Горец, Сила рун, Ударник</t>
  </si>
  <si>
    <t>Рыбак</t>
  </si>
  <si>
    <t>Диалоги о рыбалке, Сила воды, Китобой</t>
  </si>
  <si>
    <t>Стеклодув</t>
  </si>
  <si>
    <t>Сила воздуха, Модель врага, Энергичность</t>
  </si>
  <si>
    <t>Строитель</t>
  </si>
  <si>
    <t>Стойкость, Ударник</t>
  </si>
  <si>
    <t>Торговец</t>
  </si>
  <si>
    <t>Сила преисподнии</t>
  </si>
  <si>
    <t>Укротитель</t>
  </si>
  <si>
    <t>Голос природы, Паства</t>
  </si>
  <si>
    <t>Философ</t>
  </si>
  <si>
    <t>Духовное развитие, Мудрец</t>
  </si>
  <si>
    <t>Художник</t>
  </si>
  <si>
    <t>Магическая татуировка, Реалистичная картина</t>
  </si>
  <si>
    <t>Чародей</t>
  </si>
  <si>
    <t>Нельзя использовать</t>
  </si>
  <si>
    <t>Начертание, Магическая татуировка, Инкрустирование</t>
  </si>
  <si>
    <t>Ювелир</t>
  </si>
  <si>
    <t>Языковед</t>
  </si>
  <si>
    <t>Длинные_клинки</t>
  </si>
  <si>
    <t>Древковое_оружие</t>
  </si>
  <si>
    <t>Импровизированный_бой</t>
  </si>
  <si>
    <t>Короткие_клинки</t>
  </si>
  <si>
    <t>Метательное_оружие</t>
  </si>
  <si>
    <t>Огнестрельное_оружие</t>
  </si>
  <si>
    <t>Рукопашный_бой</t>
  </si>
  <si>
    <t>Топоры_и_дробящее_оружие</t>
  </si>
  <si>
    <t>Щиты</t>
  </si>
  <si>
    <t>Экзотическое_оружие</t>
  </si>
  <si>
    <t>Демонология</t>
  </si>
  <si>
    <t>Магия_воды</t>
  </si>
  <si>
    <t>Магия_воздуха</t>
  </si>
  <si>
    <t>Магия_земли</t>
  </si>
  <si>
    <t>Магия_крови</t>
  </si>
  <si>
    <t>Магия_огня</t>
  </si>
  <si>
    <t>Магия_порядка</t>
  </si>
  <si>
    <t>Магия_природы</t>
  </si>
  <si>
    <t>Магия_рун</t>
  </si>
  <si>
    <t>Магия_света</t>
  </si>
  <si>
    <t>Магия_хаоса</t>
  </si>
  <si>
    <t>Некромантия</t>
  </si>
  <si>
    <t>Учебный прогресс персонажа</t>
  </si>
  <si>
    <t>Предмет освоения, профессия или боевой навык</t>
  </si>
  <si>
    <t>Учитель/Тренер:</t>
  </si>
  <si>
    <t>Джон Доу</t>
  </si>
  <si>
    <t>Уровень учителя в данной сфере (минимум 3):</t>
  </si>
  <si>
    <t>Есть ли у учителя прием "Мудрец"?</t>
  </si>
  <si>
    <t>Коэффициент эффективности учителя</t>
  </si>
  <si>
    <t>Коэффициент эффективности книги</t>
  </si>
  <si>
    <t>доля</t>
  </si>
  <si>
    <t>Дата занятия</t>
  </si>
  <si>
    <t>Учебный метод</t>
  </si>
  <si>
    <t>Боевой навык</t>
  </si>
  <si>
    <t>Ручника</t>
  </si>
  <si>
    <t>Захват</t>
  </si>
  <si>
    <t>Типы атак</t>
  </si>
  <si>
    <t>Магия огня</t>
  </si>
  <si>
    <t>Магия хаоса</t>
  </si>
  <si>
    <t>Магия воды</t>
  </si>
  <si>
    <t>Магия крови</t>
  </si>
  <si>
    <t>Ближний бой (1р)</t>
  </si>
  <si>
    <t>Дальний бой (прочее)</t>
  </si>
  <si>
    <t>Дальний бой (метательное)</t>
  </si>
  <si>
    <t>Заклинание</t>
  </si>
  <si>
    <t>Ближний бой (2р)</t>
  </si>
  <si>
    <t>Наголенник</t>
  </si>
  <si>
    <t>Боевой дух</t>
  </si>
  <si>
    <t>Боги</t>
  </si>
  <si>
    <t>Афина</t>
  </si>
  <si>
    <t>Восстанавливает 5 маны за каждое ОП</t>
  </si>
  <si>
    <t>.+6 дополнительных очков паррирования за каждое ОП. 30 мин</t>
  </si>
  <si>
    <t>Аид</t>
  </si>
  <si>
    <t>.+1 урона за каждые 2 ОП. 30 мин</t>
  </si>
  <si>
    <t>Аполлон</t>
  </si>
  <si>
    <t>Восстанавливает 1 ОЗ в каждой части тела за каждые 2 ОП</t>
  </si>
  <si>
    <t>Артемида</t>
  </si>
  <si>
    <t>.+1 к Точности за каждые 3 ОП. 30 мин</t>
  </si>
  <si>
    <t>Другое</t>
  </si>
  <si>
    <t>Затраты маны на заклинания</t>
  </si>
  <si>
    <t>Дополнительно от боевого навыка</t>
  </si>
  <si>
    <t>На себя</t>
  </si>
  <si>
    <t>Касание</t>
  </si>
  <si>
    <t>Короткая</t>
  </si>
  <si>
    <t>Средняя</t>
  </si>
  <si>
    <t>Длинная</t>
  </si>
  <si>
    <t>Уровень учителя</t>
  </si>
  <si>
    <t>Способ обучения</t>
  </si>
  <si>
    <t>Тип заклинания</t>
  </si>
  <si>
    <t>Занятие с учителем</t>
  </si>
  <si>
    <t>Чтение книги</t>
  </si>
  <si>
    <t>Лечение</t>
  </si>
  <si>
    <t>Женщина</t>
  </si>
  <si>
    <t>Критический успех во время самостоятельной практики</t>
  </si>
  <si>
    <t>Пассивное</t>
  </si>
  <si>
    <t>Небинарный / Прочее</t>
  </si>
  <si>
    <t>Топливо для плавки</t>
  </si>
  <si>
    <t>Необходимое количество топлива для выплавки 1 единицы металла</t>
  </si>
  <si>
    <t>Стоимость топлива для выплавки 1 единицы металла</t>
  </si>
  <si>
    <t>Цена за 1 единицу металла</t>
  </si>
  <si>
    <t>Расчет бонуса от Силы и Креативности</t>
  </si>
  <si>
    <t>Бонус от Силы</t>
  </si>
  <si>
    <t>Бонус от Креативности</t>
  </si>
  <si>
    <t>Тип атаки:</t>
  </si>
  <si>
    <t>Первая атакующая конечность</t>
  </si>
  <si>
    <t>Вторая атакующая конечность</t>
  </si>
  <si>
    <t>Полумобильное</t>
  </si>
  <si>
    <t>Таблица расчета здоровья для уровня расы</t>
  </si>
  <si>
    <t>Уровень \ Раса</t>
  </si>
  <si>
    <t>Гном</t>
  </si>
  <si>
    <t>Эльф (с магией)</t>
  </si>
  <si>
    <t>Эльф (без магии)</t>
  </si>
  <si>
    <t>Зверь</t>
  </si>
  <si>
    <t>Бонус к внешности</t>
  </si>
  <si>
    <t>Стильная</t>
  </si>
  <si>
    <t>Крутая</t>
  </si>
  <si>
    <t>Чистота</t>
  </si>
  <si>
    <t>Бонус / штраф к внешности</t>
  </si>
  <si>
    <t>Максимальная скорость бега расы без учета Быстроты</t>
  </si>
  <si>
    <t>Таблица импровизированного боя</t>
  </si>
  <si>
    <t>Дополнительный урон за X СИЛ и КРЕ</t>
  </si>
  <si>
    <t>Минимальный бонус</t>
  </si>
  <si>
    <t>Базовый эффект (за 1 очко набожности)</t>
  </si>
  <si>
    <t>Величина</t>
  </si>
  <si>
    <t>Очки набожности</t>
  </si>
  <si>
    <t>2% MP</t>
  </si>
  <si>
    <t>2% HP</t>
  </si>
  <si>
    <t>2% damage</t>
  </si>
  <si>
    <t>4% healing (in &amp; out)</t>
  </si>
  <si>
    <t>2% Accuracy</t>
  </si>
  <si>
    <t>Доступное оружие для выпадающего списка</t>
  </si>
  <si>
    <t>Опыт</t>
  </si>
  <si>
    <t>Увеличение скорости действий</t>
  </si>
  <si>
    <t>Скорость действий</t>
  </si>
  <si>
    <t>Категория оружия</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</si>
</sst>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m-d"/>
    <numFmt numFmtId="166" formatCode="0.000"/>
    <numFmt numFmtId="167" formatCode="#,##0.000"/>
    <numFmt numFmtId="168" formatCode="0.0%"/>
  </numFmts>
  <fonts count="80">
    <font>
      <sz val="10.0"/>
      <color rgb="FF000000"/>
      <name val="Arial"/>
      <scheme val="minor"/>
    </font>
    <font>
      <sz val="8.0"/>
      <color rgb="FF000000"/>
      <name val="Calibri"/>
    </font>
    <font>
      <sz val="8.0"/>
      <color rgb="FFB7B7B7"/>
      <name val="Calibri"/>
    </font>
    <font>
      <sz val="8.0"/>
      <color theme="1"/>
      <name val="Calibri"/>
    </font>
    <font>
      <b/>
      <sz val="8.0"/>
      <color rgb="FF000000"/>
      <name val="Calibri"/>
    </font>
    <font>
      <color theme="1"/>
      <name val="Arial"/>
    </font>
    <font>
      <b/>
      <sz val="8.0"/>
      <color rgb="FF999999"/>
      <name val="Calibri"/>
    </font>
    <font>
      <b/>
      <sz val="8.0"/>
      <color rgb="FFB7B7B7"/>
      <name val="Calibri"/>
    </font>
    <font>
      <b/>
      <sz val="8.0"/>
      <color theme="1"/>
      <name val="Calibri"/>
    </font>
    <font>
      <i/>
      <sz val="8.0"/>
      <color rgb="FF000000"/>
      <name val="Calibri"/>
    </font>
    <font>
      <color theme="1"/>
      <name val="Arial"/>
      <scheme val="minor"/>
    </font>
    <font>
      <sz val="8.0"/>
      <color rgb="FF999999"/>
      <name val="Calibri"/>
    </font>
    <font>
      <color theme="1"/>
      <name val="Calibri"/>
    </font>
    <font/>
    <font>
      <b/>
      <sz val="8.0"/>
      <color rgb="FF0000FF"/>
      <name val="Calibri"/>
    </font>
    <font>
      <b/>
      <color theme="1"/>
      <name val="Calibri"/>
    </font>
    <font>
      <b/>
      <sz val="8.0"/>
      <color rgb="FFFFFFFF"/>
      <name val="Calibri"/>
    </font>
    <font>
      <sz val="6.0"/>
      <color theme="1"/>
      <name val="Calibri"/>
    </font>
    <font>
      <i/>
      <sz val="8.0"/>
      <color theme="1"/>
      <name val="Calibri"/>
    </font>
    <font>
      <b/>
      <i/>
      <sz val="8.0"/>
      <color rgb="FF000000"/>
      <name val="Calibri"/>
    </font>
    <font>
      <sz val="8.0"/>
      <color rgb="FFFF0000"/>
      <name val="Calibri"/>
    </font>
    <font>
      <sz val="8.0"/>
      <color rgb="FFFFFFFF"/>
      <name val="Calibri"/>
    </font>
    <font>
      <color rgb="FFFFFFFF"/>
      <name val="Arial"/>
      <scheme val="minor"/>
    </font>
    <font>
      <b/>
      <color theme="1"/>
      <name val="Arial"/>
      <scheme val="minor"/>
    </font>
    <font>
      <b/>
      <sz val="10.0"/>
      <color theme="1"/>
      <name val="Calibri"/>
    </font>
    <font>
      <b/>
      <sz val="14.0"/>
      <color theme="1"/>
      <name val="Calibri"/>
    </font>
    <font>
      <b/>
      <color rgb="FFFF0000"/>
      <name val="Arial"/>
      <scheme val="minor"/>
    </font>
    <font>
      <b/>
      <sz val="10.0"/>
      <color rgb="FF000000"/>
      <name val="Calibri"/>
    </font>
    <font>
      <sz val="10.0"/>
      <color rgb="FF000000"/>
      <name val="Calibri"/>
    </font>
    <font>
      <sz val="11.0"/>
      <color rgb="FF000000"/>
      <name val="Calibri"/>
    </font>
    <font>
      <b/>
      <sz val="11.0"/>
      <color rgb="FF000000"/>
      <name val="Calibri"/>
    </font>
    <font>
      <sz val="11.0"/>
      <color rgb="FFCCCCCC"/>
      <name val="Calibri"/>
    </font>
    <font>
      <color rgb="FFCCCCCC"/>
      <name val="Arial"/>
      <scheme val="minor"/>
    </font>
    <font>
      <sz val="11.0"/>
      <color theme="1"/>
      <name val="Calibri"/>
    </font>
    <font>
      <sz val="11.0"/>
      <color rgb="FFFFFFFF"/>
      <name val="Calibri"/>
    </font>
    <font>
      <sz val="11.0"/>
      <color rgb="FF0000FF"/>
      <name val="Calibri"/>
    </font>
    <font>
      <sz val="11.0"/>
      <color rgb="FF000000"/>
      <name val="Inconsolata"/>
    </font>
    <font>
      <sz val="9.0"/>
      <color rgb="FF000000"/>
      <name val="Calibri"/>
    </font>
    <font>
      <i/>
      <sz val="9.0"/>
      <color rgb="FF000000"/>
      <name val="Calibri"/>
    </font>
    <font>
      <sz val="9.0"/>
      <color theme="1"/>
      <name val="Calibri"/>
    </font>
    <font>
      <b/>
      <sz val="18.0"/>
      <color theme="1"/>
      <name val="Calibri"/>
    </font>
    <font>
      <b/>
      <sz val="9.0"/>
      <color rgb="FFD8D8D8"/>
      <name val="Calibri"/>
    </font>
    <font>
      <b/>
      <sz val="9.0"/>
      <color rgb="FF000000"/>
      <name val="Calibri"/>
    </font>
    <font>
      <b/>
      <sz val="9.0"/>
      <color theme="1"/>
      <name val="Calibri"/>
    </font>
    <font>
      <u/>
      <sz val="10.0"/>
      <color rgb="FF0000FF"/>
      <name val="Arial"/>
    </font>
    <font>
      <sz val="11.0"/>
      <color rgb="FF222222"/>
      <name val="Arial"/>
    </font>
    <font>
      <sz val="9.0"/>
      <color rgb="FFFFFFFF"/>
      <name val="Calibri"/>
    </font>
    <font>
      <sz val="9.0"/>
      <color rgb="FFD9D9D9"/>
      <name val="Calibri"/>
    </font>
    <font>
      <color rgb="FFD9D9D9"/>
      <name val="Arial"/>
      <scheme val="minor"/>
    </font>
    <font>
      <sz val="9.0"/>
      <color theme="1"/>
      <name val="Arial"/>
      <scheme val="minor"/>
    </font>
    <font>
      <sz val="9.0"/>
      <color rgb="FF980000"/>
      <name val="Calibri"/>
    </font>
    <font>
      <sz val="9.0"/>
      <color rgb="FF0000FF"/>
      <name val="Calibri"/>
    </font>
    <font>
      <sz val="9.0"/>
      <color rgb="FFB45F06"/>
      <name val="Calibri"/>
    </font>
    <font>
      <u/>
      <color rgb="FF0000FF"/>
    </font>
    <font>
      <sz val="12.0"/>
      <color theme="1"/>
      <name val="Calibri"/>
    </font>
    <font>
      <sz val="10.0"/>
      <color theme="1"/>
      <name val="Arial"/>
    </font>
    <font>
      <sz val="8.0"/>
      <color rgb="FFD9D9D9"/>
      <name val="Calibri"/>
    </font>
    <font>
      <sz val="11.0"/>
      <color rgb="FFD9D9D9"/>
      <name val="Calibri"/>
    </font>
    <font>
      <color rgb="FF000000"/>
      <name val="Arial"/>
      <scheme val="minor"/>
    </font>
    <font>
      <color rgb="FFD9D9D9"/>
      <name val="Arial"/>
    </font>
    <font>
      <sz val="7.0"/>
      <color theme="1"/>
      <name val="Arial"/>
    </font>
    <font>
      <b/>
      <sz val="14.0"/>
      <color rgb="FF000000"/>
      <name val="Calibri"/>
    </font>
    <font>
      <sz val="10.0"/>
      <color theme="1"/>
      <name val="Calibri"/>
    </font>
    <font>
      <sz val="9.0"/>
      <color rgb="FFD9D9D9"/>
      <name val="Arial"/>
      <scheme val="minor"/>
    </font>
    <font>
      <sz val="9.0"/>
      <color rgb="FF000000"/>
      <name val="Arial"/>
      <scheme val="minor"/>
    </font>
    <font>
      <color rgb="FFFF0000"/>
      <name val="Arial"/>
      <scheme val="minor"/>
    </font>
    <font>
      <b/>
      <sz val="14.0"/>
      <color rgb="FF202122"/>
      <name val="Calibri"/>
    </font>
    <font>
      <b/>
      <sz val="9.0"/>
      <color rgb="FF202122"/>
      <name val="Calibri"/>
    </font>
    <font>
      <sz val="9.0"/>
      <color rgb="FF202122"/>
      <name val="Calibri"/>
    </font>
    <font>
      <sz val="9.0"/>
      <color rgb="FF38761D"/>
      <name val="Calibri"/>
    </font>
    <font>
      <b/>
      <sz val="18.0"/>
      <color rgb="FF000000"/>
      <name val="Calibri"/>
    </font>
    <font>
      <sz val="8.0"/>
      <color rgb="FF000000"/>
      <name val="Arial"/>
    </font>
    <font>
      <sz val="8.0"/>
      <color theme="1"/>
      <name val="Arial"/>
    </font>
    <font>
      <b/>
      <sz val="11.0"/>
      <color theme="1"/>
      <name val="Calibri"/>
    </font>
    <font>
      <sz val="9.0"/>
      <color theme="1"/>
      <name val="Arial"/>
    </font>
    <font>
      <sz val="9.0"/>
      <color rgb="FFFFFFFF"/>
      <name val="Arial"/>
    </font>
    <font>
      <sz val="9.0"/>
      <color rgb="FF000000"/>
      <name val="Arial"/>
    </font>
    <font>
      <i/>
      <sz val="11.0"/>
      <color rgb="FF000000"/>
      <name val="Calibri"/>
    </font>
    <font>
      <sz val="11.0"/>
      <color theme="0"/>
      <name val="Calibri"/>
    </font>
    <font>
      <i/>
      <sz val="11.0"/>
      <color theme="1"/>
      <name val="Calibri"/>
    </font>
  </fonts>
  <fills count="99">
    <fill>
      <patternFill patternType="none"/>
    </fill>
    <fill>
      <patternFill patternType="lightGray"/>
    </fill>
    <fill>
      <patternFill patternType="solid">
        <fgColor rgb="FFFFFFFF"/>
        <bgColor rgb="FFFFFFFF"/>
      </patternFill>
    </fill>
    <fill>
      <patternFill patternType="solid">
        <fgColor rgb="FFD9EAD3"/>
        <bgColor rgb="FFD9EAD3"/>
      </patternFill>
    </fill>
    <fill>
      <patternFill patternType="solid">
        <fgColor rgb="FFEFEFEF"/>
        <bgColor rgb="FFEFEFEF"/>
      </patternFill>
    </fill>
    <fill>
      <patternFill patternType="solid">
        <fgColor rgb="FFD9D2E9"/>
        <bgColor rgb="FFD9D2E9"/>
      </patternFill>
    </fill>
    <fill>
      <patternFill patternType="solid">
        <fgColor rgb="FFFCE4D6"/>
        <bgColor rgb="FFFCE4D6"/>
      </patternFill>
    </fill>
    <fill>
      <patternFill patternType="solid">
        <fgColor rgb="FFF9CB9C"/>
        <bgColor rgb="FFF9CB9C"/>
      </patternFill>
    </fill>
    <fill>
      <patternFill patternType="solid">
        <fgColor rgb="FFF4CCCC"/>
        <bgColor rgb="FFF4CCCC"/>
      </patternFill>
    </fill>
    <fill>
      <patternFill patternType="solid">
        <fgColor rgb="FFFFF2CC"/>
        <bgColor rgb="FFFFF2CC"/>
      </patternFill>
    </fill>
    <fill>
      <patternFill patternType="solid">
        <fgColor rgb="FFDDEBF7"/>
        <bgColor rgb="FFDDEBF7"/>
      </patternFill>
    </fill>
    <fill>
      <patternFill patternType="solid">
        <fgColor rgb="FFC9DAF8"/>
        <bgColor rgb="FFC9DAF8"/>
      </patternFill>
    </fill>
    <fill>
      <patternFill patternType="solid">
        <fgColor rgb="FF1155CC"/>
        <bgColor rgb="FF1155CC"/>
      </patternFill>
    </fill>
    <fill>
      <patternFill patternType="solid">
        <fgColor rgb="FFCC0000"/>
        <bgColor rgb="FFCC0000"/>
      </patternFill>
    </fill>
    <fill>
      <patternFill patternType="solid">
        <fgColor rgb="FFCFE2F3"/>
        <bgColor rgb="FFCFE2F3"/>
      </patternFill>
    </fill>
    <fill>
      <patternFill patternType="solid">
        <fgColor rgb="FFD0E0E3"/>
        <bgColor rgb="FFD0E0E3"/>
      </patternFill>
    </fill>
    <fill>
      <patternFill patternType="solid">
        <fgColor rgb="FFDDD9C3"/>
        <bgColor rgb="FFDDD9C3"/>
      </patternFill>
    </fill>
    <fill>
      <patternFill patternType="solid">
        <fgColor rgb="FFEAD1DC"/>
        <bgColor rgb="FFEAD1DC"/>
      </patternFill>
    </fill>
    <fill>
      <patternFill patternType="solid">
        <fgColor rgb="FFF3F3F3"/>
        <bgColor rgb="FFF3F3F3"/>
      </patternFill>
    </fill>
    <fill>
      <patternFill patternType="solid">
        <fgColor rgb="FF4C1130"/>
        <bgColor rgb="FF4C1130"/>
      </patternFill>
    </fill>
    <fill>
      <patternFill patternType="solid">
        <fgColor rgb="FFE6B8AF"/>
        <bgColor rgb="FFE6B8AF"/>
      </patternFill>
    </fill>
    <fill>
      <patternFill patternType="solid">
        <fgColor rgb="FFFCE5CD"/>
        <bgColor rgb="FFFCE5CD"/>
      </patternFill>
    </fill>
    <fill>
      <patternFill patternType="solid">
        <fgColor rgb="FFFFE599"/>
        <bgColor rgb="FFFFE599"/>
      </patternFill>
    </fill>
    <fill>
      <patternFill patternType="solid">
        <fgColor rgb="FFD99694"/>
        <bgColor rgb="FFD99694"/>
      </patternFill>
    </fill>
    <fill>
      <patternFill patternType="solid">
        <fgColor rgb="FFF2DCDB"/>
        <bgColor rgb="FFF2DCDB"/>
      </patternFill>
    </fill>
    <fill>
      <patternFill patternType="solid">
        <fgColor rgb="FF632423"/>
        <bgColor rgb="FF632423"/>
      </patternFill>
    </fill>
    <fill>
      <patternFill patternType="solid">
        <fgColor rgb="FFF2DBDB"/>
        <bgColor rgb="FFF2DBDB"/>
      </patternFill>
    </fill>
    <fill>
      <patternFill patternType="solid">
        <fgColor rgb="FFC6D9F0"/>
        <bgColor rgb="FFC6D9F0"/>
      </patternFill>
    </fill>
    <fill>
      <patternFill patternType="solid">
        <fgColor rgb="FF8DB3E2"/>
        <bgColor rgb="FF8DB3E2"/>
      </patternFill>
    </fill>
    <fill>
      <patternFill patternType="solid">
        <fgColor rgb="FF558ED5"/>
        <bgColor rgb="FF558ED5"/>
      </patternFill>
    </fill>
    <fill>
      <patternFill patternType="solid">
        <fgColor rgb="FFDCE6F2"/>
        <bgColor rgb="FFDCE6F2"/>
      </patternFill>
    </fill>
    <fill>
      <patternFill patternType="solid">
        <fgColor rgb="FF244061"/>
        <bgColor rgb="FF244061"/>
      </patternFill>
    </fill>
    <fill>
      <patternFill patternType="solid">
        <fgColor rgb="FFD6E3BC"/>
        <bgColor rgb="FFD6E3BC"/>
      </patternFill>
    </fill>
    <fill>
      <patternFill patternType="solid">
        <fgColor rgb="FFEAF1DD"/>
        <bgColor rgb="FFEAF1DD"/>
      </patternFill>
    </fill>
    <fill>
      <patternFill patternType="solid">
        <fgColor rgb="FFFAC090"/>
        <bgColor rgb="FFFAC090"/>
      </patternFill>
    </fill>
    <fill>
      <patternFill patternType="solid">
        <fgColor rgb="FFFDE9D9"/>
        <bgColor rgb="FFFDE9D9"/>
      </patternFill>
    </fill>
    <fill>
      <patternFill patternType="solid">
        <fgColor rgb="FFFDEADA"/>
        <bgColor rgb="FFFDEADA"/>
      </patternFill>
    </fill>
    <fill>
      <patternFill patternType="solid">
        <fgColor rgb="FF974806"/>
        <bgColor rgb="FF974806"/>
      </patternFill>
    </fill>
    <fill>
      <patternFill patternType="solid">
        <fgColor rgb="FF948A54"/>
        <bgColor rgb="FF948A54"/>
      </patternFill>
    </fill>
    <fill>
      <patternFill patternType="solid">
        <fgColor rgb="FF1D1B10"/>
        <bgColor rgb="FF1D1B10"/>
      </patternFill>
    </fill>
    <fill>
      <patternFill patternType="solid">
        <fgColor rgb="FFC3D69B"/>
        <bgColor rgb="FFC3D69B"/>
      </patternFill>
    </fill>
    <fill>
      <patternFill patternType="solid">
        <fgColor rgb="FFEBF1DE"/>
        <bgColor rgb="FFEBF1DE"/>
      </patternFill>
    </fill>
    <fill>
      <patternFill patternType="solid">
        <fgColor rgb="FF4F6128"/>
        <bgColor rgb="FF4F6128"/>
      </patternFill>
    </fill>
    <fill>
      <patternFill patternType="solid">
        <fgColor rgb="FF95B3D7"/>
        <bgColor rgb="FF95B3D7"/>
      </patternFill>
    </fill>
    <fill>
      <patternFill patternType="solid">
        <fgColor rgb="FFB9CDE5"/>
        <bgColor rgb="FFB9CDE5"/>
      </patternFill>
    </fill>
    <fill>
      <patternFill patternType="solid">
        <fgColor rgb="FF0F243E"/>
        <bgColor rgb="FF0F243E"/>
      </patternFill>
    </fill>
    <fill>
      <patternFill patternType="solid">
        <fgColor rgb="FFB3A2C7"/>
        <bgColor rgb="FFB3A2C7"/>
      </patternFill>
    </fill>
    <fill>
      <patternFill patternType="solid">
        <fgColor rgb="FFE6E0EC"/>
        <bgColor rgb="FFE6E0EC"/>
      </patternFill>
    </fill>
    <fill>
      <patternFill patternType="solid">
        <fgColor rgb="FF3F3151"/>
        <bgColor rgb="FF3F3151"/>
      </patternFill>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7F7F7F"/>
        <bgColor rgb="FF7F7F7F"/>
      </patternFill>
    </fill>
    <fill>
      <patternFill patternType="solid">
        <fgColor rgb="FFA5A5A5"/>
        <bgColor rgb="FFA5A5A5"/>
      </patternFill>
    </fill>
    <fill>
      <patternFill patternType="solid">
        <fgColor rgb="FF0C0C0C"/>
        <bgColor rgb="FF0C0C0C"/>
      </patternFill>
    </fill>
    <fill>
      <patternFill patternType="solid">
        <fgColor rgb="FFFF9FE6"/>
        <bgColor rgb="FFFF9FE6"/>
      </patternFill>
    </fill>
    <fill>
      <patternFill patternType="solid">
        <fgColor rgb="FFFFDDF9"/>
        <bgColor rgb="FFFFDDF9"/>
      </patternFill>
    </fill>
    <fill>
      <patternFill patternType="solid">
        <fgColor rgb="FF59174B"/>
        <bgColor rgb="FF59174B"/>
      </patternFill>
    </fill>
    <fill>
      <patternFill patternType="solid">
        <fgColor rgb="FF00B0F0"/>
        <bgColor rgb="FF00B0F0"/>
      </patternFill>
    </fill>
    <fill>
      <patternFill patternType="solid">
        <fgColor rgb="FFB9EDFF"/>
        <bgColor rgb="FFB9EDFF"/>
      </patternFill>
    </fill>
    <fill>
      <patternFill patternType="solid">
        <fgColor rgb="FFFFC000"/>
        <bgColor rgb="FFFFC000"/>
      </patternFill>
    </fill>
    <fill>
      <patternFill patternType="solid">
        <fgColor rgb="FFFBEF97"/>
        <bgColor rgb="FFFBEF97"/>
      </patternFill>
    </fill>
    <fill>
      <patternFill patternType="solid">
        <fgColor rgb="FF5E5A06"/>
        <bgColor rgb="FF5E5A06"/>
      </patternFill>
    </fill>
    <fill>
      <patternFill patternType="solid">
        <fgColor rgb="FF93CDDD"/>
        <bgColor rgb="FF93CDDD"/>
      </patternFill>
    </fill>
    <fill>
      <patternFill patternType="solid">
        <fgColor rgb="FFDBEEF4"/>
        <bgColor rgb="FFDBEEF4"/>
      </patternFill>
    </fill>
    <fill>
      <patternFill patternType="solid">
        <fgColor rgb="FF205867"/>
        <bgColor rgb="FF205867"/>
      </patternFill>
    </fill>
    <fill>
      <patternFill patternType="solid">
        <fgColor rgb="FFA2C4C9"/>
        <bgColor rgb="FFA2C4C9"/>
      </patternFill>
    </fill>
    <fill>
      <patternFill patternType="solid">
        <fgColor rgb="FFB4A7D6"/>
        <bgColor rgb="FFB4A7D6"/>
      </patternFill>
    </fill>
    <fill>
      <patternFill patternType="solid">
        <fgColor rgb="FFFFFF99"/>
        <bgColor rgb="FFFFFF99"/>
      </patternFill>
    </fill>
    <fill>
      <patternFill patternType="solid">
        <fgColor rgb="FFDBE5F1"/>
        <bgColor rgb="FFDBE5F1"/>
      </patternFill>
    </fill>
    <fill>
      <patternFill patternType="solid">
        <fgColor rgb="FFE5DFEC"/>
        <bgColor rgb="FFE5DFEC"/>
      </patternFill>
    </fill>
    <fill>
      <patternFill patternType="solid">
        <fgColor rgb="FFCCC0D9"/>
        <bgColor rgb="FFCCC0D9"/>
      </patternFill>
    </fill>
    <fill>
      <patternFill patternType="solid">
        <fgColor rgb="FFFCD5B5"/>
        <bgColor rgb="FFFCD5B5"/>
      </patternFill>
    </fill>
    <fill>
      <patternFill patternType="solid">
        <fgColor rgb="FFFEF1E6"/>
        <bgColor rgb="FFFEF1E6"/>
      </patternFill>
    </fill>
    <fill>
      <patternFill patternType="solid">
        <fgColor rgb="FFF6F8AA"/>
        <bgColor rgb="FFF6F8AA"/>
      </patternFill>
    </fill>
    <fill>
      <patternFill patternType="solid">
        <fgColor rgb="FF4F81BD"/>
        <bgColor rgb="FF4F81BD"/>
      </patternFill>
    </fill>
    <fill>
      <patternFill patternType="solid">
        <fgColor rgb="FFD7E4BD"/>
        <bgColor rgb="FFD7E4BD"/>
      </patternFill>
    </fill>
    <fill>
      <patternFill patternType="solid">
        <fgColor rgb="FF8EB4E3"/>
        <bgColor rgb="FF8EB4E3"/>
      </patternFill>
    </fill>
    <fill>
      <patternFill patternType="solid">
        <fgColor rgb="FFC6D9F1"/>
        <bgColor rgb="FFC6D9F1"/>
      </patternFill>
    </fill>
    <fill>
      <patternFill patternType="solid">
        <fgColor rgb="FFF2F2F2"/>
        <bgColor rgb="FFF2F2F2"/>
      </patternFill>
    </fill>
    <fill>
      <patternFill patternType="solid">
        <fgColor rgb="FFC4BD97"/>
        <bgColor rgb="FFC4BD97"/>
      </patternFill>
    </fill>
    <fill>
      <patternFill patternType="solid">
        <fgColor rgb="FF8E3D10"/>
        <bgColor rgb="FF8E3D10"/>
      </patternFill>
    </fill>
    <fill>
      <patternFill patternType="solid">
        <fgColor rgb="FF434343"/>
        <bgColor rgb="FF434343"/>
      </patternFill>
    </fill>
    <fill>
      <patternFill patternType="solid">
        <fgColor rgb="FF666666"/>
        <bgColor rgb="FF666666"/>
      </patternFill>
    </fill>
    <fill>
      <patternFill patternType="solid">
        <fgColor rgb="FF7F6000"/>
        <bgColor rgb="FF7F6000"/>
      </patternFill>
    </fill>
    <fill>
      <patternFill patternType="solid">
        <fgColor rgb="FFFFD8C5"/>
        <bgColor rgb="FFFFD8C5"/>
      </patternFill>
    </fill>
    <fill>
      <patternFill patternType="solid">
        <fgColor rgb="FFB6DDE8"/>
        <bgColor rgb="FFB6DDE8"/>
      </patternFill>
    </fill>
    <fill>
      <patternFill patternType="solid">
        <fgColor rgb="FFDAEEF3"/>
        <bgColor rgb="FFDAEEF3"/>
      </patternFill>
    </fill>
    <fill>
      <patternFill patternType="solid">
        <fgColor rgb="FF92CDDC"/>
        <bgColor rgb="FF92CDDC"/>
      </patternFill>
    </fill>
    <fill>
      <patternFill patternType="solid">
        <fgColor rgb="FFF8F9FA"/>
        <bgColor rgb="FFF8F9FA"/>
      </patternFill>
    </fill>
    <fill>
      <patternFill patternType="solid">
        <fgColor rgb="FF20124D"/>
        <bgColor rgb="FF20124D"/>
      </patternFill>
    </fill>
    <fill>
      <patternFill patternType="solid">
        <fgColor rgb="FF595959"/>
        <bgColor rgb="FF595959"/>
      </patternFill>
    </fill>
    <fill>
      <patternFill patternType="solid">
        <fgColor rgb="FFC2D69B"/>
        <bgColor rgb="FFC2D69B"/>
      </patternFill>
    </fill>
    <fill>
      <patternFill patternType="solid">
        <fgColor rgb="FFFFD966"/>
        <bgColor rgb="FFFFD966"/>
      </patternFill>
    </fill>
    <fill>
      <patternFill patternType="solid">
        <fgColor rgb="FFB7B7B7"/>
        <bgColor rgb="FFB7B7B7"/>
      </patternFill>
    </fill>
    <fill>
      <patternFill patternType="solid">
        <fgColor rgb="FFCCCCCC"/>
        <bgColor rgb="FFCCCCCC"/>
      </patternFill>
    </fill>
    <fill>
      <patternFill patternType="solid">
        <fgColor rgb="FF999999"/>
        <bgColor rgb="FF999999"/>
      </patternFill>
    </fill>
    <fill>
      <patternFill patternType="solid">
        <fgColor rgb="FF980000"/>
        <bgColor rgb="FF980000"/>
      </patternFill>
    </fill>
    <fill>
      <patternFill patternType="solid">
        <fgColor rgb="FFFABF8F"/>
        <bgColor rgb="FFFABF8F"/>
      </patternFill>
    </fill>
  </fills>
  <borders count="96">
    <border/>
    <border>
      <left style="thin">
        <color rgb="FF000000"/>
      </left>
      <top style="thin">
        <color rgb="FF000000"/>
      </top>
      <bottom style="thin">
        <color rgb="FF000000"/>
      </bottom>
    </border>
    <border>
      <top style="thin">
        <color rgb="FF000000"/>
      </top>
      <bottom style="thin">
        <color rgb="FF000000"/>
      </bottom>
    </border>
    <border>
      <top style="thin">
        <color rgb="FF000000"/>
      </top>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EFEFEF"/>
      </top>
      <bottom style="thin">
        <color rgb="FFEFEFEF"/>
      </bottom>
    </border>
    <border>
      <top style="thin">
        <color rgb="FFEFEFEF"/>
      </top>
      <bottom style="thin">
        <color rgb="FFEFEFEF"/>
      </bottom>
    </border>
    <border>
      <right style="thin">
        <color rgb="FF000000"/>
      </right>
      <top style="thin">
        <color rgb="FFEFEFEF"/>
      </top>
      <bottom style="thin">
        <color rgb="FFEFEFEF"/>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rder>
    <border>
      <top style="thin">
        <color rgb="FFFFFFFF"/>
      </top>
      <bottom style="thin">
        <color rgb="FFFFFFFF"/>
      </bottom>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FFFFFF"/>
      </bottom>
    </border>
    <border>
      <bottom style="thin">
        <color rgb="FF000000"/>
      </bottom>
    </border>
    <border>
      <left style="dotted">
        <color rgb="FF000000"/>
      </left>
    </border>
    <border>
      <right style="dotted">
        <color rgb="FF000000"/>
      </right>
    </border>
    <border>
      <left style="thin">
        <color rgb="FF000000"/>
      </left>
      <top style="thin">
        <color rgb="FFEFEFEF"/>
      </top>
      <bottom style="thin">
        <color rgb="FF000000"/>
      </bottom>
    </border>
    <border>
      <top style="thin">
        <color rgb="FFEFEFEF"/>
      </top>
      <bottom style="thin">
        <color rgb="FF000000"/>
      </bottom>
    </border>
    <border>
      <right style="thin">
        <color rgb="FF000000"/>
      </right>
      <top style="thin">
        <color rgb="FFEFEFEF"/>
      </top>
      <bottom style="thin">
        <color rgb="FF000000"/>
      </bottom>
    </border>
    <border>
      <bottom style="thin">
        <color rgb="FFEFEFEF"/>
      </bottom>
    </border>
    <border>
      <left style="dotted">
        <color rgb="FF000000"/>
      </left>
      <bottom style="thin">
        <color rgb="FFEFEFEF"/>
      </bottom>
    </border>
    <border>
      <right style="dotted">
        <color rgb="FF000000"/>
      </right>
      <bottom style="thin">
        <color rgb="FFEFEFEF"/>
      </bottom>
    </border>
    <border>
      <left style="dotted">
        <color rgb="FF000000"/>
      </left>
      <top style="thin">
        <color rgb="FFEFEFEF"/>
      </top>
      <bottom style="thin">
        <color rgb="FFEFEFEF"/>
      </bottom>
    </border>
    <border>
      <right style="dotted">
        <color rgb="FF000000"/>
      </right>
      <top style="thin">
        <color rgb="FFEFEFEF"/>
      </top>
      <bottom style="thin">
        <color rgb="FFEFEFEF"/>
      </bottom>
    </border>
    <border>
      <top style="thin">
        <color rgb="FFEFEFEF"/>
      </top>
    </border>
    <border>
      <left style="dotted">
        <color rgb="FF000000"/>
      </left>
      <top style="thin">
        <color rgb="FFEFEFEF"/>
      </top>
    </border>
    <border>
      <right style="dotted">
        <color rgb="FF000000"/>
      </right>
      <top style="thin">
        <color rgb="FFEFEFEF"/>
      </top>
    </border>
    <border>
      <left style="thin">
        <color rgb="FF000000"/>
      </left>
      <top style="thin">
        <color rgb="FFD9D9D9"/>
      </top>
    </border>
    <border>
      <right style="thin">
        <color rgb="FF000000"/>
      </right>
      <top style="thin">
        <color rgb="FFD9D9D9"/>
      </top>
    </border>
    <border>
      <left style="thin">
        <color rgb="FF000000"/>
      </left>
      <top style="thin">
        <color rgb="FF000000"/>
      </top>
      <bottom style="thin">
        <color rgb="FFF3F3F3"/>
      </bottom>
    </border>
    <border>
      <top style="thin">
        <color rgb="FF000000"/>
      </top>
      <bottom style="thin">
        <color rgb="FFF3F3F3"/>
      </bottom>
    </border>
    <border>
      <top style="thin">
        <color rgb="FFF3F3F3"/>
      </top>
    </border>
    <border>
      <right style="thin">
        <color rgb="FF000000"/>
      </right>
      <top style="thin">
        <color rgb="FFF3F3F3"/>
      </top>
    </border>
    <border>
      <left style="thin">
        <color rgb="FF000000"/>
      </left>
      <top style="thin">
        <color rgb="FFF3F3F3"/>
      </top>
      <bottom style="thin">
        <color rgb="FFF3F3F3"/>
      </bottom>
    </border>
    <border>
      <top style="thin">
        <color rgb="FFF3F3F3"/>
      </top>
      <bottom style="thin">
        <color rgb="FFF3F3F3"/>
      </bottom>
    </border>
    <border>
      <bottom style="thin">
        <color rgb="FFF3F3F3"/>
      </bottom>
    </border>
    <border>
      <right style="thin">
        <color rgb="FF000000"/>
      </right>
      <bottom style="thin">
        <color rgb="FFF3F3F3"/>
      </bottom>
    </border>
    <border>
      <right style="thin">
        <color rgb="FF000000"/>
      </right>
      <top style="thin">
        <color rgb="FFF3F3F3"/>
      </top>
      <bottom style="thin">
        <color rgb="FFF3F3F3"/>
      </bottom>
    </border>
    <border>
      <left style="thin">
        <color rgb="FF000000"/>
      </left>
      <top style="thin">
        <color rgb="FFF3F3F3"/>
      </top>
      <bottom style="thin">
        <color rgb="FF000000"/>
      </bottom>
    </border>
    <border>
      <top style="thin">
        <color rgb="FFF3F3F3"/>
      </top>
      <bottom style="thin">
        <color rgb="FF000000"/>
      </bottom>
    </border>
    <border>
      <right style="thin">
        <color rgb="FF000000"/>
      </right>
      <top style="thin">
        <color rgb="FFF3F3F3"/>
      </top>
      <bottom style="thin">
        <color rgb="FF000000"/>
      </bottom>
    </border>
    <border>
      <left style="thin">
        <color rgb="FF000000"/>
      </left>
      <bottom style="thin">
        <color rgb="FFEFEFEF"/>
      </bottom>
    </border>
    <border>
      <right style="thin">
        <color rgb="FF000000"/>
      </right>
      <bottom style="thin">
        <color rgb="FFEFEFEF"/>
      </bottom>
    </border>
    <border>
      <right style="thin">
        <color rgb="FF000000"/>
      </right>
      <top style="thin">
        <color rgb="FFEFEFEF"/>
      </top>
    </border>
    <border>
      <left style="thin">
        <color rgb="FF000000"/>
      </left>
      <top style="thin">
        <color rgb="FFEFEFEF"/>
      </top>
    </border>
    <border>
      <left style="thin">
        <color rgb="FF000000"/>
      </left>
      <top style="thin">
        <color rgb="FF000000"/>
      </top>
      <bottom style="thin">
        <color rgb="FFEFEFEF"/>
      </bottom>
    </border>
    <border>
      <right style="thin">
        <color rgb="FF000000"/>
      </right>
      <top style="thin">
        <color rgb="FF000000"/>
      </top>
      <bottom style="thin">
        <color rgb="FFEFEFEF"/>
      </bottom>
    </border>
    <border>
      <top style="thin">
        <color rgb="FF000000"/>
      </top>
      <bottom style="thin">
        <color rgb="FFEFEFEF"/>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top style="thin">
        <color rgb="FF000000"/>
      </top>
      <bottom/>
    </border>
    <border>
      <left style="dotted">
        <color rgb="FF000000"/>
      </left>
      <right style="dotted">
        <color rgb="FF000000"/>
      </right>
      <top style="dotted">
        <color rgb="FF000000"/>
      </top>
      <bottom style="dotted">
        <color rgb="FF000000"/>
      </bottom>
    </border>
    <border>
      <left style="thin">
        <color rgb="FF000000"/>
      </left>
      <top style="thin">
        <color rgb="FF000000"/>
      </top>
      <bottom/>
    </border>
    <border>
      <bottom style="dotted">
        <color rgb="FF000000"/>
      </bottom>
    </border>
    <border>
      <right style="dotted">
        <color rgb="FF000000"/>
      </right>
      <bottom style="dotted">
        <color rgb="FF000000"/>
      </bottom>
    </border>
    <border>
      <right style="dotted">
        <color rgb="FF000000"/>
      </right>
      <top style="dotted">
        <color rgb="FF000000"/>
      </top>
      <bottom style="dotted">
        <color rgb="FF000000"/>
      </bottom>
    </border>
    <border>
      <left/>
      <right/>
      <top/>
      <bottom/>
    </border>
    <border>
      <left style="thin">
        <color rgb="FF000000"/>
      </left>
      <right style="thin">
        <color rgb="FF000000"/>
      </right>
      <top/>
      <bottom/>
    </border>
    <border>
      <left/>
      <right/>
      <bottom/>
    </border>
    <border>
      <left style="thin">
        <color rgb="FFA2A9B1"/>
      </left>
      <top style="thin">
        <color rgb="FFA2A9B1"/>
      </top>
      <bottom style="thin">
        <color rgb="FFA2A9B1"/>
      </bottom>
    </border>
    <border>
      <top style="thin">
        <color rgb="FFA2A9B1"/>
      </top>
      <bottom style="thin">
        <color rgb="FFA2A9B1"/>
      </bottom>
    </border>
    <border>
      <right style="thin">
        <color rgb="FFA2A9B1"/>
      </right>
      <top style="thin">
        <color rgb="FFA2A9B1"/>
      </top>
      <bottom style="thin">
        <color rgb="FFA2A9B1"/>
      </bottom>
    </border>
    <border>
      <left style="thin">
        <color rgb="FFA2A9B1"/>
      </left>
      <right style="thin">
        <color rgb="FFA2A9B1"/>
      </right>
      <top style="thin">
        <color rgb="FFA2A9B1"/>
      </top>
      <bottom style="thin">
        <color rgb="FFA2A9B1"/>
      </bottom>
    </border>
    <border>
      <left style="dotted">
        <color rgb="FF000000"/>
      </left>
      <top style="dotted">
        <color rgb="FF000000"/>
      </top>
    </border>
    <border>
      <right style="dotted">
        <color rgb="FF000000"/>
      </right>
      <top style="dotted">
        <color rgb="FF000000"/>
      </top>
    </border>
    <border>
      <left style="dotted">
        <color rgb="FF000000"/>
      </left>
      <bottom style="dotted">
        <color rgb="FF000000"/>
      </bottom>
    </border>
    <border>
      <left style="thin">
        <color rgb="FF000000"/>
      </left>
      <right/>
      <bottom style="thin">
        <color rgb="FF000000"/>
      </bottom>
    </border>
    <border>
      <left/>
      <top/>
      <bottom/>
    </border>
    <border>
      <top/>
      <bottom/>
    </border>
    <border>
      <right/>
      <top/>
      <bottom/>
    </border>
    <border>
      <left/>
      <right/>
      <top/>
      <bottom style="thin">
        <color rgb="FF000000"/>
      </bottom>
    </border>
    <border>
      <left/>
      <right/>
    </border>
    <border>
      <left/>
      <right/>
      <top/>
    </border>
    <border>
      <left style="thin">
        <color rgb="FFCCCCCC"/>
      </left>
      <top style="thin">
        <color rgb="FFCCCCCC"/>
      </top>
    </border>
    <border>
      <top style="thin">
        <color rgb="FFCCCCCC"/>
      </top>
    </border>
    <border>
      <left style="thin">
        <color rgb="FFCCCCCC"/>
      </left>
    </border>
    <border>
      <right style="thin">
        <color rgb="FFCCCCCC"/>
      </right>
    </border>
    <border>
      <left style="thin">
        <color rgb="FFCCCCCC"/>
      </left>
      <bottom style="thin">
        <color rgb="FFCCCCCC"/>
      </bottom>
    </border>
    <border>
      <bottom style="thin">
        <color rgb="FFCCCCCC"/>
      </bottom>
    </border>
  </borders>
  <cellStyleXfs count="1">
    <xf borderId="0" fillId="0" fontId="0" numFmtId="0" applyAlignment="1" applyFont="1"/>
  </cellStyleXfs>
  <cellXfs count="2040">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horizontal="center" readingOrder="0" shrinkToFit="0" textRotation="90" vertical="bottom" wrapText="0"/>
    </xf>
    <xf borderId="0" fillId="0" fontId="3" numFmtId="0" xfId="0" applyAlignment="1" applyFont="1">
      <alignment horizontal="right" readingOrder="0" textRotation="90"/>
    </xf>
    <xf borderId="0" fillId="0" fontId="4" numFmtId="0" xfId="0" applyAlignment="1" applyFont="1">
      <alignment horizontal="center" readingOrder="0" shrinkToFit="0" textRotation="90" vertical="bottom" wrapText="0"/>
    </xf>
    <xf borderId="0" fillId="0" fontId="1" numFmtId="0" xfId="0" applyAlignment="1" applyFont="1">
      <alignment horizontal="right" readingOrder="0" shrinkToFit="0" textRotation="90" vertical="bottom" wrapText="0"/>
    </xf>
    <xf borderId="0" fillId="0" fontId="3" numFmtId="0" xfId="0" applyAlignment="1" applyFont="1">
      <alignment readingOrder="0" shrinkToFit="0" vertical="bottom" wrapText="0"/>
    </xf>
    <xf borderId="0" fillId="0" fontId="5" numFmtId="0" xfId="0" applyAlignment="1" applyFont="1">
      <alignment vertical="bottom"/>
    </xf>
    <xf borderId="0" fillId="0" fontId="6" numFmtId="0" xfId="0" applyAlignment="1" applyFont="1">
      <alignment readingOrder="0" vertical="bottom"/>
    </xf>
    <xf borderId="0" fillId="0" fontId="7" numFmtId="0" xfId="0" applyAlignment="1" applyFont="1">
      <alignment horizontal="center" readingOrder="0" shrinkToFit="0" vertical="bottom" wrapText="0"/>
    </xf>
    <xf borderId="0" fillId="0" fontId="4" numFmtId="0" xfId="0" applyAlignment="1" applyFont="1">
      <alignment readingOrder="0" shrinkToFit="0" vertical="bottom" wrapText="0"/>
    </xf>
    <xf borderId="0" fillId="0" fontId="4" numFmtId="0" xfId="0" applyAlignment="1" applyFont="1">
      <alignment horizontal="center" readingOrder="0" shrinkToFit="0" vertical="bottom" wrapText="0"/>
    </xf>
    <xf borderId="0" fillId="0" fontId="3" numFmtId="0" xfId="0" applyFont="1"/>
    <xf borderId="0" fillId="0" fontId="3" numFmtId="0" xfId="0" applyAlignment="1" applyFont="1">
      <alignment readingOrder="0"/>
    </xf>
    <xf borderId="0" fillId="0" fontId="1" numFmtId="0" xfId="0" applyAlignment="1" applyFont="1">
      <alignment readingOrder="0" shrinkToFit="0" vertical="bottom" wrapText="0"/>
    </xf>
    <xf borderId="0" fillId="0" fontId="6" numFmtId="0" xfId="0" applyAlignment="1" applyFont="1">
      <alignment horizontal="left" readingOrder="0" shrinkToFit="0" vertical="bottom" wrapText="0"/>
    </xf>
    <xf borderId="0" fillId="0" fontId="1" numFmtId="0" xfId="0" applyAlignment="1" applyFont="1">
      <alignment horizontal="center" readingOrder="0" shrinkToFit="0" vertical="center" wrapText="0"/>
    </xf>
    <xf borderId="0" fillId="0" fontId="4" numFmtId="0" xfId="0" applyAlignment="1" applyFont="1">
      <alignment horizontal="right" readingOrder="0" shrinkToFit="0" vertical="bottom" wrapText="0"/>
    </xf>
    <xf borderId="0" fillId="0" fontId="1" numFmtId="0" xfId="0" applyAlignment="1" applyFont="1">
      <alignment horizontal="right" readingOrder="0" shrinkToFit="0" vertical="bottom" wrapText="0"/>
    </xf>
    <xf borderId="0" fillId="2" fontId="1" numFmtId="0" xfId="0" applyAlignment="1" applyFill="1" applyFont="1">
      <alignment readingOrder="0"/>
    </xf>
    <xf borderId="0" fillId="0" fontId="8" numFmtId="0" xfId="0" applyAlignment="1" applyFont="1">
      <alignment readingOrder="0"/>
    </xf>
    <xf borderId="0" fillId="0" fontId="3" numFmtId="49" xfId="0" applyAlignment="1" applyFont="1" applyNumberFormat="1">
      <alignment horizontal="left" readingOrder="0"/>
    </xf>
    <xf borderId="0" fillId="0" fontId="9" numFmtId="0" xfId="0" applyAlignment="1" applyFont="1">
      <alignment readingOrder="0" shrinkToFit="0" vertical="bottom" wrapText="0"/>
    </xf>
    <xf borderId="0" fillId="0" fontId="3" numFmtId="0" xfId="0" applyAlignment="1" applyFont="1">
      <alignment horizontal="left" readingOrder="0"/>
    </xf>
    <xf borderId="1" fillId="2" fontId="1" numFmtId="0" xfId="0" applyAlignment="1" applyBorder="1" applyFont="1">
      <alignment readingOrder="0"/>
    </xf>
    <xf borderId="2" fillId="0" fontId="10" numFmtId="0" xfId="0" applyBorder="1" applyFont="1"/>
    <xf borderId="3" fillId="0" fontId="10" numFmtId="0" xfId="0" applyBorder="1" applyFont="1"/>
    <xf borderId="2" fillId="2" fontId="1" numFmtId="0" xfId="0" applyAlignment="1" applyBorder="1" applyFont="1">
      <alignment readingOrder="0"/>
    </xf>
    <xf borderId="4" fillId="0" fontId="3" numFmtId="0" xfId="0" applyAlignment="1" applyBorder="1" applyFont="1">
      <alignment readingOrder="0"/>
    </xf>
    <xf borderId="0" fillId="0" fontId="8" numFmtId="0" xfId="0" applyAlignment="1" applyFont="1">
      <alignment horizontal="left" readingOrder="0"/>
    </xf>
    <xf borderId="0" fillId="0" fontId="11" numFmtId="0" xfId="0" applyAlignment="1" applyFont="1">
      <alignment horizontal="right" readingOrder="0"/>
    </xf>
    <xf borderId="0" fillId="0" fontId="12" numFmtId="0" xfId="0" applyFont="1"/>
    <xf borderId="4" fillId="0" fontId="10" numFmtId="0" xfId="0" applyBorder="1" applyFont="1"/>
    <xf borderId="0" fillId="0" fontId="1" numFmtId="0" xfId="0" applyAlignment="1" applyFont="1">
      <alignment horizontal="left" readingOrder="0" shrinkToFit="0" vertical="center" wrapText="0"/>
    </xf>
    <xf borderId="0" fillId="0" fontId="4" numFmtId="0" xfId="0" applyAlignment="1" applyFont="1">
      <alignment horizontal="left" readingOrder="0" shrinkToFit="0" vertical="bottom" wrapText="0"/>
    </xf>
    <xf borderId="0" fillId="0" fontId="1" numFmtId="0" xfId="0" applyAlignment="1" applyFont="1">
      <alignment horizontal="left" readingOrder="0" shrinkToFit="0" vertical="bottom" wrapText="0"/>
    </xf>
    <xf borderId="0" fillId="0" fontId="10" numFmtId="0" xfId="0" applyFont="1"/>
    <xf borderId="0" fillId="0" fontId="3" numFmtId="20" xfId="0" applyAlignment="1" applyFont="1" applyNumberFormat="1">
      <alignment horizontal="left" readingOrder="0"/>
    </xf>
    <xf borderId="5" fillId="3" fontId="4" numFmtId="0" xfId="0" applyAlignment="1" applyBorder="1" applyFill="1" applyFont="1">
      <alignment readingOrder="0" shrinkToFit="0" vertical="bottom" wrapText="0"/>
    </xf>
    <xf borderId="3" fillId="3" fontId="4" numFmtId="0" xfId="0" applyAlignment="1" applyBorder="1" applyFont="1">
      <alignment horizontal="right" readingOrder="0" shrinkToFit="0" vertical="bottom" wrapText="0"/>
    </xf>
    <xf borderId="3" fillId="3" fontId="1" numFmtId="0" xfId="0" applyAlignment="1" applyBorder="1" applyFont="1">
      <alignment horizontal="right" readingOrder="0" shrinkToFit="0" vertical="bottom" wrapText="0"/>
    </xf>
    <xf borderId="6" fillId="3" fontId="4" numFmtId="0" xfId="0" applyAlignment="1" applyBorder="1" applyFont="1">
      <alignment horizontal="right" readingOrder="0" shrinkToFit="0" vertical="bottom" wrapText="0"/>
    </xf>
    <xf borderId="0" fillId="0" fontId="3" numFmtId="0" xfId="0" applyAlignment="1" applyFont="1">
      <alignment horizontal="center" readingOrder="0" vertical="bottom"/>
    </xf>
    <xf borderId="7" fillId="0" fontId="1" numFmtId="0" xfId="0" applyAlignment="1" applyBorder="1" applyFont="1">
      <alignment readingOrder="0" shrinkToFit="0" vertical="bottom" wrapText="0"/>
    </xf>
    <xf borderId="8" fillId="0" fontId="1" numFmtId="0" xfId="0" applyAlignment="1" applyBorder="1" applyFont="1">
      <alignment readingOrder="0" shrinkToFit="0" vertical="bottom" wrapText="0"/>
    </xf>
    <xf borderId="9" fillId="0" fontId="4" numFmtId="0" xfId="0" applyAlignment="1" applyBorder="1" applyFont="1">
      <alignment shrinkToFit="0" vertical="bottom" wrapText="0"/>
    </xf>
    <xf borderId="0" fillId="0" fontId="3" numFmtId="0" xfId="0" applyAlignment="1" applyFont="1">
      <alignment horizontal="center" vertical="center"/>
    </xf>
    <xf borderId="10" fillId="4" fontId="3" numFmtId="3" xfId="0" applyAlignment="1" applyBorder="1" applyFill="1" applyFont="1" applyNumberFormat="1">
      <alignment horizontal="center" vertical="center"/>
    </xf>
    <xf borderId="11" fillId="4" fontId="3" numFmtId="0" xfId="0" applyAlignment="1" applyBorder="1" applyFont="1">
      <alignment horizontal="center" vertical="center"/>
    </xf>
    <xf borderId="12" fillId="5" fontId="3" numFmtId="3" xfId="0" applyAlignment="1" applyBorder="1" applyFill="1" applyFont="1" applyNumberFormat="1">
      <alignment horizontal="center" vertical="center"/>
    </xf>
    <xf borderId="13" fillId="0" fontId="13" numFmtId="0" xfId="0" applyBorder="1" applyFont="1"/>
    <xf borderId="12" fillId="4" fontId="1" numFmtId="0" xfId="0" applyAlignment="1" applyBorder="1" applyFont="1">
      <alignment horizontal="center" vertical="center"/>
    </xf>
    <xf borderId="14" fillId="4" fontId="3" numFmtId="0" xfId="0" applyAlignment="1" applyBorder="1" applyFont="1">
      <alignment horizontal="center" readingOrder="0" vertical="center"/>
    </xf>
    <xf borderId="0" fillId="0" fontId="3" numFmtId="0" xfId="0" applyAlignment="1" applyFont="1">
      <alignment horizontal="center" vertical="center"/>
    </xf>
    <xf borderId="15" fillId="6" fontId="1" numFmtId="0" xfId="0" applyAlignment="1" applyBorder="1" applyFill="1" applyFont="1">
      <alignment readingOrder="0" shrinkToFit="0" vertical="bottom" wrapText="0"/>
    </xf>
    <xf borderId="15" fillId="6" fontId="2" numFmtId="0" xfId="0" applyAlignment="1" applyBorder="1" applyFont="1">
      <alignment horizontal="center" readingOrder="0" shrinkToFit="0" vertical="bottom" wrapText="0"/>
    </xf>
    <xf borderId="15" fillId="6" fontId="1" numFmtId="0" xfId="0" applyAlignment="1" applyBorder="1" applyFont="1">
      <alignment horizontal="center" readingOrder="0" shrinkToFit="0" vertical="bottom" wrapText="0"/>
    </xf>
    <xf borderId="15" fillId="7" fontId="4" numFmtId="0" xfId="0" applyAlignment="1" applyBorder="1" applyFill="1" applyFont="1">
      <alignment horizontal="center" readingOrder="0" shrinkToFit="0" vertical="bottom" wrapText="0"/>
    </xf>
    <xf borderId="5" fillId="2" fontId="1" numFmtId="0" xfId="0" applyAlignment="1" applyBorder="1" applyFont="1">
      <alignment readingOrder="0" shrinkToFit="0" vertical="bottom" wrapText="0"/>
    </xf>
    <xf borderId="6" fillId="2" fontId="1" numFmtId="0" xfId="0" applyAlignment="1" applyBorder="1" applyFont="1">
      <alignment horizontal="left" readingOrder="0" shrinkToFit="0" vertical="bottom" wrapText="0"/>
    </xf>
    <xf borderId="16" fillId="8" fontId="3" numFmtId="0" xfId="0" applyAlignment="1" applyBorder="1" applyFill="1" applyFont="1">
      <alignment horizontal="center" readingOrder="0" vertical="center"/>
    </xf>
    <xf borderId="17" fillId="0" fontId="13" numFmtId="0" xfId="0" applyBorder="1" applyFont="1"/>
    <xf borderId="18" fillId="9" fontId="1" numFmtId="0" xfId="0" applyAlignment="1" applyBorder="1" applyFill="1" applyFont="1">
      <alignment readingOrder="0" shrinkToFit="0" vertical="bottom" wrapText="0"/>
    </xf>
    <xf borderId="19" fillId="9" fontId="1" numFmtId="0" xfId="0" applyAlignment="1" applyBorder="1" applyFont="1">
      <alignment horizontal="left" readingOrder="0" shrinkToFit="0" vertical="bottom" wrapText="0"/>
    </xf>
    <xf borderId="11" fillId="4" fontId="3" numFmtId="0" xfId="0" applyAlignment="1" applyBorder="1" applyFont="1">
      <alignment horizontal="center" vertical="center"/>
    </xf>
    <xf borderId="20" fillId="2" fontId="1" numFmtId="0" xfId="0" applyAlignment="1" applyBorder="1" applyFont="1">
      <alignment readingOrder="0" shrinkToFit="0" vertical="bottom" wrapText="0"/>
    </xf>
    <xf borderId="21" fillId="2" fontId="1" numFmtId="9" xfId="0" applyAlignment="1" applyBorder="1" applyFont="1" applyNumberFormat="1">
      <alignment horizontal="left" shrinkToFit="0" vertical="bottom" wrapText="0"/>
    </xf>
    <xf borderId="12" fillId="4" fontId="3" numFmtId="0" xfId="0" applyAlignment="1" applyBorder="1" applyFont="1">
      <alignment horizontal="center" vertical="center"/>
    </xf>
    <xf borderId="12" fillId="4" fontId="3" numFmtId="0" xfId="0" applyAlignment="1" applyBorder="1" applyFont="1">
      <alignment horizontal="center" vertical="center"/>
    </xf>
    <xf borderId="5" fillId="0" fontId="3" numFmtId="0" xfId="0" applyAlignment="1" applyBorder="1" applyFont="1">
      <alignment readingOrder="0"/>
    </xf>
    <xf borderId="6" fillId="0" fontId="3" numFmtId="0" xfId="0" applyBorder="1" applyFont="1"/>
    <xf borderId="22" fillId="10" fontId="3" numFmtId="0" xfId="0" applyAlignment="1" applyBorder="1" applyFill="1" applyFont="1">
      <alignment readingOrder="0" vertical="bottom"/>
    </xf>
    <xf borderId="15" fillId="10" fontId="1" numFmtId="0" xfId="0" applyAlignment="1" applyBorder="1" applyFont="1">
      <alignment readingOrder="0" shrinkToFit="0" vertical="bottom" wrapText="0"/>
    </xf>
    <xf borderId="15" fillId="10" fontId="2" numFmtId="0" xfId="0" applyAlignment="1" applyBorder="1" applyFont="1">
      <alignment horizontal="center" readingOrder="0" shrinkToFit="0" vertical="bottom" wrapText="0"/>
    </xf>
    <xf borderId="15" fillId="10" fontId="1" numFmtId="0" xfId="0" applyAlignment="1" applyBorder="1" applyFont="1">
      <alignment horizontal="center" readingOrder="0" shrinkToFit="0" vertical="bottom" wrapText="0"/>
    </xf>
    <xf borderId="15" fillId="11" fontId="4" numFmtId="0" xfId="0" applyAlignment="1" applyBorder="1" applyFill="1" applyFont="1">
      <alignment horizontal="center" readingOrder="0" shrinkToFit="0" vertical="bottom" wrapText="0"/>
    </xf>
    <xf borderId="18" fillId="0" fontId="1" numFmtId="0" xfId="0" applyAlignment="1" applyBorder="1" applyFont="1">
      <alignment readingOrder="0" shrinkToFit="0" vertical="bottom" wrapText="0"/>
    </xf>
    <xf borderId="19" fillId="0" fontId="1" numFmtId="0" xfId="0" applyAlignment="1" applyBorder="1" applyFont="1">
      <alignment horizontal="right" shrinkToFit="0" vertical="bottom" wrapText="0"/>
    </xf>
    <xf borderId="0" fillId="10" fontId="3" numFmtId="0" xfId="0" applyAlignment="1" applyFont="1">
      <alignment readingOrder="0" vertical="bottom"/>
    </xf>
    <xf borderId="18" fillId="0" fontId="3" numFmtId="0" xfId="0" applyAlignment="1" applyBorder="1" applyFont="1">
      <alignment readingOrder="0"/>
    </xf>
    <xf borderId="19" fillId="0" fontId="3" numFmtId="0" xfId="0" applyBorder="1" applyFont="1"/>
    <xf borderId="19" fillId="0" fontId="3" numFmtId="9" xfId="0" applyBorder="1" applyFont="1" applyNumberFormat="1"/>
    <xf borderId="0" fillId="0" fontId="3" numFmtId="0" xfId="0" applyAlignment="1" applyFont="1">
      <alignment horizontal="center" readingOrder="0" vertical="top"/>
    </xf>
    <xf borderId="0" fillId="0" fontId="14" numFmtId="0" xfId="0" applyAlignment="1" applyFont="1">
      <alignment horizontal="center" readingOrder="0" shrinkToFit="0" vertical="bottom" wrapText="0"/>
    </xf>
    <xf borderId="20" fillId="0" fontId="3" numFmtId="0" xfId="0" applyAlignment="1" applyBorder="1" applyFont="1">
      <alignment readingOrder="0"/>
    </xf>
    <xf borderId="21" fillId="0" fontId="3" numFmtId="0" xfId="0" applyAlignment="1" applyBorder="1" applyFont="1">
      <alignment horizontal="right"/>
    </xf>
    <xf borderId="1" fillId="9" fontId="8" numFmtId="0" xfId="0" applyAlignment="1" applyBorder="1" applyFont="1">
      <alignment readingOrder="0"/>
    </xf>
    <xf borderId="2" fillId="9" fontId="15" numFmtId="0" xfId="0" applyBorder="1" applyFont="1"/>
    <xf borderId="2" fillId="9" fontId="8" numFmtId="0" xfId="0" applyBorder="1" applyFont="1"/>
    <xf borderId="6" fillId="9" fontId="8" numFmtId="0" xfId="0" applyBorder="1" applyFont="1"/>
    <xf borderId="5" fillId="12" fontId="16" numFmtId="0" xfId="0" applyAlignment="1" applyBorder="1" applyFill="1" applyFont="1">
      <alignment readingOrder="0" shrinkToFit="0" vertical="bottom" wrapText="0"/>
    </xf>
    <xf borderId="6" fillId="12" fontId="16" numFmtId="0" xfId="0" applyAlignment="1" applyBorder="1" applyFont="1">
      <alignment horizontal="right" readingOrder="0" shrinkToFit="0" vertical="bottom" wrapText="0"/>
    </xf>
    <xf borderId="5" fillId="13" fontId="16" numFmtId="0" xfId="0" applyAlignment="1" applyBorder="1" applyFill="1" applyFont="1">
      <alignment readingOrder="0" shrinkToFit="0" vertical="bottom" wrapText="0"/>
    </xf>
    <xf borderId="6" fillId="13" fontId="16" numFmtId="0" xfId="0" applyAlignment="1" applyBorder="1" applyFont="1">
      <alignment horizontal="right" readingOrder="0" shrinkToFit="0" vertical="bottom" wrapText="0"/>
    </xf>
    <xf borderId="8" fillId="4" fontId="1" numFmtId="0" xfId="0" applyAlignment="1" applyBorder="1" applyFont="1">
      <alignment readingOrder="0" shrinkToFit="0" vertical="bottom" wrapText="0"/>
    </xf>
    <xf borderId="18" fillId="0" fontId="17" numFmtId="0" xfId="0" applyAlignment="1" applyBorder="1" applyFont="1">
      <alignment readingOrder="0"/>
    </xf>
    <xf borderId="0" fillId="0" fontId="3" numFmtId="0" xfId="0" applyAlignment="1" applyFont="1">
      <alignment horizontal="center" readingOrder="0"/>
    </xf>
    <xf borderId="0" fillId="0" fontId="17" numFmtId="0" xfId="0" applyAlignment="1" applyFont="1">
      <alignment readingOrder="0"/>
    </xf>
    <xf borderId="4" fillId="0" fontId="3" numFmtId="0" xfId="0" applyAlignment="1" applyBorder="1" applyFont="1">
      <alignment horizontal="center" readingOrder="0"/>
    </xf>
    <xf borderId="18" fillId="14" fontId="18" numFmtId="0" xfId="0" applyAlignment="1" applyBorder="1" applyFill="1" applyFont="1">
      <alignment readingOrder="0" vertical="center"/>
    </xf>
    <xf borderId="19" fillId="14" fontId="18" numFmtId="0" xfId="0" applyBorder="1" applyFont="1"/>
    <xf borderId="18" fillId="8" fontId="18" numFmtId="0" xfId="0" applyAlignment="1" applyBorder="1" applyFont="1">
      <alignment readingOrder="0"/>
    </xf>
    <xf borderId="19" fillId="8" fontId="18" numFmtId="0" xfId="0" applyBorder="1" applyFont="1"/>
    <xf borderId="5" fillId="15" fontId="8" numFmtId="0" xfId="0" applyAlignment="1" applyBorder="1" applyFill="1" applyFont="1">
      <alignment readingOrder="0"/>
    </xf>
    <xf borderId="3" fillId="15" fontId="15" numFmtId="0" xfId="0" applyBorder="1" applyFont="1"/>
    <xf borderId="3" fillId="15" fontId="8" numFmtId="0" xfId="0" applyBorder="1" applyFont="1"/>
    <xf borderId="4" fillId="15" fontId="8" numFmtId="0" xfId="0" applyBorder="1" applyFont="1"/>
    <xf borderId="5" fillId="0" fontId="3" numFmtId="0" xfId="0" applyBorder="1" applyFont="1"/>
    <xf borderId="3" fillId="0" fontId="3" numFmtId="0" xfId="0" applyBorder="1" applyFont="1"/>
    <xf borderId="18" fillId="0" fontId="3" numFmtId="0" xfId="0" applyBorder="1" applyFont="1"/>
    <xf borderId="0" fillId="0" fontId="1" numFmtId="0" xfId="0" applyAlignment="1" applyFont="1">
      <alignment horizontal="left" shrinkToFit="0" vertical="bottom" wrapText="0"/>
    </xf>
    <xf borderId="0" fillId="0" fontId="14" numFmtId="0" xfId="0" applyAlignment="1" applyFont="1">
      <alignment horizontal="left" shrinkToFit="0" vertical="bottom" wrapText="0"/>
    </xf>
    <xf borderId="0" fillId="0" fontId="19" numFmtId="0" xfId="0" applyAlignment="1" applyFont="1">
      <alignment horizontal="left" readingOrder="0" shrinkToFit="0" vertical="bottom" wrapText="0"/>
    </xf>
    <xf borderId="19" fillId="14" fontId="18" numFmtId="0" xfId="0" applyAlignment="1" applyBorder="1" applyFont="1">
      <alignment readingOrder="0"/>
    </xf>
    <xf borderId="20" fillId="8" fontId="18" numFmtId="0" xfId="0" applyAlignment="1" applyBorder="1" applyFont="1">
      <alignment readingOrder="0"/>
    </xf>
    <xf borderId="21" fillId="8" fontId="18" numFmtId="0" xfId="0" applyAlignment="1" applyBorder="1" applyFont="1">
      <alignment readingOrder="0"/>
    </xf>
    <xf borderId="20" fillId="12" fontId="16" numFmtId="0" xfId="0" applyAlignment="1" applyBorder="1" applyFont="1">
      <alignment readingOrder="0" shrinkToFit="0" vertical="bottom" wrapText="0"/>
    </xf>
    <xf borderId="21" fillId="12" fontId="16" numFmtId="0" xfId="0" applyAlignment="1" applyBorder="1" applyFont="1">
      <alignment horizontal="right" readingOrder="0" shrinkToFit="0" vertical="bottom" wrapText="0"/>
    </xf>
    <xf borderId="1" fillId="0" fontId="3" numFmtId="0" xfId="0" applyAlignment="1" applyBorder="1" applyFont="1">
      <alignment readingOrder="0"/>
    </xf>
    <xf borderId="1" fillId="16" fontId="8" numFmtId="0" xfId="0" applyAlignment="1" applyBorder="1" applyFill="1" applyFont="1">
      <alignment readingOrder="0"/>
    </xf>
    <xf borderId="2" fillId="16" fontId="10" numFmtId="0" xfId="0" applyBorder="1" applyFont="1"/>
    <xf borderId="6" fillId="16" fontId="10" numFmtId="0" xfId="0" applyBorder="1" applyFont="1"/>
    <xf borderId="4" fillId="0" fontId="3" numFmtId="0" xfId="0" applyBorder="1" applyFont="1"/>
    <xf borderId="3" fillId="0" fontId="3" numFmtId="0" xfId="0" applyAlignment="1" applyBorder="1" applyFont="1">
      <alignment readingOrder="0"/>
    </xf>
    <xf borderId="3" fillId="0" fontId="3" numFmtId="0" xfId="0" applyAlignment="1" applyBorder="1" applyFont="1">
      <alignment horizontal="center" readingOrder="0"/>
    </xf>
    <xf borderId="5" fillId="8" fontId="4" numFmtId="0" xfId="0" applyAlignment="1" applyBorder="1" applyFont="1">
      <alignment readingOrder="0" shrinkToFit="0" vertical="bottom" wrapText="0"/>
    </xf>
    <xf borderId="6" fillId="8" fontId="1" numFmtId="0" xfId="0" applyAlignment="1" applyBorder="1" applyFont="1">
      <alignment horizontal="center" readingOrder="0" shrinkToFit="0" vertical="bottom" wrapText="0"/>
    </xf>
    <xf borderId="3" fillId="0" fontId="3" numFmtId="9" xfId="0" applyAlignment="1" applyBorder="1" applyFont="1" applyNumberFormat="1">
      <alignment horizontal="center" readingOrder="0"/>
    </xf>
    <xf borderId="0" fillId="0" fontId="20" numFmtId="0" xfId="0" applyAlignment="1" applyFont="1">
      <alignment horizontal="right" readingOrder="0" vertical="bottom"/>
    </xf>
    <xf borderId="5" fillId="11" fontId="4" numFmtId="0" xfId="0" applyAlignment="1" applyBorder="1" applyFont="1">
      <alignment readingOrder="0" shrinkToFit="0" vertical="center" wrapText="0"/>
    </xf>
    <xf borderId="6" fillId="11" fontId="12" numFmtId="0" xfId="0" applyAlignment="1" applyBorder="1" applyFont="1">
      <alignment vertical="center"/>
    </xf>
    <xf borderId="18" fillId="0" fontId="1" numFmtId="0" xfId="0" applyAlignment="1" applyBorder="1" applyFont="1">
      <alignment horizontal="left" readingOrder="0" shrinkToFit="0" wrapText="0"/>
    </xf>
    <xf borderId="19" fillId="0" fontId="1" numFmtId="0" xfId="0" applyAlignment="1" applyBorder="1" applyFont="1">
      <alignment horizontal="left" readingOrder="0" shrinkToFit="0" wrapText="0"/>
    </xf>
    <xf borderId="0" fillId="0" fontId="3" numFmtId="9" xfId="0" applyAlignment="1" applyFont="1" applyNumberFormat="1">
      <alignment horizontal="center" readingOrder="0"/>
    </xf>
    <xf borderId="0" fillId="0" fontId="20" numFmtId="0" xfId="0" applyAlignment="1" applyFont="1">
      <alignment readingOrder="0" vertical="bottom"/>
    </xf>
    <xf borderId="18" fillId="0" fontId="11" numFmtId="0" xfId="0" applyAlignment="1" applyBorder="1" applyFont="1">
      <alignment readingOrder="0"/>
    </xf>
    <xf borderId="19" fillId="0" fontId="10" numFmtId="0" xfId="0" applyBorder="1" applyFont="1"/>
    <xf borderId="19" fillId="0" fontId="1" numFmtId="0" xfId="0" applyAlignment="1" applyBorder="1" applyFont="1">
      <alignment horizontal="center" readingOrder="0" shrinkToFit="0" vertical="bottom" wrapText="0"/>
    </xf>
    <xf borderId="20" fillId="0" fontId="10" numFmtId="0" xfId="0" applyBorder="1" applyFont="1"/>
    <xf borderId="23" fillId="0" fontId="10" numFmtId="0" xfId="0" applyBorder="1" applyFont="1"/>
    <xf borderId="23" fillId="0" fontId="3" numFmtId="0" xfId="0" applyAlignment="1" applyBorder="1" applyFont="1">
      <alignment horizontal="center"/>
    </xf>
    <xf borderId="21" fillId="0" fontId="10" numFmtId="0" xfId="0" applyBorder="1" applyFont="1"/>
    <xf borderId="0" fillId="0" fontId="20" numFmtId="0" xfId="0" applyAlignment="1" applyFont="1">
      <alignment readingOrder="0" shrinkToFit="0" vertical="bottom" wrapText="0"/>
    </xf>
    <xf borderId="19" fillId="0" fontId="3" numFmtId="0" xfId="0" applyAlignment="1" applyBorder="1" applyFont="1">
      <alignment horizontal="center" readingOrder="0"/>
    </xf>
    <xf borderId="5" fillId="0" fontId="1" numFmtId="0" xfId="0" applyAlignment="1" applyBorder="1" applyFont="1">
      <alignment horizontal="left" readingOrder="0" shrinkToFit="0" wrapText="0"/>
    </xf>
    <xf borderId="6" fillId="0" fontId="1" numFmtId="0" xfId="0" applyAlignment="1" applyBorder="1" applyFont="1">
      <alignment horizontal="left" readingOrder="0" shrinkToFit="0" wrapText="0"/>
    </xf>
    <xf borderId="9" fillId="0" fontId="4" numFmtId="0" xfId="0" applyAlignment="1" applyBorder="1" applyFont="1">
      <alignment horizontal="right" shrinkToFit="0" vertical="bottom" wrapText="0"/>
    </xf>
    <xf borderId="0" fillId="0" fontId="1" numFmtId="0" xfId="0" applyAlignment="1" applyFont="1">
      <alignment horizontal="center" readingOrder="0" shrinkToFit="0" vertical="bottom" wrapText="0"/>
    </xf>
    <xf borderId="0" fillId="0" fontId="8" numFmtId="0" xfId="0" applyAlignment="1" applyFont="1">
      <alignment horizontal="center" readingOrder="0"/>
    </xf>
    <xf borderId="24" fillId="0" fontId="3" numFmtId="0" xfId="0" applyAlignment="1" applyBorder="1" applyFont="1">
      <alignment horizontal="left" readingOrder="0"/>
    </xf>
    <xf borderId="25" fillId="0" fontId="3" numFmtId="0" xfId="0" applyAlignment="1" applyBorder="1" applyFont="1">
      <alignment horizontal="center" readingOrder="0"/>
    </xf>
    <xf borderId="20" fillId="0" fontId="1" numFmtId="0" xfId="0" applyAlignment="1" applyBorder="1" applyFont="1">
      <alignment horizontal="left" readingOrder="0" shrinkToFit="0" wrapText="0"/>
    </xf>
    <xf borderId="21" fillId="0" fontId="1" numFmtId="0" xfId="0" applyAlignment="1" applyBorder="1" applyFont="1">
      <alignment horizontal="left" readingOrder="0" shrinkToFit="0" wrapText="0"/>
    </xf>
    <xf borderId="26" fillId="0" fontId="1" numFmtId="0" xfId="0" applyAlignment="1" applyBorder="1" applyFont="1">
      <alignment readingOrder="0" shrinkToFit="0" vertical="bottom" wrapText="0"/>
    </xf>
    <xf borderId="27" fillId="0" fontId="1" numFmtId="0" xfId="0" applyAlignment="1" applyBorder="1" applyFont="1">
      <alignment readingOrder="0" shrinkToFit="0" vertical="bottom" wrapText="0"/>
    </xf>
    <xf borderId="28" fillId="0" fontId="4" numFmtId="0" xfId="0" applyAlignment="1" applyBorder="1" applyFont="1">
      <alignment shrinkToFit="0" vertical="bottom" wrapText="0"/>
    </xf>
    <xf borderId="29" fillId="0" fontId="3" numFmtId="0" xfId="0" applyAlignment="1" applyBorder="1" applyFont="1">
      <alignment horizontal="left" readingOrder="0"/>
    </xf>
    <xf borderId="29" fillId="0" fontId="3" numFmtId="0" xfId="0" applyAlignment="1" applyBorder="1" applyFont="1">
      <alignment readingOrder="0"/>
    </xf>
    <xf borderId="29" fillId="0" fontId="1" numFmtId="0" xfId="0" applyAlignment="1" applyBorder="1" applyFont="1">
      <alignment readingOrder="0" shrinkToFit="0" vertical="bottom" wrapText="0"/>
    </xf>
    <xf borderId="29" fillId="0" fontId="1" numFmtId="0" xfId="0" applyAlignment="1" applyBorder="1" applyFont="1">
      <alignment horizontal="center" readingOrder="0" shrinkToFit="0" vertical="bottom" wrapText="0"/>
    </xf>
    <xf borderId="29" fillId="0" fontId="1" numFmtId="0" xfId="0" applyAlignment="1" applyBorder="1" applyFont="1">
      <alignment horizontal="center" shrinkToFit="0" vertical="bottom" wrapText="0"/>
    </xf>
    <xf borderId="29" fillId="0" fontId="3" numFmtId="0" xfId="0" applyAlignment="1" applyBorder="1" applyFont="1">
      <alignment horizontal="center"/>
    </xf>
    <xf borderId="29" fillId="0" fontId="3" numFmtId="0" xfId="0" applyAlignment="1" applyBorder="1" applyFont="1">
      <alignment horizontal="center" readingOrder="0" vertical="center"/>
    </xf>
    <xf borderId="29" fillId="0" fontId="3" numFmtId="0" xfId="0" applyAlignment="1" applyBorder="1" applyFont="1">
      <alignment horizontal="center" readingOrder="0"/>
    </xf>
    <xf borderId="29" fillId="0" fontId="3" numFmtId="9" xfId="0" applyAlignment="1" applyBorder="1" applyFont="1" applyNumberFormat="1">
      <alignment horizontal="center"/>
    </xf>
    <xf borderId="29" fillId="0" fontId="3" numFmtId="0" xfId="0" applyAlignment="1" applyBorder="1" applyFont="1">
      <alignment horizontal="center" vertical="center"/>
    </xf>
    <xf borderId="29" fillId="0" fontId="3" numFmtId="0" xfId="0" applyBorder="1" applyFont="1"/>
    <xf borderId="30" fillId="0" fontId="3" numFmtId="0" xfId="0" applyAlignment="1" applyBorder="1" applyFont="1">
      <alignment horizontal="center" readingOrder="0"/>
    </xf>
    <xf borderId="31" fillId="0" fontId="3" numFmtId="0" xfId="0" applyAlignment="1" applyBorder="1" applyFont="1">
      <alignment horizontal="center" readingOrder="0"/>
    </xf>
    <xf borderId="18" fillId="4" fontId="4" numFmtId="0" xfId="0" applyAlignment="1" applyBorder="1" applyFont="1">
      <alignment readingOrder="0" shrinkToFit="0" vertical="bottom" wrapText="0"/>
    </xf>
    <xf borderId="19" fillId="4" fontId="4" numFmtId="4" xfId="0" applyAlignment="1" applyBorder="1" applyFont="1" applyNumberFormat="1">
      <alignment horizontal="center" shrinkToFit="0" vertical="bottom" wrapText="0"/>
    </xf>
    <xf borderId="0" fillId="0" fontId="1" numFmtId="0" xfId="0" applyAlignment="1" applyFont="1">
      <alignment horizontal="left" readingOrder="0" shrinkToFit="0" wrapText="0"/>
    </xf>
    <xf borderId="19" fillId="0" fontId="1" numFmtId="0" xfId="0" applyAlignment="1" applyBorder="1" applyFont="1">
      <alignment horizontal="left" shrinkToFit="0" vertical="bottom" wrapText="0"/>
    </xf>
    <xf borderId="8" fillId="0" fontId="3" numFmtId="0" xfId="0" applyAlignment="1" applyBorder="1" applyFont="1">
      <alignment horizontal="left" readingOrder="0"/>
    </xf>
    <xf borderId="8" fillId="0" fontId="3" numFmtId="0" xfId="0" applyAlignment="1" applyBorder="1" applyFont="1">
      <alignment readingOrder="0"/>
    </xf>
    <xf borderId="8" fillId="0" fontId="1" numFmtId="0" xfId="0" applyAlignment="1" applyBorder="1" applyFont="1">
      <alignment horizontal="center" readingOrder="0" shrinkToFit="0" vertical="bottom" wrapText="0"/>
    </xf>
    <xf borderId="8" fillId="0" fontId="1" numFmtId="0" xfId="0" applyAlignment="1" applyBorder="1" applyFont="1">
      <alignment horizontal="center" shrinkToFit="0" vertical="bottom" wrapText="0"/>
    </xf>
    <xf borderId="8" fillId="0" fontId="3" numFmtId="0" xfId="0" applyAlignment="1" applyBorder="1" applyFont="1">
      <alignment horizontal="center"/>
    </xf>
    <xf borderId="8" fillId="0" fontId="3" numFmtId="0" xfId="0" applyAlignment="1" applyBorder="1" applyFont="1">
      <alignment horizontal="center" vertical="center"/>
    </xf>
    <xf borderId="8" fillId="0" fontId="3" numFmtId="0" xfId="0" applyAlignment="1" applyBorder="1" applyFont="1">
      <alignment horizontal="center" readingOrder="0"/>
    </xf>
    <xf borderId="8" fillId="0" fontId="3" numFmtId="9" xfId="0" applyAlignment="1" applyBorder="1" applyFont="1" applyNumberFormat="1">
      <alignment horizontal="center"/>
    </xf>
    <xf borderId="8" fillId="0" fontId="3" numFmtId="0" xfId="0" applyAlignment="1" applyBorder="1" applyFont="1">
      <alignment horizontal="center" readingOrder="0" vertical="center"/>
    </xf>
    <xf borderId="8" fillId="0" fontId="3" numFmtId="0" xfId="0" applyBorder="1" applyFont="1"/>
    <xf borderId="32" fillId="0" fontId="3" numFmtId="0" xfId="0" applyAlignment="1" applyBorder="1" applyFont="1">
      <alignment horizontal="center" readingOrder="0"/>
    </xf>
    <xf borderId="33" fillId="0" fontId="3" numFmtId="0" xfId="0" applyAlignment="1" applyBorder="1" applyFont="1">
      <alignment horizontal="center" readingOrder="0"/>
    </xf>
    <xf borderId="21" fillId="0" fontId="1" numFmtId="0" xfId="0" applyAlignment="1" applyBorder="1" applyFont="1">
      <alignment horizontal="left" readingOrder="0" shrinkToFit="0" vertical="bottom" wrapText="0"/>
    </xf>
    <xf borderId="19" fillId="0" fontId="1" numFmtId="9" xfId="0" applyAlignment="1" applyBorder="1" applyFont="1" applyNumberFormat="1">
      <alignment horizontal="center" readingOrder="0" shrinkToFit="0" vertical="bottom" wrapText="0"/>
    </xf>
    <xf borderId="19" fillId="0" fontId="1" numFmtId="0" xfId="0" applyAlignment="1" applyBorder="1" applyFont="1">
      <alignment horizontal="left" readingOrder="0" shrinkToFit="0" vertical="bottom" wrapText="0"/>
    </xf>
    <xf borderId="1" fillId="17" fontId="4" numFmtId="0" xfId="0" applyAlignment="1" applyBorder="1" applyFill="1" applyFont="1">
      <alignment readingOrder="0" shrinkToFit="0" vertical="bottom" wrapText="0"/>
    </xf>
    <xf borderId="2" fillId="17" fontId="10" numFmtId="0" xfId="0" applyBorder="1" applyFont="1"/>
    <xf borderId="2" fillId="17" fontId="3" numFmtId="0" xfId="0" applyBorder="1" applyFont="1"/>
    <xf borderId="4" fillId="17" fontId="8" numFmtId="0" xfId="0" applyAlignment="1" applyBorder="1" applyFont="1">
      <alignment horizontal="right"/>
    </xf>
    <xf borderId="8" fillId="0" fontId="1" numFmtId="0" xfId="0" applyAlignment="1" applyBorder="1" applyFont="1">
      <alignment horizontal="left" readingOrder="0" shrinkToFit="0" vertical="bottom" wrapText="0"/>
    </xf>
    <xf borderId="18" fillId="0" fontId="1" numFmtId="0" xfId="0" applyAlignment="1" applyBorder="1" applyFont="1">
      <alignment readingOrder="0" shrinkToFit="0" vertical="bottom" wrapText="0"/>
    </xf>
    <xf borderId="18" fillId="18" fontId="1" numFmtId="0" xfId="0" applyAlignment="1" applyBorder="1" applyFill="1" applyFont="1">
      <alignment horizontal="left" readingOrder="0" shrinkToFit="0" wrapText="0"/>
    </xf>
    <xf borderId="19" fillId="18" fontId="1" numFmtId="0" xfId="0" applyAlignment="1" applyBorder="1" applyFont="1">
      <alignment horizontal="left" readingOrder="0" shrinkToFit="0" vertical="bottom" wrapText="0"/>
    </xf>
    <xf borderId="5" fillId="0" fontId="1" numFmtId="0" xfId="0" applyAlignment="1" applyBorder="1" applyFont="1">
      <alignment readingOrder="0" shrinkToFit="0" vertical="bottom" wrapText="0"/>
    </xf>
    <xf borderId="6" fillId="0" fontId="3" numFmtId="0" xfId="0" applyAlignment="1" applyBorder="1" applyFont="1">
      <alignment horizontal="right" readingOrder="0"/>
    </xf>
    <xf borderId="21" fillId="0" fontId="3" numFmtId="0" xfId="0" applyBorder="1" applyFont="1"/>
    <xf borderId="6" fillId="0" fontId="1" numFmtId="1" xfId="0" applyAlignment="1" applyBorder="1" applyFont="1" applyNumberFormat="1">
      <alignment horizontal="center" readingOrder="0" shrinkToFit="0" vertical="bottom" wrapText="0"/>
    </xf>
    <xf borderId="1" fillId="15" fontId="8" numFmtId="0" xfId="0" applyAlignment="1" applyBorder="1" applyFont="1">
      <alignment readingOrder="0"/>
    </xf>
    <xf borderId="2" fillId="15" fontId="15" numFmtId="0" xfId="0" applyBorder="1" applyFont="1"/>
    <xf borderId="3" fillId="15" fontId="8" numFmtId="0" xfId="0" applyAlignment="1" applyBorder="1" applyFont="1">
      <alignment horizontal="center" readingOrder="0"/>
    </xf>
    <xf borderId="3" fillId="0" fontId="13" numFmtId="0" xfId="0" applyBorder="1" applyFont="1"/>
    <xf borderId="6" fillId="15" fontId="8" numFmtId="0" xfId="0" applyAlignment="1" applyBorder="1" applyFont="1">
      <alignment horizontal="center" readingOrder="0"/>
    </xf>
    <xf borderId="19" fillId="0" fontId="3" numFmtId="0" xfId="0" applyAlignment="1" applyBorder="1" applyFont="1">
      <alignment horizontal="center"/>
    </xf>
    <xf borderId="6" fillId="0" fontId="3" numFmtId="0" xfId="0" applyAlignment="1" applyBorder="1" applyFont="1">
      <alignment horizontal="center" readingOrder="0"/>
    </xf>
    <xf borderId="20" fillId="0" fontId="1" numFmtId="0" xfId="0" applyAlignment="1" applyBorder="1" applyFont="1">
      <alignment readingOrder="0" shrinkToFit="0" vertical="bottom" wrapText="0"/>
    </xf>
    <xf borderId="21" fillId="0" fontId="1" numFmtId="0" xfId="0" applyAlignment="1" applyBorder="1" applyFont="1">
      <alignment horizontal="center" readingOrder="0" shrinkToFit="0" vertical="bottom" wrapText="0"/>
    </xf>
    <xf borderId="6" fillId="0" fontId="1" numFmtId="0" xfId="0" applyAlignment="1" applyBorder="1" applyFont="1">
      <alignment horizontal="center" readingOrder="0" shrinkToFit="0" vertical="bottom" wrapText="0"/>
    </xf>
    <xf borderId="19" fillId="0" fontId="1" numFmtId="0" xfId="0" applyAlignment="1" applyBorder="1" applyFont="1">
      <alignment horizontal="center" readingOrder="0" shrinkToFit="0" vertical="center" wrapText="1"/>
    </xf>
    <xf borderId="18" fillId="0" fontId="1" numFmtId="0" xfId="0" applyAlignment="1" applyBorder="1" applyFont="1">
      <alignment readingOrder="0" shrinkToFit="0" vertical="center" wrapText="0"/>
    </xf>
    <xf borderId="23" fillId="0" fontId="3" numFmtId="0" xfId="0" applyBorder="1" applyFont="1"/>
    <xf borderId="23" fillId="0" fontId="13" numFmtId="0" xfId="0" applyBorder="1" applyFont="1"/>
    <xf borderId="21" fillId="0" fontId="3" numFmtId="0" xfId="0" applyAlignment="1" applyBorder="1" applyFont="1">
      <alignment horizontal="center"/>
    </xf>
    <xf borderId="20" fillId="0" fontId="4" numFmtId="0" xfId="0" applyAlignment="1" applyBorder="1" applyFont="1">
      <alignment readingOrder="0" shrinkToFit="0" vertical="bottom" wrapText="0"/>
    </xf>
    <xf borderId="21" fillId="0" fontId="4" numFmtId="0" xfId="0" applyAlignment="1" applyBorder="1" applyFont="1">
      <alignment horizontal="center" readingOrder="0" shrinkToFit="0" vertical="bottom" wrapText="0"/>
    </xf>
    <xf borderId="20" fillId="18" fontId="4" numFmtId="0" xfId="0" applyAlignment="1" applyBorder="1" applyFont="1">
      <alignment readingOrder="0" shrinkToFit="0" vertical="center" wrapText="0"/>
    </xf>
    <xf borderId="21" fillId="18" fontId="4" numFmtId="1" xfId="0" applyAlignment="1" applyBorder="1" applyFont="1" applyNumberFormat="1">
      <alignment horizontal="center" readingOrder="0" shrinkToFit="0" vertical="center" wrapText="0"/>
    </xf>
    <xf borderId="23" fillId="15" fontId="8" numFmtId="0" xfId="0" applyBorder="1" applyFont="1"/>
    <xf borderId="21" fillId="15" fontId="8" numFmtId="0" xfId="0" applyAlignment="1" applyBorder="1" applyFont="1">
      <alignment horizontal="right" readingOrder="0"/>
    </xf>
    <xf borderId="6" fillId="0" fontId="1" numFmtId="0" xfId="0" applyAlignment="1" applyBorder="1" applyFont="1">
      <alignment horizontal="center" readingOrder="0" shrinkToFit="0" vertical="center" wrapText="1"/>
    </xf>
    <xf borderId="1" fillId="0" fontId="1" numFmtId="0" xfId="0" applyAlignment="1" applyBorder="1" applyFont="1">
      <alignment readingOrder="0" shrinkToFit="0" vertical="bottom" wrapText="0"/>
    </xf>
    <xf borderId="2" fillId="0" fontId="1" numFmtId="0" xfId="0" applyAlignment="1" applyBorder="1" applyFont="1">
      <alignment shrinkToFit="0" vertical="bottom" wrapText="0"/>
    </xf>
    <xf borderId="2" fillId="0" fontId="3" numFmtId="0" xfId="0" applyBorder="1" applyFont="1"/>
    <xf borderId="4" fillId="0" fontId="1" numFmtId="0" xfId="0" applyAlignment="1" applyBorder="1" applyFont="1">
      <alignment shrinkToFit="0" vertical="bottom" wrapText="0"/>
    </xf>
    <xf borderId="19" fillId="0" fontId="1" numFmtId="49" xfId="0" applyAlignment="1" applyBorder="1" applyFont="1" applyNumberFormat="1">
      <alignment horizontal="center" readingOrder="0" shrinkToFit="0" vertical="bottom" wrapText="0"/>
    </xf>
    <xf borderId="2" fillId="0" fontId="3" numFmtId="0" xfId="0" applyAlignment="1" applyBorder="1" applyFont="1">
      <alignment readingOrder="0"/>
    </xf>
    <xf borderId="2" fillId="0" fontId="13" numFmtId="0" xfId="0" applyBorder="1" applyFont="1"/>
    <xf borderId="20" fillId="4" fontId="4" numFmtId="0" xfId="0" applyAlignment="1" applyBorder="1" applyFont="1">
      <alignment readingOrder="0" shrinkToFit="0" vertical="bottom" wrapText="0"/>
    </xf>
    <xf borderId="21" fillId="4"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2" fillId="0" fontId="3" numFmtId="0" xfId="0" applyAlignment="1" applyBorder="1" applyFont="1">
      <alignment horizontal="right"/>
    </xf>
    <xf borderId="4" fillId="0" fontId="1" numFmtId="0" xfId="0" applyAlignment="1" applyBorder="1" applyFont="1">
      <alignment horizontal="right" shrinkToFit="0" vertical="bottom" wrapText="0"/>
    </xf>
    <xf borderId="1" fillId="0" fontId="8" numFmtId="0" xfId="0" applyAlignment="1" applyBorder="1" applyFont="1">
      <alignment readingOrder="0"/>
    </xf>
    <xf borderId="2" fillId="0" fontId="8" numFmtId="0" xfId="0" applyBorder="1" applyFont="1"/>
    <xf borderId="4" fillId="0" fontId="8" numFmtId="0" xfId="0" applyBorder="1" applyFont="1"/>
    <xf borderId="34" fillId="0" fontId="3" numFmtId="0" xfId="0" applyAlignment="1" applyBorder="1" applyFont="1">
      <alignment horizontal="left" readingOrder="0"/>
    </xf>
    <xf borderId="34" fillId="0" fontId="3" numFmtId="0" xfId="0" applyAlignment="1" applyBorder="1" applyFont="1">
      <alignment readingOrder="0"/>
    </xf>
    <xf borderId="34" fillId="0" fontId="1" numFmtId="0" xfId="0" applyAlignment="1" applyBorder="1" applyFont="1">
      <alignment readingOrder="0" shrinkToFit="0" vertical="bottom" wrapText="0"/>
    </xf>
    <xf borderId="34" fillId="0" fontId="1" numFmtId="0" xfId="0" applyAlignment="1" applyBorder="1" applyFont="1">
      <alignment horizontal="center" readingOrder="0" shrinkToFit="0" vertical="bottom" wrapText="0"/>
    </xf>
    <xf borderId="34" fillId="0" fontId="1" numFmtId="0" xfId="0" applyAlignment="1" applyBorder="1" applyFont="1">
      <alignment horizontal="center" shrinkToFit="0" vertical="bottom" wrapText="0"/>
    </xf>
    <xf borderId="34" fillId="0" fontId="3" numFmtId="0" xfId="0" applyAlignment="1" applyBorder="1" applyFont="1">
      <alignment horizontal="center"/>
    </xf>
    <xf borderId="34" fillId="0" fontId="3" numFmtId="0" xfId="0" applyAlignment="1" applyBorder="1" applyFont="1">
      <alignment horizontal="center" vertical="center"/>
    </xf>
    <xf borderId="34" fillId="0" fontId="3" numFmtId="0" xfId="0" applyAlignment="1" applyBorder="1" applyFont="1">
      <alignment horizontal="center" readingOrder="0"/>
    </xf>
    <xf borderId="34" fillId="0" fontId="3" numFmtId="9" xfId="0" applyAlignment="1" applyBorder="1" applyFont="1" applyNumberFormat="1">
      <alignment horizontal="center"/>
    </xf>
    <xf borderId="34" fillId="0" fontId="3" numFmtId="0" xfId="0" applyAlignment="1" applyBorder="1" applyFont="1">
      <alignment horizontal="center" readingOrder="0" vertical="center"/>
    </xf>
    <xf borderId="34" fillId="0" fontId="3" numFmtId="0" xfId="0" applyBorder="1" applyFont="1"/>
    <xf borderId="35" fillId="0" fontId="3" numFmtId="0" xfId="0" applyAlignment="1" applyBorder="1" applyFont="1">
      <alignment horizontal="center" readingOrder="0"/>
    </xf>
    <xf borderId="36" fillId="0" fontId="3" numFmtId="0" xfId="0" applyAlignment="1" applyBorder="1" applyFont="1">
      <alignment horizontal="center" readingOrder="0"/>
    </xf>
    <xf borderId="0" fillId="2" fontId="3" numFmtId="0" xfId="0" applyAlignment="1" applyFont="1">
      <alignment readingOrder="0"/>
    </xf>
    <xf borderId="1" fillId="19" fontId="21" numFmtId="0" xfId="0" applyAlignment="1" applyBorder="1" applyFill="1" applyFont="1">
      <alignment readingOrder="0"/>
    </xf>
    <xf borderId="2" fillId="19" fontId="22" numFmtId="0" xfId="0" applyBorder="1" applyFont="1"/>
    <xf borderId="2" fillId="19" fontId="10" numFmtId="0" xfId="0" applyBorder="1" applyFont="1"/>
    <xf borderId="4" fillId="19" fontId="22" numFmtId="0" xfId="0" applyBorder="1" applyFont="1"/>
    <xf borderId="5" fillId="2" fontId="3" numFmtId="0" xfId="0" applyAlignment="1" applyBorder="1" applyFont="1">
      <alignment readingOrder="0"/>
    </xf>
    <xf borderId="3" fillId="2" fontId="3" numFmtId="0" xfId="0" applyBorder="1" applyFont="1"/>
    <xf borderId="6" fillId="2" fontId="3" numFmtId="0" xfId="0" applyBorder="1" applyFont="1"/>
    <xf borderId="20" fillId="0" fontId="3" numFmtId="0" xfId="0" applyBorder="1" applyFont="1"/>
    <xf borderId="0" fillId="0" fontId="14" numFmtId="0" xfId="0" applyAlignment="1" applyFont="1">
      <alignment horizontal="center" shrinkToFit="0" vertical="bottom" wrapText="0"/>
    </xf>
    <xf borderId="0" fillId="0" fontId="18" numFmtId="0" xfId="0" applyAlignment="1" applyFont="1">
      <alignment readingOrder="0"/>
    </xf>
    <xf borderId="37" fillId="0" fontId="1" numFmtId="0" xfId="0" applyAlignment="1" applyBorder="1" applyFont="1">
      <alignment horizontal="left" readingOrder="0" shrinkToFit="0" wrapText="0"/>
    </xf>
    <xf borderId="38" fillId="0" fontId="3" numFmtId="0" xfId="0" applyAlignment="1" applyBorder="1" applyFont="1">
      <alignment horizontal="center"/>
    </xf>
    <xf borderId="19" fillId="0" fontId="3" numFmtId="9" xfId="0" applyAlignment="1" applyBorder="1" applyFont="1" applyNumberFormat="1">
      <alignment horizontal="center"/>
    </xf>
    <xf borderId="20" fillId="2" fontId="3" numFmtId="0" xfId="0" applyAlignment="1" applyBorder="1" applyFont="1">
      <alignment readingOrder="0"/>
    </xf>
    <xf borderId="23" fillId="2" fontId="3" numFmtId="0" xfId="0" applyBorder="1" applyFont="1"/>
    <xf borderId="21" fillId="2" fontId="3" numFmtId="0" xfId="0" applyBorder="1" applyFont="1"/>
    <xf borderId="5" fillId="2" fontId="1" numFmtId="0" xfId="0" applyAlignment="1" applyBorder="1" applyFont="1">
      <alignment horizontal="left" readingOrder="0" shrinkToFit="0" vertical="bottom" wrapText="0"/>
    </xf>
    <xf borderId="3" fillId="2" fontId="1" numFmtId="0" xfId="0" applyAlignment="1" applyBorder="1" applyFont="1">
      <alignment horizontal="center" readingOrder="0" shrinkToFit="0" vertical="bottom" wrapText="0"/>
    </xf>
    <xf borderId="3" fillId="2" fontId="3" numFmtId="0" xfId="0" applyAlignment="1" applyBorder="1" applyFont="1">
      <alignment horizontal="center" readingOrder="0"/>
    </xf>
    <xf borderId="5" fillId="0" fontId="3" numFmtId="0" xfId="0" applyAlignment="1" applyBorder="1" applyFont="1">
      <alignment horizontal="left" readingOrder="0"/>
    </xf>
    <xf borderId="5" fillId="0" fontId="8" numFmtId="0" xfId="0" applyAlignment="1" applyBorder="1" applyFont="1">
      <alignment readingOrder="0"/>
    </xf>
    <xf borderId="3" fillId="0" fontId="12" numFmtId="0" xfId="0" applyBorder="1" applyFont="1"/>
    <xf borderId="6" fillId="0" fontId="12" numFmtId="0" xfId="0" applyBorder="1" applyFont="1"/>
    <xf borderId="20" fillId="4" fontId="8" numFmtId="0" xfId="0" applyAlignment="1" applyBorder="1" applyFont="1">
      <alignment readingOrder="0"/>
    </xf>
    <xf borderId="21" fillId="4" fontId="8" numFmtId="0" xfId="0" applyAlignment="1" applyBorder="1" applyFont="1">
      <alignment horizontal="center"/>
    </xf>
    <xf borderId="18" fillId="2" fontId="3" numFmtId="0" xfId="0" applyAlignment="1" applyBorder="1" applyFont="1">
      <alignment readingOrder="0"/>
    </xf>
    <xf borderId="0" fillId="2" fontId="1" numFmtId="0" xfId="0" applyAlignment="1" applyFont="1">
      <alignment horizontal="center" readingOrder="0" shrinkToFit="0" vertical="bottom" wrapText="0"/>
    </xf>
    <xf borderId="18" fillId="0" fontId="3" numFmtId="0" xfId="0" applyAlignment="1" applyBorder="1" applyFont="1">
      <alignment horizontal="left" readingOrder="0"/>
    </xf>
    <xf borderId="18" fillId="0" fontId="10" numFmtId="0" xfId="0" applyBorder="1" applyFont="1"/>
    <xf borderId="18" fillId="2" fontId="1" numFmtId="0" xfId="0" applyAlignment="1" applyBorder="1" applyFont="1">
      <alignment horizontal="left" readingOrder="0" vertical="bottom"/>
    </xf>
    <xf borderId="0" fillId="2" fontId="9" numFmtId="0" xfId="0" applyAlignment="1" applyFont="1">
      <alignment horizontal="right" readingOrder="0" shrinkToFit="0" vertical="bottom" wrapText="0"/>
    </xf>
    <xf borderId="20" fillId="2" fontId="1" numFmtId="0" xfId="0" applyAlignment="1" applyBorder="1" applyFont="1">
      <alignment horizontal="left" readingOrder="0" vertical="bottom"/>
    </xf>
    <xf borderId="23" fillId="2" fontId="9" numFmtId="0" xfId="0" applyAlignment="1" applyBorder="1" applyFont="1">
      <alignment horizontal="right" readingOrder="0" shrinkToFit="0" vertical="bottom" wrapText="0"/>
    </xf>
    <xf borderId="23" fillId="2" fontId="1" numFmtId="0" xfId="0" applyAlignment="1" applyBorder="1" applyFont="1">
      <alignment horizontal="center" readingOrder="0" shrinkToFit="0" vertical="bottom" wrapText="0"/>
    </xf>
    <xf borderId="20" fillId="0" fontId="3" numFmtId="0" xfId="0" applyAlignment="1" applyBorder="1" applyFont="1">
      <alignment horizontal="left" readingOrder="0"/>
    </xf>
    <xf borderId="23" fillId="0" fontId="3" numFmtId="0" xfId="0" applyAlignment="1" applyBorder="1" applyFont="1">
      <alignment horizontal="center" readingOrder="0"/>
    </xf>
    <xf borderId="21" fillId="0" fontId="3" numFmtId="0" xfId="0" applyAlignment="1" applyBorder="1" applyFont="1">
      <alignment horizontal="center" readingOrder="0"/>
    </xf>
    <xf borderId="0" fillId="0" fontId="8" numFmtId="0" xfId="0" applyFont="1"/>
    <xf borderId="0" fillId="0" fontId="23" numFmtId="0" xfId="0" applyFont="1"/>
    <xf borderId="18" fillId="0" fontId="4" numFmtId="0" xfId="0" applyAlignment="1" applyBorder="1" applyFont="1">
      <alignment horizontal="left" readingOrder="0" shrinkToFit="0" wrapText="0"/>
    </xf>
    <xf borderId="19" fillId="0" fontId="8" numFmtId="0" xfId="0" applyAlignment="1" applyBorder="1" applyFont="1">
      <alignment horizontal="center"/>
    </xf>
    <xf borderId="1" fillId="20" fontId="8" numFmtId="0" xfId="0" applyAlignment="1" applyBorder="1" applyFill="1" applyFont="1">
      <alignment readingOrder="0"/>
    </xf>
    <xf borderId="4" fillId="20" fontId="23" numFmtId="0" xfId="0" applyBorder="1" applyFont="1"/>
    <xf borderId="1" fillId="3" fontId="8" numFmtId="0" xfId="0" applyAlignment="1" applyBorder="1" applyFont="1">
      <alignment readingOrder="0"/>
    </xf>
    <xf borderId="4" fillId="3" fontId="23" numFmtId="0" xfId="0" applyBorder="1" applyFont="1"/>
    <xf borderId="20" fillId="4" fontId="3" numFmtId="0" xfId="0" applyAlignment="1" applyBorder="1" applyFont="1">
      <alignment readingOrder="0"/>
    </xf>
    <xf borderId="21" fillId="4" fontId="3" numFmtId="0" xfId="0" applyAlignment="1" applyBorder="1" applyFont="1">
      <alignment horizontal="center"/>
    </xf>
    <xf borderId="19" fillId="0" fontId="1" numFmtId="4" xfId="0" applyAlignment="1" applyBorder="1" applyFont="1" applyNumberFormat="1">
      <alignment horizontal="center" readingOrder="0" shrinkToFit="0" vertical="bottom" wrapText="0"/>
    </xf>
    <xf borderId="1" fillId="11" fontId="8" numFmtId="0" xfId="0" applyAlignment="1" applyBorder="1" applyFont="1">
      <alignment readingOrder="0"/>
    </xf>
    <xf borderId="2" fillId="11" fontId="10" numFmtId="0" xfId="0" applyBorder="1" applyFont="1"/>
    <xf borderId="4" fillId="11" fontId="10" numFmtId="0" xfId="0" applyBorder="1" applyFont="1"/>
    <xf borderId="39" fillId="0" fontId="10" numFmtId="0" xfId="0" applyBorder="1" applyFont="1"/>
    <xf borderId="40" fillId="0" fontId="3" numFmtId="0" xfId="0" applyAlignment="1" applyBorder="1" applyFont="1">
      <alignment horizontal="right" readingOrder="0"/>
    </xf>
    <xf borderId="40" fillId="9" fontId="3" numFmtId="0" xfId="0" applyAlignment="1" applyBorder="1" applyFont="1">
      <alignment horizontal="center" readingOrder="0"/>
    </xf>
    <xf borderId="40" fillId="0" fontId="13" numFmtId="0" xfId="0" applyBorder="1" applyFont="1"/>
    <xf borderId="41" fillId="0" fontId="3" numFmtId="0" xfId="0" applyAlignment="1" applyBorder="1" applyFont="1">
      <alignment horizontal="right" readingOrder="0" vertical="center"/>
    </xf>
    <xf borderId="41" fillId="0" fontId="3" numFmtId="0" xfId="0" applyAlignment="1" applyBorder="1" applyFont="1">
      <alignment horizontal="right" readingOrder="0" shrinkToFit="0" vertical="bottom" wrapText="1"/>
    </xf>
    <xf borderId="40" fillId="0" fontId="3" numFmtId="0" xfId="0" applyBorder="1" applyFont="1"/>
    <xf borderId="41" fillId="0" fontId="3" numFmtId="0" xfId="0" applyAlignment="1" applyBorder="1" applyFont="1">
      <alignment horizontal="right" readingOrder="0" shrinkToFit="0" vertical="center" wrapText="1"/>
    </xf>
    <xf borderId="41" fillId="0" fontId="13" numFmtId="0" xfId="0" applyBorder="1" applyFont="1"/>
    <xf borderId="42" fillId="0" fontId="13" numFmtId="0" xfId="0" applyBorder="1" applyFont="1"/>
    <xf borderId="21" fillId="0" fontId="1" numFmtId="3" xfId="0" applyAlignment="1" applyBorder="1" applyFont="1" applyNumberFormat="1">
      <alignment horizontal="center" readingOrder="0" shrinkToFit="0" vertical="bottom" wrapText="0"/>
    </xf>
    <xf borderId="43" fillId="0" fontId="1" numFmtId="0" xfId="0" applyAlignment="1" applyBorder="1" applyFont="1">
      <alignment readingOrder="0" shrinkToFit="0" vertical="bottom" wrapText="0"/>
    </xf>
    <xf borderId="44" fillId="0" fontId="3" numFmtId="0" xfId="0" applyAlignment="1" applyBorder="1" applyFont="1">
      <alignment horizontal="right" readingOrder="0" vertical="bottom"/>
    </xf>
    <xf borderId="44" fillId="9" fontId="3" numFmtId="0" xfId="0" applyAlignment="1" applyBorder="1" applyFont="1">
      <alignment horizontal="right" readingOrder="0" vertical="bottom"/>
    </xf>
    <xf borderId="44" fillId="9" fontId="3" numFmtId="0" xfId="0" applyAlignment="1" applyBorder="1" applyFont="1">
      <alignment horizontal="right" readingOrder="0" shrinkToFit="0" vertical="bottom" wrapText="0"/>
    </xf>
    <xf borderId="45" fillId="0" fontId="13" numFmtId="0" xfId="0" applyBorder="1" applyFont="1"/>
    <xf borderId="44" fillId="0" fontId="3" numFmtId="0" xfId="0" applyAlignment="1" applyBorder="1" applyFont="1">
      <alignment vertical="bottom"/>
    </xf>
    <xf borderId="46" fillId="0" fontId="13" numFmtId="0" xfId="0" applyBorder="1" applyFont="1"/>
    <xf borderId="44" fillId="0" fontId="3" numFmtId="0" xfId="0" applyAlignment="1" applyBorder="1" applyFont="1">
      <alignment horizontal="right" vertical="bottom"/>
    </xf>
    <xf borderId="44" fillId="0" fontId="10" numFmtId="0" xfId="0" applyBorder="1" applyFont="1"/>
    <xf borderId="47" fillId="0" fontId="3" numFmtId="0" xfId="0" applyAlignment="1" applyBorder="1" applyFont="1">
      <alignment horizontal="right" vertical="bottom"/>
    </xf>
    <xf borderId="19" fillId="4" fontId="4" numFmtId="164" xfId="0" applyAlignment="1" applyBorder="1" applyFont="1" applyNumberFormat="1">
      <alignment horizontal="center" shrinkToFit="0" vertical="bottom" wrapText="0"/>
    </xf>
    <xf borderId="44" fillId="18" fontId="3" numFmtId="0" xfId="0" applyAlignment="1" applyBorder="1" applyFont="1">
      <alignment horizontal="right" vertical="bottom"/>
    </xf>
    <xf borderId="19" fillId="0" fontId="1" numFmtId="0" xfId="0" applyAlignment="1" applyBorder="1" applyFont="1">
      <alignment horizontal="center" shrinkToFit="0" vertical="bottom" wrapText="0"/>
    </xf>
    <xf borderId="44" fillId="9" fontId="3" numFmtId="0" xfId="0" applyAlignment="1" applyBorder="1" applyFont="1">
      <alignment horizontal="right" vertical="bottom"/>
    </xf>
    <xf borderId="0" fillId="0" fontId="3" numFmtId="0" xfId="0" applyAlignment="1" applyFont="1">
      <alignment vertical="bottom"/>
    </xf>
    <xf borderId="48" fillId="0" fontId="1" numFmtId="0" xfId="0" applyAlignment="1" applyBorder="1" applyFont="1">
      <alignment readingOrder="0" shrinkToFit="0" vertical="bottom" wrapText="0"/>
    </xf>
    <xf borderId="49" fillId="0" fontId="3" numFmtId="0" xfId="0" applyAlignment="1" applyBorder="1" applyFont="1">
      <alignment horizontal="right" vertical="bottom"/>
    </xf>
    <xf borderId="49" fillId="9" fontId="3" numFmtId="0" xfId="0" applyAlignment="1" applyBorder="1" applyFont="1">
      <alignment horizontal="right" vertical="bottom"/>
    </xf>
    <xf borderId="49" fillId="0" fontId="3" numFmtId="0" xfId="0" applyAlignment="1" applyBorder="1" applyFont="1">
      <alignment vertical="bottom"/>
    </xf>
    <xf borderId="49" fillId="0" fontId="10" numFmtId="0" xfId="0" applyBorder="1" applyFont="1"/>
    <xf borderId="50" fillId="0" fontId="3" numFmtId="0" xfId="0" applyAlignment="1" applyBorder="1" applyFont="1">
      <alignment horizontal="right" vertical="bottom"/>
    </xf>
    <xf borderId="0" fillId="0" fontId="3" numFmtId="2" xfId="0" applyFont="1" applyNumberFormat="1"/>
    <xf borderId="0" fillId="0" fontId="3" numFmtId="0" xfId="0" applyAlignment="1" applyFont="1">
      <alignment horizontal="right" vertical="bottom"/>
    </xf>
    <xf borderId="0" fillId="0" fontId="8" numFmtId="0" xfId="0" applyAlignment="1" applyFont="1">
      <alignment horizontal="right" vertical="bottom"/>
    </xf>
    <xf borderId="1" fillId="21" fontId="4" numFmtId="0" xfId="0" applyAlignment="1" applyBorder="1" applyFill="1" applyFont="1">
      <alignment readingOrder="0" shrinkToFit="0" vertical="bottom" wrapText="0"/>
    </xf>
    <xf borderId="4" fillId="21" fontId="1" numFmtId="0" xfId="0" applyAlignment="1" applyBorder="1" applyFont="1">
      <alignment horizontal="right" readingOrder="0" shrinkToFit="0" vertical="bottom" wrapText="0"/>
    </xf>
    <xf borderId="51" fillId="0" fontId="1" numFmtId="0" xfId="0" applyAlignment="1" applyBorder="1" applyFont="1">
      <alignment readingOrder="0" shrinkToFit="0" vertical="bottom" wrapText="0"/>
    </xf>
    <xf borderId="52" fillId="0" fontId="1" numFmtId="0" xfId="0" applyAlignment="1" applyBorder="1" applyFont="1">
      <alignment readingOrder="0" shrinkToFit="0" vertical="bottom" wrapText="0"/>
    </xf>
    <xf borderId="9" fillId="0" fontId="1" numFmtId="0" xfId="0" applyAlignment="1" applyBorder="1" applyFont="1">
      <alignment readingOrder="0" shrinkToFit="0" vertical="bottom" wrapText="0"/>
    </xf>
    <xf borderId="53" fillId="0" fontId="1" numFmtId="0" xfId="0" applyAlignment="1" applyBorder="1" applyFont="1">
      <alignment readingOrder="0" shrinkToFit="0" vertical="bottom" wrapText="0"/>
    </xf>
    <xf borderId="54" fillId="0" fontId="1" numFmtId="0" xfId="0" applyAlignment="1" applyBorder="1" applyFont="1">
      <alignment readingOrder="0" shrinkToFit="0" vertical="bottom" wrapText="0"/>
    </xf>
    <xf borderId="53" fillId="0" fontId="3" numFmtId="0" xfId="0" applyAlignment="1" applyBorder="1" applyFont="1">
      <alignment readingOrder="0"/>
    </xf>
    <xf borderId="55" fillId="0" fontId="1" numFmtId="0" xfId="0" applyAlignment="1" applyBorder="1" applyFont="1">
      <alignment readingOrder="0" shrinkToFit="0" vertical="bottom" wrapText="0"/>
    </xf>
    <xf borderId="56" fillId="0" fontId="1" numFmtId="0" xfId="0" applyAlignment="1" applyBorder="1" applyFont="1">
      <alignment readingOrder="0" shrinkToFit="0" vertical="bottom" wrapText="0"/>
    </xf>
    <xf borderId="55" fillId="0" fontId="4" numFmtId="0" xfId="0" applyAlignment="1" applyBorder="1" applyFont="1">
      <alignment readingOrder="0" shrinkToFit="0" vertical="bottom" wrapText="0"/>
    </xf>
    <xf borderId="57" fillId="0" fontId="4" numFmtId="0" xfId="0" applyAlignment="1" applyBorder="1" applyFont="1">
      <alignment horizontal="center" readingOrder="0" shrinkToFit="0" vertical="bottom" wrapText="0"/>
    </xf>
    <xf borderId="57" fillId="0" fontId="4" numFmtId="0" xfId="0" applyAlignment="1" applyBorder="1" applyFont="1">
      <alignment readingOrder="0" shrinkToFit="0" vertical="bottom" wrapText="0"/>
    </xf>
    <xf borderId="57" fillId="0" fontId="4" numFmtId="0" xfId="0" applyAlignment="1" applyBorder="1" applyFont="1">
      <alignment horizontal="center" readingOrder="0" shrinkToFit="0" wrapText="0"/>
    </xf>
    <xf borderId="57" fillId="0" fontId="4" numFmtId="0" xfId="0" applyAlignment="1" applyBorder="1" applyFont="1">
      <alignment horizontal="left" readingOrder="0" shrinkToFit="0" vertical="bottom" wrapText="0"/>
    </xf>
    <xf borderId="57" fillId="0" fontId="8" numFmtId="0" xfId="0" applyAlignment="1" applyBorder="1" applyFont="1">
      <alignment horizontal="center"/>
    </xf>
    <xf borderId="57" fillId="18" fontId="8" numFmtId="0" xfId="0" applyAlignment="1" applyBorder="1" applyFont="1">
      <alignment horizontal="center" readingOrder="0"/>
    </xf>
    <xf borderId="57" fillId="5" fontId="8" numFmtId="0" xfId="0" applyAlignment="1" applyBorder="1" applyFont="1">
      <alignment horizontal="center" readingOrder="0"/>
    </xf>
    <xf borderId="57" fillId="0" fontId="8" numFmtId="0" xfId="0" applyAlignment="1" applyBorder="1" applyFont="1">
      <alignment horizontal="center" readingOrder="0"/>
    </xf>
    <xf borderId="57" fillId="0" fontId="8" numFmtId="0" xfId="0" applyAlignment="1" applyBorder="1" applyFont="1">
      <alignment horizontal="right" readingOrder="0"/>
    </xf>
    <xf borderId="57" fillId="0" fontId="8" numFmtId="0" xfId="0" applyAlignment="1" applyBorder="1" applyFont="1">
      <alignment horizontal="left" readingOrder="0"/>
    </xf>
    <xf borderId="57" fillId="0" fontId="10" numFmtId="0" xfId="0" applyBorder="1" applyFont="1"/>
    <xf borderId="56" fillId="0" fontId="1" numFmtId="0" xfId="0" applyAlignment="1" applyBorder="1" applyFont="1">
      <alignment shrinkToFit="0" vertical="bottom" wrapText="0"/>
    </xf>
    <xf borderId="8" fillId="0" fontId="1" numFmtId="0" xfId="0" applyAlignment="1" applyBorder="1" applyFont="1">
      <alignment horizontal="center" readingOrder="0" shrinkToFit="0" vertical="bottom" wrapText="0"/>
    </xf>
    <xf borderId="8" fillId="0" fontId="1" numFmtId="0" xfId="0" applyAlignment="1" applyBorder="1" applyFont="1">
      <alignment horizontal="left" readingOrder="0" shrinkToFit="0" wrapText="0"/>
    </xf>
    <xf borderId="8" fillId="18" fontId="3" numFmtId="3" xfId="0" applyAlignment="1" applyBorder="1" applyFont="1" applyNumberFormat="1">
      <alignment horizontal="center"/>
    </xf>
    <xf borderId="8" fillId="5" fontId="3" numFmtId="3" xfId="0" applyAlignment="1" applyBorder="1" applyFont="1" applyNumberFormat="1">
      <alignment horizontal="center" readingOrder="0"/>
    </xf>
    <xf borderId="8" fillId="0" fontId="10" numFmtId="0" xfId="0" applyBorder="1" applyFont="1"/>
    <xf borderId="8" fillId="0" fontId="3" numFmtId="0" xfId="0" applyAlignment="1" applyBorder="1" applyFont="1">
      <alignment horizontal="left"/>
    </xf>
    <xf borderId="9" fillId="0" fontId="1" numFmtId="0" xfId="0" applyAlignment="1" applyBorder="1" applyFont="1">
      <alignment shrinkToFit="0" vertical="bottom" wrapText="0"/>
    </xf>
    <xf borderId="27" fillId="0" fontId="1" numFmtId="0" xfId="0" applyAlignment="1" applyBorder="1" applyFont="1">
      <alignment horizontal="center" readingOrder="0" shrinkToFit="0" vertical="bottom" wrapText="0"/>
    </xf>
    <xf borderId="27" fillId="0" fontId="1" numFmtId="0" xfId="0" applyAlignment="1" applyBorder="1" applyFont="1">
      <alignment horizontal="center" readingOrder="0" shrinkToFit="0" vertical="bottom" wrapText="0"/>
    </xf>
    <xf borderId="27" fillId="0" fontId="1" numFmtId="0" xfId="0" applyAlignment="1" applyBorder="1" applyFont="1">
      <alignment horizontal="left" readingOrder="0" shrinkToFit="0" wrapText="0"/>
    </xf>
    <xf borderId="27" fillId="0" fontId="3" numFmtId="0" xfId="0" applyBorder="1" applyFont="1"/>
    <xf borderId="27" fillId="0" fontId="3" numFmtId="0" xfId="0" applyAlignment="1" applyBorder="1" applyFont="1">
      <alignment horizontal="center" readingOrder="0"/>
    </xf>
    <xf borderId="27" fillId="18" fontId="3" numFmtId="3" xfId="0" applyAlignment="1" applyBorder="1" applyFont="1" applyNumberFormat="1">
      <alignment horizontal="center"/>
    </xf>
    <xf borderId="27" fillId="5" fontId="3" numFmtId="3" xfId="0" applyAlignment="1" applyBorder="1" applyFont="1" applyNumberFormat="1">
      <alignment horizontal="center" readingOrder="0"/>
    </xf>
    <xf borderId="27" fillId="0" fontId="3" numFmtId="0" xfId="0" applyAlignment="1" applyBorder="1" applyFont="1">
      <alignment horizontal="center"/>
    </xf>
    <xf borderId="27" fillId="0" fontId="10" numFmtId="0" xfId="0" applyBorder="1" applyFont="1"/>
    <xf borderId="27" fillId="0" fontId="3" numFmtId="0" xfId="0" applyAlignment="1" applyBorder="1" applyFont="1">
      <alignment horizontal="left"/>
    </xf>
    <xf borderId="28" fillId="0" fontId="1" numFmtId="0" xfId="0" applyAlignment="1" applyBorder="1" applyFont="1">
      <alignment shrinkToFit="0" vertical="bottom" wrapText="0"/>
    </xf>
    <xf borderId="0" fillId="0" fontId="3" numFmtId="0" xfId="0" applyAlignment="1" applyFont="1">
      <alignment horizontal="left"/>
    </xf>
    <xf borderId="57" fillId="0" fontId="3" numFmtId="0" xfId="0" applyBorder="1" applyFont="1"/>
    <xf borderId="56" fillId="0" fontId="3" numFmtId="0" xfId="0" applyBorder="1" applyFont="1"/>
    <xf borderId="9" fillId="0" fontId="3" numFmtId="0" xfId="0" applyBorder="1" applyFont="1"/>
    <xf borderId="28" fillId="0" fontId="3" numFmtId="0" xfId="0" applyBorder="1" applyFont="1"/>
    <xf borderId="0" fillId="0" fontId="3" numFmtId="0" xfId="0" applyAlignment="1" applyFont="1">
      <alignment horizontal="right" readingOrder="0"/>
    </xf>
    <xf borderId="0" fillId="0" fontId="3" numFmtId="9" xfId="0" applyAlignment="1" applyFont="1" applyNumberFormat="1">
      <alignment horizontal="right" vertical="bottom"/>
    </xf>
    <xf borderId="0" fillId="0" fontId="3" numFmtId="10" xfId="0" applyFont="1" applyNumberFormat="1"/>
    <xf borderId="0" fillId="0" fontId="3" numFmtId="3" xfId="0" applyAlignment="1" applyFont="1" applyNumberFormat="1">
      <alignment readingOrder="0"/>
    </xf>
    <xf borderId="0" fillId="0" fontId="8" numFmtId="0" xfId="0" applyAlignment="1" applyFont="1">
      <alignment readingOrder="0" vertical="bottom"/>
    </xf>
    <xf borderId="0" fillId="0" fontId="8" numFmtId="0" xfId="0" applyAlignment="1" applyFont="1">
      <alignment vertical="bottom"/>
    </xf>
    <xf borderId="0" fillId="0" fontId="8" numFmtId="0" xfId="0" applyAlignment="1" applyFont="1">
      <alignment horizontal="right" readingOrder="0" vertical="bottom"/>
    </xf>
    <xf borderId="18" fillId="0" fontId="3" numFmtId="0" xfId="0" applyAlignment="1" applyBorder="1" applyFont="1">
      <alignment vertical="bottom"/>
    </xf>
    <xf borderId="3" fillId="22" fontId="8" numFmtId="0" xfId="0" applyAlignment="1" applyBorder="1" applyFill="1" applyFont="1">
      <alignment readingOrder="0" vertical="bottom"/>
    </xf>
    <xf borderId="3" fillId="22" fontId="3" numFmtId="0" xfId="0" applyAlignment="1" applyBorder="1" applyFont="1">
      <alignment horizontal="right" vertical="bottom"/>
    </xf>
    <xf borderId="5" fillId="0" fontId="10" numFmtId="0" xfId="0" applyBorder="1" applyFont="1"/>
    <xf borderId="23" fillId="0" fontId="8" numFmtId="0" xfId="0" applyAlignment="1" applyBorder="1" applyFont="1">
      <alignment readingOrder="0" vertical="bottom"/>
    </xf>
    <xf borderId="23" fillId="0" fontId="8" numFmtId="0" xfId="0" applyAlignment="1" applyBorder="1" applyFont="1">
      <alignment horizontal="right" vertical="bottom"/>
    </xf>
    <xf borderId="0" fillId="0" fontId="20" numFmtId="0" xfId="0" applyAlignment="1" applyFont="1">
      <alignment readingOrder="0"/>
    </xf>
    <xf borderId="0" fillId="0" fontId="3" numFmtId="0" xfId="0" applyAlignment="1" applyFont="1">
      <alignment readingOrder="0" vertical="bottom"/>
    </xf>
    <xf borderId="5" fillId="0" fontId="3" numFmtId="0" xfId="0" applyAlignment="1" applyBorder="1" applyFont="1">
      <alignment readingOrder="0" vertical="bottom"/>
    </xf>
    <xf borderId="3" fillId="0" fontId="3" numFmtId="0" xfId="0" applyAlignment="1" applyBorder="1" applyFont="1">
      <alignment horizontal="right" vertical="bottom"/>
    </xf>
    <xf borderId="0" fillId="0" fontId="3" numFmtId="0" xfId="0" applyAlignment="1" applyFont="1">
      <alignment horizontal="right" readingOrder="0" vertical="bottom"/>
    </xf>
    <xf borderId="3" fillId="0" fontId="3" numFmtId="0" xfId="0" applyAlignment="1" applyBorder="1" applyFont="1">
      <alignment horizontal="right" readingOrder="0" vertical="bottom"/>
    </xf>
    <xf borderId="18" fillId="0" fontId="3" numFmtId="0" xfId="0" applyAlignment="1" applyBorder="1" applyFont="1">
      <alignment readingOrder="0" vertical="bottom"/>
    </xf>
    <xf borderId="0" fillId="0" fontId="24" numFmtId="0" xfId="0" applyAlignment="1" applyFont="1">
      <alignment readingOrder="0"/>
    </xf>
    <xf borderId="0" fillId="0" fontId="10" numFmtId="0" xfId="0" applyAlignment="1" applyFont="1">
      <alignment horizontal="right" readingOrder="0"/>
    </xf>
    <xf borderId="0" fillId="0" fontId="10" numFmtId="0" xfId="0" applyAlignment="1" applyFont="1">
      <alignment horizontal="left" readingOrder="0"/>
    </xf>
    <xf borderId="0" fillId="0" fontId="25" numFmtId="0" xfId="0" applyAlignment="1" applyFont="1">
      <alignment readingOrder="0"/>
    </xf>
    <xf borderId="0" fillId="0" fontId="23" numFmtId="0" xfId="0" applyAlignment="1" applyFont="1">
      <alignment readingOrder="0"/>
    </xf>
    <xf borderId="0" fillId="0" fontId="26" numFmtId="0" xfId="0" applyAlignment="1" applyFont="1">
      <alignment readingOrder="0"/>
    </xf>
    <xf borderId="0" fillId="0" fontId="5" numFmtId="0" xfId="0" applyAlignment="1" applyFont="1">
      <alignment vertical="top"/>
    </xf>
    <xf borderId="0" fillId="0" fontId="10" numFmtId="0" xfId="0" applyAlignment="1" applyFont="1">
      <alignment readingOrder="0"/>
    </xf>
    <xf borderId="0" fillId="0" fontId="10" numFmtId="0" xfId="0" applyAlignment="1" applyFont="1">
      <alignment readingOrder="0" vertical="top"/>
    </xf>
    <xf borderId="0" fillId="0" fontId="10" numFmtId="0" xfId="0" applyAlignment="1" applyFont="1">
      <alignment vertical="top"/>
    </xf>
    <xf borderId="0" fillId="0" fontId="5" numFmtId="0" xfId="0" applyAlignment="1" applyFont="1">
      <alignment readingOrder="0" vertical="bottom"/>
    </xf>
    <xf borderId="58" fillId="0" fontId="27" numFmtId="0" xfId="0" applyAlignment="1" applyBorder="1" applyFont="1">
      <alignment horizontal="center" shrinkToFit="0" vertical="center" wrapText="1"/>
    </xf>
    <xf borderId="1" fillId="0" fontId="27" numFmtId="0" xfId="0" applyAlignment="1" applyBorder="1" applyFont="1">
      <alignment horizontal="center" readingOrder="0" shrinkToFit="0" vertical="center" wrapText="1"/>
    </xf>
    <xf borderId="2" fillId="0" fontId="27" numFmtId="0" xfId="0" applyAlignment="1" applyBorder="1" applyFont="1">
      <alignment horizontal="center" shrinkToFit="0" vertical="center" wrapText="1"/>
    </xf>
    <xf borderId="4" fillId="0" fontId="27" numFmtId="0" xfId="0" applyAlignment="1" applyBorder="1" applyFont="1">
      <alignment horizontal="center" shrinkToFit="0" vertical="center" wrapText="1"/>
    </xf>
    <xf borderId="58" fillId="0" fontId="27" numFmtId="1" xfId="0" applyAlignment="1" applyBorder="1" applyFont="1" applyNumberFormat="1">
      <alignment horizontal="center" readingOrder="0" shrinkToFit="0" vertical="center" wrapText="1"/>
    </xf>
    <xf borderId="58" fillId="0" fontId="27" numFmtId="0" xfId="0" applyAlignment="1" applyBorder="1" applyFont="1">
      <alignment horizontal="center" readingOrder="0" shrinkToFit="0" vertical="center" wrapText="1"/>
    </xf>
    <xf borderId="58" fillId="0" fontId="27" numFmtId="2" xfId="0" applyAlignment="1" applyBorder="1" applyFont="1" applyNumberFormat="1">
      <alignment horizontal="center" readingOrder="0" shrinkToFit="0" vertical="center" wrapText="1"/>
    </xf>
    <xf borderId="58" fillId="0" fontId="27" numFmtId="0" xfId="0" applyAlignment="1" applyBorder="1" applyFont="1">
      <alignment horizontal="center" readingOrder="0" vertical="center"/>
    </xf>
    <xf borderId="5" fillId="0" fontId="27" numFmtId="0" xfId="0" applyAlignment="1" applyBorder="1" applyFont="1">
      <alignment horizontal="center" readingOrder="0" vertical="center"/>
    </xf>
    <xf borderId="18" fillId="0" fontId="27" numFmtId="0" xfId="0" applyAlignment="1" applyBorder="1" applyFont="1">
      <alignment horizontal="center" readingOrder="0" shrinkToFit="0" vertical="center" wrapText="1"/>
    </xf>
    <xf borderId="0" fillId="0" fontId="28" numFmtId="0" xfId="0" applyAlignment="1" applyFont="1">
      <alignment horizontal="center" vertical="center"/>
    </xf>
    <xf borderId="0" fillId="0" fontId="28" numFmtId="0" xfId="0" applyAlignment="1" applyFont="1">
      <alignment horizontal="left" readingOrder="0" vertical="center"/>
    </xf>
    <xf borderId="0" fillId="0" fontId="29" numFmtId="0" xfId="0" applyAlignment="1" applyFont="1">
      <alignment horizontal="center" vertical="center"/>
    </xf>
    <xf borderId="59" fillId="0" fontId="27" numFmtId="0" xfId="0" applyAlignment="1" applyBorder="1" applyFont="1">
      <alignment horizontal="center" readingOrder="0" shrinkToFit="0" vertical="center" wrapText="1"/>
    </xf>
    <xf borderId="60" fillId="0" fontId="13" numFmtId="0" xfId="0" applyBorder="1" applyFont="1"/>
    <xf borderId="20" fillId="0" fontId="13" numFmtId="0" xfId="0" applyBorder="1" applyFont="1"/>
    <xf borderId="18" fillId="0" fontId="13" numFmtId="0" xfId="0" applyBorder="1" applyFont="1"/>
    <xf borderId="0" fillId="0" fontId="28" numFmtId="0" xfId="0" applyAlignment="1" applyFont="1">
      <alignment horizontal="center" readingOrder="0" vertical="center"/>
    </xf>
    <xf borderId="61" fillId="23" fontId="30" numFmtId="0" xfId="0" applyAlignment="1" applyBorder="1" applyFill="1" applyFont="1">
      <alignment shrinkToFit="0" wrapText="1"/>
    </xf>
    <xf borderId="62" fillId="23" fontId="30" numFmtId="0" xfId="0" applyAlignment="1" applyBorder="1" applyFont="1">
      <alignment shrinkToFit="0" wrapText="1"/>
    </xf>
    <xf borderId="62" fillId="23" fontId="30" numFmtId="0" xfId="0" applyAlignment="1" applyBorder="1" applyFont="1">
      <alignment readingOrder="0"/>
    </xf>
    <xf borderId="63" fillId="23" fontId="30" numFmtId="0" xfId="0" applyAlignment="1" applyBorder="1" applyFont="1">
      <alignment shrinkToFit="0" wrapText="1"/>
    </xf>
    <xf borderId="18" fillId="0" fontId="31" numFmtId="0" xfId="0" applyBorder="1" applyFont="1"/>
    <xf borderId="0" fillId="0" fontId="31" numFmtId="2" xfId="0" applyAlignment="1" applyFont="1" applyNumberFormat="1">
      <alignment horizontal="center"/>
    </xf>
    <xf borderId="0" fillId="0" fontId="31" numFmtId="0" xfId="0" applyFont="1"/>
    <xf borderId="0" fillId="0" fontId="32" numFmtId="0" xfId="0" applyFont="1"/>
    <xf borderId="0" fillId="0" fontId="31" numFmtId="0" xfId="0" applyAlignment="1" applyFont="1">
      <alignment horizontal="center" readingOrder="0"/>
    </xf>
    <xf borderId="0" fillId="0" fontId="29" numFmtId="0" xfId="0" applyFont="1"/>
    <xf borderId="59" fillId="24" fontId="29" numFmtId="0" xfId="0" applyAlignment="1" applyBorder="1" applyFill="1" applyFont="1">
      <alignment horizontal="left" readingOrder="0" shrinkToFit="0" wrapText="1"/>
    </xf>
    <xf borderId="59" fillId="24" fontId="29" numFmtId="0" xfId="0" applyAlignment="1" applyBorder="1" applyFont="1">
      <alignment horizontal="center" readingOrder="0" shrinkToFit="0" wrapText="1"/>
    </xf>
    <xf borderId="59" fillId="24" fontId="29" numFmtId="0" xfId="0" applyAlignment="1" applyBorder="1" applyFont="1">
      <alignment horizontal="center" shrinkToFit="0" wrapText="1"/>
    </xf>
    <xf borderId="59" fillId="24" fontId="33" numFmtId="0" xfId="0" applyAlignment="1" applyBorder="1" applyFont="1">
      <alignment horizontal="center" shrinkToFit="0" vertical="bottom" wrapText="1"/>
    </xf>
    <xf borderId="4" fillId="24" fontId="33" numFmtId="0" xfId="0" applyAlignment="1" applyBorder="1" applyFont="1">
      <alignment horizontal="center" shrinkToFit="0" vertical="bottom" wrapText="1"/>
    </xf>
    <xf borderId="59" fillId="24" fontId="29" numFmtId="49" xfId="0" applyAlignment="1" applyBorder="1" applyFont="1" applyNumberFormat="1">
      <alignment horizontal="center" shrinkToFit="0" wrapText="1"/>
    </xf>
    <xf borderId="59" fillId="24" fontId="29" numFmtId="0" xfId="0" applyAlignment="1" applyBorder="1" applyFont="1">
      <alignment horizontal="center" shrinkToFit="0" vertical="top" wrapText="1"/>
    </xf>
    <xf borderId="59" fillId="24" fontId="29" numFmtId="2" xfId="0" applyAlignment="1" applyBorder="1" applyFont="1" applyNumberFormat="1">
      <alignment horizontal="center"/>
    </xf>
    <xf borderId="59" fillId="24" fontId="29" numFmtId="0" xfId="0" applyAlignment="1" applyBorder="1" applyFont="1">
      <alignment horizontal="center" readingOrder="0"/>
    </xf>
    <xf borderId="59" fillId="24" fontId="29" numFmtId="0" xfId="0" applyAlignment="1" applyBorder="1" applyFont="1">
      <alignment horizontal="center" vertical="center"/>
    </xf>
    <xf borderId="59" fillId="24" fontId="29" numFmtId="0" xfId="0" applyAlignment="1" applyBorder="1" applyFont="1">
      <alignment horizontal="center" readingOrder="0" vertical="center"/>
    </xf>
    <xf borderId="59" fillId="24" fontId="29" numFmtId="9" xfId="0" applyAlignment="1" applyBorder="1" applyFont="1" applyNumberFormat="1">
      <alignment horizontal="center" vertical="center"/>
    </xf>
    <xf borderId="18" fillId="0" fontId="31" numFmtId="0" xfId="0" applyAlignment="1" applyBorder="1" applyFont="1">
      <alignment readingOrder="0"/>
    </xf>
    <xf borderId="59" fillId="25" fontId="34" numFmtId="0" xfId="0" applyAlignment="1" applyBorder="1" applyFill="1" applyFont="1">
      <alignment horizontal="left" shrinkToFit="0" wrapText="1"/>
    </xf>
    <xf borderId="59" fillId="25" fontId="34" numFmtId="0" xfId="0" applyAlignment="1" applyBorder="1" applyFont="1">
      <alignment horizontal="center" shrinkToFit="0" wrapText="1"/>
    </xf>
    <xf borderId="59" fillId="24" fontId="29" numFmtId="0" xfId="0" applyAlignment="1" applyBorder="1" applyFont="1">
      <alignment horizontal="center"/>
    </xf>
    <xf borderId="59" fillId="25" fontId="34" numFmtId="9" xfId="0" applyAlignment="1" applyBorder="1" applyFont="1" applyNumberFormat="1">
      <alignment horizontal="center" shrinkToFit="0" wrapText="1"/>
    </xf>
    <xf borderId="59" fillId="24" fontId="29" numFmtId="0" xfId="0" applyAlignment="1" applyBorder="1" applyFont="1">
      <alignment horizontal="center" readingOrder="0" shrinkToFit="0" vertical="top" wrapText="1"/>
    </xf>
    <xf borderId="0" fillId="0" fontId="31" numFmtId="9" xfId="0" applyAlignment="1" applyFont="1" applyNumberFormat="1">
      <alignment horizontal="center" readingOrder="0"/>
    </xf>
    <xf borderId="59" fillId="25" fontId="34" numFmtId="0" xfId="0" applyAlignment="1" applyBorder="1" applyFont="1">
      <alignment horizontal="center" readingOrder="0" shrinkToFit="0" wrapText="1"/>
    </xf>
    <xf borderId="59" fillId="26" fontId="29" numFmtId="0" xfId="0" applyAlignment="1" applyBorder="1" applyFill="1" applyFont="1">
      <alignment horizontal="left" readingOrder="0" shrinkToFit="0" wrapText="1"/>
    </xf>
    <xf borderId="0" fillId="0" fontId="31" numFmtId="0" xfId="0" applyAlignment="1" applyFont="1">
      <alignment readingOrder="0"/>
    </xf>
    <xf borderId="0" fillId="27" fontId="29" numFmtId="0" xfId="0" applyFill="1" applyFont="1"/>
    <xf borderId="0" fillId="0" fontId="31" numFmtId="2" xfId="0" applyFont="1" applyNumberFormat="1"/>
    <xf borderId="0" fillId="27" fontId="29" numFmtId="2" xfId="0" applyFont="1" applyNumberFormat="1"/>
    <xf borderId="0" fillId="0" fontId="31" numFmtId="0" xfId="0" applyAlignment="1" applyFont="1">
      <alignment horizontal="center"/>
    </xf>
    <xf borderId="59" fillId="24" fontId="29" numFmtId="0" xfId="0" applyAlignment="1" applyBorder="1" applyFont="1">
      <alignment horizontal="left" readingOrder="0" vertical="center"/>
    </xf>
    <xf borderId="59" fillId="24" fontId="29" numFmtId="49" xfId="0" applyAlignment="1" applyBorder="1" applyFont="1" applyNumberFormat="1">
      <alignment horizontal="center" vertical="center"/>
    </xf>
    <xf borderId="59" fillId="24" fontId="29" numFmtId="49" xfId="0" applyAlignment="1" applyBorder="1" applyFont="1" applyNumberFormat="1">
      <alignment horizontal="center"/>
    </xf>
    <xf borderId="0" fillId="28" fontId="29" numFmtId="0" xfId="0" applyFill="1" applyFont="1"/>
    <xf borderId="59" fillId="26" fontId="29" numFmtId="0" xfId="0" applyAlignment="1" applyBorder="1" applyFont="1">
      <alignment horizontal="center" shrinkToFit="0" wrapText="1"/>
    </xf>
    <xf borderId="18" fillId="0" fontId="31" numFmtId="0" xfId="0" applyAlignment="1" applyBorder="1" applyFont="1">
      <alignment horizontal="center" shrinkToFit="0" wrapText="1"/>
    </xf>
    <xf borderId="0" fillId="0" fontId="31" numFmtId="0" xfId="0" applyAlignment="1" applyFont="1">
      <alignment horizontal="center" shrinkToFit="0" wrapText="1"/>
    </xf>
    <xf borderId="0" fillId="0" fontId="29" numFmtId="0" xfId="0" applyAlignment="1" applyFont="1">
      <alignment horizontal="center" shrinkToFit="0" wrapText="1"/>
    </xf>
    <xf borderId="59" fillId="26" fontId="29" numFmtId="9" xfId="0" applyAlignment="1" applyBorder="1" applyFont="1" applyNumberFormat="1">
      <alignment horizontal="center" shrinkToFit="0" wrapText="1"/>
    </xf>
    <xf borderId="18" fillId="0" fontId="31" numFmtId="9" xfId="0" applyAlignment="1" applyBorder="1" applyFont="1" applyNumberFormat="1">
      <alignment horizontal="center" shrinkToFit="0" wrapText="1"/>
    </xf>
    <xf borderId="0" fillId="0" fontId="31" numFmtId="9" xfId="0" applyAlignment="1" applyFont="1" applyNumberFormat="1">
      <alignment horizontal="center" shrinkToFit="0" wrapText="1"/>
    </xf>
    <xf borderId="0" fillId="0" fontId="29" numFmtId="9" xfId="0" applyAlignment="1" applyFont="1" applyNumberFormat="1">
      <alignment horizontal="center" shrinkToFit="0" wrapText="1"/>
    </xf>
    <xf borderId="61" fillId="29" fontId="30" numFmtId="0" xfId="0" applyAlignment="1" applyBorder="1" applyFill="1" applyFont="1">
      <alignment shrinkToFit="0" wrapText="1"/>
    </xf>
    <xf borderId="62" fillId="29" fontId="30" numFmtId="0" xfId="0" applyAlignment="1" applyBorder="1" applyFont="1">
      <alignment shrinkToFit="0" wrapText="1"/>
    </xf>
    <xf borderId="62" fillId="29" fontId="30" numFmtId="0" xfId="0" applyAlignment="1" applyBorder="1" applyFont="1">
      <alignment readingOrder="0"/>
    </xf>
    <xf borderId="63" fillId="29" fontId="30" numFmtId="0" xfId="0" applyAlignment="1" applyBorder="1" applyFont="1">
      <alignment shrinkToFit="0" wrapText="1"/>
    </xf>
    <xf borderId="59" fillId="30" fontId="29" numFmtId="0" xfId="0" applyAlignment="1" applyBorder="1" applyFill="1" applyFont="1">
      <alignment horizontal="left" readingOrder="0" shrinkToFit="0" wrapText="1"/>
    </xf>
    <xf borderId="59" fillId="30" fontId="29" numFmtId="0" xfId="0" applyAlignment="1" applyBorder="1" applyFont="1">
      <alignment horizontal="center" shrinkToFit="0" wrapText="1"/>
    </xf>
    <xf borderId="59" fillId="30" fontId="29" numFmtId="49" xfId="0" applyAlignment="1" applyBorder="1" applyFont="1" applyNumberFormat="1">
      <alignment horizontal="center" shrinkToFit="0" wrapText="1"/>
    </xf>
    <xf borderId="59" fillId="30" fontId="29" numFmtId="0" xfId="0" applyAlignment="1" applyBorder="1" applyFont="1">
      <alignment horizontal="center" shrinkToFit="0" vertical="top" wrapText="1"/>
    </xf>
    <xf borderId="59" fillId="30" fontId="29" numFmtId="2" xfId="0" applyAlignment="1" applyBorder="1" applyFont="1" applyNumberFormat="1">
      <alignment horizontal="center" shrinkToFit="0" wrapText="1"/>
    </xf>
    <xf borderId="59" fillId="30" fontId="29" numFmtId="0" xfId="0" applyAlignment="1" applyBorder="1" applyFont="1">
      <alignment horizontal="center" readingOrder="0"/>
    </xf>
    <xf borderId="59" fillId="30" fontId="29" numFmtId="0" xfId="0" applyAlignment="1" applyBorder="1" applyFont="1">
      <alignment horizontal="center" vertical="center"/>
    </xf>
    <xf borderId="59" fillId="30" fontId="29" numFmtId="0" xfId="0" applyAlignment="1" applyBorder="1" applyFont="1">
      <alignment horizontal="center" readingOrder="0" vertical="center"/>
    </xf>
    <xf borderId="59" fillId="31" fontId="34" numFmtId="0" xfId="0" applyAlignment="1" applyBorder="1" applyFill="1" applyFont="1">
      <alignment horizontal="left" shrinkToFit="0" wrapText="1"/>
    </xf>
    <xf borderId="59" fillId="31" fontId="34" numFmtId="0" xfId="0" applyAlignment="1" applyBorder="1" applyFont="1">
      <alignment horizontal="center" shrinkToFit="0" wrapText="1"/>
    </xf>
    <xf borderId="59" fillId="30" fontId="29" numFmtId="0" xfId="0" applyAlignment="1" applyBorder="1" applyFont="1">
      <alignment horizontal="center"/>
    </xf>
    <xf borderId="59" fillId="31" fontId="34" numFmtId="9" xfId="0" applyAlignment="1" applyBorder="1" applyFont="1" applyNumberFormat="1">
      <alignment horizontal="center" shrinkToFit="0" wrapText="1"/>
    </xf>
    <xf borderId="59" fillId="31" fontId="34" numFmtId="2" xfId="0" applyAlignment="1" applyBorder="1" applyFont="1" applyNumberFormat="1">
      <alignment horizontal="center" shrinkToFit="0" wrapText="1"/>
    </xf>
    <xf borderId="0" fillId="32" fontId="29" numFmtId="0" xfId="0" applyFill="1" applyFont="1"/>
    <xf borderId="0" fillId="33" fontId="29" numFmtId="0" xfId="0" applyAlignment="1" applyFill="1" applyFont="1">
      <alignment readingOrder="0"/>
    </xf>
    <xf borderId="0" fillId="33" fontId="29" numFmtId="0" xfId="0" applyFont="1"/>
    <xf borderId="59" fillId="30" fontId="33" numFmtId="0" xfId="0" applyAlignment="1" applyBorder="1" applyFont="1">
      <alignment horizontal="center" shrinkToFit="0" vertical="bottom" wrapText="1"/>
    </xf>
    <xf borderId="4" fillId="30" fontId="33" numFmtId="0" xfId="0" applyAlignment="1" applyBorder="1" applyFont="1">
      <alignment horizontal="center" shrinkToFit="0" vertical="bottom" wrapText="1"/>
    </xf>
    <xf borderId="59" fillId="30" fontId="29" numFmtId="0" xfId="0" applyAlignment="1" applyBorder="1" applyFont="1">
      <alignment horizontal="center" readingOrder="0" shrinkToFit="0" wrapText="1"/>
    </xf>
    <xf borderId="59" fillId="30" fontId="29" numFmtId="9" xfId="0" applyAlignment="1" applyBorder="1" applyFont="1" applyNumberFormat="1">
      <alignment horizontal="center" vertical="center"/>
    </xf>
    <xf borderId="0" fillId="0" fontId="31" numFmtId="0" xfId="0" applyAlignment="1" applyFont="1">
      <alignment horizontal="right" vertical="bottom"/>
    </xf>
    <xf borderId="0" fillId="0" fontId="5" numFmtId="0" xfId="0" applyAlignment="1" applyFont="1">
      <alignment vertical="bottom"/>
    </xf>
    <xf borderId="0" fillId="0" fontId="31" numFmtId="0" xfId="0" applyAlignment="1" applyFont="1">
      <alignment horizontal="center" vertical="bottom"/>
    </xf>
    <xf borderId="59" fillId="31" fontId="34" numFmtId="0" xfId="0" applyAlignment="1" applyBorder="1" applyFont="1">
      <alignment horizontal="center" readingOrder="0" shrinkToFit="0" wrapText="1"/>
    </xf>
    <xf borderId="59" fillId="30" fontId="29" numFmtId="0" xfId="0" applyAlignment="1" applyBorder="1" applyFont="1">
      <alignment horizontal="left" readingOrder="0"/>
    </xf>
    <xf borderId="59" fillId="30" fontId="29" numFmtId="2" xfId="0" applyAlignment="1" applyBorder="1" applyFont="1" applyNumberFormat="1">
      <alignment horizontal="center"/>
    </xf>
    <xf borderId="59" fillId="30" fontId="29" numFmtId="1" xfId="0" applyAlignment="1" applyBorder="1" applyFont="1" applyNumberFormat="1">
      <alignment horizontal="center"/>
    </xf>
    <xf borderId="61" fillId="34" fontId="30" numFmtId="0" xfId="0" applyBorder="1" applyFill="1" applyFont="1"/>
    <xf borderId="62" fillId="34" fontId="30" numFmtId="0" xfId="0" applyBorder="1" applyFont="1"/>
    <xf borderId="62" fillId="34" fontId="30" numFmtId="0" xfId="0" applyAlignment="1" applyBorder="1" applyFont="1">
      <alignment readingOrder="0"/>
    </xf>
    <xf borderId="63" fillId="34" fontId="30" numFmtId="0" xfId="0" applyBorder="1" applyFont="1"/>
    <xf borderId="0" fillId="0" fontId="30" numFmtId="0" xfId="0" applyAlignment="1" applyFont="1">
      <alignment horizontal="center"/>
    </xf>
    <xf borderId="0" fillId="0" fontId="29" numFmtId="0" xfId="0" applyAlignment="1" applyFont="1">
      <alignment horizontal="center" readingOrder="0"/>
    </xf>
    <xf borderId="0" fillId="0" fontId="29" numFmtId="0" xfId="0" applyAlignment="1" applyFont="1">
      <alignment horizontal="center"/>
    </xf>
    <xf borderId="0" fillId="35" fontId="29" numFmtId="0" xfId="0" applyFill="1" applyFont="1"/>
    <xf borderId="0" fillId="35" fontId="30" numFmtId="0" xfId="0" applyAlignment="1" applyFont="1">
      <alignment horizontal="center"/>
    </xf>
    <xf borderId="0" fillId="35" fontId="29" numFmtId="0" xfId="0" applyAlignment="1" applyFont="1">
      <alignment horizontal="center" readingOrder="0"/>
    </xf>
    <xf borderId="0" fillId="35" fontId="29" numFmtId="0" xfId="0" applyAlignment="1" applyFont="1">
      <alignment horizontal="center"/>
    </xf>
    <xf borderId="59" fillId="36" fontId="29" numFmtId="0" xfId="0" applyAlignment="1" applyBorder="1" applyFill="1" applyFont="1">
      <alignment horizontal="left" readingOrder="0" shrinkToFit="0" vertical="center" wrapText="1"/>
    </xf>
    <xf borderId="59" fillId="35" fontId="29" numFmtId="0" xfId="0" applyAlignment="1" applyBorder="1" applyFont="1">
      <alignment horizontal="center" vertical="center"/>
    </xf>
    <xf borderId="59" fillId="35" fontId="29" numFmtId="0" xfId="0" applyAlignment="1" applyBorder="1" applyFont="1">
      <alignment horizontal="center" vertical="center"/>
    </xf>
    <xf borderId="59" fillId="36" fontId="29" numFmtId="49" xfId="0" applyAlignment="1" applyBorder="1" applyFont="1" applyNumberFormat="1">
      <alignment horizontal="center" vertical="center"/>
    </xf>
    <xf borderId="59" fillId="36" fontId="29" numFmtId="0" xfId="0" applyAlignment="1" applyBorder="1" applyFont="1">
      <alignment horizontal="center" vertical="center"/>
    </xf>
    <xf borderId="59" fillId="36" fontId="29" numFmtId="2" xfId="0" applyAlignment="1" applyBorder="1" applyFont="1" applyNumberFormat="1">
      <alignment horizontal="center" shrinkToFit="0" vertical="center" wrapText="1"/>
    </xf>
    <xf borderId="59" fillId="36" fontId="29" numFmtId="0" xfId="0" applyAlignment="1" applyBorder="1" applyFont="1">
      <alignment horizontal="center" readingOrder="0" vertical="center"/>
    </xf>
    <xf borderId="59" fillId="36" fontId="29" numFmtId="9" xfId="0" applyAlignment="1" applyBorder="1" applyFont="1" applyNumberFormat="1">
      <alignment horizontal="center" vertical="center"/>
    </xf>
    <xf borderId="0" fillId="0" fontId="29" numFmtId="49" xfId="0" applyAlignment="1" applyFont="1" applyNumberFormat="1">
      <alignment horizontal="center"/>
    </xf>
    <xf borderId="59" fillId="37" fontId="34" numFmtId="0" xfId="0" applyAlignment="1" applyBorder="1" applyFill="1" applyFont="1">
      <alignment horizontal="left" shrinkToFit="0" vertical="center" wrapText="1"/>
    </xf>
    <xf borderId="59" fillId="37" fontId="34" numFmtId="0" xfId="0" applyAlignment="1" applyBorder="1" applyFont="1">
      <alignment horizontal="center" shrinkToFit="0" vertical="center" wrapText="1"/>
    </xf>
    <xf borderId="0" fillId="0" fontId="30" numFmtId="49" xfId="0" applyAlignment="1" applyFont="1" applyNumberFormat="1">
      <alignment horizontal="center"/>
    </xf>
    <xf borderId="59" fillId="37" fontId="34" numFmtId="0" xfId="0" applyAlignment="1" applyBorder="1" applyFont="1">
      <alignment horizontal="center" readingOrder="0" shrinkToFit="0" vertical="center" wrapText="1"/>
    </xf>
    <xf borderId="59" fillId="37" fontId="34" numFmtId="9" xfId="0" applyAlignment="1" applyBorder="1" applyFont="1" applyNumberFormat="1">
      <alignment horizontal="center" shrinkToFit="0" vertical="center" wrapText="1"/>
    </xf>
    <xf borderId="59" fillId="35" fontId="29" numFmtId="0" xfId="0" applyAlignment="1" applyBorder="1" applyFont="1">
      <alignment horizontal="center" shrinkToFit="0" vertical="center" wrapText="1"/>
    </xf>
    <xf borderId="59" fillId="36" fontId="29" numFmtId="0" xfId="0" applyAlignment="1" applyBorder="1" applyFont="1">
      <alignment horizontal="left" readingOrder="0" vertical="center"/>
    </xf>
    <xf borderId="59" fillId="36" fontId="29" numFmtId="0" xfId="0" applyAlignment="1" applyBorder="1" applyFont="1">
      <alignment horizontal="center" shrinkToFit="0" vertical="center" wrapText="1"/>
    </xf>
    <xf borderId="59" fillId="36" fontId="29" numFmtId="49" xfId="0" applyAlignment="1" applyBorder="1" applyFont="1" applyNumberFormat="1">
      <alignment horizontal="center" shrinkToFit="0" vertical="center" wrapText="1"/>
    </xf>
    <xf borderId="59" fillId="37" fontId="34" numFmtId="2" xfId="0" applyAlignment="1" applyBorder="1" applyFont="1" applyNumberFormat="1">
      <alignment horizontal="center" shrinkToFit="0" vertical="center" wrapText="1"/>
    </xf>
    <xf borderId="59" fillId="36" fontId="29" numFmtId="0" xfId="0" applyAlignment="1" applyBorder="1" applyFont="1">
      <alignment horizontal="center" readingOrder="0" shrinkToFit="0" vertical="center" wrapText="1"/>
    </xf>
    <xf borderId="0" fillId="0" fontId="31" numFmtId="0" xfId="0" applyAlignment="1" applyFont="1">
      <alignment horizontal="center" vertical="center"/>
    </xf>
    <xf borderId="0" fillId="0" fontId="31" numFmtId="0" xfId="0" applyAlignment="1" applyFont="1">
      <alignment vertical="center"/>
    </xf>
    <xf borderId="0" fillId="0" fontId="31" numFmtId="0" xfId="0" applyAlignment="1" applyFont="1">
      <alignment horizontal="center" readingOrder="0" vertical="center"/>
    </xf>
    <xf borderId="0" fillId="0" fontId="29" numFmtId="0" xfId="0" applyAlignment="1" applyFont="1">
      <alignment vertical="center"/>
    </xf>
    <xf borderId="59" fillId="37" fontId="34" numFmtId="0" xfId="0" applyAlignment="1" applyBorder="1" applyFont="1">
      <alignment horizontal="left" shrinkToFit="0" wrapText="1"/>
    </xf>
    <xf borderId="59" fillId="37" fontId="34" numFmtId="0" xfId="0" applyAlignment="1" applyBorder="1" applyFont="1">
      <alignment horizontal="center" shrinkToFit="0" wrapText="1"/>
    </xf>
    <xf borderId="59" fillId="36" fontId="29" numFmtId="1" xfId="0" applyAlignment="1" applyBorder="1" applyFont="1" applyNumberFormat="1">
      <alignment horizontal="center"/>
    </xf>
    <xf borderId="59" fillId="36" fontId="29" numFmtId="0" xfId="0" applyAlignment="1" applyBorder="1" applyFont="1">
      <alignment horizontal="center"/>
    </xf>
    <xf borderId="59" fillId="36" fontId="29" numFmtId="2" xfId="0" applyAlignment="1" applyBorder="1" applyFont="1" applyNumberFormat="1">
      <alignment horizontal="center"/>
    </xf>
    <xf borderId="60" fillId="0" fontId="31" numFmtId="0" xfId="0" applyBorder="1" applyFont="1"/>
    <xf borderId="20" fillId="0" fontId="31" numFmtId="0" xfId="0" applyAlignment="1" applyBorder="1" applyFont="1">
      <alignment horizontal="center"/>
    </xf>
    <xf borderId="59" fillId="0" fontId="31" numFmtId="0" xfId="0" applyBorder="1" applyFont="1"/>
    <xf borderId="1" fillId="0" fontId="31" numFmtId="0" xfId="0" applyAlignment="1" applyBorder="1" applyFont="1">
      <alignment horizontal="center"/>
    </xf>
    <xf borderId="59" fillId="37" fontId="34" numFmtId="9" xfId="0" applyAlignment="1" applyBorder="1" applyFont="1" applyNumberFormat="1">
      <alignment horizontal="center" shrinkToFit="0" wrapText="1"/>
    </xf>
    <xf borderId="59" fillId="37" fontId="34" numFmtId="2" xfId="0" applyAlignment="1" applyBorder="1" applyFont="1" applyNumberFormat="1">
      <alignment horizontal="center" shrinkToFit="0" wrapText="1"/>
    </xf>
    <xf borderId="58" fillId="0" fontId="31" numFmtId="0" xfId="0" applyBorder="1" applyFont="1"/>
    <xf borderId="5" fillId="0" fontId="31" numFmtId="0" xfId="0" applyAlignment="1" applyBorder="1" applyFont="1">
      <alignment horizontal="center"/>
    </xf>
    <xf borderId="61" fillId="38" fontId="30" numFmtId="0" xfId="0" applyAlignment="1" applyBorder="1" applyFill="1" applyFont="1">
      <alignment shrinkToFit="0" wrapText="1"/>
    </xf>
    <xf borderId="62" fillId="38" fontId="30" numFmtId="0" xfId="0" applyAlignment="1" applyBorder="1" applyFont="1">
      <alignment shrinkToFit="0" wrapText="1"/>
    </xf>
    <xf borderId="62" fillId="38" fontId="30" numFmtId="0" xfId="0" applyAlignment="1" applyBorder="1" applyFont="1">
      <alignment readingOrder="0"/>
    </xf>
    <xf borderId="63" fillId="38" fontId="30" numFmtId="0" xfId="0" applyAlignment="1" applyBorder="1" applyFont="1">
      <alignment shrinkToFit="0" wrapText="1"/>
    </xf>
    <xf borderId="59" fillId="16" fontId="29" numFmtId="0" xfId="0" applyAlignment="1" applyBorder="1" applyFont="1">
      <alignment horizontal="left" readingOrder="0" shrinkToFit="0" vertical="center" wrapText="1"/>
    </xf>
    <xf borderId="59" fillId="16" fontId="29" numFmtId="0" xfId="0" applyAlignment="1" applyBorder="1" applyFont="1">
      <alignment horizontal="center" vertical="center"/>
    </xf>
    <xf borderId="59" fillId="16" fontId="29" numFmtId="0" xfId="0" applyAlignment="1" applyBorder="1" applyFont="1">
      <alignment horizontal="center" vertical="center"/>
    </xf>
    <xf borderId="59" fillId="16" fontId="29" numFmtId="49" xfId="0" applyAlignment="1" applyBorder="1" applyFont="1" applyNumberFormat="1">
      <alignment horizontal="center" vertical="center"/>
    </xf>
    <xf borderId="59" fillId="16" fontId="29" numFmtId="0" xfId="0" applyAlignment="1" applyBorder="1" applyFont="1">
      <alignment horizontal="center" shrinkToFit="0" vertical="center" wrapText="1"/>
    </xf>
    <xf borderId="59" fillId="16" fontId="29" numFmtId="2" xfId="0" applyAlignment="1" applyBorder="1" applyFont="1" applyNumberFormat="1">
      <alignment horizontal="center" vertical="center"/>
    </xf>
    <xf borderId="59" fillId="16" fontId="29" numFmtId="0" xfId="0" applyAlignment="1" applyBorder="1" applyFont="1">
      <alignment horizontal="center" readingOrder="0" vertical="center"/>
    </xf>
    <xf borderId="59" fillId="16" fontId="29" numFmtId="9" xfId="0" applyAlignment="1" applyBorder="1" applyFont="1" applyNumberFormat="1">
      <alignment horizontal="center" vertical="center"/>
    </xf>
    <xf borderId="59" fillId="39" fontId="34" numFmtId="0" xfId="0" applyAlignment="1" applyBorder="1" applyFill="1" applyFont="1">
      <alignment horizontal="left" shrinkToFit="0" vertical="center" wrapText="1"/>
    </xf>
    <xf borderId="59" fillId="39" fontId="34" numFmtId="0" xfId="0" applyAlignment="1" applyBorder="1" applyFont="1">
      <alignment horizontal="center" shrinkToFit="0" vertical="center" wrapText="1"/>
    </xf>
    <xf borderId="59" fillId="39" fontId="34" numFmtId="0" xfId="0" applyAlignment="1" applyBorder="1" applyFont="1">
      <alignment horizontal="center" readingOrder="0" shrinkToFit="0" vertical="center" wrapText="1"/>
    </xf>
    <xf borderId="59" fillId="39" fontId="34" numFmtId="9" xfId="0" applyAlignment="1" applyBorder="1" applyFont="1" applyNumberFormat="1">
      <alignment horizontal="center" shrinkToFit="0" vertical="center" wrapText="1"/>
    </xf>
    <xf borderId="59" fillId="16" fontId="29" numFmtId="0" xfId="0" applyAlignment="1" applyBorder="1" applyFont="1">
      <alignment horizontal="left" readingOrder="0" vertical="center"/>
    </xf>
    <xf borderId="59" fillId="39" fontId="34" numFmtId="0" xfId="0" applyAlignment="1" applyBorder="1" applyFont="1">
      <alignment horizontal="center" shrinkToFit="0" wrapText="1"/>
    </xf>
    <xf borderId="59" fillId="39" fontId="34" numFmtId="9" xfId="0" applyAlignment="1" applyBorder="1" applyFont="1" applyNumberFormat="1">
      <alignment horizontal="center" shrinkToFit="0" wrapText="1"/>
    </xf>
    <xf borderId="59" fillId="39" fontId="34" numFmtId="2" xfId="0" applyAlignment="1" applyBorder="1" applyFont="1" applyNumberFormat="1">
      <alignment horizontal="center" shrinkToFit="0" wrapText="1"/>
    </xf>
    <xf borderId="59" fillId="16" fontId="29" numFmtId="49" xfId="0" applyAlignment="1" applyBorder="1" applyFont="1" applyNumberFormat="1">
      <alignment horizontal="center" shrinkToFit="0" vertical="center" wrapText="1"/>
    </xf>
    <xf borderId="59" fillId="39" fontId="34" numFmtId="2" xfId="0" applyAlignment="1" applyBorder="1" applyFont="1" applyNumberFormat="1">
      <alignment horizontal="center" shrinkToFit="0" vertical="center" wrapText="1"/>
    </xf>
    <xf borderId="0" fillId="0" fontId="30" numFmtId="0" xfId="0" applyAlignment="1" applyFont="1">
      <alignment horizontal="center" readingOrder="0"/>
    </xf>
    <xf borderId="59" fillId="16" fontId="29" numFmtId="1" xfId="0" applyAlignment="1" applyBorder="1" applyFont="1" applyNumberFormat="1">
      <alignment horizontal="center" vertical="center"/>
    </xf>
    <xf borderId="59" fillId="16" fontId="29" numFmtId="2" xfId="0" applyAlignment="1" applyBorder="1" applyFont="1" applyNumberFormat="1">
      <alignment horizontal="center" shrinkToFit="0" vertical="center" wrapText="1"/>
    </xf>
    <xf borderId="61" fillId="40" fontId="30" numFmtId="0" xfId="0" applyAlignment="1" applyBorder="1" applyFill="1" applyFont="1">
      <alignment vertical="center"/>
    </xf>
    <xf borderId="62" fillId="40" fontId="30" numFmtId="0" xfId="0" applyAlignment="1" applyBorder="1" applyFont="1">
      <alignment vertical="center"/>
    </xf>
    <xf borderId="62" fillId="40" fontId="30" numFmtId="0" xfId="0" applyAlignment="1" applyBorder="1" applyFont="1">
      <alignment readingOrder="0" vertical="center"/>
    </xf>
    <xf borderId="63" fillId="40" fontId="30" numFmtId="0" xfId="0" applyAlignment="1" applyBorder="1" applyFont="1">
      <alignment vertical="center"/>
    </xf>
    <xf borderId="59" fillId="41" fontId="29" numFmtId="0" xfId="0" applyAlignment="1" applyBorder="1" applyFill="1" applyFont="1">
      <alignment horizontal="left" readingOrder="0" vertical="center"/>
    </xf>
    <xf borderId="59" fillId="41" fontId="29" numFmtId="0" xfId="0" applyAlignment="1" applyBorder="1" applyFont="1">
      <alignment horizontal="center" readingOrder="0" vertical="center"/>
    </xf>
    <xf borderId="59" fillId="41" fontId="29" numFmtId="0" xfId="0" applyAlignment="1" applyBorder="1" applyFont="1">
      <alignment horizontal="center" vertical="center"/>
    </xf>
    <xf borderId="59" fillId="41" fontId="29" numFmtId="49" xfId="0" applyAlignment="1" applyBorder="1" applyFont="1" applyNumberFormat="1">
      <alignment horizontal="center" vertical="center"/>
    </xf>
    <xf borderId="59" fillId="41" fontId="29" numFmtId="2" xfId="0" applyAlignment="1" applyBorder="1" applyFont="1" applyNumberFormat="1">
      <alignment horizontal="center" vertical="center"/>
    </xf>
    <xf borderId="59" fillId="41" fontId="29" numFmtId="9" xfId="0" applyAlignment="1" applyBorder="1" applyFont="1" applyNumberFormat="1">
      <alignment horizontal="center" vertical="center"/>
    </xf>
    <xf borderId="59" fillId="42" fontId="34" numFmtId="0" xfId="0" applyAlignment="1" applyBorder="1" applyFill="1" applyFont="1">
      <alignment horizontal="left" shrinkToFit="0" vertical="center" wrapText="1"/>
    </xf>
    <xf borderId="59" fillId="42" fontId="34" numFmtId="0" xfId="0" applyAlignment="1" applyBorder="1" applyFont="1">
      <alignment horizontal="center" shrinkToFit="0" vertical="center" wrapText="1"/>
    </xf>
    <xf borderId="59" fillId="42" fontId="34" numFmtId="9" xfId="0" applyAlignment="1" applyBorder="1" applyFont="1" applyNumberFormat="1">
      <alignment horizontal="center" shrinkToFit="0" vertical="center" wrapText="1"/>
    </xf>
    <xf borderId="59" fillId="41" fontId="29" numFmtId="49" xfId="0" applyAlignment="1" applyBorder="1" applyFont="1" applyNumberFormat="1">
      <alignment horizontal="center" shrinkToFit="0" vertical="center" wrapText="1"/>
    </xf>
    <xf borderId="59" fillId="41" fontId="29" numFmtId="49" xfId="0" applyAlignment="1" applyBorder="1" applyFont="1" applyNumberFormat="1">
      <alignment horizontal="center" readingOrder="0" vertical="center"/>
    </xf>
    <xf borderId="59" fillId="41" fontId="29" numFmtId="0" xfId="0" applyAlignment="1" applyBorder="1" applyFont="1">
      <alignment horizontal="left" readingOrder="0" shrinkToFit="0" vertical="center" wrapText="1"/>
    </xf>
    <xf borderId="59" fillId="41" fontId="29" numFmtId="0" xfId="0" applyAlignment="1" applyBorder="1" applyFont="1">
      <alignment horizontal="center" shrinkToFit="0" vertical="center" wrapText="1"/>
    </xf>
    <xf borderId="59" fillId="41" fontId="29" numFmtId="0" xfId="0" applyAlignment="1" applyBorder="1" applyFont="1">
      <alignment horizontal="center" readingOrder="0" shrinkToFit="0" vertical="center" wrapText="1"/>
    </xf>
    <xf borderId="59" fillId="42" fontId="34" numFmtId="0" xfId="0" applyAlignment="1" applyBorder="1" applyFont="1">
      <alignment horizontal="center" readingOrder="0" shrinkToFit="0" vertical="center" wrapText="1"/>
    </xf>
    <xf borderId="59" fillId="42" fontId="34" numFmtId="2" xfId="0" applyAlignment="1" applyBorder="1" applyFont="1" applyNumberFormat="1">
      <alignment horizontal="center" shrinkToFit="0" vertical="center" wrapText="1"/>
    </xf>
    <xf borderId="59" fillId="33" fontId="29" numFmtId="0" xfId="0" applyAlignment="1" applyBorder="1" applyFont="1">
      <alignment horizontal="center" shrinkToFit="0" vertical="center" wrapText="1"/>
    </xf>
    <xf borderId="59" fillId="42" fontId="34" numFmtId="0" xfId="0" applyAlignment="1" applyBorder="1" applyFont="1">
      <alignment horizontal="center" shrinkToFit="0" wrapText="1"/>
    </xf>
    <xf borderId="59" fillId="41" fontId="29" numFmtId="2" xfId="0" applyAlignment="1" applyBorder="1" applyFont="1" applyNumberFormat="1">
      <alignment horizontal="center" shrinkToFit="0" vertical="center" wrapText="1"/>
    </xf>
    <xf borderId="18" fillId="0" fontId="29" numFmtId="0" xfId="0" applyBorder="1" applyFont="1"/>
    <xf borderId="59" fillId="42" fontId="34" numFmtId="9" xfId="0" applyAlignment="1" applyBorder="1" applyFont="1" applyNumberFormat="1">
      <alignment horizontal="center" shrinkToFit="0" wrapText="1"/>
    </xf>
    <xf borderId="59" fillId="42" fontId="34" numFmtId="2" xfId="0" applyAlignment="1" applyBorder="1" applyFont="1" applyNumberFormat="1">
      <alignment horizontal="center" shrinkToFit="0" wrapText="1"/>
    </xf>
    <xf borderId="61" fillId="43" fontId="30" numFmtId="0" xfId="0" applyAlignment="1" applyBorder="1" applyFill="1" applyFont="1">
      <alignment shrinkToFit="0" wrapText="1"/>
    </xf>
    <xf borderId="62" fillId="43" fontId="30" numFmtId="0" xfId="0" applyAlignment="1" applyBorder="1" applyFont="1">
      <alignment shrinkToFit="0" wrapText="1"/>
    </xf>
    <xf borderId="62" fillId="43" fontId="30" numFmtId="0" xfId="0" applyAlignment="1" applyBorder="1" applyFont="1">
      <alignment readingOrder="0"/>
    </xf>
    <xf borderId="64" fillId="43" fontId="30" numFmtId="0" xfId="0" applyAlignment="1" applyBorder="1" applyFont="1">
      <alignment shrinkToFit="0" wrapText="1"/>
    </xf>
    <xf borderId="4" fillId="43" fontId="30" numFmtId="0" xfId="0" applyAlignment="1" applyBorder="1" applyFont="1">
      <alignment shrinkToFit="0" wrapText="1"/>
    </xf>
    <xf borderId="59" fillId="44" fontId="29" numFmtId="0" xfId="0" applyAlignment="1" applyBorder="1" applyFill="1" applyFont="1">
      <alignment horizontal="left" readingOrder="0" shrinkToFit="0" wrapText="1"/>
    </xf>
    <xf borderId="59" fillId="44" fontId="29" numFmtId="0" xfId="0" applyAlignment="1" applyBorder="1" applyFont="1">
      <alignment horizontal="center" shrinkToFit="0" vertical="center" wrapText="1"/>
    </xf>
    <xf borderId="59" fillId="44" fontId="29" numFmtId="49" xfId="0" applyAlignment="1" applyBorder="1" applyFont="1" applyNumberFormat="1">
      <alignment horizontal="center" vertical="center"/>
    </xf>
    <xf borderId="59" fillId="44" fontId="29" numFmtId="2" xfId="0" applyAlignment="1" applyBorder="1" applyFont="1" applyNumberFormat="1">
      <alignment horizontal="center" shrinkToFit="0" vertical="center" wrapText="1"/>
    </xf>
    <xf borderId="59" fillId="44" fontId="29" numFmtId="0" xfId="0" applyAlignment="1" applyBorder="1" applyFont="1">
      <alignment horizontal="center" readingOrder="0" vertical="center"/>
    </xf>
    <xf borderId="59" fillId="44" fontId="29" numFmtId="0" xfId="0" applyAlignment="1" applyBorder="1" applyFont="1">
      <alignment horizontal="center" vertical="center"/>
    </xf>
    <xf borderId="59" fillId="44" fontId="29" numFmtId="9" xfId="0" applyAlignment="1" applyBorder="1" applyFont="1" applyNumberFormat="1">
      <alignment horizontal="center" vertical="center"/>
    </xf>
    <xf borderId="59" fillId="44" fontId="29" numFmtId="49" xfId="0" applyAlignment="1" applyBorder="1" applyFont="1" applyNumberFormat="1">
      <alignment horizontal="center" readingOrder="0" vertical="center"/>
    </xf>
    <xf borderId="60" fillId="44" fontId="29" numFmtId="49" xfId="0" applyAlignment="1" applyBorder="1" applyFont="1" applyNumberFormat="1">
      <alignment horizontal="center" readingOrder="0" vertical="center"/>
    </xf>
    <xf borderId="59" fillId="45" fontId="34" numFmtId="0" xfId="0" applyAlignment="1" applyBorder="1" applyFill="1" applyFont="1">
      <alignment horizontal="left" shrinkToFit="0" vertical="center" wrapText="1"/>
    </xf>
    <xf borderId="59" fillId="45" fontId="34" numFmtId="0" xfId="0" applyAlignment="1" applyBorder="1" applyFont="1">
      <alignment horizontal="center" shrinkToFit="0" vertical="center" wrapText="1"/>
    </xf>
    <xf borderId="59" fillId="45" fontId="34" numFmtId="0" xfId="0" applyAlignment="1" applyBorder="1" applyFont="1">
      <alignment horizontal="center" readingOrder="0" shrinkToFit="0" vertical="center" wrapText="1"/>
    </xf>
    <xf borderId="59" fillId="45" fontId="34" numFmtId="9" xfId="0" applyAlignment="1" applyBorder="1" applyFont="1" applyNumberFormat="1">
      <alignment horizontal="center" shrinkToFit="0" vertical="center" wrapText="1"/>
    </xf>
    <xf borderId="59" fillId="45" fontId="34" numFmtId="164" xfId="0" applyAlignment="1" applyBorder="1" applyFont="1" applyNumberFormat="1">
      <alignment horizontal="center" shrinkToFit="0" vertical="center" wrapText="1"/>
    </xf>
    <xf borderId="59" fillId="44" fontId="29" numFmtId="49" xfId="0" applyAlignment="1" applyBorder="1" applyFont="1" applyNumberFormat="1">
      <alignment horizontal="center" shrinkToFit="0" vertical="center" wrapText="1"/>
    </xf>
    <xf borderId="59" fillId="44" fontId="29" numFmtId="0" xfId="0" applyAlignment="1" applyBorder="1" applyFont="1">
      <alignment horizontal="left" readingOrder="0" shrinkToFit="0" vertical="center" wrapText="1"/>
    </xf>
    <xf borderId="59" fillId="44" fontId="29" numFmtId="49" xfId="0" applyAlignment="1" applyBorder="1" applyFont="1" applyNumberFormat="1">
      <alignment horizontal="center" readingOrder="0" shrinkToFit="0" vertical="center" wrapText="1"/>
    </xf>
    <xf borderId="58" fillId="44" fontId="29" numFmtId="49" xfId="0" applyAlignment="1" applyBorder="1" applyFont="1" applyNumberFormat="1">
      <alignment horizontal="center" vertical="center"/>
    </xf>
    <xf borderId="61" fillId="46" fontId="30" numFmtId="0" xfId="0" applyAlignment="1" applyBorder="1" applyFill="1" applyFont="1">
      <alignment vertical="center"/>
    </xf>
    <xf borderId="62" fillId="46" fontId="30" numFmtId="0" xfId="0" applyAlignment="1" applyBorder="1" applyFont="1">
      <alignment vertical="center"/>
    </xf>
    <xf borderId="62" fillId="46" fontId="30" numFmtId="0" xfId="0" applyAlignment="1" applyBorder="1" applyFont="1">
      <alignment readingOrder="0" vertical="center"/>
    </xf>
    <xf borderId="64" fillId="46" fontId="30" numFmtId="0" xfId="0" applyAlignment="1" applyBorder="1" applyFont="1">
      <alignment vertical="center"/>
    </xf>
    <xf borderId="4" fillId="46" fontId="30" numFmtId="0" xfId="0" applyAlignment="1" applyBorder="1" applyFont="1">
      <alignment vertical="center"/>
    </xf>
    <xf borderId="59" fillId="47" fontId="29" numFmtId="0" xfId="0" applyAlignment="1" applyBorder="1" applyFill="1" applyFont="1">
      <alignment horizontal="left" readingOrder="0" vertical="center"/>
    </xf>
    <xf borderId="59" fillId="47" fontId="29" numFmtId="0" xfId="0" applyAlignment="1" applyBorder="1" applyFont="1">
      <alignment horizontal="center" vertical="center"/>
    </xf>
    <xf borderId="59" fillId="47" fontId="29" numFmtId="49" xfId="0" applyAlignment="1" applyBorder="1" applyFont="1" applyNumberFormat="1">
      <alignment horizontal="center" vertical="center"/>
    </xf>
    <xf borderId="59" fillId="47" fontId="29" numFmtId="2" xfId="0" applyAlignment="1" applyBorder="1" applyFont="1" applyNumberFormat="1">
      <alignment horizontal="center" vertical="center"/>
    </xf>
    <xf borderId="59" fillId="47" fontId="29" numFmtId="0" xfId="0" applyAlignment="1" applyBorder="1" applyFont="1">
      <alignment horizontal="center" readingOrder="0" shrinkToFit="0" wrapText="1"/>
    </xf>
    <xf borderId="59" fillId="47" fontId="29" numFmtId="0" xfId="0" applyAlignment="1" applyBorder="1" applyFont="1">
      <alignment horizontal="center" readingOrder="0" vertical="center"/>
    </xf>
    <xf borderId="59" fillId="47" fontId="29" numFmtId="9" xfId="0" applyAlignment="1" applyBorder="1" applyFont="1" applyNumberFormat="1">
      <alignment horizontal="center" vertical="center"/>
    </xf>
    <xf borderId="59" fillId="47" fontId="35" numFmtId="49" xfId="0" applyAlignment="1" applyBorder="1" applyFont="1" applyNumberFormat="1">
      <alignment horizontal="center" vertical="center"/>
    </xf>
    <xf borderId="60" fillId="47" fontId="29" numFmtId="49" xfId="0" applyAlignment="1" applyBorder="1" applyFont="1" applyNumberFormat="1">
      <alignment horizontal="center" vertical="center"/>
    </xf>
    <xf borderId="59" fillId="48" fontId="34" numFmtId="0" xfId="0" applyAlignment="1" applyBorder="1" applyFill="1" applyFont="1">
      <alignment horizontal="left" shrinkToFit="0" vertical="center" wrapText="1"/>
    </xf>
    <xf borderId="59" fillId="48" fontId="34" numFmtId="0" xfId="0" applyAlignment="1" applyBorder="1" applyFont="1">
      <alignment horizontal="center" shrinkToFit="0" vertical="center" wrapText="1"/>
    </xf>
    <xf borderId="59" fillId="47" fontId="29" numFmtId="0" xfId="0" applyAlignment="1" applyBorder="1" applyFont="1">
      <alignment horizontal="center" shrinkToFit="0" wrapText="1"/>
    </xf>
    <xf borderId="59" fillId="48" fontId="34" numFmtId="9" xfId="0" applyAlignment="1" applyBorder="1" applyFont="1" applyNumberFormat="1">
      <alignment horizontal="center" shrinkToFit="0" vertical="center" wrapText="1"/>
    </xf>
    <xf borderId="59" fillId="48" fontId="34" numFmtId="164" xfId="0" applyAlignment="1" applyBorder="1" applyFont="1" applyNumberFormat="1">
      <alignment horizontal="center" shrinkToFit="0" vertical="center" wrapText="1"/>
    </xf>
    <xf borderId="59" fillId="47" fontId="29" numFmtId="0" xfId="0" applyAlignment="1" applyBorder="1" applyFont="1">
      <alignment horizontal="center" shrinkToFit="0" vertical="center" wrapText="1"/>
    </xf>
    <xf borderId="59" fillId="47" fontId="29" numFmtId="49" xfId="0" applyAlignment="1" applyBorder="1" applyFont="1" applyNumberFormat="1">
      <alignment horizontal="center" shrinkToFit="0" vertical="center" wrapText="1"/>
    </xf>
    <xf borderId="59" fillId="47" fontId="29" numFmtId="0" xfId="0" applyAlignment="1" applyBorder="1" applyFont="1">
      <alignment horizontal="left" readingOrder="0" shrinkToFit="0" wrapText="1"/>
    </xf>
    <xf borderId="59" fillId="47" fontId="29" numFmtId="49" xfId="0" applyAlignment="1" applyBorder="1" applyFont="1" applyNumberFormat="1">
      <alignment horizontal="center" shrinkToFit="0" wrapText="1"/>
    </xf>
    <xf borderId="59" fillId="47" fontId="29" numFmtId="0" xfId="0" applyAlignment="1" applyBorder="1" applyFont="1">
      <alignment horizontal="center" shrinkToFit="0" vertical="top" wrapText="1"/>
    </xf>
    <xf borderId="59" fillId="47" fontId="29" numFmtId="0" xfId="0" applyAlignment="1" applyBorder="1" applyFont="1">
      <alignment horizontal="left" readingOrder="0" shrinkToFit="0" vertical="center" wrapText="1"/>
    </xf>
    <xf borderId="59" fillId="47" fontId="29" numFmtId="0" xfId="0" applyAlignment="1" applyBorder="1" applyFont="1">
      <alignment horizontal="center" readingOrder="0" shrinkToFit="0" vertical="center" wrapText="1"/>
    </xf>
    <xf borderId="59" fillId="47" fontId="29" numFmtId="1" xfId="0" applyAlignment="1" applyBorder="1" applyFont="1" applyNumberFormat="1">
      <alignment horizontal="center" vertical="center"/>
    </xf>
    <xf borderId="59" fillId="47" fontId="35" numFmtId="49" xfId="0" applyAlignment="1" applyBorder="1" applyFont="1" applyNumberFormat="1">
      <alignment horizontal="center" readingOrder="0" vertical="center"/>
    </xf>
    <xf borderId="59" fillId="47" fontId="29" numFmtId="49" xfId="0" applyAlignment="1" applyBorder="1" applyFont="1" applyNumberFormat="1">
      <alignment horizontal="center" readingOrder="0" vertical="center"/>
    </xf>
    <xf borderId="59" fillId="47" fontId="29" numFmtId="1" xfId="0" applyAlignment="1" applyBorder="1" applyFont="1" applyNumberFormat="1">
      <alignment horizontal="center" shrinkToFit="0" wrapText="1"/>
    </xf>
    <xf borderId="18" fillId="0" fontId="29" numFmtId="0" xfId="0" applyAlignment="1" applyBorder="1" applyFont="1">
      <alignment horizontal="center"/>
    </xf>
    <xf borderId="1" fillId="0" fontId="27" numFmtId="0" xfId="0" applyAlignment="1" applyBorder="1" applyFont="1">
      <alignment horizontal="center" readingOrder="0"/>
    </xf>
    <xf borderId="4" fillId="0" fontId="13" numFmtId="0" xfId="0" applyBorder="1" applyFont="1"/>
    <xf borderId="58" fillId="0" fontId="27" numFmtId="0" xfId="0" applyAlignment="1" applyBorder="1" applyFont="1">
      <alignment horizontal="center" vertical="center"/>
    </xf>
    <xf borderId="58" fillId="0" fontId="4" numFmtId="0" xfId="0" applyAlignment="1" applyBorder="1" applyFont="1">
      <alignment horizontal="center" readingOrder="0" shrinkToFit="0" vertical="center" wrapText="1"/>
    </xf>
    <xf borderId="6" fillId="0" fontId="13" numFmtId="0" xfId="0" applyBorder="1" applyFont="1"/>
    <xf borderId="0" fillId="2" fontId="29" numFmtId="0" xfId="0" applyAlignment="1" applyFont="1">
      <alignment horizontal="center" vertical="center"/>
    </xf>
    <xf borderId="60" fillId="0" fontId="27" numFmtId="0" xfId="0" applyAlignment="1" applyBorder="1" applyFont="1">
      <alignment horizontal="center" readingOrder="0" shrinkToFit="0" vertical="center" wrapText="1"/>
    </xf>
    <xf borderId="59" fillId="0" fontId="27" numFmtId="0" xfId="0" applyAlignment="1" applyBorder="1" applyFont="1">
      <alignment horizontal="center" shrinkToFit="0" wrapText="1"/>
    </xf>
    <xf borderId="21" fillId="0" fontId="13" numFmtId="0" xfId="0" applyBorder="1" applyFont="1"/>
    <xf borderId="61" fillId="49" fontId="30" numFmtId="0" xfId="0" applyAlignment="1" applyBorder="1" applyFill="1" applyFont="1">
      <alignment shrinkToFit="0" wrapText="1"/>
    </xf>
    <xf borderId="62" fillId="49" fontId="30" numFmtId="0" xfId="0" applyAlignment="1" applyBorder="1" applyFont="1">
      <alignment shrinkToFit="0" wrapText="1"/>
    </xf>
    <xf borderId="62" fillId="49" fontId="30" numFmtId="0" xfId="0" applyAlignment="1" applyBorder="1" applyFont="1">
      <alignment readingOrder="0"/>
    </xf>
    <xf borderId="63" fillId="49" fontId="30" numFmtId="0" xfId="0" applyAlignment="1" applyBorder="1" applyFont="1">
      <alignment shrinkToFit="0" wrapText="1"/>
    </xf>
    <xf borderId="59" fillId="50" fontId="29" numFmtId="0" xfId="0" applyAlignment="1" applyBorder="1" applyFill="1" applyFont="1">
      <alignment horizontal="left" readingOrder="0" shrinkToFit="0" wrapText="1"/>
    </xf>
    <xf borderId="59" fillId="50" fontId="29" numFmtId="0" xfId="0" applyAlignment="1" applyBorder="1" applyFont="1">
      <alignment horizontal="center" shrinkToFit="0" vertical="center" wrapText="1"/>
    </xf>
    <xf borderId="59" fillId="50" fontId="29" numFmtId="1" xfId="0" applyAlignment="1" applyBorder="1" applyFont="1" applyNumberFormat="1">
      <alignment horizontal="center" shrinkToFit="0" vertical="center" wrapText="1"/>
    </xf>
    <xf borderId="59" fillId="50" fontId="29" numFmtId="2" xfId="0" applyAlignment="1" applyBorder="1" applyFont="1" applyNumberFormat="1">
      <alignment horizontal="center" shrinkToFit="0" vertical="center" wrapText="1"/>
    </xf>
    <xf borderId="59" fillId="50" fontId="29" numFmtId="0" xfId="0" applyAlignment="1" applyBorder="1" applyFont="1">
      <alignment horizontal="center" vertical="center"/>
    </xf>
    <xf borderId="1" fillId="50" fontId="29" numFmtId="49" xfId="0" applyAlignment="1" applyBorder="1" applyFont="1" applyNumberFormat="1">
      <alignment horizontal="center" vertical="center"/>
    </xf>
    <xf borderId="59" fillId="51" fontId="29" numFmtId="0" xfId="0" applyAlignment="1" applyBorder="1" applyFill="1" applyFont="1">
      <alignment horizontal="left" readingOrder="0" shrinkToFit="0" vertical="center" wrapText="1"/>
    </xf>
    <xf borderId="59" fillId="51" fontId="29" numFmtId="0" xfId="0" applyAlignment="1" applyBorder="1" applyFont="1">
      <alignment horizontal="center" shrinkToFit="0" vertical="center" wrapText="1"/>
    </xf>
    <xf borderId="59" fillId="51" fontId="29" numFmtId="0" xfId="0" applyAlignment="1" applyBorder="1" applyFont="1">
      <alignment horizontal="center" readingOrder="0" shrinkToFit="0" vertical="center" wrapText="1"/>
    </xf>
    <xf borderId="59" fillId="51" fontId="29" numFmtId="1" xfId="0" applyAlignment="1" applyBorder="1" applyFont="1" applyNumberFormat="1">
      <alignment horizontal="center" shrinkToFit="0" vertical="center" wrapText="1"/>
    </xf>
    <xf borderId="59" fillId="51" fontId="29" numFmtId="2" xfId="0" applyAlignment="1" applyBorder="1" applyFont="1" applyNumberFormat="1">
      <alignment horizontal="center" shrinkToFit="0" vertical="center" wrapText="1"/>
    </xf>
    <xf borderId="59" fillId="51" fontId="29" numFmtId="0" xfId="0" applyAlignment="1" applyBorder="1" applyFont="1">
      <alignment horizontal="center" vertical="center"/>
    </xf>
    <xf borderId="59" fillId="51" fontId="29" numFmtId="0" xfId="0" applyAlignment="1" applyBorder="1" applyFont="1">
      <alignment horizontal="center" readingOrder="0" vertical="center"/>
    </xf>
    <xf borderId="1" fillId="51" fontId="29" numFmtId="49" xfId="0" applyAlignment="1" applyBorder="1" applyFont="1" applyNumberFormat="1">
      <alignment horizontal="center" readingOrder="0" vertical="center"/>
    </xf>
    <xf quotePrefix="1" borderId="4" fillId="51" fontId="29" numFmtId="49" xfId="0" applyAlignment="1" applyBorder="1" applyFont="1" applyNumberFormat="1">
      <alignment horizontal="center" readingOrder="0" shrinkToFit="0" vertical="center" wrapText="1"/>
    </xf>
    <xf borderId="0" fillId="0" fontId="29" numFmtId="0" xfId="0" applyAlignment="1" applyFont="1">
      <alignment readingOrder="0"/>
    </xf>
    <xf borderId="59" fillId="52" fontId="34" numFmtId="0" xfId="0" applyAlignment="1" applyBorder="1" applyFill="1" applyFont="1">
      <alignment horizontal="left" shrinkToFit="0" vertical="center" wrapText="1"/>
    </xf>
    <xf borderId="59" fillId="52" fontId="34" numFmtId="0" xfId="0" applyAlignment="1" applyBorder="1" applyFont="1">
      <alignment horizontal="center" shrinkToFit="0" vertical="center" wrapText="1"/>
    </xf>
    <xf borderId="59" fillId="51" fontId="29" numFmtId="1" xfId="0" applyAlignment="1" applyBorder="1" applyFont="1" applyNumberFormat="1">
      <alignment horizontal="center" shrinkToFit="0" wrapText="1"/>
    </xf>
    <xf borderId="59" fillId="51" fontId="29" numFmtId="0" xfId="0" applyAlignment="1" applyBorder="1" applyFont="1">
      <alignment horizontal="center" shrinkToFit="0" vertical="top" wrapText="1"/>
    </xf>
    <xf borderId="59" fillId="51" fontId="29" numFmtId="0" xfId="0" applyAlignment="1" applyBorder="1" applyFont="1">
      <alignment horizontal="center" shrinkToFit="0" wrapText="1"/>
    </xf>
    <xf borderId="59" fillId="51" fontId="29" numFmtId="2" xfId="0" applyAlignment="1" applyBorder="1" applyFont="1" applyNumberFormat="1">
      <alignment horizontal="center" shrinkToFit="0" wrapText="1"/>
    </xf>
    <xf borderId="59" fillId="51" fontId="29" numFmtId="0" xfId="0" applyAlignment="1" applyBorder="1" applyFont="1">
      <alignment horizontal="center"/>
    </xf>
    <xf borderId="61" fillId="51" fontId="29" numFmtId="49" xfId="0" applyAlignment="1" applyBorder="1" applyFont="1" applyNumberFormat="1">
      <alignment horizontal="center" vertical="center"/>
    </xf>
    <xf borderId="63" fillId="51" fontId="29" numFmtId="49" xfId="0" applyAlignment="1" applyBorder="1" applyFont="1" applyNumberFormat="1">
      <alignment horizontal="center" vertical="center"/>
    </xf>
    <xf borderId="1" fillId="51" fontId="29" numFmtId="49" xfId="0" applyAlignment="1" applyBorder="1" applyFont="1" applyNumberFormat="1">
      <alignment horizontal="center" vertical="center"/>
    </xf>
    <xf borderId="59" fillId="52" fontId="34" numFmtId="9" xfId="0" applyAlignment="1" applyBorder="1" applyFont="1" applyNumberFormat="1">
      <alignment horizontal="center" shrinkToFit="0" vertical="center" wrapText="1"/>
    </xf>
    <xf borderId="59" fillId="52" fontId="34" numFmtId="164" xfId="0" applyAlignment="1" applyBorder="1" applyFont="1" applyNumberFormat="1">
      <alignment horizontal="center" shrinkToFit="0" vertical="center" wrapText="1"/>
    </xf>
    <xf borderId="59" fillId="51" fontId="29" numFmtId="0" xfId="0" applyAlignment="1" applyBorder="1" applyFont="1">
      <alignment horizontal="left" readingOrder="0" shrinkToFit="0" wrapText="1"/>
    </xf>
    <xf borderId="59" fillId="51" fontId="29" numFmtId="49" xfId="0" applyAlignment="1" applyBorder="1" applyFont="1" applyNumberFormat="1">
      <alignment horizontal="center" shrinkToFit="0" wrapText="1"/>
    </xf>
    <xf borderId="1" fillId="51" fontId="29" numFmtId="0" xfId="0" applyAlignment="1" applyBorder="1" applyFont="1">
      <alignment horizontal="center" readingOrder="0" vertical="center"/>
    </xf>
    <xf borderId="4" fillId="51" fontId="29" numFmtId="0" xfId="0" applyAlignment="1" applyBorder="1" applyFont="1">
      <alignment horizontal="center" readingOrder="0" vertical="center"/>
    </xf>
    <xf borderId="61" fillId="51" fontId="29" numFmtId="0" xfId="0" applyAlignment="1" applyBorder="1" applyFont="1">
      <alignment horizontal="center" vertical="center"/>
    </xf>
    <xf borderId="63" fillId="51" fontId="29" numFmtId="0" xfId="0" applyAlignment="1" applyBorder="1" applyFont="1">
      <alignment horizontal="center" vertical="center"/>
    </xf>
    <xf borderId="59" fillId="51" fontId="29" numFmtId="0" xfId="0" applyAlignment="1" applyBorder="1" applyFont="1">
      <alignment horizontal="center" readingOrder="0" shrinkToFit="0" wrapText="1"/>
    </xf>
    <xf borderId="59" fillId="51" fontId="29" numFmtId="0" xfId="0" applyAlignment="1" applyBorder="1" applyFont="1">
      <alignment horizontal="center" readingOrder="0"/>
    </xf>
    <xf borderId="59" fillId="51" fontId="29" numFmtId="49" xfId="0" applyAlignment="1" applyBorder="1" applyFont="1" applyNumberFormat="1">
      <alignment horizontal="center" readingOrder="0" vertical="center"/>
    </xf>
    <xf borderId="4" fillId="51" fontId="29" numFmtId="49" xfId="0" applyAlignment="1" applyBorder="1" applyFont="1" applyNumberFormat="1">
      <alignment horizontal="center" readingOrder="0" vertical="center"/>
    </xf>
    <xf borderId="59" fillId="51" fontId="29" numFmtId="49" xfId="0" applyAlignment="1" applyBorder="1" applyFont="1" applyNumberFormat="1">
      <alignment horizontal="center" vertical="center"/>
    </xf>
    <xf borderId="62" fillId="51" fontId="29" numFmtId="49" xfId="0" applyAlignment="1" applyBorder="1" applyFont="1" applyNumberFormat="1">
      <alignment horizontal="center" shrinkToFit="0" wrapText="1"/>
    </xf>
    <xf borderId="62" fillId="51" fontId="29" numFmtId="0" xfId="0" applyAlignment="1" applyBorder="1" applyFont="1">
      <alignment horizontal="center" shrinkToFit="0" vertical="top" wrapText="1"/>
    </xf>
    <xf borderId="62" fillId="51" fontId="29" numFmtId="0" xfId="0" applyAlignment="1" applyBorder="1" applyFont="1">
      <alignment horizontal="center" shrinkToFit="0" wrapText="1"/>
    </xf>
    <xf borderId="62" fillId="51" fontId="29" numFmtId="2" xfId="0" applyAlignment="1" applyBorder="1" applyFont="1" applyNumberFormat="1">
      <alignment horizontal="center" shrinkToFit="0" wrapText="1"/>
    </xf>
    <xf borderId="62" fillId="51" fontId="29" numFmtId="0" xfId="0" applyAlignment="1" applyBorder="1" applyFont="1">
      <alignment horizontal="center"/>
    </xf>
    <xf borderId="62" fillId="51" fontId="29" numFmtId="0" xfId="0" applyAlignment="1" applyBorder="1" applyFont="1">
      <alignment horizontal="center" vertical="center"/>
    </xf>
    <xf borderId="61" fillId="52" fontId="30" numFmtId="0" xfId="0" applyAlignment="1" applyBorder="1" applyFont="1">
      <alignment shrinkToFit="0" wrapText="1"/>
    </xf>
    <xf borderId="62" fillId="52" fontId="30" numFmtId="0" xfId="0" applyAlignment="1" applyBorder="1" applyFont="1">
      <alignment shrinkToFit="0" wrapText="1"/>
    </xf>
    <xf borderId="62" fillId="52" fontId="30" numFmtId="0" xfId="0" applyAlignment="1" applyBorder="1" applyFont="1">
      <alignment readingOrder="0"/>
    </xf>
    <xf borderId="63" fillId="52" fontId="30" numFmtId="0" xfId="0" applyAlignment="1" applyBorder="1" applyFont="1">
      <alignment shrinkToFit="0" wrapText="1"/>
    </xf>
    <xf borderId="59" fillId="53" fontId="29" numFmtId="0" xfId="0" applyAlignment="1" applyBorder="1" applyFill="1" applyFont="1">
      <alignment horizontal="left" readingOrder="0" shrinkToFit="0" vertical="center" wrapText="1"/>
    </xf>
    <xf borderId="59" fillId="53" fontId="29" numFmtId="0" xfId="0" applyAlignment="1" applyBorder="1" applyFont="1">
      <alignment horizontal="center" shrinkToFit="0" vertical="center" wrapText="1"/>
    </xf>
    <xf borderId="59" fillId="53" fontId="29" numFmtId="0" xfId="0" applyAlignment="1" applyBorder="1" applyFont="1">
      <alignment horizontal="center" readingOrder="0" shrinkToFit="0" vertical="center" wrapText="1"/>
    </xf>
    <xf borderId="1" fillId="53" fontId="29" numFmtId="0" xfId="0" applyAlignment="1" applyBorder="1" applyFont="1">
      <alignment horizontal="center" readingOrder="0" shrinkToFit="0" vertical="center" wrapText="1"/>
    </xf>
    <xf borderId="59" fillId="53" fontId="29" numFmtId="0" xfId="0" applyAlignment="1" applyBorder="1" applyFont="1">
      <alignment horizontal="left" readingOrder="0" shrinkToFit="0" wrapText="1"/>
    </xf>
    <xf borderId="1" fillId="53" fontId="29" numFmtId="0" xfId="0" applyAlignment="1" applyBorder="1" applyFont="1">
      <alignment horizontal="center" shrinkToFit="0" vertical="center" wrapText="1"/>
    </xf>
    <xf borderId="59" fillId="53" fontId="29" numFmtId="0" xfId="0" applyAlignment="1" applyBorder="1" applyFont="1">
      <alignment horizontal="center" shrinkToFit="0" wrapText="1"/>
    </xf>
    <xf borderId="59" fillId="53" fontId="29" numFmtId="0" xfId="0" applyAlignment="1" applyBorder="1" applyFont="1">
      <alignment horizontal="center" readingOrder="0" shrinkToFit="0" wrapText="1"/>
    </xf>
    <xf borderId="59" fillId="53" fontId="29" numFmtId="1" xfId="0" applyAlignment="1" applyBorder="1" applyFont="1" applyNumberFormat="1">
      <alignment horizontal="center" shrinkToFit="0" wrapText="1"/>
    </xf>
    <xf borderId="59" fillId="53" fontId="29" numFmtId="0" xfId="0" applyAlignment="1" applyBorder="1" applyFont="1">
      <alignment horizontal="center" readingOrder="0" shrinkToFit="0" vertical="top" wrapText="1"/>
    </xf>
    <xf borderId="59" fillId="53" fontId="29" numFmtId="2" xfId="0" applyAlignment="1" applyBorder="1" applyFont="1" applyNumberFormat="1">
      <alignment horizontal="center" shrinkToFit="0" wrapText="1"/>
    </xf>
    <xf borderId="59" fillId="53" fontId="29" numFmtId="0" xfId="0" applyAlignment="1" applyBorder="1" applyFont="1">
      <alignment horizontal="center" readingOrder="0"/>
    </xf>
    <xf borderId="59" fillId="53" fontId="29" numFmtId="0" xfId="0" applyAlignment="1" applyBorder="1" applyFont="1">
      <alignment horizontal="center" vertical="center"/>
    </xf>
    <xf borderId="59" fillId="53" fontId="29" numFmtId="0" xfId="0" applyAlignment="1" applyBorder="1" applyFont="1">
      <alignment horizontal="center" readingOrder="0" vertical="center"/>
    </xf>
    <xf quotePrefix="1" borderId="1" fillId="53" fontId="29" numFmtId="49" xfId="0" applyAlignment="1" applyBorder="1" applyFont="1" applyNumberFormat="1">
      <alignment horizontal="center" readingOrder="0" vertical="center"/>
    </xf>
    <xf borderId="59" fillId="54" fontId="34" numFmtId="0" xfId="0" applyAlignment="1" applyBorder="1" applyFill="1" applyFont="1">
      <alignment horizontal="left" shrinkToFit="0" vertical="center" wrapText="1"/>
    </xf>
    <xf borderId="59" fillId="54" fontId="34" numFmtId="0" xfId="0" applyAlignment="1" applyBorder="1" applyFont="1">
      <alignment horizontal="center" shrinkToFit="0" vertical="center" wrapText="1"/>
    </xf>
    <xf borderId="59" fillId="54" fontId="29" numFmtId="1" xfId="0" applyAlignment="1" applyBorder="1" applyFont="1" applyNumberFormat="1">
      <alignment horizontal="center" shrinkToFit="0" wrapText="1"/>
    </xf>
    <xf borderId="59" fillId="54" fontId="29" numFmtId="0" xfId="0" applyAlignment="1" applyBorder="1" applyFont="1">
      <alignment horizontal="center" shrinkToFit="0" vertical="top" wrapText="1"/>
    </xf>
    <xf borderId="59" fillId="54" fontId="29" numFmtId="0" xfId="0" applyAlignment="1" applyBorder="1" applyFont="1">
      <alignment horizontal="center" shrinkToFit="0" wrapText="1"/>
    </xf>
    <xf borderId="59" fillId="54" fontId="29" numFmtId="2" xfId="0" applyAlignment="1" applyBorder="1" applyFont="1" applyNumberFormat="1">
      <alignment horizontal="center" shrinkToFit="0" wrapText="1"/>
    </xf>
    <xf borderId="59" fillId="54" fontId="29" numFmtId="0" xfId="0" applyAlignment="1" applyBorder="1" applyFont="1">
      <alignment horizontal="center"/>
    </xf>
    <xf borderId="59" fillId="54" fontId="29" numFmtId="0" xfId="0" applyAlignment="1" applyBorder="1" applyFont="1">
      <alignment horizontal="center" vertical="center"/>
    </xf>
    <xf borderId="59" fillId="54" fontId="29" numFmtId="49" xfId="0" applyAlignment="1" applyBorder="1" applyFont="1" applyNumberFormat="1">
      <alignment horizontal="center" vertical="center"/>
    </xf>
    <xf borderId="59" fillId="54" fontId="34" numFmtId="49" xfId="0" applyAlignment="1" applyBorder="1" applyFont="1" applyNumberFormat="1">
      <alignment horizontal="center" vertical="center"/>
    </xf>
    <xf borderId="59" fillId="54" fontId="34" numFmtId="9" xfId="0" applyAlignment="1" applyBorder="1" applyFont="1" applyNumberFormat="1">
      <alignment horizontal="center" shrinkToFit="0" vertical="center" wrapText="1"/>
    </xf>
    <xf borderId="59" fillId="54" fontId="34" numFmtId="164" xfId="0" applyAlignment="1" applyBorder="1" applyFont="1" applyNumberFormat="1">
      <alignment horizontal="center" shrinkToFit="0" vertical="center" wrapText="1"/>
    </xf>
    <xf borderId="61" fillId="55" fontId="30" numFmtId="0" xfId="0" applyBorder="1" applyFill="1" applyFont="1"/>
    <xf borderId="62" fillId="55" fontId="30" numFmtId="0" xfId="0" applyBorder="1" applyFont="1"/>
    <xf borderId="62" fillId="55" fontId="30" numFmtId="0" xfId="0" applyAlignment="1" applyBorder="1" applyFont="1">
      <alignment readingOrder="0"/>
    </xf>
    <xf borderId="63" fillId="55" fontId="30" numFmtId="0" xfId="0" applyBorder="1" applyFont="1"/>
    <xf borderId="59" fillId="56" fontId="28" numFmtId="0" xfId="0" applyAlignment="1" applyBorder="1" applyFill="1" applyFont="1">
      <alignment horizontal="left" readingOrder="0" shrinkToFit="0" vertical="center" wrapText="1"/>
    </xf>
    <xf borderId="59" fillId="56" fontId="29" numFmtId="0" xfId="0" applyAlignment="1" applyBorder="1" applyFont="1">
      <alignment horizontal="center" shrinkToFit="0" vertical="center" wrapText="1"/>
    </xf>
    <xf borderId="59" fillId="56" fontId="29" numFmtId="0" xfId="0" applyAlignment="1" applyBorder="1" applyFont="1">
      <alignment horizontal="center" readingOrder="0" shrinkToFit="0" vertical="center" wrapText="1"/>
    </xf>
    <xf borderId="59" fillId="56" fontId="29" numFmtId="1" xfId="0" applyAlignment="1" applyBorder="1" applyFont="1" applyNumberFormat="1">
      <alignment horizontal="center" shrinkToFit="0" vertical="center" wrapText="1"/>
    </xf>
    <xf borderId="1" fillId="56" fontId="33" numFmtId="49" xfId="0" applyAlignment="1" applyBorder="1" applyFont="1" applyNumberFormat="1">
      <alignment horizontal="center" readingOrder="0" shrinkToFit="0" vertical="center" wrapText="1"/>
    </xf>
    <xf borderId="0" fillId="2" fontId="36" numFmtId="0" xfId="0" applyAlignment="1" applyFont="1">
      <alignment readingOrder="0"/>
    </xf>
    <xf borderId="59" fillId="57" fontId="34" numFmtId="0" xfId="0" applyAlignment="1" applyBorder="1" applyFill="1" applyFont="1">
      <alignment horizontal="left" shrinkToFit="0" vertical="center" wrapText="1"/>
    </xf>
    <xf borderId="59" fillId="57" fontId="34" numFmtId="0" xfId="0" applyAlignment="1" applyBorder="1" applyFont="1">
      <alignment horizontal="center" shrinkToFit="0" vertical="center" wrapText="1"/>
    </xf>
    <xf borderId="59" fillId="57" fontId="29" numFmtId="1" xfId="0" applyAlignment="1" applyBorder="1" applyFont="1" applyNumberFormat="1">
      <alignment horizontal="center" shrinkToFit="0" wrapText="1"/>
    </xf>
    <xf borderId="59" fillId="57" fontId="29" numFmtId="0" xfId="0" applyAlignment="1" applyBorder="1" applyFont="1">
      <alignment horizontal="center" shrinkToFit="0" vertical="top" wrapText="1"/>
    </xf>
    <xf borderId="59" fillId="57" fontId="29" numFmtId="0" xfId="0" applyAlignment="1" applyBorder="1" applyFont="1">
      <alignment horizontal="center" shrinkToFit="0" wrapText="1"/>
    </xf>
    <xf borderId="59" fillId="57" fontId="29" numFmtId="2" xfId="0" applyAlignment="1" applyBorder="1" applyFont="1" applyNumberFormat="1">
      <alignment horizontal="center" shrinkToFit="0" wrapText="1"/>
    </xf>
    <xf borderId="59" fillId="57" fontId="29" numFmtId="0" xfId="0" applyAlignment="1" applyBorder="1" applyFont="1">
      <alignment horizontal="center"/>
    </xf>
    <xf borderId="59" fillId="57" fontId="29" numFmtId="0" xfId="0" applyAlignment="1" applyBorder="1" applyFont="1">
      <alignment horizontal="center" vertical="center"/>
    </xf>
    <xf borderId="1" fillId="57" fontId="29" numFmtId="49" xfId="0" applyAlignment="1" applyBorder="1" applyFont="1" applyNumberFormat="1">
      <alignment horizontal="center" vertical="center"/>
    </xf>
    <xf borderId="2" fillId="57" fontId="34" numFmtId="49" xfId="0" applyAlignment="1" applyBorder="1" applyFont="1" applyNumberFormat="1">
      <alignment horizontal="center" readingOrder="0"/>
    </xf>
    <xf borderId="59" fillId="57" fontId="34" numFmtId="9" xfId="0" applyAlignment="1" applyBorder="1" applyFont="1" applyNumberFormat="1">
      <alignment horizontal="center" shrinkToFit="0" vertical="center" wrapText="1"/>
    </xf>
    <xf borderId="59" fillId="57" fontId="34" numFmtId="164" xfId="0" applyAlignment="1" applyBorder="1" applyFont="1" applyNumberFormat="1">
      <alignment horizontal="center" shrinkToFit="0" vertical="center" wrapText="1"/>
    </xf>
    <xf borderId="59" fillId="56" fontId="29" numFmtId="0" xfId="0" applyAlignment="1" applyBorder="1" applyFont="1">
      <alignment horizontal="center" vertical="center"/>
    </xf>
    <xf quotePrefix="1" borderId="2" fillId="56" fontId="33" numFmtId="49" xfId="0" applyAlignment="1" applyBorder="1" applyFont="1" applyNumberFormat="1">
      <alignment horizontal="center" readingOrder="0" shrinkToFit="0" wrapText="1"/>
    </xf>
    <xf borderId="59" fillId="56" fontId="29" numFmtId="0" xfId="0" applyAlignment="1" applyBorder="1" applyFont="1">
      <alignment horizontal="left" readingOrder="0" shrinkToFit="0" vertical="center" wrapText="1"/>
    </xf>
    <xf borderId="59" fillId="56" fontId="29" numFmtId="0" xfId="0" applyAlignment="1" applyBorder="1" applyFont="1">
      <alignment horizontal="left" readingOrder="0" vertical="center"/>
    </xf>
    <xf borderId="59" fillId="56" fontId="29" numFmtId="1" xfId="0" applyAlignment="1" applyBorder="1" applyFont="1" applyNumberFormat="1">
      <alignment horizontal="center" vertical="center"/>
    </xf>
    <xf quotePrefix="1" borderId="3" fillId="56" fontId="33" numFmtId="49" xfId="0" applyAlignment="1" applyBorder="1" applyFont="1" applyNumberFormat="1">
      <alignment horizontal="center" readingOrder="0" shrinkToFit="0" wrapText="1"/>
    </xf>
    <xf borderId="59" fillId="57" fontId="34" numFmtId="0" xfId="0" applyAlignment="1" applyBorder="1" applyFont="1">
      <alignment horizontal="left" readingOrder="0" shrinkToFit="0" vertical="center" wrapText="1"/>
    </xf>
    <xf borderId="1" fillId="57" fontId="34" numFmtId="49" xfId="0" applyAlignment="1" applyBorder="1" applyFont="1" applyNumberFormat="1">
      <alignment horizontal="center" vertical="center"/>
    </xf>
    <xf borderId="61" fillId="58" fontId="30" numFmtId="0" xfId="0" applyBorder="1" applyFill="1" applyFont="1"/>
    <xf borderId="62" fillId="58" fontId="30" numFmtId="0" xfId="0" applyBorder="1" applyFont="1"/>
    <xf borderId="62" fillId="58" fontId="30" numFmtId="0" xfId="0" applyAlignment="1" applyBorder="1" applyFont="1">
      <alignment readingOrder="0"/>
    </xf>
    <xf borderId="63" fillId="58" fontId="30" numFmtId="0" xfId="0" applyBorder="1" applyFont="1"/>
    <xf borderId="59" fillId="59" fontId="29" numFmtId="0" xfId="0" applyAlignment="1" applyBorder="1" applyFill="1" applyFont="1">
      <alignment horizontal="left" readingOrder="0" shrinkToFit="0" vertical="center" wrapText="1"/>
    </xf>
    <xf borderId="59" fillId="59" fontId="29" numFmtId="0" xfId="0" applyAlignment="1" applyBorder="1" applyFont="1">
      <alignment horizontal="center" readingOrder="0" shrinkToFit="0" vertical="center" wrapText="1"/>
    </xf>
    <xf borderId="59" fillId="59" fontId="29" numFmtId="0" xfId="0" applyAlignment="1" applyBorder="1" applyFont="1">
      <alignment horizontal="center" shrinkToFit="0" vertical="center" wrapText="1"/>
    </xf>
    <xf borderId="59" fillId="59" fontId="29" numFmtId="1" xfId="0" applyAlignment="1" applyBorder="1" applyFont="1" applyNumberFormat="1">
      <alignment horizontal="center" shrinkToFit="0" vertical="center" wrapText="1"/>
    </xf>
    <xf borderId="59" fillId="59" fontId="29" numFmtId="2" xfId="0" applyAlignment="1" applyBorder="1" applyFont="1" applyNumberFormat="1">
      <alignment horizontal="center" shrinkToFit="0" vertical="center" wrapText="1"/>
    </xf>
    <xf borderId="59" fillId="59" fontId="29" numFmtId="0" xfId="0" applyAlignment="1" applyBorder="1" applyFont="1">
      <alignment horizontal="center" vertical="center"/>
    </xf>
    <xf borderId="1" fillId="59" fontId="29" numFmtId="49" xfId="0" applyAlignment="1" applyBorder="1" applyFont="1" applyNumberFormat="1">
      <alignment horizontal="center" readingOrder="0" shrinkToFit="0" vertical="center" wrapText="1"/>
    </xf>
    <xf borderId="0" fillId="0" fontId="27" numFmtId="0" xfId="0" applyAlignment="1" applyFont="1">
      <alignment horizontal="center" readingOrder="0" shrinkToFit="0" vertical="center" wrapText="0"/>
    </xf>
    <xf borderId="0" fillId="0" fontId="29" numFmtId="2" xfId="0" applyAlignment="1" applyFont="1" applyNumberFormat="1">
      <alignment horizontal="center"/>
    </xf>
    <xf borderId="0" fillId="0" fontId="29" numFmtId="1" xfId="0" applyFont="1" applyNumberFormat="1"/>
    <xf borderId="0" fillId="0" fontId="29" numFmtId="2" xfId="0" applyFont="1" applyNumberFormat="1"/>
    <xf borderId="0" fillId="0" fontId="27" numFmtId="0" xfId="0" applyAlignment="1" applyFont="1">
      <alignment horizontal="center" shrinkToFit="0" vertical="center" wrapText="1"/>
    </xf>
    <xf borderId="61" fillId="60" fontId="30" numFmtId="0" xfId="0" applyAlignment="1" applyBorder="1" applyFill="1" applyFont="1">
      <alignment vertical="center"/>
    </xf>
    <xf borderId="62" fillId="60" fontId="30" numFmtId="0" xfId="0" applyAlignment="1" applyBorder="1" applyFont="1">
      <alignment vertical="center"/>
    </xf>
    <xf borderId="62" fillId="60" fontId="30" numFmtId="0" xfId="0" applyAlignment="1" applyBorder="1" applyFont="1">
      <alignment readingOrder="0" vertical="center"/>
    </xf>
    <xf borderId="64" fillId="60" fontId="30" numFmtId="0" xfId="0" applyAlignment="1" applyBorder="1" applyFont="1">
      <alignment vertical="center"/>
    </xf>
    <xf borderId="4" fillId="60" fontId="30" numFmtId="0" xfId="0" applyAlignment="1" applyBorder="1" applyFont="1">
      <alignment vertical="center"/>
    </xf>
    <xf borderId="58" fillId="61" fontId="27" numFmtId="0" xfId="0" applyAlignment="1" applyBorder="1" applyFill="1" applyFont="1">
      <alignment horizontal="left" readingOrder="0" shrinkToFit="0" vertical="center" wrapText="1"/>
    </xf>
    <xf borderId="59" fillId="61" fontId="27" numFmtId="0" xfId="0" applyAlignment="1" applyBorder="1" applyFont="1">
      <alignment horizontal="center" readingOrder="0" shrinkToFit="0" vertical="center" wrapText="1"/>
    </xf>
    <xf borderId="58" fillId="61" fontId="27" numFmtId="0" xfId="0" applyAlignment="1" applyBorder="1" applyFont="1">
      <alignment horizontal="center" readingOrder="0" shrinkToFit="0" vertical="center" wrapText="1"/>
    </xf>
    <xf borderId="58" fillId="61" fontId="27" numFmtId="0" xfId="0" applyAlignment="1" applyBorder="1" applyFont="1">
      <alignment horizontal="center" shrinkToFit="0" vertical="center" wrapText="1"/>
    </xf>
    <xf borderId="58" fillId="61" fontId="27" numFmtId="2" xfId="0" applyAlignment="1" applyBorder="1" applyFont="1" applyNumberFormat="1">
      <alignment horizontal="center" readingOrder="0" shrinkToFit="0" vertical="center" wrapText="1"/>
    </xf>
    <xf borderId="65" fillId="61" fontId="27" numFmtId="2" xfId="0" applyAlignment="1" applyBorder="1" applyFont="1" applyNumberFormat="1">
      <alignment horizontal="center" readingOrder="0" shrinkToFit="0" vertical="center" wrapText="1"/>
    </xf>
    <xf borderId="59" fillId="61" fontId="29" numFmtId="0" xfId="0" applyAlignment="1" applyBorder="1" applyFont="1">
      <alignment horizontal="left" readingOrder="0" shrinkToFit="0" vertical="center" wrapText="1"/>
    </xf>
    <xf borderId="59" fillId="61" fontId="33" numFmtId="0" xfId="0" applyAlignment="1" applyBorder="1" applyFont="1">
      <alignment horizontal="center" readingOrder="0" shrinkToFit="0" wrapText="1"/>
    </xf>
    <xf borderId="4" fillId="61" fontId="33" numFmtId="0" xfId="0" applyAlignment="1" applyBorder="1" applyFont="1">
      <alignment horizontal="center" readingOrder="0" shrinkToFit="0" wrapText="1"/>
    </xf>
    <xf borderId="59" fillId="61" fontId="29" numFmtId="49" xfId="0" applyAlignment="1" applyBorder="1" applyFont="1" applyNumberFormat="1">
      <alignment horizontal="center" shrinkToFit="0" vertical="center" wrapText="1"/>
    </xf>
    <xf borderId="59" fillId="61" fontId="29" numFmtId="0" xfId="0" applyAlignment="1" applyBorder="1" applyFont="1">
      <alignment horizontal="center" shrinkToFit="0" vertical="center" wrapText="1"/>
    </xf>
    <xf borderId="59" fillId="61" fontId="29" numFmtId="2" xfId="0" applyAlignment="1" applyBorder="1" applyFont="1" applyNumberFormat="1">
      <alignment horizontal="center" shrinkToFit="0" vertical="center" wrapText="1"/>
    </xf>
    <xf borderId="59" fillId="61" fontId="29" numFmtId="0" xfId="0" applyAlignment="1" applyBorder="1" applyFont="1">
      <alignment horizontal="center" readingOrder="0" shrinkToFit="0" vertical="center" wrapText="1"/>
    </xf>
    <xf borderId="59" fillId="61" fontId="29" numFmtId="0" xfId="0" applyAlignment="1" applyBorder="1" applyFont="1">
      <alignment horizontal="center" vertical="center"/>
    </xf>
    <xf borderId="59" fillId="61" fontId="29" numFmtId="9" xfId="0" applyAlignment="1" applyBorder="1" applyFont="1" applyNumberFormat="1">
      <alignment horizontal="center" readingOrder="0" vertical="center"/>
    </xf>
    <xf borderId="59" fillId="61" fontId="29" numFmtId="49" xfId="0" applyAlignment="1" applyBorder="1" applyFont="1" applyNumberFormat="1">
      <alignment horizontal="center" readingOrder="0" vertical="center"/>
    </xf>
    <xf borderId="59" fillId="61" fontId="29" numFmtId="0" xfId="0" applyAlignment="1" applyBorder="1" applyFont="1">
      <alignment horizontal="center" readingOrder="0" vertical="center"/>
    </xf>
    <xf borderId="0" fillId="0" fontId="31" numFmtId="0" xfId="0" applyAlignment="1" applyFont="1">
      <alignment horizontal="left" readingOrder="0" shrinkToFit="0" wrapText="1"/>
    </xf>
    <xf borderId="59" fillId="62" fontId="34" numFmtId="0" xfId="0" applyAlignment="1" applyBorder="1" applyFill="1" applyFont="1">
      <alignment horizontal="left" shrinkToFit="0" vertical="center" wrapText="1"/>
    </xf>
    <xf borderId="60" fillId="62" fontId="34" numFmtId="0" xfId="0" applyAlignment="1" applyBorder="1" applyFont="1">
      <alignment horizontal="center" shrinkToFit="0" wrapText="1"/>
    </xf>
    <xf borderId="21" fillId="62" fontId="34" numFmtId="0" xfId="0" applyAlignment="1" applyBorder="1" applyFont="1">
      <alignment horizontal="center" shrinkToFit="0" wrapText="1"/>
    </xf>
    <xf borderId="59" fillId="61" fontId="29" numFmtId="9" xfId="0" applyAlignment="1" applyBorder="1" applyFont="1" applyNumberFormat="1">
      <alignment horizontal="center" vertical="center"/>
    </xf>
    <xf borderId="60" fillId="62" fontId="34" numFmtId="0" xfId="0" applyAlignment="1" applyBorder="1" applyFont="1">
      <alignment horizontal="center" readingOrder="0" shrinkToFit="0" wrapText="1"/>
    </xf>
    <xf borderId="21" fillId="62" fontId="34" numFmtId="0" xfId="0" applyAlignment="1" applyBorder="1" applyFont="1">
      <alignment horizontal="center" readingOrder="0" shrinkToFit="0" wrapText="1"/>
    </xf>
    <xf borderId="60" fillId="62" fontId="5" numFmtId="9" xfId="0" applyBorder="1" applyFont="1" applyNumberFormat="1"/>
    <xf borderId="21" fillId="62" fontId="5" numFmtId="9" xfId="0" applyBorder="1" applyFont="1" applyNumberFormat="1"/>
    <xf borderId="60" fillId="62" fontId="34" numFmtId="164" xfId="0" applyAlignment="1" applyBorder="1" applyFont="1" applyNumberFormat="1">
      <alignment horizontal="center" shrinkToFit="0" wrapText="1"/>
    </xf>
    <xf borderId="21" fillId="62" fontId="34" numFmtId="164" xfId="0" applyAlignment="1" applyBorder="1" applyFont="1" applyNumberFormat="1">
      <alignment horizontal="center" shrinkToFit="0" wrapText="1"/>
    </xf>
    <xf borderId="60" fillId="61" fontId="33" numFmtId="0" xfId="0" applyAlignment="1" applyBorder="1" applyFont="1">
      <alignment horizontal="center" readingOrder="0" shrinkToFit="0" wrapText="1"/>
    </xf>
    <xf borderId="21" fillId="61" fontId="33" numFmtId="0" xfId="0" applyAlignment="1" applyBorder="1" applyFont="1">
      <alignment horizontal="center" readingOrder="0" shrinkToFit="0" wrapText="1"/>
    </xf>
    <xf borderId="59" fillId="62" fontId="34" numFmtId="0" xfId="0" applyAlignment="1" applyBorder="1" applyFont="1">
      <alignment horizontal="center" shrinkToFit="0" vertical="center" wrapText="1"/>
    </xf>
    <xf borderId="59" fillId="62" fontId="34" numFmtId="0" xfId="0" applyAlignment="1" applyBorder="1" applyFont="1">
      <alignment horizontal="center" readingOrder="0" shrinkToFit="0" vertical="center" wrapText="1"/>
    </xf>
    <xf borderId="59" fillId="62" fontId="34" numFmtId="9" xfId="0" applyAlignment="1" applyBorder="1" applyFont="1" applyNumberFormat="1">
      <alignment horizontal="center" shrinkToFit="0" vertical="center" wrapText="1"/>
    </xf>
    <xf borderId="59" fillId="62" fontId="34" numFmtId="164" xfId="0" applyAlignment="1" applyBorder="1" applyFont="1" applyNumberFormat="1">
      <alignment horizontal="center" shrinkToFit="0" vertical="center" wrapText="1"/>
    </xf>
    <xf borderId="59" fillId="61" fontId="37" numFmtId="0" xfId="0" applyAlignment="1" applyBorder="1" applyFont="1">
      <alignment horizontal="left" readingOrder="0" shrinkToFit="0" vertical="center" wrapText="1"/>
    </xf>
    <xf borderId="0" fillId="0" fontId="29" numFmtId="0" xfId="0" applyAlignment="1" applyFont="1">
      <alignment horizontal="right"/>
    </xf>
    <xf borderId="3" fillId="0" fontId="38" numFmtId="0" xfId="0" applyAlignment="1" applyBorder="1" applyFont="1">
      <alignment readingOrder="0"/>
    </xf>
    <xf borderId="3" fillId="0" fontId="29" numFmtId="0" xfId="0" applyBorder="1" applyFont="1"/>
    <xf borderId="3" fillId="0" fontId="29" numFmtId="1" xfId="0" applyBorder="1" applyFont="1" applyNumberFormat="1"/>
    <xf borderId="3" fillId="0" fontId="29" numFmtId="2" xfId="0" applyBorder="1" applyFont="1" applyNumberFormat="1"/>
    <xf borderId="3" fillId="0" fontId="29" numFmtId="0" xfId="0" applyAlignment="1" applyBorder="1" applyFont="1">
      <alignment horizontal="center" vertical="center"/>
    </xf>
    <xf borderId="61" fillId="63" fontId="30" numFmtId="0" xfId="0" applyAlignment="1" applyBorder="1" applyFill="1" applyFont="1">
      <alignment shrinkToFit="0" wrapText="1"/>
    </xf>
    <xf borderId="62" fillId="63" fontId="30" numFmtId="0" xfId="0" applyAlignment="1" applyBorder="1" applyFont="1">
      <alignment shrinkToFit="0" wrapText="1"/>
    </xf>
    <xf borderId="62" fillId="63" fontId="30" numFmtId="0" xfId="0" applyAlignment="1" applyBorder="1" applyFont="1">
      <alignment readingOrder="0"/>
    </xf>
    <xf borderId="64" fillId="63" fontId="30" numFmtId="0" xfId="0" applyAlignment="1" applyBorder="1" applyFont="1">
      <alignment shrinkToFit="0" wrapText="1"/>
    </xf>
    <xf borderId="4" fillId="63" fontId="30" numFmtId="0" xfId="0" applyAlignment="1" applyBorder="1" applyFont="1">
      <alignment shrinkToFit="0" wrapText="1"/>
    </xf>
    <xf borderId="59" fillId="64" fontId="29" numFmtId="0" xfId="0" applyAlignment="1" applyBorder="1" applyFill="1" applyFont="1">
      <alignment horizontal="left" readingOrder="0" shrinkToFit="0" vertical="center" wrapText="1"/>
    </xf>
    <xf borderId="59" fillId="64" fontId="29" numFmtId="0" xfId="0" applyAlignment="1" applyBorder="1" applyFont="1">
      <alignment horizontal="center" shrinkToFit="0" vertical="center" wrapText="1"/>
    </xf>
    <xf borderId="59" fillId="64" fontId="29" numFmtId="0" xfId="0" applyAlignment="1" applyBorder="1" applyFont="1">
      <alignment horizontal="center" readingOrder="0" shrinkToFit="0" vertical="center" wrapText="1"/>
    </xf>
    <xf borderId="59" fillId="64" fontId="29" numFmtId="49" xfId="0" applyAlignment="1" applyBorder="1" applyFont="1" applyNumberFormat="1">
      <alignment horizontal="center" shrinkToFit="0" vertical="center" wrapText="1"/>
    </xf>
    <xf borderId="59" fillId="64" fontId="29" numFmtId="1" xfId="0" applyAlignment="1" applyBorder="1" applyFont="1" applyNumberFormat="1">
      <alignment horizontal="center" vertical="center"/>
    </xf>
    <xf borderId="59" fillId="64" fontId="29" numFmtId="2" xfId="0" applyAlignment="1" applyBorder="1" applyFont="1" applyNumberFormat="1">
      <alignment horizontal="center" shrinkToFit="0" vertical="center" wrapText="1"/>
    </xf>
    <xf borderId="59" fillId="64" fontId="29" numFmtId="9" xfId="0" applyAlignment="1" applyBorder="1" applyFont="1" applyNumberFormat="1">
      <alignment horizontal="center" shrinkToFit="0" vertical="center" wrapText="1"/>
    </xf>
    <xf borderId="59" fillId="64" fontId="29" numFmtId="3" xfId="0" applyAlignment="1" applyBorder="1" applyFont="1" applyNumberFormat="1">
      <alignment horizontal="center" shrinkToFit="0" vertical="center" wrapText="1"/>
    </xf>
    <xf borderId="59" fillId="65" fontId="34" numFmtId="0" xfId="0" applyAlignment="1" applyBorder="1" applyFill="1" applyFont="1">
      <alignment horizontal="left" shrinkToFit="0" vertical="center" wrapText="1"/>
    </xf>
    <xf borderId="59" fillId="65" fontId="34" numFmtId="0" xfId="0" applyAlignment="1" applyBorder="1" applyFont="1">
      <alignment horizontal="center" shrinkToFit="0" vertical="center" wrapText="1"/>
    </xf>
    <xf borderId="59" fillId="65" fontId="34" numFmtId="0" xfId="0" applyAlignment="1" applyBorder="1" applyFont="1">
      <alignment horizontal="center" readingOrder="0" shrinkToFit="0" vertical="center" wrapText="1"/>
    </xf>
    <xf borderId="59" fillId="64" fontId="29" numFmtId="1" xfId="0" applyAlignment="1" applyBorder="1" applyFont="1" applyNumberFormat="1">
      <alignment horizontal="center" shrinkToFit="0" vertical="center" wrapText="1"/>
    </xf>
    <xf borderId="59" fillId="65" fontId="34" numFmtId="9" xfId="0" applyAlignment="1" applyBorder="1" applyFont="1" applyNumberFormat="1">
      <alignment horizontal="center" shrinkToFit="0" vertical="center" wrapText="1"/>
    </xf>
    <xf borderId="59" fillId="65" fontId="34" numFmtId="164" xfId="0" applyAlignment="1" applyBorder="1" applyFont="1" applyNumberFormat="1">
      <alignment horizontal="center" shrinkToFit="0" vertical="center" wrapText="1"/>
    </xf>
    <xf borderId="59" fillId="64" fontId="29" numFmtId="0" xfId="0" applyAlignment="1" applyBorder="1" applyFont="1">
      <alignment horizontal="center" vertical="center"/>
    </xf>
    <xf borderId="59" fillId="64" fontId="29" numFmtId="9" xfId="0" applyAlignment="1" applyBorder="1" applyFont="1" applyNumberFormat="1">
      <alignment horizontal="center" vertical="center"/>
    </xf>
    <xf borderId="59" fillId="64" fontId="29" numFmtId="3" xfId="0" applyAlignment="1" applyBorder="1" applyFont="1" applyNumberFormat="1">
      <alignment horizontal="center" vertical="center"/>
    </xf>
    <xf borderId="59" fillId="64" fontId="28" numFmtId="0" xfId="0" applyAlignment="1" applyBorder="1" applyFont="1">
      <alignment horizontal="left" readingOrder="0" shrinkToFit="0" vertical="center" wrapText="1"/>
    </xf>
    <xf borderId="59" fillId="30" fontId="29" numFmtId="49" xfId="0" applyAlignment="1" applyBorder="1" applyFont="1" applyNumberFormat="1">
      <alignment horizontal="center" vertical="center"/>
    </xf>
    <xf borderId="18" fillId="0" fontId="31" numFmtId="0" xfId="0" applyAlignment="1" applyBorder="1" applyFont="1">
      <alignment horizontal="center"/>
    </xf>
    <xf borderId="61" fillId="66" fontId="30" numFmtId="0" xfId="0" applyAlignment="1" applyBorder="1" applyFill="1" applyFont="1">
      <alignment vertical="center"/>
    </xf>
    <xf borderId="62" fillId="66" fontId="30" numFmtId="0" xfId="0" applyAlignment="1" applyBorder="1" applyFont="1">
      <alignment vertical="center"/>
    </xf>
    <xf borderId="62" fillId="66" fontId="30" numFmtId="0" xfId="0" applyAlignment="1" applyBorder="1" applyFont="1">
      <alignment readingOrder="0" vertical="center"/>
    </xf>
    <xf borderId="63" fillId="66" fontId="30" numFmtId="0" xfId="0" applyAlignment="1" applyBorder="1" applyFont="1">
      <alignment vertical="center"/>
    </xf>
    <xf borderId="1" fillId="15" fontId="29" numFmtId="0" xfId="0" applyAlignment="1" applyBorder="1" applyFont="1">
      <alignment horizontal="left" readingOrder="0" vertical="center"/>
    </xf>
    <xf borderId="59" fillId="15" fontId="27" numFmtId="0" xfId="0" applyAlignment="1" applyBorder="1" applyFont="1">
      <alignment horizontal="center" readingOrder="0" shrinkToFit="0" vertical="center" wrapText="1"/>
    </xf>
    <xf borderId="58" fillId="15" fontId="27" numFmtId="1" xfId="0" applyAlignment="1" applyBorder="1" applyFont="1" applyNumberFormat="1">
      <alignment horizontal="center" readingOrder="0" shrinkToFit="0" vertical="center" wrapText="1"/>
    </xf>
    <xf borderId="58" fillId="15" fontId="27" numFmtId="0" xfId="0" applyAlignment="1" applyBorder="1" applyFont="1">
      <alignment horizontal="center" readingOrder="0" shrinkToFit="0" vertical="center" wrapText="1"/>
    </xf>
    <xf borderId="58" fillId="15" fontId="27" numFmtId="0" xfId="0" applyAlignment="1" applyBorder="1" applyFont="1">
      <alignment horizontal="center" shrinkToFit="0" vertical="center" wrapText="1"/>
    </xf>
    <xf borderId="59" fillId="15" fontId="1" numFmtId="0" xfId="0" applyAlignment="1" applyBorder="1" applyFont="1">
      <alignment horizontal="left" readingOrder="0" vertical="center"/>
    </xf>
    <xf borderId="59" fillId="15" fontId="33" numFmtId="0" xfId="0" applyAlignment="1" applyBorder="1" applyFont="1">
      <alignment horizontal="center"/>
    </xf>
    <xf borderId="4" fillId="15" fontId="33" numFmtId="0" xfId="0" applyAlignment="1" applyBorder="1" applyFont="1">
      <alignment horizontal="center"/>
    </xf>
    <xf borderId="59" fillId="15" fontId="29" numFmtId="49" xfId="0" applyAlignment="1" applyBorder="1" applyFont="1" applyNumberFormat="1">
      <alignment horizontal="center" readingOrder="0" vertical="center"/>
    </xf>
    <xf borderId="59" fillId="15" fontId="29" numFmtId="0" xfId="0" applyAlignment="1" applyBorder="1" applyFont="1">
      <alignment horizontal="center" readingOrder="0" vertical="center"/>
    </xf>
    <xf borderId="59" fillId="15" fontId="29" numFmtId="0" xfId="0" applyAlignment="1" applyBorder="1" applyFont="1">
      <alignment horizontal="center" vertical="center"/>
    </xf>
    <xf borderId="59" fillId="15" fontId="29" numFmtId="2" xfId="0" applyAlignment="1" applyBorder="1" applyFont="1" applyNumberFormat="1">
      <alignment horizontal="center" readingOrder="0" vertical="center"/>
    </xf>
    <xf borderId="59" fillId="15" fontId="29" numFmtId="0" xfId="0" applyAlignment="1" applyBorder="1" applyFont="1">
      <alignment horizontal="center" readingOrder="0" shrinkToFit="0" wrapText="1"/>
    </xf>
    <xf borderId="59" fillId="15" fontId="29" numFmtId="9" xfId="0" applyAlignment="1" applyBorder="1" applyFont="1" applyNumberFormat="1">
      <alignment horizontal="center" vertical="center"/>
    </xf>
    <xf borderId="60" fillId="15" fontId="33" numFmtId="0" xfId="0" applyAlignment="1" applyBorder="1" applyFont="1">
      <alignment horizontal="center"/>
    </xf>
    <xf borderId="21" fillId="15" fontId="33" numFmtId="0" xfId="0" applyAlignment="1" applyBorder="1" applyFont="1">
      <alignment horizontal="center"/>
    </xf>
    <xf borderId="0" fillId="0" fontId="27" numFmtId="0" xfId="0" applyAlignment="1" applyFont="1">
      <alignment horizontal="center" readingOrder="0" shrinkToFit="0" vertical="center" wrapText="1"/>
    </xf>
    <xf borderId="61" fillId="16" fontId="30" numFmtId="0" xfId="0" applyAlignment="1" applyBorder="1" applyFont="1">
      <alignment vertical="center"/>
    </xf>
    <xf borderId="62" fillId="16" fontId="30" numFmtId="0" xfId="0" applyAlignment="1" applyBorder="1" applyFont="1">
      <alignment vertical="center"/>
    </xf>
    <xf borderId="62" fillId="16" fontId="30" numFmtId="0" xfId="0" applyAlignment="1" applyBorder="1" applyFont="1">
      <alignment readingOrder="0" vertical="center"/>
    </xf>
    <xf borderId="63" fillId="16" fontId="30" numFmtId="0" xfId="0" applyAlignment="1" applyBorder="1" applyFont="1">
      <alignment vertical="center"/>
    </xf>
    <xf borderId="1" fillId="0" fontId="29" numFmtId="0" xfId="0" applyAlignment="1" applyBorder="1" applyFont="1">
      <alignment horizontal="left" readingOrder="0" vertical="center"/>
    </xf>
    <xf borderId="59" fillId="0" fontId="1" numFmtId="0" xfId="0" applyAlignment="1" applyBorder="1" applyFont="1">
      <alignment horizontal="left" readingOrder="0" vertical="center"/>
    </xf>
    <xf borderId="59" fillId="0" fontId="33" numFmtId="0" xfId="0" applyAlignment="1" applyBorder="1" applyFont="1">
      <alignment horizontal="center"/>
    </xf>
    <xf borderId="4" fillId="0" fontId="33" numFmtId="0" xfId="0" applyAlignment="1" applyBorder="1" applyFont="1">
      <alignment horizontal="center"/>
    </xf>
    <xf borderId="59" fillId="0" fontId="29" numFmtId="49" xfId="0" applyAlignment="1" applyBorder="1" applyFont="1" applyNumberFormat="1">
      <alignment horizontal="center" readingOrder="0" vertical="center"/>
    </xf>
    <xf borderId="59" fillId="0" fontId="29" numFmtId="0" xfId="0" applyAlignment="1" applyBorder="1" applyFont="1">
      <alignment horizontal="center" readingOrder="0" vertical="center"/>
    </xf>
    <xf borderId="59" fillId="0" fontId="29" numFmtId="0" xfId="0" applyAlignment="1" applyBorder="1" applyFont="1">
      <alignment horizontal="center" vertical="center"/>
    </xf>
    <xf borderId="59" fillId="0" fontId="29" numFmtId="2" xfId="0" applyAlignment="1" applyBorder="1" applyFont="1" applyNumberFormat="1">
      <alignment horizontal="center" readingOrder="0" vertical="center"/>
    </xf>
    <xf borderId="59" fillId="0" fontId="29" numFmtId="0" xfId="0" applyAlignment="1" applyBorder="1" applyFont="1">
      <alignment horizontal="center" readingOrder="0" shrinkToFit="0" wrapText="1"/>
    </xf>
    <xf borderId="59" fillId="0" fontId="29" numFmtId="9" xfId="0" applyAlignment="1" applyBorder="1" applyFont="1" applyNumberFormat="1">
      <alignment horizontal="center" vertical="center"/>
    </xf>
    <xf borderId="60" fillId="0" fontId="33" numFmtId="0" xfId="0" applyAlignment="1" applyBorder="1" applyFont="1">
      <alignment horizontal="center"/>
    </xf>
    <xf borderId="21" fillId="0" fontId="33" numFmtId="0" xfId="0" applyAlignment="1" applyBorder="1" applyFont="1">
      <alignment horizontal="center"/>
    </xf>
    <xf borderId="61" fillId="67" fontId="30" numFmtId="0" xfId="0" applyBorder="1" applyFill="1" applyFont="1"/>
    <xf borderId="62" fillId="67" fontId="30" numFmtId="0" xfId="0" applyBorder="1" applyFont="1"/>
    <xf borderId="62" fillId="67" fontId="30" numFmtId="0" xfId="0" applyAlignment="1" applyBorder="1" applyFont="1">
      <alignment readingOrder="0"/>
    </xf>
    <xf borderId="63" fillId="67" fontId="30" numFmtId="0" xfId="0" applyBorder="1" applyFont="1"/>
    <xf borderId="59" fillId="5" fontId="29" numFmtId="0" xfId="0" applyAlignment="1" applyBorder="1" applyFont="1">
      <alignment horizontal="left" readingOrder="0" shrinkToFit="0" vertical="center" wrapText="1"/>
    </xf>
    <xf borderId="59" fillId="5" fontId="29" numFmtId="0" xfId="0" applyAlignment="1" applyBorder="1" applyFont="1">
      <alignment horizontal="center" readingOrder="0" shrinkToFit="0" vertical="center" wrapText="1"/>
    </xf>
    <xf borderId="59" fillId="5" fontId="29" numFmtId="165" xfId="0" applyAlignment="1" applyBorder="1" applyFont="1" applyNumberFormat="1">
      <alignment horizontal="center" readingOrder="0" shrinkToFit="0" vertical="center" wrapText="1"/>
    </xf>
    <xf borderId="59" fillId="5" fontId="29" numFmtId="1" xfId="0" applyAlignment="1" applyBorder="1" applyFont="1" applyNumberFormat="1">
      <alignment horizontal="center" shrinkToFit="0" vertical="center" wrapText="1"/>
    </xf>
    <xf borderId="59" fillId="5" fontId="29" numFmtId="0" xfId="0" applyAlignment="1" applyBorder="1" applyFont="1">
      <alignment horizontal="center" shrinkToFit="0" vertical="center" wrapText="1"/>
    </xf>
    <xf borderId="59" fillId="5" fontId="29" numFmtId="2" xfId="0" applyAlignment="1" applyBorder="1" applyFont="1" applyNumberFormat="1">
      <alignment horizontal="center" readingOrder="0" shrinkToFit="0" vertical="center" wrapText="1"/>
    </xf>
    <xf borderId="59" fillId="5" fontId="29" numFmtId="0" xfId="0" applyAlignment="1" applyBorder="1" applyFont="1">
      <alignment horizontal="center" vertical="center"/>
    </xf>
    <xf borderId="1" fillId="5" fontId="29" numFmtId="49" xfId="0" applyAlignment="1" applyBorder="1" applyFont="1" applyNumberFormat="1">
      <alignment horizontal="center" readingOrder="0" shrinkToFit="0" vertical="center" wrapText="1"/>
    </xf>
    <xf borderId="59" fillId="35" fontId="27" numFmtId="0" xfId="0" applyAlignment="1" applyBorder="1" applyFont="1">
      <alignment horizontal="center" readingOrder="0" shrinkToFit="0" vertical="center" wrapText="1"/>
    </xf>
    <xf borderId="59" fillId="0" fontId="29" numFmtId="2" xfId="0" applyAlignment="1" applyBorder="1" applyFont="1" applyNumberFormat="1">
      <alignment horizontal="center" readingOrder="0"/>
    </xf>
    <xf borderId="59" fillId="0" fontId="29" numFmtId="0" xfId="0" applyAlignment="1" applyBorder="1" applyFont="1">
      <alignment horizontal="center"/>
    </xf>
    <xf borderId="59" fillId="0" fontId="29" numFmtId="2" xfId="0" applyAlignment="1" applyBorder="1" applyFont="1" applyNumberFormat="1">
      <alignment horizontal="center"/>
    </xf>
    <xf borderId="59" fillId="41" fontId="29" numFmtId="0" xfId="0" applyAlignment="1" applyBorder="1" applyFont="1">
      <alignment horizontal="left" readingOrder="0" shrinkToFit="0" wrapText="1"/>
    </xf>
    <xf borderId="59" fillId="33" fontId="29" numFmtId="0" xfId="0" applyAlignment="1" applyBorder="1" applyFont="1">
      <alignment horizontal="center" shrinkToFit="0" wrapText="1"/>
    </xf>
    <xf borderId="59" fillId="41" fontId="29" numFmtId="0" xfId="0" applyAlignment="1" applyBorder="1" applyFont="1">
      <alignment horizontal="center" shrinkToFit="0" vertical="top" wrapText="1"/>
    </xf>
    <xf borderId="59" fillId="41" fontId="29" numFmtId="0" xfId="0" applyAlignment="1" applyBorder="1" applyFont="1">
      <alignment horizontal="center" shrinkToFit="0" wrapText="1"/>
    </xf>
    <xf borderId="59" fillId="41" fontId="29" numFmtId="0" xfId="0" applyAlignment="1" applyBorder="1" applyFont="1">
      <alignment horizontal="center" readingOrder="0"/>
    </xf>
    <xf borderId="0" fillId="0" fontId="39" numFmtId="0" xfId="0" applyFont="1"/>
    <xf borderId="0" fillId="0" fontId="5" numFmtId="0" xfId="0" applyAlignment="1" applyFont="1">
      <alignment vertical="bottom"/>
    </xf>
    <xf borderId="0" fillId="0" fontId="40" numFmtId="0" xfId="0" applyAlignment="1" applyFont="1">
      <alignment readingOrder="0"/>
    </xf>
    <xf borderId="0" fillId="0" fontId="41" numFmtId="0" xfId="0" applyAlignment="1" applyFont="1">
      <alignment horizontal="right"/>
    </xf>
    <xf borderId="0" fillId="0" fontId="42" numFmtId="0" xfId="0" applyFont="1"/>
    <xf borderId="0" fillId="0" fontId="42" numFmtId="0" xfId="0" applyAlignment="1" applyFont="1">
      <alignment readingOrder="0"/>
    </xf>
    <xf borderId="0" fillId="0" fontId="29" numFmtId="0" xfId="0" applyAlignment="1" applyFont="1">
      <alignment horizontal="left" readingOrder="0" vertical="center"/>
    </xf>
    <xf borderId="0" fillId="0" fontId="29" numFmtId="4" xfId="0" applyAlignment="1" applyFont="1" applyNumberFormat="1">
      <alignment horizontal="right" vertical="center"/>
    </xf>
    <xf borderId="0" fillId="0" fontId="33" numFmtId="0" xfId="0" applyAlignment="1" applyFont="1">
      <alignment readingOrder="0" vertical="bottom"/>
    </xf>
    <xf borderId="0" fillId="0" fontId="3" numFmtId="0" xfId="0" applyAlignment="1" applyFont="1">
      <alignment horizontal="right"/>
    </xf>
    <xf borderId="0" fillId="0" fontId="37" numFmtId="0" xfId="0" applyAlignment="1" applyFont="1">
      <alignment readingOrder="0"/>
    </xf>
    <xf borderId="61" fillId="50" fontId="29" numFmtId="0" xfId="0" applyAlignment="1" applyBorder="1" applyFont="1">
      <alignment horizontal="left" readingOrder="0" vertical="center"/>
    </xf>
    <xf borderId="63" fillId="50" fontId="37" numFmtId="4" xfId="0" applyAlignment="1" applyBorder="1" applyFont="1" applyNumberFormat="1">
      <alignment horizontal="right" vertical="center"/>
    </xf>
    <xf borderId="58" fillId="0" fontId="43" numFmtId="0" xfId="0" applyAlignment="1" applyBorder="1" applyFont="1">
      <alignment horizontal="center" readingOrder="0" vertical="center"/>
    </xf>
    <xf borderId="58" fillId="0" fontId="43" numFmtId="0" xfId="0" applyAlignment="1" applyBorder="1" applyFont="1">
      <alignment horizontal="right" readingOrder="0" vertical="center"/>
    </xf>
    <xf borderId="58" fillId="0" fontId="43" numFmtId="0" xfId="0" applyAlignment="1" applyBorder="1" applyFont="1">
      <alignment horizontal="right" readingOrder="0" shrinkToFit="0" vertical="center" wrapText="1"/>
    </xf>
    <xf borderId="58" fillId="21" fontId="43" numFmtId="0" xfId="0" applyAlignment="1" applyBorder="1" applyFont="1">
      <alignment horizontal="right" readingOrder="0" shrinkToFit="0" vertical="center" wrapText="1"/>
    </xf>
    <xf borderId="58" fillId="68" fontId="43" numFmtId="0" xfId="0" applyAlignment="1" applyBorder="1" applyFill="1" applyFont="1">
      <alignment horizontal="right" readingOrder="0" shrinkToFit="0" vertical="center" wrapText="1"/>
    </xf>
    <xf borderId="58" fillId="0" fontId="42" numFmtId="0" xfId="0" applyAlignment="1" applyBorder="1" applyFont="1">
      <alignment horizontal="left" readingOrder="0" vertical="center"/>
    </xf>
    <xf borderId="61" fillId="26" fontId="29" numFmtId="49" xfId="0" applyAlignment="1" applyBorder="1" applyFont="1" applyNumberFormat="1">
      <alignment horizontal="left" readingOrder="0" vertical="center"/>
    </xf>
    <xf borderId="1" fillId="0" fontId="29" numFmtId="49" xfId="0" applyAlignment="1" applyBorder="1" applyFont="1" applyNumberFormat="1">
      <alignment horizontal="right" readingOrder="0" vertical="center"/>
    </xf>
    <xf borderId="59" fillId="0" fontId="39" numFmtId="3" xfId="0" applyAlignment="1" applyBorder="1" applyFont="1" applyNumberFormat="1">
      <alignment horizontal="right" vertical="center"/>
    </xf>
    <xf borderId="59" fillId="0" fontId="39" numFmtId="0" xfId="0" applyAlignment="1" applyBorder="1" applyFont="1">
      <alignment horizontal="right" vertical="center"/>
    </xf>
    <xf borderId="59" fillId="0" fontId="39" numFmtId="2" xfId="0" applyAlignment="1" applyBorder="1" applyFont="1" applyNumberFormat="1">
      <alignment horizontal="right" vertical="center"/>
    </xf>
    <xf borderId="59" fillId="0" fontId="39" numFmtId="1" xfId="0" applyAlignment="1" applyBorder="1" applyFont="1" applyNumberFormat="1">
      <alignment horizontal="right" vertical="center"/>
    </xf>
    <xf borderId="59" fillId="0" fontId="37" numFmtId="0" xfId="0" applyAlignment="1" applyBorder="1" applyFont="1">
      <alignment horizontal="right" readingOrder="0" vertical="center"/>
    </xf>
    <xf borderId="59" fillId="21" fontId="39" numFmtId="2" xfId="0" applyAlignment="1" applyBorder="1" applyFont="1" applyNumberFormat="1">
      <alignment horizontal="right" readingOrder="0" vertical="center"/>
    </xf>
    <xf borderId="59" fillId="21" fontId="39" numFmtId="2" xfId="0" applyAlignment="1" applyBorder="1" applyFont="1" applyNumberFormat="1">
      <alignment horizontal="right" vertical="center"/>
    </xf>
    <xf borderId="59" fillId="68" fontId="43" numFmtId="2" xfId="0" applyAlignment="1" applyBorder="1" applyFont="1" applyNumberFormat="1">
      <alignment horizontal="right" vertical="center"/>
    </xf>
    <xf borderId="59" fillId="0" fontId="29" numFmtId="49" xfId="0" applyAlignment="1" applyBorder="1" applyFont="1" applyNumberFormat="1">
      <alignment horizontal="left" readingOrder="0" vertical="center"/>
    </xf>
    <xf borderId="59" fillId="68" fontId="37" numFmtId="4" xfId="0" applyAlignment="1" applyBorder="1" applyFont="1" applyNumberFormat="1">
      <alignment horizontal="right" vertical="center"/>
    </xf>
    <xf borderId="0" fillId="0" fontId="29" numFmtId="166" xfId="0" applyFont="1" applyNumberFormat="1"/>
    <xf borderId="63" fillId="68" fontId="37" numFmtId="4" xfId="0" applyAlignment="1" applyBorder="1" applyFont="1" applyNumberFormat="1">
      <alignment horizontal="right" vertical="center"/>
    </xf>
    <xf borderId="61" fillId="35" fontId="29" numFmtId="49" xfId="0" applyAlignment="1" applyBorder="1" applyFont="1" applyNumberFormat="1">
      <alignment horizontal="left" readingOrder="0" vertical="center"/>
    </xf>
    <xf borderId="59" fillId="0" fontId="29" numFmtId="0" xfId="0" applyAlignment="1" applyBorder="1" applyFont="1">
      <alignment readingOrder="0"/>
    </xf>
    <xf borderId="59" fillId="68" fontId="39" numFmtId="167" xfId="0" applyAlignment="1" applyBorder="1" applyFont="1" applyNumberFormat="1">
      <alignment horizontal="right"/>
    </xf>
    <xf borderId="61" fillId="69" fontId="29" numFmtId="49" xfId="0" applyAlignment="1" applyBorder="1" applyFill="1" applyFont="1" applyNumberFormat="1">
      <alignment horizontal="left" readingOrder="0" vertical="center"/>
    </xf>
    <xf borderId="61" fillId="33" fontId="29" numFmtId="0" xfId="0" applyAlignment="1" applyBorder="1" applyFont="1">
      <alignment readingOrder="0"/>
    </xf>
    <xf borderId="1" fillId="0" fontId="29" numFmtId="0" xfId="0" applyAlignment="1" applyBorder="1" applyFont="1">
      <alignment horizontal="right" readingOrder="0"/>
    </xf>
    <xf borderId="61" fillId="16" fontId="29" numFmtId="49" xfId="0" applyAlignment="1" applyBorder="1" applyFont="1" applyNumberFormat="1">
      <alignment horizontal="left" readingOrder="0" vertical="center"/>
    </xf>
    <xf borderId="0" fillId="0" fontId="44" numFmtId="0" xfId="0" applyFont="1"/>
    <xf borderId="0" fillId="0" fontId="42" numFmtId="0" xfId="0" applyAlignment="1" applyFont="1">
      <alignment horizontal="right" readingOrder="0"/>
    </xf>
    <xf borderId="58" fillId="70" fontId="29" numFmtId="49" xfId="0" applyAlignment="1" applyBorder="1" applyFill="1" applyFont="1" applyNumberFormat="1">
      <alignment horizontal="left" readingOrder="0" vertical="center"/>
    </xf>
    <xf borderId="1" fillId="0" fontId="29" numFmtId="0" xfId="0" applyAlignment="1" applyBorder="1" applyFont="1">
      <alignment horizontal="right"/>
    </xf>
    <xf borderId="59" fillId="60" fontId="39" numFmtId="0" xfId="0" applyAlignment="1" applyBorder="1" applyFont="1">
      <alignment horizontal="right" vertical="center"/>
    </xf>
    <xf borderId="59" fillId="60" fontId="39" numFmtId="2" xfId="0" applyAlignment="1" applyBorder="1" applyFont="1" applyNumberFormat="1">
      <alignment horizontal="right" vertical="center"/>
    </xf>
    <xf borderId="0" fillId="0" fontId="42" numFmtId="2" xfId="0" applyFont="1" applyNumberFormat="1"/>
    <xf borderId="0" fillId="0" fontId="45" numFmtId="0" xfId="0" applyAlignment="1" applyFont="1">
      <alignment readingOrder="0"/>
    </xf>
    <xf borderId="65" fillId="0" fontId="13" numFmtId="0" xfId="0" applyBorder="1" applyFont="1"/>
    <xf borderId="59" fillId="0" fontId="29" numFmtId="0" xfId="0" applyAlignment="1" applyBorder="1" applyFont="1">
      <alignment horizontal="right" readingOrder="0"/>
    </xf>
    <xf borderId="59" fillId="0" fontId="37" numFmtId="1" xfId="0" applyAlignment="1" applyBorder="1" applyFont="1" applyNumberFormat="1">
      <alignment horizontal="right" vertical="center"/>
    </xf>
    <xf borderId="59" fillId="68" fontId="39" numFmtId="2" xfId="0" applyAlignment="1" applyBorder="1" applyFont="1" applyNumberFormat="1">
      <alignment horizontal="right" vertical="center"/>
    </xf>
    <xf borderId="58" fillId="71" fontId="29" numFmtId="49" xfId="0" applyAlignment="1" applyBorder="1" applyFill="1" applyFont="1" applyNumberFormat="1">
      <alignment horizontal="left" readingOrder="0" vertical="center"/>
    </xf>
    <xf borderId="59" fillId="0" fontId="39" numFmtId="0" xfId="0" applyAlignment="1" applyBorder="1" applyFont="1">
      <alignment vertical="center"/>
    </xf>
    <xf borderId="59" fillId="0" fontId="39" numFmtId="2" xfId="0" applyAlignment="1" applyBorder="1" applyFont="1" applyNumberFormat="1">
      <alignment vertical="center"/>
    </xf>
    <xf borderId="59" fillId="68" fontId="39" numFmtId="2" xfId="0" applyAlignment="1" applyBorder="1" applyFont="1" applyNumberFormat="1">
      <alignment vertical="center"/>
    </xf>
    <xf borderId="0" fillId="0" fontId="39" numFmtId="0" xfId="0" applyAlignment="1" applyFont="1">
      <alignment readingOrder="0"/>
    </xf>
    <xf borderId="0" fillId="0" fontId="43" numFmtId="0" xfId="0" applyAlignment="1" applyFont="1">
      <alignment readingOrder="0" vertical="center"/>
    </xf>
    <xf borderId="0" fillId="0" fontId="43" numFmtId="0" xfId="0" applyAlignment="1" applyFont="1">
      <alignment readingOrder="0"/>
    </xf>
    <xf borderId="59" fillId="39" fontId="46" numFmtId="0" xfId="0" applyAlignment="1" applyBorder="1" applyFont="1">
      <alignment horizontal="left" readingOrder="0" shrinkToFit="0" vertical="center" wrapText="1"/>
    </xf>
    <xf borderId="59" fillId="39" fontId="46" numFmtId="0" xfId="0" applyAlignment="1" applyBorder="1" applyFont="1">
      <alignment horizontal="center" vertical="center"/>
    </xf>
    <xf borderId="59" fillId="39" fontId="46" numFmtId="0" xfId="0" applyAlignment="1" applyBorder="1" applyFont="1">
      <alignment horizontal="right" vertical="center"/>
    </xf>
    <xf borderId="59" fillId="16" fontId="37" numFmtId="0" xfId="0" applyAlignment="1" applyBorder="1" applyFont="1">
      <alignment horizontal="left" readingOrder="0" shrinkToFit="0" vertical="center" wrapText="1"/>
    </xf>
    <xf borderId="59" fillId="16" fontId="37" numFmtId="4" xfId="0" applyBorder="1" applyFont="1" applyNumberFormat="1"/>
    <xf borderId="1" fillId="0" fontId="39" numFmtId="0" xfId="0" applyAlignment="1" applyBorder="1" applyFont="1">
      <alignment readingOrder="0"/>
    </xf>
    <xf borderId="2" fillId="0" fontId="39" numFmtId="0" xfId="0" applyBorder="1" applyFont="1"/>
    <xf borderId="4" fillId="0" fontId="39" numFmtId="0" xfId="0" applyAlignment="1" applyBorder="1" applyFont="1">
      <alignment readingOrder="0"/>
    </xf>
    <xf borderId="59" fillId="0" fontId="37" numFmtId="0" xfId="0" applyAlignment="1" applyBorder="1" applyFont="1">
      <alignment horizontal="left" readingOrder="0" vertical="center"/>
    </xf>
    <xf borderId="59" fillId="0" fontId="37" numFmtId="4" xfId="0" applyAlignment="1" applyBorder="1" applyFont="1" applyNumberFormat="1">
      <alignment horizontal="right"/>
    </xf>
    <xf borderId="59" fillId="0" fontId="37" numFmtId="0" xfId="0" applyAlignment="1" applyBorder="1" applyFont="1">
      <alignment vertical="center"/>
    </xf>
    <xf borderId="59" fillId="0" fontId="37" numFmtId="0" xfId="0" applyAlignment="1" applyBorder="1" applyFont="1">
      <alignment readingOrder="0" vertical="center"/>
    </xf>
    <xf borderId="59" fillId="21" fontId="39" numFmtId="0" xfId="0" applyAlignment="1" applyBorder="1" applyFont="1">
      <alignment horizontal="left" readingOrder="0" vertical="center"/>
    </xf>
    <xf borderId="59" fillId="21" fontId="39" numFmtId="0" xfId="0" applyAlignment="1" applyBorder="1" applyFont="1">
      <alignment horizontal="right" readingOrder="0"/>
    </xf>
    <xf borderId="59" fillId="21" fontId="39" numFmtId="0" xfId="0" applyAlignment="1" applyBorder="1" applyFont="1">
      <alignment readingOrder="0" vertical="bottom"/>
    </xf>
    <xf borderId="60" fillId="21" fontId="39" numFmtId="0" xfId="0" applyAlignment="1" applyBorder="1" applyFont="1">
      <alignment readingOrder="0" vertical="bottom"/>
    </xf>
    <xf borderId="59" fillId="21" fontId="39" numFmtId="1" xfId="0" applyAlignment="1" applyBorder="1" applyFont="1" applyNumberFormat="1">
      <alignment horizontal="right" vertical="bottom"/>
    </xf>
    <xf borderId="59" fillId="0" fontId="39" numFmtId="0" xfId="0" applyAlignment="1" applyBorder="1" applyFont="1">
      <alignment horizontal="left" readingOrder="0" vertical="center"/>
    </xf>
    <xf borderId="59" fillId="0" fontId="39" numFmtId="0" xfId="0" applyAlignment="1" applyBorder="1" applyFont="1">
      <alignment readingOrder="0" vertical="center"/>
    </xf>
    <xf borderId="59" fillId="0" fontId="37" numFmtId="0" xfId="0" applyAlignment="1" applyBorder="1" applyFont="1">
      <alignment horizontal="left" readingOrder="0" shrinkToFit="0" vertical="center" wrapText="1"/>
    </xf>
    <xf borderId="59" fillId="0" fontId="37" numFmtId="1" xfId="0" applyAlignment="1" applyBorder="1" applyFont="1" applyNumberFormat="1">
      <alignment readingOrder="0"/>
    </xf>
    <xf borderId="59" fillId="0" fontId="39" numFmtId="0" xfId="0" applyAlignment="1" applyBorder="1" applyFont="1">
      <alignment horizontal="right" readingOrder="0" vertical="center"/>
    </xf>
    <xf borderId="59" fillId="16" fontId="37" numFmtId="2" xfId="0" applyBorder="1" applyFont="1" applyNumberFormat="1"/>
    <xf borderId="0" fillId="0" fontId="47" numFmtId="0" xfId="0" applyFont="1"/>
    <xf borderId="0" fillId="0" fontId="48" numFmtId="0" xfId="0" applyFont="1"/>
    <xf borderId="0" fillId="0" fontId="49" numFmtId="0" xfId="0" applyFont="1"/>
    <xf borderId="59" fillId="39" fontId="46" numFmtId="0" xfId="0" applyAlignment="1" applyBorder="1" applyFont="1">
      <alignment horizontal="center" readingOrder="0" vertical="center"/>
    </xf>
    <xf borderId="1" fillId="0" fontId="49" numFmtId="0" xfId="0" applyBorder="1" applyFont="1"/>
    <xf borderId="2" fillId="0" fontId="49" numFmtId="0" xfId="0" applyBorder="1" applyFont="1"/>
    <xf borderId="4" fillId="0" fontId="49" numFmtId="0" xfId="0" applyBorder="1" applyFont="1"/>
    <xf borderId="5" fillId="16" fontId="37" numFmtId="0" xfId="0" applyAlignment="1" applyBorder="1" applyFont="1">
      <alignment horizontal="center" readingOrder="0" shrinkToFit="0" vertical="center" wrapText="1"/>
    </xf>
    <xf borderId="58" fillId="16" fontId="37" numFmtId="0" xfId="0" applyAlignment="1" applyBorder="1" applyFont="1">
      <alignment horizontal="center" readingOrder="0" shrinkToFit="0" vertical="center" wrapText="1"/>
    </xf>
    <xf borderId="3" fillId="0" fontId="39" numFmtId="0" xfId="0" applyBorder="1" applyFont="1"/>
    <xf borderId="59" fillId="0" fontId="39" numFmtId="0" xfId="0" applyAlignment="1" applyBorder="1" applyFont="1">
      <alignment readingOrder="0"/>
    </xf>
    <xf borderId="1" fillId="0" fontId="37" numFmtId="0" xfId="0" applyAlignment="1" applyBorder="1" applyFont="1">
      <alignment readingOrder="0" shrinkToFit="0" vertical="bottom" wrapText="0"/>
    </xf>
    <xf borderId="4" fillId="0" fontId="39" numFmtId="0" xfId="0" applyBorder="1" applyFont="1"/>
    <xf borderId="23" fillId="0" fontId="39" numFmtId="0" xfId="0" applyBorder="1" applyFont="1"/>
    <xf borderId="1" fillId="0" fontId="50" numFmtId="0" xfId="0" applyAlignment="1" applyBorder="1" applyFont="1">
      <alignment readingOrder="0"/>
    </xf>
    <xf borderId="2" fillId="0" fontId="50" numFmtId="0" xfId="0" applyBorder="1" applyFont="1"/>
    <xf borderId="1" fillId="0" fontId="50" numFmtId="0" xfId="0" applyAlignment="1" applyBorder="1" applyFont="1">
      <alignment horizontal="right" readingOrder="0"/>
    </xf>
    <xf borderId="59" fillId="0" fontId="50" numFmtId="0" xfId="0" applyAlignment="1" applyBorder="1" applyFont="1">
      <alignment horizontal="right" readingOrder="0"/>
    </xf>
    <xf borderId="4" fillId="0" fontId="50" numFmtId="0" xfId="0" applyAlignment="1" applyBorder="1" applyFont="1">
      <alignment horizontal="right" readingOrder="0"/>
    </xf>
    <xf borderId="1" fillId="0" fontId="39" numFmtId="9" xfId="0" applyAlignment="1" applyBorder="1" applyFont="1" applyNumberFormat="1">
      <alignment readingOrder="0"/>
    </xf>
    <xf borderId="59" fillId="0" fontId="39" numFmtId="9" xfId="0" applyAlignment="1" applyBorder="1" applyFont="1" applyNumberFormat="1">
      <alignment readingOrder="0"/>
    </xf>
    <xf borderId="4" fillId="0" fontId="39" numFmtId="9" xfId="0" applyAlignment="1" applyBorder="1" applyFont="1" applyNumberFormat="1">
      <alignment readingOrder="0"/>
    </xf>
    <xf borderId="2" fillId="0" fontId="39" numFmtId="0" xfId="0" applyAlignment="1" applyBorder="1" applyFont="1">
      <alignment readingOrder="0"/>
    </xf>
    <xf borderId="59" fillId="0" fontId="50" numFmtId="0" xfId="0" applyAlignment="1" applyBorder="1" applyFont="1">
      <alignment readingOrder="0"/>
    </xf>
    <xf borderId="4" fillId="0" fontId="50" numFmtId="0" xfId="0" applyAlignment="1" applyBorder="1" applyFont="1">
      <alignment readingOrder="0"/>
    </xf>
    <xf borderId="1" fillId="0" fontId="51" numFmtId="0" xfId="0" applyAlignment="1" applyBorder="1" applyFont="1">
      <alignment readingOrder="0"/>
    </xf>
    <xf borderId="2" fillId="0" fontId="51" numFmtId="0" xfId="0" applyBorder="1" applyFont="1"/>
    <xf borderId="59" fillId="0" fontId="51" numFmtId="0" xfId="0" applyAlignment="1" applyBorder="1" applyFont="1">
      <alignment readingOrder="0"/>
    </xf>
    <xf borderId="4" fillId="0" fontId="51" numFmtId="0" xfId="0" applyAlignment="1" applyBorder="1" applyFont="1">
      <alignment readingOrder="0"/>
    </xf>
    <xf borderId="1" fillId="0" fontId="52" numFmtId="0" xfId="0" applyAlignment="1" applyBorder="1" applyFont="1">
      <alignment readingOrder="0"/>
    </xf>
    <xf borderId="2" fillId="0" fontId="52" numFmtId="0" xfId="0" applyBorder="1" applyFont="1"/>
    <xf borderId="1" fillId="0" fontId="52" numFmtId="9" xfId="0" applyAlignment="1" applyBorder="1" applyFont="1" applyNumberFormat="1">
      <alignment readingOrder="0"/>
    </xf>
    <xf borderId="59" fillId="0" fontId="52" numFmtId="9" xfId="0" applyAlignment="1" applyBorder="1" applyFont="1" applyNumberFormat="1">
      <alignment readingOrder="0"/>
    </xf>
    <xf borderId="4" fillId="0" fontId="52" numFmtId="9" xfId="0" applyAlignment="1" applyBorder="1" applyFont="1" applyNumberFormat="1">
      <alignment readingOrder="0"/>
    </xf>
    <xf borderId="0" fillId="0" fontId="47" numFmtId="0" xfId="0" applyAlignment="1" applyFont="1">
      <alignment readingOrder="0"/>
    </xf>
    <xf borderId="1" fillId="0" fontId="37" numFmtId="0" xfId="0" applyAlignment="1" applyBorder="1" applyFont="1">
      <alignment readingOrder="0"/>
    </xf>
    <xf borderId="2" fillId="0" fontId="37" numFmtId="0" xfId="0" applyBorder="1" applyFont="1"/>
    <xf borderId="59" fillId="0" fontId="37" numFmtId="0" xfId="0" applyAlignment="1" applyBorder="1" applyFont="1">
      <alignment readingOrder="0"/>
    </xf>
    <xf borderId="4" fillId="0" fontId="37" numFmtId="0" xfId="0" applyAlignment="1" applyBorder="1" applyFont="1">
      <alignment readingOrder="0"/>
    </xf>
    <xf borderId="1" fillId="0" fontId="51" numFmtId="0" xfId="0" applyAlignment="1" applyBorder="1" applyFont="1">
      <alignment horizontal="right" readingOrder="0"/>
    </xf>
    <xf borderId="59" fillId="0" fontId="51" numFmtId="0" xfId="0" applyAlignment="1" applyBorder="1" applyFont="1">
      <alignment horizontal="right" readingOrder="0"/>
    </xf>
    <xf borderId="4" fillId="0" fontId="51" numFmtId="0" xfId="0" applyAlignment="1" applyBorder="1" applyFont="1">
      <alignment horizontal="right" readingOrder="0"/>
    </xf>
    <xf borderId="0" fillId="0" fontId="33" numFmtId="0" xfId="0" applyAlignment="1" applyFont="1">
      <alignment readingOrder="0"/>
    </xf>
    <xf borderId="0" fillId="0" fontId="39" numFmtId="0" xfId="0" applyAlignment="1" applyFont="1">
      <alignment horizontal="right" readingOrder="0"/>
    </xf>
    <xf borderId="23" fillId="0" fontId="43" numFmtId="0" xfId="0" applyAlignment="1" applyBorder="1" applyFont="1">
      <alignment readingOrder="0" vertical="bottom"/>
    </xf>
    <xf borderId="59" fillId="21" fontId="37" numFmtId="0" xfId="0" applyAlignment="1" applyBorder="1" applyFont="1">
      <alignment horizontal="left" readingOrder="0" shrinkToFit="0" vertical="center" wrapText="1"/>
    </xf>
    <xf borderId="59" fillId="21" fontId="37" numFmtId="2" xfId="0" applyAlignment="1" applyBorder="1" applyFont="1" applyNumberFormat="1">
      <alignment horizontal="right" readingOrder="0" shrinkToFit="0" vertical="center" wrapText="1"/>
    </xf>
    <xf borderId="59" fillId="36" fontId="37" numFmtId="0" xfId="0" applyAlignment="1" applyBorder="1" applyFont="1">
      <alignment horizontal="left" readingOrder="0" shrinkToFit="0" vertical="center" wrapText="1"/>
    </xf>
    <xf borderId="60" fillId="21" fontId="39" numFmtId="2" xfId="0" applyAlignment="1" applyBorder="1" applyFont="1" applyNumberFormat="1">
      <alignment horizontal="right" shrinkToFit="0" vertical="bottom" wrapText="1"/>
    </xf>
    <xf borderId="0" fillId="0" fontId="53" numFmtId="0" xfId="0" applyAlignment="1" applyFont="1">
      <alignment readingOrder="0"/>
    </xf>
    <xf borderId="59" fillId="72" fontId="37" numFmtId="0" xfId="0" applyAlignment="1" applyBorder="1" applyFill="1" applyFont="1">
      <alignment horizontal="left" vertical="center"/>
    </xf>
    <xf borderId="59" fillId="72" fontId="37" numFmtId="0" xfId="0" applyAlignment="1" applyBorder="1" applyFont="1">
      <alignment horizontal="right" vertical="center"/>
    </xf>
    <xf borderId="60" fillId="72" fontId="12" numFmtId="0" xfId="0" applyAlignment="1" applyBorder="1" applyFont="1">
      <alignment horizontal="right" vertical="bottom"/>
    </xf>
    <xf borderId="59" fillId="0" fontId="37" numFmtId="4" xfId="0" applyAlignment="1" applyBorder="1" applyFont="1" applyNumberFormat="1">
      <alignment horizontal="right" readingOrder="0"/>
    </xf>
    <xf borderId="60" fillId="0" fontId="39" numFmtId="4" xfId="0" applyAlignment="1" applyBorder="1" applyFont="1" applyNumberFormat="1">
      <alignment horizontal="right" vertical="bottom"/>
    </xf>
    <xf borderId="60" fillId="0" fontId="39" numFmtId="0" xfId="0" applyAlignment="1" applyBorder="1" applyFont="1">
      <alignment horizontal="right" vertical="bottom"/>
    </xf>
    <xf borderId="59" fillId="0" fontId="37" numFmtId="1" xfId="0" applyAlignment="1" applyBorder="1" applyFont="1" applyNumberFormat="1">
      <alignment horizontal="right" readingOrder="0"/>
    </xf>
    <xf borderId="60" fillId="0" fontId="39" numFmtId="1" xfId="0" applyAlignment="1" applyBorder="1" applyFont="1" applyNumberFormat="1">
      <alignment horizontal="right" vertical="bottom"/>
    </xf>
    <xf borderId="0" fillId="0" fontId="37" numFmtId="0" xfId="0" applyFont="1"/>
    <xf borderId="59" fillId="36" fontId="37" numFmtId="0" xfId="0" applyAlignment="1" applyBorder="1" applyFont="1">
      <alignment horizontal="right" readingOrder="0" shrinkToFit="0" vertical="center" wrapText="1"/>
    </xf>
    <xf borderId="0" fillId="0" fontId="47" numFmtId="0" xfId="0" applyAlignment="1" applyFont="1">
      <alignment horizontal="right" readingOrder="0"/>
    </xf>
    <xf borderId="59" fillId="73" fontId="37" numFmtId="0" xfId="0" applyAlignment="1" applyBorder="1" applyFill="1" applyFont="1">
      <alignment horizontal="left" readingOrder="0" shrinkToFit="0" vertical="center" wrapText="1"/>
    </xf>
    <xf borderId="59" fillId="73" fontId="37" numFmtId="4" xfId="0" applyAlignment="1" applyBorder="1" applyFont="1" applyNumberFormat="1">
      <alignment horizontal="right" vertical="center"/>
    </xf>
    <xf borderId="0" fillId="0" fontId="37" numFmtId="0" xfId="0" applyAlignment="1" applyFont="1">
      <alignment vertical="center"/>
    </xf>
    <xf borderId="0" fillId="0" fontId="47" numFmtId="0" xfId="0" applyAlignment="1" applyFont="1">
      <alignment vertical="center"/>
    </xf>
    <xf borderId="59" fillId="0" fontId="37" numFmtId="0" xfId="0" applyAlignment="1" applyBorder="1" applyFont="1">
      <alignment horizontal="right" vertical="center"/>
    </xf>
    <xf borderId="59" fillId="0" fontId="37" numFmtId="2" xfId="0" applyAlignment="1" applyBorder="1" applyFont="1" applyNumberFormat="1">
      <alignment horizontal="right" vertical="center"/>
    </xf>
    <xf borderId="59" fillId="73" fontId="37" numFmtId="2" xfId="0" applyAlignment="1" applyBorder="1" applyFont="1" applyNumberFormat="1">
      <alignment horizontal="right" vertical="center"/>
    </xf>
    <xf borderId="1" fillId="0" fontId="27" numFmtId="0" xfId="0" applyAlignment="1" applyBorder="1" applyFont="1">
      <alignment horizontal="center" readingOrder="0" vertical="center"/>
    </xf>
    <xf borderId="59" fillId="0" fontId="27" numFmtId="0" xfId="0" applyAlignment="1" applyBorder="1" applyFont="1">
      <alignment horizontal="center" readingOrder="0" vertical="center"/>
    </xf>
    <xf borderId="1" fillId="72" fontId="27" numFmtId="0" xfId="0" applyAlignment="1" applyBorder="1" applyFont="1">
      <alignment horizontal="left" readingOrder="0" vertical="center"/>
    </xf>
    <xf borderId="2" fillId="72" fontId="27" numFmtId="0" xfId="0" applyAlignment="1" applyBorder="1" applyFont="1">
      <alignment horizontal="center" vertical="center"/>
    </xf>
    <xf borderId="4" fillId="72" fontId="27" numFmtId="0" xfId="0" applyAlignment="1" applyBorder="1" applyFont="1">
      <alignment horizontal="center" vertical="center"/>
    </xf>
    <xf borderId="59" fillId="36" fontId="28" numFmtId="0" xfId="0" applyAlignment="1" applyBorder="1" applyFont="1">
      <alignment horizontal="left" readingOrder="0" shrinkToFit="0" vertical="center" wrapText="1"/>
    </xf>
    <xf borderId="59" fillId="36" fontId="28" numFmtId="0" xfId="0" applyAlignment="1" applyBorder="1" applyFont="1">
      <alignment horizontal="center" readingOrder="0" shrinkToFit="0" vertical="center" wrapText="1"/>
    </xf>
    <xf borderId="61" fillId="36" fontId="28" numFmtId="0" xfId="0" applyAlignment="1" applyBorder="1" applyFont="1">
      <alignment horizontal="center" readingOrder="0" shrinkToFit="0" vertical="center" wrapText="1"/>
    </xf>
    <xf borderId="59" fillId="35" fontId="29" numFmtId="0" xfId="0" applyAlignment="1" applyBorder="1" applyFont="1">
      <alignment vertical="center"/>
    </xf>
    <xf borderId="66" fillId="36" fontId="29" numFmtId="0" xfId="0" applyAlignment="1" applyBorder="1" applyFont="1">
      <alignment horizontal="left" readingOrder="0" shrinkToFit="0" vertical="center" wrapText="1"/>
    </xf>
    <xf borderId="66" fillId="36" fontId="29" numFmtId="0" xfId="0" applyAlignment="1" applyBorder="1" applyFont="1">
      <alignment horizontal="center" readingOrder="0" shrinkToFit="0" vertical="center" wrapText="1"/>
    </xf>
    <xf borderId="67" fillId="36" fontId="29" numFmtId="0" xfId="0" applyAlignment="1" applyBorder="1" applyFont="1">
      <alignment horizontal="center" readingOrder="0" shrinkToFit="0" vertical="center" wrapText="1"/>
    </xf>
    <xf borderId="58" fillId="35" fontId="29" numFmtId="49" xfId="0" applyAlignment="1" applyBorder="1" applyFont="1" applyNumberFormat="1">
      <alignment horizontal="center" readingOrder="0" vertical="center"/>
    </xf>
    <xf borderId="58" fillId="35" fontId="28" numFmtId="0" xfId="0" applyAlignment="1" applyBorder="1" applyFont="1">
      <alignment horizontal="center" readingOrder="0" shrinkToFit="0" vertical="center" wrapText="1"/>
    </xf>
    <xf borderId="58" fillId="35" fontId="29" numFmtId="0" xfId="0" applyAlignment="1" applyBorder="1" applyFont="1">
      <alignment horizontal="center" vertical="center"/>
    </xf>
    <xf borderId="58" fillId="35" fontId="29" numFmtId="49" xfId="0" applyAlignment="1" applyBorder="1" applyFont="1" applyNumberFormat="1">
      <alignment horizontal="center" vertical="center"/>
    </xf>
    <xf borderId="60" fillId="0" fontId="37" numFmtId="0" xfId="0" applyAlignment="1" applyBorder="1" applyFont="1">
      <alignment horizontal="left" readingOrder="0" shrinkToFit="0" vertical="center" wrapText="1"/>
    </xf>
    <xf borderId="60" fillId="0" fontId="29" numFmtId="4" xfId="0" applyAlignment="1" applyBorder="1" applyFont="1" applyNumberFormat="1">
      <alignment horizontal="center" shrinkToFit="0" vertical="center" wrapText="1"/>
    </xf>
    <xf borderId="60" fillId="0" fontId="29" numFmtId="2" xfId="0" applyAlignment="1" applyBorder="1" applyFont="1" applyNumberFormat="1">
      <alignment horizontal="center" shrinkToFit="0" vertical="center" wrapText="1"/>
    </xf>
    <xf borderId="0" fillId="0" fontId="54" numFmtId="0" xfId="0" applyAlignment="1" applyFont="1">
      <alignment readingOrder="0"/>
    </xf>
    <xf borderId="0" fillId="0" fontId="54" numFmtId="0" xfId="0" applyAlignment="1" applyFont="1">
      <alignment readingOrder="0" vertical="bottom"/>
    </xf>
    <xf borderId="0" fillId="0" fontId="25" numFmtId="0" xfId="0" applyAlignment="1" applyFont="1">
      <alignment readingOrder="0" vertical="center"/>
    </xf>
    <xf borderId="0" fillId="0" fontId="10" numFmtId="0" xfId="0" applyAlignment="1" applyFont="1">
      <alignment vertical="center"/>
    </xf>
    <xf borderId="0" fillId="0" fontId="29" numFmtId="0" xfId="0" applyAlignment="1" applyFont="1">
      <alignment readingOrder="0" vertical="center"/>
    </xf>
    <xf borderId="68" fillId="74" fontId="55" numFmtId="0" xfId="0" applyAlignment="1" applyBorder="1" applyFill="1" applyFont="1">
      <alignment readingOrder="0" vertical="center"/>
    </xf>
    <xf borderId="0" fillId="0" fontId="10" numFmtId="0" xfId="0" applyAlignment="1" applyFont="1">
      <alignment horizontal="right" readingOrder="0" vertical="center"/>
    </xf>
    <xf borderId="0" fillId="0" fontId="10" numFmtId="0" xfId="0" applyAlignment="1" applyFont="1">
      <alignment horizontal="right" vertical="center"/>
    </xf>
    <xf borderId="23" fillId="0" fontId="5" numFmtId="0" xfId="0" applyAlignment="1" applyBorder="1" applyFont="1">
      <alignment vertical="bottom"/>
    </xf>
    <xf borderId="59" fillId="75" fontId="46" numFmtId="0" xfId="0" applyAlignment="1" applyBorder="1" applyFill="1" applyFont="1">
      <alignment horizontal="left" readingOrder="0" shrinkToFit="0" vertical="center" wrapText="1"/>
    </xf>
    <xf borderId="59" fillId="75" fontId="46" numFmtId="0" xfId="0" applyAlignment="1" applyBorder="1" applyFont="1">
      <alignment horizontal="right" readingOrder="0" shrinkToFit="0" vertical="center" wrapText="1"/>
    </xf>
    <xf borderId="0" fillId="0" fontId="56" numFmtId="0" xfId="0" applyAlignment="1" applyFont="1">
      <alignment horizontal="right" readingOrder="0" vertical="center"/>
    </xf>
    <xf borderId="60" fillId="75" fontId="46" numFmtId="0" xfId="0" applyAlignment="1" applyBorder="1" applyFont="1">
      <alignment shrinkToFit="0" wrapText="1"/>
    </xf>
    <xf borderId="21" fillId="75" fontId="46" numFmtId="0" xfId="0" applyAlignment="1" applyBorder="1" applyFont="1">
      <alignment horizontal="right" shrinkToFit="0" wrapText="1"/>
    </xf>
    <xf borderId="59" fillId="50" fontId="37" numFmtId="0" xfId="0" applyAlignment="1" applyBorder="1" applyFont="1">
      <alignment horizontal="left" readingOrder="0" shrinkToFit="0" vertical="center" wrapText="1"/>
    </xf>
    <xf borderId="59" fillId="50" fontId="37" numFmtId="4" xfId="0" applyAlignment="1" applyBorder="1" applyFont="1" applyNumberFormat="1">
      <alignment horizontal="right" vertical="center"/>
    </xf>
    <xf borderId="0" fillId="0" fontId="47" numFmtId="0" xfId="0" applyAlignment="1" applyFont="1">
      <alignment horizontal="right" vertical="center"/>
    </xf>
    <xf borderId="60" fillId="0" fontId="39" numFmtId="0" xfId="0" applyAlignment="1" applyBorder="1" applyFont="1">
      <alignment readingOrder="0" vertical="bottom"/>
    </xf>
    <xf borderId="21" fillId="0" fontId="39" numFmtId="0" xfId="0" applyAlignment="1" applyBorder="1" applyFont="1">
      <alignment horizontal="right" vertical="bottom"/>
    </xf>
    <xf borderId="59" fillId="75" fontId="46" numFmtId="0" xfId="0" applyAlignment="1" applyBorder="1" applyFont="1">
      <alignment horizontal="left" readingOrder="0" vertical="center"/>
    </xf>
    <xf borderId="59" fillId="75" fontId="46" numFmtId="2" xfId="0" applyAlignment="1" applyBorder="1" applyFont="1" applyNumberFormat="1">
      <alignment horizontal="right" vertical="center"/>
    </xf>
    <xf borderId="59" fillId="75" fontId="46" numFmtId="0" xfId="0" applyAlignment="1" applyBorder="1" applyFont="1">
      <alignment horizontal="right" vertical="center"/>
    </xf>
    <xf borderId="21" fillId="0" fontId="39" numFmtId="0" xfId="0" applyAlignment="1" applyBorder="1" applyFont="1">
      <alignment horizontal="right" shrinkToFit="0" vertical="bottom" wrapText="1"/>
    </xf>
    <xf borderId="59" fillId="21" fontId="39" numFmtId="0" xfId="0" applyAlignment="1" applyBorder="1" applyFont="1">
      <alignment horizontal="right" vertical="center"/>
    </xf>
    <xf borderId="59" fillId="21" fontId="39" numFmtId="4" xfId="0" applyAlignment="1" applyBorder="1" applyFont="1" applyNumberFormat="1">
      <alignment horizontal="right" vertical="center"/>
    </xf>
    <xf borderId="0" fillId="0" fontId="48" numFmtId="0" xfId="0" applyAlignment="1" applyFont="1">
      <alignment horizontal="right" vertical="center"/>
    </xf>
    <xf borderId="0" fillId="0" fontId="48" numFmtId="0" xfId="0" applyAlignment="1" applyFont="1">
      <alignment vertical="center"/>
    </xf>
    <xf borderId="59" fillId="50" fontId="37" numFmtId="2" xfId="0" applyAlignment="1" applyBorder="1" applyFont="1" applyNumberFormat="1">
      <alignment horizontal="right" vertical="center"/>
    </xf>
    <xf borderId="0" fillId="0" fontId="57" numFmtId="0" xfId="0" applyAlignment="1" applyFont="1">
      <alignment horizontal="right" vertical="center"/>
    </xf>
    <xf borderId="0" fillId="0" fontId="57" numFmtId="0" xfId="0" applyFont="1"/>
    <xf borderId="0" fillId="0" fontId="47" numFmtId="0" xfId="0" applyFont="1"/>
    <xf borderId="59" fillId="33" fontId="37" numFmtId="0" xfId="0" applyAlignment="1" applyBorder="1" applyFont="1">
      <alignment horizontal="left" readingOrder="0" shrinkToFit="0" vertical="center" wrapText="1"/>
    </xf>
    <xf borderId="59" fillId="33" fontId="37" numFmtId="0" xfId="0" applyAlignment="1" applyBorder="1" applyFont="1">
      <alignment horizontal="right" readingOrder="0" shrinkToFit="0" vertical="center" wrapText="1"/>
    </xf>
    <xf borderId="59" fillId="27" fontId="37" numFmtId="0" xfId="0" applyAlignment="1" applyBorder="1" applyFont="1">
      <alignment horizontal="left" readingOrder="0" shrinkToFit="0" vertical="center" wrapText="1"/>
    </xf>
    <xf borderId="59" fillId="27" fontId="37" numFmtId="0" xfId="0" applyAlignment="1" applyBorder="1" applyFont="1">
      <alignment horizontal="right" readingOrder="0" shrinkToFit="0" vertical="center" wrapText="1"/>
    </xf>
    <xf borderId="1" fillId="76" fontId="27" numFmtId="0" xfId="0" applyAlignment="1" applyBorder="1" applyFill="1" applyFont="1">
      <alignment horizontal="left" readingOrder="0"/>
    </xf>
    <xf borderId="2" fillId="76" fontId="27" numFmtId="0" xfId="0" applyAlignment="1" applyBorder="1" applyFont="1">
      <alignment horizontal="center"/>
    </xf>
    <xf borderId="4" fillId="76" fontId="27" numFmtId="0" xfId="0" applyAlignment="1" applyBorder="1" applyFont="1">
      <alignment horizontal="center"/>
    </xf>
    <xf borderId="59" fillId="33" fontId="37" numFmtId="4" xfId="0" applyAlignment="1" applyBorder="1" applyFont="1" applyNumberFormat="1">
      <alignment horizontal="right" vertical="center"/>
    </xf>
    <xf borderId="59" fillId="27" fontId="37" numFmtId="4" xfId="0" applyAlignment="1" applyBorder="1" applyFont="1" applyNumberFormat="1">
      <alignment horizontal="right" vertical="center"/>
    </xf>
    <xf borderId="59" fillId="33" fontId="28" numFmtId="0" xfId="0" applyAlignment="1" applyBorder="1" applyFont="1">
      <alignment horizontal="left" readingOrder="0" shrinkToFit="0" vertical="center" wrapText="1"/>
    </xf>
    <xf borderId="59" fillId="41" fontId="28" numFmtId="0" xfId="0" applyAlignment="1" applyBorder="1" applyFont="1">
      <alignment horizontal="center" readingOrder="0" vertical="center"/>
    </xf>
    <xf borderId="61" fillId="41" fontId="28" numFmtId="0" xfId="0" applyAlignment="1" applyBorder="1" applyFont="1">
      <alignment horizontal="center" readingOrder="0" vertical="center"/>
    </xf>
    <xf borderId="59" fillId="33" fontId="29" numFmtId="49" xfId="0" applyAlignment="1" applyBorder="1" applyFont="1" applyNumberFormat="1">
      <alignment horizontal="center"/>
    </xf>
    <xf borderId="66" fillId="33" fontId="29" numFmtId="0" xfId="0" applyAlignment="1" applyBorder="1" applyFont="1">
      <alignment horizontal="left" readingOrder="0" shrinkToFit="0" vertical="center" wrapText="1"/>
    </xf>
    <xf borderId="66" fillId="41" fontId="29" numFmtId="0" xfId="0" applyAlignment="1" applyBorder="1" applyFont="1">
      <alignment horizontal="center" readingOrder="0" vertical="center"/>
    </xf>
    <xf borderId="69" fillId="41" fontId="29" numFmtId="0" xfId="0" applyAlignment="1" applyBorder="1" applyFont="1">
      <alignment horizontal="center" readingOrder="0" vertical="center"/>
    </xf>
    <xf borderId="58" fillId="33" fontId="29" numFmtId="49" xfId="0" applyAlignment="1" applyBorder="1" applyFont="1" applyNumberFormat="1">
      <alignment horizontal="center" readingOrder="0" vertical="center"/>
    </xf>
    <xf borderId="58" fillId="33" fontId="28" numFmtId="0" xfId="0" applyAlignment="1" applyBorder="1" applyFont="1">
      <alignment horizontal="center" readingOrder="0" shrinkToFit="0" vertical="center" wrapText="1"/>
    </xf>
    <xf borderId="58" fillId="33" fontId="29" numFmtId="0" xfId="0" applyAlignment="1" applyBorder="1" applyFont="1">
      <alignment horizontal="center" vertical="center"/>
    </xf>
    <xf borderId="58" fillId="33" fontId="29" numFmtId="49" xfId="0" applyAlignment="1" applyBorder="1" applyFont="1" applyNumberFormat="1">
      <alignment horizontal="center" vertical="center"/>
    </xf>
    <xf borderId="58" fillId="33" fontId="29" numFmtId="49" xfId="0" applyAlignment="1" applyBorder="1" applyFont="1" applyNumberFormat="1">
      <alignment horizontal="center" readingOrder="0" shrinkToFit="0" vertical="center" wrapText="1"/>
    </xf>
    <xf borderId="60" fillId="0" fontId="29" numFmtId="4" xfId="0" applyAlignment="1" applyBorder="1" applyFont="1" applyNumberFormat="1">
      <alignment horizontal="center" vertical="center"/>
    </xf>
    <xf borderId="60" fillId="0" fontId="29" numFmtId="2" xfId="0" applyAlignment="1" applyBorder="1" applyFont="1" applyNumberFormat="1">
      <alignment horizontal="center" vertical="center"/>
    </xf>
    <xf borderId="1" fillId="77" fontId="27" numFmtId="0" xfId="0" applyAlignment="1" applyBorder="1" applyFill="1" applyFont="1">
      <alignment horizontal="left" readingOrder="0"/>
    </xf>
    <xf borderId="2" fillId="77" fontId="27" numFmtId="0" xfId="0" applyAlignment="1" applyBorder="1" applyFont="1">
      <alignment horizontal="center"/>
    </xf>
    <xf borderId="4" fillId="77" fontId="27" numFmtId="0" xfId="0" applyAlignment="1" applyBorder="1" applyFont="1">
      <alignment horizontal="center" vertical="center"/>
    </xf>
    <xf borderId="59" fillId="27" fontId="28" numFmtId="0" xfId="0" applyAlignment="1" applyBorder="1" applyFont="1">
      <alignment horizontal="left" readingOrder="0" shrinkToFit="0" vertical="center" wrapText="1"/>
    </xf>
    <xf borderId="59" fillId="27" fontId="28" numFmtId="0" xfId="0" applyAlignment="1" applyBorder="1" applyFont="1">
      <alignment horizontal="center" readingOrder="0" vertical="center"/>
    </xf>
    <xf borderId="61" fillId="27" fontId="28" numFmtId="0" xfId="0" applyAlignment="1" applyBorder="1" applyFont="1">
      <alignment horizontal="center" readingOrder="0" vertical="center"/>
    </xf>
    <xf borderId="59" fillId="27" fontId="29" numFmtId="49" xfId="0" applyAlignment="1" applyBorder="1" applyFont="1" applyNumberFormat="1">
      <alignment horizontal="center"/>
    </xf>
    <xf borderId="59" fillId="27" fontId="29" numFmtId="49" xfId="0" applyAlignment="1" applyBorder="1" applyFont="1" applyNumberFormat="1">
      <alignment horizontal="center" vertical="center"/>
    </xf>
    <xf borderId="66" fillId="27" fontId="29" numFmtId="0" xfId="0" applyAlignment="1" applyBorder="1" applyFont="1">
      <alignment horizontal="left" readingOrder="0" shrinkToFit="0" vertical="center" wrapText="1"/>
    </xf>
    <xf borderId="66" fillId="78" fontId="29" numFmtId="0" xfId="0" applyAlignment="1" applyBorder="1" applyFill="1" applyFont="1">
      <alignment horizontal="center" readingOrder="0" vertical="center"/>
    </xf>
    <xf borderId="69" fillId="78" fontId="29" numFmtId="0" xfId="0" applyAlignment="1" applyBorder="1" applyFont="1">
      <alignment horizontal="center" readingOrder="0" vertical="center"/>
    </xf>
    <xf borderId="58" fillId="27" fontId="29" numFmtId="49" xfId="0" applyAlignment="1" applyBorder="1" applyFont="1" applyNumberFormat="1">
      <alignment horizontal="center" readingOrder="0" vertical="center"/>
    </xf>
    <xf borderId="58" fillId="27" fontId="28" numFmtId="0" xfId="0" applyAlignment="1" applyBorder="1" applyFont="1">
      <alignment horizontal="center" readingOrder="0" shrinkToFit="0" vertical="center" wrapText="1"/>
    </xf>
    <xf borderId="58" fillId="27" fontId="29" numFmtId="0" xfId="0" applyAlignment="1" applyBorder="1" applyFont="1">
      <alignment horizontal="center" vertical="center"/>
    </xf>
    <xf borderId="58" fillId="27" fontId="29" numFmtId="49" xfId="0" applyAlignment="1" applyBorder="1" applyFont="1" applyNumberFormat="1">
      <alignment horizontal="center" vertical="center"/>
    </xf>
    <xf borderId="58" fillId="27" fontId="29" numFmtId="49" xfId="0" applyAlignment="1" applyBorder="1" applyFont="1" applyNumberFormat="1">
      <alignment horizontal="center" readingOrder="0" shrinkToFit="0" vertical="center" wrapText="1"/>
    </xf>
    <xf borderId="0" fillId="0" fontId="58" numFmtId="0" xfId="0" applyFont="1"/>
    <xf borderId="59" fillId="33" fontId="37" numFmtId="2" xfId="0" applyAlignment="1" applyBorder="1" applyFont="1" applyNumberFormat="1">
      <alignment horizontal="right" vertical="center"/>
    </xf>
    <xf borderId="59" fillId="27" fontId="37" numFmtId="2" xfId="0" applyAlignment="1" applyBorder="1" applyFont="1" applyNumberFormat="1">
      <alignment horizontal="right" vertical="center"/>
    </xf>
    <xf borderId="68" fillId="74" fontId="55" numFmtId="0" xfId="0" applyAlignment="1" applyBorder="1" applyFont="1">
      <alignment readingOrder="0"/>
    </xf>
    <xf borderId="0" fillId="0" fontId="59" numFmtId="0" xfId="0" applyAlignment="1" applyFont="1">
      <alignment horizontal="right" vertical="bottom"/>
    </xf>
    <xf borderId="23" fillId="0" fontId="59" numFmtId="0" xfId="0" applyAlignment="1" applyBorder="1" applyFont="1">
      <alignment horizontal="right" vertical="bottom"/>
    </xf>
    <xf borderId="59" fillId="50" fontId="37" numFmtId="0" xfId="0" applyAlignment="1" applyBorder="1" applyFont="1">
      <alignment horizontal="right" readingOrder="0" shrinkToFit="0" vertical="center" wrapText="1"/>
    </xf>
    <xf borderId="19" fillId="0" fontId="60" numFmtId="0" xfId="0" applyAlignment="1" applyBorder="1" applyFont="1">
      <alignment horizontal="center" readingOrder="0" textRotation="90" vertical="center"/>
    </xf>
    <xf borderId="19" fillId="0" fontId="13" numFmtId="0" xfId="0" applyBorder="1" applyFont="1"/>
    <xf borderId="1" fillId="50" fontId="27" numFmtId="0" xfId="0" applyAlignment="1" applyBorder="1" applyFont="1">
      <alignment horizontal="left" readingOrder="0" vertical="center"/>
    </xf>
    <xf borderId="2" fillId="50" fontId="27" numFmtId="0" xfId="0" applyAlignment="1" applyBorder="1" applyFont="1">
      <alignment horizontal="center" vertical="center"/>
    </xf>
    <xf borderId="4" fillId="50" fontId="27" numFmtId="0" xfId="0" applyAlignment="1" applyBorder="1" applyFont="1">
      <alignment horizontal="center" vertical="center"/>
    </xf>
    <xf borderId="59" fillId="0" fontId="28" numFmtId="0" xfId="0" applyAlignment="1" applyBorder="1" applyFont="1">
      <alignment horizontal="left" readingOrder="0" shrinkToFit="0" vertical="center" wrapText="1"/>
    </xf>
    <xf borderId="59" fillId="0" fontId="28" numFmtId="0" xfId="0" applyAlignment="1" applyBorder="1" applyFont="1">
      <alignment horizontal="center" readingOrder="0" shrinkToFit="0" vertical="center" wrapText="1"/>
    </xf>
    <xf borderId="61" fillId="0" fontId="28" numFmtId="0" xfId="0" applyAlignment="1" applyBorder="1" applyFont="1">
      <alignment horizontal="center" readingOrder="0" shrinkToFit="0" vertical="center" wrapText="1"/>
    </xf>
    <xf borderId="59" fillId="0" fontId="29" numFmtId="0" xfId="0" applyAlignment="1" applyBorder="1" applyFont="1">
      <alignment vertical="center"/>
    </xf>
    <xf borderId="66" fillId="79" fontId="29" numFmtId="0" xfId="0" applyAlignment="1" applyBorder="1" applyFill="1" applyFont="1">
      <alignment horizontal="left" readingOrder="0" shrinkToFit="0" vertical="center" wrapText="1"/>
    </xf>
    <xf borderId="58" fillId="79" fontId="33" numFmtId="0" xfId="0" applyAlignment="1" applyBorder="1" applyFont="1">
      <alignment horizontal="center" shrinkToFit="0" wrapText="1"/>
    </xf>
    <xf borderId="6" fillId="79" fontId="33" numFmtId="0" xfId="0" applyAlignment="1" applyBorder="1" applyFont="1">
      <alignment horizontal="center" shrinkToFit="0" wrapText="1"/>
    </xf>
    <xf borderId="58" fillId="79" fontId="29" numFmtId="49" xfId="0" applyAlignment="1" applyBorder="1" applyFont="1" applyNumberFormat="1">
      <alignment horizontal="center" vertical="center"/>
    </xf>
    <xf borderId="58" fillId="79" fontId="28" numFmtId="0" xfId="0" applyAlignment="1" applyBorder="1" applyFont="1">
      <alignment horizontal="center" readingOrder="0" shrinkToFit="0" vertical="center" wrapText="1"/>
    </xf>
    <xf borderId="58" fillId="79" fontId="29" numFmtId="0" xfId="0" applyAlignment="1" applyBorder="1" applyFont="1">
      <alignment horizontal="center" vertical="center"/>
    </xf>
    <xf borderId="58" fillId="79" fontId="29" numFmtId="3" xfId="0" applyAlignment="1" applyBorder="1" applyFont="1" applyNumberFormat="1">
      <alignment horizontal="center" vertical="center"/>
    </xf>
    <xf borderId="58" fillId="79" fontId="29" numFmtId="49" xfId="0" applyAlignment="1" applyBorder="1" applyFont="1" applyNumberFormat="1">
      <alignment horizontal="center" readingOrder="0" shrinkToFit="0" vertical="center" wrapText="1"/>
    </xf>
    <xf borderId="19" fillId="0" fontId="5" numFmtId="0" xfId="0" applyAlignment="1" applyBorder="1" applyFont="1">
      <alignment horizontal="center" textRotation="90" vertical="center"/>
    </xf>
    <xf borderId="1" fillId="80" fontId="27" numFmtId="0" xfId="0" applyAlignment="1" applyBorder="1" applyFill="1" applyFont="1">
      <alignment horizontal="left" readingOrder="0" vertical="center"/>
    </xf>
    <xf borderId="2" fillId="80" fontId="27" numFmtId="0" xfId="0" applyAlignment="1" applyBorder="1" applyFont="1">
      <alignment horizontal="center" vertical="center"/>
    </xf>
    <xf borderId="2" fillId="80" fontId="27" numFmtId="3" xfId="0" applyAlignment="1" applyBorder="1" applyFont="1" applyNumberFormat="1">
      <alignment horizontal="center" vertical="center"/>
    </xf>
    <xf borderId="4" fillId="80" fontId="27" numFmtId="0" xfId="0" applyAlignment="1" applyBorder="1" applyFont="1">
      <alignment horizontal="center" vertical="center"/>
    </xf>
    <xf borderId="66" fillId="16" fontId="29" numFmtId="0" xfId="0" applyAlignment="1" applyBorder="1" applyFont="1">
      <alignment horizontal="left" readingOrder="0" shrinkToFit="0" vertical="center" wrapText="1"/>
    </xf>
    <xf borderId="58" fillId="16" fontId="33" numFmtId="0" xfId="0" applyAlignment="1" applyBorder="1" applyFont="1">
      <alignment horizontal="center" shrinkToFit="0" wrapText="1"/>
    </xf>
    <xf borderId="6" fillId="16" fontId="33" numFmtId="0" xfId="0" applyAlignment="1" applyBorder="1" applyFont="1">
      <alignment horizontal="center" shrinkToFit="0" wrapText="1"/>
    </xf>
    <xf borderId="58" fillId="16" fontId="29" numFmtId="49" xfId="0" applyAlignment="1" applyBorder="1" applyFont="1" applyNumberFormat="1">
      <alignment horizontal="center" vertical="center"/>
    </xf>
    <xf borderId="58" fillId="16" fontId="28" numFmtId="0" xfId="0" applyAlignment="1" applyBorder="1" applyFont="1">
      <alignment horizontal="center" readingOrder="0" shrinkToFit="0" vertical="center" wrapText="1"/>
    </xf>
    <xf borderId="58" fillId="16" fontId="29" numFmtId="0" xfId="0" applyAlignment="1" applyBorder="1" applyFont="1">
      <alignment horizontal="center" vertical="center"/>
    </xf>
    <xf borderId="58" fillId="16" fontId="29" numFmtId="3" xfId="0" applyAlignment="1" applyBorder="1" applyFont="1" applyNumberFormat="1">
      <alignment horizontal="center" vertical="center"/>
    </xf>
    <xf borderId="58" fillId="16" fontId="29" numFmtId="49" xfId="0" applyAlignment="1" applyBorder="1" applyFont="1" applyNumberFormat="1">
      <alignment horizontal="center" readingOrder="0" vertical="center"/>
    </xf>
    <xf borderId="58" fillId="16" fontId="29" numFmtId="49" xfId="0" applyAlignment="1" applyBorder="1" applyFont="1" applyNumberFormat="1">
      <alignment horizontal="center" readingOrder="0" shrinkToFit="0" vertical="center" wrapText="1"/>
    </xf>
    <xf borderId="19" fillId="0" fontId="60" numFmtId="0" xfId="0" applyAlignment="1" applyBorder="1" applyFont="1">
      <alignment horizontal="center" textRotation="90" vertical="center"/>
    </xf>
    <xf borderId="1" fillId="71" fontId="27" numFmtId="0" xfId="0" applyAlignment="1" applyBorder="1" applyFont="1">
      <alignment horizontal="left" readingOrder="0" vertical="center"/>
    </xf>
    <xf borderId="2" fillId="71" fontId="27" numFmtId="0" xfId="0" applyAlignment="1" applyBorder="1" applyFont="1">
      <alignment horizontal="center" vertical="center"/>
    </xf>
    <xf borderId="2" fillId="71" fontId="27" numFmtId="3" xfId="0" applyAlignment="1" applyBorder="1" applyFont="1" applyNumberFormat="1">
      <alignment horizontal="center" vertical="center"/>
    </xf>
    <xf borderId="4" fillId="71" fontId="27" numFmtId="0" xfId="0" applyAlignment="1" applyBorder="1" applyFont="1">
      <alignment horizontal="center" vertical="center"/>
    </xf>
    <xf borderId="66" fillId="70" fontId="29" numFmtId="0" xfId="0" applyAlignment="1" applyBorder="1" applyFont="1">
      <alignment horizontal="left" readingOrder="0" shrinkToFit="0" vertical="center" wrapText="1"/>
    </xf>
    <xf borderId="58" fillId="70" fontId="33" numFmtId="0" xfId="0" applyAlignment="1" applyBorder="1" applyFont="1">
      <alignment horizontal="center" shrinkToFit="0" wrapText="1"/>
    </xf>
    <xf borderId="6" fillId="70" fontId="33" numFmtId="0" xfId="0" applyAlignment="1" applyBorder="1" applyFont="1">
      <alignment horizontal="center" shrinkToFit="0" wrapText="1"/>
    </xf>
    <xf borderId="58" fillId="70" fontId="29" numFmtId="49" xfId="0" applyAlignment="1" applyBorder="1" applyFont="1" applyNumberFormat="1">
      <alignment horizontal="center" vertical="center"/>
    </xf>
    <xf borderId="58" fillId="70" fontId="28" numFmtId="0" xfId="0" applyAlignment="1" applyBorder="1" applyFont="1">
      <alignment horizontal="center" readingOrder="0" shrinkToFit="0" vertical="center" wrapText="1"/>
    </xf>
    <xf borderId="58" fillId="70" fontId="29" numFmtId="0" xfId="0" applyAlignment="1" applyBorder="1" applyFont="1">
      <alignment horizontal="center" vertical="center"/>
    </xf>
    <xf borderId="58" fillId="70" fontId="29" numFmtId="3" xfId="0" applyAlignment="1" applyBorder="1" applyFont="1" applyNumberFormat="1">
      <alignment horizontal="center" vertical="center"/>
    </xf>
    <xf borderId="58" fillId="70" fontId="29" numFmtId="49" xfId="0" applyAlignment="1" applyBorder="1" applyFont="1" applyNumberFormat="1">
      <alignment horizontal="center" readingOrder="0" vertical="center"/>
    </xf>
    <xf borderId="58" fillId="70" fontId="29" numFmtId="49" xfId="0" applyAlignment="1" applyBorder="1" applyFont="1" applyNumberFormat="1">
      <alignment horizontal="center" readingOrder="0" shrinkToFit="0" vertical="center" wrapText="1"/>
    </xf>
    <xf borderId="0" fillId="0" fontId="3" numFmtId="0" xfId="0" applyAlignment="1" applyFont="1">
      <alignment horizontal="right" readingOrder="0" vertical="center"/>
    </xf>
    <xf borderId="0" fillId="0" fontId="29" numFmtId="0" xfId="0" applyAlignment="1" applyFont="1">
      <alignment horizontal="right" readingOrder="0" vertical="center"/>
    </xf>
    <xf borderId="58" fillId="0" fontId="43" numFmtId="0" xfId="0" applyAlignment="1" applyBorder="1" applyFont="1">
      <alignment horizontal="left" readingOrder="0" vertical="center"/>
    </xf>
    <xf borderId="59" fillId="24" fontId="29" numFmtId="0" xfId="0" applyAlignment="1" applyBorder="1" applyFont="1">
      <alignment horizontal="left" readingOrder="0" shrinkToFit="0" vertical="center" wrapText="1"/>
    </xf>
    <xf borderId="59" fillId="0" fontId="43" numFmtId="0" xfId="0" applyAlignment="1" applyBorder="1" applyFont="1">
      <alignment horizontal="right" vertical="center"/>
    </xf>
    <xf borderId="59" fillId="21" fontId="43" numFmtId="0" xfId="0" applyAlignment="1" applyBorder="1" applyFont="1">
      <alignment horizontal="right" vertical="center"/>
    </xf>
    <xf borderId="59" fillId="75" fontId="46" numFmtId="0" xfId="0" applyAlignment="1" applyBorder="1" applyFont="1">
      <alignment horizontal="right" readingOrder="0" vertical="center"/>
    </xf>
    <xf borderId="59" fillId="26" fontId="29" numFmtId="0" xfId="0" applyAlignment="1" applyBorder="1" applyFont="1">
      <alignment horizontal="left" readingOrder="0" shrinkToFit="0" vertical="center" wrapText="1"/>
    </xf>
    <xf borderId="59" fillId="30" fontId="29" numFmtId="0" xfId="0" applyAlignment="1" applyBorder="1" applyFont="1">
      <alignment horizontal="left" readingOrder="0" shrinkToFit="0" vertical="center" wrapText="1"/>
    </xf>
    <xf borderId="59" fillId="0" fontId="43" numFmtId="0" xfId="0" applyAlignment="1" applyBorder="1" applyFont="1">
      <alignment horizontal="right" readingOrder="0" vertical="center"/>
    </xf>
    <xf borderId="59" fillId="30" fontId="29" numFmtId="0" xfId="0" applyAlignment="1" applyBorder="1" applyFont="1">
      <alignment horizontal="left" readingOrder="0" vertical="center"/>
    </xf>
    <xf borderId="0" fillId="0" fontId="25" numFmtId="0" xfId="0" applyAlignment="1" applyFont="1">
      <alignment readingOrder="0" vertical="bottom"/>
    </xf>
    <xf borderId="21" fillId="75" fontId="46" numFmtId="0" xfId="0" applyAlignment="1" applyBorder="1" applyFont="1">
      <alignment horizontal="right" shrinkToFit="0" vertical="bottom" wrapText="1"/>
    </xf>
    <xf borderId="21" fillId="75" fontId="46" numFmtId="0" xfId="0" applyAlignment="1" applyBorder="1" applyFont="1">
      <alignment horizontal="right" readingOrder="0" shrinkToFit="0" vertical="bottom" wrapText="1"/>
    </xf>
    <xf borderId="60" fillId="50" fontId="39" numFmtId="0" xfId="0" applyAlignment="1" applyBorder="1" applyFont="1">
      <alignment readingOrder="0" shrinkToFit="0" wrapText="1"/>
    </xf>
    <xf borderId="21" fillId="50" fontId="39" numFmtId="167" xfId="0" applyAlignment="1" applyBorder="1" applyFont="1" applyNumberFormat="1">
      <alignment horizontal="right" vertical="bottom"/>
    </xf>
    <xf borderId="21" fillId="75" fontId="46" numFmtId="2" xfId="0" applyAlignment="1" applyBorder="1" applyFont="1" applyNumberFormat="1">
      <alignment horizontal="right" vertical="bottom"/>
    </xf>
    <xf borderId="21" fillId="75" fontId="46" numFmtId="0" xfId="0" applyAlignment="1" applyBorder="1" applyFont="1">
      <alignment horizontal="right" vertical="bottom"/>
    </xf>
    <xf borderId="21" fillId="21" fontId="39" numFmtId="1" xfId="0" applyAlignment="1" applyBorder="1" applyFont="1" applyNumberFormat="1">
      <alignment horizontal="right" vertical="bottom"/>
    </xf>
    <xf borderId="21" fillId="21" fontId="39" numFmtId="1" xfId="0" applyAlignment="1" applyBorder="1" applyFont="1" applyNumberFormat="1">
      <alignment horizontal="right" readingOrder="0" vertical="bottom"/>
    </xf>
    <xf borderId="21" fillId="21" fontId="39" numFmtId="4" xfId="0" applyAlignment="1" applyBorder="1" applyFont="1" applyNumberFormat="1">
      <alignment horizontal="right" vertical="bottom"/>
    </xf>
    <xf borderId="21" fillId="21" fontId="39" numFmtId="0" xfId="0" applyAlignment="1" applyBorder="1" applyFont="1">
      <alignment horizontal="right" vertical="bottom"/>
    </xf>
    <xf borderId="21" fillId="21" fontId="39" numFmtId="166" xfId="0" applyAlignment="1" applyBorder="1" applyFont="1" applyNumberFormat="1">
      <alignment horizontal="right" vertical="bottom"/>
    </xf>
    <xf borderId="21" fillId="0" fontId="39" numFmtId="2" xfId="0" applyAlignment="1" applyBorder="1" applyFont="1" applyNumberFormat="1">
      <alignment horizontal="right" vertical="bottom"/>
    </xf>
    <xf borderId="0" fillId="0" fontId="47" numFmtId="0" xfId="0" applyAlignment="1" applyFont="1">
      <alignment horizontal="right" vertical="bottom"/>
    </xf>
    <xf borderId="21" fillId="50" fontId="39" numFmtId="166" xfId="0" applyAlignment="1" applyBorder="1" applyFont="1" applyNumberFormat="1">
      <alignment horizontal="right" vertical="bottom"/>
    </xf>
    <xf borderId="21" fillId="0" fontId="39" numFmtId="0" xfId="0" applyAlignment="1" applyBorder="1" applyFont="1">
      <alignment horizontal="right" readingOrder="0" vertical="bottom"/>
    </xf>
    <xf borderId="23" fillId="0" fontId="5" numFmtId="0" xfId="0" applyAlignment="1" applyBorder="1" applyFont="1">
      <alignment readingOrder="0" vertical="bottom"/>
    </xf>
    <xf borderId="60" fillId="75" fontId="46" numFmtId="0" xfId="0" applyAlignment="1" applyBorder="1" applyFont="1">
      <alignment readingOrder="0" shrinkToFit="0" wrapText="1"/>
    </xf>
    <xf borderId="21" fillId="75" fontId="46" numFmtId="0" xfId="0" applyAlignment="1" applyBorder="1" applyFont="1">
      <alignment horizontal="right" readingOrder="0" shrinkToFit="0" wrapText="1"/>
    </xf>
    <xf borderId="59" fillId="18" fontId="10" numFmtId="0" xfId="0" applyAlignment="1" applyBorder="1" applyFont="1">
      <alignment readingOrder="0"/>
    </xf>
    <xf borderId="0" fillId="0" fontId="5" numFmtId="0" xfId="0" applyAlignment="1" applyFont="1">
      <alignment readingOrder="0" shrinkToFit="0" vertical="bottom" wrapText="0"/>
    </xf>
    <xf borderId="23" fillId="0" fontId="3" numFmtId="0" xfId="0" applyAlignment="1" applyBorder="1" applyFont="1">
      <alignment horizontal="right" vertical="bottom"/>
    </xf>
    <xf borderId="70" fillId="0" fontId="5" numFmtId="0" xfId="0" applyAlignment="1" applyBorder="1" applyFont="1">
      <alignment vertical="bottom"/>
    </xf>
    <xf borderId="60" fillId="5" fontId="33" numFmtId="0" xfId="0" applyAlignment="1" applyBorder="1" applyFont="1">
      <alignment readingOrder="0" shrinkToFit="0" wrapText="1"/>
    </xf>
    <xf borderId="21" fillId="0" fontId="43" numFmtId="0" xfId="0" applyAlignment="1" applyBorder="1" applyFont="1">
      <alignment horizontal="right"/>
    </xf>
    <xf borderId="21" fillId="21" fontId="43" numFmtId="2" xfId="0" applyAlignment="1" applyBorder="1" applyFont="1" applyNumberFormat="1">
      <alignment horizontal="right"/>
    </xf>
    <xf borderId="21" fillId="68" fontId="43" numFmtId="2" xfId="0" applyAlignment="1" applyBorder="1" applyFont="1" applyNumberFormat="1">
      <alignment horizontal="right"/>
    </xf>
    <xf borderId="25" fillId="0" fontId="33" numFmtId="0" xfId="0" applyAlignment="1" applyBorder="1" applyFont="1">
      <alignment readingOrder="0" vertical="bottom"/>
    </xf>
    <xf borderId="71" fillId="74" fontId="5" numFmtId="0" xfId="0" applyAlignment="1" applyBorder="1" applyFont="1">
      <alignment readingOrder="0" vertical="bottom"/>
    </xf>
    <xf borderId="0" fillId="0" fontId="39" numFmtId="0" xfId="0" applyAlignment="1" applyFont="1">
      <alignment horizontal="right" vertical="bottom"/>
    </xf>
    <xf borderId="0" fillId="0" fontId="56" numFmtId="0" xfId="0" applyAlignment="1" applyFont="1">
      <alignment horizontal="right" vertical="bottom"/>
    </xf>
    <xf borderId="60" fillId="81" fontId="46" numFmtId="0" xfId="0" applyAlignment="1" applyBorder="1" applyFill="1" applyFont="1">
      <alignment readingOrder="0" shrinkToFit="0" wrapText="1"/>
    </xf>
    <xf borderId="21" fillId="81" fontId="46" numFmtId="0" xfId="0" applyAlignment="1" applyBorder="1" applyFont="1">
      <alignment horizontal="right" readingOrder="0" shrinkToFit="0" wrapText="1"/>
    </xf>
    <xf borderId="21" fillId="51" fontId="39" numFmtId="4" xfId="0" applyAlignment="1" applyBorder="1" applyFont="1" applyNumberFormat="1">
      <alignment horizontal="right" vertical="bottom"/>
    </xf>
    <xf borderId="60" fillId="81" fontId="46" numFmtId="0" xfId="0" applyAlignment="1" applyBorder="1" applyFont="1">
      <alignment readingOrder="0"/>
    </xf>
    <xf borderId="21" fillId="81" fontId="46" numFmtId="2" xfId="0" applyAlignment="1" applyBorder="1" applyFont="1" applyNumberFormat="1">
      <alignment horizontal="right" vertical="bottom"/>
    </xf>
    <xf borderId="60" fillId="75" fontId="46" numFmtId="0" xfId="0" applyBorder="1" applyFont="1"/>
    <xf borderId="21" fillId="75" fontId="46" numFmtId="4" xfId="0" applyAlignment="1" applyBorder="1" applyFont="1" applyNumberFormat="1">
      <alignment horizontal="right"/>
    </xf>
    <xf borderId="60" fillId="81" fontId="46" numFmtId="0" xfId="0" applyBorder="1" applyFont="1"/>
    <xf borderId="21" fillId="81" fontId="46" numFmtId="0" xfId="0" applyAlignment="1" applyBorder="1" applyFont="1">
      <alignment horizontal="right"/>
    </xf>
    <xf borderId="21" fillId="21" fontId="39" numFmtId="2" xfId="0" applyAlignment="1" applyBorder="1" applyFont="1" applyNumberFormat="1">
      <alignment horizontal="right" vertical="bottom"/>
    </xf>
    <xf borderId="21" fillId="0" fontId="39" numFmtId="0" xfId="0" applyAlignment="1" applyBorder="1" applyFont="1">
      <alignment horizontal="right"/>
    </xf>
    <xf borderId="21" fillId="0" fontId="39" numFmtId="2" xfId="0" applyAlignment="1" applyBorder="1" applyFont="1" applyNumberFormat="1">
      <alignment horizontal="right"/>
    </xf>
    <xf borderId="60" fillId="0" fontId="39" numFmtId="0" xfId="0" applyAlignment="1" applyBorder="1" applyFont="1">
      <alignment readingOrder="0" shrinkToFit="0" wrapText="1"/>
    </xf>
    <xf borderId="60" fillId="0" fontId="39" numFmtId="0" xfId="0" applyAlignment="1" applyBorder="1" applyFont="1">
      <alignment readingOrder="0"/>
    </xf>
    <xf borderId="21" fillId="51" fontId="39" numFmtId="2" xfId="0" applyAlignment="1" applyBorder="1" applyFont="1" applyNumberFormat="1">
      <alignment horizontal="right" vertical="bottom"/>
    </xf>
    <xf borderId="23" fillId="0" fontId="5" numFmtId="0" xfId="0" applyAlignment="1" applyBorder="1" applyFont="1">
      <alignment readingOrder="0" shrinkToFit="0" vertical="bottom" wrapText="0"/>
    </xf>
    <xf borderId="0" fillId="0" fontId="30" numFmtId="0" xfId="0" applyAlignment="1" applyFont="1">
      <alignment readingOrder="0" vertical="center"/>
    </xf>
    <xf borderId="0" fillId="0" fontId="37" numFmtId="0" xfId="0" applyAlignment="1" applyFont="1">
      <alignment readingOrder="0" vertical="center"/>
    </xf>
    <xf borderId="59" fillId="82" fontId="46" numFmtId="0" xfId="0" applyAlignment="1" applyBorder="1" applyFill="1" applyFont="1">
      <alignment horizontal="left" readingOrder="0" shrinkToFit="0" vertical="center" wrapText="1"/>
    </xf>
    <xf borderId="59" fillId="82" fontId="46" numFmtId="0" xfId="0" applyAlignment="1" applyBorder="1" applyFont="1">
      <alignment horizontal="right" readingOrder="0" shrinkToFit="0" vertical="center" wrapText="1"/>
    </xf>
    <xf borderId="60" fillId="82" fontId="46" numFmtId="0" xfId="0" applyAlignment="1" applyBorder="1" applyFont="1">
      <alignment shrinkToFit="0" wrapText="1"/>
    </xf>
    <xf borderId="21" fillId="82" fontId="46" numFmtId="0" xfId="0" applyAlignment="1" applyBorder="1" applyFont="1">
      <alignment horizontal="right" shrinkToFit="0" vertical="center" wrapText="1"/>
    </xf>
    <xf borderId="59" fillId="82" fontId="46" numFmtId="0" xfId="0" applyAlignment="1" applyBorder="1" applyFont="1">
      <alignment horizontal="left" readingOrder="0" vertical="center"/>
    </xf>
    <xf borderId="59" fillId="82" fontId="46" numFmtId="2" xfId="0" applyAlignment="1" applyBorder="1" applyFont="1" applyNumberFormat="1">
      <alignment horizontal="right" vertical="center"/>
    </xf>
    <xf borderId="59" fillId="82" fontId="46" numFmtId="0" xfId="0" applyAlignment="1" applyBorder="1" applyFont="1">
      <alignment horizontal="right" vertical="center"/>
    </xf>
    <xf borderId="0" fillId="0" fontId="39" numFmtId="0" xfId="0" applyAlignment="1" applyFont="1">
      <alignment readingOrder="0" vertical="center"/>
    </xf>
    <xf borderId="59" fillId="82" fontId="46" numFmtId="0" xfId="0" applyAlignment="1" applyBorder="1" applyFont="1">
      <alignment horizontal="right" readingOrder="0" vertical="center"/>
    </xf>
    <xf borderId="0" fillId="0" fontId="1" numFmtId="0" xfId="0" applyAlignment="1" applyFont="1">
      <alignment horizontal="right" vertical="center"/>
    </xf>
    <xf borderId="60" fillId="82" fontId="46" numFmtId="0" xfId="0" applyAlignment="1" applyBorder="1" applyFont="1">
      <alignment readingOrder="0" shrinkToFit="0" wrapText="1"/>
    </xf>
    <xf borderId="21" fillId="82" fontId="46" numFmtId="0" xfId="0" applyAlignment="1" applyBorder="1" applyFont="1">
      <alignment horizontal="right" shrinkToFit="0" wrapText="1"/>
    </xf>
    <xf borderId="59" fillId="83" fontId="46" numFmtId="0" xfId="0" applyAlignment="1" applyBorder="1" applyFill="1" applyFont="1">
      <alignment horizontal="left" readingOrder="0" shrinkToFit="0" vertical="center" wrapText="1"/>
    </xf>
    <xf borderId="59" fillId="83" fontId="46" numFmtId="0" xfId="0" applyAlignment="1" applyBorder="1" applyFont="1">
      <alignment horizontal="right" shrinkToFit="0" vertical="center" wrapText="1"/>
    </xf>
    <xf borderId="0" fillId="0" fontId="37" numFmtId="0" xfId="0" applyAlignment="1" applyFont="1">
      <alignment horizontal="right" vertical="center"/>
    </xf>
    <xf borderId="60" fillId="0" fontId="39" numFmtId="0" xfId="0" applyAlignment="1" applyBorder="1" applyFont="1">
      <alignment readingOrder="0" vertical="center"/>
    </xf>
    <xf borderId="21" fillId="0" fontId="39" numFmtId="0" xfId="0" applyAlignment="1" applyBorder="1" applyFont="1">
      <alignment horizontal="right" vertical="center"/>
    </xf>
    <xf borderId="59" fillId="83" fontId="46" numFmtId="0" xfId="0" applyAlignment="1" applyBorder="1" applyFont="1">
      <alignment horizontal="left" readingOrder="0" vertical="center"/>
    </xf>
    <xf borderId="59" fillId="83" fontId="46" numFmtId="2" xfId="0" applyAlignment="1" applyBorder="1" applyFont="1" applyNumberFormat="1">
      <alignment horizontal="right" vertical="center"/>
    </xf>
    <xf borderId="59" fillId="83" fontId="46" numFmtId="0" xfId="0" applyAlignment="1" applyBorder="1" applyFont="1">
      <alignment horizontal="right" vertical="center"/>
    </xf>
    <xf borderId="0" fillId="0" fontId="29" numFmtId="0" xfId="0" applyAlignment="1" applyFont="1">
      <alignment horizontal="right" vertical="center"/>
    </xf>
    <xf borderId="0" fillId="0" fontId="61" numFmtId="0" xfId="0" applyAlignment="1" applyFont="1">
      <alignment readingOrder="0" vertical="center"/>
    </xf>
    <xf borderId="0" fillId="0" fontId="10" numFmtId="0" xfId="0" applyAlignment="1" applyFont="1">
      <alignment horizontal="right"/>
    </xf>
    <xf borderId="59" fillId="81" fontId="46" numFmtId="0" xfId="0" applyAlignment="1" applyBorder="1" applyFont="1">
      <alignment horizontal="left" readingOrder="0" shrinkToFit="0" vertical="center" wrapText="1"/>
    </xf>
    <xf borderId="59" fillId="81" fontId="46" numFmtId="0" xfId="0" applyAlignment="1" applyBorder="1" applyFont="1">
      <alignment horizontal="right" readingOrder="0" shrinkToFit="0" vertical="center" wrapText="1"/>
    </xf>
    <xf borderId="59" fillId="81" fontId="46" numFmtId="0" xfId="0" applyAlignment="1" applyBorder="1" applyFont="1">
      <alignment horizontal="left" readingOrder="0" vertical="center"/>
    </xf>
    <xf borderId="59" fillId="81" fontId="46" numFmtId="2" xfId="0" applyAlignment="1" applyBorder="1" applyFont="1" applyNumberFormat="1">
      <alignment horizontal="right" vertical="center"/>
    </xf>
    <xf borderId="59" fillId="81" fontId="46" numFmtId="0" xfId="0" applyAlignment="1" applyBorder="1" applyFont="1">
      <alignment horizontal="right" vertical="center"/>
    </xf>
    <xf borderId="23" fillId="0" fontId="3" numFmtId="0" xfId="0" applyAlignment="1" applyBorder="1" applyFont="1">
      <alignment horizontal="right" readingOrder="0" vertical="bottom"/>
    </xf>
    <xf borderId="59" fillId="0" fontId="43" numFmtId="0" xfId="0" applyAlignment="1" applyBorder="1" applyFont="1">
      <alignment vertical="center"/>
    </xf>
    <xf borderId="59" fillId="0" fontId="43" numFmtId="0" xfId="0" applyAlignment="1" applyBorder="1" applyFont="1">
      <alignment readingOrder="0" vertical="center"/>
    </xf>
    <xf borderId="60" fillId="21" fontId="43" numFmtId="2" xfId="0" applyAlignment="1" applyBorder="1" applyFont="1" applyNumberFormat="1">
      <alignment horizontal="right"/>
    </xf>
    <xf borderId="59" fillId="0" fontId="43" numFmtId="49" xfId="0" applyAlignment="1" applyBorder="1" applyFont="1" applyNumberFormat="1">
      <alignment horizontal="right" vertical="center"/>
    </xf>
    <xf borderId="59" fillId="68" fontId="43" numFmtId="4" xfId="0" applyAlignment="1" applyBorder="1" applyFont="1" applyNumberFormat="1">
      <alignment vertical="center"/>
    </xf>
    <xf borderId="59" fillId="68" fontId="43" numFmtId="2" xfId="0" applyAlignment="1" applyBorder="1" applyFont="1" applyNumberFormat="1">
      <alignment vertical="center"/>
    </xf>
    <xf borderId="68" fillId="9" fontId="10" numFmtId="0" xfId="0" applyAlignment="1" applyBorder="1" applyFont="1">
      <alignment readingOrder="0"/>
    </xf>
    <xf borderId="59" fillId="84" fontId="46" numFmtId="0" xfId="0" applyAlignment="1" applyBorder="1" applyFill="1" applyFont="1">
      <alignment horizontal="left" readingOrder="0" shrinkToFit="0" vertical="center" wrapText="1"/>
    </xf>
    <xf borderId="59" fillId="84" fontId="46" numFmtId="0" xfId="0" applyAlignment="1" applyBorder="1" applyFont="1">
      <alignment horizontal="right" shrinkToFit="0" vertical="center" wrapText="1"/>
    </xf>
    <xf borderId="0" fillId="0" fontId="56" numFmtId="0" xfId="0" applyAlignment="1" applyFont="1">
      <alignment horizontal="right"/>
    </xf>
    <xf borderId="59" fillId="50" fontId="37" numFmtId="4" xfId="0" applyBorder="1" applyFont="1" applyNumberFormat="1"/>
    <xf borderId="59" fillId="9" fontId="39" numFmtId="0" xfId="0" applyAlignment="1" applyBorder="1" applyFont="1">
      <alignment horizontal="left" readingOrder="0" vertical="center"/>
    </xf>
    <xf borderId="59" fillId="9" fontId="39" numFmtId="0" xfId="0" applyAlignment="1" applyBorder="1" applyFont="1">
      <alignment horizontal="right" readingOrder="0" vertical="center"/>
    </xf>
    <xf borderId="59" fillId="9" fontId="39" numFmtId="2" xfId="0" applyAlignment="1" applyBorder="1" applyFont="1" applyNumberFormat="1">
      <alignment vertical="center"/>
    </xf>
    <xf borderId="59" fillId="9" fontId="39" numFmtId="4" xfId="0" applyAlignment="1" applyBorder="1" applyFont="1" applyNumberFormat="1">
      <alignment vertical="center"/>
    </xf>
    <xf borderId="59" fillId="9" fontId="39" numFmtId="0" xfId="0" applyAlignment="1" applyBorder="1" applyFont="1">
      <alignment readingOrder="0" vertical="center"/>
    </xf>
    <xf borderId="59" fillId="0" fontId="37" numFmtId="3" xfId="0" applyAlignment="1" applyBorder="1" applyFont="1" applyNumberFormat="1">
      <alignment readingOrder="0"/>
    </xf>
    <xf borderId="59" fillId="0" fontId="37" numFmtId="3" xfId="0" applyBorder="1" applyFont="1" applyNumberFormat="1"/>
    <xf borderId="0" fillId="0" fontId="48" numFmtId="0" xfId="0" applyAlignment="1" applyFont="1">
      <alignment readingOrder="0"/>
    </xf>
    <xf borderId="0" fillId="0" fontId="33" numFmtId="0" xfId="0" applyAlignment="1" applyFont="1">
      <alignment horizontal="right" readingOrder="0" vertical="center"/>
    </xf>
    <xf borderId="0" fillId="0" fontId="33" numFmtId="0" xfId="0" applyAlignment="1" applyFont="1">
      <alignment horizontal="right" vertical="center"/>
    </xf>
    <xf borderId="60" fillId="81" fontId="46" numFmtId="0" xfId="0" applyAlignment="1" applyBorder="1" applyFont="1">
      <alignment shrinkToFit="0" wrapText="1"/>
    </xf>
    <xf borderId="21" fillId="81" fontId="46" numFmtId="0" xfId="0" applyAlignment="1" applyBorder="1" applyFont="1">
      <alignment horizontal="right" shrinkToFit="0" wrapText="1"/>
    </xf>
    <xf borderId="72" fillId="74" fontId="5" numFmtId="0" xfId="0" applyAlignment="1" applyBorder="1" applyFont="1">
      <alignment readingOrder="0" vertical="bottom"/>
    </xf>
    <xf borderId="0" fillId="0" fontId="39" numFmtId="0" xfId="0" applyAlignment="1" applyFont="1">
      <alignment shrinkToFit="0" vertical="bottom" wrapText="0"/>
    </xf>
    <xf borderId="0" fillId="0" fontId="39" numFmtId="9" xfId="0" applyAlignment="1" applyFont="1" applyNumberFormat="1">
      <alignment horizontal="right" vertical="bottom"/>
    </xf>
    <xf borderId="0" fillId="0" fontId="39" numFmtId="0" xfId="0" applyAlignment="1" applyFont="1">
      <alignment horizontal="right" vertical="bottom"/>
    </xf>
    <xf borderId="23" fillId="0" fontId="33" numFmtId="0" xfId="0" applyAlignment="1" applyBorder="1" applyFont="1">
      <alignment readingOrder="0" vertical="bottom"/>
    </xf>
    <xf borderId="0" fillId="0" fontId="39" numFmtId="0" xfId="0" applyAlignment="1" applyFont="1">
      <alignment readingOrder="0" shrinkToFit="0" vertical="bottom" wrapText="0"/>
    </xf>
    <xf borderId="0" fillId="0" fontId="39" numFmtId="10" xfId="0" applyAlignment="1" applyFont="1" applyNumberFormat="1">
      <alignment horizontal="right" vertical="bottom"/>
    </xf>
    <xf borderId="19" fillId="0" fontId="5" numFmtId="0" xfId="0" applyAlignment="1" applyBorder="1" applyFont="1">
      <alignment vertical="bottom"/>
    </xf>
    <xf borderId="21" fillId="81" fontId="5" numFmtId="0" xfId="0" applyBorder="1" applyFont="1"/>
    <xf borderId="21" fillId="50" fontId="39" numFmtId="0" xfId="0" applyAlignment="1" applyBorder="1" applyFont="1">
      <alignment readingOrder="0" shrinkToFit="0" wrapText="1"/>
    </xf>
    <xf borderId="21" fillId="50" fontId="39" numFmtId="0" xfId="0" applyAlignment="1" applyBorder="1" applyFont="1">
      <alignment horizontal="right" shrinkToFit="0" wrapText="1"/>
    </xf>
    <xf borderId="23" fillId="0" fontId="33" numFmtId="0" xfId="0" applyAlignment="1" applyBorder="1" applyFont="1">
      <alignment vertical="bottom"/>
    </xf>
    <xf borderId="23" fillId="0" fontId="5" numFmtId="0" xfId="0" applyAlignment="1" applyBorder="1" applyFont="1">
      <alignment vertical="bottom"/>
    </xf>
    <xf borderId="21" fillId="81" fontId="46" numFmtId="0" xfId="0" applyAlignment="1" applyBorder="1" applyFont="1">
      <alignment horizontal="right" shrinkToFit="0" vertical="center" wrapText="1"/>
    </xf>
    <xf borderId="19" fillId="0" fontId="60" numFmtId="0" xfId="0" applyAlignment="1" applyBorder="1" applyFont="1">
      <alignment horizontal="center"/>
    </xf>
    <xf borderId="23" fillId="0" fontId="15" numFmtId="0" xfId="0" applyAlignment="1" applyBorder="1" applyFont="1">
      <alignment horizontal="center" readingOrder="0" vertical="center"/>
    </xf>
    <xf borderId="21" fillId="0" fontId="15" numFmtId="0" xfId="0" applyAlignment="1" applyBorder="1" applyFont="1">
      <alignment horizontal="center" readingOrder="0" vertical="center"/>
    </xf>
    <xf borderId="21" fillId="0" fontId="15" numFmtId="0" xfId="0" applyAlignment="1" applyBorder="1" applyFont="1">
      <alignment horizontal="center" readingOrder="0" shrinkToFit="0" vertical="center" wrapText="1"/>
    </xf>
    <xf borderId="21" fillId="50" fontId="39" numFmtId="4" xfId="0" applyAlignment="1" applyBorder="1" applyFont="1" applyNumberFormat="1">
      <alignment horizontal="right"/>
    </xf>
    <xf borderId="23" fillId="50" fontId="15" numFmtId="0" xfId="0" applyAlignment="1" applyBorder="1" applyFont="1">
      <alignment horizontal="center" readingOrder="0" vertical="center"/>
    </xf>
    <xf borderId="23" fillId="50" fontId="5" numFmtId="0" xfId="0" applyAlignment="1" applyBorder="1" applyFont="1">
      <alignment vertical="center"/>
    </xf>
    <xf borderId="21" fillId="50" fontId="5" numFmtId="0" xfId="0" applyAlignment="1" applyBorder="1" applyFont="1">
      <alignment vertical="center"/>
    </xf>
    <xf borderId="21" fillId="81" fontId="46" numFmtId="0" xfId="0" applyAlignment="1" applyBorder="1" applyFont="1">
      <alignment horizontal="right" vertical="bottom"/>
    </xf>
    <xf borderId="21" fillId="79" fontId="12" numFmtId="0" xfId="0" applyAlignment="1" applyBorder="1" applyFont="1">
      <alignment readingOrder="0" shrinkToFit="0" vertical="center" wrapText="1"/>
    </xf>
    <xf borderId="21" fillId="79" fontId="12" numFmtId="0" xfId="0" applyAlignment="1" applyBorder="1" applyFont="1">
      <alignment horizontal="center" shrinkToFit="0" vertical="center" wrapText="1"/>
    </xf>
    <xf borderId="21" fillId="79" fontId="5" numFmtId="0" xfId="0" applyAlignment="1" applyBorder="1" applyFont="1">
      <alignment vertical="center"/>
    </xf>
    <xf borderId="21" fillId="81" fontId="46" numFmtId="0" xfId="0" applyAlignment="1" applyBorder="1" applyFont="1">
      <alignment horizontal="right"/>
    </xf>
    <xf borderId="19" fillId="79" fontId="62" numFmtId="0" xfId="0" applyAlignment="1" applyBorder="1" applyFont="1">
      <alignment readingOrder="0" shrinkToFit="0" vertical="center" wrapText="1"/>
    </xf>
    <xf borderId="19" fillId="79" fontId="33" numFmtId="0" xfId="0" applyAlignment="1" applyBorder="1" applyFont="1">
      <alignment horizontal="center" shrinkToFit="0" vertical="center" wrapText="1"/>
    </xf>
    <xf borderId="19" fillId="79" fontId="33" numFmtId="49" xfId="0" applyAlignment="1" applyBorder="1" applyFont="1" applyNumberFormat="1">
      <alignment horizontal="center" vertical="center"/>
    </xf>
    <xf borderId="19" fillId="79" fontId="12" numFmtId="0" xfId="0" applyAlignment="1" applyBorder="1" applyFont="1">
      <alignment horizontal="center" readingOrder="0" shrinkToFit="0" vertical="center" wrapText="1"/>
    </xf>
    <xf borderId="19" fillId="79" fontId="33" numFmtId="0" xfId="0" applyAlignment="1" applyBorder="1" applyFont="1">
      <alignment horizontal="center" vertical="center"/>
    </xf>
    <xf borderId="19" fillId="79" fontId="33" numFmtId="3" xfId="0" applyAlignment="1" applyBorder="1" applyFont="1" applyNumberFormat="1">
      <alignment horizontal="center" vertical="center"/>
    </xf>
    <xf borderId="19" fillId="79" fontId="33" numFmtId="49" xfId="0" applyAlignment="1" applyBorder="1" applyFont="1" applyNumberFormat="1">
      <alignment horizontal="center" readingOrder="0" shrinkToFit="0" vertical="center" wrapText="1"/>
    </xf>
    <xf borderId="21" fillId="0" fontId="39" numFmtId="0" xfId="0" applyAlignment="1" applyBorder="1" applyFont="1">
      <alignment horizontal="right"/>
    </xf>
    <xf borderId="21" fillId="0" fontId="39" numFmtId="0" xfId="0" applyAlignment="1" applyBorder="1" applyFont="1">
      <alignment readingOrder="0" shrinkToFit="0" vertical="center" wrapText="1"/>
    </xf>
    <xf borderId="21" fillId="0" fontId="33" numFmtId="4" xfId="0" applyAlignment="1" applyBorder="1" applyFont="1" applyNumberFormat="1">
      <alignment horizontal="center" shrinkToFit="0" vertical="center" wrapText="1"/>
    </xf>
    <xf borderId="21" fillId="0" fontId="39" numFmtId="1" xfId="0" applyAlignment="1" applyBorder="1" applyFont="1" applyNumberFormat="1">
      <alignment horizontal="right"/>
    </xf>
    <xf borderId="21" fillId="50" fontId="39" numFmtId="2" xfId="0" applyAlignment="1" applyBorder="1" applyFont="1" applyNumberFormat="1">
      <alignment horizontal="right"/>
    </xf>
    <xf borderId="19" fillId="0" fontId="5" numFmtId="0" xfId="0" applyAlignment="1" applyBorder="1" applyFont="1">
      <alignment horizontal="center" vertical="center"/>
    </xf>
    <xf borderId="23" fillId="80" fontId="15" numFmtId="0" xfId="0" applyAlignment="1" applyBorder="1" applyFont="1">
      <alignment horizontal="center" readingOrder="0" vertical="center"/>
    </xf>
    <xf borderId="23" fillId="80" fontId="5" numFmtId="0" xfId="0" applyAlignment="1" applyBorder="1" applyFont="1">
      <alignment vertical="center"/>
    </xf>
    <xf borderId="23" fillId="80" fontId="5" numFmtId="3" xfId="0" applyAlignment="1" applyBorder="1" applyFont="1" applyNumberFormat="1">
      <alignment vertical="center"/>
    </xf>
    <xf borderId="21" fillId="80" fontId="5" numFmtId="0" xfId="0" applyAlignment="1" applyBorder="1" applyFont="1">
      <alignment vertical="center"/>
    </xf>
    <xf borderId="21" fillId="16" fontId="12" numFmtId="0" xfId="0" applyAlignment="1" applyBorder="1" applyFont="1">
      <alignment readingOrder="0" shrinkToFit="0" vertical="center" wrapText="1"/>
    </xf>
    <xf borderId="21" fillId="16" fontId="12" numFmtId="0" xfId="0" applyAlignment="1" applyBorder="1" applyFont="1">
      <alignment horizontal="center" shrinkToFit="0" vertical="center" wrapText="1"/>
    </xf>
    <xf borderId="21" fillId="16" fontId="5" numFmtId="0" xfId="0" applyAlignment="1" applyBorder="1" applyFont="1">
      <alignment vertical="center"/>
    </xf>
    <xf borderId="21" fillId="16" fontId="5" numFmtId="3" xfId="0" applyAlignment="1" applyBorder="1" applyFont="1" applyNumberFormat="1">
      <alignment vertical="center"/>
    </xf>
    <xf borderId="19" fillId="16" fontId="62" numFmtId="0" xfId="0" applyAlignment="1" applyBorder="1" applyFont="1">
      <alignment readingOrder="0" shrinkToFit="0" vertical="center" wrapText="1"/>
    </xf>
    <xf borderId="19" fillId="16" fontId="33" numFmtId="0" xfId="0" applyAlignment="1" applyBorder="1" applyFont="1">
      <alignment horizontal="center" shrinkToFit="0" vertical="center" wrapText="1"/>
    </xf>
    <xf borderId="19" fillId="16" fontId="33" numFmtId="49" xfId="0" applyAlignment="1" applyBorder="1" applyFont="1" applyNumberFormat="1">
      <alignment horizontal="center" vertical="center"/>
    </xf>
    <xf borderId="19" fillId="16" fontId="12" numFmtId="0" xfId="0" applyAlignment="1" applyBorder="1" applyFont="1">
      <alignment horizontal="center" readingOrder="0" shrinkToFit="0" vertical="center" wrapText="1"/>
    </xf>
    <xf borderId="19" fillId="16" fontId="33" numFmtId="0" xfId="0" applyAlignment="1" applyBorder="1" applyFont="1">
      <alignment horizontal="center" vertical="center"/>
    </xf>
    <xf borderId="19" fillId="16" fontId="33" numFmtId="3" xfId="0" applyAlignment="1" applyBorder="1" applyFont="1" applyNumberFormat="1">
      <alignment horizontal="center" vertical="center"/>
    </xf>
    <xf borderId="19" fillId="16" fontId="33" numFmtId="49" xfId="0" applyAlignment="1" applyBorder="1" applyFont="1" applyNumberFormat="1">
      <alignment horizontal="center" readingOrder="0" vertical="center"/>
    </xf>
    <xf borderId="19" fillId="16" fontId="33" numFmtId="49" xfId="0" applyAlignment="1" applyBorder="1" applyFont="1" applyNumberFormat="1">
      <alignment horizontal="center" readingOrder="0" shrinkToFit="0" vertical="center" wrapText="1"/>
    </xf>
    <xf borderId="23" fillId="71" fontId="15" numFmtId="0" xfId="0" applyAlignment="1" applyBorder="1" applyFont="1">
      <alignment horizontal="center" readingOrder="0" vertical="center"/>
    </xf>
    <xf borderId="23" fillId="71" fontId="5" numFmtId="0" xfId="0" applyAlignment="1" applyBorder="1" applyFont="1">
      <alignment vertical="center"/>
    </xf>
    <xf borderId="23" fillId="71" fontId="5" numFmtId="3" xfId="0" applyAlignment="1" applyBorder="1" applyFont="1" applyNumberFormat="1">
      <alignment vertical="center"/>
    </xf>
    <xf borderId="21" fillId="71" fontId="5" numFmtId="0" xfId="0" applyAlignment="1" applyBorder="1" applyFont="1">
      <alignment vertical="center"/>
    </xf>
    <xf borderId="21" fillId="70" fontId="12" numFmtId="0" xfId="0" applyAlignment="1" applyBorder="1" applyFont="1">
      <alignment readingOrder="0" shrinkToFit="0" vertical="center" wrapText="1"/>
    </xf>
    <xf borderId="21" fillId="70" fontId="12" numFmtId="0" xfId="0" applyAlignment="1" applyBorder="1" applyFont="1">
      <alignment horizontal="center" shrinkToFit="0" vertical="center" wrapText="1"/>
    </xf>
    <xf borderId="21" fillId="70" fontId="5" numFmtId="0" xfId="0" applyAlignment="1" applyBorder="1" applyFont="1">
      <alignment vertical="center"/>
    </xf>
    <xf borderId="21" fillId="70" fontId="5" numFmtId="3" xfId="0" applyAlignment="1" applyBorder="1" applyFont="1" applyNumberFormat="1">
      <alignment vertical="center"/>
    </xf>
    <xf borderId="19" fillId="70" fontId="62" numFmtId="0" xfId="0" applyAlignment="1" applyBorder="1" applyFont="1">
      <alignment readingOrder="0" shrinkToFit="0" vertical="center" wrapText="1"/>
    </xf>
    <xf borderId="19" fillId="70" fontId="33" numFmtId="0" xfId="0" applyAlignment="1" applyBorder="1" applyFont="1">
      <alignment horizontal="center" shrinkToFit="0" vertical="center" wrapText="1"/>
    </xf>
    <xf borderId="19" fillId="70" fontId="33" numFmtId="49" xfId="0" applyAlignment="1" applyBorder="1" applyFont="1" applyNumberFormat="1">
      <alignment horizontal="center" vertical="center"/>
    </xf>
    <xf borderId="19" fillId="70" fontId="12" numFmtId="0" xfId="0" applyAlignment="1" applyBorder="1" applyFont="1">
      <alignment horizontal="center" readingOrder="0" shrinkToFit="0" vertical="center" wrapText="1"/>
    </xf>
    <xf borderId="19" fillId="70" fontId="33" numFmtId="0" xfId="0" applyAlignment="1" applyBorder="1" applyFont="1">
      <alignment horizontal="center" vertical="center"/>
    </xf>
    <xf borderId="19" fillId="70" fontId="33" numFmtId="3" xfId="0" applyAlignment="1" applyBorder="1" applyFont="1" applyNumberFormat="1">
      <alignment horizontal="center" vertical="center"/>
    </xf>
    <xf borderId="19" fillId="70" fontId="33" numFmtId="49" xfId="0" applyAlignment="1" applyBorder="1" applyFont="1" applyNumberFormat="1">
      <alignment horizontal="center" readingOrder="0" vertical="center"/>
    </xf>
    <xf borderId="19" fillId="70" fontId="33" numFmtId="49" xfId="0" applyAlignment="1" applyBorder="1" applyFont="1" applyNumberFormat="1">
      <alignment horizontal="center" readingOrder="0" shrinkToFit="0" vertical="center" wrapText="1"/>
    </xf>
    <xf borderId="23" fillId="0" fontId="5" numFmtId="0" xfId="0" applyAlignment="1" applyBorder="1" applyFont="1">
      <alignment vertical="bottom"/>
    </xf>
    <xf borderId="21" fillId="81" fontId="46" numFmtId="0" xfId="0" applyAlignment="1" applyBorder="1" applyFont="1">
      <alignment horizontal="right" shrinkToFit="0" wrapText="1"/>
    </xf>
    <xf borderId="59" fillId="81" fontId="46" numFmtId="0" xfId="0" applyAlignment="1" applyBorder="1" applyFont="1">
      <alignment horizontal="right" vertical="bottom"/>
    </xf>
    <xf borderId="4" fillId="81" fontId="46" numFmtId="0" xfId="0" applyAlignment="1" applyBorder="1" applyFont="1">
      <alignment horizontal="right" vertical="bottom"/>
    </xf>
    <xf borderId="59" fillId="0" fontId="39" numFmtId="0" xfId="0" applyAlignment="1" applyBorder="1" applyFont="1">
      <alignment horizontal="right" vertical="bottom"/>
    </xf>
    <xf borderId="4" fillId="0" fontId="39" numFmtId="0" xfId="0" applyAlignment="1" applyBorder="1" applyFont="1">
      <alignment horizontal="right" vertical="bottom"/>
    </xf>
    <xf borderId="60" fillId="51" fontId="39" numFmtId="0" xfId="0" applyAlignment="1" applyBorder="1" applyFont="1">
      <alignment readingOrder="0" shrinkToFit="0" wrapText="1"/>
    </xf>
    <xf borderId="21" fillId="50" fontId="39" numFmtId="2" xfId="0" applyAlignment="1" applyBorder="1" applyFont="1" applyNumberFormat="1">
      <alignment horizontal="right" vertical="bottom"/>
    </xf>
    <xf borderId="68" fillId="74" fontId="33" numFmtId="0" xfId="0" applyAlignment="1" applyBorder="1" applyFont="1">
      <alignment readingOrder="0" vertical="center"/>
    </xf>
    <xf borderId="0" fillId="0" fontId="33" numFmtId="0" xfId="0" applyAlignment="1" applyFont="1">
      <alignment vertical="center"/>
    </xf>
    <xf borderId="4" fillId="68" fontId="43" numFmtId="2" xfId="0" applyAlignment="1" applyBorder="1" applyFont="1" applyNumberFormat="1">
      <alignment horizontal="right"/>
    </xf>
    <xf borderId="59" fillId="81" fontId="46" numFmtId="0" xfId="0" applyAlignment="1" applyBorder="1" applyFont="1">
      <alignment horizontal="right" readingOrder="0" vertical="bottom"/>
    </xf>
    <xf borderId="59" fillId="61" fontId="33" numFmtId="0" xfId="0" applyAlignment="1" applyBorder="1" applyFont="1">
      <alignment readingOrder="0" shrinkToFit="0" wrapText="1"/>
    </xf>
    <xf borderId="4" fillId="0" fontId="43" numFmtId="0" xfId="0" applyAlignment="1" applyBorder="1" applyFont="1">
      <alignment horizontal="right"/>
    </xf>
    <xf borderId="60" fillId="61" fontId="33" numFmtId="0" xfId="0" applyAlignment="1" applyBorder="1" applyFont="1">
      <alignment readingOrder="0" shrinkToFit="0" wrapText="1"/>
    </xf>
    <xf borderId="59" fillId="21" fontId="39" numFmtId="0" xfId="0" applyAlignment="1" applyBorder="1" applyFont="1">
      <alignment horizontal="right" readingOrder="0" vertical="center"/>
    </xf>
    <xf borderId="59" fillId="85" fontId="29" numFmtId="0" xfId="0" applyAlignment="1" applyBorder="1" applyFill="1" applyFont="1">
      <alignment horizontal="left" readingOrder="0" shrinkToFit="0" vertical="center" wrapText="1"/>
    </xf>
    <xf borderId="59" fillId="85" fontId="37" numFmtId="0" xfId="0" applyAlignment="1" applyBorder="1" applyFont="1">
      <alignment horizontal="left" readingOrder="0" shrinkToFit="0" vertical="center" wrapText="1"/>
    </xf>
    <xf borderId="59" fillId="0" fontId="39" numFmtId="0" xfId="0" applyAlignment="1" applyBorder="1" applyFont="1">
      <alignment horizontal="right" readingOrder="0" vertical="bottom"/>
    </xf>
    <xf borderId="0" fillId="0" fontId="3" numFmtId="0" xfId="0" applyAlignment="1" applyFont="1">
      <alignment readingOrder="0" vertical="center"/>
    </xf>
    <xf borderId="59" fillId="0" fontId="43" numFmtId="0" xfId="0" applyAlignment="1" applyBorder="1" applyFont="1">
      <alignment horizontal="right"/>
    </xf>
    <xf borderId="60" fillId="0" fontId="43" numFmtId="0" xfId="0" applyAlignment="1" applyBorder="1" applyFont="1">
      <alignment horizontal="right"/>
    </xf>
    <xf borderId="4" fillId="21" fontId="43" numFmtId="2" xfId="0" applyAlignment="1" applyBorder="1" applyFont="1" applyNumberFormat="1">
      <alignment horizontal="right"/>
    </xf>
    <xf borderId="73" fillId="2" fontId="29" numFmtId="2" xfId="0" applyAlignment="1" applyBorder="1" applyFont="1" applyNumberFormat="1">
      <alignment horizontal="center" vertical="center"/>
    </xf>
    <xf borderId="59" fillId="86" fontId="37" numFmtId="0" xfId="0" applyAlignment="1" applyBorder="1" applyFill="1" applyFont="1">
      <alignment horizontal="left" readingOrder="0" shrinkToFit="0" vertical="center" wrapText="1"/>
    </xf>
    <xf borderId="59" fillId="86" fontId="37" numFmtId="0" xfId="0" applyAlignment="1" applyBorder="1" applyFont="1">
      <alignment horizontal="right" readingOrder="0" vertical="center"/>
    </xf>
    <xf borderId="1" fillId="86" fontId="30" numFmtId="0" xfId="0" applyAlignment="1" applyBorder="1" applyFont="1">
      <alignment horizontal="center" readingOrder="0" vertical="center"/>
    </xf>
    <xf borderId="2" fillId="86" fontId="27" numFmtId="0" xfId="0" applyAlignment="1" applyBorder="1" applyFont="1">
      <alignment horizontal="center" vertical="center"/>
    </xf>
    <xf borderId="4" fillId="86" fontId="27" numFmtId="0" xfId="0" applyAlignment="1" applyBorder="1" applyFont="1">
      <alignment horizontal="center" vertical="center"/>
    </xf>
    <xf borderId="59" fillId="87" fontId="37" numFmtId="0" xfId="0" applyAlignment="1" applyBorder="1" applyFill="1" applyFont="1">
      <alignment horizontal="left" readingOrder="0" shrinkToFit="0" vertical="center" wrapText="1"/>
    </xf>
    <xf borderId="59" fillId="87" fontId="37" numFmtId="4" xfId="0" applyAlignment="1" applyBorder="1" applyFont="1" applyNumberFormat="1">
      <alignment vertical="center"/>
    </xf>
    <xf borderId="59" fillId="87" fontId="28" numFmtId="0" xfId="0" applyAlignment="1" applyBorder="1" applyFont="1">
      <alignment horizontal="left" readingOrder="0" vertical="center"/>
    </xf>
    <xf borderId="59" fillId="87" fontId="28" numFmtId="0" xfId="0" applyAlignment="1" applyBorder="1" applyFont="1">
      <alignment horizontal="center" readingOrder="0" vertical="center"/>
    </xf>
    <xf borderId="59" fillId="87" fontId="28" numFmtId="0" xfId="0" applyAlignment="1" applyBorder="1" applyFont="1">
      <alignment horizontal="center" shrinkToFit="0" vertical="center" wrapText="1"/>
    </xf>
    <xf borderId="59" fillId="0" fontId="37" numFmtId="0" xfId="0" applyBorder="1" applyFont="1"/>
    <xf borderId="59" fillId="0" fontId="37" numFmtId="2" xfId="0" applyBorder="1" applyFont="1" applyNumberFormat="1"/>
    <xf borderId="61" fillId="87" fontId="27" numFmtId="0" xfId="0" applyAlignment="1" applyBorder="1" applyFont="1">
      <alignment horizontal="left" readingOrder="0" vertical="center"/>
    </xf>
    <xf borderId="62" fillId="87" fontId="30" numFmtId="0" xfId="0" applyAlignment="1" applyBorder="1" applyFont="1">
      <alignment horizontal="center" vertical="center"/>
    </xf>
    <xf borderId="62" fillId="87" fontId="28" numFmtId="0" xfId="0" applyAlignment="1" applyBorder="1" applyFont="1">
      <alignment horizontal="center" shrinkToFit="0" vertical="center" wrapText="1"/>
    </xf>
    <xf borderId="63" fillId="87" fontId="28" numFmtId="0" xfId="0" applyAlignment="1" applyBorder="1" applyFont="1">
      <alignment horizontal="center" shrinkToFit="0" vertical="center" wrapText="1"/>
    </xf>
    <xf borderId="66" fillId="87" fontId="29" numFmtId="0" xfId="0" applyAlignment="1" applyBorder="1" applyFont="1">
      <alignment horizontal="left" readingOrder="0" shrinkToFit="0" vertical="center" wrapText="1"/>
    </xf>
    <xf borderId="74" fillId="87" fontId="29" numFmtId="0" xfId="0" applyAlignment="1" applyBorder="1" applyFont="1">
      <alignment horizontal="center" readingOrder="0" vertical="center"/>
    </xf>
    <xf borderId="74" fillId="87" fontId="29" numFmtId="0" xfId="0" applyAlignment="1" applyBorder="1" applyFont="1">
      <alignment horizontal="center" vertical="center"/>
    </xf>
    <xf borderId="58" fillId="87" fontId="28" numFmtId="0" xfId="0" applyAlignment="1" applyBorder="1" applyFont="1">
      <alignment horizontal="center" readingOrder="0" shrinkToFit="0" vertical="center" wrapText="1"/>
    </xf>
    <xf borderId="58" fillId="87" fontId="28" numFmtId="9" xfId="0" applyAlignment="1" applyBorder="1" applyFont="1" applyNumberFormat="1">
      <alignment horizontal="center" shrinkToFit="0" vertical="center" wrapText="1"/>
    </xf>
    <xf borderId="58" fillId="87" fontId="28" numFmtId="0" xfId="0" applyAlignment="1" applyBorder="1" applyFont="1">
      <alignment horizontal="center" shrinkToFit="0" vertical="center" wrapText="1"/>
    </xf>
    <xf borderId="60" fillId="0" fontId="28" numFmtId="0" xfId="0" applyAlignment="1" applyBorder="1" applyFont="1">
      <alignment horizontal="left" readingOrder="0" vertical="center"/>
    </xf>
    <xf borderId="60" fillId="0" fontId="29" numFmtId="0" xfId="0" applyAlignment="1" applyBorder="1" applyFont="1">
      <alignment horizontal="center" vertical="center"/>
    </xf>
    <xf borderId="0" fillId="0" fontId="63" numFmtId="0" xfId="0" applyFont="1"/>
    <xf borderId="59" fillId="87" fontId="37" numFmtId="2" xfId="0" applyAlignment="1" applyBorder="1" applyFont="1" applyNumberFormat="1">
      <alignment vertical="center"/>
    </xf>
    <xf borderId="61" fillId="86" fontId="27" numFmtId="0" xfId="0" applyAlignment="1" applyBorder="1" applyFont="1">
      <alignment horizontal="left" readingOrder="0" vertical="center"/>
    </xf>
    <xf borderId="62" fillId="86" fontId="29" numFmtId="0" xfId="0" applyAlignment="1" applyBorder="1" applyFont="1">
      <alignment horizontal="center" vertical="center"/>
    </xf>
    <xf borderId="62" fillId="86" fontId="28" numFmtId="0" xfId="0" applyAlignment="1" applyBorder="1" applyFont="1">
      <alignment horizontal="center" shrinkToFit="0" vertical="center" wrapText="1"/>
    </xf>
    <xf borderId="63" fillId="86" fontId="28" numFmtId="0" xfId="0" applyAlignment="1" applyBorder="1" applyFont="1">
      <alignment horizontal="center" shrinkToFit="0" vertical="center" wrapText="1"/>
    </xf>
    <xf borderId="66" fillId="86" fontId="29" numFmtId="0" xfId="0" applyAlignment="1" applyBorder="1" applyFont="1">
      <alignment horizontal="left" readingOrder="0" shrinkToFit="0" vertical="center" wrapText="1"/>
    </xf>
    <xf borderId="74" fillId="86" fontId="29" numFmtId="0" xfId="0" applyAlignment="1" applyBorder="1" applyFont="1">
      <alignment horizontal="center" readingOrder="0" vertical="center"/>
    </xf>
    <xf borderId="74" fillId="86" fontId="29" numFmtId="0" xfId="0" applyAlignment="1" applyBorder="1" applyFont="1">
      <alignment horizontal="center" vertical="center"/>
    </xf>
    <xf borderId="58" fillId="86" fontId="28" numFmtId="0" xfId="0" applyAlignment="1" applyBorder="1" applyFont="1">
      <alignment horizontal="center" readingOrder="0" shrinkToFit="0" vertical="center" wrapText="1"/>
    </xf>
    <xf borderId="58" fillId="86" fontId="28" numFmtId="9" xfId="0" applyAlignment="1" applyBorder="1" applyFont="1" applyNumberFormat="1">
      <alignment horizontal="center" shrinkToFit="0" vertical="center" wrapText="1"/>
    </xf>
    <xf borderId="58" fillId="86" fontId="28" numFmtId="0" xfId="0" applyAlignment="1" applyBorder="1" applyFont="1">
      <alignment horizontal="center" shrinkToFit="0" vertical="center" wrapText="1"/>
    </xf>
    <xf borderId="59" fillId="0" fontId="37" numFmtId="2" xfId="0" applyAlignment="1" applyBorder="1" applyFont="1" applyNumberFormat="1">
      <alignment vertical="center"/>
    </xf>
    <xf borderId="66" fillId="86" fontId="29" numFmtId="0" xfId="0" applyAlignment="1" applyBorder="1" applyFont="1">
      <alignment horizontal="center" vertical="center"/>
    </xf>
    <xf borderId="61" fillId="88" fontId="27" numFmtId="0" xfId="0" applyAlignment="1" applyBorder="1" applyFill="1" applyFont="1">
      <alignment horizontal="left" readingOrder="0" vertical="center"/>
    </xf>
    <xf borderId="62" fillId="88" fontId="29" numFmtId="0" xfId="0" applyAlignment="1" applyBorder="1" applyFont="1">
      <alignment horizontal="center" vertical="center"/>
    </xf>
    <xf borderId="62" fillId="88" fontId="28" numFmtId="0" xfId="0" applyAlignment="1" applyBorder="1" applyFont="1">
      <alignment horizontal="center" shrinkToFit="0" vertical="center" wrapText="1"/>
    </xf>
    <xf borderId="63" fillId="88" fontId="28" numFmtId="0" xfId="0" applyAlignment="1" applyBorder="1" applyFont="1">
      <alignment horizontal="center" shrinkToFit="0" vertical="center" wrapText="1"/>
    </xf>
    <xf borderId="66" fillId="88" fontId="29" numFmtId="0" xfId="0" applyAlignment="1" applyBorder="1" applyFont="1">
      <alignment horizontal="left" readingOrder="0" shrinkToFit="0" vertical="center" wrapText="1"/>
    </xf>
    <xf borderId="74" fillId="88" fontId="29" numFmtId="0" xfId="0" applyAlignment="1" applyBorder="1" applyFont="1">
      <alignment horizontal="center" readingOrder="0" vertical="center"/>
    </xf>
    <xf borderId="58" fillId="88" fontId="28" numFmtId="0" xfId="0" applyAlignment="1" applyBorder="1" applyFont="1">
      <alignment horizontal="center" readingOrder="0" shrinkToFit="0" vertical="center" wrapText="1"/>
    </xf>
    <xf borderId="58" fillId="88" fontId="28" numFmtId="9" xfId="0" applyAlignment="1" applyBorder="1" applyFont="1" applyNumberFormat="1">
      <alignment horizontal="center" shrinkToFit="0" vertical="center" wrapText="1"/>
    </xf>
    <xf borderId="58" fillId="88" fontId="28" numFmtId="0" xfId="0" applyAlignment="1" applyBorder="1" applyFont="1">
      <alignment horizontal="center" shrinkToFit="0" vertical="center" wrapText="1"/>
    </xf>
    <xf borderId="59" fillId="86" fontId="28" numFmtId="0" xfId="0" applyAlignment="1" applyBorder="1" applyFont="1">
      <alignment horizontal="center" readingOrder="0" vertical="center"/>
    </xf>
    <xf borderId="59" fillId="87" fontId="37" numFmtId="4" xfId="0" applyBorder="1" applyFont="1" applyNumberFormat="1"/>
    <xf borderId="73" fillId="2" fontId="37" numFmtId="2" xfId="0" applyAlignment="1" applyBorder="1" applyFont="1" applyNumberFormat="1">
      <alignment horizontal="center" vertical="center"/>
    </xf>
    <xf borderId="59" fillId="86" fontId="37" numFmtId="0" xfId="0" applyAlignment="1" applyBorder="1" applyFont="1">
      <alignment horizontal="left" vertical="center"/>
    </xf>
    <xf borderId="0" fillId="0" fontId="29" numFmtId="0" xfId="0" applyAlignment="1" applyFont="1">
      <alignment horizontal="left" readingOrder="0"/>
    </xf>
    <xf borderId="0" fillId="0" fontId="29" numFmtId="0" xfId="0" applyAlignment="1" applyFont="1">
      <alignment horizontal="right" readingOrder="0"/>
    </xf>
    <xf borderId="59" fillId="86" fontId="28" numFmtId="0" xfId="0" applyAlignment="1" applyBorder="1" applyFont="1">
      <alignment horizontal="right" readingOrder="0" vertical="center"/>
    </xf>
    <xf borderId="0" fillId="0" fontId="64" numFmtId="0" xfId="0" applyFont="1"/>
    <xf borderId="59" fillId="87" fontId="37" numFmtId="0" xfId="0" applyAlignment="1" applyBorder="1" applyFont="1">
      <alignment readingOrder="0"/>
    </xf>
    <xf borderId="59" fillId="87" fontId="37" numFmtId="0" xfId="0" applyAlignment="1" applyBorder="1" applyFont="1">
      <alignment horizontal="right" readingOrder="0"/>
    </xf>
    <xf borderId="75" fillId="2" fontId="37" numFmtId="2" xfId="0" applyAlignment="1" applyBorder="1" applyFont="1" applyNumberFormat="1">
      <alignment horizontal="center" vertical="center"/>
    </xf>
    <xf borderId="59" fillId="0" fontId="37" numFmtId="4" xfId="0" applyBorder="1" applyFont="1" applyNumberFormat="1"/>
    <xf borderId="58" fillId="82" fontId="46" numFmtId="0" xfId="0" applyAlignment="1" applyBorder="1" applyFont="1">
      <alignment horizontal="right" readingOrder="0" shrinkToFit="0" vertical="center" wrapText="1"/>
    </xf>
    <xf borderId="59" fillId="0" fontId="39" numFmtId="0" xfId="0" applyAlignment="1" applyBorder="1" applyFont="1">
      <alignment horizontal="right" readingOrder="0" shrinkToFit="0" vertical="center" wrapText="1"/>
    </xf>
    <xf borderId="1" fillId="0" fontId="39" numFmtId="0" xfId="0" applyAlignment="1" applyBorder="1" applyFont="1">
      <alignment horizontal="right" readingOrder="0" vertical="center"/>
    </xf>
    <xf borderId="59" fillId="0" fontId="39" numFmtId="2" xfId="0" applyAlignment="1" applyBorder="1" applyFont="1" applyNumberFormat="1">
      <alignment horizontal="right" readingOrder="0" vertical="center"/>
    </xf>
    <xf borderId="59" fillId="0" fontId="39" numFmtId="0" xfId="0" applyAlignment="1" applyBorder="1" applyFont="1">
      <alignment horizontal="left" readingOrder="0"/>
    </xf>
    <xf borderId="59" fillId="0" fontId="39" numFmtId="0" xfId="0" applyAlignment="1" applyBorder="1" applyFont="1">
      <alignment horizontal="right" readingOrder="0"/>
    </xf>
    <xf borderId="59" fillId="0" fontId="37" numFmtId="0" xfId="0" applyAlignment="1" applyBorder="1" applyFont="1">
      <alignment horizontal="right" readingOrder="0"/>
    </xf>
    <xf borderId="1" fillId="0" fontId="39" numFmtId="0" xfId="0" applyAlignment="1" applyBorder="1" applyFont="1">
      <alignment horizontal="right" readingOrder="0"/>
    </xf>
    <xf borderId="59" fillId="0" fontId="39" numFmtId="2" xfId="0" applyAlignment="1" applyBorder="1" applyFont="1" applyNumberFormat="1">
      <alignment horizontal="right" readingOrder="0"/>
    </xf>
    <xf borderId="21" fillId="0" fontId="39" numFmtId="2" xfId="0" applyAlignment="1" applyBorder="1" applyFont="1" applyNumberFormat="1">
      <alignment horizontal="right" readingOrder="0" vertical="bottom"/>
    </xf>
    <xf borderId="0" fillId="0" fontId="65" numFmtId="0" xfId="0" applyAlignment="1" applyFont="1">
      <alignment readingOrder="0"/>
    </xf>
    <xf borderId="59" fillId="0" fontId="39" numFmtId="4" xfId="0" applyAlignment="1" applyBorder="1" applyFont="1" applyNumberFormat="1">
      <alignment horizontal="right" readingOrder="0"/>
    </xf>
    <xf borderId="0" fillId="0" fontId="10" numFmtId="10" xfId="0" applyAlignment="1" applyFont="1" applyNumberFormat="1">
      <alignment readingOrder="0"/>
    </xf>
    <xf borderId="59" fillId="4" fontId="37" numFmtId="0" xfId="0" applyAlignment="1" applyBorder="1" applyFont="1">
      <alignment horizontal="left" readingOrder="0" shrinkToFit="0" vertical="center" wrapText="1"/>
    </xf>
    <xf borderId="59" fillId="4" fontId="37" numFmtId="2" xfId="0" applyAlignment="1" applyBorder="1" applyFont="1" applyNumberFormat="1">
      <alignment horizontal="right" readingOrder="0" shrinkToFit="0" vertical="center" wrapText="1"/>
    </xf>
    <xf borderId="0" fillId="0" fontId="37" numFmtId="0" xfId="0" applyAlignment="1" applyFont="1">
      <alignment horizontal="right" readingOrder="0"/>
    </xf>
    <xf borderId="59" fillId="4" fontId="39" numFmtId="2" xfId="0" applyAlignment="1" applyBorder="1" applyFont="1" applyNumberFormat="1">
      <alignment horizontal="right" shrinkToFit="0" vertical="bottom" wrapText="1"/>
    </xf>
    <xf borderId="4" fillId="4" fontId="39" numFmtId="2" xfId="0" applyAlignment="1" applyBorder="1" applyFont="1" applyNumberFormat="1">
      <alignment horizontal="right" shrinkToFit="0" vertical="bottom" wrapText="1"/>
    </xf>
    <xf borderId="4" fillId="4" fontId="39" numFmtId="4" xfId="0" applyAlignment="1" applyBorder="1" applyFont="1" applyNumberFormat="1">
      <alignment horizontal="right" shrinkToFit="0" vertical="bottom" wrapText="1"/>
    </xf>
    <xf borderId="59" fillId="21" fontId="39" numFmtId="4" xfId="0" applyAlignment="1" applyBorder="1" applyFont="1" applyNumberFormat="1">
      <alignment horizontal="right" readingOrder="0"/>
    </xf>
    <xf borderId="4" fillId="21" fontId="39" numFmtId="1" xfId="0" applyAlignment="1" applyBorder="1" applyFont="1" applyNumberFormat="1">
      <alignment horizontal="right" vertical="bottom"/>
    </xf>
    <xf borderId="4" fillId="21" fontId="39" numFmtId="1" xfId="0" applyAlignment="1" applyBorder="1" applyFont="1" applyNumberFormat="1">
      <alignment horizontal="right" readingOrder="0" vertical="bottom"/>
    </xf>
    <xf borderId="0" fillId="0" fontId="43" numFmtId="0" xfId="0" applyAlignment="1" applyFont="1">
      <alignment horizontal="right" readingOrder="0"/>
    </xf>
    <xf borderId="21" fillId="0" fontId="39" numFmtId="4" xfId="0" applyAlignment="1" applyBorder="1" applyFont="1" applyNumberFormat="1">
      <alignment horizontal="right" readingOrder="0" vertical="bottom"/>
    </xf>
    <xf borderId="0" fillId="18" fontId="66" numFmtId="0" xfId="0" applyAlignment="1" applyFont="1">
      <alignment horizontal="center" readingOrder="0"/>
    </xf>
    <xf borderId="76" fillId="18" fontId="66" numFmtId="0" xfId="0" applyAlignment="1" applyBorder="1" applyFont="1">
      <alignment horizontal="center" readingOrder="0"/>
    </xf>
    <xf borderId="77" fillId="0" fontId="13" numFmtId="0" xfId="0" applyBorder="1" applyFont="1"/>
    <xf borderId="78" fillId="0" fontId="13" numFmtId="0" xfId="0" applyBorder="1" applyFont="1"/>
    <xf borderId="79" fillId="4" fontId="67" numFmtId="0" xfId="0" applyAlignment="1" applyBorder="1" applyFont="1">
      <alignment horizontal="left" readingOrder="0"/>
    </xf>
    <xf borderId="79" fillId="89" fontId="68" numFmtId="0" xfId="0" applyAlignment="1" applyBorder="1" applyFill="1" applyFont="1">
      <alignment horizontal="center" readingOrder="0"/>
    </xf>
    <xf borderId="0" fillId="0" fontId="43" numFmtId="0" xfId="0" applyAlignment="1" applyFont="1">
      <alignment horizontal="right" readingOrder="0" vertical="center"/>
    </xf>
    <xf borderId="59" fillId="51" fontId="37" numFmtId="0" xfId="0" applyAlignment="1" applyBorder="1" applyFont="1">
      <alignment horizontal="left" readingOrder="0" shrinkToFit="0" vertical="center" wrapText="1"/>
    </xf>
    <xf borderId="59" fillId="51" fontId="37" numFmtId="0" xfId="0" applyAlignment="1" applyBorder="1" applyFont="1">
      <alignment horizontal="right" readingOrder="0" vertical="center"/>
    </xf>
    <xf borderId="59" fillId="15" fontId="37" numFmtId="0" xfId="0" applyAlignment="1" applyBorder="1" applyFont="1">
      <alignment horizontal="left" readingOrder="0" shrinkToFit="0" vertical="center" wrapText="1"/>
    </xf>
    <xf borderId="59" fillId="15" fontId="37" numFmtId="4" xfId="0" applyBorder="1" applyFont="1" applyNumberFormat="1"/>
    <xf borderId="59" fillId="15" fontId="37" numFmtId="2" xfId="0" applyBorder="1" applyFont="1" applyNumberFormat="1"/>
    <xf borderId="0" fillId="0" fontId="39" numFmtId="0" xfId="0" applyAlignment="1" applyFont="1">
      <alignment horizontal="center" readingOrder="0"/>
    </xf>
    <xf borderId="0" fillId="0" fontId="12" numFmtId="0" xfId="0" applyAlignment="1" applyFont="1">
      <alignment readingOrder="0"/>
    </xf>
    <xf borderId="59" fillId="90" fontId="46" numFmtId="0" xfId="0" applyAlignment="1" applyBorder="1" applyFill="1" applyFont="1">
      <alignment horizontal="left" readingOrder="0" shrinkToFit="0" vertical="center" wrapText="1"/>
    </xf>
    <xf borderId="59" fillId="90" fontId="46" numFmtId="0" xfId="0" applyAlignment="1" applyBorder="1" applyFont="1">
      <alignment horizontal="center" readingOrder="0" shrinkToFit="0" vertical="center" wrapText="1"/>
    </xf>
    <xf borderId="59" fillId="5" fontId="37" numFmtId="0" xfId="0" applyAlignment="1" applyBorder="1" applyFont="1">
      <alignment horizontal="left" readingOrder="0" shrinkToFit="0" vertical="center" wrapText="1"/>
    </xf>
    <xf borderId="59" fillId="5" fontId="37" numFmtId="2" xfId="0" applyAlignment="1" applyBorder="1" applyFont="1" applyNumberFormat="1">
      <alignment horizontal="right" readingOrder="0" shrinkToFit="0" vertical="center" wrapText="1"/>
    </xf>
    <xf borderId="59" fillId="5" fontId="37" numFmtId="4" xfId="0" applyAlignment="1" applyBorder="1" applyFont="1" applyNumberFormat="1">
      <alignment horizontal="right" readingOrder="0" shrinkToFit="0" vertical="center" wrapText="1"/>
    </xf>
    <xf borderId="59" fillId="0" fontId="39" numFmtId="2" xfId="0" applyAlignment="1" applyBorder="1" applyFont="1" applyNumberFormat="1">
      <alignment readingOrder="0" vertical="center"/>
    </xf>
    <xf borderId="59" fillId="0" fontId="39" numFmtId="4" xfId="0" applyAlignment="1" applyBorder="1" applyFont="1" applyNumberFormat="1">
      <alignment readingOrder="0" vertical="center"/>
    </xf>
    <xf borderId="59" fillId="0" fontId="37" numFmtId="164" xfId="0" applyAlignment="1" applyBorder="1" applyFont="1" applyNumberFormat="1">
      <alignment readingOrder="0"/>
    </xf>
    <xf borderId="80" fillId="0" fontId="43" numFmtId="0" xfId="0" applyAlignment="1" applyBorder="1" applyFont="1">
      <alignment horizontal="right" readingOrder="0" vertical="center"/>
    </xf>
    <xf borderId="81" fillId="0" fontId="55" numFmtId="0" xfId="0" applyBorder="1" applyFont="1"/>
    <xf borderId="82" fillId="0" fontId="43" numFmtId="0" xfId="0" applyAlignment="1" applyBorder="1" applyFont="1">
      <alignment horizontal="right" readingOrder="0" vertical="center"/>
    </xf>
    <xf borderId="71" fillId="0" fontId="43" numFmtId="0" xfId="0" applyAlignment="1" applyBorder="1" applyFont="1">
      <alignment horizontal="left"/>
    </xf>
    <xf borderId="0" fillId="0" fontId="37" numFmtId="0" xfId="0" applyAlignment="1" applyFont="1">
      <alignment readingOrder="0" shrinkToFit="0" vertical="bottom" wrapText="0"/>
    </xf>
    <xf borderId="23" fillId="0" fontId="37" numFmtId="0" xfId="0" applyAlignment="1" applyBorder="1" applyFont="1">
      <alignment horizontal="center" readingOrder="0" shrinkToFit="0" vertical="bottom" wrapText="0"/>
    </xf>
    <xf borderId="59" fillId="48" fontId="46" numFmtId="0" xfId="0" applyAlignment="1" applyBorder="1" applyFont="1">
      <alignment horizontal="left" readingOrder="0" shrinkToFit="0" vertical="center" wrapText="1"/>
    </xf>
    <xf borderId="59" fillId="48" fontId="46" numFmtId="0" xfId="0" applyAlignment="1" applyBorder="1" applyFont="1">
      <alignment horizontal="right" shrinkToFit="0" vertical="center" wrapText="1"/>
    </xf>
    <xf borderId="59" fillId="48" fontId="46" numFmtId="0" xfId="0" applyAlignment="1" applyBorder="1" applyFont="1">
      <alignment horizontal="center" readingOrder="0" shrinkToFit="0" vertical="center" wrapText="1"/>
    </xf>
    <xf borderId="19" fillId="0" fontId="37" numFmtId="0" xfId="0" applyAlignment="1" applyBorder="1" applyFont="1">
      <alignment horizontal="center" readingOrder="0" shrinkToFit="0" textRotation="90" vertical="center" wrapText="0"/>
    </xf>
    <xf borderId="21" fillId="0" fontId="37" numFmtId="0" xfId="0" applyAlignment="1" applyBorder="1" applyFont="1">
      <alignment horizontal="center" readingOrder="0" shrinkToFit="0" vertical="bottom" wrapText="0"/>
    </xf>
    <xf borderId="21" fillId="0" fontId="37" numFmtId="9" xfId="0" applyAlignment="1" applyBorder="1" applyFont="1" applyNumberFormat="1">
      <alignment horizontal="right" readingOrder="0" shrinkToFit="0" vertical="bottom" wrapText="0"/>
    </xf>
    <xf borderId="59" fillId="87" fontId="37" numFmtId="3" xfId="0" applyBorder="1" applyFont="1" applyNumberFormat="1"/>
    <xf borderId="0" fillId="0" fontId="39" numFmtId="0" xfId="0" applyAlignment="1" applyFont="1">
      <alignment horizontal="right"/>
    </xf>
    <xf borderId="0" fillId="0" fontId="37" numFmtId="0" xfId="0" applyAlignment="1" applyFont="1">
      <alignment shrinkToFit="0" vertical="bottom" wrapText="0"/>
    </xf>
    <xf borderId="23" fillId="0" fontId="37" numFmtId="0" xfId="0" applyAlignment="1" applyBorder="1" applyFont="1">
      <alignment horizontal="right" readingOrder="0" shrinkToFit="0" vertical="bottom" wrapText="0"/>
    </xf>
    <xf borderId="59" fillId="48" fontId="46" numFmtId="0" xfId="0" applyAlignment="1" applyBorder="1" applyFont="1">
      <alignment horizontal="right" readingOrder="0" shrinkToFit="0" vertical="center" wrapText="1"/>
    </xf>
    <xf borderId="59" fillId="50" fontId="37" numFmtId="4" xfId="0" applyAlignment="1" applyBorder="1" applyFont="1" applyNumberFormat="1">
      <alignment horizontal="right"/>
    </xf>
    <xf borderId="59" fillId="35" fontId="37" numFmtId="0" xfId="0" applyAlignment="1" applyBorder="1" applyFont="1">
      <alignment horizontal="left" readingOrder="0" shrinkToFit="0" vertical="center" wrapText="1"/>
    </xf>
    <xf borderId="59" fillId="35" fontId="37" numFmtId="49" xfId="0" applyAlignment="1" applyBorder="1" applyFont="1" applyNumberFormat="1">
      <alignment horizontal="right"/>
    </xf>
    <xf quotePrefix="1" borderId="59" fillId="35" fontId="37" numFmtId="49" xfId="0" applyAlignment="1" applyBorder="1" applyFont="1" applyNumberFormat="1">
      <alignment horizontal="right" readingOrder="0"/>
    </xf>
    <xf borderId="59" fillId="79" fontId="37" numFmtId="0" xfId="0" applyAlignment="1" applyBorder="1" applyFont="1">
      <alignment horizontal="left" readingOrder="0" shrinkToFit="0" vertical="center" wrapText="1"/>
    </xf>
    <xf borderId="59" fillId="79" fontId="37" numFmtId="2" xfId="0" applyAlignment="1" applyBorder="1" applyFont="1" applyNumberFormat="1">
      <alignment horizontal="right"/>
    </xf>
    <xf borderId="59" fillId="87" fontId="37" numFmtId="3" xfId="0" applyAlignment="1" applyBorder="1" applyFont="1" applyNumberFormat="1">
      <alignment horizontal="right"/>
    </xf>
    <xf borderId="59" fillId="0" fontId="37" numFmtId="3" xfId="0" applyAlignment="1" applyBorder="1" applyFont="1" applyNumberFormat="1">
      <alignment horizontal="right" readingOrder="0"/>
    </xf>
    <xf borderId="0" fillId="0" fontId="43" numFmtId="0" xfId="0" applyAlignment="1" applyFont="1">
      <alignment vertical="center"/>
    </xf>
    <xf borderId="59" fillId="35" fontId="37" numFmtId="49" xfId="0" applyAlignment="1" applyBorder="1" applyFont="1" applyNumberFormat="1">
      <alignment horizontal="right" readingOrder="0"/>
    </xf>
    <xf borderId="59" fillId="79" fontId="37" numFmtId="0" xfId="0" applyAlignment="1" applyBorder="1" applyFont="1">
      <alignment horizontal="left" shrinkToFit="0" vertical="center" wrapText="1"/>
    </xf>
    <xf borderId="59" fillId="0" fontId="69" numFmtId="0" xfId="0" applyAlignment="1" applyBorder="1" applyFont="1">
      <alignment horizontal="right" readingOrder="0" vertical="center"/>
    </xf>
    <xf borderId="59" fillId="50" fontId="37" numFmtId="4" xfId="0" applyAlignment="1" applyBorder="1" applyFont="1" applyNumberFormat="1">
      <alignment horizontal="right" readingOrder="0"/>
    </xf>
    <xf borderId="59" fillId="79" fontId="37" numFmtId="2" xfId="0" applyAlignment="1" applyBorder="1" applyFont="1" applyNumberFormat="1">
      <alignment horizontal="right" readingOrder="0"/>
    </xf>
    <xf borderId="0" fillId="0" fontId="47" numFmtId="0" xfId="0" applyAlignment="1" applyFont="1">
      <alignment horizontal="right"/>
    </xf>
    <xf borderId="68" fillId="15" fontId="10" numFmtId="0" xfId="0" applyAlignment="1" applyBorder="1" applyFont="1">
      <alignment readingOrder="0"/>
    </xf>
    <xf borderId="59" fillId="9" fontId="37" numFmtId="0" xfId="0" applyAlignment="1" applyBorder="1" applyFont="1">
      <alignment horizontal="left" readingOrder="0" shrinkToFit="0" vertical="center" wrapText="1"/>
    </xf>
    <xf borderId="59" fillId="9" fontId="37" numFmtId="4" xfId="0" applyBorder="1" applyFont="1" applyNumberFormat="1"/>
    <xf borderId="59" fillId="87" fontId="37" numFmtId="3" xfId="0" applyAlignment="1" applyBorder="1" applyFont="1" applyNumberFormat="1">
      <alignment readingOrder="0"/>
    </xf>
    <xf borderId="0" fillId="0" fontId="55" numFmtId="0" xfId="0" applyFont="1"/>
    <xf borderId="59" fillId="25" fontId="46" numFmtId="0" xfId="0" applyAlignment="1" applyBorder="1" applyFont="1">
      <alignment horizontal="left" readingOrder="0" shrinkToFit="0" vertical="center" wrapText="1"/>
    </xf>
    <xf borderId="59" fillId="25" fontId="46" numFmtId="0" xfId="0" applyAlignment="1" applyBorder="1" applyFont="1">
      <alignment horizontal="right" vertical="center"/>
    </xf>
    <xf borderId="59" fillId="25" fontId="46" numFmtId="0" xfId="0" applyAlignment="1" applyBorder="1" applyFont="1">
      <alignment horizontal="center" vertical="center"/>
    </xf>
    <xf borderId="59" fillId="26" fontId="37" numFmtId="0" xfId="0" applyAlignment="1" applyBorder="1" applyFont="1">
      <alignment horizontal="left" readingOrder="0" shrinkToFit="0" vertical="center" wrapText="1"/>
    </xf>
    <xf borderId="59" fillId="26" fontId="37" numFmtId="4" xfId="0" applyBorder="1" applyFont="1" applyNumberFormat="1"/>
    <xf borderId="59" fillId="26" fontId="37" numFmtId="4" xfId="0" applyAlignment="1" applyBorder="1" applyFont="1" applyNumberFormat="1">
      <alignment horizontal="center" readingOrder="0"/>
    </xf>
    <xf borderId="59" fillId="26" fontId="37" numFmtId="2" xfId="0" applyAlignment="1" applyBorder="1" applyFont="1" applyNumberFormat="1">
      <alignment horizontal="center" readingOrder="0"/>
    </xf>
    <xf borderId="59" fillId="26" fontId="39" numFmtId="2" xfId="0" applyAlignment="1" applyBorder="1" applyFont="1" applyNumberFormat="1">
      <alignment horizontal="center" readingOrder="0" vertical="bottom"/>
    </xf>
    <xf borderId="59" fillId="0" fontId="37" numFmtId="1" xfId="0" applyBorder="1" applyFont="1" applyNumberFormat="1"/>
    <xf borderId="59" fillId="26" fontId="37" numFmtId="2" xfId="0" applyBorder="1" applyFont="1" applyNumberFormat="1"/>
    <xf borderId="0" fillId="0" fontId="27" numFmtId="0" xfId="0" applyAlignment="1" applyFont="1">
      <alignment horizontal="center" readingOrder="0" vertical="center"/>
    </xf>
    <xf borderId="0" fillId="0" fontId="27" numFmtId="0" xfId="0" applyAlignment="1" applyFont="1">
      <alignment horizontal="center" vertical="center"/>
    </xf>
    <xf borderId="0" fillId="0" fontId="30" numFmtId="0" xfId="0" applyFont="1"/>
    <xf borderId="0" fillId="0" fontId="1" numFmtId="0" xfId="0" applyAlignment="1" applyFont="1">
      <alignment readingOrder="0"/>
    </xf>
    <xf borderId="1" fillId="0" fontId="70" numFmtId="0" xfId="0" applyAlignment="1" applyBorder="1" applyFont="1">
      <alignment horizontal="center" readingOrder="0" vertical="center"/>
    </xf>
    <xf borderId="59" fillId="0" fontId="27" numFmtId="0" xfId="0" applyAlignment="1" applyBorder="1" applyFont="1">
      <alignment horizontal="center" vertical="center"/>
    </xf>
    <xf borderId="1" fillId="86" fontId="27" numFmtId="0" xfId="0" applyAlignment="1" applyBorder="1" applyFont="1">
      <alignment horizontal="center" vertical="center"/>
    </xf>
    <xf borderId="2" fillId="86" fontId="30" numFmtId="0" xfId="0" applyAlignment="1" applyBorder="1" applyFont="1">
      <alignment horizontal="center" readingOrder="0" vertical="center"/>
    </xf>
    <xf borderId="83" fillId="87" fontId="28" numFmtId="0" xfId="0" applyAlignment="1" applyBorder="1" applyFont="1">
      <alignment horizontal="center" vertical="center"/>
    </xf>
    <xf borderId="59" fillId="87" fontId="28" numFmtId="0" xfId="0" applyAlignment="1" applyBorder="1" applyFont="1">
      <alignment horizontal="center" vertical="center"/>
    </xf>
    <xf borderId="0" fillId="0" fontId="29" numFmtId="0" xfId="0" applyAlignment="1" applyFont="1">
      <alignment readingOrder="0"/>
    </xf>
    <xf borderId="0" fillId="0" fontId="1" numFmtId="0" xfId="0" applyFont="1"/>
    <xf borderId="0" fillId="0" fontId="1" numFmtId="0" xfId="0" applyAlignment="1" applyFont="1">
      <alignment horizontal="center" readingOrder="0"/>
    </xf>
    <xf borderId="0" fillId="2" fontId="71" numFmtId="0" xfId="0" applyAlignment="1" applyFont="1">
      <alignment horizontal="center" readingOrder="0"/>
    </xf>
    <xf borderId="0" fillId="2" fontId="72" numFmtId="0" xfId="0" applyAlignment="1" applyFont="1">
      <alignment horizontal="right" readingOrder="0" vertical="bottom"/>
    </xf>
    <xf borderId="62" fillId="87" fontId="28" numFmtId="0" xfId="0" applyAlignment="1" applyBorder="1" applyFont="1">
      <alignment horizontal="center" vertical="center"/>
    </xf>
    <xf borderId="59" fillId="0" fontId="28" numFmtId="0" xfId="0" applyAlignment="1" applyBorder="1" applyFont="1">
      <alignment horizontal="center" readingOrder="0" vertical="center"/>
    </xf>
    <xf borderId="59" fillId="4" fontId="29" numFmtId="0" xfId="0" applyAlignment="1" applyBorder="1" applyFont="1">
      <alignment readingOrder="0"/>
    </xf>
    <xf borderId="59" fillId="4" fontId="29" numFmtId="0" xfId="0" applyAlignment="1" applyBorder="1" applyFont="1">
      <alignment horizontal="center" readingOrder="0"/>
    </xf>
    <xf borderId="0" fillId="4" fontId="29" numFmtId="0" xfId="0" applyAlignment="1" applyFont="1">
      <alignment horizontal="center" readingOrder="0"/>
    </xf>
    <xf borderId="0" fillId="4" fontId="33" numFmtId="0" xfId="0" applyAlignment="1" applyFont="1">
      <alignment horizontal="right" readingOrder="0" vertical="bottom"/>
    </xf>
    <xf borderId="59" fillId="16" fontId="29" numFmtId="0" xfId="0" applyAlignment="1" applyBorder="1" applyFont="1">
      <alignment readingOrder="0"/>
    </xf>
    <xf borderId="59" fillId="16" fontId="29" numFmtId="0" xfId="0" applyAlignment="1" applyBorder="1" applyFont="1">
      <alignment horizontal="center" readingOrder="0"/>
    </xf>
    <xf borderId="0" fillId="16" fontId="29" numFmtId="0" xfId="0" applyAlignment="1" applyFont="1">
      <alignment horizontal="center" readingOrder="0"/>
    </xf>
    <xf borderId="0" fillId="16" fontId="33" numFmtId="0" xfId="0" applyAlignment="1" applyFont="1">
      <alignment horizontal="right" readingOrder="0" vertical="bottom"/>
    </xf>
    <xf borderId="66" fillId="87" fontId="29" numFmtId="0" xfId="0" applyAlignment="1" applyBorder="1" applyFont="1">
      <alignment horizontal="center" vertical="center"/>
    </xf>
    <xf borderId="59" fillId="70" fontId="29" numFmtId="0" xfId="0" applyAlignment="1" applyBorder="1" applyFont="1">
      <alignment readingOrder="0"/>
    </xf>
    <xf borderId="59" fillId="70" fontId="29" numFmtId="0" xfId="0" applyAlignment="1" applyBorder="1" applyFont="1">
      <alignment horizontal="center" readingOrder="0"/>
    </xf>
    <xf borderId="0" fillId="70" fontId="29" numFmtId="0" xfId="0" applyAlignment="1" applyFont="1">
      <alignment horizontal="center" readingOrder="0"/>
    </xf>
    <xf borderId="0" fillId="70" fontId="33" numFmtId="0" xfId="0" applyAlignment="1" applyFont="1">
      <alignment horizontal="right" readingOrder="0" vertical="bottom"/>
    </xf>
    <xf borderId="61" fillId="0" fontId="28" numFmtId="0" xfId="0" applyAlignment="1" applyBorder="1" applyFont="1">
      <alignment horizontal="center" readingOrder="0" vertical="center"/>
    </xf>
    <xf borderId="2" fillId="86" fontId="27" numFmtId="0" xfId="0" applyAlignment="1" applyBorder="1" applyFont="1">
      <alignment horizontal="center" readingOrder="0" vertical="center"/>
    </xf>
    <xf borderId="62" fillId="86" fontId="28" numFmtId="0" xfId="0" applyAlignment="1" applyBorder="1" applyFont="1">
      <alignment horizontal="center" vertical="center"/>
    </xf>
    <xf borderId="23" fillId="0" fontId="33" numFmtId="0" xfId="0" applyAlignment="1" applyBorder="1" applyFont="1">
      <alignment horizontal="right" readingOrder="0" vertical="bottom"/>
    </xf>
    <xf borderId="60" fillId="17" fontId="3" numFmtId="0" xfId="0" applyAlignment="1" applyBorder="1" applyFont="1">
      <alignment horizontal="right" vertical="bottom"/>
    </xf>
    <xf borderId="21" fillId="17" fontId="3" numFmtId="0" xfId="0" applyAlignment="1" applyBorder="1" applyFont="1">
      <alignment horizontal="right" vertical="bottom"/>
    </xf>
    <xf borderId="66" fillId="79" fontId="29" numFmtId="0" xfId="0" applyAlignment="1" applyBorder="1" applyFont="1">
      <alignment horizontal="center" shrinkToFit="0" vertical="center" wrapText="1"/>
    </xf>
    <xf borderId="66" fillId="16" fontId="29" numFmtId="0" xfId="0" applyAlignment="1" applyBorder="1" applyFont="1">
      <alignment horizontal="center" shrinkToFit="0" vertical="center" wrapText="1"/>
    </xf>
    <xf borderId="62" fillId="88" fontId="28" numFmtId="0" xfId="0" applyAlignment="1" applyBorder="1" applyFont="1">
      <alignment horizontal="center" vertical="center"/>
    </xf>
    <xf borderId="74" fillId="88" fontId="29" numFmtId="0" xfId="0" applyAlignment="1" applyBorder="1" applyFont="1">
      <alignment horizontal="center" vertical="center"/>
    </xf>
    <xf borderId="66" fillId="70" fontId="29" numFmtId="0" xfId="0" applyAlignment="1" applyBorder="1" applyFont="1">
      <alignment horizontal="center" shrinkToFit="0" vertical="center" wrapText="1"/>
    </xf>
    <xf borderId="66" fillId="88" fontId="29" numFmtId="0" xfId="0" applyAlignment="1" applyBorder="1" applyFont="1">
      <alignment horizontal="center" vertical="center"/>
    </xf>
    <xf borderId="59" fillId="70" fontId="29" numFmtId="0" xfId="0" applyAlignment="1" applyBorder="1" applyFont="1">
      <alignment horizontal="center" shrinkToFit="0" vertical="center" wrapText="1"/>
    </xf>
    <xf borderId="84" fillId="2" fontId="30" numFmtId="0" xfId="0" applyAlignment="1" applyBorder="1" applyFont="1">
      <alignment horizontal="left" readingOrder="0" shrinkToFit="0" vertical="center" wrapText="0"/>
    </xf>
    <xf borderId="85" fillId="2" fontId="30" numFmtId="0" xfId="0" applyAlignment="1" applyBorder="1" applyFont="1">
      <alignment horizontal="left" readingOrder="0" shrinkToFit="0" vertical="center" wrapText="1"/>
    </xf>
    <xf borderId="86" fillId="2" fontId="30" numFmtId="0" xfId="0" applyAlignment="1" applyBorder="1" applyFont="1">
      <alignment horizontal="left" readingOrder="0" shrinkToFit="0" vertical="center" wrapText="1"/>
    </xf>
    <xf borderId="87" fillId="2" fontId="30" numFmtId="0" xfId="0" applyAlignment="1" applyBorder="1" applyFont="1">
      <alignment horizontal="center" shrinkToFit="0" vertical="center" wrapText="1"/>
    </xf>
    <xf borderId="0" fillId="0" fontId="29" numFmtId="0" xfId="0" applyAlignment="1" applyFont="1">
      <alignment shrinkToFit="0" wrapText="1"/>
    </xf>
    <xf borderId="59" fillId="2" fontId="37" numFmtId="0" xfId="0" applyAlignment="1" applyBorder="1" applyFont="1">
      <alignment horizontal="center" shrinkToFit="0" vertical="center" wrapText="1"/>
    </xf>
    <xf borderId="59" fillId="2" fontId="37" numFmtId="0" xfId="0" applyAlignment="1" applyBorder="1" applyFont="1">
      <alignment horizontal="center" readingOrder="0" shrinkToFit="0" vertical="center" wrapText="1"/>
    </xf>
    <xf borderId="59" fillId="2" fontId="42" numFmtId="0" xfId="0" applyAlignment="1" applyBorder="1" applyFont="1">
      <alignment horizontal="center" readingOrder="0" shrinkToFit="0" vertical="center" wrapText="1"/>
    </xf>
    <xf borderId="59" fillId="2" fontId="37" numFmtId="0" xfId="0" applyAlignment="1" applyBorder="1" applyFont="1">
      <alignment horizontal="left" readingOrder="0" shrinkToFit="0" vertical="center" wrapText="1"/>
    </xf>
    <xf borderId="59" fillId="2" fontId="37" numFmtId="9" xfId="0" applyAlignment="1" applyBorder="1" applyFont="1" applyNumberFormat="1">
      <alignment horizontal="center" shrinkToFit="0" vertical="center" wrapText="1"/>
    </xf>
    <xf borderId="59" fillId="2" fontId="42" numFmtId="0" xfId="0" applyAlignment="1" applyBorder="1" applyFont="1">
      <alignment horizontal="center" shrinkToFit="0" vertical="center" wrapText="1"/>
    </xf>
    <xf borderId="59" fillId="87" fontId="37" numFmtId="2" xfId="0" applyAlignment="1" applyBorder="1" applyFont="1" applyNumberFormat="1">
      <alignment horizontal="center" vertical="center"/>
    </xf>
    <xf borderId="59" fillId="87" fontId="42" numFmtId="2" xfId="0" applyAlignment="1" applyBorder="1" applyFont="1" applyNumberFormat="1">
      <alignment horizontal="center" vertical="center"/>
    </xf>
    <xf borderId="59" fillId="0" fontId="37" numFmtId="1" xfId="0" applyAlignment="1" applyBorder="1" applyFont="1" applyNumberFormat="1">
      <alignment horizontal="center" shrinkToFit="0" vertical="center" wrapText="1"/>
    </xf>
    <xf borderId="59" fillId="0" fontId="42" numFmtId="1" xfId="0" applyAlignment="1" applyBorder="1" applyFont="1" applyNumberFormat="1">
      <alignment horizontal="center" vertical="center"/>
    </xf>
    <xf borderId="59" fillId="72" fontId="37" numFmtId="0" xfId="0" applyAlignment="1" applyBorder="1" applyFont="1">
      <alignment horizontal="left" readingOrder="0" shrinkToFit="0" vertical="center" wrapText="1"/>
    </xf>
    <xf borderId="59" fillId="36" fontId="37" numFmtId="2" xfId="0" applyAlignment="1" applyBorder="1" applyFont="1" applyNumberFormat="1">
      <alignment horizontal="center" vertical="center"/>
    </xf>
    <xf borderId="59" fillId="36" fontId="42" numFmtId="2" xfId="0" applyAlignment="1" applyBorder="1" applyFont="1" applyNumberFormat="1">
      <alignment horizontal="center" vertical="center"/>
    </xf>
    <xf borderId="59" fillId="76" fontId="37" numFmtId="0" xfId="0" applyAlignment="1" applyBorder="1" applyFont="1">
      <alignment horizontal="left" readingOrder="0" vertical="center"/>
    </xf>
    <xf borderId="59" fillId="41" fontId="37" numFmtId="2" xfId="0" applyAlignment="1" applyBorder="1" applyFont="1" applyNumberFormat="1">
      <alignment horizontal="center" shrinkToFit="0" vertical="center" wrapText="1"/>
    </xf>
    <xf borderId="59" fillId="41" fontId="42" numFmtId="2" xfId="0" applyAlignment="1" applyBorder="1" applyFont="1" applyNumberFormat="1">
      <alignment horizontal="center" vertical="center"/>
    </xf>
    <xf borderId="59" fillId="77" fontId="39" numFmtId="0" xfId="0" applyAlignment="1" applyBorder="1" applyFont="1">
      <alignment horizontal="left" readingOrder="0" shrinkToFit="0" vertical="center" wrapText="1"/>
    </xf>
    <xf borderId="59" fillId="78" fontId="39" numFmtId="2" xfId="0" applyAlignment="1" applyBorder="1" applyFont="1" applyNumberFormat="1">
      <alignment horizontal="center" shrinkToFit="0" vertical="center" wrapText="1"/>
    </xf>
    <xf borderId="59" fillId="78" fontId="42" numFmtId="2" xfId="0" applyAlignment="1" applyBorder="1" applyFont="1" applyNumberFormat="1">
      <alignment horizontal="center" vertical="center"/>
    </xf>
    <xf borderId="86" fillId="2" fontId="29" numFmtId="2" xfId="0" applyAlignment="1" applyBorder="1" applyFont="1" applyNumberFormat="1">
      <alignment horizontal="center" vertical="center"/>
    </xf>
    <xf borderId="59" fillId="33" fontId="29" numFmtId="49" xfId="0" applyAlignment="1" applyBorder="1" applyFont="1" applyNumberFormat="1">
      <alignment horizontal="center" readingOrder="0"/>
    </xf>
    <xf borderId="73" fillId="2" fontId="29" numFmtId="0" xfId="0" applyAlignment="1" applyBorder="1" applyFont="1">
      <alignment horizontal="center"/>
    </xf>
    <xf borderId="73" fillId="2" fontId="29" numFmtId="9" xfId="0" applyAlignment="1" applyBorder="1" applyFont="1" applyNumberFormat="1">
      <alignment horizontal="center" vertical="center"/>
    </xf>
    <xf borderId="23" fillId="0" fontId="33" numFmtId="0" xfId="0" applyAlignment="1" applyBorder="1" applyFont="1">
      <alignment vertical="bottom"/>
    </xf>
    <xf borderId="23" fillId="0" fontId="33" numFmtId="0" xfId="0" applyAlignment="1" applyBorder="1" applyFont="1">
      <alignment horizontal="center" vertical="bottom"/>
    </xf>
    <xf borderId="23" fillId="0" fontId="5" numFmtId="0" xfId="0" applyAlignment="1" applyBorder="1" applyFont="1">
      <alignment horizontal="right" vertical="bottom"/>
    </xf>
    <xf borderId="67" fillId="41" fontId="29" numFmtId="0" xfId="0" applyAlignment="1" applyBorder="1" applyFont="1">
      <alignment horizontal="center" readingOrder="0" vertical="center"/>
    </xf>
    <xf borderId="84" fillId="2" fontId="30" numFmtId="0" xfId="0" applyAlignment="1" applyBorder="1" applyFont="1">
      <alignment horizontal="left" readingOrder="0" shrinkToFit="0" vertical="center" wrapText="1"/>
    </xf>
    <xf borderId="85" fillId="0" fontId="13" numFmtId="0" xfId="0" applyBorder="1" applyFont="1"/>
    <xf borderId="86" fillId="0" fontId="13" numFmtId="0" xfId="0" applyBorder="1" applyFont="1"/>
    <xf borderId="60" fillId="3" fontId="33" numFmtId="0" xfId="0" applyAlignment="1" applyBorder="1" applyFont="1">
      <alignment horizontal="center" vertical="bottom"/>
    </xf>
    <xf borderId="21" fillId="3" fontId="5" numFmtId="0" xfId="0" applyAlignment="1" applyBorder="1" applyFont="1">
      <alignment vertical="bottom"/>
    </xf>
    <xf borderId="21" fillId="0" fontId="5" numFmtId="0" xfId="0" applyAlignment="1" applyBorder="1" applyFont="1">
      <alignment vertical="bottom"/>
    </xf>
    <xf borderId="59" fillId="3" fontId="29" numFmtId="0" xfId="0" applyBorder="1" applyFont="1"/>
    <xf borderId="59" fillId="3" fontId="29" numFmtId="0" xfId="0" applyAlignment="1" applyBorder="1" applyFont="1">
      <alignment horizontal="center"/>
    </xf>
    <xf borderId="60" fillId="3" fontId="5" numFmtId="0" xfId="0" applyAlignment="1" applyBorder="1" applyFont="1">
      <alignment vertical="bottom"/>
    </xf>
    <xf borderId="1" fillId="0" fontId="37" numFmtId="0" xfId="0" applyAlignment="1" applyBorder="1" applyFont="1">
      <alignment vertical="center"/>
    </xf>
    <xf borderId="4" fillId="0" fontId="37" numFmtId="0" xfId="0" applyAlignment="1" applyBorder="1" applyFont="1">
      <alignment vertical="center"/>
    </xf>
    <xf borderId="59" fillId="86" fontId="37" numFmtId="0" xfId="0" applyAlignment="1" applyBorder="1" applyFont="1">
      <alignment horizontal="center" readingOrder="0" shrinkToFit="0" vertical="center" wrapText="1"/>
    </xf>
    <xf borderId="61" fillId="87" fontId="37" numFmtId="2" xfId="0" applyAlignment="1" applyBorder="1" applyFont="1" applyNumberFormat="1">
      <alignment horizontal="left" vertical="center"/>
    </xf>
    <xf borderId="63" fillId="87" fontId="37" numFmtId="2" xfId="0" applyAlignment="1" applyBorder="1" applyFont="1" applyNumberFormat="1">
      <alignment horizontal="center" vertical="center"/>
    </xf>
    <xf borderId="84" fillId="2" fontId="29" numFmtId="2" xfId="0" applyAlignment="1" applyBorder="1" applyFont="1" applyNumberFormat="1">
      <alignment horizontal="center" vertical="center"/>
    </xf>
    <xf borderId="58" fillId="72" fontId="37" numFmtId="0" xfId="0" applyAlignment="1" applyBorder="1" applyFont="1">
      <alignment horizontal="center" readingOrder="0" shrinkToFit="0" vertical="center" wrapText="1"/>
    </xf>
    <xf borderId="61" fillId="35" fontId="37" numFmtId="0" xfId="0" applyAlignment="1" applyBorder="1" applyFont="1">
      <alignment readingOrder="0" vertical="center"/>
    </xf>
    <xf borderId="63" fillId="35" fontId="37" numFmtId="0" xfId="0" applyAlignment="1" applyBorder="1" applyFont="1">
      <alignment vertical="center"/>
    </xf>
    <xf borderId="61" fillId="35" fontId="37" numFmtId="49" xfId="0" applyAlignment="1" applyBorder="1" applyFont="1" applyNumberFormat="1">
      <alignment horizontal="center" readingOrder="0" vertical="center"/>
    </xf>
    <xf borderId="59" fillId="35" fontId="37" numFmtId="9" xfId="0" applyAlignment="1" applyBorder="1" applyFont="1" applyNumberFormat="1">
      <alignment horizontal="center" vertical="center"/>
    </xf>
    <xf borderId="59" fillId="35" fontId="37" numFmtId="49" xfId="0" applyAlignment="1" applyBorder="1" applyFont="1" applyNumberFormat="1">
      <alignment horizontal="center" vertical="center"/>
    </xf>
    <xf borderId="58" fillId="76" fontId="37" numFmtId="0" xfId="0" applyAlignment="1" applyBorder="1" applyFont="1">
      <alignment horizontal="center" readingOrder="0" shrinkToFit="0" vertical="center" wrapText="1"/>
    </xf>
    <xf borderId="61" fillId="33" fontId="37" numFmtId="0" xfId="0" applyAlignment="1" applyBorder="1" applyFont="1">
      <alignment readingOrder="0" vertical="center"/>
    </xf>
    <xf borderId="63" fillId="33" fontId="37" numFmtId="0" xfId="0" applyAlignment="1" applyBorder="1" applyFont="1">
      <alignment vertical="center"/>
    </xf>
    <xf borderId="59" fillId="33" fontId="37" numFmtId="49" xfId="0" applyAlignment="1" applyBorder="1" applyFont="1" applyNumberFormat="1">
      <alignment horizontal="center" vertical="center"/>
    </xf>
    <xf borderId="59" fillId="33" fontId="37" numFmtId="9" xfId="0" applyAlignment="1" applyBorder="1" applyFont="1" applyNumberFormat="1">
      <alignment horizontal="center" vertical="center"/>
    </xf>
    <xf borderId="1" fillId="33" fontId="37" numFmtId="49" xfId="0" applyAlignment="1" applyBorder="1" applyFont="1" applyNumberFormat="1">
      <alignment horizontal="center" readingOrder="0" vertical="center"/>
    </xf>
    <xf borderId="85" fillId="2" fontId="29" numFmtId="2" xfId="0" applyAlignment="1" applyBorder="1" applyFont="1" applyNumberFormat="1">
      <alignment horizontal="center" vertical="center"/>
    </xf>
    <xf borderId="58" fillId="77" fontId="39" numFmtId="0" xfId="0" applyAlignment="1" applyBorder="1" applyFont="1">
      <alignment horizontal="center" readingOrder="0" shrinkToFit="0" vertical="center" wrapText="1"/>
    </xf>
    <xf borderId="61" fillId="69" fontId="37" numFmtId="0" xfId="0" applyAlignment="1" applyBorder="1" applyFont="1">
      <alignment readingOrder="0" vertical="center"/>
    </xf>
    <xf borderId="63" fillId="69" fontId="37" numFmtId="0" xfId="0" applyAlignment="1" applyBorder="1" applyFont="1">
      <alignment vertical="center"/>
    </xf>
    <xf borderId="63" fillId="69" fontId="37" numFmtId="49" xfId="0" applyAlignment="1" applyBorder="1" applyFont="1" applyNumberFormat="1">
      <alignment horizontal="center" vertical="center"/>
    </xf>
    <xf borderId="59" fillId="69" fontId="37" numFmtId="9" xfId="0" applyAlignment="1" applyBorder="1" applyFont="1" applyNumberFormat="1">
      <alignment horizontal="center" vertical="center"/>
    </xf>
    <xf borderId="59" fillId="69" fontId="37" numFmtId="49" xfId="0" applyAlignment="1" applyBorder="1" applyFont="1" applyNumberFormat="1">
      <alignment horizontal="center" vertical="center"/>
    </xf>
    <xf borderId="1" fillId="69" fontId="37" numFmtId="49" xfId="0" applyAlignment="1" applyBorder="1" applyFont="1" applyNumberFormat="1">
      <alignment horizontal="center" readingOrder="0" vertical="center"/>
    </xf>
    <xf borderId="67" fillId="78" fontId="29" numFmtId="0" xfId="0" applyAlignment="1" applyBorder="1" applyFont="1">
      <alignment horizontal="center" readingOrder="0" vertical="center"/>
    </xf>
    <xf borderId="73" fillId="2" fontId="29" numFmtId="0" xfId="0" applyAlignment="1" applyBorder="1" applyFont="1">
      <alignment horizontal="center" vertical="center"/>
    </xf>
    <xf borderId="75" fillId="2" fontId="29" numFmtId="2" xfId="0" applyAlignment="1" applyBorder="1" applyFont="1" applyNumberFormat="1">
      <alignment horizontal="center" vertical="center"/>
    </xf>
    <xf borderId="0" fillId="0" fontId="30" numFmtId="0" xfId="0" applyAlignment="1" applyFont="1">
      <alignment readingOrder="0"/>
    </xf>
    <xf borderId="66" fillId="79" fontId="37" numFmtId="0" xfId="0" applyAlignment="1" applyBorder="1" applyFont="1">
      <alignment horizontal="left" readingOrder="0" shrinkToFit="0" vertical="center" wrapText="1"/>
    </xf>
    <xf borderId="58" fillId="79" fontId="33" numFmtId="0" xfId="0" applyAlignment="1" applyBorder="1" applyFont="1">
      <alignment horizontal="center" shrinkToFit="0" vertical="center" wrapText="1"/>
    </xf>
    <xf borderId="6" fillId="79" fontId="33" numFmtId="0" xfId="0" applyAlignment="1" applyBorder="1" applyFont="1">
      <alignment horizontal="center" shrinkToFit="0" vertical="center" wrapText="1"/>
    </xf>
    <xf borderId="6" fillId="79" fontId="33" numFmtId="0" xfId="0" applyAlignment="1" applyBorder="1" applyFont="1">
      <alignment horizontal="center" readingOrder="0" shrinkToFit="0" vertical="center" wrapText="1"/>
    </xf>
    <xf borderId="58" fillId="79" fontId="29" numFmtId="49" xfId="0" applyAlignment="1" applyBorder="1" applyFont="1" applyNumberFormat="1">
      <alignment horizontal="center" readingOrder="0" vertical="center"/>
    </xf>
    <xf borderId="60" fillId="0" fontId="29" numFmtId="4" xfId="0" applyAlignment="1" applyBorder="1" applyFont="1" applyNumberFormat="1">
      <alignment horizontal="center" readingOrder="0" shrinkToFit="0" vertical="center" wrapText="1"/>
    </xf>
    <xf borderId="1" fillId="80" fontId="42" numFmtId="0" xfId="0" applyAlignment="1" applyBorder="1" applyFont="1">
      <alignment horizontal="left" readingOrder="0" vertical="center"/>
    </xf>
    <xf borderId="66" fillId="16" fontId="37" numFmtId="0" xfId="0" applyAlignment="1" applyBorder="1" applyFont="1">
      <alignment horizontal="left" readingOrder="0" shrinkToFit="0" vertical="center" wrapText="1"/>
    </xf>
    <xf borderId="58" fillId="16" fontId="33" numFmtId="0" xfId="0" applyAlignment="1" applyBorder="1" applyFont="1">
      <alignment horizontal="center" shrinkToFit="0" vertical="center" wrapText="1"/>
    </xf>
    <xf borderId="6" fillId="16" fontId="33" numFmtId="0" xfId="0" applyAlignment="1" applyBorder="1" applyFont="1">
      <alignment horizontal="center" shrinkToFit="0" vertical="center" wrapText="1"/>
    </xf>
    <xf borderId="6" fillId="16" fontId="33" numFmtId="0" xfId="0" applyAlignment="1" applyBorder="1" applyFont="1">
      <alignment horizontal="center" readingOrder="0" shrinkToFit="0" vertical="center" wrapText="1"/>
    </xf>
    <xf borderId="1" fillId="71" fontId="42" numFmtId="0" xfId="0" applyAlignment="1" applyBorder="1" applyFont="1">
      <alignment horizontal="left" readingOrder="0" vertical="center"/>
    </xf>
    <xf borderId="66" fillId="70" fontId="37" numFmtId="0" xfId="0" applyAlignment="1" applyBorder="1" applyFont="1">
      <alignment horizontal="left" readingOrder="0" shrinkToFit="0" vertical="center" wrapText="1"/>
    </xf>
    <xf borderId="58" fillId="70" fontId="33" numFmtId="0" xfId="0" applyAlignment="1" applyBorder="1" applyFont="1">
      <alignment horizontal="center" shrinkToFit="0" vertical="center" wrapText="1"/>
    </xf>
    <xf borderId="6" fillId="70" fontId="33" numFmtId="0" xfId="0" applyAlignment="1" applyBorder="1" applyFont="1">
      <alignment horizontal="center" shrinkToFit="0" vertical="center" wrapText="1"/>
    </xf>
    <xf borderId="6" fillId="70" fontId="33" numFmtId="0" xfId="0" applyAlignment="1" applyBorder="1" applyFont="1">
      <alignment horizontal="center" readingOrder="0" shrinkToFit="0" vertical="center" wrapText="1"/>
    </xf>
    <xf borderId="88" fillId="2" fontId="29" numFmtId="2" xfId="0" applyAlignment="1" applyBorder="1" applyFont="1" applyNumberFormat="1">
      <alignment horizontal="center" vertical="center"/>
    </xf>
    <xf borderId="89" fillId="2" fontId="29" numFmtId="2" xfId="0" applyAlignment="1" applyBorder="1" applyFont="1" applyNumberFormat="1">
      <alignment horizontal="center" vertical="center"/>
    </xf>
    <xf borderId="1" fillId="0" fontId="40" numFmtId="0" xfId="0" applyAlignment="1" applyBorder="1" applyFont="1">
      <alignment horizontal="center" readingOrder="0" vertical="center"/>
    </xf>
    <xf borderId="4" fillId="0" fontId="15" numFmtId="0" xfId="0" applyAlignment="1" applyBorder="1" applyFont="1">
      <alignment horizontal="center" readingOrder="0" vertical="center"/>
    </xf>
    <xf borderId="4" fillId="0" fontId="15" numFmtId="0" xfId="0" applyAlignment="1" applyBorder="1" applyFont="1">
      <alignment horizontal="center" readingOrder="0" shrinkToFit="0" vertical="center" wrapText="1"/>
    </xf>
    <xf borderId="20" fillId="50" fontId="15" numFmtId="0" xfId="0" applyAlignment="1" applyBorder="1" applyFont="1">
      <alignment horizontal="center" readingOrder="0" vertical="center"/>
    </xf>
    <xf borderId="60" fillId="79" fontId="12" numFmtId="0" xfId="0" applyAlignment="1" applyBorder="1" applyFont="1">
      <alignment readingOrder="0" shrinkToFit="0" vertical="center" wrapText="1"/>
    </xf>
    <xf borderId="65" fillId="79" fontId="62" numFmtId="0" xfId="0" applyAlignment="1" applyBorder="1" applyFont="1">
      <alignment readingOrder="0" shrinkToFit="0" vertical="center" wrapText="1"/>
    </xf>
    <xf borderId="19" fillId="79" fontId="33" numFmtId="49" xfId="0" applyAlignment="1" applyBorder="1" applyFont="1" applyNumberFormat="1">
      <alignment horizontal="center" readingOrder="0" vertical="center"/>
    </xf>
    <xf borderId="60" fillId="0" fontId="39" numFmtId="0" xfId="0" applyAlignment="1" applyBorder="1" applyFont="1">
      <alignment readingOrder="0" shrinkToFit="0" vertical="center" wrapText="1"/>
    </xf>
    <xf borderId="20" fillId="80" fontId="15" numFmtId="0" xfId="0" applyAlignment="1" applyBorder="1" applyFont="1">
      <alignment horizontal="center" readingOrder="0" vertical="center"/>
    </xf>
    <xf borderId="60" fillId="16" fontId="12" numFmtId="0" xfId="0" applyAlignment="1" applyBorder="1" applyFont="1">
      <alignment readingOrder="0" shrinkToFit="0" vertical="center" wrapText="1"/>
    </xf>
    <xf borderId="65" fillId="16" fontId="62" numFmtId="0" xfId="0" applyAlignment="1" applyBorder="1" applyFont="1">
      <alignment readingOrder="0" shrinkToFit="0" vertical="center" wrapText="1"/>
    </xf>
    <xf borderId="20" fillId="71" fontId="15" numFmtId="0" xfId="0" applyAlignment="1" applyBorder="1" applyFont="1">
      <alignment horizontal="center" readingOrder="0" vertical="center"/>
    </xf>
    <xf borderId="60" fillId="70" fontId="12" numFmtId="0" xfId="0" applyAlignment="1" applyBorder="1" applyFont="1">
      <alignment readingOrder="0" shrinkToFit="0" vertical="center" wrapText="1"/>
    </xf>
    <xf borderId="65" fillId="70" fontId="62" numFmtId="0" xfId="0" applyAlignment="1" applyBorder="1" applyFont="1">
      <alignment readingOrder="0" shrinkToFit="0" vertical="center" wrapText="1"/>
    </xf>
    <xf borderId="0" fillId="0" fontId="73" numFmtId="0" xfId="0" applyAlignment="1" applyFont="1">
      <alignment horizontal="left" readingOrder="0"/>
    </xf>
    <xf borderId="0" fillId="0" fontId="33" numFmtId="0" xfId="0" applyFont="1"/>
    <xf borderId="0" fillId="0" fontId="73" numFmtId="0" xfId="0" applyAlignment="1" applyFont="1">
      <alignment readingOrder="0"/>
    </xf>
    <xf borderId="59" fillId="0" fontId="39" numFmtId="0" xfId="0" applyBorder="1" applyFont="1"/>
    <xf borderId="59" fillId="0" fontId="39" numFmtId="2" xfId="0" applyBorder="1" applyFont="1" applyNumberFormat="1"/>
    <xf borderId="0" fillId="0" fontId="33" numFmtId="0" xfId="0" applyAlignment="1" applyFont="1">
      <alignment horizontal="left"/>
    </xf>
    <xf borderId="61" fillId="86" fontId="37" numFmtId="0" xfId="0" applyAlignment="1" applyBorder="1" applyFont="1">
      <alignment horizontal="left" readingOrder="0"/>
    </xf>
    <xf borderId="62" fillId="86" fontId="74" numFmtId="0" xfId="0" applyBorder="1" applyFont="1"/>
    <xf borderId="62" fillId="86" fontId="39" numFmtId="0" xfId="0" applyBorder="1" applyFont="1"/>
    <xf borderId="63" fillId="86" fontId="37" numFmtId="0" xfId="0" applyAlignment="1" applyBorder="1" applyFont="1">
      <alignment horizontal="right" readingOrder="0"/>
    </xf>
    <xf borderId="1" fillId="0" fontId="37" numFmtId="0" xfId="0" applyAlignment="1" applyBorder="1" applyFont="1">
      <alignment horizontal="left" readingOrder="0" vertical="center"/>
    </xf>
    <xf borderId="2" fillId="0" fontId="74" numFmtId="0" xfId="0" applyBorder="1" applyFont="1"/>
    <xf borderId="2" fillId="0" fontId="39" numFmtId="0" xfId="0" applyBorder="1" applyFont="1"/>
    <xf borderId="4" fillId="0" fontId="37" numFmtId="4" xfId="0" applyAlignment="1" applyBorder="1" applyFont="1" applyNumberFormat="1">
      <alignment horizontal="right" vertical="center"/>
    </xf>
    <xf borderId="0" fillId="0" fontId="39" numFmtId="0" xfId="0" applyAlignment="1" applyFont="1">
      <alignment horizontal="left"/>
    </xf>
    <xf borderId="0" fillId="0" fontId="39" numFmtId="0" xfId="0" applyFont="1"/>
    <xf borderId="61" fillId="35" fontId="37" numFmtId="0" xfId="0" applyAlignment="1" applyBorder="1" applyFont="1">
      <alignment horizontal="left" readingOrder="0"/>
    </xf>
    <xf borderId="62" fillId="35" fontId="74" numFmtId="0" xfId="0" applyBorder="1" applyFont="1"/>
    <xf borderId="62" fillId="35" fontId="39" numFmtId="0" xfId="0" applyBorder="1" applyFont="1"/>
    <xf borderId="63" fillId="35" fontId="37" numFmtId="0" xfId="0" applyAlignment="1" applyBorder="1" applyFont="1">
      <alignment horizontal="right" readingOrder="0"/>
    </xf>
    <xf borderId="59" fillId="0" fontId="39" numFmtId="2" xfId="0" applyAlignment="1" applyBorder="1" applyFont="1" applyNumberFormat="1">
      <alignment readingOrder="0"/>
    </xf>
    <xf borderId="0" fillId="0" fontId="74" numFmtId="0" xfId="0" applyFont="1"/>
    <xf borderId="61" fillId="75" fontId="46" numFmtId="0" xfId="0" applyAlignment="1" applyBorder="1" applyFont="1">
      <alignment horizontal="left" readingOrder="0"/>
    </xf>
    <xf borderId="62" fillId="75" fontId="75" numFmtId="0" xfId="0" applyBorder="1" applyFont="1"/>
    <xf borderId="62" fillId="75" fontId="46" numFmtId="0" xfId="0" applyBorder="1" applyFont="1"/>
    <xf borderId="63" fillId="75" fontId="46" numFmtId="0" xfId="0" applyAlignment="1" applyBorder="1" applyFont="1">
      <alignment horizontal="right" readingOrder="0"/>
    </xf>
    <xf borderId="59" fillId="26" fontId="39" numFmtId="0" xfId="0" applyAlignment="1" applyBorder="1" applyFont="1">
      <alignment horizontal="left" readingOrder="0" shrinkToFit="0" vertical="center" wrapText="1"/>
    </xf>
    <xf borderId="59" fillId="26" fontId="39" numFmtId="0" xfId="0" applyAlignment="1" applyBorder="1" applyFont="1">
      <alignment horizontal="right" readingOrder="0" shrinkToFit="0" vertical="center" wrapText="1"/>
    </xf>
    <xf borderId="59" fillId="0" fontId="39" numFmtId="4" xfId="0" applyAlignment="1" applyBorder="1" applyFont="1" applyNumberFormat="1">
      <alignment horizontal="right"/>
    </xf>
    <xf borderId="0" fillId="0" fontId="39" numFmtId="0" xfId="0" applyAlignment="1" applyFont="1">
      <alignment horizontal="right"/>
    </xf>
    <xf borderId="0" fillId="0" fontId="74" numFmtId="0" xfId="0" applyAlignment="1" applyFont="1">
      <alignment horizontal="right"/>
    </xf>
    <xf borderId="61" fillId="26" fontId="39" numFmtId="0" xfId="0" applyAlignment="1" applyBorder="1" applyFont="1">
      <alignment horizontal="left" readingOrder="0"/>
    </xf>
    <xf borderId="62" fillId="26" fontId="74" numFmtId="0" xfId="0" applyAlignment="1" applyBorder="1" applyFont="1">
      <alignment horizontal="right"/>
    </xf>
    <xf borderId="62" fillId="26" fontId="39" numFmtId="0" xfId="0" applyAlignment="1" applyBorder="1" applyFont="1">
      <alignment horizontal="right"/>
    </xf>
    <xf borderId="63" fillId="26" fontId="39" numFmtId="0" xfId="0" applyAlignment="1" applyBorder="1" applyFont="1">
      <alignment horizontal="right" readingOrder="0"/>
    </xf>
    <xf borderId="2" fillId="0" fontId="74" numFmtId="0" xfId="0" applyAlignment="1" applyBorder="1" applyFont="1">
      <alignment horizontal="right"/>
    </xf>
    <xf borderId="2" fillId="0" fontId="39" numFmtId="0" xfId="0" applyAlignment="1" applyBorder="1" applyFont="1">
      <alignment horizontal="right"/>
    </xf>
    <xf borderId="0" fillId="0" fontId="33" numFmtId="0" xfId="0" applyAlignment="1" applyFont="1">
      <alignment horizontal="right"/>
    </xf>
    <xf borderId="59" fillId="16" fontId="39" numFmtId="0" xfId="0" applyAlignment="1" applyBorder="1" applyFont="1">
      <alignment horizontal="left" readingOrder="0" shrinkToFit="0" vertical="center" wrapText="1"/>
    </xf>
    <xf borderId="59" fillId="16" fontId="39" numFmtId="0" xfId="0" applyAlignment="1" applyBorder="1" applyFont="1">
      <alignment horizontal="right" readingOrder="0" shrinkToFit="0" vertical="center" wrapText="1"/>
    </xf>
    <xf borderId="61" fillId="16" fontId="37" numFmtId="0" xfId="0" applyAlignment="1" applyBorder="1" applyFont="1">
      <alignment horizontal="left" readingOrder="0"/>
    </xf>
    <xf borderId="62" fillId="16" fontId="74" numFmtId="0" xfId="0" applyAlignment="1" applyBorder="1" applyFont="1">
      <alignment horizontal="right"/>
    </xf>
    <xf borderId="62" fillId="16" fontId="39" numFmtId="0" xfId="0" applyAlignment="1" applyBorder="1" applyFont="1">
      <alignment horizontal="right"/>
    </xf>
    <xf borderId="63" fillId="16" fontId="37" numFmtId="0" xfId="0" applyAlignment="1" applyBorder="1" applyFont="1">
      <alignment horizontal="right" readingOrder="0"/>
    </xf>
    <xf borderId="0" fillId="0" fontId="73" numFmtId="0" xfId="0" applyAlignment="1" applyFont="1">
      <alignment horizontal="left"/>
    </xf>
    <xf borderId="59" fillId="91" fontId="46" numFmtId="0" xfId="0" applyAlignment="1" applyBorder="1" applyFill="1" applyFont="1">
      <alignment horizontal="left" readingOrder="0" shrinkToFit="0" vertical="center" wrapText="1"/>
    </xf>
    <xf borderId="59" fillId="91" fontId="46" numFmtId="0" xfId="0" applyAlignment="1" applyBorder="1" applyFont="1">
      <alignment horizontal="right" readingOrder="0" shrinkToFit="0" vertical="center" wrapText="1"/>
    </xf>
    <xf borderId="59" fillId="0" fontId="39" numFmtId="2" xfId="0" applyAlignment="1" applyBorder="1" applyFont="1" applyNumberFormat="1">
      <alignment horizontal="right"/>
    </xf>
    <xf borderId="0" fillId="0" fontId="74" numFmtId="0" xfId="0" applyAlignment="1" applyFont="1">
      <alignment horizontal="left"/>
    </xf>
    <xf borderId="61" fillId="91" fontId="46" numFmtId="0" xfId="0" applyAlignment="1" applyBorder="1" applyFont="1">
      <alignment horizontal="left" readingOrder="0"/>
    </xf>
    <xf borderId="62" fillId="91" fontId="75" numFmtId="0" xfId="0" applyAlignment="1" applyBorder="1" applyFont="1">
      <alignment horizontal="right"/>
    </xf>
    <xf borderId="62" fillId="91" fontId="46" numFmtId="0" xfId="0" applyAlignment="1" applyBorder="1" applyFont="1">
      <alignment horizontal="right"/>
    </xf>
    <xf borderId="63" fillId="91" fontId="46" numFmtId="0" xfId="0" applyAlignment="1" applyBorder="1" applyFont="1">
      <alignment horizontal="right" readingOrder="0"/>
    </xf>
    <xf borderId="0" fillId="0" fontId="10" numFmtId="0" xfId="0" applyAlignment="1" applyFont="1">
      <alignment horizontal="left"/>
    </xf>
    <xf borderId="59" fillId="0" fontId="39" numFmtId="0" xfId="0" applyAlignment="1" applyBorder="1" applyFont="1">
      <alignment horizontal="right"/>
    </xf>
    <xf borderId="61" fillId="81" fontId="46" numFmtId="0" xfId="0" applyAlignment="1" applyBorder="1" applyFont="1">
      <alignment horizontal="left" readingOrder="0"/>
    </xf>
    <xf borderId="62" fillId="81" fontId="75" numFmtId="0" xfId="0" applyAlignment="1" applyBorder="1" applyFont="1">
      <alignment horizontal="right"/>
    </xf>
    <xf borderId="62" fillId="81" fontId="46" numFmtId="0" xfId="0" applyAlignment="1" applyBorder="1" applyFont="1">
      <alignment horizontal="right"/>
    </xf>
    <xf borderId="63" fillId="81" fontId="46" numFmtId="0" xfId="0" applyAlignment="1" applyBorder="1" applyFont="1">
      <alignment horizontal="right" readingOrder="0"/>
    </xf>
    <xf borderId="0" fillId="0" fontId="30" numFmtId="0" xfId="0" applyAlignment="1" applyFont="1">
      <alignment horizontal="left" readingOrder="0" vertical="center"/>
    </xf>
    <xf borderId="61" fillId="92" fontId="43" numFmtId="0" xfId="0" applyAlignment="1" applyBorder="1" applyFill="1" applyFont="1">
      <alignment horizontal="left" readingOrder="0" vertical="center"/>
    </xf>
    <xf borderId="62" fillId="92" fontId="74" numFmtId="0" xfId="0" applyAlignment="1" applyBorder="1" applyFont="1">
      <alignment horizontal="right"/>
    </xf>
    <xf borderId="63" fillId="92" fontId="43" numFmtId="0" xfId="0" applyAlignment="1" applyBorder="1" applyFont="1">
      <alignment horizontal="right" readingOrder="0" vertical="center"/>
    </xf>
    <xf borderId="23" fillId="0" fontId="39" numFmtId="0" xfId="0" applyAlignment="1" applyBorder="1" applyFont="1">
      <alignment horizontal="left" readingOrder="0"/>
    </xf>
    <xf borderId="23" fillId="0" fontId="39" numFmtId="0" xfId="0" applyAlignment="1" applyBorder="1" applyFont="1">
      <alignment horizontal="right"/>
    </xf>
    <xf borderId="59" fillId="92" fontId="39" numFmtId="0" xfId="0" applyAlignment="1" applyBorder="1" applyFont="1">
      <alignment horizontal="left" readingOrder="0" shrinkToFit="0" vertical="center" wrapText="1"/>
    </xf>
    <xf borderId="59" fillId="92" fontId="39" numFmtId="0" xfId="0" applyAlignment="1" applyBorder="1" applyFont="1">
      <alignment horizontal="right" readingOrder="0" shrinkToFit="0" vertical="center" wrapText="1"/>
    </xf>
    <xf borderId="18" fillId="0" fontId="55" numFmtId="0" xfId="0" applyAlignment="1" applyBorder="1" applyFont="1">
      <alignment horizontal="right"/>
    </xf>
    <xf borderId="61" fillId="71" fontId="43" numFmtId="0" xfId="0" applyAlignment="1" applyBorder="1" applyFont="1">
      <alignment horizontal="left" readingOrder="0" vertical="center"/>
    </xf>
    <xf borderId="62" fillId="71" fontId="74" numFmtId="0" xfId="0" applyAlignment="1" applyBorder="1" applyFont="1">
      <alignment horizontal="right"/>
    </xf>
    <xf borderId="63" fillId="71" fontId="43" numFmtId="0" xfId="0" applyAlignment="1" applyBorder="1" applyFont="1">
      <alignment horizontal="right" readingOrder="0" vertical="center"/>
    </xf>
    <xf borderId="61" fillId="93" fontId="37" numFmtId="0" xfId="0" applyAlignment="1" applyBorder="1" applyFill="1" applyFont="1">
      <alignment horizontal="left" readingOrder="0"/>
    </xf>
    <xf borderId="62" fillId="93" fontId="76" numFmtId="0" xfId="0" applyAlignment="1" applyBorder="1" applyFont="1">
      <alignment horizontal="right"/>
    </xf>
    <xf borderId="62" fillId="93" fontId="37" numFmtId="0" xfId="0" applyAlignment="1" applyBorder="1" applyFont="1">
      <alignment horizontal="right"/>
    </xf>
    <xf borderId="63" fillId="93" fontId="37" numFmtId="0" xfId="0" applyAlignment="1" applyBorder="1" applyFont="1">
      <alignment horizontal="right" readingOrder="0"/>
    </xf>
    <xf borderId="59" fillId="93" fontId="39" numFmtId="0" xfId="0" applyAlignment="1" applyBorder="1" applyFont="1">
      <alignment horizontal="left" readingOrder="0" shrinkToFit="0" vertical="center" wrapText="1"/>
    </xf>
    <xf borderId="59" fillId="93" fontId="39" numFmtId="0" xfId="0" applyAlignment="1" applyBorder="1" applyFont="1">
      <alignment horizontal="right" readingOrder="0" shrinkToFit="0" vertical="center" wrapText="1"/>
    </xf>
    <xf borderId="61" fillId="20" fontId="37" numFmtId="0" xfId="0" applyAlignment="1" applyBorder="1" applyFont="1">
      <alignment horizontal="left" readingOrder="0"/>
    </xf>
    <xf borderId="62" fillId="20" fontId="76" numFmtId="0" xfId="0" applyAlignment="1" applyBorder="1" applyFont="1">
      <alignment horizontal="right"/>
    </xf>
    <xf borderId="62" fillId="20" fontId="37" numFmtId="0" xfId="0" applyAlignment="1" applyBorder="1" applyFont="1">
      <alignment horizontal="right"/>
    </xf>
    <xf borderId="63" fillId="20" fontId="37" numFmtId="0" xfId="0" applyAlignment="1" applyBorder="1" applyFont="1">
      <alignment horizontal="right" readingOrder="0"/>
    </xf>
    <xf borderId="61" fillId="15" fontId="37" numFmtId="0" xfId="0" applyAlignment="1" applyBorder="1" applyFont="1">
      <alignment horizontal="left" readingOrder="0"/>
    </xf>
    <xf borderId="62" fillId="15" fontId="76" numFmtId="0" xfId="0" applyAlignment="1" applyBorder="1" applyFont="1">
      <alignment horizontal="right"/>
    </xf>
    <xf borderId="62" fillId="15" fontId="37" numFmtId="0" xfId="0" applyAlignment="1" applyBorder="1" applyFont="1">
      <alignment horizontal="right"/>
    </xf>
    <xf borderId="63" fillId="15" fontId="37" numFmtId="0" xfId="0" applyAlignment="1" applyBorder="1" applyFont="1">
      <alignment horizontal="right" readingOrder="0"/>
    </xf>
    <xf borderId="59" fillId="15" fontId="39" numFmtId="0" xfId="0" applyAlignment="1" applyBorder="1" applyFont="1">
      <alignment horizontal="left" readingOrder="0" shrinkToFit="0" vertical="center" wrapText="1"/>
    </xf>
    <xf borderId="59" fillId="15" fontId="39" numFmtId="0" xfId="0" applyAlignment="1" applyBorder="1" applyFont="1">
      <alignment horizontal="right" readingOrder="0" shrinkToFit="0" vertical="center" wrapText="1"/>
    </xf>
    <xf borderId="59" fillId="67" fontId="39" numFmtId="0" xfId="0" applyAlignment="1" applyBorder="1" applyFont="1">
      <alignment horizontal="left" readingOrder="0" shrinkToFit="0" vertical="center" wrapText="1"/>
    </xf>
    <xf borderId="59" fillId="67" fontId="39" numFmtId="0" xfId="0" applyAlignment="1" applyBorder="1" applyFont="1">
      <alignment horizontal="right" readingOrder="0" shrinkToFit="0" vertical="center" wrapText="1"/>
    </xf>
    <xf borderId="61" fillId="67" fontId="37" numFmtId="0" xfId="0" applyAlignment="1" applyBorder="1" applyFont="1">
      <alignment horizontal="left" readingOrder="0"/>
    </xf>
    <xf borderId="62" fillId="67" fontId="76" numFmtId="0" xfId="0" applyAlignment="1" applyBorder="1" applyFont="1">
      <alignment horizontal="right"/>
    </xf>
    <xf borderId="62" fillId="67" fontId="37" numFmtId="0" xfId="0" applyAlignment="1" applyBorder="1" applyFont="1">
      <alignment horizontal="right"/>
    </xf>
    <xf borderId="63" fillId="67" fontId="37" numFmtId="0" xfId="0" applyAlignment="1" applyBorder="1" applyFont="1">
      <alignment horizontal="right" readingOrder="0"/>
    </xf>
    <xf borderId="59" fillId="94" fontId="39" numFmtId="0" xfId="0" applyAlignment="1" applyBorder="1" applyFill="1" applyFont="1">
      <alignment horizontal="left" readingOrder="0" shrinkToFit="0" vertical="center" wrapText="1"/>
    </xf>
    <xf borderId="59" fillId="94" fontId="39" numFmtId="0" xfId="0" applyAlignment="1" applyBorder="1" applyFont="1">
      <alignment horizontal="right" readingOrder="0" shrinkToFit="0" vertical="center" wrapText="1"/>
    </xf>
    <xf borderId="61" fillId="95" fontId="37" numFmtId="0" xfId="0" applyAlignment="1" applyBorder="1" applyFill="1" applyFont="1">
      <alignment horizontal="left" readingOrder="0"/>
    </xf>
    <xf borderId="62" fillId="95" fontId="76" numFmtId="0" xfId="0" applyAlignment="1" applyBorder="1" applyFont="1">
      <alignment horizontal="right"/>
    </xf>
    <xf borderId="62" fillId="95" fontId="37" numFmtId="0" xfId="0" applyAlignment="1" applyBorder="1" applyFont="1">
      <alignment horizontal="right"/>
    </xf>
    <xf borderId="63" fillId="95" fontId="37" numFmtId="0" xfId="0" applyAlignment="1" applyBorder="1" applyFont="1">
      <alignment horizontal="right" readingOrder="0"/>
    </xf>
    <xf borderId="23" fillId="0" fontId="73" numFmtId="0" xfId="0" applyAlignment="1" applyBorder="1" applyFont="1">
      <alignment readingOrder="0" vertical="bottom"/>
    </xf>
    <xf borderId="60" fillId="7" fontId="39" numFmtId="0" xfId="0" applyAlignment="1" applyBorder="1" applyFont="1">
      <alignment readingOrder="0" shrinkToFit="0" wrapText="1"/>
    </xf>
    <xf borderId="21" fillId="7" fontId="39" numFmtId="0" xfId="0" applyAlignment="1" applyBorder="1" applyFont="1">
      <alignment horizontal="right" readingOrder="0" shrinkToFit="0" wrapText="1"/>
    </xf>
    <xf borderId="60" fillId="0" fontId="39" numFmtId="0" xfId="0" applyAlignment="1" applyBorder="1" applyFont="1">
      <alignment vertical="bottom"/>
    </xf>
    <xf borderId="21" fillId="0" fontId="39" numFmtId="4" xfId="0" applyAlignment="1" applyBorder="1" applyFont="1" applyNumberFormat="1">
      <alignment horizontal="right" vertical="bottom"/>
    </xf>
    <xf borderId="0" fillId="0" fontId="29" numFmtId="0" xfId="0" applyAlignment="1" applyFont="1">
      <alignment horizontal="left" vertical="center"/>
    </xf>
    <xf borderId="0" fillId="0" fontId="29" numFmtId="4" xfId="0" applyFont="1" applyNumberFormat="1"/>
    <xf borderId="61" fillId="87" fontId="30" numFmtId="0" xfId="0" applyAlignment="1" applyBorder="1" applyFont="1">
      <alignment readingOrder="0"/>
    </xf>
    <xf borderId="63" fillId="87" fontId="42" numFmtId="0" xfId="0" applyAlignment="1" applyBorder="1" applyFont="1">
      <alignment readingOrder="0"/>
    </xf>
    <xf borderId="61" fillId="35" fontId="30" numFmtId="0" xfId="0" applyAlignment="1" applyBorder="1" applyFont="1">
      <alignment readingOrder="0" vertical="center"/>
    </xf>
    <xf borderId="63" fillId="35" fontId="42" numFmtId="0" xfId="0" applyAlignment="1" applyBorder="1" applyFont="1">
      <alignment readingOrder="0" vertical="center"/>
    </xf>
    <xf borderId="61" fillId="71" fontId="30" numFmtId="0" xfId="0" applyAlignment="1" applyBorder="1" applyFont="1">
      <alignment readingOrder="0" vertical="center"/>
    </xf>
    <xf borderId="63" fillId="71" fontId="42" numFmtId="0" xfId="0" applyAlignment="1" applyBorder="1" applyFont="1">
      <alignment readingOrder="0" vertical="center"/>
    </xf>
    <xf borderId="4" fillId="0" fontId="29" numFmtId="4" xfId="0" applyAlignment="1" applyBorder="1" applyFont="1" applyNumberFormat="1">
      <alignment horizontal="right" vertical="center"/>
    </xf>
    <xf borderId="1" fillId="0" fontId="29" numFmtId="0" xfId="0" applyAlignment="1" applyBorder="1" applyFont="1">
      <alignment readingOrder="0" shrinkToFit="0" wrapText="1"/>
    </xf>
    <xf borderId="4" fillId="0" fontId="29" numFmtId="4" xfId="0" applyBorder="1" applyFont="1" applyNumberFormat="1"/>
    <xf borderId="1" fillId="0" fontId="77" numFmtId="0" xfId="0" applyAlignment="1" applyBorder="1" applyFont="1">
      <alignment horizontal="left" readingOrder="0" shrinkToFit="0" wrapText="1"/>
    </xf>
    <xf borderId="4" fillId="0" fontId="29" numFmtId="4" xfId="0" applyAlignment="1" applyBorder="1" applyFont="1" applyNumberFormat="1">
      <alignment horizontal="right" readingOrder="0" vertical="center"/>
    </xf>
    <xf borderId="4" fillId="0" fontId="29" numFmtId="4" xfId="0" applyAlignment="1" applyBorder="1" applyFont="1" applyNumberFormat="1">
      <alignment horizontal="right"/>
    </xf>
    <xf borderId="4" fillId="0" fontId="29" numFmtId="4" xfId="0" applyAlignment="1" applyBorder="1" applyFont="1" applyNumberFormat="1">
      <alignment horizontal="right" readingOrder="0"/>
    </xf>
    <xf borderId="1" fillId="0" fontId="29" numFmtId="0" xfId="0" applyAlignment="1" applyBorder="1" applyFont="1">
      <alignment readingOrder="0" shrinkToFit="0" wrapText="0"/>
    </xf>
    <xf borderId="4" fillId="0" fontId="29" numFmtId="4" xfId="0" applyAlignment="1" applyBorder="1" applyFont="1" applyNumberFormat="1">
      <alignment readingOrder="0"/>
    </xf>
    <xf borderId="63" fillId="35" fontId="42" numFmtId="0" xfId="0" applyAlignment="1" applyBorder="1" applyFont="1">
      <alignment vertical="center"/>
    </xf>
    <xf borderId="0" fillId="0" fontId="40" numFmtId="0" xfId="0" applyAlignment="1" applyFont="1">
      <alignment readingOrder="0" vertical="bottom"/>
    </xf>
    <xf borderId="0" fillId="0" fontId="5" numFmtId="4" xfId="0" applyAlignment="1" applyFont="1" applyNumberFormat="1">
      <alignment vertical="bottom"/>
    </xf>
    <xf borderId="0" fillId="0" fontId="29" numFmtId="3" xfId="0" applyAlignment="1" applyFont="1" applyNumberFormat="1">
      <alignment horizontal="right" vertical="center"/>
    </xf>
    <xf borderId="23" fillId="0" fontId="5" numFmtId="4" xfId="0" applyAlignment="1" applyBorder="1" applyFont="1" applyNumberFormat="1">
      <alignment vertical="bottom"/>
    </xf>
    <xf borderId="65" fillId="0" fontId="33" numFmtId="0" xfId="0" applyAlignment="1" applyBorder="1" applyFont="1">
      <alignment readingOrder="0" vertical="center"/>
    </xf>
    <xf borderId="2" fillId="0" fontId="33" numFmtId="4" xfId="0" applyAlignment="1" applyBorder="1" applyFont="1" applyNumberFormat="1">
      <alignment horizontal="center" readingOrder="0" vertical="bottom"/>
    </xf>
    <xf borderId="23" fillId="0" fontId="33" numFmtId="0" xfId="0" applyAlignment="1" applyBorder="1" applyFont="1">
      <alignment horizontal="center" readingOrder="0" vertical="bottom"/>
    </xf>
    <xf borderId="23" fillId="0" fontId="33" numFmtId="4" xfId="0" applyAlignment="1" applyBorder="1" applyFont="1" applyNumberFormat="1">
      <alignment horizontal="center" readingOrder="0" vertical="bottom"/>
    </xf>
    <xf borderId="21" fillId="0" fontId="33" numFmtId="4" xfId="0" applyAlignment="1" applyBorder="1" applyFont="1" applyNumberFormat="1">
      <alignment horizontal="center" readingOrder="0" vertical="bottom"/>
    </xf>
    <xf borderId="60" fillId="0" fontId="33" numFmtId="0" xfId="0" applyAlignment="1" applyBorder="1" applyFont="1">
      <alignment readingOrder="0" vertical="bottom"/>
    </xf>
    <xf borderId="23" fillId="0" fontId="33" numFmtId="4" xfId="0" applyAlignment="1" applyBorder="1" applyFont="1" applyNumberFormat="1">
      <alignment horizontal="center" vertical="bottom"/>
    </xf>
    <xf borderId="21" fillId="0" fontId="33" numFmtId="4" xfId="0" applyAlignment="1" applyBorder="1" applyFont="1" applyNumberFormat="1">
      <alignment horizontal="center" vertical="bottom"/>
    </xf>
    <xf borderId="23" fillId="0" fontId="33" numFmtId="2" xfId="0" applyAlignment="1" applyBorder="1" applyFont="1" applyNumberFormat="1">
      <alignment horizontal="center" vertical="bottom"/>
    </xf>
    <xf borderId="0" fillId="0" fontId="29" numFmtId="4" xfId="0" applyAlignment="1" applyFont="1" applyNumberFormat="1">
      <alignment horizontal="right"/>
    </xf>
    <xf borderId="0" fillId="0" fontId="10" numFmtId="0" xfId="0" applyAlignment="1" applyFont="1">
      <alignment readingOrder="0" vertical="center"/>
    </xf>
    <xf borderId="1" fillId="35" fontId="30" numFmtId="0" xfId="0" applyAlignment="1" applyBorder="1" applyFont="1">
      <alignment horizontal="center" readingOrder="0" shrinkToFit="0" vertical="center" wrapText="0"/>
    </xf>
    <xf borderId="2" fillId="35" fontId="30" numFmtId="0" xfId="0" applyAlignment="1" applyBorder="1" applyFont="1">
      <alignment horizontal="center" readingOrder="0" shrinkToFit="0" vertical="center" wrapText="0"/>
    </xf>
    <xf borderId="2" fillId="35" fontId="30" numFmtId="0" xfId="0" applyAlignment="1" applyBorder="1" applyFont="1">
      <alignment horizontal="center" readingOrder="0" shrinkToFit="0" vertical="center" wrapText="1"/>
    </xf>
    <xf borderId="4" fillId="35" fontId="30" numFmtId="0" xfId="0" applyAlignment="1" applyBorder="1" applyFont="1">
      <alignment horizontal="center" readingOrder="0" shrinkToFit="0" vertical="center" wrapText="0"/>
    </xf>
    <xf borderId="0" fillId="0" fontId="23" numFmtId="0" xfId="0" applyAlignment="1" applyFont="1">
      <alignment readingOrder="0" shrinkToFit="0" vertical="center" wrapText="1"/>
    </xf>
    <xf borderId="0" fillId="0" fontId="10" numFmtId="0" xfId="0" applyAlignment="1" applyFont="1">
      <alignment readingOrder="0" shrinkToFit="0" vertical="center" wrapText="1"/>
    </xf>
    <xf borderId="1" fillId="35" fontId="30" numFmtId="0" xfId="0" applyAlignment="1" applyBorder="1" applyFont="1">
      <alignment horizontal="center" readingOrder="0" shrinkToFit="0" vertical="center" wrapText="1"/>
    </xf>
    <xf borderId="4" fillId="35" fontId="30" numFmtId="0" xfId="0" applyAlignment="1" applyBorder="1" applyFont="1">
      <alignment horizontal="center" readingOrder="0" shrinkToFit="0" vertical="center" wrapText="1"/>
    </xf>
    <xf borderId="0" fillId="0" fontId="23" numFmtId="0" xfId="0" applyAlignment="1" applyFont="1">
      <alignment readingOrder="0" vertical="center"/>
    </xf>
    <xf borderId="20" fillId="0" fontId="29" numFmtId="0" xfId="0" applyAlignment="1" applyBorder="1" applyFont="1">
      <alignment horizontal="right" readingOrder="0" shrinkToFit="0" vertical="bottom" wrapText="0"/>
    </xf>
    <xf borderId="23" fillId="0" fontId="29" numFmtId="0" xfId="0" applyAlignment="1" applyBorder="1" applyFont="1">
      <alignment readingOrder="0" shrinkToFit="0" vertical="bottom" wrapText="0"/>
    </xf>
    <xf borderId="2" fillId="0" fontId="33" numFmtId="0" xfId="0" applyAlignment="1" applyBorder="1" applyFont="1">
      <alignment readingOrder="0" vertical="bottom"/>
    </xf>
    <xf borderId="23" fillId="0" fontId="29" numFmtId="0" xfId="0" applyAlignment="1" applyBorder="1" applyFont="1">
      <alignment horizontal="center" readingOrder="0" shrinkToFit="0" vertical="bottom" wrapText="0"/>
    </xf>
    <xf borderId="21" fillId="0" fontId="29" numFmtId="0" xfId="0" applyAlignment="1" applyBorder="1" applyFont="1">
      <alignment horizontal="left" readingOrder="0" shrinkToFit="0" vertical="bottom" wrapText="0"/>
    </xf>
    <xf borderId="20" fillId="0" fontId="29" numFmtId="0" xfId="0" applyAlignment="1" applyBorder="1" applyFont="1">
      <alignment horizontal="right" readingOrder="0" shrinkToFit="0" vertical="center" wrapText="0"/>
    </xf>
    <xf borderId="23" fillId="0" fontId="29" numFmtId="0" xfId="0" applyAlignment="1" applyBorder="1" applyFont="1">
      <alignment readingOrder="0" shrinkToFit="0" vertical="center" wrapText="0"/>
    </xf>
    <xf borderId="2" fillId="0" fontId="33" numFmtId="0" xfId="0" applyAlignment="1" applyBorder="1" applyFont="1">
      <alignment readingOrder="0" vertical="center"/>
    </xf>
    <xf borderId="23" fillId="0" fontId="29" numFmtId="0" xfId="0" applyAlignment="1" applyBorder="1" applyFont="1">
      <alignment horizontal="center" readingOrder="0" shrinkToFit="0" vertical="center" wrapText="0"/>
    </xf>
    <xf borderId="21" fillId="0" fontId="29" numFmtId="0" xfId="0" applyAlignment="1" applyBorder="1" applyFont="1">
      <alignment horizontal="left" readingOrder="0" shrinkToFit="0" vertical="center" wrapText="0"/>
    </xf>
    <xf borderId="0" fillId="0" fontId="58" numFmtId="0" xfId="0" applyAlignment="1" applyFont="1">
      <alignment readingOrder="0"/>
    </xf>
    <xf borderId="1" fillId="18" fontId="10" numFmtId="0" xfId="0" applyBorder="1" applyFont="1"/>
    <xf borderId="2" fillId="18" fontId="10" numFmtId="0" xfId="0" applyAlignment="1" applyBorder="1" applyFont="1">
      <alignment readingOrder="0"/>
    </xf>
    <xf borderId="2" fillId="18" fontId="33" numFmtId="0" xfId="0" applyAlignment="1" applyBorder="1" applyFont="1">
      <alignment readingOrder="0" vertical="bottom"/>
    </xf>
    <xf borderId="2" fillId="18" fontId="10" numFmtId="0" xfId="0" applyBorder="1" applyFont="1"/>
    <xf borderId="4" fillId="18" fontId="10" numFmtId="0" xfId="0" applyBorder="1" applyFont="1"/>
    <xf borderId="0" fillId="0" fontId="33" numFmtId="0" xfId="0" applyFont="1"/>
    <xf borderId="0" fillId="0" fontId="33" numFmtId="0" xfId="0" applyAlignment="1" applyFont="1">
      <alignment vertical="bottom"/>
    </xf>
    <xf borderId="0" fillId="0" fontId="33" numFmtId="0" xfId="0" applyAlignment="1" applyFont="1">
      <alignment horizontal="right" readingOrder="0"/>
    </xf>
    <xf borderId="0" fillId="0" fontId="33" numFmtId="0" xfId="0" applyAlignment="1" applyFont="1">
      <alignment horizontal="right" readingOrder="0" vertical="bottom"/>
    </xf>
    <xf borderId="0" fillId="0" fontId="33" numFmtId="0" xfId="0" applyAlignment="1" applyFont="1">
      <alignment horizontal="right" vertical="bottom"/>
    </xf>
    <xf borderId="0" fillId="96" fontId="33" numFmtId="0" xfId="0" applyAlignment="1" applyFill="1" applyFont="1">
      <alignment readingOrder="0" vertical="bottom"/>
    </xf>
    <xf borderId="0" fillId="96" fontId="33" numFmtId="0" xfId="0" applyAlignment="1" applyFont="1">
      <alignment horizontal="right" vertical="bottom"/>
    </xf>
    <xf borderId="0" fillId="94" fontId="33" numFmtId="0" xfId="0" applyAlignment="1" applyFont="1">
      <alignment readingOrder="0" vertical="bottom"/>
    </xf>
    <xf borderId="0" fillId="94" fontId="33" numFmtId="0" xfId="0" applyAlignment="1" applyFont="1">
      <alignment horizontal="right" vertical="bottom"/>
    </xf>
    <xf borderId="0" fillId="97" fontId="78" numFmtId="0" xfId="0" applyAlignment="1" applyFill="1" applyFont="1">
      <alignment vertical="bottom"/>
    </xf>
    <xf borderId="0" fillId="97" fontId="78" numFmtId="0" xfId="0" applyAlignment="1" applyFont="1">
      <alignment horizontal="right" vertical="bottom"/>
    </xf>
    <xf borderId="0" fillId="0" fontId="79" numFmtId="0" xfId="0" applyAlignment="1" applyFont="1">
      <alignment horizontal="right" readingOrder="0" vertical="bottom"/>
    </xf>
    <xf borderId="0" fillId="0" fontId="79" numFmtId="9" xfId="0" applyAlignment="1" applyFont="1" applyNumberFormat="1">
      <alignment horizontal="right" vertical="bottom"/>
    </xf>
    <xf borderId="90" fillId="0" fontId="73" numFmtId="0" xfId="0" applyAlignment="1" applyBorder="1" applyFont="1">
      <alignment readingOrder="0" vertical="center"/>
    </xf>
    <xf borderId="91" fillId="96" fontId="73" numFmtId="0" xfId="0" applyAlignment="1" applyBorder="1" applyFont="1">
      <alignment horizontal="right" shrinkToFit="0" vertical="center" wrapText="1"/>
    </xf>
    <xf borderId="91" fillId="95" fontId="73" numFmtId="0" xfId="0" applyAlignment="1" applyBorder="1" applyFont="1">
      <alignment horizontal="right" shrinkToFit="0" vertical="center" wrapText="1"/>
    </xf>
    <xf borderId="91" fillId="0" fontId="73" numFmtId="0" xfId="0" applyAlignment="1" applyBorder="1" applyFont="1">
      <alignment horizontal="right" readingOrder="0" vertical="center"/>
    </xf>
    <xf borderId="92" fillId="0" fontId="33" numFmtId="0" xfId="0" applyAlignment="1" applyBorder="1" applyFont="1">
      <alignment vertical="bottom"/>
    </xf>
    <xf borderId="0" fillId="2" fontId="33" numFmtId="0" xfId="0" applyAlignment="1" applyFont="1">
      <alignment horizontal="right" readingOrder="0" vertical="bottom"/>
    </xf>
    <xf borderId="93" fillId="0" fontId="33" numFmtId="0" xfId="0" applyBorder="1" applyFont="1"/>
    <xf borderId="92" fillId="0" fontId="33" numFmtId="0" xfId="0" applyBorder="1" applyFont="1"/>
    <xf borderId="94" fillId="0" fontId="33" numFmtId="0" xfId="0" applyBorder="1" applyFont="1"/>
    <xf borderId="95" fillId="0" fontId="33" numFmtId="0" xfId="0" applyBorder="1" applyFont="1"/>
    <xf borderId="95" fillId="0" fontId="33" numFmtId="0" xfId="0" applyAlignment="1" applyBorder="1" applyFont="1">
      <alignment horizontal="right" readingOrder="0"/>
    </xf>
    <xf borderId="91" fillId="0" fontId="33" numFmtId="0" xfId="0" applyBorder="1" applyFont="1"/>
    <xf borderId="0" fillId="0" fontId="62" numFmtId="0" xfId="0" applyFont="1"/>
    <xf borderId="58" fillId="0" fontId="24" numFmtId="0" xfId="0" applyAlignment="1" applyBorder="1" applyFont="1">
      <alignment horizontal="center" readingOrder="0" vertical="center"/>
    </xf>
    <xf borderId="58" fillId="0" fontId="24" numFmtId="0" xfId="0" applyAlignment="1" applyBorder="1" applyFont="1">
      <alignment horizontal="right" readingOrder="0" vertical="center"/>
    </xf>
    <xf borderId="59" fillId="0" fontId="27" numFmtId="0" xfId="0" applyAlignment="1" applyBorder="1" applyFont="1">
      <alignment readingOrder="0" shrinkToFit="0" vertical="bottom" wrapText="0"/>
    </xf>
    <xf borderId="59" fillId="0" fontId="24" numFmtId="0" xfId="0" applyAlignment="1" applyBorder="1" applyFont="1">
      <alignment readingOrder="0"/>
    </xf>
    <xf borderId="59" fillId="24" fontId="28" numFmtId="0" xfId="0" applyAlignment="1" applyBorder="1" applyFont="1">
      <alignment horizontal="left" readingOrder="0" shrinkToFit="0" wrapText="1"/>
    </xf>
    <xf borderId="59" fillId="24" fontId="28" numFmtId="0" xfId="0" applyAlignment="1" applyBorder="1" applyFont="1">
      <alignment horizontal="right" readingOrder="0" shrinkToFit="0" wrapText="1"/>
    </xf>
    <xf borderId="59" fillId="30" fontId="28" numFmtId="0" xfId="0" applyAlignment="1" applyBorder="1" applyFont="1">
      <alignment horizontal="left" readingOrder="0" shrinkToFit="0" wrapText="1"/>
    </xf>
    <xf borderId="59" fillId="16" fontId="28" numFmtId="0" xfId="0" applyAlignment="1" applyBorder="1" applyFont="1">
      <alignment horizontal="left" readingOrder="0" shrinkToFit="0" vertical="center" wrapText="1"/>
    </xf>
    <xf borderId="59" fillId="41" fontId="28" numFmtId="0" xfId="0" applyAlignment="1" applyBorder="1" applyFont="1">
      <alignment horizontal="left" readingOrder="0" vertical="center"/>
    </xf>
    <xf borderId="59" fillId="44" fontId="28" numFmtId="0" xfId="0" applyAlignment="1" applyBorder="1" applyFont="1">
      <alignment horizontal="left" readingOrder="0" shrinkToFit="0" wrapText="1"/>
    </xf>
    <xf borderId="59" fillId="47" fontId="28" numFmtId="0" xfId="0" applyAlignment="1" applyBorder="1" applyFont="1">
      <alignment horizontal="left" readingOrder="0" vertical="center"/>
    </xf>
    <xf borderId="59" fillId="61" fontId="28" numFmtId="0" xfId="0" applyAlignment="1" applyBorder="1" applyFont="1">
      <alignment horizontal="left" readingOrder="0" shrinkToFit="0" vertical="center" wrapText="1"/>
    </xf>
    <xf borderId="59" fillId="51" fontId="28" numFmtId="0" xfId="0" applyAlignment="1" applyBorder="1" applyFont="1">
      <alignment horizontal="left" readingOrder="0" shrinkToFit="0" wrapText="1"/>
    </xf>
    <xf borderId="59" fillId="0" fontId="62" numFmtId="0" xfId="0" applyAlignment="1" applyBorder="1" applyFont="1">
      <alignment readingOrder="0"/>
    </xf>
    <xf borderId="59" fillId="16" fontId="28" numFmtId="0" xfId="0" applyAlignment="1" applyBorder="1" applyFont="1">
      <alignment horizontal="left" readingOrder="0" vertical="center"/>
    </xf>
    <xf borderId="59" fillId="26" fontId="28" numFmtId="0" xfId="0" applyAlignment="1" applyBorder="1" applyFont="1">
      <alignment horizontal="left" readingOrder="0" shrinkToFit="0" wrapText="1"/>
    </xf>
    <xf borderId="59" fillId="36" fontId="28" numFmtId="0" xfId="0" applyAlignment="1" applyBorder="1" applyFont="1">
      <alignment horizontal="left" readingOrder="0" vertical="center"/>
    </xf>
    <xf borderId="59" fillId="44" fontId="28" numFmtId="0" xfId="0" applyAlignment="1" applyBorder="1" applyFont="1">
      <alignment horizontal="left" readingOrder="0" shrinkToFit="0" vertical="center" wrapText="1"/>
    </xf>
    <xf borderId="59" fillId="47" fontId="28" numFmtId="0" xfId="0" applyAlignment="1" applyBorder="1" applyFont="1">
      <alignment horizontal="left" readingOrder="0" shrinkToFit="0" wrapText="1"/>
    </xf>
    <xf borderId="59" fillId="24" fontId="28" numFmtId="0" xfId="0" applyAlignment="1" applyBorder="1" applyFont="1">
      <alignment horizontal="left" readingOrder="0" vertical="center"/>
    </xf>
    <xf borderId="59" fillId="56" fontId="28" numFmtId="0" xfId="0" applyAlignment="1" applyBorder="1" applyFont="1">
      <alignment horizontal="left" readingOrder="0" vertical="center"/>
    </xf>
    <xf borderId="59" fillId="41" fontId="28" numFmtId="0" xfId="0" applyAlignment="1" applyBorder="1" applyFont="1">
      <alignment horizontal="left" readingOrder="0" shrinkToFit="0" wrapText="1"/>
    </xf>
    <xf borderId="59" fillId="30" fontId="28" numFmtId="0" xfId="0" applyAlignment="1" applyBorder="1" applyFont="1">
      <alignment horizontal="right" readingOrder="0" shrinkToFit="0" wrapText="1"/>
    </xf>
    <xf borderId="59" fillId="30" fontId="28" numFmtId="0" xfId="0" applyAlignment="1" applyBorder="1" applyFont="1">
      <alignment horizontal="left" readingOrder="0"/>
    </xf>
    <xf borderId="59" fillId="36" fontId="28" numFmtId="0" xfId="0" applyAlignment="1" applyBorder="1" applyFont="1">
      <alignment horizontal="right" readingOrder="0" shrinkToFit="0" vertical="center" wrapText="1"/>
    </xf>
    <xf borderId="0" fillId="0" fontId="62" numFmtId="0" xfId="0" applyAlignment="1" applyFont="1">
      <alignment readingOrder="0"/>
    </xf>
    <xf borderId="0" fillId="0" fontId="27" numFmtId="0" xfId="0" applyAlignment="1" applyFont="1">
      <alignment readingOrder="0" shrinkToFit="0" vertical="bottom" wrapText="0"/>
    </xf>
    <xf borderId="0" fillId="0" fontId="28" numFmtId="0" xfId="0" applyAlignment="1" applyFont="1">
      <alignment readingOrder="0" shrinkToFit="0" vertical="bottom" wrapText="0"/>
    </xf>
    <xf borderId="59" fillId="16" fontId="28" numFmtId="0" xfId="0" applyAlignment="1" applyBorder="1" applyFont="1">
      <alignment horizontal="right" readingOrder="0" shrinkToFit="0" vertical="center" wrapText="1"/>
    </xf>
    <xf borderId="59" fillId="16" fontId="28" numFmtId="0" xfId="0" applyAlignment="1" applyBorder="1" applyFont="1">
      <alignment horizontal="right" readingOrder="0" vertical="center"/>
    </xf>
    <xf borderId="59" fillId="41" fontId="28" numFmtId="0" xfId="0" applyAlignment="1" applyBorder="1" applyFont="1">
      <alignment horizontal="right" readingOrder="0" vertical="center"/>
    </xf>
    <xf borderId="0" fillId="0" fontId="62" numFmtId="0" xfId="0" applyAlignment="1" applyFont="1">
      <alignment horizontal="right" readingOrder="0"/>
    </xf>
    <xf borderId="0" fillId="0" fontId="28" numFmtId="0" xfId="0" applyAlignment="1" applyFont="1">
      <alignment horizontal="right" readingOrder="0" shrinkToFit="0" vertical="bottom" wrapText="0"/>
    </xf>
    <xf borderId="0" fillId="0" fontId="62" numFmtId="9" xfId="0" applyAlignment="1" applyFont="1" applyNumberFormat="1">
      <alignment readingOrder="0"/>
    </xf>
    <xf borderId="0" fillId="0" fontId="62" numFmtId="49" xfId="0" applyAlignment="1" applyFont="1" applyNumberFormat="1">
      <alignment readingOrder="0"/>
    </xf>
    <xf borderId="59" fillId="47" fontId="28" numFmtId="0" xfId="0" applyAlignment="1" applyBorder="1" applyFont="1">
      <alignment horizontal="right" readingOrder="0" vertical="center"/>
    </xf>
    <xf borderId="0" fillId="0" fontId="62" numFmtId="0" xfId="0" applyFont="1"/>
    <xf borderId="59" fillId="51" fontId="28" numFmtId="0" xfId="0" applyAlignment="1" applyBorder="1" applyFont="1">
      <alignment horizontal="right" readingOrder="0" shrinkToFit="0" wrapText="1"/>
    </xf>
    <xf borderId="59" fillId="44" fontId="28" numFmtId="0" xfId="0" applyAlignment="1" applyBorder="1" applyFont="1">
      <alignment horizontal="right" readingOrder="0" shrinkToFit="0" wrapText="1"/>
    </xf>
    <xf borderId="59" fillId="44" fontId="28" numFmtId="0" xfId="0" applyAlignment="1" applyBorder="1" applyFont="1">
      <alignment horizontal="right" readingOrder="0" shrinkToFit="0" vertical="center" wrapText="1"/>
    </xf>
    <xf borderId="0" fillId="0" fontId="62" numFmtId="0" xfId="0" applyAlignment="1" applyFont="1">
      <alignment horizontal="right" vertical="bottom"/>
    </xf>
    <xf borderId="0" fillId="0" fontId="62" numFmtId="9" xfId="0" applyAlignment="1" applyFont="1" applyNumberFormat="1">
      <alignment horizontal="right" vertical="bottom"/>
    </xf>
    <xf borderId="59" fillId="47" fontId="28" numFmtId="0" xfId="0" applyAlignment="1" applyBorder="1" applyFont="1">
      <alignment horizontal="right" shrinkToFit="0" wrapText="1"/>
    </xf>
    <xf borderId="59" fillId="47" fontId="28" numFmtId="0" xfId="0" applyAlignment="1" applyBorder="1" applyFont="1">
      <alignment horizontal="right" readingOrder="0" shrinkToFit="0" wrapText="1"/>
    </xf>
    <xf borderId="59" fillId="61" fontId="28" numFmtId="0" xfId="0" applyAlignment="1" applyBorder="1" applyFont="1">
      <alignment horizontal="right" readingOrder="0" shrinkToFit="0" vertical="center" wrapText="1"/>
    </xf>
    <xf borderId="59" fillId="64" fontId="28" numFmtId="0" xfId="0" applyAlignment="1" applyBorder="1" applyFont="1">
      <alignment horizontal="right" readingOrder="0" shrinkToFit="0" vertical="center" wrapText="1"/>
    </xf>
    <xf borderId="0" fillId="4" fontId="62" numFmtId="0" xfId="0" applyAlignment="1" applyFont="1">
      <alignment readingOrder="0"/>
    </xf>
    <xf borderId="59" fillId="56" fontId="28" numFmtId="0" xfId="0" applyAlignment="1" applyBorder="1" applyFont="1">
      <alignment horizontal="right" readingOrder="0" shrinkToFit="0" vertical="center" wrapText="1"/>
    </xf>
    <xf borderId="59" fillId="0" fontId="28" numFmtId="0" xfId="0" applyAlignment="1" applyBorder="1" applyFont="1">
      <alignment horizontal="left" readingOrder="0" vertical="center"/>
    </xf>
    <xf borderId="59" fillId="0" fontId="28" numFmtId="0" xfId="0" applyAlignment="1" applyBorder="1" applyFont="1">
      <alignment horizontal="right" readingOrder="0" vertical="center"/>
    </xf>
    <xf borderId="59" fillId="4" fontId="28" numFmtId="0" xfId="0" applyAlignment="1" applyBorder="1" applyFont="1">
      <alignment horizontal="left" readingOrder="0" vertical="center"/>
    </xf>
    <xf borderId="59" fillId="4" fontId="28" numFmtId="0" xfId="0" applyAlignment="1" applyBorder="1" applyFont="1">
      <alignment horizontal="right" readingOrder="0" vertical="center"/>
    </xf>
    <xf borderId="59" fillId="0" fontId="62" numFmtId="0" xfId="0" applyAlignment="1" applyBorder="1" applyFont="1">
      <alignment horizontal="right" readingOrder="0"/>
    </xf>
    <xf borderId="0" fillId="0" fontId="62" numFmtId="0" xfId="0" applyAlignment="1" applyFont="1">
      <alignment horizontal="right" vertical="bottom"/>
    </xf>
    <xf borderId="0" fillId="0" fontId="24" numFmtId="0" xfId="0" applyAlignment="1" applyFont="1">
      <alignment horizontal="left" readingOrder="0"/>
    </xf>
    <xf borderId="0" fillId="0" fontId="62" numFmtId="0" xfId="0" applyAlignment="1" applyFont="1">
      <alignment horizontal="left" readingOrder="0"/>
    </xf>
    <xf borderId="0" fillId="0" fontId="62" numFmtId="0" xfId="0" applyAlignment="1" applyFont="1">
      <alignment vertical="center"/>
    </xf>
    <xf borderId="5" fillId="0" fontId="12" numFmtId="0" xfId="0" applyAlignment="1" applyBorder="1" applyFont="1">
      <alignment readingOrder="0" vertical="center"/>
    </xf>
    <xf borderId="3" fillId="0" fontId="12" numFmtId="0" xfId="0" applyAlignment="1" applyBorder="1" applyFont="1">
      <alignment horizontal="right" readingOrder="0" vertical="center"/>
    </xf>
    <xf borderId="3" fillId="0" fontId="12" numFmtId="0" xfId="0" applyAlignment="1" applyBorder="1" applyFont="1">
      <alignment horizontal="right" readingOrder="0" shrinkToFit="0" vertical="center" wrapText="1"/>
    </xf>
    <xf borderId="6" fillId="0" fontId="62" numFmtId="0" xfId="0" applyAlignment="1" applyBorder="1" applyFont="1">
      <alignment horizontal="right" readingOrder="0" shrinkToFit="0" vertical="center" wrapText="1"/>
    </xf>
    <xf borderId="5"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18" fillId="0" fontId="12" numFmtId="0" xfId="0" applyAlignment="1" applyBorder="1" applyFont="1">
      <alignment readingOrder="0" vertical="bottom"/>
    </xf>
    <xf borderId="0" fillId="0" fontId="12" numFmtId="1" xfId="0" applyAlignment="1" applyFont="1" applyNumberFormat="1">
      <alignment horizontal="right" vertical="bottom"/>
    </xf>
    <xf borderId="0" fillId="0" fontId="12" numFmtId="2" xfId="0" applyAlignment="1" applyFont="1" applyNumberFormat="1">
      <alignment horizontal="right" vertical="bottom"/>
    </xf>
    <xf borderId="19" fillId="0" fontId="62" numFmtId="2" xfId="0" applyAlignment="1" applyBorder="1" applyFont="1" applyNumberFormat="1">
      <alignment horizontal="right"/>
    </xf>
    <xf borderId="18" fillId="0" fontId="4" numFmtId="0" xfId="0" applyAlignment="1" applyBorder="1" applyFont="1">
      <alignment readingOrder="0" shrinkToFit="0" vertical="bottom" wrapText="0"/>
    </xf>
    <xf borderId="19" fillId="0" fontId="4" numFmtId="0" xfId="0" applyAlignment="1" applyBorder="1" applyFont="1">
      <alignment readingOrder="0" shrinkToFit="0" vertical="bottom" wrapText="0"/>
    </xf>
    <xf borderId="0" fillId="0" fontId="3" numFmtId="1" xfId="0" applyAlignment="1" applyFont="1" applyNumberFormat="1">
      <alignment horizontal="center"/>
    </xf>
    <xf borderId="19" fillId="0" fontId="1" numFmtId="0" xfId="0" applyAlignment="1" applyBorder="1" applyFont="1">
      <alignment readingOrder="0" shrinkToFit="0" vertical="bottom" wrapText="0"/>
    </xf>
    <xf borderId="19" fillId="0" fontId="3" numFmtId="0" xfId="0" applyAlignment="1" applyBorder="1" applyFont="1">
      <alignment readingOrder="0"/>
    </xf>
    <xf borderId="0" fillId="0" fontId="3" numFmtId="0" xfId="0" applyAlignment="1" applyFont="1">
      <alignment horizontal="center"/>
    </xf>
    <xf borderId="20" fillId="0" fontId="12" numFmtId="0" xfId="0" applyAlignment="1" applyBorder="1" applyFont="1">
      <alignment readingOrder="0" vertical="bottom"/>
    </xf>
    <xf borderId="23" fillId="0" fontId="12" numFmtId="1" xfId="0" applyAlignment="1" applyBorder="1" applyFont="1" applyNumberFormat="1">
      <alignment horizontal="right" vertical="bottom"/>
    </xf>
    <xf borderId="23" fillId="0" fontId="12" numFmtId="2" xfId="0" applyAlignment="1" applyBorder="1" applyFont="1" applyNumberFormat="1">
      <alignment horizontal="right" vertical="bottom"/>
    </xf>
    <xf borderId="21" fillId="0" fontId="62" numFmtId="2" xfId="0" applyAlignment="1" applyBorder="1" applyFont="1" applyNumberFormat="1">
      <alignment horizontal="right"/>
    </xf>
    <xf borderId="19" fillId="0" fontId="1" numFmtId="0" xfId="0" applyAlignment="1" applyBorder="1" applyFont="1">
      <alignment readingOrder="0"/>
    </xf>
    <xf borderId="23" fillId="0" fontId="3" numFmtId="0" xfId="0" applyAlignment="1" applyBorder="1" applyFont="1">
      <alignment readingOrder="0"/>
    </xf>
    <xf borderId="21" fillId="0" fontId="3" numFmtId="0" xfId="0" applyAlignment="1" applyBorder="1" applyFont="1">
      <alignment readingOrder="0"/>
    </xf>
    <xf borderId="1" fillId="0" fontId="3" numFmtId="0" xfId="0" applyAlignment="1" applyBorder="1" applyFont="1">
      <alignment readingOrder="0" vertical="bottom"/>
    </xf>
    <xf borderId="2" fillId="0" fontId="1" numFmtId="0" xfId="0" applyAlignment="1" applyBorder="1" applyFont="1">
      <alignment horizontal="center" vertical="bottom"/>
    </xf>
    <xf borderId="2" fillId="0" fontId="3" numFmtId="0" xfId="0" applyAlignment="1" applyBorder="1" applyFont="1">
      <alignment readingOrder="0" vertical="bottom"/>
    </xf>
    <xf borderId="2" fillId="0" fontId="5" numFmtId="0" xfId="0" applyAlignment="1" applyBorder="1" applyFont="1">
      <alignment vertical="bottom"/>
    </xf>
    <xf borderId="4" fillId="0" fontId="3" numFmtId="0" xfId="0" applyAlignment="1" applyBorder="1" applyFont="1">
      <alignment readingOrder="0" vertical="bottom"/>
    </xf>
    <xf borderId="0" fillId="0" fontId="8" numFmtId="0" xfId="0" applyAlignment="1" applyFont="1">
      <alignment horizontal="right" readingOrder="0"/>
    </xf>
    <xf borderId="0" fillId="0" fontId="1" numFmtId="0" xfId="0" applyAlignment="1" applyFont="1">
      <alignment horizontal="left" readingOrder="0" shrinkToFit="0" vertical="center" wrapText="1"/>
    </xf>
    <xf borderId="0" fillId="0" fontId="1" numFmtId="0" xfId="0" applyAlignment="1" applyFont="1">
      <alignment horizontal="left" readingOrder="0" vertical="center"/>
    </xf>
    <xf borderId="6" fillId="0" fontId="3" numFmtId="0" xfId="0" applyAlignment="1" applyBorder="1" applyFont="1">
      <alignment readingOrder="0"/>
    </xf>
    <xf borderId="6" fillId="0" fontId="3" numFmtId="9" xfId="0" applyAlignment="1" applyBorder="1" applyFont="1" applyNumberFormat="1">
      <alignment readingOrder="0"/>
    </xf>
    <xf borderId="19" fillId="0" fontId="3" numFmtId="9" xfId="0" applyAlignment="1" applyBorder="1" applyFont="1" applyNumberFormat="1">
      <alignment readingOrder="0"/>
    </xf>
    <xf borderId="21" fillId="0" fontId="3" numFmtId="9" xfId="0" applyAlignment="1" applyBorder="1" applyFont="1" applyNumberFormat="1">
      <alignment readingOrder="0"/>
    </xf>
    <xf borderId="0" fillId="5" fontId="3" numFmtId="0" xfId="0" applyAlignment="1" applyFont="1">
      <alignment readingOrder="0" vertical="bottom"/>
    </xf>
    <xf borderId="0" fillId="5" fontId="3" numFmtId="0" xfId="0" applyAlignment="1" applyFont="1">
      <alignment readingOrder="0"/>
    </xf>
    <xf borderId="0" fillId="5" fontId="3" numFmtId="9" xfId="0" applyAlignment="1" applyFont="1" applyNumberFormat="1">
      <alignment horizontal="center" readingOrder="0"/>
    </xf>
    <xf borderId="0" fillId="5" fontId="3" numFmtId="0" xfId="0" applyAlignment="1" applyFont="1">
      <alignment horizontal="center"/>
    </xf>
    <xf borderId="0" fillId="0" fontId="3" numFmtId="9" xfId="0" applyFont="1" applyNumberFormat="1"/>
    <xf borderId="0" fillId="3" fontId="3" numFmtId="0" xfId="0" applyAlignment="1" applyFont="1">
      <alignment readingOrder="0" vertical="bottom"/>
    </xf>
    <xf borderId="0" fillId="3" fontId="3" numFmtId="0" xfId="0" applyAlignment="1" applyFont="1">
      <alignment readingOrder="0"/>
    </xf>
    <xf borderId="0" fillId="3" fontId="3" numFmtId="9" xfId="0" applyAlignment="1" applyFont="1" applyNumberFormat="1">
      <alignment horizontal="center" readingOrder="0"/>
    </xf>
    <xf borderId="0" fillId="3" fontId="3" numFmtId="0" xfId="0" applyAlignment="1" applyFont="1">
      <alignment horizontal="center"/>
    </xf>
    <xf borderId="0" fillId="8" fontId="3" numFmtId="0" xfId="0" applyAlignment="1" applyFont="1">
      <alignment readingOrder="0" vertical="bottom"/>
    </xf>
    <xf borderId="0" fillId="8" fontId="3" numFmtId="0" xfId="0" applyAlignment="1" applyFont="1">
      <alignment readingOrder="0"/>
    </xf>
    <xf borderId="0" fillId="8" fontId="3" numFmtId="9" xfId="0" applyAlignment="1" applyFont="1" applyNumberFormat="1">
      <alignment horizontal="center" readingOrder="0"/>
    </xf>
    <xf borderId="0" fillId="8" fontId="3" numFmtId="0" xfId="0" applyAlignment="1" applyFont="1">
      <alignment horizontal="center"/>
    </xf>
    <xf borderId="0" fillId="9" fontId="3" numFmtId="0" xfId="0" applyAlignment="1" applyFont="1">
      <alignment readingOrder="0" vertical="bottom"/>
    </xf>
    <xf borderId="0" fillId="9" fontId="3" numFmtId="0" xfId="0" applyAlignment="1" applyFont="1">
      <alignment readingOrder="0"/>
    </xf>
    <xf borderId="0" fillId="9" fontId="3" numFmtId="9" xfId="0" applyAlignment="1" applyFont="1" applyNumberFormat="1">
      <alignment horizontal="center" readingOrder="0"/>
    </xf>
    <xf borderId="0" fillId="9" fontId="3" numFmtId="0" xfId="0" applyAlignment="1" applyFont="1">
      <alignment horizontal="center"/>
    </xf>
    <xf borderId="0" fillId="14" fontId="3" numFmtId="0" xfId="0" applyAlignment="1" applyFont="1">
      <alignment readingOrder="0" vertical="bottom"/>
    </xf>
    <xf borderId="0" fillId="14" fontId="3" numFmtId="0" xfId="0" applyAlignment="1" applyFont="1">
      <alignment readingOrder="0"/>
    </xf>
    <xf borderId="0" fillId="14" fontId="3" numFmtId="9" xfId="0" applyAlignment="1" applyFont="1" applyNumberFormat="1">
      <alignment horizontal="center" readingOrder="0"/>
    </xf>
    <xf borderId="0" fillId="14" fontId="3" numFmtId="0" xfId="0" applyAlignment="1" applyFont="1">
      <alignment horizontal="center"/>
    </xf>
    <xf borderId="0" fillId="0" fontId="3" numFmtId="0" xfId="0" applyAlignment="1" applyFont="1">
      <alignment vertical="bottom"/>
    </xf>
    <xf borderId="0" fillId="0" fontId="10" numFmtId="9" xfId="0" applyAlignment="1" applyFont="1" applyNumberFormat="1">
      <alignment horizontal="center" readingOrder="0"/>
    </xf>
    <xf borderId="59" fillId="0" fontId="23" numFmtId="0" xfId="0" applyAlignment="1" applyBorder="1" applyFont="1">
      <alignment horizontal="center" readingOrder="0"/>
    </xf>
    <xf borderId="59" fillId="0" fontId="10" numFmtId="0" xfId="0" applyAlignment="1" applyBorder="1" applyFont="1">
      <alignment horizontal="center" readingOrder="0"/>
    </xf>
    <xf borderId="59" fillId="0" fontId="10" numFmtId="0" xfId="0" applyAlignment="1" applyBorder="1" applyFont="1">
      <alignment horizontal="center" readingOrder="0" vertical="top"/>
    </xf>
    <xf borderId="0" fillId="0" fontId="29" numFmtId="0" xfId="0" applyAlignment="1" applyFont="1">
      <alignment horizontal="right" readingOrder="0" shrinkToFit="0" vertical="bottom" wrapText="0"/>
    </xf>
    <xf borderId="0" fillId="0" fontId="55" numFmtId="9" xfId="0" applyFont="1" applyNumberFormat="1"/>
    <xf borderId="0" fillId="0" fontId="55" numFmtId="10" xfId="0" applyFont="1" applyNumberFormat="1"/>
    <xf borderId="0" fillId="0" fontId="55" numFmtId="168" xfId="0" applyFont="1" applyNumberFormat="1"/>
    <xf borderId="0" fillId="0" fontId="55" numFmtId="164" xfId="0" applyFont="1" applyNumberFormat="1"/>
    <xf borderId="0" fillId="0" fontId="55" numFmtId="0" xfId="0" applyAlignment="1" applyFont="1">
      <alignment horizontal="center" readingOrder="0"/>
    </xf>
    <xf borderId="73" fillId="35" fontId="55" numFmtId="0" xfId="0" applyBorder="1" applyFont="1"/>
    <xf borderId="73" fillId="98" fontId="55" numFmtId="0" xfId="0" applyBorder="1" applyFill="1" applyFont="1"/>
    <xf borderId="0" fillId="0" fontId="10" numFmtId="0" xfId="0" applyAlignment="1" applyFont="1">
      <alignment horizontal="center" readingOrder="0" textRotation="90" vertical="center"/>
    </xf>
  </cellXfs>
  <cellStyles count="1">
    <cellStyle xfId="0" name="Normal" builtinId="0"/>
  </cellStyles>
  <dxfs count="2">
    <dxf>
      <font/>
      <fill>
        <patternFill patternType="solid">
          <fgColor rgb="FFFFF2CC"/>
          <bgColor rgb="FFFFF2CC"/>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rgbClr val="F1C232"/>
            </a:solidFill>
            <a:ln cmpd="sng">
              <a:solidFill>
                <a:srgbClr val="000000"/>
              </a:solidFill>
            </a:ln>
          </c:spPr>
          <c:dPt>
            <c:idx val="0"/>
            <c:spPr>
              <a:solidFill>
                <a:srgbClr val="980000"/>
              </a:solidFill>
              <a:ln cmpd="sng">
                <a:solidFill>
                  <a:srgbClr val="000000"/>
                </a:solidFill>
              </a:ln>
            </c:spPr>
          </c:dPt>
          <c:dPt>
            <c:idx val="1"/>
            <c:spPr>
              <a:solidFill>
                <a:srgbClr val="999999"/>
              </a:solidFill>
              <a:ln cmpd="sng">
                <a:solidFill>
                  <a:srgbClr val="000000"/>
                </a:solidFill>
              </a:ln>
            </c:spPr>
          </c:dPt>
          <c:dPt>
            <c:idx val="2"/>
            <c:spPr>
              <a:solidFill>
                <a:srgbClr val="CCCCCC"/>
              </a:solidFill>
              <a:ln cmpd="sng">
                <a:solidFill>
                  <a:srgbClr val="000000"/>
                </a:solidFill>
              </a:ln>
            </c:spPr>
          </c:dPt>
          <c:dLbls>
            <c:numFmt formatCode="General" sourceLinked="1"/>
            <c:txPr>
              <a:bodyPr/>
              <a:lstStyle/>
              <a:p>
                <a:pPr lvl="0">
                  <a:defRPr/>
                </a:pPr>
              </a:p>
            </c:txPr>
            <c:showLegendKey val="0"/>
            <c:showVal val="1"/>
            <c:showCatName val="0"/>
            <c:showSerName val="0"/>
            <c:showPercent val="0"/>
            <c:showBubbleSize val="0"/>
          </c:dLbls>
          <c:cat>
            <c:strRef>
              <c:f>'Учеба'!$E$12:$E$14</c:f>
            </c:strRef>
          </c:cat>
          <c:val>
            <c:numRef>
              <c:f>'Учеба'!$F$12:$F$14</c:f>
              <c:numCache/>
            </c:numRef>
          </c:val>
        </c:ser>
        <c:ser>
          <c:idx val="1"/>
          <c:order val="1"/>
          <c:cat>
            <c:strRef>
              <c:f>'Учеба'!$E$12:$E$14</c:f>
            </c:strRef>
          </c:cat>
          <c:val>
            <c:numRef>
              <c:f>'Учеба'!$G$12:$G$14</c:f>
              <c:numCache/>
            </c:numRef>
          </c:val>
        </c:ser>
        <c:axId val="340241657"/>
        <c:axId val="519880397"/>
      </c:barChart>
      <c:catAx>
        <c:axId val="34024165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19880397"/>
      </c:catAx>
      <c:valAx>
        <c:axId val="51988039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40241657"/>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1085850</xdr:colOff>
      <xdr:row>0</xdr:row>
      <xdr:rowOff>114300</xdr:rowOff>
    </xdr:from>
    <xdr:ext cx="3276600" cy="5143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352425</xdr:colOff>
      <xdr:row>121</xdr:row>
      <xdr:rowOff>133350</xdr:rowOff>
    </xdr:from>
    <xdr:ext cx="7724775" cy="97536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14</xdr:row>
      <xdr:rowOff>104775</xdr:rowOff>
    </xdr:from>
    <xdr:ext cx="9639300" cy="12668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en.wikipedia.org/wiki/Gunpowder" TargetMode="External"/><Relationship Id="rId3" Type="http://schemas.openxmlformats.org/officeDocument/2006/relationships/drawing" Target="../drawings/drawing6.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hyperlink" Target="https://en.wikipedia.org/wiki/Parchment" TargetMode="External"/><Relationship Id="rId3" Type="http://schemas.openxmlformats.org/officeDocument/2006/relationships/drawing" Target="../drawings/drawing8.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1.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hyperlink" Target="https://forum.driveonwood.com/t/charcoal-production-rough-rules-of-thumb/675" TargetMode="External"/><Relationship Id="rId3" Type="http://schemas.openxmlformats.org/officeDocument/2006/relationships/drawing" Target="../drawings/drawing12.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3.xml"/><Relationship Id="rId3"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4.xml"/><Relationship Id="rId3"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5.xml"/><Relationship Id="rId3"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16.xml"/><Relationship Id="rId3"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7.xml"/><Relationship Id="rId3"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18.xml"/><Relationship Id="rId3"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1" Type="http://schemas.openxmlformats.org/officeDocument/2006/relationships/comments" Target="../comments17.xml"/><Relationship Id="rId2" Type="http://schemas.openxmlformats.org/officeDocument/2006/relationships/drawing" Target="../drawings/drawing19.xml"/><Relationship Id="rId3"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8.xml"/><Relationship Id="rId2" Type="http://schemas.openxmlformats.org/officeDocument/2006/relationships/drawing" Target="../drawings/drawing20.xml"/><Relationship Id="rId3" Type="http://schemas.openxmlformats.org/officeDocument/2006/relationships/vmlDrawing" Target="../drawings/vmlDrawing1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21.xml"/><Relationship Id="rId3"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22.xml"/><Relationship Id="rId3"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21.xml"/><Relationship Id="rId2" Type="http://schemas.openxmlformats.org/officeDocument/2006/relationships/drawing" Target="../drawings/drawing23.xml"/><Relationship Id="rId3"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1" Type="http://schemas.openxmlformats.org/officeDocument/2006/relationships/comments" Target="../comments22.xml"/><Relationship Id="rId2" Type="http://schemas.openxmlformats.org/officeDocument/2006/relationships/drawing" Target="../drawings/drawing24.xml"/><Relationship Id="rId3" Type="http://schemas.openxmlformats.org/officeDocument/2006/relationships/vmlDrawing" Target="../drawings/vmlDrawing22.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sheetViews>
  <sheetFormatPr customHeight="1" defaultColWidth="12.63" defaultRowHeight="15.75"/>
  <cols>
    <col customWidth="1" min="1" max="1" width="2.0"/>
    <col customWidth="1" min="2" max="2" width="10.5"/>
    <col customWidth="1" min="3" max="3" width="22.63"/>
    <col customWidth="1" min="4" max="4" width="21.5"/>
    <col customWidth="1" min="5" max="5" width="2.75"/>
    <col customWidth="1" min="6" max="10" width="2.0"/>
    <col customWidth="1" min="11" max="11" width="26.13"/>
    <col customWidth="1" min="12" max="12" width="19.13"/>
    <col customWidth="1" min="13" max="13" width="11.0"/>
    <col customWidth="1" min="14" max="14" width="15.88"/>
    <col customWidth="1" min="15" max="15" width="11.75"/>
    <col customWidth="1" min="16" max="16" width="11.63"/>
    <col customWidth="1" min="17" max="17" width="8.25"/>
    <col customWidth="1" min="18" max="18" width="8.88"/>
    <col customWidth="1" min="19" max="19" width="12.88"/>
    <col customWidth="1" min="20" max="20" width="4.63"/>
    <col customWidth="1" min="21" max="21" width="4.25"/>
    <col customWidth="1" min="22" max="22" width="3.88"/>
    <col customWidth="1" min="23" max="23" width="4.38"/>
    <col customWidth="1" min="24" max="26" width="3.88"/>
    <col customWidth="1" min="27" max="27" width="5.25"/>
    <col customWidth="1" min="28" max="28" width="2.63"/>
    <col customWidth="1" min="29" max="29" width="9.5"/>
    <col customWidth="1" min="30" max="30" width="20.5"/>
    <col customWidth="1" min="31" max="31" width="22.63"/>
    <col customWidth="1" min="32" max="32" width="11.63"/>
    <col customWidth="1" min="33" max="33" width="14.63"/>
    <col customWidth="1" min="34" max="34" width="10.75"/>
    <col customWidth="1" min="35" max="35" width="9.5"/>
    <col customWidth="1" min="36" max="36" width="15.25"/>
    <col customWidth="1" min="37" max="37" width="8.38"/>
    <col customWidth="1" min="38" max="38" width="14.38"/>
    <col customWidth="1" min="39" max="39" width="10.75"/>
    <col customWidth="1" min="40" max="40" width="8.75"/>
    <col customWidth="1" min="41" max="41" width="12.88"/>
    <col customWidth="1" min="42" max="42" width="11.5"/>
    <col customWidth="1" min="43" max="43" width="11.25"/>
    <col customWidth="1" min="44" max="44" width="9.5"/>
    <col customWidth="1" min="45" max="45" width="7.75"/>
    <col customWidth="1" min="46" max="46" width="14.0"/>
    <col customWidth="1" min="47" max="47" width="5.75"/>
    <col customWidth="1" min="48" max="48" width="5.88"/>
    <col customWidth="1" min="49" max="49" width="12.38"/>
    <col customWidth="1" min="50" max="50" width="5.5"/>
    <col customWidth="1" min="51" max="51" width="7.25"/>
    <col customWidth="1" min="52" max="52" width="6.75"/>
    <col customWidth="1" min="53" max="53" width="11.38"/>
    <col customWidth="1" min="54" max="54" width="8.63"/>
    <col customWidth="1" min="55" max="55" width="9.0"/>
    <col customWidth="1" min="56" max="56" width="9.13"/>
    <col customWidth="1" min="57" max="57" width="11.38"/>
    <col customWidth="1" min="58" max="58" width="10.38"/>
    <col customWidth="1" min="59" max="59" width="10.5"/>
    <col customWidth="1" min="60" max="60" width="11.88"/>
    <col customWidth="1" min="62" max="62" width="16.0"/>
    <col customWidth="1" min="64" max="64" width="20.0"/>
  </cols>
  <sheetData>
    <row r="1" ht="13.5" customHeight="1">
      <c r="A1" s="1"/>
      <c r="B1" s="1"/>
      <c r="C1" s="1"/>
      <c r="D1" s="1"/>
      <c r="E1" s="2" t="s">
        <v>0</v>
      </c>
      <c r="F1" s="3" t="s">
        <v>1</v>
      </c>
      <c r="G1" s="4" t="s">
        <v>2</v>
      </c>
      <c r="H1" s="4" t="s">
        <v>3</v>
      </c>
      <c r="I1" s="5" t="s">
        <v>4</v>
      </c>
      <c r="J1" s="6" t="s">
        <v>5</v>
      </c>
      <c r="K1" s="7"/>
      <c r="L1" s="8" t="s">
        <v>6</v>
      </c>
      <c r="M1" s="9"/>
      <c r="N1" s="9"/>
      <c r="O1" s="9"/>
      <c r="P1" s="10"/>
      <c r="Q1" s="10"/>
      <c r="R1" s="10"/>
      <c r="S1" s="11"/>
      <c r="T1" s="11"/>
      <c r="U1" s="1"/>
      <c r="V1" s="1"/>
      <c r="W1" s="1"/>
      <c r="X1" s="1"/>
      <c r="AA1" s="12"/>
      <c r="AB1" s="12"/>
      <c r="AC1" s="12"/>
      <c r="AD1" s="12"/>
      <c r="AE1" s="1"/>
      <c r="AF1" s="1"/>
      <c r="AG1" s="1"/>
      <c r="AH1" s="12"/>
      <c r="AI1" s="12"/>
      <c r="AJ1" s="12"/>
      <c r="AK1" s="12"/>
      <c r="AL1" s="12"/>
      <c r="AM1" s="13" t="s">
        <v>7</v>
      </c>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ht="11.25" customHeight="1">
      <c r="A2" s="1"/>
      <c r="B2" s="13" t="s">
        <v>8</v>
      </c>
      <c r="J2" s="14" t="s">
        <v>9</v>
      </c>
      <c r="K2" s="12"/>
      <c r="L2" s="15" t="s">
        <v>10</v>
      </c>
      <c r="M2" s="16"/>
      <c r="N2" s="10"/>
      <c r="O2" s="17"/>
      <c r="P2" s="18"/>
      <c r="Q2" s="18"/>
      <c r="R2" s="18"/>
      <c r="S2" s="17"/>
      <c r="T2" s="11"/>
      <c r="U2" s="19"/>
      <c r="Y2" s="14" t="s">
        <v>11</v>
      </c>
      <c r="Z2" s="13" t="s">
        <v>12</v>
      </c>
      <c r="AA2" s="12"/>
      <c r="AB2" s="12"/>
      <c r="AC2" s="20"/>
      <c r="AI2" s="12"/>
      <c r="AJ2" s="12"/>
      <c r="AK2" s="12"/>
      <c r="AL2" s="12"/>
      <c r="AM2" s="12"/>
      <c r="AN2" s="12"/>
      <c r="AO2" s="12"/>
      <c r="AP2" s="12"/>
      <c r="AQ2" s="12"/>
      <c r="AR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row>
    <row r="3" ht="11.25" customHeight="1">
      <c r="A3" s="1"/>
      <c r="B3" s="21"/>
      <c r="J3" s="13" t="s">
        <v>13</v>
      </c>
      <c r="K3" s="22"/>
      <c r="L3" s="23" t="s">
        <v>14</v>
      </c>
      <c r="T3" s="11"/>
      <c r="U3" s="24" t="s">
        <v>15</v>
      </c>
      <c r="V3" s="25"/>
      <c r="W3" s="25"/>
      <c r="X3" s="26"/>
      <c r="Y3" s="27" t="str">
        <f>VLOOKUP(L41,'Списки'!B110:H118,6,FALSE)</f>
        <v/>
      </c>
      <c r="Z3" s="28" t="s">
        <v>16</v>
      </c>
      <c r="AA3" s="12"/>
      <c r="AB3" s="12"/>
      <c r="AC3" s="29" t="s">
        <v>17</v>
      </c>
      <c r="AI3" s="12"/>
      <c r="AJ3" s="12"/>
      <c r="AK3" s="12"/>
      <c r="AL3" s="12"/>
      <c r="AM3" s="12"/>
      <c r="AN3" s="12"/>
      <c r="AO3" s="12"/>
      <c r="AP3" s="12"/>
      <c r="AQ3" s="12"/>
      <c r="AR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row>
    <row r="4" ht="11.25" customHeight="1">
      <c r="A4" s="1"/>
      <c r="B4" s="13" t="s">
        <v>18</v>
      </c>
      <c r="C4" s="30" t="s">
        <v>19</v>
      </c>
      <c r="J4" s="13" t="s">
        <v>20</v>
      </c>
      <c r="L4" s="23" t="s">
        <v>21</v>
      </c>
      <c r="T4" s="31"/>
      <c r="U4" s="24" t="str">
        <f>IF(Y3="Мобильное","Нет штрафов к увороту от Гибкости","50% штраф к увороту от Гибкости")</f>
        <v>50% штраф к увороту от Гибкости</v>
      </c>
      <c r="V4" s="25"/>
      <c r="W4" s="25"/>
      <c r="X4" s="25"/>
      <c r="Y4" s="25"/>
      <c r="Z4" s="32"/>
      <c r="AA4" s="12"/>
      <c r="AB4" s="12"/>
      <c r="AC4" s="33" t="s">
        <v>22</v>
      </c>
      <c r="AD4" s="10" t="s">
        <v>23</v>
      </c>
      <c r="AE4" s="34" t="s">
        <v>24</v>
      </c>
      <c r="AF4" s="34" t="s">
        <v>25</v>
      </c>
      <c r="AH4" s="34" t="s">
        <v>26</v>
      </c>
      <c r="AI4" s="34" t="s">
        <v>27</v>
      </c>
      <c r="AJ4" s="12"/>
      <c r="AK4" s="12"/>
      <c r="AL4" s="12"/>
      <c r="AM4" s="12"/>
      <c r="AN4" s="12"/>
      <c r="AO4" s="12"/>
      <c r="AP4" s="12"/>
      <c r="AQ4" s="12"/>
      <c r="AR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row>
    <row r="5" ht="11.25" customHeight="1">
      <c r="A5" s="1"/>
      <c r="B5" s="23" t="s">
        <v>28</v>
      </c>
      <c r="J5" s="14" t="s">
        <v>29</v>
      </c>
      <c r="K5" s="22"/>
      <c r="L5" s="35">
        <v>1.0</v>
      </c>
      <c r="T5" s="31"/>
      <c r="AA5" s="12"/>
      <c r="AB5" s="12"/>
      <c r="AC5" s="23" t="b">
        <v>0</v>
      </c>
      <c r="AD5" s="14" t="s">
        <v>30</v>
      </c>
      <c r="AE5" s="14" t="str">
        <f>VLOOKUP(AD5,'Приемы'!$C$4:$G$118,2,FALSE)</f>
        <v/>
      </c>
      <c r="AF5" s="1" t="str">
        <f>VLOOKUP(AD5,'Приемы'!$C$4:$G$118,3,FALSE)</f>
        <v/>
      </c>
      <c r="AH5" s="36" t="str">
        <f>VLOOKUP(AD5,'Приемы'!$C$4:$G$118,4,FALSE)</f>
        <v/>
      </c>
      <c r="AI5" s="1" t="str">
        <f>VLOOKUP(AD5,'Приемы'!$C$4:$G$118,5,FALSE)</f>
        <v/>
      </c>
      <c r="AJ5" s="13"/>
      <c r="AK5" s="12"/>
      <c r="AL5" s="12"/>
      <c r="AM5" s="12"/>
      <c r="AN5" s="12"/>
      <c r="AO5" s="12"/>
      <c r="AP5" s="12"/>
      <c r="AQ5" s="12"/>
      <c r="AR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ht="11.25" customHeight="1">
      <c r="A6" s="1"/>
      <c r="B6" s="37">
        <v>0.5833333333333334</v>
      </c>
      <c r="J6" s="13" t="s">
        <v>31</v>
      </c>
      <c r="K6" s="12"/>
      <c r="L6" s="35">
        <v>0.0</v>
      </c>
      <c r="M6" s="16" t="s">
        <v>32</v>
      </c>
      <c r="N6" s="38" t="s">
        <v>33</v>
      </c>
      <c r="O6" s="39" t="s">
        <v>29</v>
      </c>
      <c r="P6" s="40" t="s">
        <v>34</v>
      </c>
      <c r="Q6" s="40" t="s">
        <v>35</v>
      </c>
      <c r="R6" s="40" t="s">
        <v>36</v>
      </c>
      <c r="S6" s="41" t="s">
        <v>4</v>
      </c>
      <c r="T6" s="31"/>
      <c r="W6" s="42" t="s">
        <v>37</v>
      </c>
      <c r="AA6" s="12"/>
      <c r="AB6" s="12"/>
      <c r="AC6" s="23" t="b">
        <v>0</v>
      </c>
      <c r="AD6" s="14" t="s">
        <v>30</v>
      </c>
      <c r="AE6" s="14" t="str">
        <f>VLOOKUP(AD6,'Приемы'!$C$4:$G$118,2,FALSE)</f>
        <v/>
      </c>
      <c r="AF6" s="1" t="str">
        <f>VLOOKUP(AD6,'Приемы'!$C$4:$G$118,3,FALSE)</f>
        <v/>
      </c>
      <c r="AH6" s="36" t="str">
        <f>VLOOKUP(AD6,'Приемы'!$C$4:$G$118,4,FALSE)</f>
        <v/>
      </c>
      <c r="AI6" s="1" t="str">
        <f>VLOOKUP(AD6,'Приемы'!$C$4:$G$118,5,FALSE)</f>
        <v/>
      </c>
      <c r="AJ6" s="12"/>
      <c r="AK6" s="12"/>
      <c r="AL6" s="12"/>
      <c r="AM6" s="12"/>
      <c r="AN6" s="12"/>
      <c r="AO6" s="12"/>
      <c r="AP6" s="12"/>
      <c r="AQ6" s="12"/>
      <c r="AR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row>
    <row r="7" ht="11.25" customHeight="1">
      <c r="A7" s="1"/>
      <c r="B7" s="13" t="s">
        <v>38</v>
      </c>
      <c r="J7" s="13" t="s">
        <v>39</v>
      </c>
      <c r="K7" s="12"/>
      <c r="L7" s="35">
        <f>L6-L8+IF(L3="Beast",L5*5)</f>
        <v>0</v>
      </c>
      <c r="M7" s="13" t="b">
        <v>0</v>
      </c>
      <c r="N7" s="43" t="str">
        <f>'Профессии и боевые навыки'!E3</f>
        <v>Алхимик</v>
      </c>
      <c r="O7" s="44">
        <v>0.0</v>
      </c>
      <c r="P7" s="44">
        <f>ROUNDDOWN(VLOOKUP(VLOOKUP(N7,'Профессии и боевые навыки'!$E$3:$I$34,2,FALSE),$C$10:$I$20,7,FALSE)/4,0)</f>
        <v>0</v>
      </c>
      <c r="Q7" s="44">
        <f>ROUNDDOWN(VLOOKUP(VLOOKUP(N7,'Профессии и боевые навыки'!$E$3:$I$34,3,FALSE),$C$10:$I$20,7,FALSE)/6,0)</f>
        <v>0</v>
      </c>
      <c r="R7" s="44">
        <v>0.0</v>
      </c>
      <c r="S7" s="45">
        <f>IF(O7=0,O7+P7+Q7+R7+VLOOKUP(N7,'Профессии и боевые навыки'!$E$3:$K$34,7,FALSE),O7+P7+Q7+R7)</f>
        <v>-4</v>
      </c>
      <c r="T7" s="31"/>
      <c r="U7" s="46"/>
      <c r="V7" s="1"/>
      <c r="W7" s="47">
        <f>IF(D38=TRUE,N117,N127)</f>
        <v>0</v>
      </c>
      <c r="X7" s="48">
        <f>IF(D38=TRUE,X117+AB117,X127+AB127)</f>
        <v>4</v>
      </c>
      <c r="Y7" s="46"/>
      <c r="Z7" s="46"/>
      <c r="AA7" s="12"/>
      <c r="AB7" s="12"/>
      <c r="AC7" s="23" t="b">
        <v>0</v>
      </c>
      <c r="AD7" s="14" t="s">
        <v>30</v>
      </c>
      <c r="AE7" s="14" t="str">
        <f>VLOOKUP(AD7,'Приемы'!$C$4:$G$118,2,FALSE)</f>
        <v/>
      </c>
      <c r="AF7" s="1" t="str">
        <f>VLOOKUP(AD7,'Приемы'!$C$4:$G$118,3,FALSE)</f>
        <v/>
      </c>
      <c r="AH7" s="36" t="str">
        <f>VLOOKUP(AD7,'Приемы'!$C$4:$G$118,4,FALSE)</f>
        <v/>
      </c>
      <c r="AI7" s="1" t="str">
        <f>VLOOKUP(AD7,'Приемы'!$C$4:$G$118,5,FALSE)</f>
        <v/>
      </c>
      <c r="AJ7" s="12"/>
      <c r="AK7" s="12"/>
      <c r="AL7" s="12"/>
      <c r="AM7" s="12"/>
      <c r="AN7" s="12"/>
      <c r="AO7" s="12"/>
      <c r="AP7" s="12"/>
      <c r="AQ7" s="12"/>
      <c r="AR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ht="11.25" customHeight="1">
      <c r="A8" s="1"/>
      <c r="B8" s="1"/>
      <c r="C8" s="22"/>
      <c r="D8" s="22"/>
      <c r="J8" s="13" t="s">
        <v>40</v>
      </c>
      <c r="L8" s="35">
        <f>G21+AC27+AC60</f>
        <v>0</v>
      </c>
      <c r="M8" s="13" t="b">
        <v>0</v>
      </c>
      <c r="N8" s="43" t="str">
        <f>'Профессии и боевые навыки'!E4</f>
        <v>Артист</v>
      </c>
      <c r="O8" s="44">
        <v>0.0</v>
      </c>
      <c r="P8" s="44">
        <f>ROUNDDOWN(VLOOKUP(VLOOKUP(N8,'Профессии и боевые навыки'!$E$3:$I$34,2,FALSE),$C$10:$I$20,7,FALSE)/4,0)</f>
        <v>0</v>
      </c>
      <c r="Q8" s="44">
        <f>ROUNDDOWN(VLOOKUP(VLOOKUP(N8,'Профессии и боевые навыки'!$E$3:$I$34,3,FALSE),$C$10:$I$20,7,FALSE)/6,0)</f>
        <v>0</v>
      </c>
      <c r="R8" s="44">
        <v>0.0</v>
      </c>
      <c r="S8" s="45">
        <f>IF(O8=0,O8+P8+Q8+R8+VLOOKUP(N8,'Профессии и боевые навыки'!$E$3:$K$34,7,FALSE),O8+P8+Q8+R8)</f>
        <v>-4</v>
      </c>
      <c r="T8" s="31"/>
      <c r="U8" s="46"/>
      <c r="V8" s="1"/>
      <c r="W8" s="49">
        <f>IF(D38=TRUE,O117,O127)</f>
        <v>0</v>
      </c>
      <c r="X8" s="50"/>
      <c r="Y8" s="46"/>
      <c r="Z8" s="46"/>
      <c r="AA8" s="12"/>
      <c r="AB8" s="12"/>
      <c r="AC8" s="23" t="b">
        <v>0</v>
      </c>
      <c r="AD8" s="14" t="s">
        <v>30</v>
      </c>
      <c r="AE8" s="14" t="str">
        <f>VLOOKUP(AD8,'Приемы'!$C$4:$G$118,2,FALSE)</f>
        <v/>
      </c>
      <c r="AF8" s="1" t="str">
        <f>VLOOKUP(AD8,'Приемы'!$C$4:$G$118,3,FALSE)</f>
        <v/>
      </c>
      <c r="AH8" s="36" t="str">
        <f>VLOOKUP(AD8,'Приемы'!$C$4:$G$118,4,FALSE)</f>
        <v/>
      </c>
      <c r="AI8" s="1" t="str">
        <f>VLOOKUP(AD8,'Приемы'!$C$4:$G$118,5,FALSE)</f>
        <v/>
      </c>
      <c r="AJ8" s="12"/>
      <c r="AK8" s="12"/>
      <c r="AL8" s="12"/>
      <c r="AM8" s="12"/>
      <c r="AN8" s="12"/>
      <c r="AO8" s="12"/>
      <c r="AP8" s="12"/>
      <c r="AQ8" s="12"/>
      <c r="AR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ht="11.25" customHeight="1">
      <c r="A9" s="14"/>
      <c r="B9" s="16" t="s">
        <v>41</v>
      </c>
      <c r="C9" s="14" t="s">
        <v>42</v>
      </c>
      <c r="D9" s="14" t="s">
        <v>43</v>
      </c>
      <c r="J9" s="31"/>
      <c r="M9" s="13" t="b">
        <v>0</v>
      </c>
      <c r="N9" s="43" t="str">
        <f>'Профессии и боевые навыки'!E5</f>
        <v>Вор</v>
      </c>
      <c r="O9" s="44">
        <v>0.0</v>
      </c>
      <c r="P9" s="44">
        <f>ROUNDDOWN(VLOOKUP(VLOOKUP(N9,'Профессии и боевые навыки'!$E$3:$I$34,2,FALSE),$C$10:$I$20,7,FALSE)/4,0)</f>
        <v>1</v>
      </c>
      <c r="Q9" s="44">
        <f>ROUNDDOWN(VLOOKUP(VLOOKUP(N9,'Профессии и боевые навыки'!$E$3:$I$34,3,FALSE),$C$10:$I$20,7,FALSE)/6,0)</f>
        <v>0</v>
      </c>
      <c r="R9" s="44">
        <v>0.0</v>
      </c>
      <c r="S9" s="45">
        <f>IF(O9=0,O9+P9+Q9+R9+VLOOKUP(N9,'Профессии и боевые навыки'!$E$3:$K$34,7,FALSE),O9+P9+Q9+R9)</f>
        <v>-3</v>
      </c>
      <c r="T9" s="31"/>
      <c r="U9" s="46"/>
      <c r="V9" s="1"/>
      <c r="W9" s="51">
        <f>C117</f>
        <v>17</v>
      </c>
      <c r="X9" s="52">
        <v>10.0</v>
      </c>
      <c r="Y9" s="53"/>
      <c r="Z9" s="53"/>
      <c r="AA9" s="12"/>
      <c r="AB9" s="12"/>
      <c r="AC9" s="23" t="b">
        <v>0</v>
      </c>
      <c r="AD9" s="14" t="s">
        <v>30</v>
      </c>
      <c r="AE9" s="14" t="str">
        <f>VLOOKUP(AD9,'Приемы'!$C$4:$G$118,2,FALSE)</f>
        <v/>
      </c>
      <c r="AF9" s="1" t="str">
        <f>VLOOKUP(AD9,'Приемы'!$C$4:$G$118,3,FALSE)</f>
        <v/>
      </c>
      <c r="AH9" s="36" t="str">
        <f>VLOOKUP(AD9,'Приемы'!$C$4:$G$118,4,FALSE)</f>
        <v/>
      </c>
      <c r="AI9" s="1" t="str">
        <f>VLOOKUP(AD9,'Приемы'!$C$4:$G$118,5,FALSE)</f>
        <v/>
      </c>
      <c r="AJ9" s="12"/>
      <c r="AK9" s="12"/>
      <c r="AL9" s="12"/>
      <c r="AM9" s="12"/>
      <c r="AN9" s="12"/>
      <c r="AO9" s="12"/>
      <c r="AP9" s="12"/>
      <c r="AQ9" s="12"/>
      <c r="AR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ht="11.25" customHeight="1">
      <c r="A10" s="18"/>
      <c r="B10" s="13" t="b">
        <v>1</v>
      </c>
      <c r="C10" s="54" t="s">
        <v>44</v>
      </c>
      <c r="D10" s="54" t="s">
        <v>45</v>
      </c>
      <c r="E10" s="55">
        <v>4.0</v>
      </c>
      <c r="F10" s="56">
        <v>4.0</v>
      </c>
      <c r="G10" s="56">
        <f t="shared" ref="G10:G20" si="1">IF(F10=E10,0,SUM(SEQUENCE(1,F10-E10,E10+1)))</f>
        <v>0</v>
      </c>
      <c r="H10" s="56">
        <f>IFERROR(IF(VLOOKUP("Зевс",N63:T65,4,FALSE)="+",1,0),0)</f>
        <v>0</v>
      </c>
      <c r="I10" s="57">
        <f t="shared" ref="I10:I20" si="2">F10+H10</f>
        <v>4</v>
      </c>
      <c r="J10" s="31"/>
      <c r="K10" s="58" t="s">
        <v>46</v>
      </c>
      <c r="L10" s="59">
        <f>IFERROR(__xludf.DUMMYFUNCTION("MIN(MIN(FILTER(F10:F20,B10:B20=TRUE)),5)"),3.0)</f>
        <v>3</v>
      </c>
      <c r="M10" s="13" t="b">
        <v>0</v>
      </c>
      <c r="N10" s="43" t="str">
        <f>'Профессии и боевые навыки'!E6</f>
        <v>Гончар</v>
      </c>
      <c r="O10" s="44">
        <v>0.0</v>
      </c>
      <c r="P10" s="44">
        <f>ROUNDDOWN(VLOOKUP(VLOOKUP(N10,'Профессии и боевые навыки'!$E$3:$I$34,2,FALSE),$C$10:$I$20,7,FALSE)/4,0)</f>
        <v>0</v>
      </c>
      <c r="Q10" s="44">
        <f>ROUNDDOWN(VLOOKUP(VLOOKUP(N10,'Профессии и боевые навыки'!$E$3:$I$34,3,FALSE),$C$10:$I$20,7,FALSE)/6,0)</f>
        <v>0</v>
      </c>
      <c r="R10" s="44">
        <v>0.0</v>
      </c>
      <c r="S10" s="45">
        <f>IF(O10=0,O10+P10+Q10+R10+VLOOKUP(N10,'Профессии и боевые навыки'!$E$3:$K$34,7,FALSE),O10+P10+Q10+R10)</f>
        <v>-4</v>
      </c>
      <c r="T10" s="31"/>
      <c r="U10" s="42" t="s">
        <v>47</v>
      </c>
      <c r="W10" s="60">
        <v>17.0</v>
      </c>
      <c r="X10" s="61"/>
      <c r="Y10" s="42" t="s">
        <v>48</v>
      </c>
      <c r="AA10" s="12"/>
      <c r="AB10" s="12"/>
      <c r="AC10" s="23" t="b">
        <v>0</v>
      </c>
      <c r="AD10" s="14" t="s">
        <v>30</v>
      </c>
      <c r="AE10" s="14" t="str">
        <f>VLOOKUP(AD10,'Приемы'!$C$4:$G$118,2,FALSE)</f>
        <v/>
      </c>
      <c r="AF10" s="1" t="str">
        <f>VLOOKUP(AD10,'Приемы'!$C$4:$G$118,3,FALSE)</f>
        <v/>
      </c>
      <c r="AH10" s="36" t="str">
        <f>VLOOKUP(AD10,'Приемы'!$C$4:$G$118,4,FALSE)</f>
        <v/>
      </c>
      <c r="AI10" s="1" t="str">
        <f>VLOOKUP(AD10,'Приемы'!$C$4:$G$118,5,FALSE)</f>
        <v/>
      </c>
      <c r="AJ10" s="12"/>
      <c r="AK10" s="12"/>
      <c r="AL10" s="12"/>
      <c r="AM10" s="12"/>
      <c r="AN10" s="12"/>
      <c r="AO10" s="12"/>
      <c r="AP10" s="12"/>
      <c r="AQ10" s="12"/>
      <c r="AR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ht="11.25" customHeight="1">
      <c r="A11" s="18"/>
      <c r="B11" s="13" t="b">
        <v>1</v>
      </c>
      <c r="C11" s="54" t="s">
        <v>49</v>
      </c>
      <c r="D11" s="54" t="s">
        <v>50</v>
      </c>
      <c r="E11" s="55">
        <v>4.0</v>
      </c>
      <c r="F11" s="56">
        <v>4.0</v>
      </c>
      <c r="G11" s="56">
        <f t="shared" si="1"/>
        <v>0</v>
      </c>
      <c r="H11" s="56">
        <v>0.0</v>
      </c>
      <c r="I11" s="57">
        <f t="shared" si="2"/>
        <v>4</v>
      </c>
      <c r="J11" s="31"/>
      <c r="K11" s="62" t="s">
        <v>51</v>
      </c>
      <c r="L11" s="63">
        <v>1.0</v>
      </c>
      <c r="M11" s="13" t="b">
        <v>0</v>
      </c>
      <c r="N11" s="43" t="str">
        <f>'Профессии и боевые навыки'!E7</f>
        <v>Земледелец</v>
      </c>
      <c r="O11" s="44">
        <v>0.0</v>
      </c>
      <c r="P11" s="44">
        <f>ROUNDDOWN(VLOOKUP(VLOOKUP(N11,'Профессии и боевые навыки'!$E$3:$I$34,2,FALSE),$C$10:$I$20,7,FALSE)/4,0)</f>
        <v>0</v>
      </c>
      <c r="Q11" s="44">
        <f>ROUNDDOWN(VLOOKUP(VLOOKUP(N11,'Профессии и боевые навыки'!$E$3:$I$34,3,FALSE),$C$10:$I$20,7,FALSE)/6,0)</f>
        <v>0</v>
      </c>
      <c r="R11" s="44">
        <v>0.0</v>
      </c>
      <c r="S11" s="45">
        <f>IF(O11=0,O11+P11+Q11+R11+VLOOKUP(N11,'Профессии и боевые навыки'!$E$3:$K$34,7,FALSE),O11+P11+Q11+R11)</f>
        <v>-4</v>
      </c>
      <c r="T11" s="31"/>
      <c r="U11" s="47">
        <f>IF(D38=TRUE,N119,N129)</f>
        <v>0</v>
      </c>
      <c r="V11" s="64">
        <f>IF(D38=TRUE,X119+AB119,X129+AB129)</f>
        <v>4</v>
      </c>
      <c r="W11" s="47">
        <f>IF(D38=TRUE,N118,N128)</f>
        <v>0</v>
      </c>
      <c r="X11" s="48">
        <f>IF(D38=TRUE,X118+AB118,X128+AB128)</f>
        <v>4</v>
      </c>
      <c r="Y11" s="47">
        <f>IF(D38=TRUE,N120,N130)</f>
        <v>0</v>
      </c>
      <c r="Z11" s="48">
        <f>IF(D38=TRUE,X120+AB120,X130+AB130)</f>
        <v>4</v>
      </c>
      <c r="AA11" s="12"/>
      <c r="AB11" s="12"/>
      <c r="AC11" s="23" t="b">
        <v>0</v>
      </c>
      <c r="AD11" s="14" t="s">
        <v>30</v>
      </c>
      <c r="AE11" s="14" t="str">
        <f>VLOOKUP(AD11,'Приемы'!$C$4:$G$118,2,FALSE)</f>
        <v/>
      </c>
      <c r="AF11" s="1" t="str">
        <f>VLOOKUP(AD11,'Приемы'!$C$4:$G$118,3,FALSE)</f>
        <v/>
      </c>
      <c r="AH11" s="36" t="str">
        <f>VLOOKUP(AD11,'Приемы'!$C$4:$G$118,4,FALSE)</f>
        <v/>
      </c>
      <c r="AI11" s="1" t="str">
        <f>VLOOKUP(AD11,'Приемы'!$C$4:$G$118,5,FALSE)</f>
        <v/>
      </c>
      <c r="AJ11" s="12"/>
      <c r="AK11" s="12"/>
      <c r="AL11" s="12"/>
      <c r="AM11" s="12"/>
      <c r="AN11" s="12"/>
      <c r="AO11" s="12"/>
      <c r="AP11" s="12"/>
      <c r="AQ11" s="12"/>
      <c r="AR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row>
    <row r="12" ht="11.25" customHeight="1">
      <c r="A12" s="18"/>
      <c r="B12" s="13" t="b">
        <v>1</v>
      </c>
      <c r="C12" s="54" t="s">
        <v>52</v>
      </c>
      <c r="D12" s="54" t="s">
        <v>53</v>
      </c>
      <c r="E12" s="55">
        <v>4.0</v>
      </c>
      <c r="F12" s="56">
        <v>4.0</v>
      </c>
      <c r="G12" s="56">
        <f t="shared" si="1"/>
        <v>0</v>
      </c>
      <c r="H12" s="56">
        <v>0.0</v>
      </c>
      <c r="I12" s="57">
        <f t="shared" si="2"/>
        <v>4</v>
      </c>
      <c r="J12" s="31"/>
      <c r="K12" s="65" t="s">
        <v>54</v>
      </c>
      <c r="L12" s="66">
        <f>VLOOKUP(L11,'Списки'!G46:H54,2,FALSE)</f>
        <v>0.5</v>
      </c>
      <c r="M12" s="13" t="b">
        <v>0</v>
      </c>
      <c r="N12" s="43" t="str">
        <f>'Профессии и боевые навыки'!E8</f>
        <v>Кожевник</v>
      </c>
      <c r="O12" s="44">
        <v>0.0</v>
      </c>
      <c r="P12" s="44">
        <f>ROUNDDOWN(VLOOKUP(VLOOKUP(N12,'Профессии и боевые навыки'!$E$3:$I$34,2,FALSE),$C$10:$I$20,7,FALSE)/4,0)</f>
        <v>0</v>
      </c>
      <c r="Q12" s="44">
        <f>ROUNDDOWN(VLOOKUP(VLOOKUP(N12,'Профессии и боевые навыки'!$E$3:$I$34,3,FALSE),$C$10:$I$20,7,FALSE)/6,0)</f>
        <v>0</v>
      </c>
      <c r="R12" s="44">
        <v>0.0</v>
      </c>
      <c r="S12" s="45">
        <f>IF(O12=0,O12+P12+Q12+R12+VLOOKUP(N12,'Профессии и боевые навыки'!$E$3:$K$34,7,FALSE),O12+P12+Q12+R12)</f>
        <v>-4</v>
      </c>
      <c r="T12" s="31"/>
      <c r="U12" s="49">
        <f>IF(D38=TRUE,O119,O129)</f>
        <v>0</v>
      </c>
      <c r="V12" s="50"/>
      <c r="W12" s="49">
        <f>IF(D38=TRUE,O118,O128)</f>
        <v>0</v>
      </c>
      <c r="X12" s="50"/>
      <c r="Y12" s="49">
        <f>IF(D38=TRUE,O120,O130)</f>
        <v>0</v>
      </c>
      <c r="Z12" s="50"/>
      <c r="AA12" s="12"/>
      <c r="AB12" s="12"/>
      <c r="AC12" s="23" t="b">
        <v>0</v>
      </c>
      <c r="AD12" s="14" t="s">
        <v>30</v>
      </c>
      <c r="AE12" s="14" t="str">
        <f>VLOOKUP(AD12,'Приемы'!$C$4:$G$118,2,FALSE)</f>
        <v/>
      </c>
      <c r="AF12" s="1" t="str">
        <f>VLOOKUP(AD12,'Приемы'!$C$4:$G$118,3,FALSE)</f>
        <v/>
      </c>
      <c r="AH12" s="36" t="str">
        <f>VLOOKUP(AD12,'Приемы'!$C$4:$G$118,4,FALSE)</f>
        <v/>
      </c>
      <c r="AI12" s="1" t="str">
        <f>VLOOKUP(AD12,'Приемы'!$C$4:$G$118,5,FALSE)</f>
        <v/>
      </c>
      <c r="AJ12" s="12"/>
      <c r="AK12" s="12"/>
      <c r="AL12" s="12"/>
      <c r="AM12" s="12"/>
      <c r="AN12" s="12"/>
      <c r="AO12" s="12"/>
      <c r="AP12" s="12"/>
      <c r="AQ12" s="12"/>
      <c r="AR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ht="11.25" customHeight="1">
      <c r="A13" s="18"/>
      <c r="B13" s="13" t="b">
        <v>1</v>
      </c>
      <c r="C13" s="54" t="s">
        <v>55</v>
      </c>
      <c r="D13" s="54" t="s">
        <v>56</v>
      </c>
      <c r="E13" s="55">
        <v>4.0</v>
      </c>
      <c r="F13" s="56">
        <v>4.0</v>
      </c>
      <c r="G13" s="56">
        <f t="shared" si="1"/>
        <v>0</v>
      </c>
      <c r="H13" s="56">
        <v>0.0</v>
      </c>
      <c r="I13" s="57">
        <f t="shared" si="2"/>
        <v>4</v>
      </c>
      <c r="J13" s="31"/>
      <c r="M13" s="13" t="b">
        <v>0</v>
      </c>
      <c r="N13" s="43" t="str">
        <f>'Профессии и боевые навыки'!E9</f>
        <v>Констебль</v>
      </c>
      <c r="O13" s="44">
        <v>0.0</v>
      </c>
      <c r="P13" s="44">
        <f>ROUNDDOWN(VLOOKUP(VLOOKUP(N13,'Профессии и боевые навыки'!$E$3:$I$34,2,FALSE),$C$10:$I$20,7,FALSE)/4,0)</f>
        <v>0</v>
      </c>
      <c r="Q13" s="44">
        <f>ROUNDDOWN(VLOOKUP(VLOOKUP(N13,'Профессии и боевые навыки'!$E$3:$I$34,3,FALSE),$C$10:$I$20,7,FALSE)/6,0)</f>
        <v>0</v>
      </c>
      <c r="R13" s="44">
        <v>0.0</v>
      </c>
      <c r="S13" s="45">
        <f>IF(O13=0,O13+P13+Q13+R13+VLOOKUP(N13,'Профессии и боевые навыки'!$E$3:$K$34,7,FALSE),O13+P13+Q13+R13)</f>
        <v>-2</v>
      </c>
      <c r="T13" s="31"/>
      <c r="U13" s="67">
        <f>C119</f>
        <v>23</v>
      </c>
      <c r="V13" s="52">
        <v>8.0</v>
      </c>
      <c r="W13" s="51">
        <f>C118</f>
        <v>34</v>
      </c>
      <c r="X13" s="52">
        <v>2.0</v>
      </c>
      <c r="Y13" s="68">
        <f>C120</f>
        <v>23</v>
      </c>
      <c r="Z13" s="52">
        <v>8.0</v>
      </c>
      <c r="AA13" s="12"/>
      <c r="AB13" s="12"/>
      <c r="AC13" s="23" t="b">
        <v>0</v>
      </c>
      <c r="AD13" s="14" t="s">
        <v>30</v>
      </c>
      <c r="AE13" s="14" t="str">
        <f>VLOOKUP(AD13,'Приемы'!$C$4:$G$118,2,FALSE)</f>
        <v/>
      </c>
      <c r="AF13" s="1" t="str">
        <f>VLOOKUP(AD13,'Приемы'!$C$4:$G$118,3,FALSE)</f>
        <v/>
      </c>
      <c r="AH13" s="36" t="str">
        <f>VLOOKUP(AD13,'Приемы'!$C$4:$G$118,4,FALSE)</f>
        <v/>
      </c>
      <c r="AI13" s="1" t="str">
        <f>VLOOKUP(AD13,'Приемы'!$C$4:$G$118,5,FALSE)</f>
        <v/>
      </c>
      <c r="AJ13" s="12"/>
      <c r="AK13" s="12"/>
      <c r="AL13" s="12"/>
      <c r="AM13" s="12"/>
      <c r="AN13" s="12"/>
      <c r="AO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row>
    <row r="14" ht="11.25" customHeight="1">
      <c r="A14" s="5"/>
      <c r="B14" s="13" t="b">
        <v>1</v>
      </c>
      <c r="C14" s="54" t="s">
        <v>57</v>
      </c>
      <c r="D14" s="54" t="s">
        <v>58</v>
      </c>
      <c r="E14" s="55">
        <v>3.0</v>
      </c>
      <c r="F14" s="56">
        <v>3.0</v>
      </c>
      <c r="G14" s="56">
        <f t="shared" si="1"/>
        <v>0</v>
      </c>
      <c r="H14" s="56">
        <f>IFERROR(IF(VLOOKUP("Артемида",N63:T65,4,FALSE)="+",1,0),0)</f>
        <v>0</v>
      </c>
      <c r="I14" s="57">
        <f t="shared" si="2"/>
        <v>3</v>
      </c>
      <c r="J14" s="31"/>
      <c r="K14" s="69" t="s">
        <v>59</v>
      </c>
      <c r="L14" s="70">
        <f>L15-1</f>
        <v>2</v>
      </c>
      <c r="M14" s="13" t="b">
        <v>0</v>
      </c>
      <c r="N14" s="43" t="str">
        <f>'Профессии и боевые навыки'!E10</f>
        <v>Кузнец</v>
      </c>
      <c r="O14" s="44">
        <v>0.0</v>
      </c>
      <c r="P14" s="44">
        <f>ROUNDDOWN(VLOOKUP(VLOOKUP(N14,'Профессии и боевые навыки'!$E$3:$I$34,2,FALSE),$C$10:$I$20,7,FALSE)/4,0)</f>
        <v>0</v>
      </c>
      <c r="Q14" s="44">
        <f>ROUNDDOWN(VLOOKUP(VLOOKUP(N14,'Профессии и боевые навыки'!$E$3:$I$34,3,FALSE),$C$10:$I$20,7,FALSE)/6,0)</f>
        <v>0</v>
      </c>
      <c r="R14" s="44">
        <v>0.0</v>
      </c>
      <c r="S14" s="45">
        <f>IF(O14=0,O14+P14+Q14+R14+VLOOKUP(N14,'Профессии и боевые навыки'!$E$3:$K$34,7,FALSE),O14+P14+Q14+R14)</f>
        <v>-4</v>
      </c>
      <c r="T14" s="31"/>
      <c r="U14" s="60">
        <v>23.0</v>
      </c>
      <c r="V14" s="61"/>
      <c r="W14" s="60">
        <v>34.0</v>
      </c>
      <c r="X14" s="61"/>
      <c r="Y14" s="60">
        <v>23.0</v>
      </c>
      <c r="Z14" s="61"/>
      <c r="AA14" s="12"/>
      <c r="AB14" s="12"/>
      <c r="AC14" s="23" t="b">
        <v>0</v>
      </c>
      <c r="AD14" s="14" t="s">
        <v>30</v>
      </c>
      <c r="AE14" s="14" t="str">
        <f>VLOOKUP(AD14,'Приемы'!$C$4:$G$118,2,FALSE)</f>
        <v/>
      </c>
      <c r="AF14" s="1" t="str">
        <f>VLOOKUP(AD14,'Приемы'!$C$4:$G$118,3,FALSE)</f>
        <v/>
      </c>
      <c r="AH14" s="36" t="str">
        <f>VLOOKUP(AD14,'Приемы'!$C$4:$G$118,4,FALSE)</f>
        <v/>
      </c>
      <c r="AI14" s="1" t="str">
        <f>VLOOKUP(AD14,'Приемы'!$C$4:$G$118,5,FALSE)</f>
        <v/>
      </c>
      <c r="AJ14" s="12"/>
      <c r="AK14" s="12"/>
      <c r="AL14" s="12"/>
      <c r="AM14" s="12"/>
      <c r="AN14" s="12"/>
      <c r="AO14" s="12"/>
      <c r="AP14" s="12"/>
      <c r="AQ14" s="12"/>
      <c r="AR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ht="11.25" customHeight="1">
      <c r="A15" s="18"/>
      <c r="B15" s="13" t="b">
        <v>1</v>
      </c>
      <c r="C15" s="71" t="s">
        <v>60</v>
      </c>
      <c r="D15" s="72" t="s">
        <v>61</v>
      </c>
      <c r="E15" s="73">
        <v>3.0</v>
      </c>
      <c r="F15" s="74">
        <v>3.0</v>
      </c>
      <c r="G15" s="74">
        <f t="shared" si="1"/>
        <v>0</v>
      </c>
      <c r="H15" s="74">
        <f>IFERROR(IF(VLOOKUP("Аид",N63:T65,4,FALSE)="+",1,0),0)</f>
        <v>0</v>
      </c>
      <c r="I15" s="75">
        <f t="shared" si="2"/>
        <v>3</v>
      </c>
      <c r="J15" s="31"/>
      <c r="K15" s="76" t="s">
        <v>62</v>
      </c>
      <c r="L15" s="77">
        <f>VLOOKUP(L3,'Списки'!$B$147:$D$151,3,FALSE)+FLOOR(I14/5,1)+D40+IF(OR(V18&lt;=V17/2,X18&lt;=X17/2),-1,0)+D62</f>
        <v>3</v>
      </c>
      <c r="M15" s="13" t="b">
        <v>0</v>
      </c>
      <c r="N15" s="43" t="str">
        <f>'Профессии и боевые навыки'!E11</f>
        <v>Лазутчик</v>
      </c>
      <c r="O15" s="44">
        <v>0.0</v>
      </c>
      <c r="P15" s="44">
        <f>ROUNDDOWN(VLOOKUP(VLOOKUP(N15,'Профессии и боевые навыки'!$E$3:$I$34,2,FALSE),$C$10:$I$20,7,FALSE)/4,0)</f>
        <v>1</v>
      </c>
      <c r="Q15" s="44">
        <f>ROUNDDOWN(VLOOKUP(VLOOKUP(N15,'Профессии и боевые навыки'!$E$3:$I$34,3,FALSE),$C$10:$I$20,7,FALSE)/6,0)</f>
        <v>0</v>
      </c>
      <c r="R15" s="44">
        <f>IF(N44="Высокий рост",IF(P44=TRUE,-1,0),0)+IF(D34="Средние_доспехи",-3,0)+IF(D34="Тяжелые_доспехи",-6,0)</f>
        <v>0</v>
      </c>
      <c r="S15" s="45">
        <f>IF(O15=0,O15+P15+Q15+R15+VLOOKUP(N15,'Профессии и боевые навыки'!$E$3:$K$34,7,FALSE),O15+P15+Q15+R15)</f>
        <v>-1</v>
      </c>
      <c r="T15" s="31"/>
      <c r="U15" s="31"/>
      <c r="V15" s="47">
        <f>IF(D38=TRUE,N121,N131)</f>
        <v>0</v>
      </c>
      <c r="W15" s="64">
        <f>IF(D38=TRUE,X121+AB121,X131+AB131)</f>
        <v>4</v>
      </c>
      <c r="X15" s="47">
        <f>IF(D38=TRUE,N122,N132)</f>
        <v>0</v>
      </c>
      <c r="Y15" s="64">
        <f>IF(D38=TRUE,X122+AB122,X132+AB132)</f>
        <v>4</v>
      </c>
      <c r="Z15" s="46"/>
      <c r="AA15" s="12"/>
      <c r="AB15" s="12"/>
      <c r="AC15" s="23" t="b">
        <v>0</v>
      </c>
      <c r="AD15" s="14" t="s">
        <v>30</v>
      </c>
      <c r="AE15" s="14" t="str">
        <f>VLOOKUP(AD15,'Приемы'!$C$4:$G$118,2,FALSE)</f>
        <v/>
      </c>
      <c r="AF15" s="1" t="str">
        <f>VLOOKUP(AD15,'Приемы'!$C$4:$G$118,3,FALSE)</f>
        <v/>
      </c>
      <c r="AH15" s="36" t="str">
        <f>VLOOKUP(AD15,'Приемы'!$C$4:$G$118,4,FALSE)</f>
        <v/>
      </c>
      <c r="AI15" s="1" t="str">
        <f>VLOOKUP(AD15,'Приемы'!$C$4:$G$118,5,FALSE)</f>
        <v/>
      </c>
      <c r="AJ15" s="12"/>
      <c r="AK15" s="12"/>
      <c r="AL15" s="12"/>
      <c r="AM15" s="12"/>
      <c r="AN15" s="12"/>
      <c r="AO15" s="12"/>
      <c r="AP15" s="12"/>
      <c r="AQ15" s="12"/>
      <c r="AR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ht="11.25" customHeight="1">
      <c r="A16" s="18"/>
      <c r="B16" s="13" t="b">
        <v>0</v>
      </c>
      <c r="C16" s="78" t="s">
        <v>63</v>
      </c>
      <c r="D16" s="72" t="s">
        <v>64</v>
      </c>
      <c r="E16" s="73">
        <v>2.0</v>
      </c>
      <c r="F16" s="74">
        <v>2.0</v>
      </c>
      <c r="G16" s="74">
        <f t="shared" si="1"/>
        <v>0</v>
      </c>
      <c r="H16" s="74">
        <f>IFERROR(IF(VLOOKUP("Аполлон",N63:T65,4,FALSE)="+",1,0),0)</f>
        <v>0</v>
      </c>
      <c r="I16" s="75">
        <f t="shared" si="2"/>
        <v>2</v>
      </c>
      <c r="J16" s="31"/>
      <c r="K16" s="79" t="s">
        <v>65</v>
      </c>
      <c r="L16" s="80">
        <f>VLOOKUP(I15,'Списки'!G60:H94,2,FALSE)</f>
        <v>0</v>
      </c>
      <c r="M16" s="13" t="b">
        <v>0</v>
      </c>
      <c r="N16" s="43" t="str">
        <f>'Профессии и боевые навыки'!E12</f>
        <v>Лекарь</v>
      </c>
      <c r="O16" s="44">
        <v>0.0</v>
      </c>
      <c r="P16" s="44">
        <f>ROUNDDOWN(VLOOKUP(VLOOKUP(N16,'Профессии и боевые навыки'!$E$3:$I$34,2,FALSE),$C$10:$I$20,7,FALSE)/4,0)</f>
        <v>0</v>
      </c>
      <c r="Q16" s="44">
        <f>ROUNDDOWN(VLOOKUP(VLOOKUP(N16,'Профессии и боевые навыки'!$E$3:$I$34,3,FALSE),$C$10:$I$20,7,FALSE)/6,0)</f>
        <v>0</v>
      </c>
      <c r="R16" s="44">
        <v>0.0</v>
      </c>
      <c r="S16" s="45">
        <f>IF(O16=0,O16+P16+Q16+R16+VLOOKUP(N16,'Профессии и боевые навыки'!$E$3:$K$34,7,FALSE),O16+P16+Q16+R16)</f>
        <v>-4</v>
      </c>
      <c r="T16" s="31"/>
      <c r="U16" s="31"/>
      <c r="V16" s="49">
        <f>IF(D38=TRUE,O121,O131)</f>
        <v>0</v>
      </c>
      <c r="W16" s="50"/>
      <c r="X16" s="49">
        <f>IF(D38=TRUE,O122,O132)</f>
        <v>0</v>
      </c>
      <c r="Y16" s="50"/>
      <c r="Z16" s="46"/>
      <c r="AA16" s="12"/>
      <c r="AB16" s="12"/>
      <c r="AC16" s="23" t="b">
        <v>0</v>
      </c>
      <c r="AD16" s="14" t="s">
        <v>30</v>
      </c>
      <c r="AE16" s="14" t="str">
        <f>VLOOKUP(AD16,'Приемы'!$C$4:$G$118,2,FALSE)</f>
        <v/>
      </c>
      <c r="AF16" s="1" t="str">
        <f>VLOOKUP(AD16,'Приемы'!$C$4:$G$118,3,FALSE)</f>
        <v/>
      </c>
      <c r="AH16" s="36" t="str">
        <f>VLOOKUP(AD16,'Приемы'!$C$4:$G$118,4,FALSE)</f>
        <v/>
      </c>
      <c r="AI16" s="1" t="str">
        <f>VLOOKUP(AD16,'Приемы'!$C$4:$G$118,5,FALSE)</f>
        <v/>
      </c>
      <c r="AJ16" s="12"/>
      <c r="AK16" s="12"/>
      <c r="AL16" s="12"/>
      <c r="AM16" s="12"/>
      <c r="AN16" s="12"/>
      <c r="AO16" s="12"/>
      <c r="AP16" s="12"/>
      <c r="AQ16" s="12"/>
      <c r="AR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row>
    <row r="17" ht="11.25" customHeight="1">
      <c r="A17" s="18"/>
      <c r="B17" s="13" t="b">
        <v>1</v>
      </c>
      <c r="C17" s="72" t="s">
        <v>66</v>
      </c>
      <c r="D17" s="72" t="s">
        <v>67</v>
      </c>
      <c r="E17" s="73">
        <v>3.0</v>
      </c>
      <c r="F17" s="74">
        <v>3.0</v>
      </c>
      <c r="G17" s="74">
        <f t="shared" si="1"/>
        <v>0</v>
      </c>
      <c r="H17" s="74">
        <f>IFERROR(IF(VLOOKUP("Афина",N63:T65,4,FALSE)="+",1,0),0)</f>
        <v>0</v>
      </c>
      <c r="I17" s="75">
        <f t="shared" si="2"/>
        <v>3</v>
      </c>
      <c r="J17" s="31"/>
      <c r="K17" s="76" t="s">
        <v>68</v>
      </c>
      <c r="L17" s="77">
        <f>I12+I16</f>
        <v>6</v>
      </c>
      <c r="M17" s="13" t="b">
        <v>0</v>
      </c>
      <c r="N17" s="43" t="str">
        <f>'Профессии и боевые навыки'!E13</f>
        <v>Механик</v>
      </c>
      <c r="O17" s="44">
        <v>0.0</v>
      </c>
      <c r="P17" s="44">
        <f>ROUNDDOWN(VLOOKUP(VLOOKUP(N17,'Профессии и боевые навыки'!$E$3:$I$34,2,FALSE),$C$10:$I$20,7,FALSE)/4,0)</f>
        <v>0</v>
      </c>
      <c r="Q17" s="44">
        <f>ROUNDDOWN(VLOOKUP(VLOOKUP(N17,'Профессии и боевые навыки'!$E$3:$I$34,3,FALSE),$C$10:$I$20,7,FALSE)/6,0)</f>
        <v>0</v>
      </c>
      <c r="R17" s="44">
        <v>0.0</v>
      </c>
      <c r="S17" s="45">
        <f>IF(O17=0,O17+P17+Q17+R17+VLOOKUP(N17,'Профессии и боевые навыки'!$E$3:$K$34,7,FALSE),O17+P17+Q17+R17)</f>
        <v>-4</v>
      </c>
      <c r="T17" s="31"/>
      <c r="U17" s="31"/>
      <c r="V17" s="68">
        <f>C121</f>
        <v>23</v>
      </c>
      <c r="W17" s="52">
        <v>8.0</v>
      </c>
      <c r="X17" s="67">
        <f>C122</f>
        <v>23</v>
      </c>
      <c r="Y17" s="52">
        <v>8.0</v>
      </c>
      <c r="Z17" s="46"/>
      <c r="AA17" s="12"/>
      <c r="AB17" s="12"/>
      <c r="AC17" s="23" t="b">
        <v>0</v>
      </c>
      <c r="AD17" s="14" t="s">
        <v>30</v>
      </c>
      <c r="AE17" s="14" t="str">
        <f>VLOOKUP(AD17,'Приемы'!$C$4:$G$118,2,FALSE)</f>
        <v/>
      </c>
      <c r="AF17" s="1" t="str">
        <f>VLOOKUP(AD17,'Приемы'!$C$4:$G$118,3,FALSE)</f>
        <v/>
      </c>
      <c r="AH17" s="36" t="str">
        <f>VLOOKUP(AD17,'Приемы'!$C$4:$G$118,4,FALSE)</f>
        <v/>
      </c>
      <c r="AI17" s="1" t="str">
        <f>VLOOKUP(AD17,'Приемы'!$C$4:$G$118,5,FALSE)</f>
        <v/>
      </c>
      <c r="AJ17" s="12"/>
      <c r="AK17" s="12"/>
      <c r="AL17" s="12"/>
      <c r="AM17" s="12"/>
      <c r="AN17" s="12"/>
      <c r="AO17" s="12"/>
      <c r="AP17" s="12"/>
      <c r="AQ17" s="12"/>
      <c r="AR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ht="11.25" customHeight="1">
      <c r="A18" s="18"/>
      <c r="B18" s="13" t="b">
        <v>0</v>
      </c>
      <c r="C18" s="72" t="s">
        <v>69</v>
      </c>
      <c r="D18" s="72" t="s">
        <v>70</v>
      </c>
      <c r="E18" s="73">
        <v>2.0</v>
      </c>
      <c r="F18" s="74">
        <v>2.0</v>
      </c>
      <c r="G18" s="74">
        <f t="shared" si="1"/>
        <v>0</v>
      </c>
      <c r="H18" s="74">
        <v>0.0</v>
      </c>
      <c r="I18" s="75">
        <f t="shared" si="2"/>
        <v>2</v>
      </c>
      <c r="J18" s="31"/>
      <c r="K18" s="79" t="s">
        <v>71</v>
      </c>
      <c r="L18" s="80">
        <f>ROUNDUP(I17/2)</f>
        <v>2</v>
      </c>
      <c r="M18" s="13" t="b">
        <v>0</v>
      </c>
      <c r="N18" s="43" t="str">
        <f>'Профессии и боевые навыки'!E14</f>
        <v>Моряк</v>
      </c>
      <c r="O18" s="44">
        <v>0.0</v>
      </c>
      <c r="P18" s="44">
        <f>ROUNDDOWN(VLOOKUP(VLOOKUP(N18,'Профессии и боевые навыки'!$E$3:$I$34,2,FALSE),$C$10:$I$20,7,FALSE)/4,0)</f>
        <v>0</v>
      </c>
      <c r="Q18" s="44">
        <f>ROUNDDOWN(VLOOKUP(VLOOKUP(N18,'Профессии и боевые навыки'!$E$3:$I$34,3,FALSE),$C$10:$I$20,7,FALSE)/6,0)</f>
        <v>0</v>
      </c>
      <c r="R18" s="44">
        <v>0.0</v>
      </c>
      <c r="S18" s="45">
        <f>IF(O18=0,O18+P18+Q18+R18+VLOOKUP(N18,'Профессии и боевые навыки'!$E$3:$K$34,7,FALSE),O18+P18+Q18+R18)</f>
        <v>-2</v>
      </c>
      <c r="T18" s="31"/>
      <c r="U18" s="31"/>
      <c r="V18" s="60">
        <v>23.0</v>
      </c>
      <c r="W18" s="61"/>
      <c r="X18" s="60">
        <v>23.0</v>
      </c>
      <c r="Y18" s="61"/>
      <c r="Z18" s="46"/>
      <c r="AA18" s="12"/>
      <c r="AB18" s="12"/>
      <c r="AC18" s="23" t="b">
        <v>0</v>
      </c>
      <c r="AD18" s="14" t="s">
        <v>30</v>
      </c>
      <c r="AE18" s="14" t="str">
        <f>VLOOKUP(AD18,'Приемы'!$C$4:$G$118,2,FALSE)</f>
        <v/>
      </c>
      <c r="AF18" s="1" t="str">
        <f>VLOOKUP(AD18,'Приемы'!$C$4:$G$118,3,FALSE)</f>
        <v/>
      </c>
      <c r="AH18" s="36" t="str">
        <f>VLOOKUP(AD18,'Приемы'!$C$4:$G$118,4,FALSE)</f>
        <v/>
      </c>
      <c r="AI18" s="1" t="str">
        <f>VLOOKUP(AD18,'Приемы'!$C$4:$G$118,5,FALSE)</f>
        <v/>
      </c>
      <c r="AJ18" s="12"/>
      <c r="AK18" s="12"/>
      <c r="AL18" s="12"/>
      <c r="AM18" s="12"/>
      <c r="AN18" s="12"/>
      <c r="AO18" s="12"/>
      <c r="AP18" s="12"/>
      <c r="AQ18" s="12"/>
      <c r="AR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ht="11.25" customHeight="1">
      <c r="A19" s="18"/>
      <c r="B19" s="13" t="b">
        <v>1</v>
      </c>
      <c r="C19" s="72" t="s">
        <v>72</v>
      </c>
      <c r="D19" s="72" t="s">
        <v>73</v>
      </c>
      <c r="E19" s="73">
        <v>3.0</v>
      </c>
      <c r="F19" s="74">
        <v>3.0</v>
      </c>
      <c r="G19" s="74">
        <f t="shared" si="1"/>
        <v>0</v>
      </c>
      <c r="H19" s="74">
        <v>0.0</v>
      </c>
      <c r="I19" s="75">
        <f t="shared" si="2"/>
        <v>3</v>
      </c>
      <c r="J19" s="31"/>
      <c r="K19" s="79" t="s">
        <v>74</v>
      </c>
      <c r="L19" s="81">
        <f>I18*2%</f>
        <v>0.04</v>
      </c>
      <c r="M19" s="13" t="b">
        <v>0</v>
      </c>
      <c r="N19" s="43" t="str">
        <f>'Профессии и боевые навыки'!E15</f>
        <v>Мошенник</v>
      </c>
      <c r="O19" s="44">
        <v>0.0</v>
      </c>
      <c r="P19" s="44">
        <f>ROUNDDOWN(VLOOKUP(VLOOKUP(N19,'Профессии и боевые навыки'!$E$3:$I$34,2,FALSE),$C$10:$I$20,7,FALSE)/4,0)</f>
        <v>0</v>
      </c>
      <c r="Q19" s="44">
        <f>ROUNDDOWN(VLOOKUP(VLOOKUP(N19,'Профессии и боевые навыки'!$E$3:$I$34,3,FALSE),$C$10:$I$20,7,FALSE)/6,0)</f>
        <v>0</v>
      </c>
      <c r="R19" s="44">
        <v>0.0</v>
      </c>
      <c r="S19" s="45">
        <f>IF(O19=0,O19+P19+Q19+R19+VLOOKUP(N19,'Профессии и боевые навыки'!$E$3:$K$34,7,FALSE),O19+P19+Q19+R19)</f>
        <v>-2</v>
      </c>
      <c r="T19" s="31"/>
      <c r="U19" s="31"/>
      <c r="V19" s="82" t="s">
        <v>75</v>
      </c>
      <c r="X19" s="82" t="s">
        <v>76</v>
      </c>
      <c r="Z19" s="12"/>
      <c r="AA19" s="12"/>
      <c r="AB19" s="12"/>
      <c r="AC19" s="23" t="b">
        <v>0</v>
      </c>
      <c r="AD19" s="14" t="s">
        <v>30</v>
      </c>
      <c r="AE19" s="14" t="str">
        <f>VLOOKUP(AD19,'Приемы'!$C$4:$G$118,2,FALSE)</f>
        <v/>
      </c>
      <c r="AF19" s="1" t="str">
        <f>VLOOKUP(AD19,'Приемы'!$C$4:$G$118,3,FALSE)</f>
        <v/>
      </c>
      <c r="AH19" s="36" t="str">
        <f>VLOOKUP(AD19,'Приемы'!$C$4:$G$118,4,FALSE)</f>
        <v/>
      </c>
      <c r="AI19" s="1" t="str">
        <f>VLOOKUP(AD19,'Приемы'!$C$4:$G$118,5,FALSE)</f>
        <v/>
      </c>
      <c r="AJ19" s="12"/>
      <c r="AK19" s="12"/>
      <c r="AL19" s="12"/>
      <c r="AM19" s="12"/>
      <c r="AN19" s="12"/>
      <c r="AO19" s="12"/>
      <c r="AP19" s="12"/>
      <c r="AQ19" s="12"/>
      <c r="AR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ht="11.25" customHeight="1">
      <c r="A20" s="18"/>
      <c r="B20" s="13" t="b">
        <v>1</v>
      </c>
      <c r="C20" s="72" t="s">
        <v>77</v>
      </c>
      <c r="D20" s="72" t="s">
        <v>78</v>
      </c>
      <c r="E20" s="73">
        <v>3.0</v>
      </c>
      <c r="F20" s="74">
        <v>3.0</v>
      </c>
      <c r="G20" s="74">
        <f t="shared" si="1"/>
        <v>0</v>
      </c>
      <c r="H20" s="74">
        <v>0.0</v>
      </c>
      <c r="I20" s="75">
        <f t="shared" si="2"/>
        <v>3</v>
      </c>
      <c r="J20" s="31"/>
      <c r="K20" s="76" t="s">
        <v>79</v>
      </c>
      <c r="L20" s="77">
        <f>S57</f>
        <v>-1</v>
      </c>
      <c r="M20" s="13" t="b">
        <v>0</v>
      </c>
      <c r="N20" s="43" t="str">
        <f>'Профессии и боевые навыки'!E16</f>
        <v>Наездник</v>
      </c>
      <c r="O20" s="44">
        <v>0.0</v>
      </c>
      <c r="P20" s="44">
        <f>ROUNDDOWN(VLOOKUP(VLOOKUP(N20,'Профессии и боевые навыки'!$E$3:$I$34,2,FALSE),$C$10:$I$20,7,FALSE)/4,0)</f>
        <v>1</v>
      </c>
      <c r="Q20" s="44">
        <f>ROUNDDOWN(VLOOKUP(VLOOKUP(N20,'Профессии и боевые навыки'!$E$3:$I$34,3,FALSE),$C$10:$I$20,7,FALSE)/6,0)</f>
        <v>0</v>
      </c>
      <c r="R20" s="44">
        <v>0.0</v>
      </c>
      <c r="S20" s="45">
        <f>IF(O20=0,O20+P20+Q20+R20+VLOOKUP(N20,'Профессии и боевые навыки'!$E$3:$K$34,7,FALSE),O20+P20+Q20+R20)</f>
        <v>-1</v>
      </c>
      <c r="T20" s="31"/>
      <c r="U20" s="31"/>
      <c r="V20" s="31"/>
      <c r="W20" s="31"/>
      <c r="X20" s="12"/>
      <c r="Y20" s="12"/>
      <c r="Z20" s="12"/>
      <c r="AA20" s="12"/>
      <c r="AB20" s="12"/>
      <c r="AC20" s="23" t="b">
        <v>0</v>
      </c>
      <c r="AD20" s="14" t="s">
        <v>30</v>
      </c>
      <c r="AE20" s="14" t="str">
        <f>VLOOKUP(AD20,'Приемы'!$C$4:$G$118,2,FALSE)</f>
        <v/>
      </c>
      <c r="AF20" s="1" t="str">
        <f>VLOOKUP(AD20,'Приемы'!$C$4:$G$118,3,FALSE)</f>
        <v/>
      </c>
      <c r="AH20" s="36" t="str">
        <f>VLOOKUP(AD20,'Приемы'!$C$4:$G$118,4,FALSE)</f>
        <v/>
      </c>
      <c r="AI20" s="1" t="str">
        <f>VLOOKUP(AD20,'Приемы'!$C$4:$G$118,5,FALSE)</f>
        <v/>
      </c>
      <c r="AJ20" s="12"/>
      <c r="AK20" s="12"/>
      <c r="AL20" s="12"/>
      <c r="AM20" s="12"/>
      <c r="AN20" s="12"/>
      <c r="AO20" s="12"/>
      <c r="AP20" s="12"/>
      <c r="AQ20" s="12"/>
      <c r="AR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ht="11.25" customHeight="1">
      <c r="A21" s="1"/>
      <c r="B21" s="1"/>
      <c r="C21" s="10" t="s">
        <v>4</v>
      </c>
      <c r="D21" s="12"/>
      <c r="E21" s="9">
        <f t="shared" ref="E21:G21" si="3">SUM(E10:E20)</f>
        <v>35</v>
      </c>
      <c r="F21" s="11">
        <f t="shared" si="3"/>
        <v>35</v>
      </c>
      <c r="G21" s="83">
        <f t="shared" si="3"/>
        <v>0</v>
      </c>
      <c r="H21" s="31"/>
      <c r="I21" s="11">
        <f>SUM(I10:I20)</f>
        <v>35</v>
      </c>
      <c r="J21" s="31"/>
      <c r="K21" s="84" t="s">
        <v>80</v>
      </c>
      <c r="L21" s="85">
        <f>VLOOKUP(K85,'Списки'!B161:I163,L85+2,FALSE)+VLOOKUP(K93,'Списки'!B161:I163,L93+2,FALSE)+D46+IF(L3="Гном",1,0)+IF(L3="Эльф",-1,0)+I10</f>
        <v>4</v>
      </c>
      <c r="M21" s="13" t="b">
        <v>0</v>
      </c>
      <c r="N21" s="43" t="str">
        <f>'Профессии и боевые навыки'!E17</f>
        <v>Охотник</v>
      </c>
      <c r="O21" s="44">
        <v>0.0</v>
      </c>
      <c r="P21" s="44">
        <f>ROUNDDOWN(VLOOKUP(VLOOKUP(N21,'Профессии и боевые навыки'!$E$3:$I$34,2,FALSE),$C$10:$I$20,7,FALSE)/4,0)</f>
        <v>0</v>
      </c>
      <c r="Q21" s="44">
        <f>ROUNDDOWN(VLOOKUP(VLOOKUP(N21,'Профессии и боевые навыки'!$E$3:$I$34,3,FALSE),$C$10:$I$20,7,FALSE)/6,0)</f>
        <v>0</v>
      </c>
      <c r="R21" s="44">
        <v>0.0</v>
      </c>
      <c r="S21" s="45">
        <f>IF(O21=0,O21+P21+Q21+R21+VLOOKUP(N21,'Профессии и боевые навыки'!$E$3:$K$34,7,FALSE),O21+P21+Q21+R21)</f>
        <v>-2</v>
      </c>
      <c r="T21" s="31"/>
      <c r="U21" s="31"/>
      <c r="V21" s="31"/>
      <c r="W21" s="31"/>
      <c r="X21" s="12"/>
      <c r="Y21" s="12"/>
      <c r="Z21" s="12"/>
      <c r="AA21" s="12"/>
      <c r="AB21" s="12"/>
      <c r="AC21" s="23" t="b">
        <v>0</v>
      </c>
      <c r="AD21" s="14" t="s">
        <v>30</v>
      </c>
      <c r="AE21" s="14" t="str">
        <f>VLOOKUP(AD21,'Приемы'!$C$4:$G$118,2,FALSE)</f>
        <v/>
      </c>
      <c r="AF21" s="1" t="str">
        <f>VLOOKUP(AD21,'Приемы'!$C$4:$G$118,3,FALSE)</f>
        <v/>
      </c>
      <c r="AH21" s="36" t="str">
        <f>VLOOKUP(AD21,'Приемы'!$C$4:$G$118,4,FALSE)</f>
        <v/>
      </c>
      <c r="AI21" s="1" t="str">
        <f>VLOOKUP(AD21,'Приемы'!$C$4:$G$118,5,FALSE)</f>
        <v/>
      </c>
      <c r="AJ21" s="12"/>
      <c r="AK21" s="12"/>
      <c r="AL21" s="12"/>
      <c r="AM21" s="12"/>
      <c r="AN21" s="12"/>
      <c r="AO21" s="12"/>
      <c r="AP21" s="12"/>
      <c r="AQ21" s="12"/>
      <c r="AR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ht="11.25" customHeight="1">
      <c r="A22" s="1"/>
      <c r="B22" s="1"/>
      <c r="C22" s="1"/>
      <c r="D22" s="1"/>
      <c r="E22" s="1"/>
      <c r="F22" s="1"/>
      <c r="G22" s="1"/>
      <c r="H22" s="1"/>
      <c r="I22" s="1"/>
      <c r="M22" s="13" t="b">
        <v>0</v>
      </c>
      <c r="N22" s="43" t="str">
        <f>'Профессии и боевые навыки'!E18</f>
        <v>Пастух</v>
      </c>
      <c r="O22" s="44">
        <v>0.0</v>
      </c>
      <c r="P22" s="44">
        <f>ROUNDDOWN(VLOOKUP(VLOOKUP(N22,'Профессии и боевые навыки'!$E$3:$I$34,2,FALSE),$C$10:$I$20,7,FALSE)/4,0)</f>
        <v>0</v>
      </c>
      <c r="Q22" s="44">
        <f>ROUNDDOWN(VLOOKUP(VLOOKUP(N22,'Профессии и боевые навыки'!$E$3:$I$34,3,FALSE),$C$10:$I$20,7,FALSE)/6,0)</f>
        <v>0</v>
      </c>
      <c r="R22" s="44">
        <v>0.0</v>
      </c>
      <c r="S22" s="45">
        <f>IF(O22=0,O22+P22+Q22+R22+VLOOKUP(N22,'Профессии и боевые навыки'!$E$3:$K$34,7,FALSE),O22+P22+Q22+R22)</f>
        <v>-4</v>
      </c>
      <c r="T22" s="31"/>
      <c r="U22" s="86" t="s">
        <v>81</v>
      </c>
      <c r="V22" s="87"/>
      <c r="W22" s="87"/>
      <c r="X22" s="88"/>
      <c r="Y22" s="88"/>
      <c r="Z22" s="88"/>
      <c r="AA22" s="89"/>
      <c r="AB22" s="12"/>
      <c r="AC22" s="23" t="b">
        <v>0</v>
      </c>
      <c r="AD22" s="14" t="s">
        <v>30</v>
      </c>
      <c r="AE22" s="14" t="str">
        <f>VLOOKUP(AD22,'Приемы'!$C$4:$G$118,2,FALSE)</f>
        <v/>
      </c>
      <c r="AF22" s="1" t="str">
        <f>VLOOKUP(AD22,'Приемы'!$C$4:$G$118,3,FALSE)</f>
        <v/>
      </c>
      <c r="AH22" s="36" t="str">
        <f>VLOOKUP(AD22,'Приемы'!$C$4:$G$118,4,FALSE)</f>
        <v/>
      </c>
      <c r="AI22" s="1" t="str">
        <f>VLOOKUP(AD22,'Приемы'!$C$4:$G$118,5,FALSE)</f>
        <v/>
      </c>
      <c r="AJ22" s="12"/>
      <c r="AK22" s="12"/>
      <c r="AL22" s="12"/>
      <c r="AM22" s="12"/>
      <c r="AN22" s="12"/>
      <c r="AO22" s="12"/>
      <c r="AP22" s="12"/>
      <c r="AQ22" s="12"/>
      <c r="AR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ht="11.25" customHeight="1">
      <c r="A23" s="14"/>
      <c r="C23" s="90" t="s">
        <v>82</v>
      </c>
      <c r="D23" s="91">
        <f>SUM(D24:D28)</f>
        <v>60</v>
      </c>
      <c r="E23" s="12"/>
      <c r="F23" s="12"/>
      <c r="G23" s="12"/>
      <c r="H23" s="12"/>
      <c r="I23" s="12"/>
      <c r="K23" s="92" t="s">
        <v>83</v>
      </c>
      <c r="L23" s="93">
        <f>SUM(L24:L28)</f>
        <v>143</v>
      </c>
      <c r="M23" s="13" t="b">
        <v>0</v>
      </c>
      <c r="N23" s="43" t="str">
        <f>'Профессии и боевые навыки'!E19</f>
        <v>Пивовар</v>
      </c>
      <c r="O23" s="44">
        <v>0.0</v>
      </c>
      <c r="P23" s="44">
        <f>ROUNDDOWN(VLOOKUP(VLOOKUP(N23,'Профессии и боевые навыки'!$E$3:$I$34,2,FALSE),$C$10:$I$20,7,FALSE)/4,0)</f>
        <v>0</v>
      </c>
      <c r="Q23" s="44">
        <f>ROUNDDOWN(VLOOKUP(VLOOKUP(N23,'Профессии и боевые навыки'!$E$3:$I$34,3,FALSE),$C$10:$I$20,7,FALSE)/6,0)</f>
        <v>0</v>
      </c>
      <c r="R23" s="94">
        <f>IF(D34="No_clothes",1,IF(D34="Medium_armor",-3,IF(D34="Heavy_armor",-6,0)))</f>
        <v>0</v>
      </c>
      <c r="S23" s="45">
        <f>IF(O23=0,O23+P23+Q23+R23+VLOOKUP(N23,'Профессии и боевые навыки'!$E$3:$K$34,7,FALSE),O23+P23+Q23+R23)</f>
        <v>-4</v>
      </c>
      <c r="T23" s="31"/>
      <c r="U23" s="95" t="s">
        <v>84</v>
      </c>
      <c r="V23" s="96">
        <v>0.0</v>
      </c>
      <c r="W23" s="97" t="s">
        <v>85</v>
      </c>
      <c r="X23" s="96">
        <v>0.0</v>
      </c>
      <c r="Y23" s="97" t="s">
        <v>86</v>
      </c>
      <c r="Z23" s="96">
        <v>10.0</v>
      </c>
      <c r="AA23" s="98"/>
      <c r="AB23" s="12"/>
      <c r="AC23" s="23" t="b">
        <v>0</v>
      </c>
      <c r="AD23" s="14" t="s">
        <v>30</v>
      </c>
      <c r="AE23" s="14" t="str">
        <f>VLOOKUP(AD23,'Приемы'!$C$4:$G$118,2,FALSE)</f>
        <v/>
      </c>
      <c r="AF23" s="1" t="str">
        <f>VLOOKUP(AD23,'Приемы'!$C$4:$G$118,3,FALSE)</f>
        <v/>
      </c>
      <c r="AH23" s="36" t="str">
        <f>VLOOKUP(AD23,'Приемы'!$C$4:$G$118,4,FALSE)</f>
        <v/>
      </c>
      <c r="AI23" s="1" t="str">
        <f>VLOOKUP(AD23,'Приемы'!$C$4:$G$118,5,FALSE)</f>
        <v/>
      </c>
      <c r="AJ23" s="12"/>
      <c r="AK23" s="12"/>
      <c r="AL23" s="12"/>
      <c r="AM23" s="12"/>
      <c r="AN23" s="12"/>
      <c r="AO23" s="12"/>
      <c r="AP23" s="12"/>
      <c r="AQ23" s="12"/>
      <c r="AR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row>
    <row r="24" ht="11.25" customHeight="1">
      <c r="A24" s="14"/>
      <c r="C24" s="99" t="s">
        <v>87</v>
      </c>
      <c r="D24" s="100">
        <f>I16*20</f>
        <v>40</v>
      </c>
      <c r="E24" s="12"/>
      <c r="F24" s="12"/>
      <c r="G24" s="12"/>
      <c r="H24" s="12"/>
      <c r="I24" s="12"/>
      <c r="K24" s="101" t="s">
        <v>88</v>
      </c>
      <c r="L24" s="102">
        <f>I10*10</f>
        <v>40</v>
      </c>
      <c r="M24" s="13" t="b">
        <v>0</v>
      </c>
      <c r="N24" s="43" t="str">
        <f>'Профессии и боевые навыки'!E20</f>
        <v>Писарь</v>
      </c>
      <c r="O24" s="44">
        <v>0.0</v>
      </c>
      <c r="P24" s="44">
        <f>ROUNDDOWN(VLOOKUP(VLOOKUP(N24,'Профессии и боевые навыки'!$E$3:$I$34,2,FALSE),$C$10:$I$20,7,FALSE)/4,0)</f>
        <v>0</v>
      </c>
      <c r="Q24" s="44">
        <f>ROUNDDOWN(VLOOKUP(VLOOKUP(N24,'Профессии и боевые навыки'!$E$3:$I$34,3,FALSE),$C$10:$I$20,7,FALSE)/6,0)</f>
        <v>0</v>
      </c>
      <c r="R24" s="44">
        <v>0.0</v>
      </c>
      <c r="S24" s="45">
        <f>IF(O24=0,O24+P24+Q24+R24+VLOOKUP(N24,'Профессии и боевые навыки'!$E$3:$K$34,7,FALSE),O24+P24+Q24+R24)</f>
        <v>-4</v>
      </c>
      <c r="T24" s="31"/>
      <c r="U24" s="103" t="s">
        <v>89</v>
      </c>
      <c r="V24" s="104"/>
      <c r="W24" s="104"/>
      <c r="X24" s="105"/>
      <c r="Y24" s="105"/>
      <c r="Z24" s="105"/>
      <c r="AA24" s="106"/>
      <c r="AB24" s="12"/>
      <c r="AC24" s="23" t="b">
        <v>0</v>
      </c>
      <c r="AD24" s="14" t="s">
        <v>30</v>
      </c>
      <c r="AE24" s="14" t="str">
        <f>VLOOKUP(AD24,'Приемы'!$C$4:$G$118,2,FALSE)</f>
        <v/>
      </c>
      <c r="AF24" s="1" t="str">
        <f>VLOOKUP(AD24,'Приемы'!$C$4:$G$118,3,FALSE)</f>
        <v/>
      </c>
      <c r="AH24" s="36" t="str">
        <f>VLOOKUP(AD24,'Приемы'!$C$4:$G$118,4,FALSE)</f>
        <v/>
      </c>
      <c r="AI24" s="1" t="str">
        <f>VLOOKUP(AD24,'Приемы'!$C$4:$G$118,5,FALSE)</f>
        <v/>
      </c>
      <c r="AJ24" s="12"/>
      <c r="AK24" s="12"/>
      <c r="AL24" s="12"/>
      <c r="AM24" s="12"/>
      <c r="AN24" s="12"/>
      <c r="AO24" s="12"/>
      <c r="AP24" s="12"/>
      <c r="AQ24" s="12"/>
      <c r="AR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row>
    <row r="25" ht="11.25" customHeight="1">
      <c r="A25" s="1"/>
      <c r="C25" s="99" t="s">
        <v>90</v>
      </c>
      <c r="D25" s="100">
        <f>I18*10</f>
        <v>20</v>
      </c>
      <c r="E25" s="12"/>
      <c r="F25" s="12"/>
      <c r="G25" s="12"/>
      <c r="H25" s="12"/>
      <c r="I25" s="12"/>
      <c r="K25" s="101" t="s">
        <v>91</v>
      </c>
      <c r="L25" s="102">
        <f>I12*22</f>
        <v>88</v>
      </c>
      <c r="M25" s="13" t="b">
        <v>0</v>
      </c>
      <c r="N25" s="43" t="str">
        <f>'Профессии и боевые навыки'!E21</f>
        <v>Плотник</v>
      </c>
      <c r="O25" s="44">
        <v>0.0</v>
      </c>
      <c r="P25" s="44">
        <f>ROUNDDOWN(VLOOKUP(VLOOKUP(N25,'Профессии и боевые навыки'!$E$3:$I$34,2,FALSE),$C$10:$I$20,7,FALSE)/4,0)</f>
        <v>0</v>
      </c>
      <c r="Q25" s="44">
        <f>ROUNDDOWN(VLOOKUP(VLOOKUP(N25,'Профессии и боевые навыки'!$E$3:$I$34,3,FALSE),$C$10:$I$20,7,FALSE)/6,0)</f>
        <v>0</v>
      </c>
      <c r="R25" s="44">
        <f>IF(N44="Tall",IF(P44=TRUE,-1,0),0)</f>
        <v>0</v>
      </c>
      <c r="S25" s="45">
        <f>IF(O25=0,O25+P25+Q25+R25+VLOOKUP(N25,'Профессии и боевые навыки'!$E$3:$K$34,7,FALSE),O25+P25+Q25+R25)</f>
        <v>-4</v>
      </c>
      <c r="T25" s="31"/>
      <c r="U25" s="107"/>
      <c r="V25" s="108"/>
      <c r="W25" s="108"/>
      <c r="X25" s="108"/>
      <c r="Y25" s="108"/>
      <c r="Z25" s="108"/>
      <c r="AA25" s="80"/>
      <c r="AB25" s="12"/>
      <c r="AC25" s="23" t="b">
        <v>0</v>
      </c>
      <c r="AD25" s="14" t="s">
        <v>30</v>
      </c>
      <c r="AE25" s="14" t="str">
        <f>VLOOKUP(AD25,'Приемы'!$C$4:$G$118,2,FALSE)</f>
        <v/>
      </c>
      <c r="AF25" s="1" t="str">
        <f>VLOOKUP(AD25,'Приемы'!$C$4:$G$118,3,FALSE)</f>
        <v/>
      </c>
      <c r="AH25" s="36" t="str">
        <f>VLOOKUP(AD25,'Приемы'!$C$4:$G$118,4,FALSE)</f>
        <v/>
      </c>
      <c r="AI25" s="1" t="str">
        <f>VLOOKUP(AD25,'Приемы'!$C$4:$G$118,5,FALSE)</f>
        <v/>
      </c>
      <c r="AJ25" s="12"/>
      <c r="AK25" s="12"/>
      <c r="AL25" s="12"/>
      <c r="AM25" s="12"/>
      <c r="AN25" s="12"/>
      <c r="AO25" s="12"/>
      <c r="AP25" s="12"/>
      <c r="AQ25" s="12"/>
      <c r="AR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row>
    <row r="26" ht="11.25" customHeight="1">
      <c r="A26" s="1"/>
      <c r="B26" s="31"/>
      <c r="C26" s="99" t="s">
        <v>92</v>
      </c>
      <c r="D26" s="100">
        <f>IF(L3="Эльф (с магией)",L5*10,0)</f>
        <v>0</v>
      </c>
      <c r="E26" s="12"/>
      <c r="F26" s="12"/>
      <c r="G26" s="12"/>
      <c r="H26" s="12"/>
      <c r="I26" s="12"/>
      <c r="K26" s="101" t="s">
        <v>93</v>
      </c>
      <c r="L26" s="102">
        <f>VLOOKUP(L5, 'Списки'!$B$121:$G$132, MATCH(L3, 'Списки'!$B$121:$G$121, 0), FALSE)</f>
        <v>10</v>
      </c>
      <c r="M26" s="13" t="b">
        <v>0</v>
      </c>
      <c r="N26" s="43" t="str">
        <f>'Профессии и боевые навыки'!E22</f>
        <v>Повар</v>
      </c>
      <c r="O26" s="44">
        <v>0.0</v>
      </c>
      <c r="P26" s="44">
        <f>ROUNDDOWN(VLOOKUP(VLOOKUP(N26,'Профессии и боевые навыки'!$E$3:$I$34,2,FALSE),$C$10:$I$20,7,FALSE)/4,0)</f>
        <v>0</v>
      </c>
      <c r="Q26" s="44">
        <f>ROUNDDOWN(VLOOKUP(VLOOKUP(N26,'Профессии и боевые навыки'!$E$3:$I$34,3,FALSE),$C$10:$I$20,7,FALSE)/6,0)</f>
        <v>0</v>
      </c>
      <c r="R26" s="94">
        <f>IF(D34="No_clothes",1,IF(D34="Medium_armor",-1,IF(D34="Heavy_armor",-2,0)))</f>
        <v>0</v>
      </c>
      <c r="S26" s="45">
        <f>IF(O26=0,O26+P26+Q26+R26+VLOOKUP(N26,'Профессии и боевые навыки'!$E$3:$K$34,7,FALSE),O26+P26+Q26+R26)</f>
        <v>-2</v>
      </c>
      <c r="T26" s="31"/>
      <c r="U26" s="109"/>
      <c r="V26" s="12"/>
      <c r="W26" s="12"/>
      <c r="X26" s="12"/>
      <c r="Y26" s="12"/>
      <c r="Z26" s="12"/>
      <c r="AA26" s="80"/>
      <c r="AB26" s="12"/>
      <c r="AC26" s="110">
        <f>COUNTIF(AC5:AC25, TRUE)</f>
        <v>0</v>
      </c>
      <c r="AD26" s="35" t="s">
        <v>94</v>
      </c>
      <c r="AI26" s="12"/>
      <c r="AJ26" s="12"/>
      <c r="AK26" s="12"/>
      <c r="AL26" s="12"/>
      <c r="AM26" s="12"/>
      <c r="AN26" s="12"/>
      <c r="AO26" s="12"/>
      <c r="AP26" s="12"/>
      <c r="AQ26" s="12"/>
      <c r="AR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row>
    <row r="27" ht="11.25" customHeight="1">
      <c r="A27" s="1"/>
      <c r="B27" s="31"/>
      <c r="C27" s="99" t="s">
        <v>95</v>
      </c>
      <c r="D27" s="100">
        <f>ROUNDDOWN('Списки'!F173*'Списки'!E173*(D24+D25+D26))</f>
        <v>0</v>
      </c>
      <c r="E27" s="12"/>
      <c r="F27" s="12"/>
      <c r="G27" s="12"/>
      <c r="H27" s="12"/>
      <c r="I27" s="12"/>
      <c r="K27" s="101" t="s">
        <v>96</v>
      </c>
      <c r="L27" s="102">
        <f>ROUNDDOWN('Списки'!F174*'Списки'!E174*(L24+L25+L26))</f>
        <v>5</v>
      </c>
      <c r="M27" s="13" t="b">
        <v>0</v>
      </c>
      <c r="N27" s="43" t="str">
        <f>'Профессии и боевые навыки'!E23</f>
        <v>Портной</v>
      </c>
      <c r="O27" s="44">
        <v>0.0</v>
      </c>
      <c r="P27" s="44">
        <f>ROUNDDOWN(VLOOKUP(VLOOKUP(N27,'Профессии и боевые навыки'!$E$3:$I$34,2,FALSE),$C$10:$I$20,7,FALSE)/4,0)</f>
        <v>0</v>
      </c>
      <c r="Q27" s="44">
        <f>ROUNDDOWN(VLOOKUP(VLOOKUP(N27,'Профессии и боевые навыки'!$E$3:$I$34,3,FALSE),$C$10:$I$20,7,FALSE)/6,0)</f>
        <v>0</v>
      </c>
      <c r="R27" s="44">
        <v>0.0</v>
      </c>
      <c r="S27" s="45">
        <f>IF(O27=0,O27+P27+Q27+R27+VLOOKUP(N27,'Профессии и боевые навыки'!$E$3:$K$34,7,FALSE),O27+P27+Q27+R27)</f>
        <v>-4</v>
      </c>
      <c r="T27" s="31"/>
      <c r="U27" s="109"/>
      <c r="V27" s="12"/>
      <c r="W27" s="12"/>
      <c r="X27" s="12"/>
      <c r="Y27" s="12"/>
      <c r="Z27" s="12"/>
      <c r="AA27" s="80"/>
      <c r="AB27" s="12"/>
      <c r="AC27" s="111">
        <f t="array" ref="AC27">IF(AC26=0,0,SUM(SEQUENCE(1,AC26,5)))</f>
        <v>0</v>
      </c>
      <c r="AD27" s="112" t="s">
        <v>97</v>
      </c>
      <c r="AE27" s="12"/>
      <c r="AF27" s="1"/>
      <c r="AI27" s="12"/>
      <c r="AJ27" s="12"/>
      <c r="AK27" s="12"/>
      <c r="AL27" s="12"/>
      <c r="AM27" s="12"/>
      <c r="AN27" s="12"/>
      <c r="AO27" s="12"/>
      <c r="AP27" s="12"/>
      <c r="AQ27" s="12"/>
      <c r="AR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row>
    <row r="28" ht="11.25" customHeight="1">
      <c r="A28" s="1"/>
      <c r="B28" s="31"/>
      <c r="C28" s="99" t="s">
        <v>98</v>
      </c>
      <c r="D28" s="113">
        <v>0.0</v>
      </c>
      <c r="E28" s="12"/>
      <c r="F28" s="12"/>
      <c r="G28" s="12"/>
      <c r="H28" s="12"/>
      <c r="I28" s="12"/>
      <c r="K28" s="114" t="s">
        <v>99</v>
      </c>
      <c r="L28" s="115">
        <v>0.0</v>
      </c>
      <c r="M28" s="13" t="b">
        <v>0</v>
      </c>
      <c r="N28" s="43" t="str">
        <f>'Профессии и боевые навыки'!E24</f>
        <v>Рудокоп</v>
      </c>
      <c r="O28" s="44">
        <v>0.0</v>
      </c>
      <c r="P28" s="44">
        <f>ROUNDDOWN(VLOOKUP(VLOOKUP(N28,'Профессии и боевые навыки'!$E$3:$I$34,2,FALSE),$C$10:$I$20,7,FALSE)/4,0)</f>
        <v>1</v>
      </c>
      <c r="Q28" s="44">
        <f>ROUNDDOWN(VLOOKUP(VLOOKUP(N28,'Профессии и боевые навыки'!$E$3:$I$34,3,FALSE),$C$10:$I$20,7,FALSE)/6,0)</f>
        <v>0</v>
      </c>
      <c r="R28" s="44">
        <v>0.0</v>
      </c>
      <c r="S28" s="45">
        <f>IF(O28=0,O28+P28+Q28+R28+VLOOKUP(N28,'Профессии и боевые навыки'!$E$3:$K$34,7,FALSE),O28+P28+Q28+R28)</f>
        <v>-1</v>
      </c>
      <c r="T28" s="31"/>
      <c r="U28" s="109"/>
      <c r="V28" s="12"/>
      <c r="W28" s="12"/>
      <c r="X28" s="12"/>
      <c r="Y28" s="12"/>
      <c r="Z28" s="12"/>
      <c r="AA28" s="80"/>
      <c r="AB28" s="12"/>
      <c r="AE28" s="12"/>
      <c r="AF28" s="1"/>
      <c r="AG28" s="12"/>
      <c r="AH28" s="1"/>
      <c r="AI28" s="12"/>
      <c r="AJ28" s="12"/>
      <c r="AK28" s="12"/>
      <c r="AL28" s="12"/>
      <c r="AM28" s="12"/>
      <c r="AN28" s="12"/>
      <c r="AO28" s="12"/>
      <c r="AP28" s="12"/>
      <c r="AQ28" s="12"/>
      <c r="AR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row>
    <row r="29" ht="11.25" customHeight="1">
      <c r="A29" s="12"/>
      <c r="B29" s="31"/>
      <c r="C29" s="116" t="s">
        <v>100</v>
      </c>
      <c r="D29" s="117">
        <v>0.0</v>
      </c>
      <c r="E29" s="12"/>
      <c r="F29" s="12"/>
      <c r="G29" s="12"/>
      <c r="H29" s="12"/>
      <c r="I29" s="12"/>
      <c r="K29" s="118" t="s">
        <v>101</v>
      </c>
      <c r="L29" s="28">
        <f>IF(I12&gt;=10,2,1)</f>
        <v>1</v>
      </c>
      <c r="M29" s="13" t="b">
        <v>0</v>
      </c>
      <c r="N29" s="43" t="str">
        <f>'Профессии и боевые навыки'!E25</f>
        <v>Рыбак</v>
      </c>
      <c r="O29" s="44">
        <v>0.0</v>
      </c>
      <c r="P29" s="44">
        <f>ROUNDDOWN(VLOOKUP(VLOOKUP(N29,'Профессии и боевые навыки'!$E$3:$I$34,2,FALSE),$C$10:$I$20,7,FALSE)/4,0)</f>
        <v>0</v>
      </c>
      <c r="Q29" s="44">
        <f>ROUNDDOWN(VLOOKUP(VLOOKUP(N29,'Профессии и боевые навыки'!$E$3:$I$34,3,FALSE),$C$10:$I$20,7,FALSE)/6,0)</f>
        <v>0</v>
      </c>
      <c r="R29" s="44">
        <v>0.0</v>
      </c>
      <c r="S29" s="45">
        <f>IF(O29=0,O29+P29+Q29+R29+VLOOKUP(N29,'Профессии и боевые навыки'!$E$3:$K$34,7,FALSE),O29+P29+Q29+R29)</f>
        <v>-4</v>
      </c>
      <c r="T29" s="12"/>
      <c r="U29" s="109"/>
      <c r="V29" s="12"/>
      <c r="W29" s="12"/>
      <c r="X29" s="12"/>
      <c r="Y29" s="12"/>
      <c r="Z29" s="12"/>
      <c r="AA29" s="80"/>
      <c r="AB29" s="12"/>
      <c r="AC29" s="119" t="s">
        <v>102</v>
      </c>
      <c r="AD29" s="120"/>
      <c r="AE29" s="120"/>
      <c r="AF29" s="120"/>
      <c r="AG29" s="120"/>
      <c r="AH29" s="120"/>
      <c r="AI29" s="120"/>
      <c r="AJ29" s="120"/>
      <c r="AK29" s="120"/>
      <c r="AL29" s="120"/>
      <c r="AM29" s="121"/>
      <c r="AN29" s="12"/>
      <c r="AO29" s="12"/>
      <c r="AQ29" s="12"/>
      <c r="AR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row>
    <row r="30" ht="11.25" customHeight="1">
      <c r="A30" s="1"/>
      <c r="C30" s="118" t="s">
        <v>103</v>
      </c>
      <c r="D30" s="122">
        <f>I20*4</f>
        <v>12</v>
      </c>
      <c r="E30" s="12"/>
      <c r="F30" s="12"/>
      <c r="G30" s="12"/>
      <c r="H30" s="12"/>
      <c r="I30" s="12"/>
      <c r="M30" s="13" t="b">
        <v>0</v>
      </c>
      <c r="N30" s="43" t="str">
        <f>'Профессии и боевые навыки'!E26</f>
        <v>Стеклодув</v>
      </c>
      <c r="O30" s="44">
        <v>0.0</v>
      </c>
      <c r="P30" s="44">
        <f>ROUNDDOWN(VLOOKUP(VLOOKUP(N30,'Профессии и боевые навыки'!$E$3:$I$34,2,FALSE),$C$10:$I$20,7,FALSE)/4,0)</f>
        <v>0</v>
      </c>
      <c r="Q30" s="44">
        <f>ROUNDDOWN(VLOOKUP(VLOOKUP(N30,'Профессии и боевые навыки'!$E$3:$I$34,3,FALSE),$C$10:$I$20,7,FALSE)/6,0)</f>
        <v>0</v>
      </c>
      <c r="R30" s="44">
        <v>0.0</v>
      </c>
      <c r="S30" s="45">
        <f>IF(O30=0,O30+P30+Q30+R30+VLOOKUP(N30,'Профессии и боевые навыки'!$E$3:$K$34,7,FALSE),O30+P30+Q30+R30)</f>
        <v>-4</v>
      </c>
      <c r="U30" s="109"/>
      <c r="V30" s="12"/>
      <c r="W30" s="12"/>
      <c r="X30" s="12"/>
      <c r="Y30" s="12"/>
      <c r="Z30" s="12"/>
      <c r="AA30" s="80"/>
      <c r="AB30" s="12"/>
      <c r="AC30" s="69" t="s">
        <v>104</v>
      </c>
      <c r="AD30" s="123"/>
      <c r="AE30" s="124" t="s">
        <v>105</v>
      </c>
      <c r="AF30" s="124" t="s">
        <v>106</v>
      </c>
      <c r="AG30" s="124" t="s">
        <v>107</v>
      </c>
      <c r="AH30" s="124" t="s">
        <v>108</v>
      </c>
      <c r="AI30" s="124" t="s">
        <v>109</v>
      </c>
      <c r="AJ30" s="124" t="s">
        <v>110</v>
      </c>
      <c r="AK30" s="124" t="s">
        <v>111</v>
      </c>
      <c r="AL30" s="123" t="s">
        <v>112</v>
      </c>
      <c r="AM30" s="32"/>
      <c r="AN30" s="12"/>
      <c r="AO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row>
    <row r="31" ht="11.25" customHeight="1">
      <c r="A31" s="1"/>
      <c r="E31" s="12"/>
      <c r="F31" s="12"/>
      <c r="G31" s="12"/>
      <c r="H31" s="12"/>
      <c r="I31" s="12"/>
      <c r="J31" s="1"/>
      <c r="K31" s="125" t="s">
        <v>113</v>
      </c>
      <c r="L31" s="126"/>
      <c r="M31" s="13" t="b">
        <v>0</v>
      </c>
      <c r="N31" s="43" t="str">
        <f>'Профессии и боевые навыки'!E27</f>
        <v>Строитель</v>
      </c>
      <c r="O31" s="44">
        <v>0.0</v>
      </c>
      <c r="P31" s="44">
        <f>ROUNDDOWN(VLOOKUP(VLOOKUP(N31,'Профессии и боевые навыки'!$E$3:$I$34,2,FALSE),$C$10:$I$20,7,FALSE)/4,0)</f>
        <v>0</v>
      </c>
      <c r="Q31" s="44">
        <f>ROUNDDOWN(VLOOKUP(VLOOKUP(N31,'Профессии и боевые навыки'!$E$3:$I$34,3,FALSE),$C$10:$I$20,7,FALSE)/6,0)</f>
        <v>0</v>
      </c>
      <c r="R31" s="44">
        <v>0.0</v>
      </c>
      <c r="S31" s="45">
        <f>IF(O31=0,O31+P31+Q31+R31+VLOOKUP(N31,'Профессии и боевые навыки'!$E$3:$K$34,7,FALSE),O31+P31+Q31+R31)</f>
        <v>-4</v>
      </c>
      <c r="U31" s="109"/>
      <c r="V31" s="12"/>
      <c r="W31" s="12"/>
      <c r="X31" s="12"/>
      <c r="Y31" s="12"/>
      <c r="Z31" s="12"/>
      <c r="AA31" s="80"/>
      <c r="AB31" s="12"/>
      <c r="AC31" s="69" t="s">
        <v>114</v>
      </c>
      <c r="AD31" s="108"/>
      <c r="AE31" s="124">
        <v>2.0</v>
      </c>
      <c r="AF31" s="124">
        <v>3.0</v>
      </c>
      <c r="AG31" s="124" t="s">
        <v>115</v>
      </c>
      <c r="AH31" s="127">
        <v>0.05</v>
      </c>
      <c r="AI31" s="124">
        <v>52.0</v>
      </c>
      <c r="AJ31" s="124">
        <v>0.0</v>
      </c>
      <c r="AK31" s="124" t="s">
        <v>116</v>
      </c>
      <c r="AL31" s="108"/>
      <c r="AM31" s="80"/>
      <c r="AN31" s="12"/>
      <c r="AO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row>
    <row r="32" ht="11.25" customHeight="1">
      <c r="A32" s="128"/>
      <c r="C32" s="129" t="s">
        <v>117</v>
      </c>
      <c r="D32" s="130"/>
      <c r="E32" s="12"/>
      <c r="F32" s="12"/>
      <c r="G32" s="12"/>
      <c r="H32" s="12"/>
      <c r="I32" s="12"/>
      <c r="J32" s="12"/>
      <c r="K32" s="131" t="s">
        <v>118</v>
      </c>
      <c r="L32" s="132" t="s">
        <v>119</v>
      </c>
      <c r="M32" s="13" t="b">
        <v>0</v>
      </c>
      <c r="N32" s="43" t="str">
        <f>'Профессии и боевые навыки'!E28</f>
        <v>Торговец</v>
      </c>
      <c r="O32" s="44">
        <v>0.0</v>
      </c>
      <c r="P32" s="44">
        <f>ROUNDDOWN(VLOOKUP(VLOOKUP(N32,'Профессии и боевые навыки'!$E$3:$I$34,2,FALSE),$C$10:$I$20,7,FALSE)/4,0)</f>
        <v>0</v>
      </c>
      <c r="Q32" s="44">
        <f>ROUNDDOWN(VLOOKUP(VLOOKUP(N32,'Профессии и боевые навыки'!$E$3:$I$34,3,FALSE),$C$10:$I$20,7,FALSE)/6,0)</f>
        <v>0</v>
      </c>
      <c r="R32" s="44">
        <v>0.0</v>
      </c>
      <c r="S32" s="45">
        <f>IF(O32=0,O32+P32+Q32+R32+VLOOKUP(N32,'Профессии и боевые навыки'!$E$3:$K$34,7,FALSE),O32+P32+Q32+R32)</f>
        <v>-2</v>
      </c>
      <c r="U32" s="109"/>
      <c r="V32" s="12"/>
      <c r="W32" s="12"/>
      <c r="X32" s="12"/>
      <c r="Y32" s="12"/>
      <c r="Z32" s="12"/>
      <c r="AA32" s="80"/>
      <c r="AB32" s="12"/>
      <c r="AC32" s="79" t="s">
        <v>120</v>
      </c>
      <c r="AE32" s="96">
        <v>2.0</v>
      </c>
      <c r="AF32" s="96">
        <v>3.0</v>
      </c>
      <c r="AG32" s="96" t="s">
        <v>121</v>
      </c>
      <c r="AH32" s="133">
        <v>0.05</v>
      </c>
      <c r="AI32" s="96">
        <v>52.0</v>
      </c>
      <c r="AJ32" s="96">
        <v>0.0</v>
      </c>
      <c r="AK32" s="96" t="s">
        <v>116</v>
      </c>
      <c r="AL32" s="13"/>
      <c r="AM32" s="80"/>
      <c r="AN32" s="12"/>
      <c r="AO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row>
    <row r="33" ht="11.25" customHeight="1">
      <c r="A33" s="134"/>
      <c r="C33" s="135" t="s">
        <v>122</v>
      </c>
      <c r="D33" s="136"/>
      <c r="E33" s="12"/>
      <c r="F33" s="12"/>
      <c r="G33" s="12"/>
      <c r="H33" s="12"/>
      <c r="I33" s="12"/>
      <c r="J33" s="12"/>
      <c r="K33" s="131" t="s">
        <v>123</v>
      </c>
      <c r="L33" s="132" t="str">
        <f>VLOOKUP(L32,'Оружие'!A4:M637, 13, FALSE)</f>
        <v>_</v>
      </c>
      <c r="M33" s="13" t="b">
        <v>0</v>
      </c>
      <c r="N33" s="43" t="str">
        <f>'Профессии и боевые навыки'!E29</f>
        <v>Укротитель</v>
      </c>
      <c r="O33" s="44">
        <v>0.0</v>
      </c>
      <c r="P33" s="44">
        <f>ROUNDDOWN(VLOOKUP(VLOOKUP(N33,'Профессии и боевые навыки'!$E$3:$I$34,2,FALSE),$C$10:$I$20,7,FALSE)/4,0)</f>
        <v>0</v>
      </c>
      <c r="Q33" s="44">
        <f>ROUNDDOWN(VLOOKUP(VLOOKUP(N33,'Профессии и боевые навыки'!$E$3:$I$34,3,FALSE),$C$10:$I$20,7,FALSE)/6,0)</f>
        <v>0</v>
      </c>
      <c r="R33" s="94">
        <f>IF(D34="No_clothes",1,IF(D34="Medium_armor",-1,IF(D34="Heavy_armor",-2,0)))</f>
        <v>0</v>
      </c>
      <c r="S33" s="45">
        <f>IF(O33=0,O33+P33+Q33+R33+VLOOKUP(N33,'Профессии и боевые навыки'!$E$3:$K$34,7,FALSE),O33+P33+Q33+R33)</f>
        <v>-4</v>
      </c>
      <c r="U33" s="109"/>
      <c r="V33" s="12"/>
      <c r="W33" s="12"/>
      <c r="X33" s="12"/>
      <c r="Y33" s="12"/>
      <c r="Z33" s="12"/>
      <c r="AA33" s="80"/>
      <c r="AB33" s="12"/>
      <c r="AC33" s="79" t="s">
        <v>124</v>
      </c>
      <c r="AE33" s="96">
        <v>4.0</v>
      </c>
      <c r="AF33" s="96">
        <v>-2.0</v>
      </c>
      <c r="AG33" s="96" t="s">
        <v>121</v>
      </c>
      <c r="AH33" s="133">
        <v>0.05</v>
      </c>
      <c r="AI33" s="96">
        <v>0.0</v>
      </c>
      <c r="AJ33" s="96">
        <v>0.0</v>
      </c>
      <c r="AK33" s="96" t="s">
        <v>125</v>
      </c>
      <c r="AL33" s="13" t="s">
        <v>126</v>
      </c>
      <c r="AM33" s="136"/>
      <c r="AN33" s="12"/>
      <c r="AO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row>
    <row r="34" ht="11.25" customHeight="1">
      <c r="A34" s="1"/>
      <c r="C34" s="76" t="s">
        <v>127</v>
      </c>
      <c r="D34" s="137" t="s">
        <v>128</v>
      </c>
      <c r="E34" s="12"/>
      <c r="F34" s="12"/>
      <c r="G34" s="12"/>
      <c r="H34" s="12"/>
      <c r="I34" s="12"/>
      <c r="J34" s="12"/>
      <c r="K34" s="131" t="s">
        <v>129</v>
      </c>
      <c r="L34" s="132" t="s">
        <v>30</v>
      </c>
      <c r="M34" s="13" t="b">
        <v>0</v>
      </c>
      <c r="N34" s="43" t="str">
        <f>'Профессии и боевые навыки'!E30</f>
        <v>Философ</v>
      </c>
      <c r="O34" s="44">
        <v>0.0</v>
      </c>
      <c r="P34" s="44">
        <f>ROUNDDOWN(VLOOKUP(VLOOKUP(N34,'Профессии и боевые навыки'!$E$3:$I$34,2,FALSE),$C$10:$I$20,7,FALSE)/4,0)</f>
        <v>0</v>
      </c>
      <c r="Q34" s="44">
        <f>ROUNDDOWN(VLOOKUP(VLOOKUP(N34,'Профессии и боевые навыки'!$E$3:$I$34,3,FALSE),$C$10:$I$20,7,FALSE)/6,0)</f>
        <v>0</v>
      </c>
      <c r="R34" s="94">
        <f>IF(D34="No_clothes",1,IF(D34="Medium_armor",-3,IF(D34="Heavy_armor",-6,0)))</f>
        <v>0</v>
      </c>
      <c r="S34" s="45">
        <f>IF(O34=0,O34+P34+Q34+R34+VLOOKUP(N34,'Профессии и боевые навыки'!$E$3:$K$34,7,FALSE),O34+P34+Q34+R34)</f>
        <v>-4</v>
      </c>
      <c r="U34" s="109"/>
      <c r="V34" s="12"/>
      <c r="W34" s="12"/>
      <c r="X34" s="12"/>
      <c r="Y34" s="12"/>
      <c r="Z34" s="12"/>
      <c r="AA34" s="80"/>
      <c r="AB34" s="12"/>
      <c r="AC34" s="138"/>
      <c r="AD34" s="139"/>
      <c r="AE34" s="140"/>
      <c r="AF34" s="140"/>
      <c r="AG34" s="140"/>
      <c r="AH34" s="140"/>
      <c r="AI34" s="140"/>
      <c r="AJ34" s="140"/>
      <c r="AK34" s="140"/>
      <c r="AL34" s="139"/>
      <c r="AM34" s="141"/>
      <c r="AN34" s="12"/>
      <c r="AO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row>
    <row r="35" ht="11.25" customHeight="1">
      <c r="A35" s="142"/>
      <c r="C35" s="76" t="s">
        <v>130</v>
      </c>
      <c r="D35" s="143" t="s">
        <v>131</v>
      </c>
      <c r="E35" s="12"/>
      <c r="F35" s="12"/>
      <c r="G35" s="12"/>
      <c r="H35" s="12"/>
      <c r="I35" s="12"/>
      <c r="J35" s="12"/>
      <c r="K35" s="131" t="s">
        <v>132</v>
      </c>
      <c r="L35" s="132" t="s">
        <v>133</v>
      </c>
      <c r="M35" s="13" t="b">
        <v>0</v>
      </c>
      <c r="N35" s="43" t="str">
        <f>'Профессии и боевые навыки'!E31</f>
        <v>Художник</v>
      </c>
      <c r="O35" s="44">
        <v>0.0</v>
      </c>
      <c r="P35" s="44">
        <f>ROUNDDOWN(VLOOKUP(VLOOKUP(N35,'Профессии и боевые навыки'!$E$3:$I$34,2,FALSE),$C$10:$I$20,7,FALSE)/4,0)</f>
        <v>0</v>
      </c>
      <c r="Q35" s="44">
        <f>ROUNDDOWN(VLOOKUP(VLOOKUP(N35,'Профессии и боевые навыки'!$E$3:$I$34,3,FALSE),$C$10:$I$20,7,FALSE)/6,0)</f>
        <v>0</v>
      </c>
      <c r="R35" s="44">
        <v>0.0</v>
      </c>
      <c r="S35" s="45">
        <f>IF(O35=0,O35+P35+Q35+R35+VLOOKUP(N35,'Профессии и боевые навыки'!$E$3:$K$34,7,FALSE),O35+P35+Q35+R35)</f>
        <v>-4</v>
      </c>
      <c r="U35" s="109"/>
      <c r="V35" s="12"/>
      <c r="W35" s="12"/>
      <c r="X35" s="12"/>
      <c r="Y35" s="12"/>
      <c r="Z35" s="12"/>
      <c r="AA35" s="80"/>
      <c r="AB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row>
    <row r="36" ht="11.25" customHeight="1">
      <c r="A36" s="1"/>
      <c r="B36" s="12"/>
      <c r="C36" s="76" t="s">
        <v>134</v>
      </c>
      <c r="D36" s="137" t="s">
        <v>133</v>
      </c>
      <c r="E36" s="12"/>
      <c r="F36" s="12"/>
      <c r="G36" s="12"/>
      <c r="H36" s="12"/>
      <c r="I36" s="12"/>
      <c r="J36" s="12"/>
      <c r="K36" s="144" t="s">
        <v>135</v>
      </c>
      <c r="L36" s="145" t="s">
        <v>136</v>
      </c>
      <c r="M36" s="13" t="b">
        <v>0</v>
      </c>
      <c r="N36" s="43" t="str">
        <f>'Профессии и боевые навыки'!E32</f>
        <v>Чародей</v>
      </c>
      <c r="O36" s="44">
        <v>0.0</v>
      </c>
      <c r="P36" s="44">
        <f>ROUNDDOWN(VLOOKUP(VLOOKUP(N36,'Профессии и боевые навыки'!$E$3:$I$34,2,FALSE),$C$10:$I$20,7,FALSE)/4,0)</f>
        <v>0</v>
      </c>
      <c r="Q36" s="44">
        <f>ROUNDDOWN(VLOOKUP(VLOOKUP(N36,'Профессии и боевые навыки'!$E$3:$I$34,3,FALSE),$C$10:$I$20,7,FALSE)/6,0)</f>
        <v>0</v>
      </c>
      <c r="R36" s="44">
        <v>0.0</v>
      </c>
      <c r="S36" s="146" t="str">
        <f>IF(O36=0,"не применимо",O36+P36+Q36+R36)</f>
        <v>не применимо</v>
      </c>
      <c r="U36" s="109"/>
      <c r="V36" s="12"/>
      <c r="W36" s="12"/>
      <c r="X36" s="12"/>
      <c r="Y36" s="12"/>
      <c r="Z36" s="12"/>
      <c r="AA36" s="80"/>
      <c r="AB36" s="12"/>
      <c r="AC36" s="29" t="s">
        <v>137</v>
      </c>
      <c r="AF36" s="13"/>
      <c r="AH36" s="13"/>
      <c r="AI36" s="1"/>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row>
    <row r="37" ht="11.25" customHeight="1">
      <c r="A37" s="1"/>
      <c r="C37" s="76" t="s">
        <v>138</v>
      </c>
      <c r="D37" s="137" t="str">
        <f>IF(D34="Без_одежды",-4,MID(IF(D34="Простая_одежда", VLOOKUP(D36, 'Одежда, доспехи и щиты'!$B$6:$H$15, MATCH(D35, 'Одежда, доспехи и щиты'!$B$6:$G$6, 0), FALSE),IF(D34="Теплая_одежда", VLOOKUP(D36, 'Одежда, доспехи и щиты'!$B$17:$E$23, MATCH(D35, 'Одежда, доспехи и щиты'!$B$6:$G$6, 0), FALSE),IF(D34="Парадная_одежда", VLOOKUP(D36, 'Одежда, доспехи и щиты'!$B$25:$G$33, MATCH(D35, 'Одежда, доспехи и щиты'!$B$6:$G$6, 0), FALSE),IF(OR(D34='Одежда, доспехи и щиты'!$T$6,D34='Одежда, доспехи и щиты'!$U$6,D34='Одежда, доспехи и щиты'!$V$6)=TRUE,VLOOKUP(D36, 'Одежда, доспехи и щиты'!$B$36:$I$65, 8, 0),"XYZ")))),12,2))</f>
        <v>0</v>
      </c>
      <c r="E37" s="12"/>
      <c r="F37" s="12"/>
      <c r="G37" s="12"/>
      <c r="H37" s="12"/>
      <c r="I37" s="12"/>
      <c r="J37" s="12"/>
      <c r="K37" s="131" t="s">
        <v>139</v>
      </c>
      <c r="L37" s="132" t="s">
        <v>30</v>
      </c>
      <c r="M37" s="13" t="b">
        <v>0</v>
      </c>
      <c r="N37" s="43" t="str">
        <f>'Профессии и боевые навыки'!E33</f>
        <v>Ювелир</v>
      </c>
      <c r="O37" s="44">
        <v>0.0</v>
      </c>
      <c r="P37" s="44">
        <f>ROUNDDOWN(VLOOKUP(VLOOKUP(N37,'Профессии и боевые навыки'!$E$3:$I$34,2,FALSE),$C$10:$I$20,7,FALSE)/4,0)</f>
        <v>0</v>
      </c>
      <c r="Q37" s="44">
        <f>ROUNDDOWN(VLOOKUP(VLOOKUP(N37,'Профессии и боевые навыки'!$E$3:$I$34,3,FALSE),$C$10:$I$20,7,FALSE)/6,0)</f>
        <v>0</v>
      </c>
      <c r="R37" s="44">
        <v>0.0</v>
      </c>
      <c r="S37" s="45">
        <f>IF(O37=0,O37+P37+Q37+R37+VLOOKUP(N37,'Профессии и боевые навыки'!$E$3:$K$34,7,FALSE),O37+P37+Q37+R37)</f>
        <v>-4</v>
      </c>
      <c r="U37" s="109"/>
      <c r="V37" s="12"/>
      <c r="W37" s="12"/>
      <c r="X37" s="12"/>
      <c r="Y37" s="12"/>
      <c r="Z37" s="12"/>
      <c r="AA37" s="80"/>
      <c r="AB37" s="12"/>
      <c r="AC37" s="33" t="s">
        <v>22</v>
      </c>
      <c r="AD37" s="16" t="s">
        <v>140</v>
      </c>
      <c r="AE37" s="10" t="s">
        <v>141</v>
      </c>
      <c r="AF37" s="147" t="s">
        <v>142</v>
      </c>
      <c r="AG37" s="34" t="s">
        <v>143</v>
      </c>
      <c r="AH37" s="35" t="s">
        <v>144</v>
      </c>
      <c r="AI37" s="34" t="s">
        <v>145</v>
      </c>
      <c r="AK37" s="148" t="s">
        <v>146</v>
      </c>
      <c r="AL37" s="20" t="s">
        <v>147</v>
      </c>
      <c r="AM37" s="13" t="s">
        <v>148</v>
      </c>
      <c r="AN37" s="13" t="s">
        <v>149</v>
      </c>
      <c r="AO37" s="13" t="s">
        <v>150</v>
      </c>
      <c r="AP37" s="13" t="s">
        <v>96</v>
      </c>
      <c r="AQ37" s="13" t="s">
        <v>151</v>
      </c>
      <c r="AR37" s="20" t="s">
        <v>152</v>
      </c>
      <c r="AS37" s="20" t="s">
        <v>108</v>
      </c>
      <c r="AT37" s="96" t="s">
        <v>153</v>
      </c>
      <c r="AU37" s="13" t="s">
        <v>154</v>
      </c>
      <c r="AV37" s="20" t="s">
        <v>155</v>
      </c>
      <c r="AW37" s="20" t="s">
        <v>156</v>
      </c>
      <c r="AX37" s="13" t="s">
        <v>157</v>
      </c>
      <c r="AY37" s="13" t="s">
        <v>158</v>
      </c>
      <c r="AZ37" s="13" t="s">
        <v>159</v>
      </c>
      <c r="BA37" s="13" t="s">
        <v>96</v>
      </c>
      <c r="BB37" s="149" t="s">
        <v>160</v>
      </c>
      <c r="BC37" s="23" t="s">
        <v>161</v>
      </c>
      <c r="BD37" s="96" t="s">
        <v>162</v>
      </c>
      <c r="BE37" s="96" t="s">
        <v>96</v>
      </c>
      <c r="BF37" s="150" t="s">
        <v>163</v>
      </c>
      <c r="BG37" s="13" t="s">
        <v>164</v>
      </c>
      <c r="BH37" s="13" t="s">
        <v>165</v>
      </c>
      <c r="BI37" s="12"/>
      <c r="BJ37" s="12"/>
      <c r="BK37" s="12"/>
      <c r="BL37" s="12"/>
      <c r="BM37" s="12"/>
      <c r="BN37" s="12"/>
      <c r="BO37" s="12"/>
      <c r="BP37" s="12"/>
      <c r="BQ37" s="12"/>
      <c r="BR37" s="12"/>
      <c r="BS37" s="12"/>
      <c r="BT37" s="12"/>
      <c r="BU37" s="12"/>
      <c r="BV37" s="12"/>
    </row>
    <row r="38" ht="11.25" customHeight="1">
      <c r="A38" s="1"/>
      <c r="C38" s="76" t="s">
        <v>166</v>
      </c>
      <c r="D38" s="13" t="b">
        <v>1</v>
      </c>
      <c r="E38" s="109"/>
      <c r="F38" s="12"/>
      <c r="G38" s="12"/>
      <c r="H38" s="12"/>
      <c r="I38" s="12"/>
      <c r="J38" s="12"/>
      <c r="K38" s="151" t="s">
        <v>167</v>
      </c>
      <c r="L38" s="152" t="s">
        <v>30</v>
      </c>
      <c r="M38" s="13" t="b">
        <v>0</v>
      </c>
      <c r="N38" s="153" t="str">
        <f>'Профессии и боевые навыки'!E34</f>
        <v>Языковед</v>
      </c>
      <c r="O38" s="154">
        <v>0.0</v>
      </c>
      <c r="P38" s="154">
        <f>ROUNDDOWN(VLOOKUP(VLOOKUP(N38,'Профессии и боевые навыки'!$E$3:$I$34,2,FALSE),$C$10:$I$20,7,FALSE)/4,0)</f>
        <v>0</v>
      </c>
      <c r="Q38" s="154">
        <f>ROUNDDOWN(VLOOKUP(VLOOKUP(N38,'Профессии и боевые навыки'!$E$3:$I$34,3,FALSE),$C$10:$I$20,7,FALSE)/6,0)</f>
        <v>0</v>
      </c>
      <c r="R38" s="154">
        <v>0.0</v>
      </c>
      <c r="S38" s="155">
        <f>IF(O38=0,O38+P38+Q38+R38+VLOOKUP(N38,'Профессии и боевые навыки'!$E$3:$K$34,7,FALSE),O38+P38+Q38+R38)</f>
        <v>-4</v>
      </c>
      <c r="U38" s="109"/>
      <c r="V38" s="12"/>
      <c r="W38" s="12"/>
      <c r="X38" s="12"/>
      <c r="Y38" s="12"/>
      <c r="Z38" s="12"/>
      <c r="AA38" s="80"/>
      <c r="AB38" s="12"/>
      <c r="AC38" s="156" t="b">
        <v>0</v>
      </c>
      <c r="AD38" s="157" t="b">
        <v>0</v>
      </c>
      <c r="AE38" s="158" t="s">
        <v>30</v>
      </c>
      <c r="AF38" s="159"/>
      <c r="AG38" s="160">
        <f t="shared" ref="AG38:AG58" si="4">ROUNDUP(AF38-AF38*($L$61+$L$62),0)</f>
        <v>0</v>
      </c>
      <c r="AH38" s="159"/>
      <c r="AI38" s="161">
        <f t="shared" ref="AI38:AI58" si="5">ROUNDUP(AH38+AH38*$L$16,0)</f>
        <v>0</v>
      </c>
      <c r="AJ38" s="161"/>
      <c r="AK38" s="162"/>
      <c r="AL38" s="161"/>
      <c r="AM38" s="163"/>
      <c r="AN38" s="161">
        <f t="shared" ref="AN38:AN58" si="6">MIN(IFERROR(VLOOKUP(AK38,$K$84:$L$108,2,FALSE),0),6)</f>
        <v>0</v>
      </c>
      <c r="AO38" s="161">
        <f t="shared" ref="AO38:AO58" si="7">ROUNDDOWN($F$11/2,0)</f>
        <v>2</v>
      </c>
      <c r="AP38" s="161">
        <f t="shared" ref="AP38:AP58" si="8">IFERROR(VLOOKUP("Sot",$N$63:$P$65,3,FALSE),0)</f>
        <v>0</v>
      </c>
      <c r="AQ38" s="163">
        <v>0.0</v>
      </c>
      <c r="AR38" s="161">
        <f t="shared" ref="AR38:AR58" si="9">ROUNDDOWN(AM38+AN38+AO38+AP38+AQ38)</f>
        <v>2</v>
      </c>
      <c r="AS38" s="164">
        <f t="shared" ref="AS38:AS58" si="10">IFERROR(IF(VLOOKUP(AK38,$K$84:$L$108,2,FALSE)&gt;4,10%,5%),0%)</f>
        <v>0</v>
      </c>
      <c r="AT38" s="162" t="s">
        <v>30</v>
      </c>
      <c r="AU38" s="165" t="str">
        <f>IFERROR(VLOOKUP(AT38,'Списки'!$J$85:$L$94,2,FALSE)+VLOOKUP(AT38,'Списки'!$J$85:$L$94,3,FALSE)*VLOOKUP(AK38,$K$84:$L$108,2,FALSE),"_")</f>
        <v>_</v>
      </c>
      <c r="AV38" s="166" t="str">
        <f t="shared" ref="AV38:AV58" si="11">$D$44</f>
        <v>Без ограничений</v>
      </c>
      <c r="AW38" s="166"/>
      <c r="AX38" s="163"/>
      <c r="AY38" s="163"/>
      <c r="AZ38" s="161">
        <f t="shared" ref="AZ38:AZ58" si="12">(AX38+AY38)/2</f>
        <v>0</v>
      </c>
      <c r="BA38" s="161">
        <f>ROUNDDOWN('Списки'!$E$175*'Списки'!$F$175*AZ38)</f>
        <v>0</v>
      </c>
      <c r="BB38" s="167"/>
      <c r="BC38" s="163"/>
      <c r="BD38" s="161">
        <f t="shared" ref="BD38:BD58" si="13">(BB38+BC38)/2</f>
        <v>0</v>
      </c>
      <c r="BE38" s="161">
        <f>ROUNDDOWN('Списки'!$E$176*'Списки'!$F$176*BD38)</f>
        <v>0</v>
      </c>
      <c r="BF38" s="168">
        <v>0.0</v>
      </c>
      <c r="BG38" s="166"/>
      <c r="BH38" s="166"/>
      <c r="BI38" s="12"/>
      <c r="BJ38" s="12"/>
      <c r="BK38" s="12"/>
      <c r="BL38" s="12"/>
      <c r="BM38" s="12"/>
      <c r="BN38" s="12"/>
      <c r="BO38" s="12"/>
      <c r="BP38" s="12"/>
      <c r="BQ38" s="12"/>
      <c r="BR38" s="12"/>
      <c r="BS38" s="12"/>
      <c r="BT38" s="12"/>
      <c r="BU38" s="12"/>
      <c r="BV38" s="12"/>
    </row>
    <row r="39" ht="11.25" customHeight="1">
      <c r="A39" s="1"/>
      <c r="C39" s="169" t="s">
        <v>168</v>
      </c>
      <c r="D39" s="170" t="str">
        <f>MID(IF(D34='Одежда, доспехи и щиты'!$T$6,VLOOKUP(D36, 'Одежда, доспехи и щиты'!$B$37:$H$45, MATCH(D35, 'Одежда, доспехи и щиты'!$B$37:$H$37, 0), FALSE),IF(D34='Одежда, доспехи и щиты'!$U$6,VLOOKUP(D36, 'Одежда, доспехи и щиты'!$B$47:$H$55, MATCH(D35, 'Одежда, доспехи и щиты'!$B$47:$H$47, 0), FALSE),IF(D34='Одежда, доспехи и щиты'!$V$6,VLOOKUP(D36, 'Одежда, доспехи и щиты'!$B$57:$H$65, MATCH(D35, 'Одежда, доспехи и щиты'!$B$57:$H$57, 0), FALSE),"Armor 0"))),6,3)</f>
        <v> 0</v>
      </c>
      <c r="E39" s="131"/>
      <c r="F39" s="171"/>
      <c r="G39" s="12"/>
      <c r="H39" s="12"/>
      <c r="I39" s="12"/>
      <c r="J39" s="12"/>
      <c r="K39" s="131" t="s">
        <v>169</v>
      </c>
      <c r="L39" s="172" t="str">
        <f>VLOOKUP(L32, 'Оружие'!$A$2:$W$637, 23, FALSE)</f>
        <v/>
      </c>
      <c r="M39" s="13"/>
      <c r="N39" s="13"/>
      <c r="U39" s="109"/>
      <c r="V39" s="12"/>
      <c r="W39" s="12"/>
      <c r="X39" s="12"/>
      <c r="Y39" s="12"/>
      <c r="Z39" s="12"/>
      <c r="AA39" s="80"/>
      <c r="AB39" s="12"/>
      <c r="AC39" s="173" t="b">
        <v>0</v>
      </c>
      <c r="AD39" s="174" t="b">
        <v>0</v>
      </c>
      <c r="AE39" s="44" t="s">
        <v>30</v>
      </c>
      <c r="AF39" s="175"/>
      <c r="AG39" s="176">
        <f t="shared" si="4"/>
        <v>0</v>
      </c>
      <c r="AH39" s="175"/>
      <c r="AI39" s="177">
        <f t="shared" si="5"/>
        <v>0</v>
      </c>
      <c r="AJ39" s="177"/>
      <c r="AK39" s="178"/>
      <c r="AL39" s="177"/>
      <c r="AM39" s="179"/>
      <c r="AN39" s="177">
        <f t="shared" si="6"/>
        <v>0</v>
      </c>
      <c r="AO39" s="177">
        <f t="shared" si="7"/>
        <v>2</v>
      </c>
      <c r="AP39" s="177">
        <f t="shared" si="8"/>
        <v>0</v>
      </c>
      <c r="AQ39" s="179">
        <v>0.0</v>
      </c>
      <c r="AR39" s="177">
        <f t="shared" si="9"/>
        <v>2</v>
      </c>
      <c r="AS39" s="180">
        <f t="shared" si="10"/>
        <v>0</v>
      </c>
      <c r="AT39" s="181" t="s">
        <v>30</v>
      </c>
      <c r="AU39" s="178" t="str">
        <f>IFERROR(VLOOKUP(AT39,'Списки'!$J$85:$L$94,2,FALSE)+VLOOKUP(AT39,'Списки'!$J$85:$L$94,3,FALSE)*VLOOKUP(AK39,$K$84:$L$108,2,FALSE),"_")</f>
        <v>_</v>
      </c>
      <c r="AV39" s="166" t="str">
        <f t="shared" si="11"/>
        <v>Без ограничений</v>
      </c>
      <c r="AW39" s="182"/>
      <c r="AX39" s="179"/>
      <c r="AY39" s="179"/>
      <c r="AZ39" s="177">
        <f t="shared" si="12"/>
        <v>0</v>
      </c>
      <c r="BA39" s="177">
        <f>ROUNDDOWN('Списки'!$E$175*'Списки'!$F$175*AZ39)</f>
        <v>0</v>
      </c>
      <c r="BB39" s="183"/>
      <c r="BC39" s="179"/>
      <c r="BD39" s="177">
        <f t="shared" si="13"/>
        <v>0</v>
      </c>
      <c r="BE39" s="177">
        <f>ROUNDDOWN('Списки'!$E$176*'Списки'!$F$176*BD39)</f>
        <v>0</v>
      </c>
      <c r="BF39" s="184">
        <v>0.0</v>
      </c>
      <c r="BG39" s="182"/>
      <c r="BH39" s="182"/>
      <c r="BI39" s="12"/>
      <c r="BJ39" s="12"/>
      <c r="BK39" s="12"/>
      <c r="BL39" s="12"/>
      <c r="BM39" s="12"/>
      <c r="BN39" s="12"/>
      <c r="BO39" s="12"/>
      <c r="BP39" s="12"/>
      <c r="BQ39" s="12"/>
      <c r="BR39" s="12"/>
      <c r="BS39" s="12"/>
      <c r="BT39" s="12"/>
      <c r="BU39" s="12"/>
      <c r="BV39" s="12"/>
    </row>
    <row r="40" ht="11.25" customHeight="1">
      <c r="A40" s="1"/>
      <c r="C40" s="76" t="s">
        <v>170</v>
      </c>
      <c r="D40" s="137">
        <f>IF(D34='Одежда, доспехи и щиты'!$U$6,-1,IF(D34='Одежда, доспехи и щиты'!$V$6,-2,0))</f>
        <v>0</v>
      </c>
      <c r="E40" s="171"/>
      <c r="F40" s="171"/>
      <c r="G40" s="12"/>
      <c r="H40" s="12"/>
      <c r="I40" s="12"/>
      <c r="J40" s="12"/>
      <c r="K40" s="151" t="s">
        <v>171</v>
      </c>
      <c r="L40" s="185" t="s">
        <v>172</v>
      </c>
      <c r="M40" s="13"/>
      <c r="U40" s="109"/>
      <c r="V40" s="12"/>
      <c r="W40" s="12"/>
      <c r="X40" s="12"/>
      <c r="Y40" s="12"/>
      <c r="Z40" s="12"/>
      <c r="AA40" s="80"/>
      <c r="AB40" s="12"/>
      <c r="AC40" s="173" t="b">
        <v>0</v>
      </c>
      <c r="AD40" s="174" t="b">
        <v>0</v>
      </c>
      <c r="AE40" s="44" t="s">
        <v>30</v>
      </c>
      <c r="AF40" s="175"/>
      <c r="AG40" s="176">
        <f t="shared" si="4"/>
        <v>0</v>
      </c>
      <c r="AH40" s="175"/>
      <c r="AI40" s="177">
        <f t="shared" si="5"/>
        <v>0</v>
      </c>
      <c r="AJ40" s="177"/>
      <c r="AK40" s="178"/>
      <c r="AL40" s="177"/>
      <c r="AM40" s="179"/>
      <c r="AN40" s="177">
        <f t="shared" si="6"/>
        <v>0</v>
      </c>
      <c r="AO40" s="177">
        <f t="shared" si="7"/>
        <v>2</v>
      </c>
      <c r="AP40" s="177">
        <f t="shared" si="8"/>
        <v>0</v>
      </c>
      <c r="AQ40" s="179">
        <v>0.0</v>
      </c>
      <c r="AR40" s="177">
        <f t="shared" si="9"/>
        <v>2</v>
      </c>
      <c r="AS40" s="180">
        <f t="shared" si="10"/>
        <v>0</v>
      </c>
      <c r="AT40" s="181" t="s">
        <v>30</v>
      </c>
      <c r="AU40" s="178" t="str">
        <f>IFERROR(VLOOKUP(AT40,'Списки'!$J$85:$L$94,2,FALSE)+VLOOKUP(AT40,'Списки'!$J$85:$L$94,3,FALSE)*VLOOKUP(AK40,$K$84:$L$108,2,FALSE),"_")</f>
        <v>_</v>
      </c>
      <c r="AV40" s="166" t="str">
        <f t="shared" si="11"/>
        <v>Без ограничений</v>
      </c>
      <c r="AW40" s="182"/>
      <c r="AX40" s="179"/>
      <c r="AY40" s="179"/>
      <c r="AZ40" s="177">
        <f t="shared" si="12"/>
        <v>0</v>
      </c>
      <c r="BA40" s="177">
        <f>ROUNDDOWN('Списки'!$E$175*'Списки'!$F$175*AZ40)</f>
        <v>0</v>
      </c>
      <c r="BB40" s="183"/>
      <c r="BC40" s="179"/>
      <c r="BD40" s="177">
        <f t="shared" si="13"/>
        <v>0</v>
      </c>
      <c r="BE40" s="177">
        <f>ROUNDDOWN('Списки'!$E$176*'Списки'!$F$176*BD40)</f>
        <v>0</v>
      </c>
      <c r="BF40" s="184">
        <v>0.0</v>
      </c>
      <c r="BG40" s="182"/>
      <c r="BH40" s="182"/>
      <c r="BI40" s="12"/>
      <c r="BJ40" s="12"/>
      <c r="BK40" s="12"/>
      <c r="BL40" s="12"/>
      <c r="BM40" s="12"/>
      <c r="BN40" s="12"/>
      <c r="BO40" s="12"/>
      <c r="BP40" s="12"/>
      <c r="BQ40" s="12"/>
      <c r="BR40" s="12"/>
      <c r="BS40" s="12"/>
      <c r="BT40" s="12"/>
      <c r="BU40" s="12"/>
      <c r="BV40" s="12"/>
    </row>
    <row r="41" ht="11.25" customHeight="1">
      <c r="A41" s="1"/>
      <c r="C41" s="76" t="s">
        <v>173</v>
      </c>
      <c r="D41" s="186">
        <f>IF(D34='Одежда, доспехи и щиты'!$U$6,-5%,IF(D34='Одежда, доспехи и щиты'!$V$6,-10%,0))</f>
        <v>0</v>
      </c>
      <c r="E41" s="171"/>
      <c r="F41" s="171"/>
      <c r="G41" s="12"/>
      <c r="H41" s="12"/>
      <c r="I41" s="12"/>
      <c r="J41" s="12"/>
      <c r="K41" s="131" t="s">
        <v>174</v>
      </c>
      <c r="L41" s="187" t="s">
        <v>175</v>
      </c>
      <c r="M41" s="13"/>
      <c r="N41" s="188" t="s">
        <v>79</v>
      </c>
      <c r="O41" s="189"/>
      <c r="P41" s="190"/>
      <c r="Q41" s="190"/>
      <c r="R41" s="189"/>
      <c r="S41" s="191"/>
      <c r="U41" s="109"/>
      <c r="V41" s="12"/>
      <c r="W41" s="12"/>
      <c r="X41" s="12"/>
      <c r="Y41" s="12"/>
      <c r="Z41" s="12"/>
      <c r="AA41" s="80"/>
      <c r="AB41" s="12"/>
      <c r="AC41" s="173" t="b">
        <v>0</v>
      </c>
      <c r="AD41" s="174" t="b">
        <v>0</v>
      </c>
      <c r="AE41" s="192" t="s">
        <v>30</v>
      </c>
      <c r="AF41" s="175"/>
      <c r="AG41" s="176">
        <f t="shared" si="4"/>
        <v>0</v>
      </c>
      <c r="AH41" s="175"/>
      <c r="AI41" s="177">
        <f t="shared" si="5"/>
        <v>0</v>
      </c>
      <c r="AJ41" s="177"/>
      <c r="AK41" s="178"/>
      <c r="AL41" s="177"/>
      <c r="AM41" s="177"/>
      <c r="AN41" s="177">
        <f t="shared" si="6"/>
        <v>0</v>
      </c>
      <c r="AO41" s="177">
        <f t="shared" si="7"/>
        <v>2</v>
      </c>
      <c r="AP41" s="177">
        <f t="shared" si="8"/>
        <v>0</v>
      </c>
      <c r="AQ41" s="179">
        <v>0.0</v>
      </c>
      <c r="AR41" s="177">
        <f t="shared" si="9"/>
        <v>2</v>
      </c>
      <c r="AS41" s="180">
        <f t="shared" si="10"/>
        <v>0</v>
      </c>
      <c r="AT41" s="181" t="s">
        <v>30</v>
      </c>
      <c r="AU41" s="178" t="str">
        <f>IFERROR(VLOOKUP(AT41,'Списки'!$J$85:$L$94,2,FALSE)+VLOOKUP(AT41,'Списки'!$J$85:$L$94,3,FALSE)*VLOOKUP(AK41,$K$84:$L$108,2,FALSE),"_")</f>
        <v>_</v>
      </c>
      <c r="AV41" s="166" t="str">
        <f t="shared" si="11"/>
        <v>Без ограничений</v>
      </c>
      <c r="AW41" s="182"/>
      <c r="AX41" s="179"/>
      <c r="AY41" s="179"/>
      <c r="AZ41" s="177">
        <f t="shared" si="12"/>
        <v>0</v>
      </c>
      <c r="BA41" s="177">
        <f>ROUNDDOWN('Списки'!$E$175*'Списки'!$F$175*AZ41)</f>
        <v>0</v>
      </c>
      <c r="BB41" s="183"/>
      <c r="BC41" s="179"/>
      <c r="BD41" s="177">
        <f t="shared" si="13"/>
        <v>0</v>
      </c>
      <c r="BE41" s="177">
        <f>ROUNDDOWN('Списки'!$E$176*'Списки'!$F$176*BD41)</f>
        <v>0</v>
      </c>
      <c r="BF41" s="184">
        <v>0.0</v>
      </c>
      <c r="BG41" s="182"/>
      <c r="BH41" s="182"/>
      <c r="BI41" s="12"/>
      <c r="BJ41" s="12"/>
      <c r="BK41" s="12"/>
      <c r="BL41" s="12"/>
      <c r="BM41" s="12"/>
      <c r="BN41" s="12"/>
      <c r="BO41" s="12"/>
      <c r="BP41" s="12"/>
      <c r="BQ41" s="12"/>
      <c r="BR41" s="12"/>
      <c r="BS41" s="12"/>
      <c r="BT41" s="12"/>
      <c r="BU41" s="12"/>
      <c r="BV41" s="12"/>
    </row>
    <row r="42" ht="11.25" customHeight="1">
      <c r="A42" s="142"/>
      <c r="C42" s="193" t="s">
        <v>176</v>
      </c>
      <c r="D42" s="137" t="str">
        <f>VLOOKUP(D36, 'Одежда, доспехи и щиты'!$B$6:$N$65, 9, FALSE)</f>
        <v>Невозможно</v>
      </c>
      <c r="E42" s="171"/>
      <c r="F42" s="171"/>
      <c r="G42" s="12"/>
      <c r="H42" s="12"/>
      <c r="I42" s="12"/>
      <c r="J42" s="12"/>
      <c r="K42" s="194" t="s">
        <v>177</v>
      </c>
      <c r="L42" s="195" t="str">
        <f>VLOOKUP(L41,'Списки'!B110:F118,4,FALSE)</f>
        <v>ПРАВАЯ РУКА</v>
      </c>
      <c r="N42" s="196" t="s">
        <v>178</v>
      </c>
      <c r="P42" s="124" t="s">
        <v>179</v>
      </c>
      <c r="Q42" s="108"/>
      <c r="S42" s="197" t="s">
        <v>180</v>
      </c>
      <c r="U42" s="109"/>
      <c r="V42" s="12"/>
      <c r="W42" s="12"/>
      <c r="X42" s="12"/>
      <c r="Y42" s="12"/>
      <c r="Z42" s="12"/>
      <c r="AA42" s="80"/>
      <c r="AB42" s="12"/>
      <c r="AC42" s="173" t="b">
        <v>0</v>
      </c>
      <c r="AD42" s="174" t="b">
        <v>0</v>
      </c>
      <c r="AE42" s="44" t="s">
        <v>30</v>
      </c>
      <c r="AF42" s="175"/>
      <c r="AG42" s="176">
        <f t="shared" si="4"/>
        <v>0</v>
      </c>
      <c r="AH42" s="175"/>
      <c r="AI42" s="177">
        <f t="shared" si="5"/>
        <v>0</v>
      </c>
      <c r="AJ42" s="177"/>
      <c r="AK42" s="178"/>
      <c r="AL42" s="177"/>
      <c r="AM42" s="177"/>
      <c r="AN42" s="177">
        <f t="shared" si="6"/>
        <v>0</v>
      </c>
      <c r="AO42" s="177">
        <f t="shared" si="7"/>
        <v>2</v>
      </c>
      <c r="AP42" s="177">
        <f t="shared" si="8"/>
        <v>0</v>
      </c>
      <c r="AQ42" s="179">
        <v>0.0</v>
      </c>
      <c r="AR42" s="177">
        <f t="shared" si="9"/>
        <v>2</v>
      </c>
      <c r="AS42" s="180">
        <f t="shared" si="10"/>
        <v>0</v>
      </c>
      <c r="AT42" s="181" t="s">
        <v>30</v>
      </c>
      <c r="AU42" s="178" t="str">
        <f>IFERROR(VLOOKUP(AT42,'Списки'!$J$85:$L$94,2,FALSE)+VLOOKUP(AT42,'Списки'!$J$85:$L$94,3,FALSE)*VLOOKUP(AK42,$K$84:$L$108,2,FALSE),"_")</f>
        <v>_</v>
      </c>
      <c r="AV42" s="166" t="str">
        <f t="shared" si="11"/>
        <v>Без ограничений</v>
      </c>
      <c r="AW42" s="182"/>
      <c r="AX42" s="179"/>
      <c r="AY42" s="179"/>
      <c r="AZ42" s="177">
        <f t="shared" si="12"/>
        <v>0</v>
      </c>
      <c r="BA42" s="177">
        <f>ROUNDDOWN('Списки'!$E$175*'Списки'!$F$175*AZ42)</f>
        <v>0</v>
      </c>
      <c r="BB42" s="183"/>
      <c r="BC42" s="179"/>
      <c r="BD42" s="177">
        <f t="shared" si="13"/>
        <v>0</v>
      </c>
      <c r="BE42" s="177">
        <f>ROUNDDOWN('Списки'!$E$176*'Списки'!$F$176*BD42)</f>
        <v>0</v>
      </c>
      <c r="BF42" s="184">
        <v>0.0</v>
      </c>
      <c r="BG42" s="182"/>
      <c r="BH42" s="182"/>
      <c r="BI42" s="12"/>
      <c r="BJ42" s="12"/>
      <c r="BK42" s="12"/>
      <c r="BL42" s="12"/>
      <c r="BM42" s="12"/>
      <c r="BN42" s="12"/>
      <c r="BO42" s="12"/>
      <c r="BP42" s="12"/>
      <c r="BQ42" s="12"/>
      <c r="BR42" s="12"/>
      <c r="BS42" s="12"/>
      <c r="BT42" s="12"/>
      <c r="BU42" s="12"/>
      <c r="BV42" s="12"/>
    </row>
    <row r="43" ht="11.25" customHeight="1">
      <c r="A43" s="142"/>
      <c r="B43" s="12"/>
      <c r="C43" s="76" t="s">
        <v>181</v>
      </c>
      <c r="D43" s="137" t="str">
        <f>IF(D34='Одежда, доспехи и щиты'!$T$6,VLOOKUP(D36, 'Одежда, доспехи и щиты'!$B$37:$N$45, 10, FALSE),IF(D34='Одежда, доспехи и щиты'!$U$6,VLOOKUP(D36, 'Одежда, доспехи и щиты'!$B$47:$N$55, 10, FALSE),IF(D34='Одежда, доспехи и щиты'!$V$6,VLOOKUP(D36, 'Одежда, доспехи и щиты'!$B$57:$N$65, 10, FALSE),"Без ограничений")))</f>
        <v>Без ограничений</v>
      </c>
      <c r="E43" s="171"/>
      <c r="F43" s="171"/>
      <c r="G43" s="12"/>
      <c r="H43" s="12"/>
      <c r="I43" s="12"/>
      <c r="J43" s="12"/>
      <c r="K43" s="194" t="s">
        <v>182</v>
      </c>
      <c r="L43" s="195" t="str">
        <f>VLOOKUP(L41,'Списки'!B110:F118,5,FALSE)</f>
        <v>ЛЕВАЯ РУКА</v>
      </c>
      <c r="M43" s="14"/>
      <c r="N43" s="76" t="s">
        <v>183</v>
      </c>
      <c r="P43" s="13" t="b">
        <v>0</v>
      </c>
      <c r="Q43" s="12"/>
      <c r="S43" s="80">
        <f>IF(OR(P48=TRUE,P49=TRUE,P47=TRUE),0,IF(P43=TRUE,4,0))</f>
        <v>0</v>
      </c>
      <c r="U43" s="109"/>
      <c r="V43" s="12"/>
      <c r="W43" s="12"/>
      <c r="X43" s="12"/>
      <c r="Y43" s="12"/>
      <c r="Z43" s="12"/>
      <c r="AA43" s="80"/>
      <c r="AB43" s="12"/>
      <c r="AC43" s="173" t="b">
        <v>0</v>
      </c>
      <c r="AD43" s="174" t="b">
        <v>0</v>
      </c>
      <c r="AE43" s="44" t="s">
        <v>30</v>
      </c>
      <c r="AF43" s="175"/>
      <c r="AG43" s="176">
        <f t="shared" si="4"/>
        <v>0</v>
      </c>
      <c r="AH43" s="175"/>
      <c r="AI43" s="177">
        <f t="shared" si="5"/>
        <v>0</v>
      </c>
      <c r="AJ43" s="177"/>
      <c r="AK43" s="178"/>
      <c r="AL43" s="177"/>
      <c r="AM43" s="177"/>
      <c r="AN43" s="177">
        <f t="shared" si="6"/>
        <v>0</v>
      </c>
      <c r="AO43" s="177">
        <f t="shared" si="7"/>
        <v>2</v>
      </c>
      <c r="AP43" s="177">
        <f t="shared" si="8"/>
        <v>0</v>
      </c>
      <c r="AQ43" s="179">
        <v>0.0</v>
      </c>
      <c r="AR43" s="177">
        <f t="shared" si="9"/>
        <v>2</v>
      </c>
      <c r="AS43" s="180">
        <f t="shared" si="10"/>
        <v>0</v>
      </c>
      <c r="AT43" s="181" t="s">
        <v>30</v>
      </c>
      <c r="AU43" s="178" t="str">
        <f>IFERROR(VLOOKUP(AT43,'Списки'!$J$85:$L$94,2,FALSE)+VLOOKUP(AT43,'Списки'!$J$85:$L$94,3,FALSE)*VLOOKUP(AK43,$K$84:$L$108,2,FALSE),"_")</f>
        <v>_</v>
      </c>
      <c r="AV43" s="166" t="str">
        <f t="shared" si="11"/>
        <v>Без ограничений</v>
      </c>
      <c r="AW43" s="182"/>
      <c r="AX43" s="179"/>
      <c r="AY43" s="179"/>
      <c r="AZ43" s="177">
        <f t="shared" si="12"/>
        <v>0</v>
      </c>
      <c r="BA43" s="177">
        <f>ROUNDDOWN('Списки'!$E$175*'Списки'!$F$175*AZ43)</f>
        <v>0</v>
      </c>
      <c r="BB43" s="183"/>
      <c r="BC43" s="179"/>
      <c r="BD43" s="177">
        <f t="shared" si="13"/>
        <v>0</v>
      </c>
      <c r="BE43" s="177">
        <f>ROUNDDOWN('Списки'!$E$176*'Списки'!$F$176*BD43)</f>
        <v>0</v>
      </c>
      <c r="BF43" s="184">
        <v>0.0</v>
      </c>
      <c r="BG43" s="182"/>
      <c r="BH43" s="182"/>
      <c r="BI43" s="12"/>
      <c r="BJ43" s="12"/>
      <c r="BK43" s="12"/>
      <c r="BL43" s="12"/>
      <c r="BM43" s="12"/>
      <c r="BN43" s="12"/>
      <c r="BO43" s="12"/>
      <c r="BP43" s="12"/>
      <c r="BQ43" s="12"/>
      <c r="BR43" s="12"/>
      <c r="BS43" s="12"/>
      <c r="BT43" s="12"/>
      <c r="BU43" s="12"/>
      <c r="BV43" s="12"/>
    </row>
    <row r="44" ht="11.25" customHeight="1">
      <c r="A44" s="1"/>
      <c r="B44" s="12"/>
      <c r="C44" s="76" t="s">
        <v>184</v>
      </c>
      <c r="D44" s="137" t="str">
        <f>IF(D38=TRUE,IF(D34='Одежда, доспехи и щиты'!$T$6,VLOOKUP(D36, 'Одежда, доспехи и щиты'!$B$37:$N$45, 11, FALSE),IF(D34='Одежда, доспехи и щиты'!$U$6,VLOOKUP(D36, 'Одежда, доспехи и щиты'!$B$47:$N$55, 11, FALSE),IF(D34='Одежда, доспехи и щиты'!$V$6,VLOOKUP(D36, 'Одежда, доспехи и щиты'!$B$57:$N$65, 11, FALSE),"Без ограничений"))),IF(SUM(D136+D137+D138)=0,"Без ограничений",MIN(K136,K137,K138)))</f>
        <v>Без ограничений</v>
      </c>
      <c r="E44" s="171"/>
      <c r="F44" s="171"/>
      <c r="G44" s="12"/>
      <c r="H44" s="12"/>
      <c r="I44" s="12"/>
      <c r="J44" s="12"/>
      <c r="K44" s="84" t="s">
        <v>185</v>
      </c>
      <c r="L44" s="198" t="str">
        <f>IF(AND(L32="Полуторный меч",L41="Ближний бой (в одной руке)")=TRUE,"Экзотическое_оружие",IF(AND(L32="Полуторный меч",L88&gt;L85)=TRUE,"Экзотическое_оружие",VLOOKUP(L32,'Списки'!$B$3:$C$88,2,FALSE)))</f>
        <v>Импровизированный_бой</v>
      </c>
      <c r="M44" s="14"/>
      <c r="N44" s="76" t="str">
        <f>IF(L4="Мужчина","Высокий рост","Красивая фигура")</f>
        <v>Высокий рост</v>
      </c>
      <c r="P44" s="13" t="b">
        <v>0</v>
      </c>
      <c r="Q44" s="12"/>
      <c r="S44" s="80">
        <f>IF(P51=TRUE,0,IF(P44=TRUE,4,0))</f>
        <v>0</v>
      </c>
      <c r="U44" s="109"/>
      <c r="V44" s="12"/>
      <c r="W44" s="12"/>
      <c r="X44" s="12"/>
      <c r="Y44" s="12"/>
      <c r="Z44" s="12"/>
      <c r="AA44" s="80"/>
      <c r="AB44" s="12"/>
      <c r="AC44" s="173" t="b">
        <v>0</v>
      </c>
      <c r="AD44" s="174" t="b">
        <v>0</v>
      </c>
      <c r="AE44" s="44" t="s">
        <v>30</v>
      </c>
      <c r="AF44" s="175"/>
      <c r="AG44" s="176">
        <f t="shared" si="4"/>
        <v>0</v>
      </c>
      <c r="AH44" s="175"/>
      <c r="AI44" s="177">
        <f t="shared" si="5"/>
        <v>0</v>
      </c>
      <c r="AJ44" s="177"/>
      <c r="AK44" s="178"/>
      <c r="AL44" s="177"/>
      <c r="AM44" s="177"/>
      <c r="AN44" s="177">
        <f t="shared" si="6"/>
        <v>0</v>
      </c>
      <c r="AO44" s="177">
        <f t="shared" si="7"/>
        <v>2</v>
      </c>
      <c r="AP44" s="177">
        <f t="shared" si="8"/>
        <v>0</v>
      </c>
      <c r="AQ44" s="179">
        <v>0.0</v>
      </c>
      <c r="AR44" s="177">
        <f t="shared" si="9"/>
        <v>2</v>
      </c>
      <c r="AS44" s="180">
        <f t="shared" si="10"/>
        <v>0</v>
      </c>
      <c r="AT44" s="181" t="s">
        <v>30</v>
      </c>
      <c r="AU44" s="178" t="str">
        <f>IFERROR(VLOOKUP(AT44,'Списки'!$J$85:$L$94,2,FALSE)+VLOOKUP(AT44,'Списки'!$J$85:$L$94,3,FALSE)*VLOOKUP(AK44,$K$84:$L$108,2,FALSE),"_")</f>
        <v>_</v>
      </c>
      <c r="AV44" s="166" t="str">
        <f t="shared" si="11"/>
        <v>Без ограничений</v>
      </c>
      <c r="AW44" s="182"/>
      <c r="AX44" s="179"/>
      <c r="AY44" s="179"/>
      <c r="AZ44" s="177">
        <f t="shared" si="12"/>
        <v>0</v>
      </c>
      <c r="BA44" s="177">
        <f>ROUNDDOWN('Списки'!$E$175*'Списки'!$F$175*AZ44)</f>
        <v>0</v>
      </c>
      <c r="BB44" s="183"/>
      <c r="BC44" s="179"/>
      <c r="BD44" s="177">
        <f t="shared" si="13"/>
        <v>0</v>
      </c>
      <c r="BE44" s="177">
        <f>ROUNDDOWN('Списки'!$E$176*'Списки'!$F$176*BD44)</f>
        <v>0</v>
      </c>
      <c r="BF44" s="184">
        <v>0.0</v>
      </c>
      <c r="BG44" s="182"/>
      <c r="BH44" s="182"/>
      <c r="BI44" s="12"/>
      <c r="BJ44" s="12"/>
      <c r="BK44" s="12"/>
      <c r="BL44" s="12"/>
      <c r="BM44" s="12"/>
      <c r="BN44" s="12"/>
      <c r="BO44" s="12"/>
      <c r="BP44" s="12"/>
      <c r="BQ44" s="12"/>
      <c r="BR44" s="12"/>
      <c r="BS44" s="12"/>
      <c r="BT44" s="12"/>
      <c r="BU44" s="12"/>
      <c r="BV44" s="12"/>
    </row>
    <row r="45" ht="11.25" customHeight="1">
      <c r="A45" s="142"/>
      <c r="B45" s="12"/>
      <c r="C45" s="193" t="s">
        <v>186</v>
      </c>
      <c r="D45" s="137">
        <f>IF(D34="Без_одежды",1,IF(D34="Средние_доспехи",-3,IF(D34="Тяжелые_доспехи",-6,0)))</f>
        <v>0</v>
      </c>
      <c r="E45" s="171"/>
      <c r="F45" s="171"/>
      <c r="G45" s="12"/>
      <c r="H45" s="12"/>
      <c r="I45" s="12"/>
      <c r="J45" s="12"/>
      <c r="K45" s="196" t="s">
        <v>187</v>
      </c>
      <c r="L45" s="199">
        <f>VLOOKUP(L32, 'Оружие'!$A$2:$K$637, 10, FALSE)</f>
        <v>0</v>
      </c>
      <c r="M45" s="14"/>
      <c r="N45" s="76" t="s">
        <v>188</v>
      </c>
      <c r="P45" s="13" t="b">
        <v>0</v>
      </c>
      <c r="Q45" s="12"/>
      <c r="S45" s="80">
        <f>IF(P52=TRUE,0,IF(P45=TRUE,3,0))</f>
        <v>0</v>
      </c>
      <c r="U45" s="200" t="s">
        <v>189</v>
      </c>
      <c r="V45" s="201"/>
      <c r="W45" s="201"/>
      <c r="X45" s="202" t="s">
        <v>190</v>
      </c>
      <c r="Y45" s="203"/>
      <c r="Z45" s="203"/>
      <c r="AA45" s="204" t="s">
        <v>191</v>
      </c>
      <c r="AB45" s="12"/>
      <c r="AC45" s="173" t="b">
        <v>0</v>
      </c>
      <c r="AD45" s="174" t="b">
        <v>0</v>
      </c>
      <c r="AE45" s="44" t="s">
        <v>30</v>
      </c>
      <c r="AF45" s="175"/>
      <c r="AG45" s="176">
        <f t="shared" si="4"/>
        <v>0</v>
      </c>
      <c r="AH45" s="175"/>
      <c r="AI45" s="177">
        <f t="shared" si="5"/>
        <v>0</v>
      </c>
      <c r="AJ45" s="177"/>
      <c r="AK45" s="178"/>
      <c r="AL45" s="177"/>
      <c r="AM45" s="177"/>
      <c r="AN45" s="177">
        <f t="shared" si="6"/>
        <v>0</v>
      </c>
      <c r="AO45" s="177">
        <f t="shared" si="7"/>
        <v>2</v>
      </c>
      <c r="AP45" s="177">
        <f t="shared" si="8"/>
        <v>0</v>
      </c>
      <c r="AQ45" s="179">
        <v>0.0</v>
      </c>
      <c r="AR45" s="177">
        <f t="shared" si="9"/>
        <v>2</v>
      </c>
      <c r="AS45" s="180">
        <f t="shared" si="10"/>
        <v>0</v>
      </c>
      <c r="AT45" s="181" t="s">
        <v>30</v>
      </c>
      <c r="AU45" s="178" t="str">
        <f>IFERROR(VLOOKUP(AT45,'Списки'!$J$85:$L$94,2,FALSE)+VLOOKUP(AT45,'Списки'!$J$85:$L$94,3,FALSE)*VLOOKUP(AK45,$K$84:$L$108,2,FALSE),"_")</f>
        <v>_</v>
      </c>
      <c r="AV45" s="166" t="str">
        <f t="shared" si="11"/>
        <v>Без ограничений</v>
      </c>
      <c r="AW45" s="182"/>
      <c r="AX45" s="179"/>
      <c r="AY45" s="179"/>
      <c r="AZ45" s="177">
        <f t="shared" si="12"/>
        <v>0</v>
      </c>
      <c r="BA45" s="177">
        <f>ROUNDDOWN('Списки'!$E$175*'Списки'!$F$175*AZ45)</f>
        <v>0</v>
      </c>
      <c r="BB45" s="183"/>
      <c r="BC45" s="179"/>
      <c r="BD45" s="177">
        <f t="shared" si="13"/>
        <v>0</v>
      </c>
      <c r="BE45" s="177">
        <f>ROUNDDOWN('Списки'!$E$176*'Списки'!$F$176*BD45)</f>
        <v>0</v>
      </c>
      <c r="BF45" s="184">
        <v>0.0</v>
      </c>
      <c r="BG45" s="182"/>
      <c r="BH45" s="182"/>
      <c r="BI45" s="12"/>
      <c r="BJ45" s="12"/>
      <c r="BK45" s="12"/>
      <c r="BL45" s="12"/>
      <c r="BM45" s="12"/>
      <c r="BN45" s="12"/>
      <c r="BO45" s="12"/>
      <c r="BP45" s="12"/>
      <c r="BQ45" s="12"/>
      <c r="BR45" s="12"/>
      <c r="BS45" s="12"/>
      <c r="BT45" s="12"/>
      <c r="BU45" s="12"/>
      <c r="BV45" s="12"/>
    </row>
    <row r="46" ht="11.25" customHeight="1">
      <c r="A46" s="1"/>
      <c r="C46" s="76" t="s">
        <v>192</v>
      </c>
      <c r="D46" s="137">
        <f>IF(D34="Средние_доспехи",1,IF(D34="Тяжелые_доспехи",2,0))</f>
        <v>0</v>
      </c>
      <c r="E46" s="171"/>
      <c r="F46" s="171"/>
      <c r="G46" s="12"/>
      <c r="H46" s="12"/>
      <c r="I46" s="12"/>
      <c r="J46" s="12"/>
      <c r="K46" s="79" t="s">
        <v>193</v>
      </c>
      <c r="L46" s="205">
        <f>VLOOKUP(L44,$K$84:$L$108,2,FALSE)</f>
        <v>1</v>
      </c>
      <c r="M46" s="14"/>
      <c r="N46" s="76" t="s">
        <v>194</v>
      </c>
      <c r="P46" s="13" t="b">
        <v>0</v>
      </c>
      <c r="Q46" s="12"/>
      <c r="S46" s="80">
        <f>IF(P46=TRUE,-1,0)</f>
        <v>0</v>
      </c>
      <c r="U46" s="79" t="s">
        <v>195</v>
      </c>
      <c r="X46" s="123" t="s">
        <v>196</v>
      </c>
      <c r="Y46" s="203"/>
      <c r="Z46" s="203"/>
      <c r="AA46" s="206">
        <v>13.0</v>
      </c>
      <c r="AB46" s="12"/>
      <c r="AC46" s="173" t="b">
        <v>0</v>
      </c>
      <c r="AD46" s="174" t="b">
        <v>0</v>
      </c>
      <c r="AE46" s="44" t="s">
        <v>30</v>
      </c>
      <c r="AF46" s="175"/>
      <c r="AG46" s="176">
        <f t="shared" si="4"/>
        <v>0</v>
      </c>
      <c r="AH46" s="175"/>
      <c r="AI46" s="177">
        <f t="shared" si="5"/>
        <v>0</v>
      </c>
      <c r="AJ46" s="177"/>
      <c r="AK46" s="178"/>
      <c r="AL46" s="177"/>
      <c r="AM46" s="177"/>
      <c r="AN46" s="177">
        <f t="shared" si="6"/>
        <v>0</v>
      </c>
      <c r="AO46" s="177">
        <f t="shared" si="7"/>
        <v>2</v>
      </c>
      <c r="AP46" s="177">
        <f t="shared" si="8"/>
        <v>0</v>
      </c>
      <c r="AQ46" s="179">
        <v>0.0</v>
      </c>
      <c r="AR46" s="177">
        <f t="shared" si="9"/>
        <v>2</v>
      </c>
      <c r="AS46" s="180">
        <f t="shared" si="10"/>
        <v>0</v>
      </c>
      <c r="AT46" s="181" t="s">
        <v>30</v>
      </c>
      <c r="AU46" s="178" t="str">
        <f>IFERROR(VLOOKUP(AT46,'Списки'!$J$85:$L$94,2,FALSE)+VLOOKUP(AT46,'Списки'!$J$85:$L$94,3,FALSE)*VLOOKUP(AK46,$K$84:$L$108,2,FALSE),"_")</f>
        <v>_</v>
      </c>
      <c r="AV46" s="166" t="str">
        <f t="shared" si="11"/>
        <v>Без ограничений</v>
      </c>
      <c r="AW46" s="182"/>
      <c r="AX46" s="179"/>
      <c r="AY46" s="179"/>
      <c r="AZ46" s="177">
        <f t="shared" si="12"/>
        <v>0</v>
      </c>
      <c r="BA46" s="177">
        <f>ROUNDDOWN('Списки'!$E$175*'Списки'!$F$175*AZ46)</f>
        <v>0</v>
      </c>
      <c r="BB46" s="183"/>
      <c r="BC46" s="179"/>
      <c r="BD46" s="177">
        <f t="shared" si="13"/>
        <v>0</v>
      </c>
      <c r="BE46" s="177">
        <f>ROUNDDOWN('Списки'!$E$176*'Списки'!$F$176*BD46)</f>
        <v>0</v>
      </c>
      <c r="BF46" s="184">
        <v>0.0</v>
      </c>
      <c r="BG46" s="182"/>
      <c r="BH46" s="182"/>
      <c r="BI46" s="12"/>
      <c r="BJ46" s="12"/>
      <c r="BK46" s="12"/>
      <c r="BL46" s="12"/>
      <c r="BM46" s="12"/>
      <c r="BN46" s="12"/>
      <c r="BO46" s="12"/>
      <c r="BP46" s="12"/>
      <c r="BQ46" s="12"/>
      <c r="BR46" s="12"/>
      <c r="BS46" s="12"/>
      <c r="BT46" s="12"/>
      <c r="BU46" s="12"/>
      <c r="BV46" s="12"/>
    </row>
    <row r="47" ht="11.25" customHeight="1">
      <c r="A47" s="14"/>
      <c r="C47" s="207" t="s">
        <v>25</v>
      </c>
      <c r="D47" s="208" t="str">
        <f>IF(D34='Одежда, доспехи и щиты'!$T$6,VLOOKUP(D36, 'Одежда, доспехи и щиты'!$B$37:$N$45, 12, FALSE),IF(D34='Одежда, доспехи и щиты'!$U$6,VLOOKUP(D36, 'Одежда, доспехи и щиты'!$B$47:$N$55, 12, FALSE),IF(D34='Одежда, доспехи и щиты'!$V$6,VLOOKUP(D36, 'Одежда, доспехи и щиты'!$B$57:$N$65, 12, FALSE),"_")))</f>
        <v>_</v>
      </c>
      <c r="E47" s="171"/>
      <c r="F47" s="171"/>
      <c r="G47" s="12"/>
      <c r="H47" s="12"/>
      <c r="I47" s="12"/>
      <c r="J47" s="12"/>
      <c r="K47" s="79" t="s">
        <v>197</v>
      </c>
      <c r="L47" s="205">
        <f>IFERROR(VLOOKUP(L32,'Профессии и боевые навыки'!L3:M34,2,FALSE),0)</f>
        <v>0</v>
      </c>
      <c r="M47" s="14"/>
      <c r="N47" s="79" t="s">
        <v>198</v>
      </c>
      <c r="P47" s="13" t="b">
        <v>0</v>
      </c>
      <c r="Q47" s="12"/>
      <c r="S47" s="80">
        <f t="shared" ref="S47:S48" si="14">IF(P47=TRUE,-2,0)</f>
        <v>0</v>
      </c>
      <c r="U47" s="79" t="s">
        <v>199</v>
      </c>
      <c r="X47" s="13" t="s">
        <v>200</v>
      </c>
      <c r="AA47" s="205"/>
      <c r="AB47" s="12"/>
      <c r="AC47" s="173" t="b">
        <v>0</v>
      </c>
      <c r="AD47" s="174" t="b">
        <v>0</v>
      </c>
      <c r="AE47" s="44" t="s">
        <v>30</v>
      </c>
      <c r="AF47" s="175"/>
      <c r="AG47" s="176">
        <f t="shared" si="4"/>
        <v>0</v>
      </c>
      <c r="AH47" s="175"/>
      <c r="AI47" s="177">
        <f t="shared" si="5"/>
        <v>0</v>
      </c>
      <c r="AJ47" s="177"/>
      <c r="AK47" s="181"/>
      <c r="AL47" s="177"/>
      <c r="AM47" s="177"/>
      <c r="AN47" s="177">
        <f t="shared" si="6"/>
        <v>0</v>
      </c>
      <c r="AO47" s="177">
        <f t="shared" si="7"/>
        <v>2</v>
      </c>
      <c r="AP47" s="177">
        <f t="shared" si="8"/>
        <v>0</v>
      </c>
      <c r="AQ47" s="179">
        <v>0.0</v>
      </c>
      <c r="AR47" s="177">
        <f t="shared" si="9"/>
        <v>2</v>
      </c>
      <c r="AS47" s="180">
        <f t="shared" si="10"/>
        <v>0</v>
      </c>
      <c r="AT47" s="181" t="s">
        <v>30</v>
      </c>
      <c r="AU47" s="178" t="str">
        <f>IFERROR(VLOOKUP(AT47,'Списки'!$J$85:$L$94,2,FALSE)+VLOOKUP(AT47,'Списки'!$J$85:$L$94,3,FALSE)*VLOOKUP(AK47,$K$84:$L$108,2,FALSE),"_")</f>
        <v>_</v>
      </c>
      <c r="AV47" s="166" t="str">
        <f t="shared" si="11"/>
        <v>Без ограничений</v>
      </c>
      <c r="AW47" s="182"/>
      <c r="AX47" s="179"/>
      <c r="AY47" s="179"/>
      <c r="AZ47" s="177">
        <f t="shared" si="12"/>
        <v>0</v>
      </c>
      <c r="BA47" s="177">
        <f>ROUNDDOWN('Списки'!$E$175*'Списки'!$F$175*AZ47)</f>
        <v>0</v>
      </c>
      <c r="BB47" s="183"/>
      <c r="BC47" s="179"/>
      <c r="BD47" s="177">
        <f t="shared" si="13"/>
        <v>0</v>
      </c>
      <c r="BE47" s="177">
        <f>ROUNDDOWN('Списки'!$E$176*'Списки'!$F$176*BD47)</f>
        <v>0</v>
      </c>
      <c r="BF47" s="184">
        <v>0.0</v>
      </c>
      <c r="BG47" s="182"/>
      <c r="BH47" s="182"/>
      <c r="BI47" s="12"/>
      <c r="BJ47" s="12"/>
      <c r="BK47" s="12"/>
      <c r="BL47" s="12"/>
      <c r="BM47" s="12"/>
      <c r="BN47" s="12"/>
      <c r="BO47" s="12"/>
      <c r="BP47" s="12"/>
      <c r="BQ47" s="12"/>
      <c r="BR47" s="12"/>
      <c r="BS47" s="12"/>
      <c r="BT47" s="12"/>
      <c r="BU47" s="12"/>
      <c r="BV47" s="12"/>
    </row>
    <row r="48" ht="11.25" customHeight="1">
      <c r="A48" s="1"/>
      <c r="C48" s="196" t="s">
        <v>201</v>
      </c>
      <c r="D48" s="209">
        <f>VLOOKUP(I13,'Списки'!$N$60:$O$95,2,FALSE)</f>
        <v>4</v>
      </c>
      <c r="E48" s="171"/>
      <c r="F48" s="171"/>
      <c r="G48" s="12"/>
      <c r="H48" s="12"/>
      <c r="I48" s="12"/>
      <c r="J48" s="12"/>
      <c r="K48" s="79" t="s">
        <v>202</v>
      </c>
      <c r="L48" s="205">
        <f>ROUNDDOWN(I11/2,0)</f>
        <v>2</v>
      </c>
      <c r="M48" s="14"/>
      <c r="N48" s="76" t="s">
        <v>203</v>
      </c>
      <c r="P48" s="13" t="b">
        <v>0</v>
      </c>
      <c r="Q48" s="12"/>
      <c r="S48" s="80">
        <f t="shared" si="14"/>
        <v>0</v>
      </c>
      <c r="U48" s="79" t="s">
        <v>119</v>
      </c>
      <c r="X48" s="12"/>
      <c r="AA48" s="205"/>
      <c r="AB48" s="12"/>
      <c r="AC48" s="173" t="b">
        <v>0</v>
      </c>
      <c r="AD48" s="174" t="b">
        <v>0</v>
      </c>
      <c r="AE48" s="44" t="s">
        <v>30</v>
      </c>
      <c r="AF48" s="175"/>
      <c r="AG48" s="176">
        <f t="shared" si="4"/>
        <v>0</v>
      </c>
      <c r="AH48" s="175"/>
      <c r="AI48" s="177">
        <f t="shared" si="5"/>
        <v>0</v>
      </c>
      <c r="AJ48" s="177"/>
      <c r="AK48" s="178"/>
      <c r="AL48" s="177"/>
      <c r="AM48" s="177"/>
      <c r="AN48" s="177">
        <f t="shared" si="6"/>
        <v>0</v>
      </c>
      <c r="AO48" s="177">
        <f t="shared" si="7"/>
        <v>2</v>
      </c>
      <c r="AP48" s="177">
        <f t="shared" si="8"/>
        <v>0</v>
      </c>
      <c r="AQ48" s="179">
        <v>0.0</v>
      </c>
      <c r="AR48" s="177">
        <f t="shared" si="9"/>
        <v>2</v>
      </c>
      <c r="AS48" s="180">
        <f t="shared" si="10"/>
        <v>0</v>
      </c>
      <c r="AT48" s="181" t="s">
        <v>30</v>
      </c>
      <c r="AU48" s="178" t="str">
        <f>IFERROR(VLOOKUP(AT48,'Списки'!$J$85:$L$94,2,FALSE)+VLOOKUP(AT48,'Списки'!$J$85:$L$94,3,FALSE)*VLOOKUP(AK48,$K$84:$L$108,2,FALSE),"_")</f>
        <v>_</v>
      </c>
      <c r="AV48" s="166" t="str">
        <f t="shared" si="11"/>
        <v>Без ограничений</v>
      </c>
      <c r="AW48" s="182"/>
      <c r="AX48" s="179"/>
      <c r="AY48" s="179"/>
      <c r="AZ48" s="177">
        <f t="shared" si="12"/>
        <v>0</v>
      </c>
      <c r="BA48" s="177">
        <f>ROUNDDOWN('Списки'!$E$175*'Списки'!$F$175*AZ48)</f>
        <v>0</v>
      </c>
      <c r="BB48" s="183"/>
      <c r="BC48" s="179"/>
      <c r="BD48" s="177">
        <f t="shared" si="13"/>
        <v>0</v>
      </c>
      <c r="BE48" s="177">
        <f>ROUNDDOWN('Списки'!$E$176*'Списки'!$F$176*BD48)</f>
        <v>0</v>
      </c>
      <c r="BF48" s="184">
        <v>0.0</v>
      </c>
      <c r="BG48" s="182"/>
      <c r="BH48" s="182"/>
      <c r="BI48" s="12"/>
      <c r="BJ48" s="12"/>
      <c r="BK48" s="12"/>
      <c r="BL48" s="12"/>
      <c r="BM48" s="12"/>
      <c r="BN48" s="12"/>
      <c r="BO48" s="12"/>
      <c r="BP48" s="12"/>
      <c r="BQ48" s="12"/>
      <c r="BR48" s="12"/>
      <c r="BS48" s="12"/>
      <c r="BT48" s="12"/>
      <c r="BU48" s="12"/>
      <c r="BV48" s="12"/>
    </row>
    <row r="49" ht="11.25" customHeight="1">
      <c r="A49" s="1"/>
      <c r="C49" s="76" t="s">
        <v>204</v>
      </c>
      <c r="D49" s="137" t="str">
        <f>D43</f>
        <v>Без ограничений</v>
      </c>
      <c r="E49" s="171"/>
      <c r="F49" s="171"/>
      <c r="G49" s="12"/>
      <c r="H49" s="12"/>
      <c r="I49" s="12"/>
      <c r="J49" s="12"/>
      <c r="K49" s="79" t="s">
        <v>96</v>
      </c>
      <c r="L49" s="205">
        <f>ROUNDDOWN('Списки'!E177*'Списки'!F177*(L45+L46+L47+L48))</f>
        <v>0</v>
      </c>
      <c r="M49" s="13"/>
      <c r="N49" s="76" t="s">
        <v>205</v>
      </c>
      <c r="P49" s="13" t="b">
        <v>0</v>
      </c>
      <c r="Q49" s="12"/>
      <c r="S49" s="80">
        <f>IF(P49=TRUE,-3,0)</f>
        <v>0</v>
      </c>
      <c r="U49" s="79" t="s">
        <v>206</v>
      </c>
      <c r="X49" s="12"/>
      <c r="AA49" s="205"/>
      <c r="AB49" s="12"/>
      <c r="AC49" s="173" t="b">
        <v>0</v>
      </c>
      <c r="AD49" s="174" t="b">
        <v>0</v>
      </c>
      <c r="AE49" s="44" t="s">
        <v>30</v>
      </c>
      <c r="AF49" s="175"/>
      <c r="AG49" s="176">
        <f t="shared" si="4"/>
        <v>0</v>
      </c>
      <c r="AH49" s="175"/>
      <c r="AI49" s="177">
        <f t="shared" si="5"/>
        <v>0</v>
      </c>
      <c r="AJ49" s="177"/>
      <c r="AK49" s="178"/>
      <c r="AL49" s="177"/>
      <c r="AM49" s="177"/>
      <c r="AN49" s="177">
        <f t="shared" si="6"/>
        <v>0</v>
      </c>
      <c r="AO49" s="177">
        <f t="shared" si="7"/>
        <v>2</v>
      </c>
      <c r="AP49" s="177">
        <f t="shared" si="8"/>
        <v>0</v>
      </c>
      <c r="AQ49" s="179">
        <v>0.0</v>
      </c>
      <c r="AR49" s="177">
        <f t="shared" si="9"/>
        <v>2</v>
      </c>
      <c r="AS49" s="180">
        <f t="shared" si="10"/>
        <v>0</v>
      </c>
      <c r="AT49" s="181" t="s">
        <v>30</v>
      </c>
      <c r="AU49" s="178" t="str">
        <f>IFERROR(VLOOKUP(AT49,'Списки'!$J$85:$L$94,2,FALSE)+VLOOKUP(AT49,'Списки'!$J$85:$L$94,3,FALSE)*VLOOKUP(AK49,$K$84:$L$108,2,FALSE),"_")</f>
        <v>_</v>
      </c>
      <c r="AV49" s="166" t="str">
        <f t="shared" si="11"/>
        <v>Без ограничений</v>
      </c>
      <c r="AW49" s="182"/>
      <c r="AX49" s="179"/>
      <c r="AY49" s="179"/>
      <c r="AZ49" s="177">
        <f t="shared" si="12"/>
        <v>0</v>
      </c>
      <c r="BA49" s="177">
        <f>ROUNDDOWN('Списки'!$E$175*'Списки'!$F$175*AZ49)</f>
        <v>0</v>
      </c>
      <c r="BB49" s="183"/>
      <c r="BC49" s="179"/>
      <c r="BD49" s="177">
        <f t="shared" si="13"/>
        <v>0</v>
      </c>
      <c r="BE49" s="177">
        <f>ROUNDDOWN('Списки'!$E$176*'Списки'!$F$176*BD49)</f>
        <v>0</v>
      </c>
      <c r="BF49" s="184">
        <v>0.0</v>
      </c>
      <c r="BG49" s="182"/>
      <c r="BH49" s="182"/>
      <c r="BI49" s="12"/>
      <c r="BJ49" s="12"/>
      <c r="BK49" s="12"/>
      <c r="BL49" s="12"/>
      <c r="BM49" s="12"/>
      <c r="BN49" s="12"/>
      <c r="BO49" s="12"/>
      <c r="BP49" s="12"/>
      <c r="BQ49" s="12"/>
      <c r="BR49" s="12"/>
      <c r="BS49" s="12"/>
      <c r="BT49" s="12"/>
      <c r="BU49" s="12"/>
      <c r="BV49" s="12"/>
    </row>
    <row r="50" ht="11.25" customHeight="1">
      <c r="A50" s="1"/>
      <c r="C50" s="76" t="s">
        <v>207</v>
      </c>
      <c r="D50" s="143">
        <f>IFERROR(VLOOKUP("Боевая акробатика",AD5:AJ25, 7, FALSE),0)</f>
        <v>0</v>
      </c>
      <c r="E50" s="171"/>
      <c r="F50" s="171"/>
      <c r="G50" s="12"/>
      <c r="H50" s="12"/>
      <c r="I50" s="12"/>
      <c r="J50" s="12"/>
      <c r="K50" s="76" t="s">
        <v>208</v>
      </c>
      <c r="L50" s="210"/>
      <c r="M50" s="14"/>
      <c r="N50" s="76" t="s">
        <v>209</v>
      </c>
      <c r="P50" s="13" t="b">
        <v>0</v>
      </c>
      <c r="Q50" s="12"/>
      <c r="S50" s="80">
        <f>IF(P50=TRUE,-1,(IF(MIN(V18,X18)&lt;=V17/2,-1,0)))</f>
        <v>0</v>
      </c>
      <c r="U50" s="79" t="s">
        <v>30</v>
      </c>
      <c r="X50" s="13"/>
      <c r="AA50" s="205"/>
      <c r="AB50" s="12"/>
      <c r="AC50" s="173" t="b">
        <v>0</v>
      </c>
      <c r="AD50" s="174" t="b">
        <v>0</v>
      </c>
      <c r="AE50" s="44" t="s">
        <v>30</v>
      </c>
      <c r="AF50" s="175"/>
      <c r="AG50" s="176">
        <f t="shared" si="4"/>
        <v>0</v>
      </c>
      <c r="AH50" s="175"/>
      <c r="AI50" s="177">
        <f t="shared" si="5"/>
        <v>0</v>
      </c>
      <c r="AJ50" s="177"/>
      <c r="AK50" s="178"/>
      <c r="AL50" s="177"/>
      <c r="AM50" s="177"/>
      <c r="AN50" s="177">
        <f t="shared" si="6"/>
        <v>0</v>
      </c>
      <c r="AO50" s="177">
        <f t="shared" si="7"/>
        <v>2</v>
      </c>
      <c r="AP50" s="177">
        <f t="shared" si="8"/>
        <v>0</v>
      </c>
      <c r="AQ50" s="179">
        <v>0.0</v>
      </c>
      <c r="AR50" s="177">
        <f t="shared" si="9"/>
        <v>2</v>
      </c>
      <c r="AS50" s="180">
        <f t="shared" si="10"/>
        <v>0</v>
      </c>
      <c r="AT50" s="181" t="s">
        <v>30</v>
      </c>
      <c r="AU50" s="178" t="str">
        <f>IFERROR(VLOOKUP(AT50,'Списки'!$J$85:$L$94,2,FALSE)+VLOOKUP(AT50,'Списки'!$J$85:$L$94,3,FALSE)*VLOOKUP(AK50,$K$84:$L$108,2,FALSE),"_")</f>
        <v>_</v>
      </c>
      <c r="AV50" s="166" t="str">
        <f t="shared" si="11"/>
        <v>Без ограничений</v>
      </c>
      <c r="AW50" s="182"/>
      <c r="AX50" s="179"/>
      <c r="AY50" s="179"/>
      <c r="AZ50" s="177">
        <f t="shared" si="12"/>
        <v>0</v>
      </c>
      <c r="BA50" s="177">
        <f>ROUNDDOWN('Списки'!$E$175*'Списки'!$F$175*AZ50)</f>
        <v>0</v>
      </c>
      <c r="BB50" s="183"/>
      <c r="BC50" s="179"/>
      <c r="BD50" s="177">
        <f t="shared" si="13"/>
        <v>0</v>
      </c>
      <c r="BE50" s="177">
        <f>ROUNDDOWN('Списки'!$E$176*'Списки'!$F$176*BD50)</f>
        <v>0</v>
      </c>
      <c r="BF50" s="184">
        <v>0.0</v>
      </c>
      <c r="BG50" s="182"/>
      <c r="BH50" s="182"/>
      <c r="BI50" s="12"/>
      <c r="BJ50" s="12"/>
      <c r="BK50" s="12"/>
      <c r="BL50" s="12"/>
      <c r="BM50" s="12"/>
      <c r="BN50" s="12"/>
      <c r="BO50" s="12"/>
      <c r="BP50" s="12"/>
      <c r="BQ50" s="12"/>
      <c r="BR50" s="12"/>
      <c r="BS50" s="12"/>
      <c r="BT50" s="12"/>
      <c r="BU50" s="12"/>
      <c r="BV50" s="12"/>
    </row>
    <row r="51" ht="11.25" customHeight="1">
      <c r="A51" s="1"/>
      <c r="C51" s="76" t="s">
        <v>210</v>
      </c>
      <c r="D51" s="143">
        <v>0.0</v>
      </c>
      <c r="E51" s="171"/>
      <c r="F51" s="171"/>
      <c r="G51" s="12"/>
      <c r="H51" s="12"/>
      <c r="I51" s="12"/>
      <c r="J51" s="12"/>
      <c r="K51" s="211" t="s">
        <v>151</v>
      </c>
      <c r="L51" s="137"/>
      <c r="M51" s="14"/>
      <c r="N51" s="76" t="s">
        <v>211</v>
      </c>
      <c r="P51" s="13" t="b">
        <v>0</v>
      </c>
      <c r="Q51" s="12"/>
      <c r="S51" s="80">
        <f>IF(P51=TRUE,-2,0)</f>
        <v>0</v>
      </c>
      <c r="U51" s="79" t="s">
        <v>30</v>
      </c>
      <c r="X51" s="212"/>
      <c r="Y51" s="213"/>
      <c r="Z51" s="213"/>
      <c r="AA51" s="214"/>
      <c r="AB51" s="12"/>
      <c r="AC51" s="173" t="b">
        <v>0</v>
      </c>
      <c r="AD51" s="174" t="b">
        <v>0</v>
      </c>
      <c r="AE51" s="44" t="s">
        <v>30</v>
      </c>
      <c r="AF51" s="175"/>
      <c r="AG51" s="176">
        <f t="shared" si="4"/>
        <v>0</v>
      </c>
      <c r="AH51" s="175"/>
      <c r="AI51" s="177">
        <f t="shared" si="5"/>
        <v>0</v>
      </c>
      <c r="AJ51" s="177"/>
      <c r="AK51" s="178"/>
      <c r="AL51" s="177"/>
      <c r="AM51" s="177"/>
      <c r="AN51" s="177">
        <f t="shared" si="6"/>
        <v>0</v>
      </c>
      <c r="AO51" s="177">
        <f t="shared" si="7"/>
        <v>2</v>
      </c>
      <c r="AP51" s="177">
        <f t="shared" si="8"/>
        <v>0</v>
      </c>
      <c r="AQ51" s="179">
        <v>0.0</v>
      </c>
      <c r="AR51" s="177">
        <f t="shared" si="9"/>
        <v>2</v>
      </c>
      <c r="AS51" s="180">
        <f t="shared" si="10"/>
        <v>0</v>
      </c>
      <c r="AT51" s="181" t="s">
        <v>30</v>
      </c>
      <c r="AU51" s="178" t="str">
        <f>IFERROR(VLOOKUP(AT51,'Списки'!$J$85:$L$94,2,FALSE)+VLOOKUP(AT51,'Списки'!$J$85:$L$94,3,FALSE)*VLOOKUP(AK51,$K$84:$L$108,2,FALSE),"_")</f>
        <v>_</v>
      </c>
      <c r="AV51" s="166" t="str">
        <f t="shared" si="11"/>
        <v>Без ограничений</v>
      </c>
      <c r="AW51" s="182"/>
      <c r="AX51" s="179"/>
      <c r="AY51" s="179"/>
      <c r="AZ51" s="177">
        <f t="shared" si="12"/>
        <v>0</v>
      </c>
      <c r="BA51" s="177">
        <f>ROUNDDOWN('Списки'!$E$175*'Списки'!$F$175*AZ51)</f>
        <v>0</v>
      </c>
      <c r="BB51" s="183"/>
      <c r="BC51" s="179"/>
      <c r="BD51" s="177">
        <f t="shared" si="13"/>
        <v>0</v>
      </c>
      <c r="BE51" s="177">
        <f>ROUNDDOWN('Списки'!$E$176*'Списки'!$F$176*BD51)</f>
        <v>0</v>
      </c>
      <c r="BF51" s="184">
        <v>0.0</v>
      </c>
      <c r="BG51" s="182"/>
      <c r="BH51" s="182"/>
      <c r="BI51" s="12"/>
      <c r="BJ51" s="12"/>
      <c r="BK51" s="12"/>
      <c r="BL51" s="12"/>
      <c r="BM51" s="12"/>
      <c r="BN51" s="12"/>
      <c r="BO51" s="12"/>
      <c r="BP51" s="12"/>
      <c r="BQ51" s="12"/>
      <c r="BR51" s="12"/>
      <c r="BS51" s="12"/>
      <c r="BT51" s="12"/>
      <c r="BU51" s="12"/>
      <c r="BV51" s="12"/>
    </row>
    <row r="52" ht="11.25" customHeight="1">
      <c r="A52" s="1"/>
      <c r="C52" s="215" t="s">
        <v>212</v>
      </c>
      <c r="D52" s="216">
        <f>MIN($D$48+D51,$D$43)+D50</f>
        <v>4</v>
      </c>
      <c r="E52" s="171"/>
      <c r="F52" s="171"/>
      <c r="G52" s="12"/>
      <c r="H52" s="12"/>
      <c r="I52" s="12"/>
      <c r="J52" s="12"/>
      <c r="K52" s="217" t="s">
        <v>152</v>
      </c>
      <c r="L52" s="218">
        <f>SUM(L45:L51)</f>
        <v>3</v>
      </c>
      <c r="M52" s="14"/>
      <c r="N52" s="76" t="s">
        <v>213</v>
      </c>
      <c r="P52" s="13" t="b">
        <v>0</v>
      </c>
      <c r="Q52" s="12"/>
      <c r="S52" s="80">
        <f>IF(P52=TRUE,-1,0)</f>
        <v>0</v>
      </c>
      <c r="U52" s="200" t="s">
        <v>214</v>
      </c>
      <c r="V52" s="201"/>
      <c r="W52" s="201"/>
      <c r="X52" s="219"/>
      <c r="Y52" s="219"/>
      <c r="Z52" s="219"/>
      <c r="AA52" s="220" t="s">
        <v>3</v>
      </c>
      <c r="AB52" s="12"/>
      <c r="AC52" s="173" t="b">
        <v>0</v>
      </c>
      <c r="AD52" s="174" t="b">
        <v>0</v>
      </c>
      <c r="AE52" s="44" t="s">
        <v>30</v>
      </c>
      <c r="AF52" s="175"/>
      <c r="AG52" s="176">
        <f t="shared" si="4"/>
        <v>0</v>
      </c>
      <c r="AH52" s="175"/>
      <c r="AI52" s="177">
        <f t="shared" si="5"/>
        <v>0</v>
      </c>
      <c r="AJ52" s="177"/>
      <c r="AK52" s="178"/>
      <c r="AL52" s="177"/>
      <c r="AM52" s="177"/>
      <c r="AN52" s="177">
        <f t="shared" si="6"/>
        <v>0</v>
      </c>
      <c r="AO52" s="177">
        <f t="shared" si="7"/>
        <v>2</v>
      </c>
      <c r="AP52" s="177">
        <f t="shared" si="8"/>
        <v>0</v>
      </c>
      <c r="AQ52" s="179">
        <v>0.0</v>
      </c>
      <c r="AR52" s="177">
        <f t="shared" si="9"/>
        <v>2</v>
      </c>
      <c r="AS52" s="180">
        <f t="shared" si="10"/>
        <v>0</v>
      </c>
      <c r="AT52" s="181" t="s">
        <v>30</v>
      </c>
      <c r="AU52" s="178" t="str">
        <f>IFERROR(VLOOKUP(AT52,'Списки'!$J$85:$L$94,2,FALSE)+VLOOKUP(AT52,'Списки'!$J$85:$L$94,3,FALSE)*VLOOKUP(AK52,$K$84:$L$108,2,FALSE),"_")</f>
        <v>_</v>
      </c>
      <c r="AV52" s="166" t="str">
        <f t="shared" si="11"/>
        <v>Без ограничений</v>
      </c>
      <c r="AW52" s="182"/>
      <c r="AX52" s="179"/>
      <c r="AY52" s="179"/>
      <c r="AZ52" s="177">
        <f t="shared" si="12"/>
        <v>0</v>
      </c>
      <c r="BA52" s="177">
        <f>ROUNDDOWN('Списки'!$E$175*'Списки'!$F$175*AZ52)</f>
        <v>0</v>
      </c>
      <c r="BB52" s="183"/>
      <c r="BC52" s="179"/>
      <c r="BD52" s="177">
        <f t="shared" si="13"/>
        <v>0</v>
      </c>
      <c r="BE52" s="177">
        <f>ROUNDDOWN('Списки'!$E$176*'Списки'!$F$176*BD52)</f>
        <v>0</v>
      </c>
      <c r="BF52" s="184">
        <v>0.0</v>
      </c>
      <c r="BG52" s="182"/>
      <c r="BH52" s="182"/>
      <c r="BI52" s="12"/>
      <c r="BJ52" s="12"/>
      <c r="BK52" s="12"/>
      <c r="BL52" s="12"/>
      <c r="BM52" s="12"/>
      <c r="BN52" s="12"/>
      <c r="BO52" s="12"/>
      <c r="BP52" s="12"/>
      <c r="BQ52" s="12"/>
      <c r="BR52" s="12"/>
      <c r="BS52" s="12"/>
      <c r="BT52" s="12"/>
      <c r="BU52" s="12"/>
      <c r="BV52" s="12"/>
    </row>
    <row r="53" ht="11.25" customHeight="1">
      <c r="A53" s="1"/>
      <c r="C53" s="196" t="s">
        <v>215</v>
      </c>
      <c r="D53" s="209" t="str">
        <f>VLOOKUP(L32, 'Оружие'!$A$2:$AD$637, 24+VLOOKUP(L44,$K$84:$L$108,2,FALSE), FALSE)</f>
        <v/>
      </c>
      <c r="E53" s="171"/>
      <c r="F53" s="171"/>
      <c r="G53" s="12"/>
      <c r="H53" s="12"/>
      <c r="I53" s="12"/>
      <c r="J53" s="12"/>
      <c r="K53" s="196" t="s">
        <v>216</v>
      </c>
      <c r="L53" s="221" t="str">
        <f>VLOOKUP(L32, 'Оружие'!$A$2:$R$637, 18, FALSE)</f>
        <v/>
      </c>
      <c r="M53" s="14"/>
      <c r="N53" s="222" t="s">
        <v>217</v>
      </c>
      <c r="O53" s="25"/>
      <c r="P53" s="223"/>
      <c r="Q53" s="224"/>
      <c r="R53" s="25"/>
      <c r="S53" s="225">
        <f>IF(SUM(I10:I14)&gt;=70,4,IF(SUM(I10:I14)&gt;=55,3,IF(SUM(I10:I14)&gt;=40,2,IF(SUM(I10:I14)&gt;=25,1,0))))</f>
        <v>0</v>
      </c>
      <c r="U53" s="109"/>
      <c r="V53" s="12"/>
      <c r="W53" s="12"/>
      <c r="X53" s="12"/>
      <c r="Y53" s="12"/>
      <c r="Z53" s="12"/>
      <c r="AA53" s="80"/>
      <c r="AB53" s="12"/>
      <c r="AC53" s="173" t="b">
        <v>0</v>
      </c>
      <c r="AD53" s="174" t="b">
        <v>0</v>
      </c>
      <c r="AE53" s="44" t="s">
        <v>30</v>
      </c>
      <c r="AF53" s="175"/>
      <c r="AG53" s="176">
        <f t="shared" si="4"/>
        <v>0</v>
      </c>
      <c r="AH53" s="175"/>
      <c r="AI53" s="177">
        <f t="shared" si="5"/>
        <v>0</v>
      </c>
      <c r="AJ53" s="177"/>
      <c r="AK53" s="178"/>
      <c r="AL53" s="177"/>
      <c r="AM53" s="177"/>
      <c r="AN53" s="177">
        <f t="shared" si="6"/>
        <v>0</v>
      </c>
      <c r="AO53" s="177">
        <f t="shared" si="7"/>
        <v>2</v>
      </c>
      <c r="AP53" s="177">
        <f t="shared" si="8"/>
        <v>0</v>
      </c>
      <c r="AQ53" s="179">
        <v>0.0</v>
      </c>
      <c r="AR53" s="177">
        <f t="shared" si="9"/>
        <v>2</v>
      </c>
      <c r="AS53" s="180">
        <f t="shared" si="10"/>
        <v>0</v>
      </c>
      <c r="AT53" s="181" t="s">
        <v>30</v>
      </c>
      <c r="AU53" s="178" t="str">
        <f>IFERROR(VLOOKUP(AT53,'Списки'!$J$85:$L$94,2,FALSE)+VLOOKUP(AT53,'Списки'!$J$85:$L$94,3,FALSE)*VLOOKUP(AK53,$K$84:$L$108,2,FALSE),"_")</f>
        <v>_</v>
      </c>
      <c r="AV53" s="166" t="str">
        <f t="shared" si="11"/>
        <v>Без ограничений</v>
      </c>
      <c r="AW53" s="182"/>
      <c r="AX53" s="179"/>
      <c r="AY53" s="179"/>
      <c r="AZ53" s="177">
        <f t="shared" si="12"/>
        <v>0</v>
      </c>
      <c r="BA53" s="177">
        <f>ROUNDDOWN('Списки'!$E$175*'Списки'!$F$175*AZ53)</f>
        <v>0</v>
      </c>
      <c r="BB53" s="183"/>
      <c r="BC53" s="179"/>
      <c r="BD53" s="177">
        <f t="shared" si="13"/>
        <v>0</v>
      </c>
      <c r="BE53" s="177">
        <f>ROUNDDOWN('Списки'!$E$176*'Списки'!$F$176*BD53)</f>
        <v>0</v>
      </c>
      <c r="BF53" s="184">
        <v>0.0</v>
      </c>
      <c r="BG53" s="182"/>
      <c r="BH53" s="182"/>
      <c r="BI53" s="12"/>
      <c r="BJ53" s="12"/>
      <c r="BK53" s="12"/>
      <c r="BL53" s="12"/>
      <c r="BM53" s="12"/>
      <c r="BN53" s="12"/>
      <c r="BO53" s="12"/>
      <c r="BP53" s="12"/>
      <c r="BQ53" s="12"/>
      <c r="BR53" s="12"/>
      <c r="BS53" s="12"/>
      <c r="BT53" s="12"/>
      <c r="BU53" s="12"/>
      <c r="BV53" s="12"/>
    </row>
    <row r="54" ht="11.25" customHeight="1">
      <c r="A54" s="1"/>
      <c r="C54" s="76" t="s">
        <v>218</v>
      </c>
      <c r="D54" s="137">
        <f>I11*6</f>
        <v>24</v>
      </c>
      <c r="E54" s="171"/>
      <c r="F54" s="171"/>
      <c r="G54" s="12"/>
      <c r="H54" s="12"/>
      <c r="I54" s="12"/>
      <c r="J54" s="12"/>
      <c r="K54" s="76" t="s">
        <v>219</v>
      </c>
      <c r="L54" s="226">
        <f>VLOOKUP(L32, 'Оружие'!$A$2:$S$637, 19, FALSE)</f>
        <v>0</v>
      </c>
      <c r="M54" s="14"/>
      <c r="N54" s="118" t="s">
        <v>220</v>
      </c>
      <c r="O54" s="25"/>
      <c r="P54" s="227" t="s">
        <v>221</v>
      </c>
      <c r="Q54" s="228"/>
      <c r="R54" s="25"/>
      <c r="S54" s="122">
        <f>VLOOKUP(P54,'Списки'!B135:D138,3,FALSE)</f>
        <v>0</v>
      </c>
      <c r="U54" s="109"/>
      <c r="V54" s="12"/>
      <c r="W54" s="12"/>
      <c r="X54" s="12"/>
      <c r="Y54" s="12"/>
      <c r="Z54" s="12"/>
      <c r="AA54" s="80"/>
      <c r="AB54" s="12"/>
      <c r="AC54" s="173" t="b">
        <v>0</v>
      </c>
      <c r="AD54" s="174" t="b">
        <v>0</v>
      </c>
      <c r="AE54" s="44" t="s">
        <v>30</v>
      </c>
      <c r="AF54" s="175"/>
      <c r="AG54" s="176">
        <f t="shared" si="4"/>
        <v>0</v>
      </c>
      <c r="AH54" s="175"/>
      <c r="AI54" s="177">
        <f t="shared" si="5"/>
        <v>0</v>
      </c>
      <c r="AJ54" s="177"/>
      <c r="AK54" s="178"/>
      <c r="AL54" s="177"/>
      <c r="AM54" s="177"/>
      <c r="AN54" s="177">
        <f t="shared" si="6"/>
        <v>0</v>
      </c>
      <c r="AO54" s="177">
        <f t="shared" si="7"/>
        <v>2</v>
      </c>
      <c r="AP54" s="177">
        <f t="shared" si="8"/>
        <v>0</v>
      </c>
      <c r="AQ54" s="179">
        <v>0.0</v>
      </c>
      <c r="AR54" s="177">
        <f t="shared" si="9"/>
        <v>2</v>
      </c>
      <c r="AS54" s="180">
        <f t="shared" si="10"/>
        <v>0</v>
      </c>
      <c r="AT54" s="181" t="s">
        <v>30</v>
      </c>
      <c r="AU54" s="178" t="str">
        <f>IFERROR(VLOOKUP(AT54,'Списки'!$J$85:$L$94,2,FALSE)+VLOOKUP(AT54,'Списки'!$J$85:$L$94,3,FALSE)*VLOOKUP(AK54,$K$84:$L$108,2,FALSE),"_")</f>
        <v>_</v>
      </c>
      <c r="AV54" s="166" t="str">
        <f t="shared" si="11"/>
        <v>Без ограничений</v>
      </c>
      <c r="AW54" s="182"/>
      <c r="AX54" s="179"/>
      <c r="AY54" s="179"/>
      <c r="AZ54" s="177">
        <f t="shared" si="12"/>
        <v>0</v>
      </c>
      <c r="BA54" s="177">
        <f>ROUNDDOWN('Списки'!$E$175*'Списки'!$F$175*AZ54)</f>
        <v>0</v>
      </c>
      <c r="BB54" s="183"/>
      <c r="BC54" s="179"/>
      <c r="BD54" s="177">
        <f t="shared" si="13"/>
        <v>0</v>
      </c>
      <c r="BE54" s="177">
        <f>ROUNDDOWN('Списки'!$E$176*'Списки'!$F$176*BD54)</f>
        <v>0</v>
      </c>
      <c r="BF54" s="184">
        <v>0.0</v>
      </c>
      <c r="BG54" s="182"/>
      <c r="BH54" s="182"/>
      <c r="BI54" s="12"/>
      <c r="BJ54" s="12"/>
      <c r="BK54" s="12"/>
      <c r="BL54" s="12"/>
      <c r="BM54" s="12"/>
      <c r="BN54" s="12"/>
      <c r="BO54" s="12"/>
      <c r="BP54" s="12"/>
      <c r="BQ54" s="12"/>
      <c r="BR54" s="12"/>
      <c r="BS54" s="12"/>
      <c r="BT54" s="12"/>
      <c r="BU54" s="12"/>
      <c r="BV54" s="12"/>
    </row>
    <row r="55" ht="11.25" customHeight="1">
      <c r="A55" s="1"/>
      <c r="C55" s="229" t="s">
        <v>222</v>
      </c>
      <c r="D55" s="230">
        <f>IF(D53=0,0,D53+D54)</f>
        <v>0</v>
      </c>
      <c r="E55" s="171"/>
      <c r="F55" s="171"/>
      <c r="G55" s="12"/>
      <c r="H55" s="12"/>
      <c r="I55" s="12"/>
      <c r="K55" s="76" t="s">
        <v>223</v>
      </c>
      <c r="L55" s="226" t="str">
        <f>VLOOKUP(L32, 'Оружие'!$A$2:$T$637, 20, FALSE)</f>
        <v/>
      </c>
      <c r="M55" s="10"/>
      <c r="N55" s="222" t="s">
        <v>224</v>
      </c>
      <c r="O55" s="25"/>
      <c r="P55" s="231" t="s">
        <v>225</v>
      </c>
      <c r="Q55" s="228"/>
      <c r="R55" s="25"/>
      <c r="S55" s="225">
        <f>VLOOKUP(P55,'Списки'!B141:D144,3,FALSE)</f>
        <v>-1</v>
      </c>
      <c r="U55" s="109"/>
      <c r="V55" s="12"/>
      <c r="W55" s="12"/>
      <c r="X55" s="12"/>
      <c r="Y55" s="12"/>
      <c r="Z55" s="12"/>
      <c r="AA55" s="80"/>
      <c r="AB55" s="12"/>
      <c r="AC55" s="173" t="b">
        <v>0</v>
      </c>
      <c r="AD55" s="174" t="b">
        <v>0</v>
      </c>
      <c r="AE55" s="44" t="s">
        <v>30</v>
      </c>
      <c r="AF55" s="175"/>
      <c r="AG55" s="176">
        <f t="shared" si="4"/>
        <v>0</v>
      </c>
      <c r="AH55" s="175"/>
      <c r="AI55" s="177">
        <f t="shared" si="5"/>
        <v>0</v>
      </c>
      <c r="AJ55" s="177"/>
      <c r="AK55" s="178"/>
      <c r="AL55" s="177"/>
      <c r="AM55" s="177"/>
      <c r="AN55" s="177">
        <f t="shared" si="6"/>
        <v>0</v>
      </c>
      <c r="AO55" s="177">
        <f t="shared" si="7"/>
        <v>2</v>
      </c>
      <c r="AP55" s="177">
        <f t="shared" si="8"/>
        <v>0</v>
      </c>
      <c r="AQ55" s="179">
        <v>0.0</v>
      </c>
      <c r="AR55" s="177">
        <f t="shared" si="9"/>
        <v>2</v>
      </c>
      <c r="AS55" s="180">
        <f t="shared" si="10"/>
        <v>0</v>
      </c>
      <c r="AT55" s="181" t="s">
        <v>30</v>
      </c>
      <c r="AU55" s="178" t="str">
        <f>IFERROR(VLOOKUP(AT55,'Списки'!$J$85:$L$94,2,FALSE)+VLOOKUP(AT55,'Списки'!$J$85:$L$94,3,FALSE)*VLOOKUP(AK55,$K$84:$L$108,2,FALSE),"_")</f>
        <v>_</v>
      </c>
      <c r="AV55" s="166" t="str">
        <f t="shared" si="11"/>
        <v>Без ограничений</v>
      </c>
      <c r="AW55" s="182"/>
      <c r="AX55" s="179"/>
      <c r="AY55" s="179"/>
      <c r="AZ55" s="177">
        <f t="shared" si="12"/>
        <v>0</v>
      </c>
      <c r="BA55" s="177">
        <f>ROUNDDOWN('Списки'!$E$175*'Списки'!$F$175*AZ55)</f>
        <v>0</v>
      </c>
      <c r="BB55" s="183"/>
      <c r="BC55" s="179"/>
      <c r="BD55" s="177">
        <f t="shared" si="13"/>
        <v>0</v>
      </c>
      <c r="BE55" s="177">
        <f>ROUNDDOWN('Списки'!$E$176*'Списки'!$F$176*BD55)</f>
        <v>0</v>
      </c>
      <c r="BF55" s="184">
        <v>0.0</v>
      </c>
      <c r="BG55" s="182"/>
      <c r="BH55" s="182"/>
      <c r="BI55" s="12"/>
      <c r="BJ55" s="12"/>
      <c r="BK55" s="12"/>
      <c r="BL55" s="12"/>
      <c r="BM55" s="12"/>
      <c r="BN55" s="12"/>
      <c r="BO55" s="12"/>
      <c r="BP55" s="12"/>
      <c r="BQ55" s="12"/>
      <c r="BR55" s="12"/>
      <c r="BS55" s="12"/>
      <c r="BT55" s="12"/>
      <c r="BU55" s="12"/>
      <c r="BV55" s="12"/>
    </row>
    <row r="56" ht="11.25" customHeight="1">
      <c r="A56" s="1"/>
      <c r="C56" s="69" t="s">
        <v>226</v>
      </c>
      <c r="D56" s="206" t="s">
        <v>227</v>
      </c>
      <c r="E56" s="171"/>
      <c r="F56" s="171"/>
      <c r="G56" s="12"/>
      <c r="H56" s="12"/>
      <c r="I56" s="12"/>
      <c r="J56" s="12"/>
      <c r="K56" s="76" t="s">
        <v>228</v>
      </c>
      <c r="L56" s="186" t="str">
        <f>VLOOKUP(L32, 'Оружие'!$A$2:$U$637, 21, FALSE)</f>
        <v/>
      </c>
      <c r="M56" s="14"/>
      <c r="N56" s="222" t="s">
        <v>229</v>
      </c>
      <c r="O56" s="25"/>
      <c r="P56" s="224" t="str">
        <f>D34</f>
        <v>Простая_одежда</v>
      </c>
      <c r="R56" s="232" t="str">
        <f>D36</f>
        <v>Стандартное</v>
      </c>
      <c r="S56" s="233" t="str">
        <f>D37</f>
        <v>0</v>
      </c>
      <c r="U56" s="109"/>
      <c r="V56" s="12"/>
      <c r="W56" s="12"/>
      <c r="X56" s="12"/>
      <c r="Y56" s="12"/>
      <c r="Z56" s="12"/>
      <c r="AA56" s="80"/>
      <c r="AB56" s="12"/>
      <c r="AC56" s="173" t="b">
        <v>0</v>
      </c>
      <c r="AD56" s="174" t="b">
        <v>0</v>
      </c>
      <c r="AE56" s="44" t="s">
        <v>30</v>
      </c>
      <c r="AF56" s="175"/>
      <c r="AG56" s="176">
        <f t="shared" si="4"/>
        <v>0</v>
      </c>
      <c r="AH56" s="175"/>
      <c r="AI56" s="177">
        <f t="shared" si="5"/>
        <v>0</v>
      </c>
      <c r="AJ56" s="177"/>
      <c r="AK56" s="178"/>
      <c r="AL56" s="177"/>
      <c r="AM56" s="177"/>
      <c r="AN56" s="177">
        <f t="shared" si="6"/>
        <v>0</v>
      </c>
      <c r="AO56" s="177">
        <f t="shared" si="7"/>
        <v>2</v>
      </c>
      <c r="AP56" s="177">
        <f t="shared" si="8"/>
        <v>0</v>
      </c>
      <c r="AQ56" s="179">
        <v>0.0</v>
      </c>
      <c r="AR56" s="177">
        <f t="shared" si="9"/>
        <v>2</v>
      </c>
      <c r="AS56" s="180">
        <f t="shared" si="10"/>
        <v>0</v>
      </c>
      <c r="AT56" s="181" t="s">
        <v>30</v>
      </c>
      <c r="AU56" s="178" t="str">
        <f>IFERROR(VLOOKUP(AT56,'Списки'!$J$85:$L$94,2,FALSE)+VLOOKUP(AT56,'Списки'!$J$85:$L$94,3,FALSE)*VLOOKUP(AK56,$K$84:$L$108,2,FALSE),"_")</f>
        <v>_</v>
      </c>
      <c r="AV56" s="166" t="str">
        <f t="shared" si="11"/>
        <v>Без ограничений</v>
      </c>
      <c r="AW56" s="182"/>
      <c r="AX56" s="179"/>
      <c r="AY56" s="179"/>
      <c r="AZ56" s="177">
        <f t="shared" si="12"/>
        <v>0</v>
      </c>
      <c r="BA56" s="177">
        <f>ROUNDDOWN('Списки'!$E$175*'Списки'!$F$175*AZ56)</f>
        <v>0</v>
      </c>
      <c r="BB56" s="183"/>
      <c r="BC56" s="179"/>
      <c r="BD56" s="177">
        <f t="shared" si="13"/>
        <v>0</v>
      </c>
      <c r="BE56" s="177">
        <f>ROUNDDOWN('Списки'!$E$176*'Списки'!$F$176*BD56)</f>
        <v>0</v>
      </c>
      <c r="BF56" s="184">
        <v>0.0</v>
      </c>
      <c r="BG56" s="182"/>
      <c r="BH56" s="182"/>
      <c r="BI56" s="12"/>
      <c r="BJ56" s="12"/>
      <c r="BK56" s="12"/>
      <c r="BL56" s="12"/>
      <c r="BM56" s="12"/>
      <c r="BN56" s="12"/>
      <c r="BO56" s="12"/>
      <c r="BP56" s="12"/>
      <c r="BQ56" s="12"/>
      <c r="BR56" s="12"/>
      <c r="BS56" s="12"/>
      <c r="BT56" s="12"/>
      <c r="BU56" s="12"/>
      <c r="BV56" s="12"/>
    </row>
    <row r="57" ht="11.25" customHeight="1">
      <c r="A57" s="1"/>
      <c r="C57" s="131" t="s">
        <v>230</v>
      </c>
      <c r="D57" s="205" t="str">
        <f>VLOOKUP(D56,'Одежда, доспехи и щиты'!$AJ$6:$AS$13,10,FALSE)</f>
        <v>_</v>
      </c>
      <c r="E57" s="171"/>
      <c r="F57" s="171"/>
      <c r="G57" s="12"/>
      <c r="H57" s="12"/>
      <c r="I57" s="12"/>
      <c r="J57" s="12"/>
      <c r="K57" s="76" t="s">
        <v>231</v>
      </c>
      <c r="L57" s="186">
        <f>IF(VLOOKUP(L44,K84:L108,2,FALSE)&gt;4,10%,5%)+L56</f>
        <v>0.05</v>
      </c>
      <c r="M57" s="13"/>
      <c r="N57" s="234" t="s">
        <v>232</v>
      </c>
      <c r="O57" s="25"/>
      <c r="P57" s="235"/>
      <c r="Q57" s="224"/>
      <c r="R57" s="25"/>
      <c r="S57" s="236">
        <f>SUM(S43:S56)</f>
        <v>-1</v>
      </c>
      <c r="U57" s="109"/>
      <c r="V57" s="12"/>
      <c r="W57" s="12"/>
      <c r="X57" s="12"/>
      <c r="Y57" s="12"/>
      <c r="Z57" s="12"/>
      <c r="AA57" s="80"/>
      <c r="AB57" s="12"/>
      <c r="AC57" s="173" t="b">
        <v>0</v>
      </c>
      <c r="AD57" s="174" t="b">
        <v>0</v>
      </c>
      <c r="AE57" s="44" t="s">
        <v>30</v>
      </c>
      <c r="AF57" s="175"/>
      <c r="AG57" s="176">
        <f t="shared" si="4"/>
        <v>0</v>
      </c>
      <c r="AH57" s="175"/>
      <c r="AI57" s="177">
        <f t="shared" si="5"/>
        <v>0</v>
      </c>
      <c r="AJ57" s="177"/>
      <c r="AK57" s="178"/>
      <c r="AL57" s="177"/>
      <c r="AM57" s="177"/>
      <c r="AN57" s="177">
        <f t="shared" si="6"/>
        <v>0</v>
      </c>
      <c r="AO57" s="177">
        <f t="shared" si="7"/>
        <v>2</v>
      </c>
      <c r="AP57" s="177">
        <f t="shared" si="8"/>
        <v>0</v>
      </c>
      <c r="AQ57" s="179">
        <v>0.0</v>
      </c>
      <c r="AR57" s="177">
        <f t="shared" si="9"/>
        <v>2</v>
      </c>
      <c r="AS57" s="180">
        <f t="shared" si="10"/>
        <v>0</v>
      </c>
      <c r="AT57" s="181" t="s">
        <v>30</v>
      </c>
      <c r="AU57" s="178" t="str">
        <f>IFERROR(VLOOKUP(AT57,'Списки'!$J$85:$L$94,2,FALSE)+VLOOKUP(AT57,'Списки'!$J$85:$L$94,3,FALSE)*VLOOKUP(AK57,$K$84:$L$108,2,FALSE),"_")</f>
        <v>_</v>
      </c>
      <c r="AV57" s="166" t="str">
        <f t="shared" si="11"/>
        <v>Без ограничений</v>
      </c>
      <c r="AW57" s="182"/>
      <c r="AX57" s="179"/>
      <c r="AY57" s="179"/>
      <c r="AZ57" s="177">
        <f t="shared" si="12"/>
        <v>0</v>
      </c>
      <c r="BA57" s="177">
        <f>ROUNDDOWN('Списки'!$E$175*'Списки'!$F$175*AZ57)</f>
        <v>0</v>
      </c>
      <c r="BB57" s="183"/>
      <c r="BC57" s="179"/>
      <c r="BD57" s="177">
        <f t="shared" si="13"/>
        <v>0</v>
      </c>
      <c r="BE57" s="177">
        <f>ROUNDDOWN('Списки'!$E$176*'Списки'!$F$176*BD57)</f>
        <v>0</v>
      </c>
      <c r="BF57" s="184">
        <v>0.0</v>
      </c>
      <c r="BG57" s="182"/>
      <c r="BH57" s="182"/>
      <c r="BI57" s="12"/>
      <c r="BJ57" s="12"/>
      <c r="BK57" s="12"/>
      <c r="BL57" s="12"/>
      <c r="BM57" s="12"/>
      <c r="BN57" s="12"/>
      <c r="BO57" s="12"/>
      <c r="BP57" s="12"/>
      <c r="BQ57" s="12"/>
      <c r="BR57" s="12"/>
      <c r="BS57" s="12"/>
      <c r="BT57" s="12"/>
      <c r="BU57" s="12"/>
      <c r="BV57" s="12"/>
    </row>
    <row r="58" ht="11.25" customHeight="1">
      <c r="A58" s="1"/>
      <c r="C58" s="131" t="s">
        <v>233</v>
      </c>
      <c r="D58" s="143" t="s">
        <v>30</v>
      </c>
      <c r="E58" s="171"/>
      <c r="F58" s="171"/>
      <c r="G58" s="12"/>
      <c r="H58" s="12"/>
      <c r="I58" s="12"/>
      <c r="J58" s="12"/>
      <c r="K58" s="79" t="s">
        <v>234</v>
      </c>
      <c r="L58" s="205" t="str">
        <f>VLOOKUP(L32, 'Оружие'!$A$2:$V$637, 22, FALSE)</f>
        <v/>
      </c>
      <c r="U58" s="109"/>
      <c r="V58" s="12"/>
      <c r="W58" s="12"/>
      <c r="X58" s="12"/>
      <c r="Y58" s="12"/>
      <c r="Z58" s="12"/>
      <c r="AA58" s="80"/>
      <c r="AB58" s="12"/>
      <c r="AC58" s="237" t="b">
        <v>0</v>
      </c>
      <c r="AD58" s="238" t="b">
        <v>0</v>
      </c>
      <c r="AE58" s="239" t="s">
        <v>30</v>
      </c>
      <c r="AF58" s="240"/>
      <c r="AG58" s="241">
        <f t="shared" si="4"/>
        <v>0</v>
      </c>
      <c r="AH58" s="240"/>
      <c r="AI58" s="242">
        <f t="shared" si="5"/>
        <v>0</v>
      </c>
      <c r="AJ58" s="242"/>
      <c r="AK58" s="243"/>
      <c r="AL58" s="242"/>
      <c r="AM58" s="242"/>
      <c r="AN58" s="242">
        <f t="shared" si="6"/>
        <v>0</v>
      </c>
      <c r="AO58" s="242">
        <f t="shared" si="7"/>
        <v>2</v>
      </c>
      <c r="AP58" s="242">
        <f t="shared" si="8"/>
        <v>0</v>
      </c>
      <c r="AQ58" s="244">
        <v>0.0</v>
      </c>
      <c r="AR58" s="242">
        <f t="shared" si="9"/>
        <v>2</v>
      </c>
      <c r="AS58" s="245">
        <f t="shared" si="10"/>
        <v>0</v>
      </c>
      <c r="AT58" s="246" t="s">
        <v>30</v>
      </c>
      <c r="AU58" s="243" t="str">
        <f>IFERROR(VLOOKUP(AT58,'Списки'!$J$85:$L$94,2,FALSE)+VLOOKUP(AT58,'Списки'!$J$85:$L$94,3,FALSE)*VLOOKUP(AK58,$K$84:$L$108,2,FALSE),"_")</f>
        <v>_</v>
      </c>
      <c r="AV58" s="12" t="str">
        <f t="shared" si="11"/>
        <v>Без ограничений</v>
      </c>
      <c r="AW58" s="247"/>
      <c r="AX58" s="244"/>
      <c r="AY58" s="244"/>
      <c r="AZ58" s="242">
        <f t="shared" si="12"/>
        <v>0</v>
      </c>
      <c r="BA58" s="242">
        <f>ROUNDDOWN('Списки'!$E$175*'Списки'!$F$175*AZ58)</f>
        <v>0</v>
      </c>
      <c r="BB58" s="248"/>
      <c r="BC58" s="244"/>
      <c r="BD58" s="242">
        <f t="shared" si="13"/>
        <v>0</v>
      </c>
      <c r="BE58" s="242">
        <f>ROUNDDOWN('Списки'!$E$176*'Списки'!$F$176*BD58)</f>
        <v>0</v>
      </c>
      <c r="BF58" s="249">
        <v>0.0</v>
      </c>
      <c r="BG58" s="247"/>
      <c r="BH58" s="247"/>
      <c r="BI58" s="12"/>
      <c r="BJ58" s="12"/>
      <c r="BK58" s="12"/>
      <c r="BL58" s="12"/>
      <c r="BM58" s="12"/>
      <c r="BN58" s="12"/>
      <c r="BO58" s="12"/>
      <c r="BP58" s="12"/>
      <c r="BQ58" s="12"/>
      <c r="BR58" s="12"/>
      <c r="BS58" s="12"/>
      <c r="BT58" s="12"/>
      <c r="BU58" s="12"/>
      <c r="BV58" s="12"/>
    </row>
    <row r="59" ht="11.25" customHeight="1">
      <c r="A59" s="1"/>
      <c r="B59" s="1"/>
      <c r="C59" s="131" t="s">
        <v>235</v>
      </c>
      <c r="D59" s="143" t="s">
        <v>30</v>
      </c>
      <c r="E59" s="171"/>
      <c r="F59" s="171"/>
      <c r="G59" s="12"/>
      <c r="H59" s="12"/>
      <c r="I59" s="12"/>
      <c r="J59" s="12"/>
      <c r="K59" s="84" t="s">
        <v>236</v>
      </c>
      <c r="L59" s="214" t="str">
        <f>IFERROR(IF(L44="Щиты",IF('Одежда, доспехи и щиты'!AG18="Метал",VLOOKUP(L32,'Одежда, доспехи и щиты'!Y48:AG50,MATCH(L34,'Одежда, доспехи и щиты'!Y47:AG47,0),FALSE),IF('Одежда, доспехи и щиты'!AG18="Древесина",VLOOKUP(L32,'Одежда, доспехи и щиты'!Y52:AH55,MATCH(L34,'Одежда, доспехи и щиты'!Y52:AH52,0),FALSE))),ROUNDDOWN(IFERROR(VLOOKUP(L32,'Списки'!B4:E88,4,FALSE)*VLOOKUP(L35, 'Оружие'!A646:H650, MATCH(L34, 'Оружие'!A646:H646, 0), FALSE),VLOOKUP(L32,'Списки'!B4:E88,4,FALSE)*VLOOKUP(L35, 'Оружие'!A646:H650, MATCH(L34, 'Оружие'!A645:H645, 0), FALSE)))),"")</f>
        <v/>
      </c>
      <c r="M59" s="250"/>
      <c r="N59" s="251" t="s">
        <v>237</v>
      </c>
      <c r="O59" s="252"/>
      <c r="P59" s="253"/>
      <c r="Q59" s="253"/>
      <c r="R59" s="253"/>
      <c r="S59" s="254"/>
      <c r="U59" s="109"/>
      <c r="V59" s="12"/>
      <c r="W59" s="12"/>
      <c r="X59" s="12"/>
      <c r="Y59" s="12"/>
      <c r="Z59" s="12"/>
      <c r="AA59" s="80"/>
      <c r="AB59" s="12"/>
      <c r="AC59" s="110">
        <f>COUNTIF(AC38:AC58, TRUE)</f>
        <v>0</v>
      </c>
      <c r="AD59" s="35" t="s">
        <v>238</v>
      </c>
      <c r="AF59" s="12"/>
      <c r="AG59" s="1"/>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row>
    <row r="60" ht="11.25" customHeight="1">
      <c r="A60" s="12"/>
      <c r="C60" s="131" t="s">
        <v>236</v>
      </c>
      <c r="D60" s="205">
        <f>IF(D56="Без_щита",0,IF('Одежда, доспехи и щиты'!AH18="Метал",VLOOKUP(D56,'Одежда, доспехи и щиты'!AJ47:AR55,MATCH(D58,'Одежда, доспехи и щиты'!AJ47:AR47,0),FALSE),IF('Одежда, доспехи и щиты'!AH18="Древесина",VLOOKUP(D56,'Одежда, доспехи и щиты'!AJ52:AS55,MATCH(D58,'Одежда, доспехи и щиты'!AJ31:AR31,0),FALSE))))</f>
        <v>0</v>
      </c>
      <c r="E60" s="171"/>
      <c r="F60" s="171"/>
      <c r="G60" s="12"/>
      <c r="H60" s="12"/>
      <c r="I60" s="12"/>
      <c r="J60" s="12"/>
      <c r="K60" s="76" t="s">
        <v>239</v>
      </c>
      <c r="L60" s="137">
        <f>VLOOKUP(L32, 'Оружие'!$A$2:$K$637, 11, FALSE)</f>
        <v>3</v>
      </c>
      <c r="M60" s="250"/>
      <c r="N60" s="255" t="s">
        <v>240</v>
      </c>
      <c r="O60" s="256"/>
      <c r="S60" s="257">
        <f>I18</f>
        <v>2</v>
      </c>
      <c r="U60" s="258"/>
      <c r="V60" s="212"/>
      <c r="W60" s="212"/>
      <c r="X60" s="212"/>
      <c r="Y60" s="212"/>
      <c r="Z60" s="212"/>
      <c r="AA60" s="198"/>
      <c r="AB60" s="259"/>
      <c r="AC60" s="111">
        <f t="array" ref="AC60">IF(AC59=0,0,SUM(SEQUENCE(1,AC59,5)))</f>
        <v>0</v>
      </c>
      <c r="AD60" s="112" t="s">
        <v>97</v>
      </c>
      <c r="AE60" s="260" t="s">
        <v>241</v>
      </c>
      <c r="AG60" s="1"/>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row>
    <row r="61" ht="11.25" customHeight="1">
      <c r="A61" s="1"/>
      <c r="C61" s="261" t="s">
        <v>242</v>
      </c>
      <c r="D61" s="262">
        <f>VLOOKUP(D56,'Одежда, доспехи и щиты'!AJ7:AW13,MATCH(L95,'Одежда, доспехи и щиты'!AJ6:AQ6,0),FALSE)</f>
        <v>0</v>
      </c>
      <c r="E61" s="171"/>
      <c r="F61" s="171"/>
      <c r="G61" s="12"/>
      <c r="H61" s="12"/>
      <c r="I61" s="12"/>
      <c r="J61" s="12"/>
      <c r="K61" s="79" t="s">
        <v>243</v>
      </c>
      <c r="L61" s="263">
        <f>I14*2.5%</f>
        <v>0.075</v>
      </c>
      <c r="M61" s="250"/>
      <c r="N61" s="264" t="s">
        <v>244</v>
      </c>
      <c r="O61" s="265"/>
      <c r="S61" s="266">
        <f>S60-SUM(O63:O65)</f>
        <v>0</v>
      </c>
      <c r="U61" s="260"/>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row>
    <row r="62" ht="11.25" customHeight="1">
      <c r="A62" s="1"/>
      <c r="C62" s="131" t="s">
        <v>170</v>
      </c>
      <c r="D62" s="205">
        <f>VLOOKUP(D56,'Одежда, доспехи и щиты'!AJ7:AS13,9,FALSE)</f>
        <v>0</v>
      </c>
      <c r="E62" s="171"/>
      <c r="F62" s="171"/>
      <c r="G62" s="12"/>
      <c r="H62" s="12"/>
      <c r="I62" s="12"/>
      <c r="J62" s="12"/>
      <c r="K62" s="79" t="s">
        <v>245</v>
      </c>
      <c r="L62" s="263">
        <f>D41</f>
        <v>0</v>
      </c>
      <c r="M62" s="250"/>
      <c r="N62" s="267" t="s">
        <v>246</v>
      </c>
      <c r="O62" s="268" t="s">
        <v>247</v>
      </c>
      <c r="P62" s="269" t="s">
        <v>248</v>
      </c>
      <c r="Q62" s="269" t="s">
        <v>249</v>
      </c>
      <c r="R62" s="123" t="s">
        <v>250</v>
      </c>
      <c r="S62" s="124" t="s">
        <v>251</v>
      </c>
      <c r="T62" s="124" t="s">
        <v>252</v>
      </c>
      <c r="U62" s="124" t="s">
        <v>253</v>
      </c>
      <c r="V62" s="270" t="s">
        <v>254</v>
      </c>
      <c r="W62" s="124"/>
      <c r="X62" s="124"/>
      <c r="Y62" s="124"/>
      <c r="Z62" s="124"/>
      <c r="AA62" s="124"/>
      <c r="AB62" s="124"/>
      <c r="AC62" s="124"/>
      <c r="AD62" s="206"/>
      <c r="AF62" s="271" t="s">
        <v>255</v>
      </c>
      <c r="AG62" s="272"/>
      <c r="AH62" s="272"/>
      <c r="AI62" s="272"/>
      <c r="AJ62" s="273"/>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ht="11.25" customHeight="1">
      <c r="A63" s="12"/>
      <c r="C63" s="79" t="s">
        <v>256</v>
      </c>
      <c r="D63" s="205" t="str">
        <f>VLOOKUP(D56,'Одежда, доспехи и щиты'!AJ7:AW13,14,FALSE)</f>
        <v>Без ограничений</v>
      </c>
      <c r="E63" s="171"/>
      <c r="F63" s="171"/>
      <c r="G63" s="12"/>
      <c r="H63" s="12"/>
      <c r="I63" s="12"/>
      <c r="J63" s="12"/>
      <c r="K63" s="274" t="s">
        <v>257</v>
      </c>
      <c r="L63" s="275">
        <f>ROUNDUP(L60-L60*(L61+L62),0)+IF(OR(L41="Melee (one-handed)",L41="Throwing",L41="Fist",L41="Leg"),IF(U14&lt;=U13/2,1,0),IF(MIN(U14,Y14)&lt;=U13/2,1,0))</f>
        <v>3</v>
      </c>
      <c r="M63" s="250"/>
      <c r="N63" s="276" t="s">
        <v>258</v>
      </c>
      <c r="O63" s="250">
        <v>2.0</v>
      </c>
      <c r="P63" s="277">
        <f>VLOOKUP(N63,'Списки'!$B$173:$G$178,5,FALSE)</f>
        <v>2</v>
      </c>
      <c r="Q63" s="277" t="str">
        <f t="shared" ref="Q63:Q65" si="15">IF(O63&gt;=4,"+","-")</f>
        <v>-</v>
      </c>
      <c r="R63" s="277" t="str">
        <f t="shared" ref="R63:R65" si="16">IF(O63&gt;=5,"+","-")</f>
        <v>-</v>
      </c>
      <c r="S63" s="277" t="str">
        <f t="shared" ref="S63:S65" si="17">IF(O63&gt;=6,"+","-")</f>
        <v>-</v>
      </c>
      <c r="T63" s="277" t="str">
        <f t="shared" ref="T63:T65" si="18">IF(O63&gt;=7,"+","-")</f>
        <v>-</v>
      </c>
      <c r="U63" s="277" t="str">
        <f t="shared" ref="U63:U65" si="19">IF(O63&gt;=10,"+","-")</f>
        <v>-</v>
      </c>
      <c r="V63" s="278" t="str">
        <f>IF(S63="+",VLOOKUP(N63,'Списки'!I46:K53,3,FALSE),"_")</f>
        <v>_</v>
      </c>
      <c r="W63" s="96"/>
      <c r="X63" s="96"/>
      <c r="Y63" s="96"/>
      <c r="Z63" s="96"/>
      <c r="AA63" s="96"/>
      <c r="AB63" s="96"/>
      <c r="AC63" s="96"/>
      <c r="AD63" s="143"/>
      <c r="AF63" s="279"/>
      <c r="AJ63" s="136"/>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ht="11.25" customHeight="1">
      <c r="A64" s="1"/>
      <c r="C64" s="261" t="s">
        <v>259</v>
      </c>
      <c r="D64" s="262">
        <f>IF(D56="Без_щита",0,IF('Одежда, доспехи и щиты'!AH18="Метал",IF('Одежда, доспехи и щиты'!AH18="Метал",VLOOKUP(D56,'Одежда, доспехи и щиты'!AJ48:AR50,9,FALSE),0),IF('Одежда, доспехи и щиты'!AH18="Древесина",VLOOKUP(D56,'Одежда, доспехи и щиты'!AJ53:AS55,10,FALSE),0)))</f>
        <v>0</v>
      </c>
      <c r="E64" s="171"/>
      <c r="F64" s="171"/>
      <c r="G64" s="12"/>
      <c r="H64" s="12"/>
      <c r="I64" s="12"/>
      <c r="J64" s="12"/>
      <c r="K64" s="196" t="s">
        <v>260</v>
      </c>
      <c r="L64" s="209" t="str">
        <f>IF(L32="Болевой прием",VLOOKUP(L32, 'Оружие'!$A$2:$H$637, MATCH(L85, 'Оружие'!$A$468:$H$468, 0), FALSE),IF(L32="Кулак",VLOOKUP(L32, 'Оружие'!$A$2:$H$637, MATCH(L93, 'Оружие'!$A$468:$H$468, 0), FALSE),IF(L32="Нога",VLOOKUP(L32, 'Оружие'!$A$2:$H$637, MATCH(L93, 'Оружие'!$A$468:$H$468, 0), FALSE),IF(L44="Импровизированный_бой",VLOOKUP(L32, 'Оружие'!$A$2:$H$637, MATCH(L88, 'Оружие'!$A$468:$H$468, 0), FALSE),IF(VLOOKUP(L32,'Списки'!$B$4:$D$94,3,FALSE)="Метал",VLOOKUP(L32, 'Оружие'!$A$2:$H$637, MATCH(L34, 'Оружие'!$A$2:$H$2, 0), FALSE),IF(VLOOKUP(L32,'Списки'!$B$4:$D$94,3,FALSE)="Древесина",VLOOKUP(L32, 'Оружие'!A2:H637, MATCH(L34,'Оружие'!$A$559:$H$559, 0), FALSE),VLOOKUP(L32,'Оружие'!A628:R637, MATCH(L34, 'Оружие'!$A$628:$H$628,0), FALSE)))))))</f>
        <v>1d4+3</v>
      </c>
      <c r="M64" s="250"/>
      <c r="N64" s="280" t="s">
        <v>30</v>
      </c>
      <c r="O64" s="281">
        <v>0.0</v>
      </c>
      <c r="P64" s="277" t="str">
        <f>VLOOKUP(N64,'Списки'!$B$173:$G$180,5,FALSE)</f>
        <v/>
      </c>
      <c r="Q64" s="277" t="str">
        <f t="shared" si="15"/>
        <v>-</v>
      </c>
      <c r="R64" s="277" t="str">
        <f t="shared" si="16"/>
        <v>-</v>
      </c>
      <c r="S64" s="277" t="str">
        <f t="shared" si="17"/>
        <v>-</v>
      </c>
      <c r="T64" s="277" t="str">
        <f t="shared" si="18"/>
        <v>-</v>
      </c>
      <c r="U64" s="277" t="str">
        <f t="shared" si="19"/>
        <v>-</v>
      </c>
      <c r="V64" s="278" t="str">
        <f>IF(S64="+",VLOOKUP(N64,'Списки'!I47:K54,3,FALSE),"_")</f>
        <v>_</v>
      </c>
      <c r="W64" s="96"/>
      <c r="X64" s="96"/>
      <c r="Y64" s="96"/>
      <c r="Z64" s="96"/>
      <c r="AA64" s="96"/>
      <c r="AB64" s="96"/>
      <c r="AC64" s="96"/>
      <c r="AD64" s="143"/>
      <c r="AF64" s="279"/>
      <c r="AJ64" s="136"/>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row>
    <row r="65" ht="11.25" customHeight="1">
      <c r="A65" s="1"/>
      <c r="C65" s="131" t="s">
        <v>261</v>
      </c>
      <c r="D65" s="205">
        <f>VLOOKUP(D56,'Одежда, доспехи и щиты'!AJ7:AU13,11,FALSE)*VLOOKUP("Щиты",K84:L108,2,FALSE)</f>
        <v>0</v>
      </c>
      <c r="E65" s="171"/>
      <c r="F65" s="171"/>
      <c r="G65" s="12"/>
      <c r="H65" s="12"/>
      <c r="I65" s="12"/>
      <c r="J65" s="12"/>
      <c r="K65" s="76" t="s">
        <v>262</v>
      </c>
      <c r="L65" s="137">
        <f>IFERROR(VLOOKUP(L36, 'Оружие'!$A$2:$H$554, MATCH(L37, 'Оружие'!$A$2:$H$2, 0), FALSE)+ROUNDDOWN(MAX(VLOOKUP(L38,'Списки'!$B$166:$D$169,2,FALSE),(VLOOKUP(L36, 'Оружие'!$A$2:$H$554, MATCH(L37, 'Оружие'!$A$2:$H$2, 0), FALSE)*VLOOKUP(L38,'Списки'!$B$166:$D$169,3,FALSE)))),0)</f>
        <v>0</v>
      </c>
      <c r="M65" s="250"/>
      <c r="N65" s="282" t="s">
        <v>30</v>
      </c>
      <c r="O65" s="283">
        <v>0.0</v>
      </c>
      <c r="P65" s="284" t="str">
        <f>VLOOKUP(N65,'Списки'!$B$173:$G$180,5,FALSE)</f>
        <v/>
      </c>
      <c r="Q65" s="284" t="str">
        <f t="shared" si="15"/>
        <v>-</v>
      </c>
      <c r="R65" s="284" t="str">
        <f t="shared" si="16"/>
        <v>-</v>
      </c>
      <c r="S65" s="284" t="str">
        <f t="shared" si="17"/>
        <v>-</v>
      </c>
      <c r="T65" s="284" t="str">
        <f t="shared" si="18"/>
        <v>-</v>
      </c>
      <c r="U65" s="284" t="str">
        <f t="shared" si="19"/>
        <v>-</v>
      </c>
      <c r="V65" s="285" t="str">
        <f>IF(S65="+",VLOOKUP(N65,'Списки'!I48:K55,3,FALSE),"_")</f>
        <v>_</v>
      </c>
      <c r="W65" s="286"/>
      <c r="X65" s="286"/>
      <c r="Y65" s="286"/>
      <c r="Z65" s="286"/>
      <c r="AA65" s="286"/>
      <c r="AB65" s="286"/>
      <c r="AC65" s="286"/>
      <c r="AD65" s="287"/>
      <c r="AF65" s="138"/>
      <c r="AG65" s="139"/>
      <c r="AH65" s="139"/>
      <c r="AI65" s="139"/>
      <c r="AJ65" s="141"/>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row>
    <row r="66" ht="11.25" customHeight="1">
      <c r="A66" s="1"/>
      <c r="C66" s="131" t="s">
        <v>263</v>
      </c>
      <c r="D66" s="205">
        <f>VLOOKUP(D56,'Одежда, доспехи и щиты'!AJ7:AU13,9,FALSE)*I11</f>
        <v>0</v>
      </c>
      <c r="E66" s="171"/>
      <c r="F66" s="171"/>
      <c r="G66" s="12"/>
      <c r="H66" s="12"/>
      <c r="I66" s="12"/>
      <c r="J66" s="12"/>
      <c r="K66" s="76" t="s">
        <v>264</v>
      </c>
      <c r="L66" s="137" t="str">
        <f>IF(L39="","",VLOOKUP(L39, 'Оружие'!$A$640:$H$642, MATCH(L40, 'Оружие'!$A$2:$H$2, 0), FALSE))</f>
        <v/>
      </c>
      <c r="R66" s="12"/>
      <c r="S66" s="12"/>
      <c r="T66" s="12"/>
      <c r="V66" s="12"/>
      <c r="W66" s="12"/>
      <c r="X66" s="12"/>
      <c r="Y66" s="12"/>
      <c r="Z66" s="12"/>
      <c r="AA66" s="12"/>
      <c r="AB66" s="12"/>
      <c r="AC66" s="12"/>
      <c r="AD66" s="12"/>
      <c r="AE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row>
    <row r="67" ht="11.25" customHeight="1">
      <c r="A67" s="1"/>
      <c r="B67" s="1"/>
      <c r="C67" s="131" t="s">
        <v>265</v>
      </c>
      <c r="D67" s="143">
        <v>0.0</v>
      </c>
      <c r="E67" s="171"/>
      <c r="F67" s="171"/>
      <c r="G67" s="12"/>
      <c r="H67" s="12"/>
      <c r="I67" s="12"/>
      <c r="J67" s="12"/>
      <c r="K67" s="76" t="s">
        <v>266</v>
      </c>
      <c r="L67" s="137" t="str">
        <f>IFERROR(__xludf.DUMMYFUNCTION("ArrayFormula(lower(REGEXREPLACE(MID(L64,3,2), ""([^A-Za-z0-9]+)|(---)"" , """" ) ))"),"4")</f>
        <v>4</v>
      </c>
      <c r="N67" s="20" t="s">
        <v>267</v>
      </c>
      <c r="O67" s="288"/>
      <c r="P67" s="288"/>
      <c r="Q67" s="148" t="s">
        <v>268</v>
      </c>
      <c r="R67" s="289"/>
      <c r="AE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row>
    <row r="68" ht="11.25" customHeight="1">
      <c r="A68" s="1"/>
      <c r="B68" s="1"/>
      <c r="C68" s="290" t="s">
        <v>269</v>
      </c>
      <c r="D68" s="291">
        <f>D64+D65+D66+D67</f>
        <v>0</v>
      </c>
      <c r="E68" s="171"/>
      <c r="F68" s="171"/>
      <c r="G68" s="12"/>
      <c r="H68" s="12"/>
      <c r="I68" s="12"/>
      <c r="J68" s="12"/>
      <c r="K68" s="76" t="s">
        <v>270</v>
      </c>
      <c r="L68" s="137" t="str">
        <f>LEFT(L64,1)</f>
        <v>1</v>
      </c>
      <c r="N68" s="13" t="s">
        <v>271</v>
      </c>
      <c r="O68" s="13"/>
      <c r="P68" s="12"/>
      <c r="Q68" s="13" t="b">
        <v>0</v>
      </c>
      <c r="AE68" s="12"/>
      <c r="AF68" s="292" t="s">
        <v>272</v>
      </c>
      <c r="AG68" s="293"/>
      <c r="AI68" s="294" t="s">
        <v>273</v>
      </c>
      <c r="AJ68" s="295"/>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row>
    <row r="69" ht="11.25" customHeight="1">
      <c r="A69" s="1"/>
      <c r="C69" s="79" t="s">
        <v>274</v>
      </c>
      <c r="D69" s="205">
        <f>D68*0.2</f>
        <v>0</v>
      </c>
      <c r="E69" s="171"/>
      <c r="F69" s="171"/>
      <c r="G69" s="12"/>
      <c r="H69" s="12"/>
      <c r="I69" s="12"/>
      <c r="J69" s="12"/>
      <c r="K69" s="76" t="s">
        <v>3</v>
      </c>
      <c r="L69" s="137" t="str">
        <f>RIGHT(L64,2)</f>
        <v>+3</v>
      </c>
      <c r="N69" s="13" t="s">
        <v>275</v>
      </c>
      <c r="O69" s="13"/>
      <c r="P69" s="12"/>
      <c r="Q69" s="13" t="b">
        <v>0</v>
      </c>
      <c r="AE69" s="12"/>
      <c r="AF69" s="279"/>
      <c r="AG69" s="136"/>
      <c r="AI69" s="279"/>
      <c r="AJ69" s="136"/>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0" ht="11.25" customHeight="1">
      <c r="A70" s="1"/>
      <c r="C70" s="296" t="s">
        <v>276</v>
      </c>
      <c r="D70" s="297">
        <f>D68-D69</f>
        <v>0</v>
      </c>
      <c r="E70" s="171"/>
      <c r="F70" s="171"/>
      <c r="G70" s="12"/>
      <c r="H70" s="12"/>
      <c r="I70" s="12"/>
      <c r="J70" s="12"/>
      <c r="K70" s="76" t="s">
        <v>277</v>
      </c>
      <c r="L70" s="137">
        <f>ROUNDDOWN(MAX(VLOOKUP(L35,'Списки'!$B$166:$D$169,2,FALSE),((L68+L69+L65+L68*L67+L69+L65)/2)*VLOOKUP(L35,'Списки'!$B$166:$D$169,3,FALSE)))</f>
        <v>0</v>
      </c>
      <c r="N70" s="13" t="s">
        <v>278</v>
      </c>
      <c r="Q70" s="13" t="b">
        <v>0</v>
      </c>
      <c r="AD70" s="12"/>
      <c r="AE70" s="12"/>
      <c r="AF70" s="138"/>
      <c r="AG70" s="141"/>
      <c r="AI70" s="138"/>
      <c r="AJ70" s="141"/>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row>
    <row r="71" ht="11.25" customHeight="1">
      <c r="A71" s="1"/>
      <c r="C71" s="76" t="s">
        <v>279</v>
      </c>
      <c r="D71" s="298" t="str">
        <f>D39</f>
        <v> 0</v>
      </c>
      <c r="E71" s="171"/>
      <c r="F71" s="171"/>
      <c r="G71" s="12"/>
      <c r="H71" s="12"/>
      <c r="I71" s="12"/>
      <c r="J71" s="12"/>
      <c r="K71" s="76" t="s">
        <v>280</v>
      </c>
      <c r="L71" s="137">
        <f>(L68+L69+L65+L66+L70+L68*L67+L69+L65+L66+L70)/2</f>
        <v>5.5</v>
      </c>
      <c r="X71" s="12"/>
      <c r="Y71" s="12"/>
      <c r="Z71" s="12"/>
      <c r="AA71" s="12"/>
      <c r="AB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row>
    <row r="72" ht="11.25" customHeight="1">
      <c r="A72" s="1"/>
      <c r="C72" s="79" t="s">
        <v>281</v>
      </c>
      <c r="D72" s="137">
        <v>0.0</v>
      </c>
      <c r="E72" s="171"/>
      <c r="F72" s="171"/>
      <c r="G72" s="12"/>
      <c r="H72" s="12"/>
      <c r="I72" s="12"/>
      <c r="J72" s="12"/>
      <c r="K72" s="76" t="s">
        <v>282</v>
      </c>
      <c r="L72" s="137">
        <f>ROUNDDOWN('Списки'!E175*'Списки'!F175*L71)</f>
        <v>0</v>
      </c>
      <c r="N72" s="299" t="s">
        <v>283</v>
      </c>
      <c r="O72" s="300"/>
      <c r="P72" s="300"/>
      <c r="Q72" s="300"/>
      <c r="R72" s="300"/>
      <c r="S72" s="300"/>
      <c r="T72" s="300"/>
      <c r="U72" s="300"/>
      <c r="V72" s="300"/>
      <c r="W72" s="301"/>
      <c r="AB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row>
    <row r="73" ht="11.25" customHeight="1">
      <c r="A73" s="1"/>
      <c r="C73" s="76" t="s">
        <v>284</v>
      </c>
      <c r="D73" s="137">
        <v>0.0</v>
      </c>
      <c r="E73" s="171"/>
      <c r="F73" s="171"/>
      <c r="G73" s="12"/>
      <c r="H73" s="12"/>
      <c r="I73" s="12"/>
      <c r="J73" s="12"/>
      <c r="K73" s="79" t="s">
        <v>285</v>
      </c>
      <c r="L73" s="205">
        <f>IF(L32="Бомба",0,VLOOKUP(L41,'Списки'!$B$110:$C$118,2,0))</f>
        <v>0</v>
      </c>
      <c r="N73" s="302"/>
      <c r="O73" s="303" t="s">
        <v>286</v>
      </c>
      <c r="P73" s="304" t="s">
        <v>287</v>
      </c>
      <c r="Q73" s="305"/>
      <c r="R73" s="306" t="s">
        <v>4</v>
      </c>
      <c r="S73" s="307" t="s">
        <v>288</v>
      </c>
      <c r="T73" s="308"/>
      <c r="U73" s="309" t="s">
        <v>289</v>
      </c>
      <c r="V73" s="310"/>
      <c r="W73" s="311"/>
      <c r="AB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row>
    <row r="74" ht="11.25" customHeight="1">
      <c r="A74" s="1"/>
      <c r="C74" s="215" t="s">
        <v>290</v>
      </c>
      <c r="D74" s="312">
        <f>D71+D72+D73</f>
        <v>0</v>
      </c>
      <c r="E74" s="171"/>
      <c r="F74" s="171"/>
      <c r="G74" s="12"/>
      <c r="H74" s="12"/>
      <c r="I74" s="12"/>
      <c r="K74" s="79" t="s">
        <v>291</v>
      </c>
      <c r="L74" s="205">
        <f>IF(L60=1,ROUNDDOWN(I14/5),0)</f>
        <v>0</v>
      </c>
      <c r="N74" s="313" t="s">
        <v>292</v>
      </c>
      <c r="O74" s="314" t="s">
        <v>110</v>
      </c>
      <c r="P74" s="315" t="s">
        <v>110</v>
      </c>
      <c r="Q74" s="316" t="s">
        <v>109</v>
      </c>
      <c r="R74" s="317"/>
      <c r="S74" s="317"/>
      <c r="T74" s="318"/>
      <c r="U74" s="317"/>
      <c r="V74" s="317"/>
      <c r="W74" s="319"/>
      <c r="AB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row>
    <row r="75" ht="11.25" customHeight="1">
      <c r="A75" s="1"/>
      <c r="C75" s="196" t="s">
        <v>293</v>
      </c>
      <c r="D75" s="209">
        <f>IF(OR(O63&gt;=13,O64&gt;=13,O65&gt;=13),2,IF(OR(O63&gt;=9,O64&gt;=9,O65&gt;=9),1,0))</f>
        <v>0</v>
      </c>
      <c r="E75" s="171"/>
      <c r="F75" s="171"/>
      <c r="G75" s="12"/>
      <c r="H75" s="12"/>
      <c r="I75" s="12"/>
      <c r="K75" s="79" t="s">
        <v>294</v>
      </c>
      <c r="L75" s="205">
        <f>VLOOKUP(L41,'Списки'!B110:D118,3,0)</f>
        <v>0</v>
      </c>
      <c r="N75" s="313" t="s">
        <v>295</v>
      </c>
      <c r="O75" s="320"/>
      <c r="P75" s="315">
        <v>0.0</v>
      </c>
      <c r="Q75" s="315">
        <v>18.0</v>
      </c>
      <c r="R75" s="320">
        <f t="shared" ref="R75:R80" si="20">O75+P75+Q75</f>
        <v>18</v>
      </c>
      <c r="S75" s="320">
        <v>-5.0</v>
      </c>
      <c r="T75" s="318"/>
      <c r="U75" s="321"/>
      <c r="V75" s="321"/>
      <c r="W75" s="322">
        <f t="shared" ref="W75:W80" si="21">R75+S75</f>
        <v>13</v>
      </c>
      <c r="AB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row>
    <row r="76" ht="11.25" customHeight="1">
      <c r="A76" s="1"/>
      <c r="B76" s="1"/>
      <c r="C76" s="79" t="s">
        <v>281</v>
      </c>
      <c r="D76" s="137">
        <v>0.0</v>
      </c>
      <c r="E76" s="171"/>
      <c r="F76" s="171"/>
      <c r="G76" s="12"/>
      <c r="H76" s="12"/>
      <c r="I76" s="12"/>
      <c r="J76" s="12"/>
      <c r="K76" s="76" t="s">
        <v>296</v>
      </c>
      <c r="L76" s="143"/>
      <c r="N76" s="313" t="s">
        <v>297</v>
      </c>
      <c r="O76" s="320"/>
      <c r="P76" s="315">
        <v>0.0</v>
      </c>
      <c r="Q76" s="315">
        <v>17.0</v>
      </c>
      <c r="R76" s="320">
        <f t="shared" si="20"/>
        <v>17</v>
      </c>
      <c r="S76" s="320">
        <v>-5.0</v>
      </c>
      <c r="T76" s="318"/>
      <c r="U76" s="321"/>
      <c r="V76" s="321"/>
      <c r="W76" s="322">
        <f t="shared" si="21"/>
        <v>12</v>
      </c>
      <c r="AB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row>
    <row r="77" ht="11.25" customHeight="1">
      <c r="A77" s="1"/>
      <c r="B77" s="1"/>
      <c r="C77" s="76" t="s">
        <v>298</v>
      </c>
      <c r="D77" s="137">
        <v>0.0</v>
      </c>
      <c r="E77" s="171"/>
      <c r="F77" s="171"/>
      <c r="G77" s="12"/>
      <c r="H77" s="12"/>
      <c r="I77" s="12"/>
      <c r="J77" s="12"/>
      <c r="K77" s="76" t="s">
        <v>151</v>
      </c>
      <c r="L77" s="143"/>
      <c r="N77" s="313" t="s">
        <v>299</v>
      </c>
      <c r="O77" s="320"/>
      <c r="P77" s="315">
        <v>0.0</v>
      </c>
      <c r="Q77" s="315">
        <v>17.0</v>
      </c>
      <c r="R77" s="320">
        <f t="shared" si="20"/>
        <v>17</v>
      </c>
      <c r="S77" s="320">
        <v>-5.0</v>
      </c>
      <c r="T77" s="318"/>
      <c r="U77" s="321"/>
      <c r="V77" s="321"/>
      <c r="W77" s="322">
        <f t="shared" si="21"/>
        <v>12</v>
      </c>
      <c r="AB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row>
    <row r="78" ht="11.25" customHeight="1">
      <c r="A78" s="12"/>
      <c r="B78" s="12"/>
      <c r="C78" s="215" t="s">
        <v>300</v>
      </c>
      <c r="D78" s="312">
        <f>D75+D76+D77</f>
        <v>0</v>
      </c>
      <c r="E78" s="171"/>
      <c r="F78" s="171"/>
      <c r="G78" s="12"/>
      <c r="H78" s="12"/>
      <c r="I78" s="12"/>
      <c r="J78" s="12"/>
      <c r="K78" s="169" t="s">
        <v>301</v>
      </c>
      <c r="L78" s="323">
        <f>MAX(L71+L72+L73+L76+L77+L74+L75,0)</f>
        <v>5.5</v>
      </c>
      <c r="N78" s="313" t="s">
        <v>302</v>
      </c>
      <c r="O78" s="324">
        <f>ROUND(D69,0)</f>
        <v>0</v>
      </c>
      <c r="P78" s="315">
        <v>0.0</v>
      </c>
      <c r="Q78" s="315">
        <v>0.0</v>
      </c>
      <c r="R78" s="320">
        <f t="shared" si="20"/>
        <v>0</v>
      </c>
      <c r="S78" s="320">
        <v>-5.0</v>
      </c>
      <c r="T78" s="318"/>
      <c r="U78" s="321"/>
      <c r="V78" s="321"/>
      <c r="W78" s="322">
        <f t="shared" si="21"/>
        <v>-5</v>
      </c>
      <c r="AB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row>
    <row r="79" ht="11.25" customHeight="1">
      <c r="A79" s="12"/>
      <c r="B79" s="12"/>
      <c r="E79" s="171"/>
      <c r="F79" s="171"/>
      <c r="G79" s="12"/>
      <c r="H79" s="12"/>
      <c r="I79" s="12"/>
      <c r="J79" s="12"/>
      <c r="K79" s="76" t="s">
        <v>303</v>
      </c>
      <c r="L79" s="325" t="str">
        <f>L68&amp;""&amp;"d"&amp;""&amp;L67&amp;""&amp;"+"&amp;""&amp;L69+L73+L74+L75+L65+L76+L77+L70+L66+L72</f>
        <v>1d4+3</v>
      </c>
      <c r="N79" s="313" t="s">
        <v>304</v>
      </c>
      <c r="O79" s="320"/>
      <c r="P79" s="326">
        <v>0.0</v>
      </c>
      <c r="Q79" s="326">
        <v>0.0</v>
      </c>
      <c r="R79" s="320">
        <f t="shared" si="20"/>
        <v>0</v>
      </c>
      <c r="S79" s="320">
        <v>-5.0</v>
      </c>
      <c r="T79" s="318"/>
      <c r="U79" s="321"/>
      <c r="V79" s="321"/>
      <c r="W79" s="322">
        <f t="shared" si="21"/>
        <v>-5</v>
      </c>
      <c r="X79" s="327"/>
      <c r="Y79" s="327"/>
      <c r="Z79" s="12"/>
      <c r="AA79" s="12"/>
      <c r="AB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row>
    <row r="80" ht="11.25" customHeight="1">
      <c r="A80" s="12"/>
      <c r="B80" s="12"/>
      <c r="E80" s="171"/>
      <c r="F80" s="171"/>
      <c r="G80" s="12"/>
      <c r="H80" s="12"/>
      <c r="I80" s="12"/>
      <c r="J80" s="12"/>
      <c r="K80" s="76" t="s">
        <v>305</v>
      </c>
      <c r="L80" s="325">
        <f>L68+L69+L65+L73+L74+L75+L66+L72+L76+L77+L70</f>
        <v>4</v>
      </c>
      <c r="N80" s="328" t="s">
        <v>306</v>
      </c>
      <c r="O80" s="329"/>
      <c r="P80" s="330">
        <v>0.0</v>
      </c>
      <c r="Q80" s="330">
        <v>0.0</v>
      </c>
      <c r="R80" s="329">
        <f t="shared" si="20"/>
        <v>0</v>
      </c>
      <c r="S80" s="329">
        <v>-5.0</v>
      </c>
      <c r="T80" s="331"/>
      <c r="U80" s="332"/>
      <c r="V80" s="332"/>
      <c r="W80" s="333">
        <f t="shared" si="21"/>
        <v>-5</v>
      </c>
      <c r="X80" s="327"/>
      <c r="Y80" s="327"/>
      <c r="Z80" s="12"/>
      <c r="AA80" s="12"/>
      <c r="AB80" s="334"/>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row>
    <row r="81" ht="11.25" customHeight="1">
      <c r="A81" s="1"/>
      <c r="B81" s="1"/>
      <c r="E81" s="171"/>
      <c r="F81" s="171"/>
      <c r="G81" s="12"/>
      <c r="H81" s="12"/>
      <c r="I81" s="12"/>
      <c r="J81" s="12"/>
      <c r="K81" s="84" t="s">
        <v>307</v>
      </c>
      <c r="L81" s="214">
        <f>L68*L67+L69+L65+L73+L74+L75+L66+L72+L76+L77+L70</f>
        <v>7</v>
      </c>
      <c r="N81" s="13" t="s">
        <v>4</v>
      </c>
      <c r="O81" s="335"/>
      <c r="P81" s="335"/>
      <c r="Q81" s="335"/>
      <c r="R81" s="336">
        <f>SUM(R75:R80)</f>
        <v>52</v>
      </c>
      <c r="T81" s="327"/>
      <c r="U81" s="327"/>
      <c r="V81" s="327"/>
      <c r="W81" s="327"/>
      <c r="X81" s="12"/>
      <c r="Y81" s="12"/>
      <c r="Z81" s="12"/>
      <c r="AA81" s="12"/>
      <c r="AB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row>
    <row r="82" ht="11.25" customHeight="1">
      <c r="A82" s="1"/>
      <c r="B82" s="1"/>
      <c r="E82" s="171"/>
      <c r="F82" s="171"/>
      <c r="G82" s="12"/>
      <c r="H82" s="12"/>
      <c r="I82" s="12"/>
      <c r="J82" s="12"/>
      <c r="N82" s="13" t="s">
        <v>308</v>
      </c>
      <c r="O82" s="335"/>
      <c r="P82" s="335">
        <f>D68-O78-(SUM(P75:P80))</f>
        <v>0</v>
      </c>
      <c r="Q82" s="335"/>
      <c r="R82" s="335"/>
      <c r="S82" s="12"/>
      <c r="T82" s="327"/>
      <c r="U82" s="327"/>
      <c r="V82" s="327"/>
      <c r="W82" s="327"/>
      <c r="AC82" s="12"/>
      <c r="AD82" s="12"/>
      <c r="AE82" s="12"/>
      <c r="AF82" s="1"/>
      <c r="AG82" s="1"/>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row>
    <row r="83" ht="11.25" customHeight="1">
      <c r="A83" s="1"/>
      <c r="B83" s="1"/>
      <c r="E83" s="171"/>
      <c r="F83" s="171"/>
      <c r="G83" s="12"/>
      <c r="H83" s="12"/>
      <c r="I83" s="12"/>
      <c r="J83" s="13" t="s">
        <v>309</v>
      </c>
      <c r="K83" s="337" t="s">
        <v>310</v>
      </c>
      <c r="L83" s="338" t="s">
        <v>29</v>
      </c>
      <c r="N83" s="13" t="s">
        <v>311</v>
      </c>
      <c r="O83" s="12"/>
      <c r="P83" s="12"/>
      <c r="Q83" s="12">
        <f>D55-SUM(Q75:Q80)</f>
        <v>-52</v>
      </c>
      <c r="R83" s="12"/>
      <c r="S83" s="12"/>
      <c r="T83" s="12"/>
      <c r="U83" s="12"/>
      <c r="V83" s="12"/>
      <c r="W83" s="12"/>
      <c r="X83" s="12"/>
      <c r="Y83" s="12"/>
      <c r="Z83" s="12"/>
      <c r="AA83" s="12"/>
      <c r="AB83" s="12"/>
      <c r="AC83" s="12"/>
      <c r="AD83" s="12"/>
      <c r="AE83" s="12"/>
      <c r="AF83" s="1"/>
      <c r="AG83" s="1"/>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row>
    <row r="84" ht="11.25" customHeight="1">
      <c r="A84" s="1"/>
      <c r="B84" s="1"/>
      <c r="E84" s="171"/>
      <c r="F84" s="171"/>
      <c r="G84" s="12"/>
      <c r="H84" s="12"/>
      <c r="I84" s="12"/>
      <c r="J84" s="13" t="b">
        <v>0</v>
      </c>
      <c r="K84" s="339" t="str">
        <f>'Профессии и боевые навыки'!E35</f>
        <v>Арбалеты</v>
      </c>
      <c r="L84" s="340">
        <v>0.0</v>
      </c>
      <c r="M84" s="9"/>
      <c r="N84" s="9"/>
      <c r="O84" s="9"/>
      <c r="P84" s="14"/>
      <c r="Q84" s="14"/>
      <c r="R84" s="12"/>
      <c r="S84" s="12"/>
      <c r="T84" s="12"/>
      <c r="U84" s="12"/>
      <c r="V84" s="12"/>
      <c r="W84" s="12"/>
      <c r="X84" s="12"/>
      <c r="Y84" s="12"/>
      <c r="Z84" s="12"/>
      <c r="AA84" s="12"/>
      <c r="AB84" s="12"/>
      <c r="AC84" s="12"/>
      <c r="AD84" s="12"/>
      <c r="AE84" s="12"/>
      <c r="AF84" s="1"/>
      <c r="AG84" s="1"/>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row>
    <row r="85" ht="11.25" customHeight="1">
      <c r="A85" s="14"/>
      <c r="B85" s="1"/>
      <c r="E85" s="171"/>
      <c r="F85" s="171"/>
      <c r="G85" s="12"/>
      <c r="H85" s="12"/>
      <c r="I85" s="12"/>
      <c r="J85" s="13" t="b">
        <v>0</v>
      </c>
      <c r="K85" s="339" t="str">
        <f>'Профессии и боевые навыки'!E36</f>
        <v>Борьба</v>
      </c>
      <c r="L85" s="341">
        <v>0.0</v>
      </c>
      <c r="Q85" s="13"/>
      <c r="R85" s="12"/>
      <c r="X85" s="12"/>
      <c r="Y85" s="12"/>
      <c r="Z85" s="12"/>
      <c r="AA85" s="1"/>
      <c r="AB85" s="12"/>
      <c r="AC85" s="12"/>
      <c r="AD85" s="12"/>
      <c r="AE85" s="12"/>
      <c r="AF85" s="1"/>
      <c r="AG85" s="1"/>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row>
    <row r="86" ht="11.25" customHeight="1">
      <c r="A86" s="1"/>
      <c r="B86" s="1"/>
      <c r="E86" s="171"/>
      <c r="F86" s="171"/>
      <c r="G86" s="12"/>
      <c r="H86" s="12"/>
      <c r="I86" s="12"/>
      <c r="J86" s="13" t="b">
        <v>0</v>
      </c>
      <c r="K86" s="339" t="str">
        <f>'Профессии и боевые навыки'!E37</f>
        <v>Длинные_клинки</v>
      </c>
      <c r="L86" s="341">
        <v>0.0</v>
      </c>
      <c r="Q86" s="12"/>
      <c r="R86" s="12"/>
      <c r="AB86" s="31"/>
      <c r="AC86" s="31"/>
      <c r="AD86" s="31"/>
      <c r="AE86" s="1"/>
      <c r="AF86" s="1"/>
      <c r="AG86" s="1"/>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row>
    <row r="87" ht="11.25" customHeight="1">
      <c r="A87" s="1"/>
      <c r="J87" s="13" t="b">
        <v>0</v>
      </c>
      <c r="K87" s="339" t="str">
        <f>'Профессии и боевые навыки'!E38</f>
        <v>Древковое_оружие</v>
      </c>
      <c r="L87" s="341">
        <v>0.0</v>
      </c>
      <c r="N87" s="12"/>
      <c r="Q87" s="14"/>
      <c r="R87" s="12"/>
      <c r="AB87" s="31"/>
      <c r="AC87" s="31"/>
      <c r="AD87" s="31"/>
      <c r="AE87" s="1"/>
      <c r="AF87" s="1"/>
      <c r="AG87" s="1"/>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row>
    <row r="88" ht="11.25" customHeight="1">
      <c r="A88" s="1"/>
      <c r="J88" s="13" t="b">
        <v>0</v>
      </c>
      <c r="K88" s="339" t="str">
        <f>'Профессии и боевые навыки'!E39</f>
        <v>Импровизированный_бой</v>
      </c>
      <c r="L88" s="341">
        <v>1.0</v>
      </c>
      <c r="N88" s="12"/>
      <c r="Q88" s="14"/>
      <c r="R88" s="12"/>
      <c r="AB88" s="31"/>
      <c r="AC88" s="31"/>
      <c r="AD88" s="31"/>
      <c r="AE88" s="12"/>
      <c r="AF88" s="1"/>
      <c r="AG88" s="1"/>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row>
    <row r="89" ht="11.25" customHeight="1">
      <c r="A89" s="1"/>
      <c r="J89" s="13" t="b">
        <v>0</v>
      </c>
      <c r="K89" s="339" t="str">
        <f>'Профессии и боевые навыки'!E40</f>
        <v>Короткие_клинки</v>
      </c>
      <c r="L89" s="341">
        <v>1.0</v>
      </c>
      <c r="Q89" s="14"/>
      <c r="R89" s="12"/>
      <c r="AB89" s="31"/>
      <c r="AC89" s="31"/>
      <c r="AD89" s="31"/>
      <c r="AE89" s="12"/>
      <c r="AF89" s="1"/>
      <c r="AG89" s="1"/>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row>
    <row r="90" ht="11.25" customHeight="1">
      <c r="A90" s="1"/>
      <c r="J90" s="13" t="b">
        <v>0</v>
      </c>
      <c r="K90" s="339" t="str">
        <f>'Профессии и боевые навыки'!E41</f>
        <v>Луки</v>
      </c>
      <c r="L90" s="341">
        <v>1.0</v>
      </c>
      <c r="Q90" s="14"/>
      <c r="R90" s="11"/>
      <c r="AB90" s="31"/>
      <c r="AC90" s="31"/>
      <c r="AD90" s="31"/>
      <c r="AE90" s="12"/>
      <c r="AF90" s="1"/>
      <c r="AG90" s="1"/>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row>
    <row r="91" ht="11.25" customHeight="1">
      <c r="A91" s="1"/>
      <c r="J91" s="13" t="b">
        <v>0</v>
      </c>
      <c r="K91" s="339" t="str">
        <f>'Профессии и боевые навыки'!E42</f>
        <v>Метательное_оружие</v>
      </c>
      <c r="L91" s="341">
        <v>0.0</v>
      </c>
      <c r="O91" s="9"/>
      <c r="P91" s="11"/>
      <c r="Q91" s="11"/>
      <c r="R91" s="11"/>
      <c r="AB91" s="31"/>
      <c r="AC91" s="31"/>
      <c r="AD91" s="31"/>
      <c r="AE91" s="1"/>
      <c r="AF91" s="1"/>
      <c r="AG91" s="1"/>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row>
    <row r="92" ht="11.25" customHeight="1">
      <c r="A92" s="1"/>
      <c r="J92" s="13" t="b">
        <v>0</v>
      </c>
      <c r="K92" s="339" t="str">
        <f>'Профессии и боевые навыки'!E43</f>
        <v>Огнестрельное_оружие</v>
      </c>
      <c r="L92" s="341">
        <v>0.0</v>
      </c>
      <c r="O92" s="9"/>
      <c r="P92" s="11"/>
      <c r="Q92" s="11"/>
      <c r="R92" s="11"/>
      <c r="AB92" s="31"/>
      <c r="AC92" s="31"/>
      <c r="AD92" s="31"/>
      <c r="AE92" s="1"/>
      <c r="AF92" s="1"/>
      <c r="AG92" s="1"/>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row>
    <row r="93" ht="11.25" customHeight="1">
      <c r="A93" s="1"/>
      <c r="J93" s="13" t="b">
        <v>0</v>
      </c>
      <c r="K93" s="339" t="str">
        <f>'Профессии и боевые навыки'!E44</f>
        <v>Рукопашный_бой</v>
      </c>
      <c r="L93" s="341">
        <v>0.0</v>
      </c>
      <c r="O93" s="9"/>
      <c r="P93" s="11"/>
      <c r="Q93" s="11"/>
      <c r="R93" s="11"/>
      <c r="AB93" s="31"/>
      <c r="AC93" s="31"/>
      <c r="AD93" s="31"/>
      <c r="AE93" s="1"/>
      <c r="AF93" s="1"/>
      <c r="AG93" s="1"/>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row>
    <row r="94" ht="11.25" customHeight="1">
      <c r="A94" s="1"/>
      <c r="B94" s="1"/>
      <c r="E94" s="171"/>
      <c r="F94" s="171"/>
      <c r="G94" s="12"/>
      <c r="H94" s="12"/>
      <c r="I94" s="12"/>
      <c r="J94" s="13" t="b">
        <v>0</v>
      </c>
      <c r="K94" s="339" t="str">
        <f>'Профессии и боевые навыки'!E45</f>
        <v>Топоры_и_дробящее_оружие</v>
      </c>
      <c r="L94" s="341">
        <v>0.0</v>
      </c>
      <c r="M94" s="9"/>
      <c r="N94" s="9"/>
      <c r="O94" s="9"/>
      <c r="P94" s="11"/>
      <c r="Q94" s="11"/>
      <c r="R94" s="11"/>
      <c r="AB94" s="31"/>
      <c r="AC94" s="31"/>
      <c r="AD94" s="31"/>
      <c r="AE94" s="1"/>
      <c r="AF94" s="1"/>
      <c r="AG94" s="1"/>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row>
    <row r="95" ht="11.25" customHeight="1">
      <c r="A95" s="1"/>
      <c r="B95" s="1"/>
      <c r="E95" s="171"/>
      <c r="F95" s="171"/>
      <c r="G95" s="12"/>
      <c r="H95" s="12"/>
      <c r="I95" s="12"/>
      <c r="J95" s="13" t="b">
        <v>0</v>
      </c>
      <c r="K95" s="339" t="str">
        <f>'Профессии и боевые навыки'!E46</f>
        <v>Щиты</v>
      </c>
      <c r="L95" s="342">
        <v>0.0</v>
      </c>
      <c r="M95" s="9"/>
      <c r="N95" s="9"/>
      <c r="O95" s="9"/>
      <c r="P95" s="11"/>
      <c r="Q95" s="11"/>
      <c r="R95" s="11"/>
      <c r="AB95" s="31"/>
      <c r="AC95" s="31"/>
      <c r="AD95" s="31"/>
      <c r="AE95" s="1"/>
      <c r="AF95" s="1"/>
      <c r="AG95" s="1"/>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row>
    <row r="96" ht="11.25" customHeight="1">
      <c r="A96" s="1"/>
      <c r="B96" s="1"/>
      <c r="E96" s="171"/>
      <c r="F96" s="171"/>
      <c r="G96" s="12"/>
      <c r="H96" s="12"/>
      <c r="I96" s="12"/>
      <c r="J96" s="13" t="b">
        <v>0</v>
      </c>
      <c r="K96" s="343" t="str">
        <f>'Профессии и боевые навыки'!E47</f>
        <v>Экзотическое_оружие</v>
      </c>
      <c r="L96" s="344">
        <v>0.0</v>
      </c>
      <c r="M96" s="9"/>
      <c r="N96" s="9"/>
      <c r="O96" s="9"/>
      <c r="P96" s="11"/>
      <c r="Q96" s="11"/>
      <c r="R96" s="11"/>
      <c r="AB96" s="31"/>
      <c r="AC96" s="31"/>
      <c r="AD96" s="31"/>
      <c r="AE96" s="1"/>
      <c r="AF96" s="1"/>
      <c r="AG96" s="1"/>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row>
    <row r="97" ht="11.25" customHeight="1">
      <c r="A97" s="1"/>
      <c r="B97" s="1"/>
      <c r="E97" s="171"/>
      <c r="F97" s="171"/>
      <c r="G97" s="12"/>
      <c r="H97" s="12"/>
      <c r="I97" s="12"/>
      <c r="J97" s="13" t="b">
        <v>0</v>
      </c>
      <c r="K97" s="345" t="str">
        <f>'Профессии и боевые навыки'!E48</f>
        <v>Демонология</v>
      </c>
      <c r="L97" s="346">
        <v>0.0</v>
      </c>
      <c r="M97" s="9"/>
      <c r="N97" s="9"/>
      <c r="O97" s="9"/>
      <c r="P97" s="11"/>
      <c r="Q97" s="11"/>
      <c r="R97" s="11"/>
      <c r="AB97" s="31"/>
      <c r="AC97" s="31"/>
      <c r="AD97" s="31"/>
      <c r="AE97" s="1"/>
      <c r="AF97" s="1"/>
      <c r="AG97" s="1"/>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row>
    <row r="98" ht="11.25" customHeight="1">
      <c r="A98" s="1"/>
      <c r="B98" s="1"/>
      <c r="E98" s="171"/>
      <c r="F98" s="171"/>
      <c r="G98" s="12"/>
      <c r="H98" s="12"/>
      <c r="I98" s="12"/>
      <c r="J98" s="13" t="b">
        <v>0</v>
      </c>
      <c r="K98" s="339" t="str">
        <f>'Профессии и боевые навыки'!E49</f>
        <v>Магия_воды</v>
      </c>
      <c r="L98" s="341">
        <v>0.0</v>
      </c>
      <c r="M98" s="9"/>
      <c r="N98" s="9"/>
      <c r="O98" s="9"/>
      <c r="P98" s="11"/>
      <c r="Q98" s="11"/>
      <c r="R98" s="11"/>
      <c r="AB98" s="31"/>
      <c r="AC98" s="31"/>
      <c r="AD98" s="31"/>
      <c r="AE98" s="1"/>
      <c r="AF98" s="1"/>
      <c r="AG98" s="1"/>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row>
    <row r="99" ht="11.25" customHeight="1">
      <c r="A99" s="1"/>
      <c r="B99" s="1"/>
      <c r="E99" s="171"/>
      <c r="F99" s="171"/>
      <c r="G99" s="12"/>
      <c r="H99" s="12"/>
      <c r="I99" s="12"/>
      <c r="J99" s="13" t="b">
        <v>0</v>
      </c>
      <c r="K99" s="339" t="str">
        <f>'Профессии и боевые навыки'!E50</f>
        <v>Магия_воздуха</v>
      </c>
      <c r="L99" s="341">
        <v>0.0</v>
      </c>
      <c r="M99" s="9"/>
      <c r="N99" s="9"/>
      <c r="O99" s="9"/>
      <c r="P99" s="11"/>
      <c r="Q99" s="11"/>
      <c r="R99" s="11"/>
      <c r="AB99" s="31"/>
      <c r="AC99" s="31"/>
      <c r="AD99" s="31"/>
      <c r="AE99" s="1"/>
      <c r="AF99" s="1"/>
      <c r="AG99" s="1"/>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row>
    <row r="100" ht="11.25" customHeight="1">
      <c r="A100" s="1"/>
      <c r="B100" s="1"/>
      <c r="E100" s="171"/>
      <c r="F100" s="171"/>
      <c r="G100" s="12"/>
      <c r="H100" s="12"/>
      <c r="I100" s="12"/>
      <c r="J100" s="13" t="b">
        <v>0</v>
      </c>
      <c r="K100" s="339" t="str">
        <f>'Профессии и боевые навыки'!E51</f>
        <v>Магия_земли</v>
      </c>
      <c r="L100" s="341">
        <v>0.0</v>
      </c>
      <c r="M100" s="9"/>
      <c r="N100" s="9"/>
      <c r="O100" s="9"/>
      <c r="P100" s="11"/>
      <c r="Q100" s="11"/>
      <c r="R100" s="11"/>
      <c r="AB100" s="31"/>
      <c r="AC100" s="31"/>
      <c r="AD100" s="31"/>
      <c r="AE100" s="1"/>
      <c r="AF100" s="1"/>
      <c r="AG100" s="1"/>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row>
    <row r="101" ht="11.25" customHeight="1">
      <c r="A101" s="1"/>
      <c r="B101" s="1"/>
      <c r="E101" s="171"/>
      <c r="F101" s="171"/>
      <c r="G101" s="12"/>
      <c r="H101" s="12"/>
      <c r="I101" s="12"/>
      <c r="J101" s="13" t="b">
        <v>0</v>
      </c>
      <c r="K101" s="339" t="str">
        <f>'Профессии и боевые навыки'!E52</f>
        <v>Магия_крови</v>
      </c>
      <c r="L101" s="341">
        <v>0.0</v>
      </c>
      <c r="M101" s="9"/>
      <c r="N101" s="9"/>
      <c r="O101" s="9"/>
      <c r="P101" s="11"/>
      <c r="Q101" s="11"/>
      <c r="R101" s="11"/>
      <c r="AB101" s="31"/>
      <c r="AC101" s="31"/>
      <c r="AD101" s="31"/>
      <c r="AE101" s="1"/>
      <c r="AF101" s="1"/>
      <c r="AG101" s="1"/>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row>
    <row r="102" ht="11.25" customHeight="1">
      <c r="A102" s="1"/>
      <c r="B102" s="1"/>
      <c r="E102" s="171"/>
      <c r="F102" s="171"/>
      <c r="G102" s="12"/>
      <c r="H102" s="12"/>
      <c r="I102" s="12"/>
      <c r="J102" s="13" t="b">
        <v>0</v>
      </c>
      <c r="K102" s="339" t="str">
        <f>'Профессии и боевые навыки'!E53</f>
        <v>Магия_огня</v>
      </c>
      <c r="L102" s="341">
        <v>0.0</v>
      </c>
      <c r="M102" s="9"/>
      <c r="N102" s="9"/>
      <c r="O102" s="9"/>
      <c r="P102" s="11"/>
      <c r="Q102" s="11"/>
      <c r="R102" s="11"/>
      <c r="AB102" s="31"/>
      <c r="AC102" s="31"/>
      <c r="AD102" s="31"/>
      <c r="AE102" s="1"/>
      <c r="AF102" s="1"/>
      <c r="AG102" s="1"/>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row>
    <row r="103" ht="11.25" customHeight="1">
      <c r="A103" s="1"/>
      <c r="B103" s="1"/>
      <c r="E103" s="171"/>
      <c r="F103" s="171"/>
      <c r="G103" s="12"/>
      <c r="H103" s="12"/>
      <c r="I103" s="12"/>
      <c r="J103" s="13" t="b">
        <v>0</v>
      </c>
      <c r="K103" s="339" t="str">
        <f>'Профессии и боевые навыки'!E54</f>
        <v>Магия_порядка</v>
      </c>
      <c r="L103" s="341">
        <v>0.0</v>
      </c>
      <c r="M103" s="9"/>
      <c r="N103" s="9"/>
      <c r="O103" s="9"/>
      <c r="P103" s="11"/>
      <c r="Q103" s="11"/>
      <c r="R103" s="11"/>
      <c r="AB103" s="31"/>
      <c r="AC103" s="31"/>
      <c r="AD103" s="31"/>
      <c r="AE103" s="1"/>
      <c r="AF103" s="1"/>
      <c r="AG103" s="1"/>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row>
    <row r="104" ht="11.25" customHeight="1">
      <c r="A104" s="1"/>
      <c r="B104" s="1"/>
      <c r="E104" s="171"/>
      <c r="F104" s="171"/>
      <c r="G104" s="12"/>
      <c r="H104" s="12"/>
      <c r="I104" s="12"/>
      <c r="J104" s="13" t="b">
        <v>0</v>
      </c>
      <c r="K104" s="339" t="str">
        <f>'Профессии и боевые навыки'!E55</f>
        <v>Магия_природы</v>
      </c>
      <c r="L104" s="341">
        <v>0.0</v>
      </c>
      <c r="M104" s="9"/>
      <c r="N104" s="9"/>
      <c r="O104" s="9"/>
      <c r="P104" s="11"/>
      <c r="Q104" s="11"/>
      <c r="R104" s="11"/>
      <c r="AB104" s="31"/>
      <c r="AC104" s="31"/>
      <c r="AD104" s="31"/>
      <c r="AE104" s="1"/>
      <c r="AF104" s="1"/>
      <c r="AG104" s="1"/>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row>
    <row r="105" ht="11.25" customHeight="1">
      <c r="A105" s="1"/>
      <c r="B105" s="1"/>
      <c r="E105" s="171"/>
      <c r="F105" s="171"/>
      <c r="G105" s="12"/>
      <c r="H105" s="12"/>
      <c r="I105" s="12"/>
      <c r="J105" s="13" t="b">
        <v>0</v>
      </c>
      <c r="K105" s="339" t="str">
        <f>'Профессии и боевые навыки'!E56</f>
        <v>Магия_рун</v>
      </c>
      <c r="L105" s="341">
        <v>0.0</v>
      </c>
      <c r="M105" s="9"/>
      <c r="N105" s="9"/>
      <c r="O105" s="9"/>
      <c r="P105" s="11"/>
      <c r="Q105" s="11"/>
      <c r="R105" s="11"/>
      <c r="AB105" s="31"/>
      <c r="AC105" s="31"/>
      <c r="AD105" s="31"/>
      <c r="AE105" s="1"/>
      <c r="AF105" s="1"/>
      <c r="AG105" s="1"/>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row>
    <row r="106" ht="11.25" customHeight="1">
      <c r="A106" s="1"/>
      <c r="B106" s="1"/>
      <c r="E106" s="171"/>
      <c r="F106" s="171"/>
      <c r="G106" s="12"/>
      <c r="H106" s="12"/>
      <c r="I106" s="12"/>
      <c r="J106" s="13" t="b">
        <v>0</v>
      </c>
      <c r="K106" s="339" t="str">
        <f>'Профессии и боевые навыки'!E57</f>
        <v>Магия_света</v>
      </c>
      <c r="L106" s="341">
        <v>0.0</v>
      </c>
      <c r="M106" s="9"/>
      <c r="N106" s="9"/>
      <c r="O106" s="9"/>
      <c r="P106" s="11"/>
      <c r="Q106" s="11"/>
      <c r="R106" s="11"/>
      <c r="AB106" s="31"/>
      <c r="AC106" s="31"/>
      <c r="AD106" s="31"/>
      <c r="AE106" s="1"/>
      <c r="AF106" s="1"/>
      <c r="AG106" s="1"/>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row>
    <row r="107" ht="11.25" customHeight="1">
      <c r="A107" s="1"/>
      <c r="B107" s="1"/>
      <c r="E107" s="171"/>
      <c r="F107" s="171"/>
      <c r="G107" s="12"/>
      <c r="H107" s="12"/>
      <c r="I107" s="12"/>
      <c r="J107" s="13" t="b">
        <v>0</v>
      </c>
      <c r="K107" s="339" t="str">
        <f>'Профессии и боевые навыки'!E58</f>
        <v>Магия_хаоса</v>
      </c>
      <c r="L107" s="341">
        <v>0.0</v>
      </c>
      <c r="M107" s="9"/>
      <c r="N107" s="9"/>
      <c r="O107" s="9"/>
      <c r="P107" s="11"/>
      <c r="Q107" s="11"/>
      <c r="R107" s="11"/>
      <c r="AB107" s="31"/>
      <c r="AC107" s="31"/>
      <c r="AD107" s="31"/>
      <c r="AE107" s="1"/>
      <c r="AF107" s="1"/>
      <c r="AG107" s="1"/>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row>
    <row r="108" ht="11.25" customHeight="1">
      <c r="A108" s="1"/>
      <c r="B108" s="1"/>
      <c r="E108" s="171"/>
      <c r="F108" s="171"/>
      <c r="G108" s="12"/>
      <c r="H108" s="12"/>
      <c r="I108" s="12"/>
      <c r="J108" s="13" t="b">
        <v>0</v>
      </c>
      <c r="K108" s="339" t="str">
        <f>'Профессии и боевые навыки'!E59</f>
        <v>Некромантия</v>
      </c>
      <c r="L108" s="342">
        <v>0.0</v>
      </c>
      <c r="M108" s="9"/>
      <c r="N108" s="9"/>
      <c r="O108" s="9"/>
      <c r="P108" s="11"/>
      <c r="Q108" s="11"/>
      <c r="R108" s="11"/>
      <c r="AB108" s="31"/>
      <c r="AC108" s="31"/>
      <c r="AD108" s="31"/>
      <c r="AE108" s="1"/>
      <c r="AF108" s="1"/>
      <c r="AG108" s="1"/>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row>
    <row r="109" ht="11.25" customHeight="1">
      <c r="A109" s="1"/>
      <c r="B109" s="1"/>
      <c r="E109" s="171"/>
      <c r="F109" s="171"/>
      <c r="G109" s="12"/>
      <c r="H109" s="12"/>
      <c r="I109" s="12"/>
      <c r="J109" s="12"/>
      <c r="K109" s="123" t="s">
        <v>312</v>
      </c>
      <c r="L109" s="26"/>
      <c r="M109" s="9"/>
      <c r="N109" s="9"/>
      <c r="O109" s="9"/>
      <c r="P109" s="11"/>
      <c r="Q109" s="11"/>
      <c r="R109" s="11"/>
      <c r="AB109" s="31"/>
      <c r="AC109" s="31"/>
      <c r="AD109" s="31"/>
      <c r="AE109" s="1"/>
      <c r="AF109" s="1"/>
      <c r="AG109" s="1"/>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row>
    <row r="110" ht="11.25" customHeight="1">
      <c r="A110" s="1"/>
      <c r="B110" s="1"/>
      <c r="E110" s="171"/>
      <c r="F110" s="171"/>
      <c r="G110" s="12"/>
      <c r="H110" s="12"/>
      <c r="I110" s="12"/>
      <c r="J110" s="12"/>
      <c r="M110" s="9"/>
      <c r="N110" s="9"/>
      <c r="O110" s="9"/>
      <c r="P110" s="11"/>
      <c r="Q110" s="11"/>
      <c r="R110" s="11"/>
      <c r="AB110" s="31"/>
      <c r="AC110" s="31"/>
      <c r="AD110" s="31"/>
      <c r="AE110" s="1"/>
      <c r="AF110" s="1"/>
      <c r="AG110" s="1"/>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row>
    <row r="111" ht="11.25" customHeight="1">
      <c r="A111" s="1"/>
      <c r="B111" s="1"/>
      <c r="E111" s="171"/>
      <c r="F111" s="171"/>
      <c r="G111" s="12"/>
      <c r="H111" s="12"/>
      <c r="I111" s="12"/>
      <c r="J111" s="12"/>
      <c r="M111" s="9"/>
      <c r="N111" s="9"/>
      <c r="O111" s="9"/>
      <c r="P111" s="11"/>
      <c r="Q111" s="11"/>
      <c r="R111" s="11"/>
      <c r="AB111" s="31"/>
      <c r="AC111" s="31"/>
      <c r="AD111" s="31"/>
      <c r="AE111" s="1"/>
      <c r="AF111" s="1"/>
      <c r="AG111" s="1"/>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row>
    <row r="112" ht="11.25" customHeight="1">
      <c r="A112" s="1"/>
      <c r="B112" s="1"/>
      <c r="E112" s="171"/>
      <c r="F112" s="171"/>
      <c r="G112" s="12"/>
      <c r="H112" s="12"/>
      <c r="I112" s="12"/>
      <c r="J112" s="12"/>
      <c r="M112" s="9"/>
      <c r="N112" s="9"/>
      <c r="O112" s="9"/>
      <c r="P112" s="11"/>
      <c r="Q112" s="11"/>
      <c r="R112" s="11"/>
      <c r="AB112" s="31"/>
      <c r="AC112" s="31"/>
      <c r="AD112" s="31"/>
      <c r="AE112" s="1"/>
      <c r="AF112" s="1"/>
      <c r="AG112" s="1"/>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row>
    <row r="113" ht="11.25" customHeight="1">
      <c r="A113" s="12"/>
      <c r="E113" s="171"/>
      <c r="F113" s="171"/>
      <c r="G113" s="12"/>
      <c r="H113" s="12"/>
      <c r="I113" s="12"/>
      <c r="J113" s="12"/>
      <c r="M113" s="9"/>
      <c r="N113" s="9"/>
      <c r="O113" s="9"/>
      <c r="P113" s="11"/>
      <c r="Q113" s="11"/>
      <c r="R113" s="11"/>
      <c r="AB113" s="31"/>
      <c r="AC113" s="31"/>
      <c r="AD113" s="31"/>
      <c r="AE113" s="1"/>
      <c r="AF113" s="1"/>
      <c r="AG113" s="1"/>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row>
    <row r="114" ht="11.25" customHeight="1">
      <c r="A114" s="1"/>
      <c r="B114" s="13" t="s">
        <v>313</v>
      </c>
      <c r="M114" s="96"/>
      <c r="N114" s="96"/>
      <c r="O114" s="9"/>
      <c r="P114" s="11"/>
      <c r="Q114" s="11"/>
      <c r="R114" s="11"/>
      <c r="AB114" s="31"/>
      <c r="AC114" s="31"/>
      <c r="AD114" s="31"/>
      <c r="AE114" s="1"/>
      <c r="AF114" s="1"/>
      <c r="AG114" s="1"/>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row>
    <row r="115" ht="11.25" customHeight="1">
      <c r="A115" s="1"/>
      <c r="B115" s="12"/>
      <c r="E115" s="12"/>
      <c r="F115" s="12"/>
      <c r="G115" s="12"/>
      <c r="H115" s="12"/>
      <c r="I115" s="12"/>
      <c r="J115" s="12"/>
      <c r="L115" s="12"/>
      <c r="M115" s="12"/>
      <c r="N115" s="12"/>
      <c r="O115" s="12"/>
      <c r="P115" s="12"/>
      <c r="Q115" s="12"/>
      <c r="R115" s="12"/>
      <c r="S115" s="12"/>
      <c r="T115" s="12"/>
      <c r="AB115" s="31"/>
      <c r="AC115" s="31"/>
      <c r="AD115" s="31"/>
      <c r="AE115" s="1"/>
      <c r="AF115" s="1"/>
      <c r="AG115" s="1"/>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row>
    <row r="116" ht="11.25" customHeight="1">
      <c r="A116" s="1"/>
      <c r="B116" s="347" t="s">
        <v>292</v>
      </c>
      <c r="C116" s="348" t="s">
        <v>314</v>
      </c>
      <c r="D116" s="348" t="s">
        <v>315</v>
      </c>
      <c r="E116" s="349"/>
      <c r="F116" s="350"/>
      <c r="G116" s="351" t="s">
        <v>316</v>
      </c>
      <c r="H116" s="352"/>
      <c r="I116" s="352"/>
      <c r="J116" s="352"/>
      <c r="K116" s="348" t="s">
        <v>127</v>
      </c>
      <c r="L116" s="348" t="s">
        <v>130</v>
      </c>
      <c r="M116" s="348" t="s">
        <v>134</v>
      </c>
      <c r="N116" s="353" t="s">
        <v>168</v>
      </c>
      <c r="O116" s="354" t="s">
        <v>317</v>
      </c>
      <c r="P116" s="355"/>
      <c r="Q116" s="356" t="s">
        <v>318</v>
      </c>
      <c r="R116" s="357" t="s">
        <v>319</v>
      </c>
      <c r="S116" s="357" t="s">
        <v>320</v>
      </c>
      <c r="T116" s="358"/>
      <c r="U116" s="358"/>
      <c r="V116" s="357" t="s">
        <v>321</v>
      </c>
      <c r="W116" s="358"/>
      <c r="X116" s="358"/>
      <c r="Y116" s="358"/>
      <c r="Z116" s="358"/>
      <c r="AA116" s="358"/>
      <c r="AB116" s="355" t="s">
        <v>36</v>
      </c>
      <c r="AC116" s="358"/>
      <c r="AD116" s="357" t="s">
        <v>212</v>
      </c>
      <c r="AE116" s="357" t="s">
        <v>322</v>
      </c>
      <c r="AF116" s="359"/>
      <c r="AG116" s="1"/>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row>
    <row r="117" ht="11.25" customHeight="1">
      <c r="A117" s="1"/>
      <c r="B117" s="43" t="s">
        <v>295</v>
      </c>
      <c r="C117" s="175">
        <f>VLOOKUP(L$23, 'Здоровье и опыт'!$B$2:$H$5002, MATCH(B117, 'Здоровье и опыт'!$B$2:$H$2, 0), FALSE)</f>
        <v>17</v>
      </c>
      <c r="D117" s="360">
        <f>$W$10</f>
        <v>17</v>
      </c>
      <c r="E117" s="44"/>
      <c r="F117" s="361"/>
      <c r="G117" s="182"/>
      <c r="H117" s="182"/>
      <c r="I117" s="182"/>
      <c r="J117" s="182"/>
      <c r="K117" s="175" t="str">
        <f t="shared" ref="K117:K122" si="22">$D$34</f>
        <v>Простая_одежда</v>
      </c>
      <c r="L117" s="179" t="str">
        <f t="shared" ref="L117:L122" si="23">$D$35</f>
        <v>Лён</v>
      </c>
      <c r="M117" s="179" t="str">
        <f t="shared" ref="M117:M122" si="24">$D$36</f>
        <v>Стандартное</v>
      </c>
      <c r="N117" s="362">
        <f t="shared" ref="N117:N122" si="25">$D$74</f>
        <v>0</v>
      </c>
      <c r="O117" s="363">
        <f t="shared" ref="O117:O122" si="26">$D$78</f>
        <v>0</v>
      </c>
      <c r="P117" s="179"/>
      <c r="Q117" s="179">
        <v>10.0</v>
      </c>
      <c r="R117" s="177">
        <f t="shared" ref="R117:R122" si="27">ROUNDDOWN(IF($Z$3="Stationary",$D$48/2,$D$48))</f>
        <v>4</v>
      </c>
      <c r="S117" s="177" t="str">
        <f t="shared" ref="S117:S122" si="28">$D$43</f>
        <v>Без ограничений</v>
      </c>
      <c r="T117" s="364"/>
      <c r="U117" s="364"/>
      <c r="V117" s="364"/>
      <c r="W117" s="364"/>
      <c r="X117" s="177">
        <f t="shared" ref="X117:X122" si="29">MIN(R117,S117)</f>
        <v>4</v>
      </c>
      <c r="Y117" s="364"/>
      <c r="Z117" s="364"/>
      <c r="AA117" s="364"/>
      <c r="AB117" s="177">
        <f t="shared" ref="AB117:AB122" si="30">D$50+D$51</f>
        <v>0</v>
      </c>
      <c r="AC117" s="364"/>
      <c r="AD117" s="365">
        <f t="shared" ref="AD117:AD122" si="31">Q117+X117+AB117</f>
        <v>14</v>
      </c>
      <c r="AE117" s="365">
        <f t="shared" ref="AE117:AE122" si="32">AD117-5</f>
        <v>9</v>
      </c>
      <c r="AF117" s="366"/>
      <c r="AG117" s="1"/>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row>
    <row r="118" ht="11.25" customHeight="1">
      <c r="A118" s="1"/>
      <c r="B118" s="43" t="s">
        <v>297</v>
      </c>
      <c r="C118" s="175">
        <f>VLOOKUP(L$23, 'Здоровье и опыт'!$B$2:$H$5002, MATCH(B118, 'Здоровье и опыт'!$B$2:$H$2, 0), FALSE)</f>
        <v>34</v>
      </c>
      <c r="D118" s="360">
        <f>$W$14</f>
        <v>34</v>
      </c>
      <c r="E118" s="44"/>
      <c r="F118" s="361"/>
      <c r="G118" s="182"/>
      <c r="H118" s="182"/>
      <c r="I118" s="182"/>
      <c r="J118" s="182"/>
      <c r="K118" s="175" t="str">
        <f t="shared" si="22"/>
        <v>Простая_одежда</v>
      </c>
      <c r="L118" s="179" t="str">
        <f t="shared" si="23"/>
        <v>Лён</v>
      </c>
      <c r="M118" s="179" t="str">
        <f t="shared" si="24"/>
        <v>Стандартное</v>
      </c>
      <c r="N118" s="362">
        <f t="shared" si="25"/>
        <v>0</v>
      </c>
      <c r="O118" s="363">
        <f t="shared" si="26"/>
        <v>0</v>
      </c>
      <c r="P118" s="179"/>
      <c r="Q118" s="179">
        <v>2.0</v>
      </c>
      <c r="R118" s="177">
        <f t="shared" si="27"/>
        <v>4</v>
      </c>
      <c r="S118" s="177" t="str">
        <f t="shared" si="28"/>
        <v>Без ограничений</v>
      </c>
      <c r="T118" s="364"/>
      <c r="U118" s="364"/>
      <c r="V118" s="364"/>
      <c r="W118" s="364"/>
      <c r="X118" s="177">
        <f t="shared" si="29"/>
        <v>4</v>
      </c>
      <c r="Y118" s="364"/>
      <c r="Z118" s="364"/>
      <c r="AA118" s="364"/>
      <c r="AB118" s="177">
        <f t="shared" si="30"/>
        <v>0</v>
      </c>
      <c r="AC118" s="364"/>
      <c r="AD118" s="365">
        <f t="shared" si="31"/>
        <v>6</v>
      </c>
      <c r="AE118" s="365">
        <f t="shared" si="32"/>
        <v>1</v>
      </c>
      <c r="AF118" s="366"/>
      <c r="AG118" s="1"/>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row>
    <row r="119" ht="11.25" customHeight="1">
      <c r="A119" s="1"/>
      <c r="B119" s="43" t="s">
        <v>299</v>
      </c>
      <c r="C119" s="175">
        <f>VLOOKUP(L$23, 'Здоровье и опыт'!$B$2:$H$5002, MATCH(B119, 'Здоровье и опыт'!$B$2:$H$2, 0), FALSE)</f>
        <v>23</v>
      </c>
      <c r="D119" s="360">
        <f>$U$14</f>
        <v>23</v>
      </c>
      <c r="E119" s="44"/>
      <c r="F119" s="361"/>
      <c r="G119" s="182"/>
      <c r="H119" s="182"/>
      <c r="I119" s="182"/>
      <c r="J119" s="182"/>
      <c r="K119" s="175" t="str">
        <f t="shared" si="22"/>
        <v>Простая_одежда</v>
      </c>
      <c r="L119" s="179" t="str">
        <f t="shared" si="23"/>
        <v>Лён</v>
      </c>
      <c r="M119" s="179" t="str">
        <f t="shared" si="24"/>
        <v>Стандартное</v>
      </c>
      <c r="N119" s="362">
        <f t="shared" si="25"/>
        <v>0</v>
      </c>
      <c r="O119" s="363">
        <f t="shared" si="26"/>
        <v>0</v>
      </c>
      <c r="P119" s="179"/>
      <c r="Q119" s="179">
        <v>8.0</v>
      </c>
      <c r="R119" s="177">
        <f t="shared" si="27"/>
        <v>4</v>
      </c>
      <c r="S119" s="177" t="str">
        <f t="shared" si="28"/>
        <v>Без ограничений</v>
      </c>
      <c r="T119" s="364"/>
      <c r="U119" s="364"/>
      <c r="V119" s="364"/>
      <c r="W119" s="364"/>
      <c r="X119" s="177">
        <f t="shared" si="29"/>
        <v>4</v>
      </c>
      <c r="Y119" s="364"/>
      <c r="Z119" s="364"/>
      <c r="AA119" s="364"/>
      <c r="AB119" s="177">
        <f t="shared" si="30"/>
        <v>0</v>
      </c>
      <c r="AC119" s="364"/>
      <c r="AD119" s="365">
        <f t="shared" si="31"/>
        <v>12</v>
      </c>
      <c r="AE119" s="365">
        <f t="shared" si="32"/>
        <v>7</v>
      </c>
      <c r="AF119" s="366"/>
      <c r="AG119" s="1"/>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row>
    <row r="120" ht="11.25" customHeight="1">
      <c r="A120" s="1"/>
      <c r="B120" s="43" t="s">
        <v>302</v>
      </c>
      <c r="C120" s="175">
        <f>VLOOKUP(L$23, 'Здоровье и опыт'!$B$2:$H$5002, MATCH(B120, 'Здоровье и опыт'!$B$2:$H$2, 0), FALSE)</f>
        <v>23</v>
      </c>
      <c r="D120" s="360">
        <f>$Y$14</f>
        <v>23</v>
      </c>
      <c r="E120" s="44"/>
      <c r="F120" s="361"/>
      <c r="G120" s="182"/>
      <c r="H120" s="182"/>
      <c r="I120" s="182"/>
      <c r="J120" s="182"/>
      <c r="K120" s="175" t="str">
        <f t="shared" si="22"/>
        <v>Простая_одежда</v>
      </c>
      <c r="L120" s="179" t="str">
        <f t="shared" si="23"/>
        <v>Лён</v>
      </c>
      <c r="M120" s="179" t="str">
        <f t="shared" si="24"/>
        <v>Стандартное</v>
      </c>
      <c r="N120" s="362">
        <f t="shared" si="25"/>
        <v>0</v>
      </c>
      <c r="O120" s="363">
        <f t="shared" si="26"/>
        <v>0</v>
      </c>
      <c r="P120" s="179"/>
      <c r="Q120" s="179">
        <v>8.0</v>
      </c>
      <c r="R120" s="177">
        <f t="shared" si="27"/>
        <v>4</v>
      </c>
      <c r="S120" s="177" t="str">
        <f t="shared" si="28"/>
        <v>Без ограничений</v>
      </c>
      <c r="T120" s="364"/>
      <c r="U120" s="364"/>
      <c r="V120" s="364"/>
      <c r="W120" s="364"/>
      <c r="X120" s="177">
        <f t="shared" si="29"/>
        <v>4</v>
      </c>
      <c r="Y120" s="364"/>
      <c r="Z120" s="364"/>
      <c r="AA120" s="364"/>
      <c r="AB120" s="177">
        <f t="shared" si="30"/>
        <v>0</v>
      </c>
      <c r="AC120" s="364"/>
      <c r="AD120" s="365">
        <f t="shared" si="31"/>
        <v>12</v>
      </c>
      <c r="AE120" s="365">
        <f t="shared" si="32"/>
        <v>7</v>
      </c>
      <c r="AF120" s="366"/>
      <c r="AG120" s="1"/>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row>
    <row r="121" ht="11.25" customHeight="1">
      <c r="A121" s="1"/>
      <c r="B121" s="43" t="s">
        <v>304</v>
      </c>
      <c r="C121" s="175">
        <f>VLOOKUP(L$23, 'Здоровье и опыт'!$B$2:$H$5002, MATCH(B121, 'Здоровье и опыт'!$B$2:$H$2, 0), FALSE)</f>
        <v>23</v>
      </c>
      <c r="D121" s="360">
        <f>$V$18</f>
        <v>23</v>
      </c>
      <c r="E121" s="44"/>
      <c r="F121" s="361"/>
      <c r="G121" s="182"/>
      <c r="H121" s="182"/>
      <c r="I121" s="182"/>
      <c r="J121" s="182"/>
      <c r="K121" s="175" t="str">
        <f t="shared" si="22"/>
        <v>Простая_одежда</v>
      </c>
      <c r="L121" s="179" t="str">
        <f t="shared" si="23"/>
        <v>Лён</v>
      </c>
      <c r="M121" s="179" t="str">
        <f t="shared" si="24"/>
        <v>Стандартное</v>
      </c>
      <c r="N121" s="362">
        <f t="shared" si="25"/>
        <v>0</v>
      </c>
      <c r="O121" s="363">
        <f t="shared" si="26"/>
        <v>0</v>
      </c>
      <c r="P121" s="179"/>
      <c r="Q121" s="179">
        <v>8.0</v>
      </c>
      <c r="R121" s="177">
        <f t="shared" si="27"/>
        <v>4</v>
      </c>
      <c r="S121" s="177" t="str">
        <f t="shared" si="28"/>
        <v>Без ограничений</v>
      </c>
      <c r="T121" s="364"/>
      <c r="U121" s="364"/>
      <c r="V121" s="364"/>
      <c r="W121" s="364"/>
      <c r="X121" s="177">
        <f t="shared" si="29"/>
        <v>4</v>
      </c>
      <c r="Y121" s="364"/>
      <c r="Z121" s="364"/>
      <c r="AA121" s="364"/>
      <c r="AB121" s="177">
        <f t="shared" si="30"/>
        <v>0</v>
      </c>
      <c r="AC121" s="364"/>
      <c r="AD121" s="365">
        <f t="shared" si="31"/>
        <v>12</v>
      </c>
      <c r="AE121" s="365">
        <f t="shared" si="32"/>
        <v>7</v>
      </c>
      <c r="AF121" s="366"/>
      <c r="AG121" s="1"/>
      <c r="AH121" s="12"/>
      <c r="AI121" s="12"/>
      <c r="AJ121" s="12"/>
      <c r="AK121" s="12"/>
      <c r="AL121" s="12"/>
      <c r="AM121" s="12"/>
      <c r="AN121" s="12"/>
      <c r="AO121" s="12"/>
      <c r="AP121" s="12"/>
      <c r="AQ121" s="12"/>
      <c r="AR121" s="12"/>
      <c r="AS121" s="12"/>
      <c r="BC121" s="12"/>
      <c r="BD121" s="12"/>
      <c r="BE121" s="12"/>
      <c r="BF121" s="12"/>
      <c r="BG121" s="12"/>
      <c r="BH121" s="12"/>
      <c r="BI121" s="12"/>
      <c r="BJ121" s="12"/>
      <c r="BK121" s="12"/>
      <c r="BL121" s="12"/>
      <c r="BM121" s="12"/>
      <c r="BN121" s="12"/>
      <c r="BO121" s="12"/>
      <c r="BP121" s="12"/>
      <c r="BQ121" s="12"/>
      <c r="BR121" s="12"/>
      <c r="BS121" s="12"/>
      <c r="BT121" s="12"/>
      <c r="BU121" s="12"/>
      <c r="BV121" s="12"/>
    </row>
    <row r="122" ht="11.25" customHeight="1">
      <c r="A122" s="1"/>
      <c r="B122" s="153" t="s">
        <v>306</v>
      </c>
      <c r="C122" s="367">
        <f>VLOOKUP(L$23, 'Здоровье и опыт'!$B$2:$H$5002, MATCH(B122, 'Здоровье и опыт'!$B$2:$H$2, 0), FALSE)</f>
        <v>23</v>
      </c>
      <c r="D122" s="368">
        <f>$X$18</f>
        <v>23</v>
      </c>
      <c r="E122" s="154"/>
      <c r="F122" s="369"/>
      <c r="G122" s="370"/>
      <c r="H122" s="370"/>
      <c r="I122" s="370"/>
      <c r="J122" s="370"/>
      <c r="K122" s="367" t="str">
        <f t="shared" si="22"/>
        <v>Простая_одежда</v>
      </c>
      <c r="L122" s="371" t="str">
        <f t="shared" si="23"/>
        <v>Лён</v>
      </c>
      <c r="M122" s="371" t="str">
        <f t="shared" si="24"/>
        <v>Стандартное</v>
      </c>
      <c r="N122" s="372">
        <f t="shared" si="25"/>
        <v>0</v>
      </c>
      <c r="O122" s="373">
        <f t="shared" si="26"/>
        <v>0</v>
      </c>
      <c r="P122" s="371"/>
      <c r="Q122" s="371">
        <v>8.0</v>
      </c>
      <c r="R122" s="374">
        <f t="shared" si="27"/>
        <v>4</v>
      </c>
      <c r="S122" s="374" t="str">
        <f t="shared" si="28"/>
        <v>Без ограничений</v>
      </c>
      <c r="T122" s="375"/>
      <c r="U122" s="375"/>
      <c r="V122" s="375"/>
      <c r="W122" s="375"/>
      <c r="X122" s="374">
        <f t="shared" si="29"/>
        <v>4</v>
      </c>
      <c r="Y122" s="375"/>
      <c r="Z122" s="375"/>
      <c r="AA122" s="375"/>
      <c r="AB122" s="374">
        <f t="shared" si="30"/>
        <v>0</v>
      </c>
      <c r="AC122" s="375"/>
      <c r="AD122" s="376">
        <f t="shared" si="31"/>
        <v>12</v>
      </c>
      <c r="AE122" s="376">
        <f t="shared" si="32"/>
        <v>7</v>
      </c>
      <c r="AF122" s="377"/>
      <c r="AG122" s="1"/>
      <c r="AH122" s="12"/>
      <c r="AS122" s="12"/>
      <c r="BC122" s="12"/>
      <c r="BD122" s="12"/>
      <c r="BE122" s="12"/>
      <c r="BF122" s="12"/>
      <c r="BG122" s="12"/>
      <c r="BH122" s="12"/>
      <c r="BI122" s="20"/>
      <c r="BR122" s="12"/>
      <c r="BS122" s="12"/>
      <c r="BT122" s="12"/>
      <c r="BU122" s="12"/>
      <c r="BV122" s="12"/>
    </row>
    <row r="123" ht="11.25" customHeight="1">
      <c r="A123" s="12"/>
      <c r="M123" s="12"/>
      <c r="N123" s="12"/>
      <c r="O123" s="12"/>
      <c r="P123" s="11"/>
      <c r="Q123" s="12"/>
      <c r="R123" s="12"/>
      <c r="AB123" s="12"/>
      <c r="AD123" s="378"/>
      <c r="AE123" s="1"/>
      <c r="AF123" s="1"/>
      <c r="AG123" s="1"/>
      <c r="AH123" s="12"/>
      <c r="AS123" s="12"/>
      <c r="BC123" s="12"/>
      <c r="BD123" s="12"/>
      <c r="BE123" s="12"/>
      <c r="BF123" s="12"/>
      <c r="BG123" s="12"/>
      <c r="BH123" s="20"/>
      <c r="BI123" s="12"/>
      <c r="BR123" s="12"/>
      <c r="BS123" s="12"/>
      <c r="BT123" s="12"/>
      <c r="BU123" s="12"/>
      <c r="BV123" s="12"/>
    </row>
    <row r="124" ht="11.25" customHeight="1">
      <c r="A124" s="12"/>
      <c r="B124" s="13" t="s">
        <v>323</v>
      </c>
      <c r="H124" s="36"/>
      <c r="K124" s="13" t="s">
        <v>324</v>
      </c>
      <c r="M124" s="12"/>
      <c r="N124" s="12"/>
      <c r="O124" s="12"/>
      <c r="P124" s="11"/>
      <c r="Q124" s="12"/>
      <c r="R124" s="12"/>
      <c r="AB124" s="12"/>
      <c r="AD124" s="378"/>
      <c r="AE124" s="1"/>
      <c r="AF124" s="1"/>
      <c r="AG124" s="1"/>
      <c r="AH124" s="12"/>
      <c r="AS124" s="12"/>
      <c r="BC124" s="12"/>
      <c r="BD124" s="12"/>
      <c r="BE124" s="12"/>
      <c r="BF124" s="12"/>
      <c r="BG124" s="12"/>
      <c r="BH124" s="12"/>
      <c r="BI124" s="12"/>
      <c r="BR124" s="12"/>
      <c r="BS124" s="12"/>
      <c r="BT124" s="12"/>
      <c r="BU124" s="12"/>
      <c r="BV124" s="12"/>
    </row>
    <row r="125" ht="11.25" customHeight="1">
      <c r="A125" s="12"/>
      <c r="M125" s="12"/>
      <c r="N125" s="12"/>
      <c r="O125" s="12"/>
      <c r="P125" s="11"/>
      <c r="Q125" s="12"/>
      <c r="R125" s="12"/>
      <c r="AB125" s="12"/>
      <c r="AD125" s="378"/>
      <c r="AE125" s="12"/>
      <c r="AF125" s="12"/>
      <c r="AG125" s="12"/>
      <c r="AH125" s="12"/>
      <c r="AS125" s="12"/>
      <c r="BC125" s="12"/>
      <c r="BD125" s="12"/>
      <c r="BE125" s="12"/>
      <c r="BF125" s="12"/>
      <c r="BG125" s="12"/>
      <c r="BH125" s="260"/>
      <c r="BI125" s="12"/>
      <c r="BR125" s="12"/>
      <c r="BS125" s="12"/>
      <c r="BT125" s="12"/>
      <c r="BU125" s="12"/>
      <c r="BV125" s="12"/>
    </row>
    <row r="126" ht="11.25" customHeight="1">
      <c r="A126" s="12"/>
      <c r="B126" s="347" t="s">
        <v>292</v>
      </c>
      <c r="C126" s="348" t="s">
        <v>314</v>
      </c>
      <c r="D126" s="348" t="s">
        <v>315</v>
      </c>
      <c r="E126" s="358"/>
      <c r="F126" s="358"/>
      <c r="G126" s="351" t="s">
        <v>316</v>
      </c>
      <c r="H126" s="348"/>
      <c r="I126" s="358"/>
      <c r="J126" s="358"/>
      <c r="K126" s="348" t="s">
        <v>127</v>
      </c>
      <c r="L126" s="348" t="s">
        <v>130</v>
      </c>
      <c r="M126" s="348" t="s">
        <v>134</v>
      </c>
      <c r="N126" s="353" t="s">
        <v>168</v>
      </c>
      <c r="O126" s="354" t="s">
        <v>317</v>
      </c>
      <c r="P126" s="379"/>
      <c r="Q126" s="356" t="s">
        <v>318</v>
      </c>
      <c r="R126" s="357" t="s">
        <v>319</v>
      </c>
      <c r="S126" s="357" t="s">
        <v>320</v>
      </c>
      <c r="T126" s="358"/>
      <c r="U126" s="358"/>
      <c r="V126" s="357" t="s">
        <v>321</v>
      </c>
      <c r="W126" s="358"/>
      <c r="X126" s="358"/>
      <c r="Y126" s="358"/>
      <c r="Z126" s="358"/>
      <c r="AA126" s="358"/>
      <c r="AB126" s="355" t="s">
        <v>36</v>
      </c>
      <c r="AC126" s="358"/>
      <c r="AD126" s="357" t="s">
        <v>212</v>
      </c>
      <c r="AE126" s="357" t="s">
        <v>322</v>
      </c>
      <c r="AF126" s="380"/>
      <c r="AG126" s="12"/>
      <c r="AH126" s="13"/>
      <c r="AS126" s="12"/>
      <c r="BC126" s="12"/>
      <c r="BD126" s="12"/>
      <c r="BE126" s="12"/>
      <c r="BF126" s="12"/>
      <c r="BG126" s="13"/>
      <c r="BH126" s="260"/>
      <c r="BI126" s="12"/>
      <c r="BR126" s="12"/>
      <c r="BS126" s="12"/>
      <c r="BT126" s="12"/>
      <c r="BU126" s="12"/>
      <c r="BV126" s="12"/>
    </row>
    <row r="127" ht="11.25" customHeight="1">
      <c r="A127" s="12"/>
      <c r="B127" s="43" t="s">
        <v>295</v>
      </c>
      <c r="C127" s="175">
        <f>VLOOKUP(L$23, 'Здоровье и опыт'!$B$2:$H$5002, MATCH(B127, 'Здоровье и опыт'!$B$2:$H$2, 0), FALSE)</f>
        <v>17</v>
      </c>
      <c r="D127" s="360">
        <f>$W$10</f>
        <v>17</v>
      </c>
      <c r="E127" s="364"/>
      <c r="F127" s="364"/>
      <c r="G127" s="364"/>
      <c r="H127" s="364"/>
      <c r="I127" s="364"/>
      <c r="J127" s="364"/>
      <c r="K127" s="175" t="s">
        <v>128</v>
      </c>
      <c r="L127" s="179" t="s">
        <v>131</v>
      </c>
      <c r="M127" s="175" t="s">
        <v>133</v>
      </c>
      <c r="N127" s="362" t="str">
        <f>MID(IF(K127='Одежда, доспехи и щиты'!$T$6,VLOOKUP(M127, 'Одежда, доспехи и щиты'!$B$37:$H$45, MATCH(L127, 'Одежда, доспехи и щиты'!$B$37:$H$37, 0), FALSE),IF(K127='Одежда, доспехи и щиты'!$U$6,VLOOKUP(M127, 'Одежда, доспехи и щиты'!$B$47:$H$55, MATCH(L127, 'Одежда, доспехи и щиты'!$B$47:$H$47, 0), FALSE),IF(K127='Одежда, доспехи и щиты'!$V$6,VLOOKUP(M127, 'Одежда, доспехи и щиты'!$B$57:$H$65, MATCH(L127, 'Одежда, доспехи и щиты'!$B$57:$H$57, 0), FALSE),"Armor 0"))),6,3)</f>
        <v> 0</v>
      </c>
      <c r="O127" s="363">
        <v>0.0</v>
      </c>
      <c r="P127" s="182"/>
      <c r="Q127" s="179">
        <v>10.0</v>
      </c>
      <c r="R127" s="177">
        <f t="shared" ref="R127:R132" si="33">ROUNDDOWN(IF($Z$3="Stationary",$D$48/2,$D$48))</f>
        <v>4</v>
      </c>
      <c r="S127" s="177" t="str">
        <f>IF(K127='Одежда, доспехи и щиты'!$T$6,VLOOKUP(M127, 'Одежда, доспехи и щиты'!$B$37:$N$45, 10, FALSE),IF(K127='Одежда, доспехи и щиты'!$U$6,VLOOKUP(M127, 'Одежда, доспехи и щиты'!$B$47:$N$55, 10, FALSE),IF(K127='Одежда, доспехи и щиты'!$V$6,VLOOKUP(M127, 'Одежда, доспехи и щиты'!$B$57:$N$65, 10, FALSE),"Без ограничений")))</f>
        <v>Без ограничений</v>
      </c>
      <c r="T127" s="364"/>
      <c r="U127" s="364"/>
      <c r="V127" s="364"/>
      <c r="W127" s="364"/>
      <c r="X127" s="177">
        <f t="shared" ref="X127:X132" si="34">MIN(R127,S127)</f>
        <v>4</v>
      </c>
      <c r="Y127" s="364"/>
      <c r="Z127" s="364"/>
      <c r="AA127" s="364"/>
      <c r="AB127" s="177">
        <f t="shared" ref="AB127:AB132" si="35">D$50+D$51</f>
        <v>0</v>
      </c>
      <c r="AC127" s="364"/>
      <c r="AD127" s="365">
        <f t="shared" ref="AD127:AD132" si="36">Q127+X127+AB127</f>
        <v>14</v>
      </c>
      <c r="AE127" s="365">
        <f t="shared" ref="AE127:AE132" si="37">AD127-5</f>
        <v>9</v>
      </c>
      <c r="AF127" s="381"/>
      <c r="AG127" s="12"/>
      <c r="AH127" s="12"/>
      <c r="AS127" s="12"/>
      <c r="BC127" s="12"/>
      <c r="BD127" s="12"/>
      <c r="BE127" s="12"/>
      <c r="BF127" s="12"/>
      <c r="BG127" s="12"/>
      <c r="BH127" s="12"/>
      <c r="BI127" s="12"/>
      <c r="BR127" s="12"/>
      <c r="BS127" s="12"/>
      <c r="BT127" s="12"/>
      <c r="BU127" s="12"/>
      <c r="BV127" s="12"/>
    </row>
    <row r="128" ht="11.25" customHeight="1">
      <c r="A128" s="12"/>
      <c r="B128" s="43" t="s">
        <v>297</v>
      </c>
      <c r="C128" s="175">
        <f>VLOOKUP(L$23, 'Здоровье и опыт'!$B$2:$H$5002, MATCH(B128, 'Здоровье и опыт'!$B$2:$H$2, 0), FALSE)</f>
        <v>34</v>
      </c>
      <c r="D128" s="360">
        <f>$W$14</f>
        <v>34</v>
      </c>
      <c r="E128" s="364"/>
      <c r="F128" s="364"/>
      <c r="G128" s="364"/>
      <c r="H128" s="364"/>
      <c r="I128" s="364"/>
      <c r="J128" s="364"/>
      <c r="K128" s="175" t="s">
        <v>128</v>
      </c>
      <c r="L128" s="179" t="s">
        <v>131</v>
      </c>
      <c r="M128" s="175" t="s">
        <v>133</v>
      </c>
      <c r="N128" s="362" t="str">
        <f>MID(IF(K128='Одежда, доспехи и щиты'!$T$6,VLOOKUP(M128, 'Одежда, доспехи и щиты'!$B$37:$H$45, MATCH(L128, 'Одежда, доспехи и щиты'!$B$37:$H$37, 0), FALSE),IF(K128='Одежда, доспехи и щиты'!$U$6,VLOOKUP(M128, 'Одежда, доспехи и щиты'!$B$47:$H$55, MATCH(L128, 'Одежда, доспехи и щиты'!$B$47:$H$47, 0), FALSE),IF(K128='Одежда, доспехи и щиты'!$V$6,VLOOKUP(M128, 'Одежда, доспехи и щиты'!$B$57:$H$65, MATCH(L128, 'Одежда, доспехи и щиты'!$B$57:$H$57, 0), FALSE),"Armor 0"))),6,3)</f>
        <v> 0</v>
      </c>
      <c r="O128" s="363">
        <v>0.0</v>
      </c>
      <c r="P128" s="182"/>
      <c r="Q128" s="179">
        <v>2.0</v>
      </c>
      <c r="R128" s="177">
        <f t="shared" si="33"/>
        <v>4</v>
      </c>
      <c r="S128" s="177" t="str">
        <f>IF(K128='Одежда, доспехи и щиты'!$T$6,VLOOKUP(M128, 'Одежда, доспехи и щиты'!$B$37:$N$45, 10, FALSE),IF(K128='Одежда, доспехи и щиты'!$U$6,VLOOKUP(M128, 'Одежда, доспехи и щиты'!$B$47:$N$55, 10, FALSE),IF(K128='Одежда, доспехи и щиты'!$V$6,VLOOKUP(M128, 'Одежда, доспехи и щиты'!$B$57:$N$65, 10, FALSE),"Без ограничений")))</f>
        <v>Без ограничений</v>
      </c>
      <c r="T128" s="364"/>
      <c r="U128" s="364"/>
      <c r="V128" s="364"/>
      <c r="W128" s="364"/>
      <c r="X128" s="177">
        <f t="shared" si="34"/>
        <v>4</v>
      </c>
      <c r="Y128" s="364"/>
      <c r="Z128" s="364"/>
      <c r="AA128" s="364"/>
      <c r="AB128" s="177">
        <f t="shared" si="35"/>
        <v>0</v>
      </c>
      <c r="AC128" s="364"/>
      <c r="AD128" s="365">
        <f t="shared" si="36"/>
        <v>6</v>
      </c>
      <c r="AE128" s="365">
        <f t="shared" si="37"/>
        <v>1</v>
      </c>
      <c r="AF128" s="381"/>
      <c r="AG128" s="12"/>
      <c r="AH128" s="12"/>
      <c r="AS128" s="12"/>
      <c r="BC128" s="12"/>
      <c r="BD128" s="12"/>
      <c r="BE128" s="12"/>
      <c r="BF128" s="12"/>
      <c r="BG128" s="12"/>
      <c r="BH128" s="12"/>
      <c r="BI128" s="12"/>
      <c r="BR128" s="12"/>
      <c r="BS128" s="12"/>
      <c r="BT128" s="12"/>
      <c r="BU128" s="12"/>
      <c r="BV128" s="12"/>
    </row>
    <row r="129" ht="11.25" customHeight="1">
      <c r="A129" s="12"/>
      <c r="B129" s="43" t="s">
        <v>299</v>
      </c>
      <c r="C129" s="175">
        <f>VLOOKUP(L$23, 'Здоровье и опыт'!$B$2:$H$5002, MATCH(B129, 'Здоровье и опыт'!$B$2:$H$2, 0), FALSE)</f>
        <v>23</v>
      </c>
      <c r="D129" s="360">
        <f>$U$14</f>
        <v>23</v>
      </c>
      <c r="E129" s="364"/>
      <c r="F129" s="364"/>
      <c r="G129" s="364"/>
      <c r="H129" s="364"/>
      <c r="I129" s="364"/>
      <c r="J129" s="364"/>
      <c r="K129" s="175" t="s">
        <v>128</v>
      </c>
      <c r="L129" s="179" t="s">
        <v>131</v>
      </c>
      <c r="M129" s="175" t="s">
        <v>133</v>
      </c>
      <c r="N129" s="362" t="str">
        <f>MID(IF(K129='Одежда, доспехи и щиты'!$T$6,VLOOKUP(M129, 'Одежда, доспехи и щиты'!$B$37:$H$45, MATCH(L129, 'Одежда, доспехи и щиты'!$B$37:$H$37, 0), FALSE),IF(K129='Одежда, доспехи и щиты'!$U$6,VLOOKUP(M129, 'Одежда, доспехи и щиты'!$B$47:$H$55, MATCH(L129, 'Одежда, доспехи и щиты'!$B$47:$H$47, 0), FALSE),IF(K129='Одежда, доспехи и щиты'!$V$6,VLOOKUP(M129, 'Одежда, доспехи и щиты'!$B$57:$H$65, MATCH(L129, 'Одежда, доспехи и щиты'!$B$57:$H$57, 0), FALSE),"Armor 0"))),6,3)</f>
        <v> 0</v>
      </c>
      <c r="O129" s="363">
        <v>0.0</v>
      </c>
      <c r="P129" s="182"/>
      <c r="Q129" s="179">
        <v>8.0</v>
      </c>
      <c r="R129" s="177">
        <f t="shared" si="33"/>
        <v>4</v>
      </c>
      <c r="S129" s="177" t="str">
        <f>IF(K129='Одежда, доспехи и щиты'!$T$6,VLOOKUP(M129, 'Одежда, доспехи и щиты'!$B$37:$N$45, 10, FALSE),IF(K129='Одежда, доспехи и щиты'!$U$6,VLOOKUP(M129, 'Одежда, доспехи и щиты'!$B$47:$N$55, 10, FALSE),IF(K129='Одежда, доспехи и щиты'!$V$6,VLOOKUP(M129, 'Одежда, доспехи и щиты'!$B$57:$N$65, 10, FALSE),"Без ограничений")))</f>
        <v>Без ограничений</v>
      </c>
      <c r="T129" s="364"/>
      <c r="U129" s="364"/>
      <c r="V129" s="364"/>
      <c r="W129" s="364"/>
      <c r="X129" s="177">
        <f t="shared" si="34"/>
        <v>4</v>
      </c>
      <c r="Y129" s="364"/>
      <c r="Z129" s="364"/>
      <c r="AA129" s="364"/>
      <c r="AB129" s="177">
        <f t="shared" si="35"/>
        <v>0</v>
      </c>
      <c r="AC129" s="364"/>
      <c r="AD129" s="365">
        <f t="shared" si="36"/>
        <v>12</v>
      </c>
      <c r="AE129" s="365">
        <f t="shared" si="37"/>
        <v>7</v>
      </c>
      <c r="AF129" s="381"/>
      <c r="AG129" s="12"/>
      <c r="AH129" s="12"/>
      <c r="AS129" s="12"/>
      <c r="BC129" s="12"/>
      <c r="BD129" s="12"/>
      <c r="BE129" s="12"/>
      <c r="BF129" s="12"/>
      <c r="BG129" s="12"/>
      <c r="BH129" s="12"/>
      <c r="BI129" s="12"/>
      <c r="BR129" s="12"/>
      <c r="BS129" s="12"/>
      <c r="BT129" s="12"/>
      <c r="BU129" s="12"/>
      <c r="BV129" s="12"/>
    </row>
    <row r="130" ht="11.25" customHeight="1">
      <c r="A130" s="12"/>
      <c r="B130" s="43" t="s">
        <v>302</v>
      </c>
      <c r="C130" s="175">
        <f>VLOOKUP(L$23, 'Здоровье и опыт'!$B$2:$H$5002, MATCH(B130, 'Здоровье и опыт'!$B$2:$H$2, 0), FALSE)</f>
        <v>23</v>
      </c>
      <c r="D130" s="360">
        <f>$Y$14</f>
        <v>23</v>
      </c>
      <c r="E130" s="364"/>
      <c r="F130" s="364"/>
      <c r="G130" s="364"/>
      <c r="H130" s="364"/>
      <c r="I130" s="364"/>
      <c r="J130" s="364"/>
      <c r="K130" s="175" t="s">
        <v>128</v>
      </c>
      <c r="L130" s="179" t="s">
        <v>131</v>
      </c>
      <c r="M130" s="175" t="s">
        <v>133</v>
      </c>
      <c r="N130" s="362" t="str">
        <f>MID(IF(K130='Одежда, доспехи и щиты'!$T$6,VLOOKUP(M130, 'Одежда, доспехи и щиты'!$B$37:$H$45, MATCH(L130, 'Одежда, доспехи и щиты'!$B$37:$H$37, 0), FALSE),IF(K130='Одежда, доспехи и щиты'!$U$6,VLOOKUP(M130, 'Одежда, доспехи и щиты'!$B$47:$H$55, MATCH(L130, 'Одежда, доспехи и щиты'!$B$47:$H$47, 0), FALSE),IF(K130='Одежда, доспехи и щиты'!$V$6,VLOOKUP(M130, 'Одежда, доспехи и щиты'!$B$57:$H$65, MATCH(L130, 'Одежда, доспехи и щиты'!$B$57:$H$57, 0), FALSE),"Armor 0"))),6,3)</f>
        <v> 0</v>
      </c>
      <c r="O130" s="363">
        <v>0.0</v>
      </c>
      <c r="P130" s="364"/>
      <c r="Q130" s="179">
        <v>8.0</v>
      </c>
      <c r="R130" s="177">
        <f t="shared" si="33"/>
        <v>4</v>
      </c>
      <c r="S130" s="177" t="str">
        <f>IF(K130='Одежда, доспехи и щиты'!$T$6,VLOOKUP(M130, 'Одежда, доспехи и щиты'!$B$37:$N$45, 10, FALSE),IF(K130='Одежда, доспехи и щиты'!$U$6,VLOOKUP(M130, 'Одежда, доспехи и щиты'!$B$47:$N$55, 10, FALSE),IF(K130='Одежда, доспехи и щиты'!$V$6,VLOOKUP(M130, 'Одежда, доспехи и щиты'!$B$57:$N$65, 10, FALSE),"Без ограничений")))</f>
        <v>Без ограничений</v>
      </c>
      <c r="T130" s="364"/>
      <c r="U130" s="364"/>
      <c r="V130" s="364"/>
      <c r="W130" s="364"/>
      <c r="X130" s="177">
        <f t="shared" si="34"/>
        <v>4</v>
      </c>
      <c r="Y130" s="364"/>
      <c r="Z130" s="364"/>
      <c r="AA130" s="364"/>
      <c r="AB130" s="177">
        <f t="shared" si="35"/>
        <v>0</v>
      </c>
      <c r="AC130" s="364"/>
      <c r="AD130" s="365">
        <f t="shared" si="36"/>
        <v>12</v>
      </c>
      <c r="AE130" s="365">
        <f t="shared" si="37"/>
        <v>7</v>
      </c>
      <c r="AF130" s="381"/>
      <c r="AG130" s="12"/>
      <c r="AH130" s="12"/>
      <c r="AS130" s="12"/>
      <c r="BC130" s="12"/>
      <c r="BD130" s="12"/>
      <c r="BE130" s="12"/>
      <c r="BF130" s="12"/>
      <c r="BG130" s="12"/>
      <c r="BH130" s="12"/>
      <c r="BI130" s="12"/>
      <c r="BR130" s="12"/>
      <c r="BS130" s="12"/>
      <c r="BT130" s="12"/>
      <c r="BU130" s="12"/>
      <c r="BV130" s="12"/>
    </row>
    <row r="131" ht="11.25" customHeight="1">
      <c r="A131" s="12"/>
      <c r="B131" s="43" t="s">
        <v>304</v>
      </c>
      <c r="C131" s="175">
        <f>VLOOKUP(L$23, 'Здоровье и опыт'!$B$2:$H$5002, MATCH(B131, 'Здоровье и опыт'!$B$2:$H$2, 0), FALSE)</f>
        <v>23</v>
      </c>
      <c r="D131" s="360">
        <f>$V$18</f>
        <v>23</v>
      </c>
      <c r="E131" s="364"/>
      <c r="F131" s="364"/>
      <c r="G131" s="364"/>
      <c r="H131" s="364"/>
      <c r="I131" s="364"/>
      <c r="J131" s="364"/>
      <c r="K131" s="175" t="s">
        <v>128</v>
      </c>
      <c r="L131" s="179" t="s">
        <v>131</v>
      </c>
      <c r="M131" s="175" t="s">
        <v>133</v>
      </c>
      <c r="N131" s="362" t="str">
        <f>MID(IF(K131='Одежда, доспехи и щиты'!$T$6,VLOOKUP(M131, 'Одежда, доспехи и щиты'!$B$37:$H$45, MATCH(L131, 'Одежда, доспехи и щиты'!$B$37:$H$37, 0), FALSE),IF(K131='Одежда, доспехи и щиты'!$U$6,VLOOKUP(M131, 'Одежда, доспехи и щиты'!$B$47:$H$55, MATCH(L131, 'Одежда, доспехи и щиты'!$B$47:$H$47, 0), FALSE),IF(K131='Одежда, доспехи и щиты'!$V$6,VLOOKUP(M131, 'Одежда, доспехи и щиты'!$B$57:$H$65, MATCH(L131, 'Одежда, доспехи и щиты'!$B$57:$H$57, 0), FALSE),"Armor 0"))),6,3)</f>
        <v> 0</v>
      </c>
      <c r="O131" s="363">
        <v>0.0</v>
      </c>
      <c r="P131" s="364"/>
      <c r="Q131" s="179">
        <v>8.0</v>
      </c>
      <c r="R131" s="177">
        <f t="shared" si="33"/>
        <v>4</v>
      </c>
      <c r="S131" s="177" t="str">
        <f>IF(K131='Одежда, доспехи и щиты'!$T$6,VLOOKUP(M131, 'Одежда, доспехи и щиты'!$B$37:$N$45, 10, FALSE),IF(K131='Одежда, доспехи и щиты'!$U$6,VLOOKUP(M131, 'Одежда, доспехи и щиты'!$B$47:$N$55, 10, FALSE),IF(K131='Одежда, доспехи и щиты'!$V$6,VLOOKUP(M131, 'Одежда, доспехи и щиты'!$B$57:$N$65, 10, FALSE),"Без ограничений")))</f>
        <v>Без ограничений</v>
      </c>
      <c r="T131" s="364"/>
      <c r="U131" s="364"/>
      <c r="V131" s="364"/>
      <c r="W131" s="364"/>
      <c r="X131" s="177">
        <f t="shared" si="34"/>
        <v>4</v>
      </c>
      <c r="Y131" s="364"/>
      <c r="Z131" s="364"/>
      <c r="AA131" s="364"/>
      <c r="AB131" s="177">
        <f t="shared" si="35"/>
        <v>0</v>
      </c>
      <c r="AC131" s="364"/>
      <c r="AD131" s="365">
        <f t="shared" si="36"/>
        <v>12</v>
      </c>
      <c r="AE131" s="365">
        <f t="shared" si="37"/>
        <v>7</v>
      </c>
      <c r="AF131" s="381"/>
      <c r="AG131" s="12"/>
      <c r="AH131" s="12"/>
      <c r="AS131" s="12"/>
      <c r="BC131" s="12"/>
      <c r="BD131" s="12"/>
      <c r="BE131" s="12"/>
      <c r="BF131" s="12"/>
      <c r="BG131" s="12"/>
      <c r="BH131" s="12"/>
      <c r="BI131" s="12"/>
      <c r="BR131" s="12"/>
      <c r="BS131" s="12"/>
      <c r="BT131" s="12"/>
      <c r="BU131" s="12"/>
      <c r="BV131" s="12"/>
    </row>
    <row r="132" ht="11.25" customHeight="1">
      <c r="A132" s="12"/>
      <c r="B132" s="153" t="s">
        <v>306</v>
      </c>
      <c r="C132" s="367">
        <f>VLOOKUP(L$23, 'Здоровье и опыт'!$B$2:$H$5002, MATCH(B132, 'Здоровье и опыт'!$B$2:$H$2, 0), FALSE)</f>
        <v>23</v>
      </c>
      <c r="D132" s="368">
        <f>$X$18</f>
        <v>23</v>
      </c>
      <c r="E132" s="375"/>
      <c r="F132" s="375"/>
      <c r="G132" s="375"/>
      <c r="H132" s="375"/>
      <c r="I132" s="375"/>
      <c r="J132" s="375"/>
      <c r="K132" s="367" t="s">
        <v>128</v>
      </c>
      <c r="L132" s="371" t="s">
        <v>131</v>
      </c>
      <c r="M132" s="367" t="s">
        <v>133</v>
      </c>
      <c r="N132" s="372" t="str">
        <f>MID(IF(K132='Одежда, доспехи и щиты'!$T$6,VLOOKUP(M132, 'Одежда, доспехи и щиты'!$B$37:$H$45, MATCH(L132, 'Одежда, доспехи и щиты'!$B$37:$H$37, 0), FALSE),IF(K132='Одежда, доспехи и щиты'!$U$6,VLOOKUP(M132, 'Одежда, доспехи и щиты'!$B$47:$H$55, MATCH(L132, 'Одежда, доспехи и щиты'!$B$47:$H$47, 0), FALSE),IF(K132='Одежда, доспехи и щиты'!$V$6,VLOOKUP(M132, 'Одежда, доспехи и щиты'!$B$57:$H$65, MATCH(L132, 'Одежда, доспехи и щиты'!$B$57:$H$57, 0), FALSE),"Armor 0"))),6,3)</f>
        <v> 0</v>
      </c>
      <c r="O132" s="373">
        <v>0.0</v>
      </c>
      <c r="P132" s="375"/>
      <c r="Q132" s="371">
        <v>8.0</v>
      </c>
      <c r="R132" s="374">
        <f t="shared" si="33"/>
        <v>4</v>
      </c>
      <c r="S132" s="374" t="str">
        <f>IF(K132='Одежда, доспехи и щиты'!$T$6,VLOOKUP(M132, 'Одежда, доспехи и щиты'!$B$37:$N$45, 10, FALSE),IF(K132='Одежда, доспехи и щиты'!$U$6,VLOOKUP(M132, 'Одежда, доспехи и щиты'!$B$47:$N$55, 10, FALSE),IF(K132='Одежда, доспехи и щиты'!$V$6,VLOOKUP(M132, 'Одежда, доспехи и щиты'!$B$57:$N$65, 10, FALSE),"Без ограничений")))</f>
        <v>Без ограничений</v>
      </c>
      <c r="T132" s="375"/>
      <c r="U132" s="375"/>
      <c r="V132" s="375"/>
      <c r="W132" s="375"/>
      <c r="X132" s="374">
        <f t="shared" si="34"/>
        <v>4</v>
      </c>
      <c r="Y132" s="375"/>
      <c r="Z132" s="375"/>
      <c r="AA132" s="375"/>
      <c r="AB132" s="374">
        <f t="shared" si="35"/>
        <v>0</v>
      </c>
      <c r="AC132" s="375"/>
      <c r="AD132" s="376">
        <f t="shared" si="36"/>
        <v>12</v>
      </c>
      <c r="AE132" s="376">
        <f t="shared" si="37"/>
        <v>7</v>
      </c>
      <c r="AF132" s="382"/>
      <c r="AG132" s="12"/>
      <c r="AH132" s="12"/>
      <c r="AS132" s="12"/>
      <c r="BC132" s="12"/>
      <c r="BD132" s="12"/>
      <c r="BE132" s="12"/>
      <c r="BF132" s="12"/>
      <c r="BG132" s="12"/>
      <c r="BH132" s="12"/>
      <c r="BI132" s="12"/>
      <c r="BR132" s="12"/>
      <c r="BS132" s="12"/>
      <c r="BT132" s="12"/>
      <c r="BU132" s="12"/>
      <c r="BV132" s="12"/>
    </row>
    <row r="133" ht="11.25" customHeight="1">
      <c r="A133" s="12"/>
      <c r="U133" s="12"/>
      <c r="V133" s="11"/>
      <c r="W133" s="11"/>
      <c r="X133" s="1"/>
      <c r="Y133" s="12"/>
      <c r="Z133" s="12"/>
      <c r="AA133" s="12"/>
      <c r="AB133" s="12"/>
      <c r="AC133" s="12"/>
      <c r="AD133" s="12"/>
      <c r="AE133" s="12"/>
      <c r="AF133" s="12"/>
      <c r="AG133" s="12"/>
      <c r="AH133" s="12"/>
      <c r="AS133" s="12"/>
      <c r="BC133" s="12"/>
      <c r="BD133" s="12"/>
      <c r="BE133" s="12"/>
      <c r="BF133" s="12"/>
      <c r="BG133" s="12"/>
      <c r="BH133" s="12"/>
      <c r="BI133" s="12"/>
      <c r="BR133" s="12"/>
      <c r="BS133" s="12"/>
      <c r="BT133" s="12"/>
      <c r="BU133" s="12"/>
      <c r="BV133" s="12"/>
    </row>
    <row r="134" ht="11.25" customHeight="1">
      <c r="A134" s="12"/>
      <c r="U134" s="12"/>
      <c r="V134" s="11"/>
      <c r="W134" s="11"/>
      <c r="X134" s="1"/>
      <c r="Y134" s="12"/>
      <c r="Z134" s="12"/>
      <c r="AA134" s="12"/>
      <c r="AB134" s="12"/>
      <c r="AC134" s="12"/>
      <c r="AD134" s="12"/>
      <c r="AE134" s="12"/>
      <c r="AF134" s="12"/>
      <c r="AG134" s="12"/>
      <c r="AH134" s="12"/>
      <c r="AS134" s="12"/>
      <c r="BC134" s="12"/>
      <c r="BD134" s="12"/>
      <c r="BE134" s="12"/>
      <c r="BF134" s="12"/>
      <c r="BG134" s="12"/>
      <c r="BH134" s="12"/>
      <c r="BI134" s="12"/>
      <c r="BR134" s="12"/>
      <c r="BS134" s="12"/>
      <c r="BT134" s="12"/>
      <c r="BU134" s="12"/>
      <c r="BV134" s="12"/>
    </row>
    <row r="135" ht="11.25" customHeight="1">
      <c r="A135" s="12"/>
      <c r="D135" s="383" t="s">
        <v>325</v>
      </c>
      <c r="K135" s="383" t="s">
        <v>326</v>
      </c>
      <c r="U135" s="12"/>
      <c r="V135" s="12"/>
      <c r="W135" s="12"/>
      <c r="X135" s="12"/>
      <c r="Y135" s="12"/>
      <c r="Z135" s="12"/>
      <c r="AA135" s="12"/>
      <c r="AB135" s="12"/>
      <c r="AC135" s="12"/>
      <c r="AD135" s="12"/>
      <c r="AE135" s="12"/>
      <c r="AF135" s="12"/>
      <c r="AG135" s="12"/>
      <c r="AH135" s="12"/>
      <c r="AS135" s="12"/>
      <c r="BC135" s="12"/>
      <c r="BD135" s="12"/>
      <c r="BE135" s="12"/>
      <c r="BF135" s="12"/>
      <c r="BG135" s="12"/>
      <c r="BH135" s="12"/>
      <c r="BI135" s="12"/>
      <c r="BR135" s="12"/>
      <c r="BS135" s="12"/>
      <c r="BT135" s="12"/>
      <c r="BU135" s="12"/>
      <c r="BV135" s="12"/>
    </row>
    <row r="136" ht="11.25" customHeight="1">
      <c r="A136" s="12"/>
      <c r="B136" s="13" t="s">
        <v>327</v>
      </c>
      <c r="D136" s="335">
        <f t="shared" ref="D136:D138" si="38">COUNTIF($K$127:$K$132,B136)</f>
        <v>0</v>
      </c>
      <c r="K136" s="384" t="str">
        <f>IF(D136=1,'Одежда, доспехи и щиты'!T52,'Одежда, доспехи и щиты'!U52)</f>
        <v>2</v>
      </c>
      <c r="U136" s="12"/>
      <c r="V136" s="12"/>
      <c r="W136" s="12"/>
      <c r="X136" s="12"/>
      <c r="Y136" s="12"/>
      <c r="Z136" s="12"/>
      <c r="AA136" s="12"/>
      <c r="AB136" s="12"/>
      <c r="AC136" s="12"/>
      <c r="AD136" s="12"/>
      <c r="AE136" s="12"/>
      <c r="AF136" s="12"/>
      <c r="AG136" s="12"/>
      <c r="AH136" s="12"/>
      <c r="AS136" s="12"/>
      <c r="BC136" s="12"/>
      <c r="BD136" s="12"/>
      <c r="BE136" s="12"/>
      <c r="BF136" s="12"/>
      <c r="BG136" s="12"/>
      <c r="BH136" s="12"/>
      <c r="BI136" s="12"/>
      <c r="BR136" s="12"/>
      <c r="BS136" s="12"/>
      <c r="BT136" s="12"/>
      <c r="BU136" s="12"/>
      <c r="BV136" s="12"/>
    </row>
    <row r="137" ht="11.25" customHeight="1">
      <c r="A137" s="12"/>
      <c r="B137" s="13" t="s">
        <v>328</v>
      </c>
      <c r="D137" s="335">
        <f t="shared" si="38"/>
        <v>0</v>
      </c>
      <c r="K137" s="384" t="str">
        <f>IF(D137=1,'Одежда, доспехи и щиты'!T54,'Одежда, доспехи и щиты'!U54)</f>
        <v>1</v>
      </c>
      <c r="U137" s="12"/>
      <c r="V137" s="12"/>
      <c r="W137" s="12"/>
      <c r="X137" s="12"/>
      <c r="Y137" s="12"/>
      <c r="Z137" s="12"/>
      <c r="AA137" s="12"/>
      <c r="AB137" s="12"/>
      <c r="AC137" s="12"/>
      <c r="AD137" s="12"/>
      <c r="AE137" s="12"/>
      <c r="AF137" s="12"/>
      <c r="AG137" s="12"/>
      <c r="AH137" s="12"/>
      <c r="AS137" s="12"/>
      <c r="BC137" s="12"/>
      <c r="BD137" s="12"/>
      <c r="BE137" s="12"/>
      <c r="BF137" s="12"/>
      <c r="BG137" s="12"/>
      <c r="BH137" s="12"/>
      <c r="BI137" s="12"/>
      <c r="BR137" s="12"/>
      <c r="BS137" s="12"/>
      <c r="BT137" s="12"/>
      <c r="BU137" s="12"/>
      <c r="BV137" s="12"/>
    </row>
    <row r="138" ht="11.25" customHeight="1">
      <c r="A138" s="12"/>
      <c r="B138" s="13" t="s">
        <v>329</v>
      </c>
      <c r="C138" s="12"/>
      <c r="D138" s="335">
        <f t="shared" si="38"/>
        <v>0</v>
      </c>
      <c r="E138" s="12"/>
      <c r="F138" s="12"/>
      <c r="G138" s="12"/>
      <c r="H138" s="12"/>
      <c r="I138" s="12"/>
      <c r="J138" s="12"/>
      <c r="K138" s="384" t="str">
        <f>IF(D138=1,'Одежда, доспехи и щиты'!T56,'Одежда, доспехи и щиты'!U56)</f>
        <v>0</v>
      </c>
      <c r="M138" s="12"/>
      <c r="N138" s="12"/>
      <c r="O138" s="12"/>
      <c r="P138" s="12"/>
      <c r="Q138" s="12"/>
      <c r="R138" s="12"/>
      <c r="S138" s="12"/>
      <c r="T138" s="12"/>
      <c r="U138" s="12"/>
      <c r="V138" s="383"/>
      <c r="W138" s="18"/>
      <c r="X138" s="1"/>
      <c r="Y138" s="12"/>
      <c r="Z138" s="12"/>
      <c r="AA138" s="12"/>
      <c r="AB138" s="12"/>
      <c r="AC138" s="12"/>
      <c r="AD138" s="12"/>
      <c r="AE138" s="12"/>
      <c r="AF138" s="12"/>
      <c r="AG138" s="12"/>
      <c r="AH138" s="12"/>
      <c r="AS138" s="12"/>
      <c r="BC138" s="12"/>
      <c r="BD138" s="12"/>
      <c r="BE138" s="12"/>
      <c r="BF138" s="12"/>
      <c r="BG138" s="12"/>
      <c r="BH138" s="12"/>
      <c r="BI138" s="12"/>
      <c r="BR138" s="12"/>
      <c r="BS138" s="12"/>
      <c r="BT138" s="12"/>
      <c r="BU138" s="12"/>
      <c r="BV138" s="12"/>
    </row>
    <row r="139" ht="11.25" customHeight="1">
      <c r="A139" s="12"/>
      <c r="B139" s="12"/>
      <c r="C139" s="12"/>
      <c r="D139" s="12"/>
      <c r="E139" s="12"/>
      <c r="F139" s="12"/>
      <c r="G139" s="12"/>
      <c r="H139" s="12"/>
      <c r="I139" s="12"/>
      <c r="J139" s="12"/>
      <c r="M139" s="12"/>
      <c r="N139" s="12"/>
      <c r="O139" s="12"/>
      <c r="P139" s="12"/>
      <c r="Q139" s="12"/>
      <c r="R139" s="12"/>
      <c r="S139" s="12"/>
      <c r="T139" s="12"/>
      <c r="U139" s="12"/>
      <c r="V139" s="385"/>
      <c r="W139" s="14"/>
      <c r="X139" s="383"/>
      <c r="Y139" s="12"/>
      <c r="Z139" s="12"/>
      <c r="AA139" s="12"/>
      <c r="AB139" s="12"/>
      <c r="AC139" s="12"/>
      <c r="AD139" s="12"/>
      <c r="AE139" s="12"/>
      <c r="AF139" s="12"/>
      <c r="AG139" s="12"/>
      <c r="AH139" s="12"/>
      <c r="AS139" s="12"/>
      <c r="BC139" s="12"/>
      <c r="BD139" s="12"/>
      <c r="BE139" s="12"/>
      <c r="BF139" s="12"/>
      <c r="BG139" s="12"/>
      <c r="BH139" s="12"/>
      <c r="BI139" s="12"/>
      <c r="BR139" s="12"/>
      <c r="BS139" s="12"/>
      <c r="BT139" s="12"/>
      <c r="BU139" s="12"/>
      <c r="BV139" s="12"/>
    </row>
    <row r="140" ht="11.25" customHeight="1">
      <c r="A140" s="12"/>
      <c r="C140" s="12"/>
      <c r="D140" s="12"/>
      <c r="E140" s="12"/>
      <c r="F140" s="12"/>
      <c r="G140" s="12"/>
      <c r="H140" s="12"/>
      <c r="I140" s="12"/>
      <c r="J140" s="12"/>
      <c r="M140" s="12"/>
      <c r="N140" s="12"/>
      <c r="O140" s="12"/>
      <c r="P140" s="12"/>
      <c r="Q140" s="12"/>
      <c r="R140" s="12"/>
      <c r="S140" s="12"/>
      <c r="T140" s="12"/>
      <c r="U140" s="12"/>
      <c r="V140" s="385"/>
      <c r="W140" s="14"/>
      <c r="X140" s="383"/>
      <c r="Y140" s="12"/>
      <c r="Z140" s="12"/>
      <c r="AA140" s="12"/>
      <c r="AB140" s="12"/>
      <c r="AC140" s="12"/>
      <c r="AD140" s="12"/>
      <c r="AE140" s="12"/>
      <c r="AF140" s="12"/>
      <c r="AG140" s="12"/>
      <c r="AH140" s="12"/>
      <c r="AS140" s="12"/>
      <c r="BC140" s="12"/>
      <c r="BD140" s="12"/>
      <c r="BE140" s="12"/>
      <c r="BF140" s="12"/>
      <c r="BG140" s="12"/>
      <c r="BH140" s="12"/>
      <c r="BI140" s="12"/>
      <c r="BR140" s="12"/>
      <c r="BS140" s="12"/>
      <c r="BT140" s="12"/>
      <c r="BU140" s="12"/>
      <c r="BV140" s="12"/>
    </row>
    <row r="141">
      <c r="A141" s="12"/>
      <c r="B141" s="12"/>
      <c r="C141" s="12"/>
      <c r="D141" s="12"/>
      <c r="E141" s="12"/>
      <c r="F141" s="12"/>
      <c r="G141" s="12"/>
      <c r="H141" s="12"/>
      <c r="I141" s="12"/>
      <c r="J141" s="12"/>
      <c r="M141" s="12"/>
      <c r="N141" s="12"/>
      <c r="O141" s="12"/>
      <c r="P141" s="12"/>
      <c r="Q141" s="12"/>
      <c r="R141" s="12"/>
      <c r="S141" s="12"/>
      <c r="T141" s="12"/>
      <c r="U141" s="12"/>
      <c r="V141" s="385"/>
      <c r="W141" s="14"/>
      <c r="X141" s="383"/>
      <c r="Y141" s="12"/>
      <c r="Z141" s="12"/>
      <c r="AA141" s="12"/>
      <c r="AB141" s="12"/>
      <c r="AC141" s="12"/>
      <c r="AD141" s="12"/>
      <c r="AE141" s="12"/>
      <c r="AF141" s="12"/>
      <c r="AG141" s="12"/>
      <c r="AH141" s="12"/>
      <c r="AS141" s="12"/>
      <c r="BC141" s="12"/>
      <c r="BD141" s="12"/>
      <c r="BE141" s="12"/>
      <c r="BF141" s="12"/>
      <c r="BG141" s="12"/>
      <c r="BH141" s="12"/>
      <c r="BI141" s="12"/>
      <c r="BR141" s="12"/>
      <c r="BS141" s="12"/>
      <c r="BT141" s="12"/>
      <c r="BU141" s="12"/>
      <c r="BV141" s="12"/>
    </row>
    <row r="142">
      <c r="A142" s="12"/>
      <c r="B142" s="12"/>
      <c r="C142" s="12"/>
      <c r="D142" s="12"/>
      <c r="E142" s="12"/>
      <c r="F142" s="12"/>
      <c r="G142" s="12"/>
      <c r="H142" s="12"/>
      <c r="I142" s="12"/>
      <c r="J142" s="12"/>
      <c r="M142" s="12"/>
      <c r="N142" s="12"/>
      <c r="O142" s="12"/>
      <c r="P142" s="12"/>
      <c r="Q142" s="12"/>
      <c r="R142" s="12"/>
      <c r="S142" s="12"/>
      <c r="T142" s="12"/>
      <c r="U142" s="12"/>
      <c r="V142" s="385"/>
      <c r="W142" s="14"/>
      <c r="X142" s="383"/>
      <c r="Y142" s="12"/>
      <c r="Z142" s="12"/>
      <c r="AA142" s="12"/>
      <c r="AB142" s="12"/>
      <c r="AC142" s="12"/>
      <c r="AD142" s="12"/>
      <c r="AE142" s="12"/>
      <c r="AF142" s="12"/>
      <c r="AG142" s="12"/>
      <c r="AH142" s="12"/>
      <c r="AS142" s="12"/>
      <c r="BC142" s="12"/>
      <c r="BD142" s="12"/>
      <c r="BE142" s="12"/>
      <c r="BF142" s="12"/>
      <c r="BG142" s="12"/>
      <c r="BH142" s="12"/>
      <c r="BI142" s="12"/>
      <c r="BR142" s="12"/>
      <c r="BS142" s="12"/>
      <c r="BT142" s="12"/>
      <c r="BU142" s="12"/>
      <c r="BV142" s="12"/>
    </row>
    <row r="143">
      <c r="A143" s="12"/>
      <c r="B143" s="12"/>
      <c r="C143" s="12"/>
      <c r="D143" s="12"/>
      <c r="E143" s="12"/>
      <c r="F143" s="12"/>
      <c r="G143" s="12"/>
      <c r="H143" s="12"/>
      <c r="I143" s="12"/>
      <c r="J143" s="12"/>
      <c r="M143" s="12"/>
      <c r="N143" s="12"/>
      <c r="O143" s="12"/>
      <c r="P143" s="12"/>
      <c r="Q143" s="12"/>
      <c r="R143" s="12"/>
      <c r="S143" s="12"/>
      <c r="T143" s="12"/>
      <c r="U143" s="12"/>
      <c r="V143" s="385"/>
      <c r="W143" s="14"/>
      <c r="X143" s="383"/>
      <c r="Y143" s="12"/>
      <c r="Z143" s="12"/>
      <c r="AA143" s="12"/>
      <c r="AB143" s="12"/>
      <c r="AC143" s="12"/>
      <c r="AD143" s="12"/>
      <c r="AE143" s="12"/>
      <c r="AF143" s="12"/>
      <c r="AG143" s="12"/>
      <c r="AH143" s="12"/>
      <c r="AS143" s="12"/>
      <c r="BC143" s="12"/>
      <c r="BD143" s="12"/>
      <c r="BE143" s="12"/>
      <c r="BF143" s="12"/>
      <c r="BG143" s="12"/>
      <c r="BH143" s="12"/>
      <c r="BI143" s="12"/>
      <c r="BR143" s="12"/>
      <c r="BS143" s="12"/>
      <c r="BT143" s="12"/>
      <c r="BU143" s="12"/>
      <c r="BV143" s="12"/>
    </row>
    <row r="144">
      <c r="A144" s="12"/>
      <c r="B144" s="12"/>
      <c r="C144" s="12"/>
      <c r="D144" s="12"/>
      <c r="E144" s="12"/>
      <c r="F144" s="12"/>
      <c r="G144" s="12"/>
      <c r="H144" s="12"/>
      <c r="I144" s="12"/>
      <c r="J144" s="12"/>
      <c r="M144" s="12"/>
      <c r="N144" s="12"/>
      <c r="O144" s="12"/>
      <c r="P144" s="12"/>
      <c r="Q144" s="12"/>
      <c r="R144" s="12"/>
      <c r="S144" s="12"/>
      <c r="T144" s="12"/>
      <c r="U144" s="12"/>
      <c r="V144" s="385"/>
      <c r="W144" s="14"/>
      <c r="X144" s="12"/>
      <c r="Y144" s="12"/>
      <c r="Z144" s="12"/>
      <c r="AA144" s="12"/>
      <c r="AB144" s="12"/>
      <c r="AC144" s="12"/>
      <c r="AD144" s="12"/>
      <c r="AE144" s="12"/>
      <c r="AF144" s="12"/>
      <c r="AG144" s="12"/>
      <c r="AH144" s="12"/>
      <c r="AS144" s="12"/>
      <c r="BC144" s="12"/>
      <c r="BD144" s="12"/>
      <c r="BE144" s="12"/>
      <c r="BF144" s="12"/>
      <c r="BG144" s="12"/>
      <c r="BH144" s="12"/>
      <c r="BI144" s="12"/>
      <c r="BR144" s="12"/>
      <c r="BS144" s="12"/>
      <c r="BT144" s="12"/>
      <c r="BU144" s="12"/>
      <c r="BV144" s="12"/>
    </row>
    <row r="145">
      <c r="A145" s="12"/>
      <c r="B145" s="12"/>
      <c r="C145" s="12"/>
      <c r="D145" s="12"/>
      <c r="E145" s="12"/>
      <c r="F145" s="12"/>
      <c r="G145" s="12"/>
      <c r="H145" s="12"/>
      <c r="I145" s="12"/>
      <c r="J145" s="12"/>
      <c r="M145" s="12"/>
      <c r="N145" s="12"/>
      <c r="O145" s="12"/>
      <c r="P145" s="12"/>
      <c r="Q145" s="12"/>
      <c r="R145" s="12"/>
      <c r="S145" s="12"/>
      <c r="T145" s="12"/>
      <c r="U145" s="12"/>
      <c r="V145" s="385"/>
      <c r="W145" s="14"/>
      <c r="X145" s="12"/>
      <c r="Y145" s="12"/>
      <c r="Z145" s="12"/>
      <c r="AA145" s="12"/>
      <c r="AB145" s="12"/>
      <c r="AC145" s="12"/>
      <c r="AD145" s="12"/>
      <c r="AE145" s="12"/>
      <c r="AF145" s="12"/>
      <c r="AG145" s="12"/>
      <c r="AH145" s="12"/>
      <c r="AS145" s="12"/>
      <c r="BC145" s="12"/>
      <c r="BD145" s="12"/>
      <c r="BE145" s="12"/>
      <c r="BF145" s="12"/>
      <c r="BG145" s="12"/>
      <c r="BH145" s="12"/>
      <c r="BI145" s="12"/>
      <c r="BR145" s="12"/>
      <c r="BS145" s="12"/>
      <c r="BT145" s="12"/>
      <c r="BU145" s="12"/>
      <c r="BV145" s="12"/>
    </row>
    <row r="146">
      <c r="A146" s="12"/>
      <c r="B146" s="12"/>
      <c r="C146" s="12"/>
      <c r="D146" s="12"/>
      <c r="E146" s="12"/>
      <c r="F146" s="12"/>
      <c r="G146" s="12"/>
      <c r="H146" s="12"/>
      <c r="I146" s="12"/>
      <c r="J146" s="12"/>
      <c r="M146" s="12"/>
      <c r="N146" s="12"/>
      <c r="O146" s="12"/>
      <c r="P146" s="12"/>
      <c r="Q146" s="12"/>
      <c r="R146" s="12"/>
      <c r="S146" s="12"/>
      <c r="T146" s="12"/>
      <c r="U146" s="12"/>
      <c r="V146" s="385"/>
      <c r="W146" s="14"/>
      <c r="X146" s="12"/>
      <c r="Y146" s="12"/>
      <c r="Z146" s="12"/>
      <c r="AA146" s="12"/>
      <c r="AB146" s="12"/>
      <c r="AC146" s="12"/>
      <c r="AD146" s="12"/>
      <c r="AE146" s="12"/>
      <c r="AF146" s="12"/>
      <c r="AG146" s="12"/>
      <c r="AH146" s="12"/>
      <c r="AS146" s="12"/>
      <c r="BC146" s="12"/>
      <c r="BD146" s="12"/>
      <c r="BE146" s="12"/>
      <c r="BF146" s="12"/>
      <c r="BG146" s="12"/>
      <c r="BH146" s="12"/>
      <c r="BI146" s="12"/>
      <c r="BR146" s="12"/>
      <c r="BS146" s="12"/>
      <c r="BT146" s="12"/>
      <c r="BU146" s="12"/>
      <c r="BV146" s="12"/>
    </row>
    <row r="147">
      <c r="A147" s="12"/>
      <c r="B147" s="12"/>
      <c r="C147" s="12"/>
      <c r="D147" s="12"/>
      <c r="E147" s="12"/>
      <c r="F147" s="12"/>
      <c r="G147" s="12"/>
      <c r="H147" s="12"/>
      <c r="I147" s="12"/>
      <c r="J147" s="12"/>
      <c r="M147" s="12"/>
      <c r="N147" s="12"/>
      <c r="O147" s="12"/>
      <c r="P147" s="12"/>
      <c r="Q147" s="12"/>
      <c r="R147" s="12"/>
      <c r="S147" s="12"/>
      <c r="T147" s="12"/>
      <c r="U147" s="12"/>
      <c r="V147" s="1"/>
      <c r="W147" s="1"/>
      <c r="X147" s="12"/>
      <c r="Y147" s="12"/>
      <c r="Z147" s="12"/>
      <c r="AA147" s="12"/>
      <c r="AB147" s="12"/>
      <c r="AC147" s="12"/>
      <c r="AD147" s="12"/>
      <c r="AE147" s="12"/>
      <c r="AF147" s="12"/>
      <c r="AG147" s="12"/>
      <c r="AH147" s="12"/>
      <c r="AS147" s="12"/>
      <c r="BC147" s="12"/>
      <c r="BD147" s="12"/>
      <c r="BE147" s="12"/>
      <c r="BF147" s="12"/>
      <c r="BG147" s="12"/>
      <c r="BH147" s="12"/>
      <c r="BI147" s="12"/>
      <c r="BR147" s="12"/>
      <c r="BS147" s="12"/>
      <c r="BT147" s="12"/>
      <c r="BU147" s="12"/>
      <c r="BV147" s="12"/>
    </row>
    <row r="148">
      <c r="A148" s="12"/>
      <c r="B148" s="12"/>
      <c r="C148" s="12"/>
      <c r="D148" s="12"/>
      <c r="E148" s="12"/>
      <c r="F148" s="12"/>
      <c r="G148" s="12"/>
      <c r="H148" s="12"/>
      <c r="I148" s="12"/>
      <c r="J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S148" s="12"/>
      <c r="BC148" s="12"/>
      <c r="BD148" s="12"/>
      <c r="BE148" s="12"/>
      <c r="BF148" s="12"/>
      <c r="BG148" s="12"/>
      <c r="BH148" s="12"/>
      <c r="BI148" s="12"/>
      <c r="BR148" s="12"/>
      <c r="BS148" s="12"/>
      <c r="BT148" s="12"/>
      <c r="BU148" s="12"/>
      <c r="BV148" s="12"/>
    </row>
    <row r="149">
      <c r="A149" s="12"/>
      <c r="B149" s="12"/>
      <c r="C149" s="12"/>
      <c r="D149" s="12"/>
      <c r="E149" s="12"/>
      <c r="F149" s="12"/>
      <c r="G149" s="12"/>
      <c r="H149" s="12"/>
      <c r="I149" s="12"/>
      <c r="J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S149" s="12"/>
      <c r="BC149" s="12"/>
      <c r="BD149" s="12"/>
      <c r="BE149" s="12"/>
      <c r="BF149" s="12"/>
      <c r="BG149" s="12"/>
      <c r="BH149" s="12"/>
      <c r="BI149" s="12"/>
      <c r="BR149" s="12"/>
      <c r="BS149" s="12"/>
      <c r="BT149" s="12"/>
      <c r="BU149" s="12"/>
      <c r="BV149" s="12"/>
    </row>
    <row r="150">
      <c r="A150" s="12"/>
      <c r="B150" s="12"/>
      <c r="C150" s="12"/>
      <c r="D150" s="12"/>
      <c r="E150" s="12"/>
      <c r="F150" s="12"/>
      <c r="G150" s="12"/>
      <c r="H150" s="12"/>
      <c r="I150" s="12"/>
      <c r="J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S150" s="12"/>
      <c r="BC150" s="12"/>
      <c r="BD150" s="12"/>
      <c r="BE150" s="12"/>
      <c r="BF150" s="12"/>
      <c r="BG150" s="12"/>
      <c r="BH150" s="12"/>
      <c r="BI150" s="12"/>
      <c r="BR150" s="12"/>
      <c r="BS150" s="12"/>
      <c r="BT150" s="12"/>
      <c r="BU150" s="12"/>
      <c r="BV150" s="12"/>
    </row>
    <row r="151">
      <c r="A151" s="12"/>
      <c r="B151" s="12"/>
      <c r="C151" s="12"/>
      <c r="D151" s="12"/>
      <c r="E151" s="12"/>
      <c r="F151" s="12"/>
      <c r="G151" s="12"/>
      <c r="H151" s="12"/>
      <c r="I151" s="12"/>
      <c r="J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S151" s="12"/>
      <c r="BC151" s="12"/>
      <c r="BD151" s="12"/>
      <c r="BE151" s="12"/>
      <c r="BF151" s="12"/>
      <c r="BG151" s="12"/>
      <c r="BH151" s="12"/>
      <c r="BI151" s="12"/>
      <c r="BR151" s="12"/>
      <c r="BS151" s="12"/>
      <c r="BT151" s="12"/>
      <c r="BU151" s="12"/>
      <c r="BV151" s="12"/>
    </row>
    <row r="152">
      <c r="A152" s="12"/>
      <c r="B152" s="12"/>
      <c r="C152" s="12"/>
      <c r="D152" s="12"/>
      <c r="E152" s="12"/>
      <c r="F152" s="12"/>
      <c r="G152" s="12"/>
      <c r="H152" s="12"/>
      <c r="I152" s="12"/>
      <c r="J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S152" s="12"/>
      <c r="BC152" s="12"/>
      <c r="BD152" s="12"/>
      <c r="BE152" s="12"/>
      <c r="BF152" s="12"/>
      <c r="BG152" s="12"/>
      <c r="BH152" s="12"/>
      <c r="BI152" s="12"/>
      <c r="BR152" s="12"/>
      <c r="BS152" s="12"/>
      <c r="BT152" s="12"/>
      <c r="BU152" s="12"/>
      <c r="BV152" s="12"/>
    </row>
    <row r="153">
      <c r="A153" s="12"/>
      <c r="B153" s="12"/>
      <c r="C153" s="12"/>
      <c r="D153" s="12"/>
      <c r="E153" s="12"/>
      <c r="F153" s="12"/>
      <c r="G153" s="12"/>
      <c r="H153" s="12"/>
      <c r="I153" s="12"/>
      <c r="J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S153" s="12"/>
      <c r="BC153" s="12"/>
      <c r="BD153" s="12"/>
      <c r="BE153" s="12"/>
      <c r="BF153" s="12"/>
      <c r="BG153" s="12"/>
      <c r="BH153" s="12"/>
      <c r="BI153" s="12"/>
      <c r="BR153" s="12"/>
      <c r="BS153" s="12"/>
      <c r="BT153" s="12"/>
      <c r="BU153" s="12"/>
      <c r="BV153" s="12"/>
    </row>
    <row r="154">
      <c r="A154" s="12"/>
      <c r="B154" s="12"/>
      <c r="C154" s="12"/>
      <c r="D154" s="12"/>
      <c r="E154" s="12"/>
      <c r="F154" s="12"/>
      <c r="G154" s="12"/>
      <c r="H154" s="12"/>
      <c r="I154" s="12"/>
      <c r="J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S154" s="12"/>
      <c r="BC154" s="12"/>
      <c r="BD154" s="12"/>
      <c r="BE154" s="12"/>
      <c r="BF154" s="12"/>
      <c r="BG154" s="12"/>
      <c r="BH154" s="12"/>
      <c r="BI154" s="12"/>
      <c r="BR154" s="12"/>
      <c r="BS154" s="12"/>
      <c r="BT154" s="12"/>
      <c r="BU154" s="12"/>
      <c r="BV154" s="12"/>
    </row>
    <row r="155">
      <c r="A155" s="12"/>
      <c r="B155" s="12"/>
      <c r="C155" s="12"/>
      <c r="D155" s="12"/>
      <c r="E155" s="12"/>
      <c r="F155" s="12"/>
      <c r="G155" s="12"/>
      <c r="H155" s="12"/>
      <c r="I155" s="12"/>
      <c r="J155" s="12"/>
      <c r="M155" s="12"/>
      <c r="N155" s="12"/>
      <c r="O155" s="12"/>
      <c r="P155" s="12"/>
      <c r="Q155" s="12"/>
      <c r="R155" s="12"/>
      <c r="S155" s="12"/>
      <c r="T155" s="12"/>
      <c r="U155" s="12"/>
      <c r="V155" s="20"/>
      <c r="W155" s="20"/>
      <c r="X155" s="20"/>
      <c r="Y155" s="20"/>
      <c r="Z155" s="12"/>
      <c r="AA155" s="12"/>
      <c r="AB155" s="12"/>
      <c r="AC155" s="12"/>
      <c r="AD155" s="12"/>
      <c r="AE155" s="12"/>
      <c r="AF155" s="12"/>
      <c r="AG155" s="12"/>
      <c r="AH155" s="12"/>
      <c r="AS155" s="12"/>
      <c r="BC155" s="12"/>
      <c r="BD155" s="12"/>
      <c r="BE155" s="12"/>
      <c r="BF155" s="12"/>
      <c r="BG155" s="12"/>
      <c r="BH155" s="12"/>
      <c r="BI155" s="12"/>
      <c r="BR155" s="12"/>
      <c r="BS155" s="12"/>
      <c r="BT155" s="12"/>
      <c r="BU155" s="12"/>
      <c r="BV155" s="12"/>
    </row>
    <row r="156">
      <c r="A156" s="12"/>
      <c r="B156" s="12"/>
      <c r="C156" s="12"/>
      <c r="D156" s="12"/>
      <c r="E156" s="12"/>
      <c r="F156" s="12"/>
      <c r="G156" s="12"/>
      <c r="H156" s="12"/>
      <c r="I156" s="12"/>
      <c r="J156" s="12"/>
      <c r="M156" s="12"/>
      <c r="N156" s="12"/>
      <c r="O156" s="12"/>
      <c r="P156" s="12"/>
      <c r="Q156" s="12"/>
      <c r="R156" s="12"/>
      <c r="S156" s="12"/>
      <c r="T156" s="12"/>
      <c r="U156" s="12"/>
      <c r="V156" s="386"/>
      <c r="W156" s="386"/>
      <c r="X156" s="386"/>
      <c r="Y156" s="386"/>
      <c r="Z156" s="12"/>
      <c r="AA156" s="12"/>
      <c r="AB156" s="12"/>
      <c r="AC156" s="12"/>
      <c r="AD156" s="12"/>
      <c r="AE156" s="12"/>
      <c r="AF156" s="12"/>
      <c r="AG156" s="12"/>
      <c r="AH156" s="12"/>
      <c r="AS156" s="12"/>
      <c r="BC156" s="12"/>
      <c r="BD156" s="12"/>
      <c r="BE156" s="12"/>
      <c r="BF156" s="12"/>
      <c r="BG156" s="12"/>
      <c r="BH156" s="12"/>
      <c r="BI156" s="12"/>
      <c r="BR156" s="12"/>
      <c r="BS156" s="12"/>
      <c r="BT156" s="12"/>
      <c r="BU156" s="12"/>
      <c r="BV156" s="12"/>
    </row>
    <row r="157">
      <c r="A157" s="12"/>
      <c r="B157" s="12"/>
      <c r="C157" s="12"/>
      <c r="D157" s="12"/>
      <c r="E157" s="12"/>
      <c r="F157" s="12"/>
      <c r="G157" s="12"/>
      <c r="H157" s="12"/>
      <c r="I157" s="12"/>
      <c r="J157" s="12"/>
      <c r="M157" s="12"/>
      <c r="N157" s="12"/>
      <c r="O157" s="12"/>
      <c r="P157" s="12"/>
      <c r="Q157" s="12"/>
      <c r="R157" s="12"/>
      <c r="S157" s="12"/>
      <c r="T157" s="12"/>
      <c r="U157" s="12"/>
      <c r="V157" s="386"/>
      <c r="W157" s="386"/>
      <c r="X157" s="386"/>
      <c r="Y157" s="386"/>
      <c r="Z157" s="12"/>
      <c r="AA157" s="12"/>
      <c r="AB157" s="12"/>
      <c r="AC157" s="12"/>
      <c r="AD157" s="12"/>
      <c r="AE157" s="12"/>
      <c r="AF157" s="12"/>
      <c r="AG157" s="12"/>
      <c r="AH157" s="12"/>
      <c r="AS157" s="12"/>
      <c r="BC157" s="12"/>
      <c r="BD157" s="12"/>
      <c r="BE157" s="12"/>
      <c r="BF157" s="12"/>
      <c r="BG157" s="12"/>
      <c r="BH157" s="12"/>
      <c r="BI157" s="12"/>
      <c r="BR157" s="12"/>
      <c r="BS157" s="12"/>
      <c r="BT157" s="12"/>
      <c r="BU157" s="12"/>
      <c r="BV157" s="12"/>
    </row>
    <row r="158">
      <c r="A158" s="12"/>
      <c r="B158" s="12"/>
      <c r="C158" s="12"/>
      <c r="D158" s="12"/>
      <c r="E158" s="12"/>
      <c r="F158" s="12"/>
      <c r="G158" s="12"/>
      <c r="H158" s="12"/>
      <c r="I158" s="12"/>
      <c r="J158" s="12"/>
      <c r="M158" s="12"/>
      <c r="N158" s="12"/>
      <c r="O158" s="12"/>
      <c r="P158" s="12"/>
      <c r="Q158" s="12"/>
      <c r="R158" s="12"/>
      <c r="S158" s="12"/>
      <c r="T158" s="12"/>
      <c r="U158" s="12"/>
      <c r="V158" s="386"/>
      <c r="W158" s="386"/>
      <c r="X158" s="386"/>
      <c r="Y158" s="386"/>
      <c r="Z158" s="12"/>
      <c r="AA158" s="12"/>
      <c r="AB158" s="12"/>
      <c r="AC158" s="12"/>
      <c r="AD158" s="12"/>
      <c r="AE158" s="12"/>
      <c r="AF158" s="12"/>
      <c r="AG158" s="12"/>
      <c r="AH158" s="12"/>
      <c r="AS158" s="12"/>
      <c r="BC158" s="12"/>
      <c r="BD158" s="12"/>
      <c r="BE158" s="12"/>
      <c r="BF158" s="12"/>
      <c r="BG158" s="12"/>
      <c r="BH158" s="12"/>
      <c r="BI158" s="12"/>
      <c r="BR158" s="12"/>
      <c r="BS158" s="12"/>
      <c r="BT158" s="12"/>
      <c r="BU158" s="12"/>
      <c r="BV158" s="12"/>
    </row>
    <row r="159">
      <c r="A159" s="12"/>
      <c r="B159" s="12"/>
      <c r="C159" s="12"/>
      <c r="D159" s="12"/>
      <c r="E159" s="12"/>
      <c r="F159" s="12"/>
      <c r="G159" s="12"/>
      <c r="H159" s="12"/>
      <c r="I159" s="12"/>
      <c r="J159" s="12"/>
      <c r="M159" s="12"/>
      <c r="N159" s="12"/>
      <c r="O159" s="12"/>
      <c r="P159" s="12"/>
      <c r="Q159" s="12"/>
      <c r="R159" s="12"/>
      <c r="S159" s="12"/>
      <c r="T159" s="12"/>
      <c r="U159" s="12"/>
      <c r="V159" s="386"/>
      <c r="W159" s="386"/>
      <c r="X159" s="386"/>
      <c r="Y159" s="386"/>
      <c r="Z159" s="12"/>
      <c r="AA159" s="12"/>
      <c r="AB159" s="12"/>
      <c r="AC159" s="12"/>
      <c r="AD159" s="12"/>
      <c r="AE159" s="12"/>
      <c r="AF159" s="12"/>
      <c r="AG159" s="12"/>
      <c r="AH159" s="12"/>
      <c r="AS159" s="12"/>
      <c r="BC159" s="12"/>
      <c r="BD159" s="12"/>
      <c r="BE159" s="12"/>
      <c r="BF159" s="12"/>
      <c r="BG159" s="12"/>
      <c r="BH159" s="12"/>
      <c r="BI159" s="12"/>
      <c r="BR159" s="12"/>
      <c r="BS159" s="12"/>
      <c r="BT159" s="12"/>
      <c r="BU159" s="12"/>
      <c r="BV159" s="12"/>
    </row>
    <row r="160">
      <c r="A160" s="12"/>
      <c r="B160" s="12"/>
      <c r="C160" s="12"/>
      <c r="D160" s="12"/>
      <c r="E160" s="12"/>
      <c r="F160" s="12"/>
      <c r="G160" s="12"/>
      <c r="H160" s="12"/>
      <c r="I160" s="12"/>
      <c r="J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S160" s="12"/>
      <c r="BC160" s="12"/>
      <c r="BD160" s="12"/>
      <c r="BE160" s="12"/>
      <c r="BF160" s="12"/>
      <c r="BG160" s="12"/>
      <c r="BH160" s="12"/>
      <c r="BI160" s="12"/>
      <c r="BR160" s="12"/>
      <c r="BS160" s="12"/>
      <c r="BT160" s="12"/>
      <c r="BU160" s="12"/>
      <c r="BV160" s="12"/>
    </row>
    <row r="161">
      <c r="A161" s="12"/>
      <c r="B161" s="12"/>
      <c r="C161" s="12"/>
      <c r="D161" s="12"/>
      <c r="E161" s="12"/>
      <c r="F161" s="12"/>
      <c r="G161" s="12"/>
      <c r="H161" s="12"/>
      <c r="I161" s="12"/>
      <c r="J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S161" s="12"/>
      <c r="BC161" s="12"/>
      <c r="BD161" s="12"/>
      <c r="BE161" s="12"/>
      <c r="BF161" s="12"/>
      <c r="BG161" s="12"/>
      <c r="BH161" s="12"/>
      <c r="BI161" s="12"/>
      <c r="BR161" s="12"/>
      <c r="BS161" s="12"/>
      <c r="BT161" s="12"/>
      <c r="BU161" s="12"/>
      <c r="BV161" s="12"/>
    </row>
    <row r="162">
      <c r="A162" s="12"/>
      <c r="B162" s="12"/>
      <c r="C162" s="12"/>
      <c r="D162" s="12"/>
      <c r="E162" s="12"/>
      <c r="F162" s="12"/>
      <c r="G162" s="12"/>
      <c r="H162" s="12"/>
      <c r="I162" s="12"/>
      <c r="J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S162" s="12"/>
      <c r="BC162" s="12"/>
      <c r="BD162" s="12"/>
      <c r="BE162" s="12"/>
      <c r="BF162" s="12"/>
      <c r="BG162" s="12"/>
      <c r="BH162" s="12"/>
      <c r="BI162" s="12"/>
      <c r="BR162" s="12"/>
      <c r="BS162" s="12"/>
      <c r="BT162" s="12"/>
      <c r="BU162" s="12"/>
      <c r="BV162" s="12"/>
    </row>
    <row r="163">
      <c r="A163" s="12"/>
      <c r="B163" s="12"/>
      <c r="C163" s="12"/>
      <c r="D163" s="12"/>
      <c r="E163" s="12"/>
      <c r="F163" s="12"/>
      <c r="G163" s="12"/>
      <c r="H163" s="12"/>
      <c r="I163" s="12"/>
      <c r="J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S163" s="12"/>
      <c r="BC163" s="12"/>
      <c r="BD163" s="12"/>
      <c r="BE163" s="12"/>
      <c r="BF163" s="12"/>
      <c r="BG163" s="12"/>
      <c r="BH163" s="12"/>
      <c r="BI163" s="12"/>
      <c r="BR163" s="12"/>
      <c r="BS163" s="12"/>
      <c r="BT163" s="12"/>
      <c r="BU163" s="12"/>
      <c r="BV163" s="12"/>
    </row>
    <row r="164">
      <c r="A164" s="12"/>
      <c r="B164" s="12"/>
      <c r="C164" s="12"/>
      <c r="D164" s="12"/>
      <c r="E164" s="12"/>
      <c r="F164" s="12"/>
      <c r="G164" s="12"/>
      <c r="H164" s="12"/>
      <c r="I164" s="12"/>
      <c r="J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S164" s="12"/>
      <c r="BC164" s="12"/>
      <c r="BD164" s="12"/>
      <c r="BE164" s="12"/>
      <c r="BF164" s="12"/>
      <c r="BG164" s="12"/>
      <c r="BH164" s="12"/>
      <c r="BI164" s="12"/>
      <c r="BR164" s="12"/>
      <c r="BS164" s="12"/>
      <c r="BT164" s="12"/>
      <c r="BU164" s="12"/>
      <c r="BV164" s="12"/>
    </row>
    <row r="165">
      <c r="A165" s="12"/>
      <c r="B165" s="12"/>
      <c r="C165" s="12"/>
      <c r="D165" s="12"/>
      <c r="E165" s="12"/>
      <c r="F165" s="12"/>
      <c r="G165" s="12"/>
      <c r="H165" s="12"/>
      <c r="I165" s="12"/>
      <c r="J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S165" s="12"/>
      <c r="BC165" s="12"/>
      <c r="BD165" s="12"/>
      <c r="BE165" s="12"/>
      <c r="BF165" s="12"/>
      <c r="BG165" s="12"/>
      <c r="BH165" s="12"/>
      <c r="BI165" s="12"/>
      <c r="BR165" s="12"/>
      <c r="BS165" s="12"/>
      <c r="BT165" s="12"/>
      <c r="BU165" s="12"/>
      <c r="BV165" s="12"/>
    </row>
    <row r="166">
      <c r="A166" s="12"/>
      <c r="B166" s="12"/>
      <c r="C166" s="12"/>
      <c r="D166" s="12"/>
      <c r="E166" s="12"/>
      <c r="F166" s="12"/>
      <c r="G166" s="12"/>
      <c r="H166" s="12"/>
      <c r="I166" s="12"/>
      <c r="J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S166" s="12"/>
      <c r="BC166" s="12"/>
      <c r="BD166" s="12"/>
      <c r="BE166" s="12"/>
      <c r="BF166" s="12"/>
      <c r="BG166" s="12"/>
      <c r="BH166" s="12"/>
      <c r="BI166" s="12"/>
      <c r="BR166" s="12"/>
      <c r="BS166" s="12"/>
      <c r="BT166" s="12"/>
      <c r="BU166" s="12"/>
      <c r="BV166" s="12"/>
    </row>
    <row r="167">
      <c r="A167" s="12"/>
      <c r="B167" s="12"/>
      <c r="C167" s="12"/>
      <c r="D167" s="12"/>
      <c r="E167" s="12"/>
      <c r="F167" s="12"/>
      <c r="G167" s="12"/>
      <c r="H167" s="12"/>
      <c r="I167" s="12"/>
      <c r="J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S167" s="12"/>
      <c r="BC167" s="12"/>
      <c r="BD167" s="12"/>
      <c r="BE167" s="12"/>
      <c r="BF167" s="12"/>
      <c r="BG167" s="12"/>
      <c r="BH167" s="12"/>
      <c r="BI167" s="12"/>
      <c r="BR167" s="12"/>
      <c r="BS167" s="12"/>
      <c r="BT167" s="12"/>
      <c r="BU167" s="12"/>
      <c r="BV167" s="12"/>
    </row>
    <row r="168">
      <c r="A168" s="12"/>
      <c r="B168" s="12"/>
      <c r="C168" s="12"/>
      <c r="D168" s="12"/>
      <c r="E168" s="12"/>
      <c r="F168" s="12"/>
      <c r="G168" s="12"/>
      <c r="H168" s="12"/>
      <c r="I168" s="12"/>
      <c r="J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S168" s="12"/>
      <c r="BC168" s="12"/>
      <c r="BD168" s="12"/>
      <c r="BE168" s="12"/>
      <c r="BF168" s="12"/>
      <c r="BG168" s="12"/>
      <c r="BH168" s="12"/>
      <c r="BI168" s="12"/>
      <c r="BR168" s="12"/>
      <c r="BS168" s="12"/>
      <c r="BT168" s="12"/>
      <c r="BU168" s="12"/>
      <c r="BV168" s="12"/>
    </row>
    <row r="169">
      <c r="A169" s="12"/>
      <c r="B169" s="12"/>
      <c r="C169" s="12"/>
      <c r="D169" s="12"/>
      <c r="E169" s="12"/>
      <c r="F169" s="12"/>
      <c r="G169" s="12"/>
      <c r="H169" s="12"/>
      <c r="I169" s="12"/>
      <c r="J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S169" s="12"/>
      <c r="BC169" s="12"/>
      <c r="BD169" s="12"/>
      <c r="BE169" s="12"/>
      <c r="BF169" s="12"/>
      <c r="BG169" s="12"/>
      <c r="BH169" s="12"/>
      <c r="BI169" s="12"/>
      <c r="BR169" s="12"/>
      <c r="BS169" s="12"/>
      <c r="BT169" s="12"/>
      <c r="BU169" s="12"/>
      <c r="BV169" s="12"/>
    </row>
    <row r="170">
      <c r="A170" s="12"/>
      <c r="B170" s="12"/>
      <c r="C170" s="12"/>
      <c r="D170" s="12"/>
      <c r="E170" s="12"/>
      <c r="F170" s="12"/>
      <c r="G170" s="12"/>
      <c r="H170" s="12"/>
      <c r="I170" s="12"/>
      <c r="J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S170" s="12"/>
      <c r="BC170" s="12"/>
      <c r="BD170" s="12"/>
      <c r="BE170" s="12"/>
      <c r="BF170" s="12"/>
      <c r="BG170" s="12"/>
      <c r="BH170" s="12"/>
      <c r="BI170" s="12"/>
      <c r="BR170" s="12"/>
      <c r="BS170" s="12"/>
      <c r="BT170" s="12"/>
      <c r="BU170" s="12"/>
      <c r="BV170" s="12"/>
    </row>
    <row r="171">
      <c r="A171" s="12"/>
      <c r="B171" s="12"/>
      <c r="C171" s="12"/>
      <c r="D171" s="12"/>
      <c r="E171" s="12"/>
      <c r="F171" s="12"/>
      <c r="G171" s="12"/>
      <c r="H171" s="12"/>
      <c r="I171" s="12"/>
      <c r="J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S171" s="12"/>
      <c r="BC171" s="12"/>
      <c r="BD171" s="12"/>
      <c r="BE171" s="12"/>
      <c r="BF171" s="12"/>
      <c r="BG171" s="12"/>
      <c r="BH171" s="12"/>
      <c r="BI171" s="12"/>
      <c r="BR171" s="12"/>
      <c r="BS171" s="12"/>
      <c r="BT171" s="12"/>
      <c r="BU171" s="12"/>
      <c r="BV171" s="12"/>
    </row>
    <row r="172">
      <c r="A172" s="12"/>
      <c r="B172" s="12"/>
      <c r="C172" s="12"/>
      <c r="D172" s="12"/>
      <c r="E172" s="12"/>
      <c r="F172" s="12"/>
      <c r="G172" s="12"/>
      <c r="H172" s="12"/>
      <c r="I172" s="12"/>
      <c r="J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S172" s="12"/>
      <c r="BC172" s="12"/>
      <c r="BD172" s="12"/>
      <c r="BE172" s="12"/>
      <c r="BF172" s="12"/>
      <c r="BG172" s="12"/>
      <c r="BH172" s="12"/>
      <c r="BI172" s="12"/>
      <c r="BR172" s="12"/>
      <c r="BS172" s="12"/>
      <c r="BT172" s="12"/>
      <c r="BU172" s="12"/>
      <c r="BV172" s="12"/>
    </row>
    <row r="173">
      <c r="A173" s="12"/>
      <c r="B173" s="12"/>
      <c r="C173" s="12"/>
      <c r="D173" s="12"/>
      <c r="E173" s="12"/>
      <c r="F173" s="12"/>
      <c r="G173" s="12"/>
      <c r="H173" s="12"/>
      <c r="I173" s="12"/>
      <c r="J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S173" s="12"/>
      <c r="BC173" s="12"/>
      <c r="BD173" s="12"/>
      <c r="BE173" s="12"/>
      <c r="BF173" s="12"/>
      <c r="BG173" s="12"/>
      <c r="BH173" s="12"/>
      <c r="BI173" s="12"/>
      <c r="BR173" s="12"/>
      <c r="BS173" s="12"/>
      <c r="BT173" s="12"/>
      <c r="BU173" s="12"/>
      <c r="BV173" s="12"/>
    </row>
    <row r="174">
      <c r="A174" s="12"/>
      <c r="B174" s="12"/>
      <c r="C174" s="12"/>
      <c r="D174" s="12"/>
      <c r="E174" s="12"/>
      <c r="F174" s="12"/>
      <c r="G174" s="12"/>
      <c r="H174" s="12"/>
      <c r="I174" s="12"/>
      <c r="J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S174" s="12"/>
      <c r="BC174" s="12"/>
      <c r="BD174" s="12"/>
      <c r="BE174" s="12"/>
      <c r="BF174" s="12"/>
      <c r="BG174" s="12"/>
      <c r="BH174" s="12"/>
      <c r="BI174" s="12"/>
      <c r="BR174" s="12"/>
      <c r="BS174" s="12"/>
      <c r="BT174" s="12"/>
      <c r="BU174" s="12"/>
      <c r="BV174" s="12"/>
    </row>
    <row r="175">
      <c r="A175" s="12"/>
      <c r="B175" s="12"/>
      <c r="C175" s="12"/>
      <c r="D175" s="12"/>
      <c r="E175" s="12"/>
      <c r="F175" s="12"/>
      <c r="G175" s="12"/>
      <c r="H175" s="12"/>
      <c r="I175" s="12"/>
      <c r="J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S175" s="12"/>
      <c r="BC175" s="12"/>
      <c r="BD175" s="12"/>
      <c r="BE175" s="12"/>
      <c r="BF175" s="12"/>
      <c r="BG175" s="12"/>
      <c r="BH175" s="12"/>
      <c r="BI175" s="12"/>
      <c r="BR175" s="12"/>
      <c r="BS175" s="12"/>
      <c r="BT175" s="12"/>
      <c r="BU175" s="12"/>
      <c r="BV175" s="12"/>
    </row>
    <row r="176">
      <c r="A176" s="12"/>
      <c r="B176" s="12"/>
      <c r="C176" s="12"/>
      <c r="D176" s="12"/>
      <c r="E176" s="12"/>
      <c r="F176" s="12"/>
      <c r="G176" s="12"/>
      <c r="H176" s="12"/>
      <c r="I176" s="12"/>
      <c r="J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S176" s="12"/>
      <c r="BC176" s="12"/>
      <c r="BD176" s="12"/>
      <c r="BE176" s="12"/>
      <c r="BF176" s="12"/>
      <c r="BG176" s="12"/>
      <c r="BH176" s="12"/>
      <c r="BI176" s="12"/>
      <c r="BR176" s="12"/>
      <c r="BS176" s="12"/>
      <c r="BT176" s="12"/>
      <c r="BU176" s="12"/>
      <c r="BV176" s="12"/>
    </row>
    <row r="177">
      <c r="A177" s="12"/>
      <c r="B177" s="12"/>
      <c r="C177" s="12"/>
      <c r="D177" s="12"/>
      <c r="E177" s="12"/>
      <c r="F177" s="12"/>
      <c r="G177" s="12"/>
      <c r="H177" s="12"/>
      <c r="I177" s="12"/>
      <c r="J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S177" s="12"/>
      <c r="BC177" s="12"/>
      <c r="BD177" s="12"/>
      <c r="BE177" s="12"/>
      <c r="BF177" s="12"/>
      <c r="BG177" s="12"/>
      <c r="BH177" s="12"/>
      <c r="BI177" s="12"/>
      <c r="BR177" s="12"/>
      <c r="BS177" s="12"/>
      <c r="BT177" s="12"/>
      <c r="BU177" s="12"/>
      <c r="BV177" s="12"/>
    </row>
    <row r="178">
      <c r="A178" s="12"/>
      <c r="B178" s="12"/>
      <c r="C178" s="12"/>
      <c r="D178" s="12"/>
      <c r="E178" s="12"/>
      <c r="F178" s="12"/>
      <c r="G178" s="12"/>
      <c r="H178" s="12"/>
      <c r="I178" s="12"/>
      <c r="J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S178" s="12"/>
      <c r="BC178" s="12"/>
      <c r="BD178" s="12"/>
      <c r="BE178" s="12"/>
      <c r="BF178" s="12"/>
      <c r="BG178" s="12"/>
      <c r="BH178" s="12"/>
      <c r="BI178" s="12"/>
      <c r="BR178" s="12"/>
      <c r="BS178" s="12"/>
      <c r="BT178" s="12"/>
      <c r="BU178" s="12"/>
      <c r="BV178" s="12"/>
    </row>
    <row r="179">
      <c r="A179" s="12"/>
      <c r="B179" s="12"/>
      <c r="C179" s="12"/>
      <c r="D179" s="12"/>
      <c r="E179" s="12"/>
      <c r="F179" s="12"/>
      <c r="G179" s="12"/>
      <c r="H179" s="12"/>
      <c r="I179" s="12"/>
      <c r="J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S179" s="12"/>
      <c r="BC179" s="12"/>
      <c r="BD179" s="12"/>
      <c r="BE179" s="12"/>
      <c r="BF179" s="12"/>
      <c r="BG179" s="12"/>
      <c r="BH179" s="12"/>
      <c r="BI179" s="12"/>
      <c r="BR179" s="12"/>
      <c r="BS179" s="12"/>
      <c r="BT179" s="12"/>
      <c r="BU179" s="12"/>
      <c r="BV179" s="12"/>
    </row>
    <row r="180">
      <c r="A180" s="12"/>
      <c r="B180" s="12"/>
      <c r="C180" s="12"/>
      <c r="D180" s="12"/>
      <c r="E180" s="12"/>
      <c r="F180" s="12"/>
      <c r="G180" s="12"/>
      <c r="H180" s="12"/>
      <c r="I180" s="12"/>
      <c r="J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S180" s="12"/>
      <c r="BC180" s="12"/>
      <c r="BD180" s="12"/>
      <c r="BE180" s="12"/>
      <c r="BF180" s="12"/>
      <c r="BG180" s="12"/>
      <c r="BH180" s="12"/>
      <c r="BI180" s="12"/>
      <c r="BR180" s="12"/>
      <c r="BS180" s="12"/>
      <c r="BT180" s="12"/>
      <c r="BU180" s="12"/>
      <c r="BV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S181" s="12"/>
      <c r="BC181" s="12"/>
      <c r="BD181" s="12"/>
      <c r="BE181" s="12"/>
      <c r="BF181" s="12"/>
      <c r="BG181" s="12"/>
      <c r="BH181" s="12"/>
      <c r="BI181" s="12"/>
      <c r="BR181" s="12"/>
      <c r="BS181" s="12"/>
      <c r="BT181" s="12"/>
      <c r="BU181" s="12"/>
      <c r="BV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S182" s="12"/>
      <c r="BC182" s="12"/>
      <c r="BD182" s="12"/>
      <c r="BE182" s="12"/>
      <c r="BF182" s="12"/>
      <c r="BG182" s="12"/>
      <c r="BH182" s="12"/>
      <c r="BI182" s="12"/>
      <c r="BR182" s="12"/>
      <c r="BS182" s="12"/>
      <c r="BT182" s="12"/>
      <c r="BU182" s="12"/>
      <c r="BV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S183" s="12"/>
      <c r="BC183" s="12"/>
      <c r="BD183" s="12"/>
      <c r="BE183" s="12"/>
      <c r="BF183" s="12"/>
      <c r="BG183" s="12"/>
      <c r="BH183" s="12"/>
      <c r="BI183" s="12"/>
      <c r="BR183" s="12"/>
      <c r="BS183" s="12"/>
      <c r="BT183" s="12"/>
      <c r="BU183" s="12"/>
      <c r="BV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S184" s="12"/>
      <c r="BC184" s="12"/>
      <c r="BD184" s="12"/>
      <c r="BE184" s="12"/>
      <c r="BF184" s="12"/>
      <c r="BG184" s="12"/>
      <c r="BH184" s="12"/>
      <c r="BI184" s="12"/>
      <c r="BR184" s="12"/>
      <c r="BS184" s="12"/>
      <c r="BT184" s="12"/>
      <c r="BU184" s="12"/>
      <c r="BV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S185" s="12"/>
      <c r="BC185" s="12"/>
      <c r="BD185" s="12"/>
      <c r="BE185" s="12"/>
      <c r="BF185" s="12"/>
      <c r="BG185" s="12"/>
      <c r="BH185" s="12"/>
      <c r="BI185" s="12"/>
      <c r="BR185" s="12"/>
      <c r="BS185" s="12"/>
      <c r="BT185" s="12"/>
      <c r="BU185" s="12"/>
      <c r="BV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S186" s="12"/>
      <c r="BC186" s="12"/>
      <c r="BD186" s="12"/>
      <c r="BE186" s="12"/>
      <c r="BF186" s="12"/>
      <c r="BG186" s="12"/>
      <c r="BH186" s="12"/>
      <c r="BI186" s="12"/>
      <c r="BR186" s="12"/>
      <c r="BS186" s="12"/>
      <c r="BT186" s="12"/>
      <c r="BU186" s="12"/>
      <c r="BV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S187" s="12"/>
      <c r="BC187" s="12"/>
      <c r="BD187" s="12"/>
      <c r="BE187" s="12"/>
      <c r="BF187" s="12"/>
      <c r="BG187" s="12"/>
      <c r="BH187" s="12"/>
      <c r="BI187" s="12"/>
      <c r="BR187" s="12"/>
      <c r="BS187" s="12"/>
      <c r="BT187" s="12"/>
      <c r="BU187" s="12"/>
      <c r="BV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S188" s="12"/>
      <c r="BC188" s="12"/>
      <c r="BD188" s="12"/>
      <c r="BE188" s="12"/>
      <c r="BF188" s="12"/>
      <c r="BG188" s="12"/>
      <c r="BH188" s="12"/>
      <c r="BI188" s="12"/>
      <c r="BR188" s="12"/>
      <c r="BS188" s="12"/>
      <c r="BT188" s="12"/>
      <c r="BU188" s="12"/>
      <c r="BV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S189" s="12"/>
      <c r="BC189" s="12"/>
      <c r="BD189" s="12"/>
      <c r="BE189" s="12"/>
      <c r="BF189" s="12"/>
      <c r="BG189" s="12"/>
      <c r="BH189" s="12"/>
      <c r="BI189" s="12"/>
      <c r="BR189" s="12"/>
      <c r="BS189" s="12"/>
      <c r="BT189" s="12"/>
      <c r="BU189" s="12"/>
      <c r="BV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S190" s="12"/>
      <c r="BC190" s="12"/>
      <c r="BD190" s="12"/>
      <c r="BE190" s="12"/>
      <c r="BF190" s="12"/>
      <c r="BG190" s="12"/>
      <c r="BH190" s="12"/>
      <c r="BI190" s="12"/>
      <c r="BR190" s="12"/>
      <c r="BS190" s="12"/>
      <c r="BT190" s="12"/>
      <c r="BU190" s="12"/>
      <c r="BV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S191" s="12"/>
      <c r="BC191" s="12"/>
      <c r="BD191" s="12"/>
      <c r="BE191" s="12"/>
      <c r="BF191" s="12"/>
      <c r="BG191" s="12"/>
      <c r="BH191" s="12"/>
      <c r="BI191" s="12"/>
      <c r="BR191" s="12"/>
      <c r="BS191" s="12"/>
      <c r="BT191" s="12"/>
      <c r="BU191" s="12"/>
      <c r="BV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S192" s="12"/>
      <c r="BC192" s="12"/>
      <c r="BD192" s="12"/>
      <c r="BE192" s="12"/>
      <c r="BF192" s="12"/>
      <c r="BG192" s="12"/>
      <c r="BH192" s="12"/>
      <c r="BI192" s="12"/>
      <c r="BR192" s="12"/>
      <c r="BS192" s="12"/>
      <c r="BT192" s="12"/>
      <c r="BU192" s="12"/>
      <c r="BV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S193" s="12"/>
      <c r="BC193" s="12"/>
      <c r="BD193" s="12"/>
      <c r="BE193" s="12"/>
      <c r="BF193" s="12"/>
      <c r="BG193" s="12"/>
      <c r="BH193" s="12"/>
      <c r="BI193" s="12"/>
      <c r="BJ193" s="12"/>
      <c r="BK193" s="12"/>
      <c r="BL193" s="12"/>
      <c r="BM193" s="12"/>
      <c r="BN193" s="12"/>
      <c r="BO193" s="12"/>
      <c r="BP193" s="12"/>
      <c r="BQ193" s="12"/>
      <c r="BR193" s="12"/>
      <c r="BS193" s="12"/>
      <c r="BT193" s="12"/>
      <c r="BU193" s="12"/>
      <c r="BV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S194" s="12"/>
      <c r="BC194" s="12"/>
      <c r="BD194" s="12"/>
      <c r="BE194" s="12"/>
      <c r="BF194" s="12"/>
      <c r="BG194" s="12"/>
      <c r="BH194" s="12"/>
      <c r="BI194" s="12"/>
      <c r="BJ194" s="12"/>
      <c r="BK194" s="12"/>
      <c r="BL194" s="12"/>
      <c r="BM194" s="12"/>
      <c r="BN194" s="12"/>
      <c r="BO194" s="12"/>
      <c r="BP194" s="12"/>
      <c r="BQ194" s="12"/>
      <c r="BR194" s="12"/>
      <c r="BS194" s="12"/>
      <c r="BT194" s="12"/>
      <c r="BU194" s="12"/>
      <c r="BV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S195" s="12"/>
      <c r="BC195" s="12"/>
      <c r="BD195" s="12"/>
      <c r="BE195" s="12"/>
      <c r="BF195" s="12"/>
      <c r="BG195" s="12"/>
      <c r="BH195" s="12"/>
      <c r="BI195" s="12"/>
      <c r="BJ195" s="12"/>
      <c r="BK195" s="12"/>
      <c r="BL195" s="12"/>
      <c r="BM195" s="12"/>
      <c r="BN195" s="12"/>
      <c r="BO195" s="12"/>
      <c r="BP195" s="12"/>
      <c r="BQ195" s="12"/>
      <c r="BR195" s="12"/>
      <c r="BS195" s="12"/>
      <c r="BT195" s="12"/>
      <c r="BU195" s="12"/>
      <c r="BV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row>
    <row r="1034">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row>
    <row r="103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row>
    <row r="1036">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row>
    <row r="1037">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row>
    <row r="1038">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row>
    <row r="1039">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row>
    <row r="1040">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row>
    <row r="1041">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row>
    <row r="104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row>
    <row r="104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row>
    <row r="1044">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row>
    <row r="10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row>
    <row r="1046">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row>
    <row r="1047">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row>
    <row r="1048">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row>
    <row r="1049">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row>
    <row r="1050">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row>
    <row r="1051">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row>
    <row r="105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row>
  </sheetData>
  <mergeCells count="42">
    <mergeCell ref="E1:E9"/>
    <mergeCell ref="F1:F9"/>
    <mergeCell ref="G1:G9"/>
    <mergeCell ref="H1:H9"/>
    <mergeCell ref="I1:I9"/>
    <mergeCell ref="W6:X6"/>
    <mergeCell ref="X7:X8"/>
    <mergeCell ref="Z11:Z12"/>
    <mergeCell ref="Z13:Z14"/>
    <mergeCell ref="AI37:AJ37"/>
    <mergeCell ref="X9:X10"/>
    <mergeCell ref="U10:V10"/>
    <mergeCell ref="Y10:Z10"/>
    <mergeCell ref="V11:V12"/>
    <mergeCell ref="X11:X12"/>
    <mergeCell ref="V13:V14"/>
    <mergeCell ref="X13:X14"/>
    <mergeCell ref="W15:W16"/>
    <mergeCell ref="Y15:Y16"/>
    <mergeCell ref="W17:W18"/>
    <mergeCell ref="Y17:Y18"/>
    <mergeCell ref="V19:W19"/>
    <mergeCell ref="X19:Y19"/>
    <mergeCell ref="X45:Z45"/>
    <mergeCell ref="X50:Z50"/>
    <mergeCell ref="X51:Z51"/>
    <mergeCell ref="U46:W46"/>
    <mergeCell ref="X46:Z46"/>
    <mergeCell ref="U47:W47"/>
    <mergeCell ref="X47:Z47"/>
    <mergeCell ref="U48:W48"/>
    <mergeCell ref="X48:Z48"/>
    <mergeCell ref="X49:Z49"/>
    <mergeCell ref="S73:S74"/>
    <mergeCell ref="U73:W74"/>
    <mergeCell ref="U49:W49"/>
    <mergeCell ref="U50:W50"/>
    <mergeCell ref="U51:W51"/>
    <mergeCell ref="P54:Q54"/>
    <mergeCell ref="P55:Q55"/>
    <mergeCell ref="P73:Q73"/>
    <mergeCell ref="R73:R74"/>
  </mergeCells>
  <conditionalFormatting sqref="L84:L109">
    <cfRule type="cellIs" dxfId="0" priority="1" operator="greaterThan">
      <formula>0</formula>
    </cfRule>
  </conditionalFormatting>
  <conditionalFormatting sqref="S4:S40">
    <cfRule type="cellIs" dxfId="0" priority="2" operator="greaterThan">
      <formula>0</formula>
    </cfRule>
  </conditionalFormatting>
  <conditionalFormatting sqref="S61">
    <cfRule type="cellIs" dxfId="1" priority="3" operator="lessThan">
      <formula>0</formula>
    </cfRule>
  </conditionalFormatting>
  <dataValidations>
    <dataValidation type="list" allowBlank="1" sqref="D36 D59 M127:M132">
      <formula1>'Одежда, доспехи и щиты'!$X$18:$X$22</formula1>
    </dataValidation>
    <dataValidation type="list" allowBlank="1" sqref="L130">
      <formula1>'Одежда, доспехи и щиты'!$AM$64:$AM$69</formula1>
    </dataValidation>
    <dataValidation type="list" allowBlank="1" sqref="L95:L96">
      <formula1>"0,1,2,3,4,5,6"</formula1>
    </dataValidation>
    <dataValidation type="list" allowBlank="1" sqref="L36">
      <formula1>'Списки'!$I$34:$I$37</formula1>
    </dataValidation>
    <dataValidation type="list" allowBlank="1" sqref="L132">
      <formula1>'Одежда, доспехи и щиты'!$AO$64:$AO$69</formula1>
    </dataValidation>
    <dataValidation type="list" allowBlank="1" sqref="L5">
      <formula1>'Списки'!$B$123:$B$132</formula1>
    </dataValidation>
    <dataValidation type="list" allowBlank="1" sqref="L128">
      <formula1>'Одежда, доспехи и щиты'!$AK$64:$AK$69</formula1>
    </dataValidation>
    <dataValidation type="list" allowBlank="1" sqref="L41">
      <formula1>'Списки'!$AB$24:$AB$28</formula1>
    </dataValidation>
    <dataValidation type="list" allowBlank="1" sqref="L97:L108">
      <formula1>"0,1,2,3,4,5,6,7,8,9"</formula1>
    </dataValidation>
    <dataValidation type="list" allowBlank="1" showErrorMessage="1" sqref="AD5:AD25">
      <formula1>'Приемы'!$C$5:$C$118</formula1>
    </dataValidation>
    <dataValidation type="list" allowBlank="1" sqref="O7:O38">
      <formula1>'Списки'!$B$122:$B$132</formula1>
    </dataValidation>
    <dataValidation type="list" allowBlank="1" sqref="O63:O65">
      <formula1>'Списки'!$J$46:$J$58</formula1>
    </dataValidation>
    <dataValidation type="list" allowBlank="1" sqref="U46:U51">
      <formula1>'Списки'!$B$182:$B$265</formula1>
    </dataValidation>
    <dataValidation type="list" allowBlank="1" sqref="L11">
      <formula1>'Списки'!$G$46:$G$54</formula1>
    </dataValidation>
    <dataValidation type="list" allowBlank="1" sqref="D35">
      <formula1>'Одежда, доспехи и щиты'!$X$7:$X$15</formula1>
    </dataValidation>
    <dataValidation type="list" allowBlank="1" sqref="L129">
      <formula1>'Одежда, доспехи и щиты'!$AL$64:$AL$69</formula1>
    </dataValidation>
    <dataValidation type="list" allowBlank="1" sqref="P54">
      <formula1>'Списки'!$B$135:$B$138</formula1>
    </dataValidation>
    <dataValidation type="list" allowBlank="1" sqref="D58">
      <formula1>'Одежда, доспехи и щиты'!$AH$7:$AH$13</formula1>
    </dataValidation>
    <dataValidation type="list" allowBlank="1" sqref="L34">
      <formula1>'Списки'!$O$33:$O$42</formula1>
    </dataValidation>
    <dataValidation type="list" allowBlank="1" sqref="N63">
      <formula1>'Списки'!$I$46:$I$52</formula1>
    </dataValidation>
    <dataValidation type="list" allowBlank="1" sqref="P55">
      <formula1>'Списки'!$B$141:$B$144</formula1>
    </dataValidation>
    <dataValidation type="list" allowBlank="1" sqref="D56">
      <formula1>'Одежда, доспехи и щиты'!$AA$6:$AG$6</formula1>
    </dataValidation>
    <dataValidation type="list" allowBlank="1" sqref="L131">
      <formula1>'Одежда, доспехи и щиты'!$AN$64:$AN$69</formula1>
    </dataValidation>
    <dataValidation type="list" allowBlank="1" sqref="D34 K127:K132">
      <formula1>'Одежда, доспехи и щиты'!$Q$6:$W$6</formula1>
    </dataValidation>
    <dataValidation type="list" allowBlank="1" sqref="L40">
      <formula1>'Оружие'!$B$2:$H$2</formula1>
    </dataValidation>
    <dataValidation type="list" allowBlank="1" sqref="L84:L94">
      <formula1>"0,1,2,3,4,5,6"</formula1>
    </dataValidation>
    <dataValidation type="list" allowBlank="1" sqref="L127">
      <formula1>'Одежда, доспехи и щиты'!$AJ$64:$AJ$69</formula1>
    </dataValidation>
    <dataValidation type="list" allowBlank="1" sqref="Z3">
      <formula1>"Стационарное,Мобильное"</formula1>
    </dataValidation>
    <dataValidation type="list" allowBlank="1" sqref="L3">
      <formula1>'Списки'!$C$121:$G$121</formula1>
    </dataValidation>
    <dataValidation type="list" allowBlank="1" showErrorMessage="1" sqref="L4">
      <formula1>'Списки'!$L$98:$L$99</formula1>
    </dataValidation>
    <dataValidation type="list" allowBlank="1" sqref="AK38:AK58">
      <formula1>'Персонаж'!$K$97:$K$108</formula1>
    </dataValidation>
    <dataValidation type="list" allowBlank="1" sqref="L35 L38">
      <formula1>'Оружие'!$A$647:$A$651</formula1>
    </dataValidation>
    <dataValidation type="list" allowBlank="1" sqref="L32">
      <formula1>'Персонаж'!$U$46:$W$51</formula1>
    </dataValidation>
    <dataValidation type="list" allowBlank="1" sqref="AT38:AT58">
      <formula1>'Списки'!$J$85:$J$90</formula1>
    </dataValidation>
    <dataValidation type="list" allowBlank="1" sqref="L37">
      <formula1>'Списки'!$L$33:$L$40</formula1>
    </dataValidation>
    <dataValidation type="list" allowBlank="1" sqref="N64:N65">
      <formula1>'Списки'!$I$46:$I$54</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75"/>
  <cols>
    <col customWidth="1" min="2" max="2" width="18.63"/>
    <col customWidth="1" min="3" max="3" width="2.75"/>
    <col customWidth="1" min="4" max="4" width="21.25"/>
    <col customWidth="1" min="5" max="5" width="2.75"/>
    <col customWidth="1" min="7" max="7" width="18.63"/>
    <col customWidth="1" min="8" max="8" width="2.75"/>
    <col customWidth="1" min="9" max="9" width="21.25"/>
    <col customWidth="1" min="10" max="10" width="2.75"/>
    <col customWidth="1" min="12" max="12" width="18.63"/>
    <col customWidth="1" min="13" max="13" width="2.75"/>
    <col customWidth="1" min="14" max="14" width="21.25"/>
    <col customWidth="1" min="15" max="15" width="2.75"/>
  </cols>
  <sheetData>
    <row r="1" ht="11.25" customHeight="1">
      <c r="A1" s="12"/>
      <c r="B1" s="12"/>
      <c r="C1" s="12"/>
      <c r="D1" s="12"/>
      <c r="E1" s="12"/>
      <c r="F1" s="12"/>
      <c r="G1" s="12"/>
      <c r="H1" s="12"/>
      <c r="I1" s="12"/>
      <c r="J1" s="12"/>
      <c r="K1" s="12"/>
      <c r="L1" s="12"/>
      <c r="M1" s="12"/>
      <c r="N1" s="12"/>
      <c r="O1" s="12"/>
      <c r="P1" s="12"/>
      <c r="Q1" s="12"/>
      <c r="R1" s="12"/>
      <c r="S1" s="12"/>
      <c r="T1" s="12"/>
      <c r="U1" s="12"/>
      <c r="V1" s="12"/>
      <c r="W1" s="12"/>
      <c r="X1" s="12"/>
      <c r="Y1" s="12"/>
      <c r="Z1" s="12"/>
    </row>
    <row r="2" ht="11.25" customHeight="1">
      <c r="A2" s="12"/>
      <c r="B2" s="387" t="s">
        <v>330</v>
      </c>
      <c r="C2" s="336"/>
      <c r="D2" s="388"/>
      <c r="E2" s="336"/>
      <c r="F2" s="12"/>
      <c r="G2" s="387" t="s">
        <v>331</v>
      </c>
      <c r="H2" s="336"/>
      <c r="I2" s="388"/>
      <c r="J2" s="336"/>
      <c r="K2" s="12"/>
      <c r="L2" s="387" t="s">
        <v>332</v>
      </c>
      <c r="M2" s="336"/>
      <c r="N2" s="388"/>
      <c r="O2" s="336"/>
      <c r="P2" s="12"/>
      <c r="Q2" s="12"/>
      <c r="R2" s="12"/>
      <c r="S2" s="12"/>
      <c r="T2" s="12"/>
      <c r="U2" s="12"/>
      <c r="V2" s="12"/>
      <c r="W2" s="12"/>
      <c r="X2" s="12"/>
      <c r="Y2" s="12"/>
      <c r="Z2" s="12"/>
    </row>
    <row r="3" ht="11.25" customHeight="1">
      <c r="A3" s="12"/>
      <c r="B3" s="388"/>
      <c r="C3" s="336"/>
      <c r="D3" s="388"/>
      <c r="E3" s="336"/>
      <c r="F3" s="12"/>
      <c r="G3" s="388"/>
      <c r="H3" s="336"/>
      <c r="I3" s="388"/>
      <c r="J3" s="336"/>
      <c r="K3" s="12"/>
      <c r="L3" s="388"/>
      <c r="M3" s="336"/>
      <c r="N3" s="327"/>
      <c r="O3" s="335"/>
      <c r="P3" s="12"/>
      <c r="Q3" s="12"/>
      <c r="R3" s="12"/>
      <c r="S3" s="12"/>
      <c r="T3" s="12"/>
      <c r="U3" s="12"/>
      <c r="V3" s="12"/>
      <c r="W3" s="12"/>
      <c r="X3" s="12"/>
      <c r="Y3" s="12"/>
      <c r="Z3" s="12"/>
    </row>
    <row r="4" ht="11.25" customHeight="1">
      <c r="A4" s="12"/>
      <c r="B4" s="387" t="s">
        <v>333</v>
      </c>
      <c r="C4" s="336">
        <f>E4</f>
        <v>21</v>
      </c>
      <c r="D4" s="387" t="s">
        <v>334</v>
      </c>
      <c r="E4" s="336">
        <f>SUM(E7:E200)</f>
        <v>21</v>
      </c>
      <c r="F4" s="12"/>
      <c r="G4" s="387" t="s">
        <v>335</v>
      </c>
      <c r="H4" s="336">
        <f>J4</f>
        <v>50</v>
      </c>
      <c r="I4" s="387" t="s">
        <v>336</v>
      </c>
      <c r="J4" s="336">
        <f>SUM(J7:J200)</f>
        <v>50</v>
      </c>
      <c r="K4" s="12"/>
      <c r="L4" s="387" t="s">
        <v>337</v>
      </c>
      <c r="M4" s="389">
        <v>100.0</v>
      </c>
      <c r="N4" s="390"/>
      <c r="O4" s="335"/>
      <c r="P4" s="12"/>
      <c r="Q4" s="12"/>
      <c r="R4" s="12"/>
      <c r="S4" s="12"/>
      <c r="T4" s="12"/>
      <c r="U4" s="12"/>
      <c r="V4" s="12"/>
      <c r="W4" s="12"/>
      <c r="X4" s="12"/>
      <c r="Y4" s="12"/>
      <c r="Z4" s="12"/>
    </row>
    <row r="5" ht="11.25" customHeight="1">
      <c r="A5" s="12"/>
      <c r="B5" s="391" t="s">
        <v>338</v>
      </c>
      <c r="C5" s="392">
        <f>C4-C6</f>
        <v>2</v>
      </c>
      <c r="D5" s="393"/>
      <c r="E5" s="26"/>
      <c r="F5" s="12"/>
      <c r="G5" s="391" t="s">
        <v>339</v>
      </c>
      <c r="H5" s="392">
        <f>H4-H6</f>
        <v>20</v>
      </c>
      <c r="I5" s="393"/>
      <c r="J5" s="26"/>
      <c r="K5" s="12"/>
      <c r="L5" s="391" t="s">
        <v>340</v>
      </c>
      <c r="M5" s="392">
        <f>M4+SUM(M7:M56)</f>
        <v>67</v>
      </c>
      <c r="N5" s="390"/>
      <c r="O5" s="335"/>
      <c r="P5" s="12"/>
      <c r="Q5" s="12"/>
      <c r="R5" s="12"/>
      <c r="S5" s="12"/>
      <c r="T5" s="12"/>
      <c r="U5" s="12"/>
      <c r="V5" s="12"/>
      <c r="W5" s="12"/>
      <c r="X5" s="12"/>
      <c r="Y5" s="12"/>
      <c r="Z5" s="12"/>
    </row>
    <row r="6" ht="11.25" customHeight="1">
      <c r="A6" s="12"/>
      <c r="B6" s="394" t="s">
        <v>341</v>
      </c>
      <c r="C6" s="395">
        <f>SUM(C7:C200)</f>
        <v>19</v>
      </c>
      <c r="D6" s="279"/>
      <c r="F6" s="12"/>
      <c r="G6" s="394" t="s">
        <v>342</v>
      </c>
      <c r="H6" s="395">
        <f>SUM(H7:H200)</f>
        <v>30</v>
      </c>
      <c r="I6" s="279"/>
      <c r="K6" s="12"/>
      <c r="L6" s="394"/>
      <c r="M6" s="395"/>
      <c r="N6" s="390"/>
      <c r="O6" s="335"/>
      <c r="P6" s="12"/>
      <c r="Q6" s="12"/>
      <c r="R6" s="12"/>
      <c r="S6" s="12"/>
      <c r="T6" s="12"/>
      <c r="U6" s="12"/>
      <c r="V6" s="12"/>
      <c r="W6" s="12"/>
      <c r="X6" s="12"/>
      <c r="Y6" s="12"/>
      <c r="Z6" s="12"/>
    </row>
    <row r="7" ht="11.25" customHeight="1">
      <c r="A7" s="396" t="s">
        <v>343</v>
      </c>
      <c r="B7" s="397" t="s">
        <v>344</v>
      </c>
      <c r="C7" s="335">
        <v>5.0</v>
      </c>
      <c r="D7" s="398" t="s">
        <v>345</v>
      </c>
      <c r="E7" s="399">
        <v>10.0</v>
      </c>
      <c r="F7" s="12"/>
      <c r="G7" s="397" t="s">
        <v>346</v>
      </c>
      <c r="H7" s="400">
        <v>30.0</v>
      </c>
      <c r="I7" s="398" t="s">
        <v>347</v>
      </c>
      <c r="J7" s="401">
        <v>50.0</v>
      </c>
      <c r="K7" s="12"/>
      <c r="L7" s="397" t="s">
        <v>348</v>
      </c>
      <c r="M7" s="400">
        <v>-45.0</v>
      </c>
      <c r="N7" s="390"/>
      <c r="O7" s="335"/>
      <c r="P7" s="12"/>
      <c r="Q7" s="12"/>
      <c r="R7" s="12"/>
      <c r="S7" s="12"/>
      <c r="T7" s="12"/>
      <c r="U7" s="12"/>
      <c r="V7" s="12"/>
      <c r="W7" s="12"/>
      <c r="X7" s="12"/>
      <c r="Y7" s="12"/>
      <c r="Z7" s="12"/>
    </row>
    <row r="8" ht="11.25" customHeight="1">
      <c r="A8" s="12"/>
      <c r="B8" s="397" t="s">
        <v>349</v>
      </c>
      <c r="C8" s="335">
        <v>5.0</v>
      </c>
      <c r="D8" s="402" t="s">
        <v>350</v>
      </c>
      <c r="E8" s="335">
        <v>7.0</v>
      </c>
      <c r="F8" s="12"/>
      <c r="G8" s="327"/>
      <c r="H8" s="335"/>
      <c r="I8" s="390"/>
      <c r="J8" s="335"/>
      <c r="K8" s="12"/>
      <c r="L8" s="397" t="s">
        <v>351</v>
      </c>
      <c r="M8" s="400">
        <v>12.0</v>
      </c>
      <c r="N8" s="390"/>
      <c r="O8" s="335"/>
      <c r="P8" s="12"/>
      <c r="Q8" s="12"/>
      <c r="R8" s="12"/>
      <c r="S8" s="12"/>
      <c r="T8" s="12"/>
      <c r="U8" s="12"/>
      <c r="V8" s="12"/>
      <c r="W8" s="12"/>
      <c r="X8" s="12"/>
      <c r="Y8" s="12"/>
      <c r="Z8" s="12"/>
    </row>
    <row r="9" ht="11.25" customHeight="1">
      <c r="A9" s="12"/>
      <c r="B9" s="397" t="s">
        <v>352</v>
      </c>
      <c r="C9" s="335">
        <v>9.0</v>
      </c>
      <c r="D9" s="402" t="s">
        <v>353</v>
      </c>
      <c r="E9" s="335">
        <v>4.0</v>
      </c>
      <c r="F9" s="12"/>
      <c r="G9" s="327"/>
      <c r="H9" s="335"/>
      <c r="I9" s="390"/>
      <c r="J9" s="335"/>
      <c r="K9" s="12"/>
      <c r="L9" s="327"/>
      <c r="M9" s="335"/>
      <c r="N9" s="390"/>
      <c r="O9" s="335"/>
      <c r="P9" s="12"/>
      <c r="Q9" s="12"/>
      <c r="R9" s="12"/>
      <c r="S9" s="12"/>
      <c r="T9" s="12"/>
      <c r="U9" s="12"/>
      <c r="V9" s="12"/>
      <c r="W9" s="12"/>
      <c r="X9" s="12"/>
      <c r="Y9" s="12"/>
      <c r="Z9" s="12"/>
    </row>
    <row r="10" ht="11.25" customHeight="1">
      <c r="A10" s="12"/>
      <c r="B10" s="327"/>
      <c r="C10" s="335"/>
      <c r="D10" s="390"/>
      <c r="E10" s="335"/>
      <c r="F10" s="12"/>
      <c r="G10" s="327"/>
      <c r="H10" s="335"/>
      <c r="I10" s="390"/>
      <c r="J10" s="335"/>
      <c r="K10" s="12"/>
      <c r="L10" s="327"/>
      <c r="M10" s="335"/>
      <c r="N10" s="390"/>
      <c r="O10" s="335"/>
      <c r="P10" s="12"/>
      <c r="Q10" s="12"/>
      <c r="R10" s="12"/>
      <c r="S10" s="12"/>
      <c r="T10" s="12"/>
      <c r="U10" s="12"/>
      <c r="V10" s="12"/>
      <c r="W10" s="12"/>
      <c r="X10" s="12"/>
      <c r="Y10" s="12"/>
      <c r="Z10" s="12"/>
    </row>
    <row r="11" ht="11.25" customHeight="1">
      <c r="A11" s="12"/>
      <c r="B11" s="327"/>
      <c r="C11" s="327"/>
      <c r="D11" s="390"/>
      <c r="E11" s="335"/>
      <c r="F11" s="12"/>
      <c r="G11" s="327"/>
      <c r="H11" s="327"/>
      <c r="I11" s="390"/>
      <c r="J11" s="335"/>
      <c r="K11" s="12"/>
      <c r="L11" s="327"/>
      <c r="M11" s="327"/>
      <c r="N11" s="390"/>
      <c r="O11" s="335"/>
      <c r="P11" s="12"/>
      <c r="Q11" s="12"/>
      <c r="R11" s="12"/>
      <c r="S11" s="12"/>
      <c r="T11" s="12"/>
      <c r="U11" s="12"/>
      <c r="V11" s="12"/>
      <c r="W11" s="12"/>
      <c r="X11" s="12"/>
      <c r="Y11" s="12"/>
      <c r="Z11" s="12"/>
    </row>
    <row r="12" ht="11.25" customHeight="1">
      <c r="A12" s="12"/>
      <c r="B12" s="327"/>
      <c r="C12" s="327"/>
      <c r="D12" s="390"/>
      <c r="E12" s="335"/>
      <c r="F12" s="12"/>
      <c r="G12" s="327"/>
      <c r="H12" s="327"/>
      <c r="I12" s="390"/>
      <c r="J12" s="335"/>
      <c r="K12" s="12"/>
      <c r="L12" s="327"/>
      <c r="M12" s="327"/>
      <c r="N12" s="390"/>
      <c r="O12" s="335"/>
      <c r="P12" s="12"/>
      <c r="Q12" s="12"/>
      <c r="R12" s="12"/>
      <c r="S12" s="12"/>
      <c r="T12" s="12"/>
      <c r="U12" s="12"/>
      <c r="V12" s="12"/>
      <c r="W12" s="12"/>
      <c r="X12" s="12"/>
      <c r="Y12" s="12"/>
      <c r="Z12" s="12"/>
    </row>
    <row r="13" ht="11.25" customHeight="1">
      <c r="A13" s="12"/>
      <c r="B13" s="327"/>
      <c r="C13" s="327"/>
      <c r="D13" s="390"/>
      <c r="E13" s="335"/>
      <c r="F13" s="12"/>
      <c r="G13" s="327"/>
      <c r="H13" s="327"/>
      <c r="I13" s="390"/>
      <c r="J13" s="335"/>
      <c r="K13" s="12"/>
      <c r="L13" s="327"/>
      <c r="M13" s="327"/>
      <c r="N13" s="390"/>
      <c r="O13" s="335"/>
      <c r="P13" s="12"/>
      <c r="Q13" s="12"/>
      <c r="R13" s="12"/>
      <c r="S13" s="12"/>
      <c r="T13" s="12"/>
      <c r="U13" s="12"/>
      <c r="V13" s="12"/>
      <c r="W13" s="12"/>
      <c r="X13" s="12"/>
      <c r="Y13" s="12"/>
      <c r="Z13" s="12"/>
    </row>
    <row r="14" ht="11.25" customHeight="1">
      <c r="A14" s="12"/>
      <c r="B14" s="327"/>
      <c r="C14" s="327"/>
      <c r="D14" s="390"/>
      <c r="E14" s="327"/>
      <c r="F14" s="12"/>
      <c r="G14" s="327"/>
      <c r="H14" s="327"/>
      <c r="I14" s="390"/>
      <c r="J14" s="327"/>
      <c r="K14" s="12"/>
      <c r="L14" s="327"/>
      <c r="M14" s="327"/>
      <c r="N14" s="390"/>
      <c r="O14" s="327"/>
      <c r="P14" s="12"/>
      <c r="Q14" s="12"/>
      <c r="R14" s="12"/>
      <c r="S14" s="12"/>
      <c r="T14" s="12"/>
      <c r="U14" s="12"/>
      <c r="V14" s="12"/>
      <c r="W14" s="12"/>
      <c r="X14" s="12"/>
      <c r="Y14" s="12"/>
      <c r="Z14" s="12"/>
    </row>
    <row r="15" ht="11.25" customHeight="1">
      <c r="A15" s="12"/>
      <c r="B15" s="327"/>
      <c r="C15" s="327"/>
      <c r="D15" s="390"/>
      <c r="E15" s="327"/>
      <c r="F15" s="12"/>
      <c r="G15" s="327"/>
      <c r="H15" s="327"/>
      <c r="I15" s="390"/>
      <c r="J15" s="327"/>
      <c r="K15" s="12"/>
      <c r="L15" s="327"/>
      <c r="M15" s="327"/>
      <c r="N15" s="390"/>
      <c r="O15" s="327"/>
      <c r="P15" s="12"/>
      <c r="Q15" s="12"/>
      <c r="R15" s="12"/>
      <c r="S15" s="12"/>
      <c r="T15" s="12"/>
      <c r="U15" s="12"/>
      <c r="V15" s="12"/>
      <c r="W15" s="12"/>
      <c r="X15" s="12"/>
      <c r="Y15" s="12"/>
      <c r="Z15" s="12"/>
    </row>
    <row r="16" ht="11.25" customHeight="1">
      <c r="A16" s="12"/>
      <c r="B16" s="327"/>
      <c r="C16" s="327"/>
      <c r="D16" s="390"/>
      <c r="E16" s="327"/>
      <c r="F16" s="12"/>
      <c r="G16" s="327"/>
      <c r="H16" s="327"/>
      <c r="I16" s="390"/>
      <c r="J16" s="327"/>
      <c r="K16" s="12"/>
      <c r="L16" s="327"/>
      <c r="M16" s="327"/>
      <c r="N16" s="390"/>
      <c r="O16" s="327"/>
      <c r="P16" s="12"/>
      <c r="Q16" s="12"/>
      <c r="R16" s="12"/>
      <c r="S16" s="12"/>
      <c r="T16" s="12"/>
      <c r="U16" s="12"/>
      <c r="V16" s="12"/>
      <c r="W16" s="12"/>
      <c r="X16" s="12"/>
      <c r="Y16" s="12"/>
      <c r="Z16" s="12"/>
    </row>
    <row r="17" ht="11.25" customHeight="1">
      <c r="A17" s="12"/>
      <c r="B17" s="327"/>
      <c r="C17" s="327"/>
      <c r="D17" s="390"/>
      <c r="E17" s="327"/>
      <c r="F17" s="12"/>
      <c r="G17" s="327"/>
      <c r="H17" s="327"/>
      <c r="I17" s="390"/>
      <c r="J17" s="327"/>
      <c r="K17" s="12"/>
      <c r="L17" s="327"/>
      <c r="M17" s="327"/>
      <c r="N17" s="390"/>
      <c r="O17" s="327"/>
      <c r="P17" s="12"/>
      <c r="Q17" s="12"/>
      <c r="R17" s="12"/>
      <c r="S17" s="12"/>
      <c r="T17" s="12"/>
      <c r="U17" s="12"/>
      <c r="V17" s="12"/>
      <c r="W17" s="12"/>
      <c r="X17" s="12"/>
      <c r="Y17" s="12"/>
      <c r="Z17" s="12"/>
    </row>
    <row r="18" ht="11.25" customHeight="1">
      <c r="A18" s="12"/>
      <c r="B18" s="327"/>
      <c r="C18" s="327"/>
      <c r="D18" s="390"/>
      <c r="E18" s="327"/>
      <c r="F18" s="12"/>
      <c r="G18" s="327"/>
      <c r="H18" s="327"/>
      <c r="I18" s="390"/>
      <c r="J18" s="327"/>
      <c r="K18" s="12"/>
      <c r="L18" s="327"/>
      <c r="M18" s="327"/>
      <c r="N18" s="390"/>
      <c r="O18" s="327"/>
      <c r="P18" s="12"/>
      <c r="Q18" s="12"/>
      <c r="R18" s="12"/>
      <c r="S18" s="12"/>
      <c r="T18" s="12"/>
      <c r="U18" s="12"/>
      <c r="V18" s="12"/>
      <c r="W18" s="12"/>
      <c r="X18" s="12"/>
      <c r="Y18" s="12"/>
      <c r="Z18" s="12"/>
    </row>
    <row r="19" ht="11.25" customHeight="1">
      <c r="A19" s="12"/>
      <c r="B19" s="327"/>
      <c r="C19" s="327"/>
      <c r="D19" s="390"/>
      <c r="E19" s="327"/>
      <c r="F19" s="12"/>
      <c r="G19" s="327"/>
      <c r="H19" s="327"/>
      <c r="I19" s="390"/>
      <c r="J19" s="327"/>
      <c r="K19" s="12"/>
      <c r="L19" s="327"/>
      <c r="M19" s="327"/>
      <c r="N19" s="390"/>
      <c r="O19" s="327"/>
      <c r="P19" s="12"/>
      <c r="Q19" s="12"/>
      <c r="R19" s="12"/>
      <c r="S19" s="12"/>
      <c r="T19" s="12"/>
      <c r="U19" s="12"/>
      <c r="V19" s="12"/>
      <c r="W19" s="12"/>
      <c r="X19" s="12"/>
      <c r="Y19" s="12"/>
      <c r="Z19" s="12"/>
    </row>
    <row r="20" ht="11.25" customHeight="1">
      <c r="A20" s="12"/>
      <c r="B20" s="327"/>
      <c r="C20" s="327"/>
      <c r="D20" s="390"/>
      <c r="E20" s="327"/>
      <c r="F20" s="12"/>
      <c r="G20" s="327"/>
      <c r="H20" s="327"/>
      <c r="I20" s="390"/>
      <c r="J20" s="327"/>
      <c r="K20" s="12"/>
      <c r="L20" s="327"/>
      <c r="M20" s="327"/>
      <c r="N20" s="390"/>
      <c r="O20" s="327"/>
      <c r="P20" s="12"/>
      <c r="Q20" s="12"/>
      <c r="R20" s="12"/>
      <c r="S20" s="12"/>
      <c r="T20" s="12"/>
      <c r="U20" s="12"/>
      <c r="V20" s="12"/>
      <c r="W20" s="12"/>
      <c r="X20" s="12"/>
      <c r="Y20" s="12"/>
      <c r="Z20" s="12"/>
    </row>
    <row r="21" ht="11.25" customHeight="1">
      <c r="A21" s="12"/>
      <c r="B21" s="327"/>
      <c r="C21" s="327"/>
      <c r="D21" s="390"/>
      <c r="E21" s="327"/>
      <c r="F21" s="12"/>
      <c r="G21" s="327"/>
      <c r="H21" s="327"/>
      <c r="I21" s="390"/>
      <c r="J21" s="327"/>
      <c r="K21" s="12"/>
      <c r="L21" s="327"/>
      <c r="M21" s="327"/>
      <c r="N21" s="390"/>
      <c r="O21" s="327"/>
      <c r="P21" s="12"/>
      <c r="Q21" s="12"/>
      <c r="R21" s="12"/>
      <c r="S21" s="12"/>
      <c r="T21" s="12"/>
      <c r="U21" s="12"/>
      <c r="V21" s="12"/>
      <c r="W21" s="12"/>
      <c r="X21" s="12"/>
      <c r="Y21" s="12"/>
      <c r="Z21" s="12"/>
    </row>
    <row r="22" ht="11.25" customHeight="1">
      <c r="A22" s="12"/>
      <c r="B22" s="327"/>
      <c r="C22" s="327"/>
      <c r="D22" s="390"/>
      <c r="E22" s="327"/>
      <c r="F22" s="12"/>
      <c r="G22" s="327"/>
      <c r="H22" s="327"/>
      <c r="I22" s="390"/>
      <c r="J22" s="327"/>
      <c r="K22" s="12"/>
      <c r="L22" s="327"/>
      <c r="M22" s="327"/>
      <c r="N22" s="390"/>
      <c r="O22" s="327"/>
      <c r="P22" s="12"/>
      <c r="Q22" s="12"/>
      <c r="R22" s="12"/>
      <c r="S22" s="12"/>
      <c r="T22" s="12"/>
      <c r="U22" s="12"/>
      <c r="V22" s="12"/>
      <c r="W22" s="12"/>
      <c r="X22" s="12"/>
      <c r="Y22" s="12"/>
      <c r="Z22" s="12"/>
    </row>
    <row r="23" ht="11.25" customHeight="1">
      <c r="A23" s="12"/>
      <c r="B23" s="327"/>
      <c r="C23" s="327"/>
      <c r="D23" s="390"/>
      <c r="E23" s="327"/>
      <c r="F23" s="12"/>
      <c r="G23" s="327"/>
      <c r="H23" s="327"/>
      <c r="I23" s="390"/>
      <c r="J23" s="327"/>
      <c r="K23" s="12"/>
      <c r="L23" s="327"/>
      <c r="M23" s="327"/>
      <c r="N23" s="390"/>
      <c r="O23" s="327"/>
      <c r="P23" s="12"/>
      <c r="Q23" s="12"/>
      <c r="R23" s="12"/>
      <c r="S23" s="12"/>
      <c r="T23" s="12"/>
      <c r="U23" s="12"/>
      <c r="V23" s="12"/>
      <c r="W23" s="12"/>
      <c r="X23" s="12"/>
      <c r="Y23" s="12"/>
      <c r="Z23" s="12"/>
    </row>
    <row r="24" ht="11.25" customHeight="1">
      <c r="A24" s="12"/>
      <c r="B24" s="327"/>
      <c r="C24" s="327"/>
      <c r="D24" s="390"/>
      <c r="E24" s="327"/>
      <c r="F24" s="12"/>
      <c r="G24" s="327"/>
      <c r="H24" s="327"/>
      <c r="I24" s="390"/>
      <c r="J24" s="327"/>
      <c r="K24" s="12"/>
      <c r="L24" s="327"/>
      <c r="M24" s="327"/>
      <c r="N24" s="390"/>
      <c r="O24" s="327"/>
      <c r="P24" s="12"/>
      <c r="Q24" s="12"/>
      <c r="R24" s="12"/>
      <c r="S24" s="12"/>
      <c r="T24" s="12"/>
      <c r="U24" s="12"/>
      <c r="V24" s="12"/>
      <c r="W24" s="12"/>
      <c r="X24" s="12"/>
      <c r="Y24" s="12"/>
      <c r="Z24" s="12"/>
    </row>
    <row r="25" ht="11.25" customHeight="1">
      <c r="A25" s="12"/>
      <c r="B25" s="327"/>
      <c r="C25" s="327"/>
      <c r="D25" s="390"/>
      <c r="E25" s="327"/>
      <c r="F25" s="12"/>
      <c r="G25" s="327"/>
      <c r="H25" s="327"/>
      <c r="I25" s="390"/>
      <c r="J25" s="327"/>
      <c r="K25" s="12"/>
      <c r="L25" s="327"/>
      <c r="M25" s="327"/>
      <c r="N25" s="390"/>
      <c r="O25" s="327"/>
      <c r="P25" s="12"/>
      <c r="Q25" s="12"/>
      <c r="R25" s="12"/>
      <c r="S25" s="12"/>
      <c r="T25" s="12"/>
      <c r="U25" s="12"/>
      <c r="V25" s="12"/>
      <c r="W25" s="12"/>
      <c r="X25" s="12"/>
      <c r="Y25" s="12"/>
      <c r="Z25" s="12"/>
    </row>
    <row r="26" ht="11.25" customHeight="1">
      <c r="A26" s="12"/>
      <c r="B26" s="12"/>
      <c r="C26" s="12"/>
      <c r="D26" s="109"/>
      <c r="E26" s="12"/>
      <c r="F26" s="12"/>
      <c r="G26" s="12"/>
      <c r="H26" s="12"/>
      <c r="I26" s="109"/>
      <c r="J26" s="12"/>
      <c r="K26" s="12"/>
      <c r="L26" s="12"/>
      <c r="M26" s="12"/>
      <c r="N26" s="109"/>
      <c r="O26" s="12"/>
      <c r="P26" s="12"/>
      <c r="Q26" s="12"/>
      <c r="R26" s="12"/>
      <c r="S26" s="12"/>
      <c r="T26" s="12"/>
      <c r="U26" s="12"/>
      <c r="V26" s="12"/>
      <c r="W26" s="12"/>
      <c r="X26" s="12"/>
      <c r="Y26" s="12"/>
      <c r="Z26" s="12"/>
    </row>
    <row r="27" ht="11.25" customHeight="1">
      <c r="A27" s="12"/>
      <c r="B27" s="12"/>
      <c r="C27" s="12"/>
      <c r="D27" s="109"/>
      <c r="E27" s="12"/>
      <c r="F27" s="12"/>
      <c r="G27" s="12"/>
      <c r="H27" s="12"/>
      <c r="I27" s="109"/>
      <c r="J27" s="12"/>
      <c r="K27" s="12"/>
      <c r="L27" s="12"/>
      <c r="M27" s="12"/>
      <c r="N27" s="109"/>
      <c r="O27" s="12"/>
      <c r="P27" s="12"/>
      <c r="Q27" s="12"/>
      <c r="R27" s="12"/>
      <c r="S27" s="12"/>
      <c r="T27" s="12"/>
      <c r="U27" s="12"/>
      <c r="V27" s="12"/>
      <c r="W27" s="12"/>
      <c r="X27" s="12"/>
      <c r="Y27" s="12"/>
      <c r="Z27" s="12"/>
    </row>
    <row r="28" ht="11.25" customHeight="1">
      <c r="A28" s="12"/>
      <c r="B28" s="12"/>
      <c r="C28" s="12"/>
      <c r="D28" s="109"/>
      <c r="E28" s="12"/>
      <c r="F28" s="12"/>
      <c r="G28" s="12"/>
      <c r="H28" s="12"/>
      <c r="I28" s="109"/>
      <c r="J28" s="12"/>
      <c r="K28" s="12"/>
      <c r="L28" s="12"/>
      <c r="M28" s="12"/>
      <c r="N28" s="109"/>
      <c r="O28" s="12"/>
      <c r="P28" s="12"/>
      <c r="Q28" s="12"/>
      <c r="R28" s="12"/>
      <c r="S28" s="12"/>
      <c r="T28" s="12"/>
      <c r="U28" s="12"/>
      <c r="V28" s="12"/>
      <c r="W28" s="12"/>
      <c r="X28" s="12"/>
      <c r="Y28" s="12"/>
      <c r="Z28" s="12"/>
    </row>
    <row r="29" ht="11.25" customHeight="1">
      <c r="A29" s="12"/>
      <c r="B29" s="12"/>
      <c r="C29" s="12"/>
      <c r="D29" s="109"/>
      <c r="E29" s="12"/>
      <c r="F29" s="12"/>
      <c r="G29" s="12"/>
      <c r="H29" s="12"/>
      <c r="I29" s="109"/>
      <c r="J29" s="12"/>
      <c r="K29" s="12"/>
      <c r="L29" s="12"/>
      <c r="M29" s="12"/>
      <c r="N29" s="109"/>
      <c r="O29" s="12"/>
      <c r="P29" s="12"/>
      <c r="Q29" s="12"/>
      <c r="R29" s="12"/>
      <c r="S29" s="12"/>
      <c r="T29" s="12"/>
      <c r="U29" s="12"/>
      <c r="V29" s="12"/>
      <c r="W29" s="12"/>
      <c r="X29" s="12"/>
      <c r="Y29" s="12"/>
      <c r="Z29" s="12"/>
    </row>
    <row r="30" ht="11.25" customHeight="1">
      <c r="A30" s="12"/>
      <c r="B30" s="12"/>
      <c r="C30" s="12"/>
      <c r="D30" s="109"/>
      <c r="E30" s="12"/>
      <c r="F30" s="12"/>
      <c r="G30" s="12"/>
      <c r="H30" s="12"/>
      <c r="I30" s="109"/>
      <c r="J30" s="12"/>
      <c r="K30" s="12"/>
      <c r="L30" s="12"/>
      <c r="M30" s="12"/>
      <c r="N30" s="109"/>
      <c r="O30" s="12"/>
      <c r="P30" s="12"/>
      <c r="Q30" s="12"/>
      <c r="R30" s="12"/>
      <c r="S30" s="12"/>
      <c r="T30" s="12"/>
      <c r="U30" s="12"/>
      <c r="V30" s="12"/>
      <c r="W30" s="12"/>
      <c r="X30" s="12"/>
      <c r="Y30" s="12"/>
      <c r="Z30" s="12"/>
    </row>
    <row r="31" ht="11.25" customHeight="1">
      <c r="A31" s="12"/>
      <c r="B31" s="12"/>
      <c r="C31" s="12"/>
      <c r="D31" s="109"/>
      <c r="E31" s="12"/>
      <c r="F31" s="12"/>
      <c r="G31" s="12"/>
      <c r="H31" s="12"/>
      <c r="I31" s="109"/>
      <c r="J31" s="12"/>
      <c r="K31" s="12"/>
      <c r="L31" s="12"/>
      <c r="M31" s="12"/>
      <c r="N31" s="109"/>
      <c r="O31" s="12"/>
      <c r="P31" s="12"/>
      <c r="Q31" s="12"/>
      <c r="R31" s="12"/>
      <c r="S31" s="12"/>
      <c r="T31" s="12"/>
      <c r="U31" s="12"/>
      <c r="V31" s="12"/>
      <c r="W31" s="12"/>
      <c r="X31" s="12"/>
      <c r="Y31" s="12"/>
      <c r="Z31" s="12"/>
    </row>
    <row r="32" ht="11.25" customHeight="1">
      <c r="A32" s="12"/>
      <c r="B32" s="12"/>
      <c r="C32" s="12"/>
      <c r="D32" s="109"/>
      <c r="E32" s="12"/>
      <c r="F32" s="12"/>
      <c r="G32" s="12"/>
      <c r="H32" s="12"/>
      <c r="I32" s="109"/>
      <c r="J32" s="12"/>
      <c r="K32" s="12"/>
      <c r="L32" s="12"/>
      <c r="M32" s="12"/>
      <c r="N32" s="109"/>
      <c r="O32" s="12"/>
      <c r="P32" s="12"/>
      <c r="Q32" s="12"/>
      <c r="R32" s="12"/>
      <c r="S32" s="12"/>
      <c r="T32" s="12"/>
      <c r="U32" s="12"/>
      <c r="V32" s="12"/>
      <c r="W32" s="12"/>
      <c r="X32" s="12"/>
      <c r="Y32" s="12"/>
      <c r="Z32" s="12"/>
    </row>
    <row r="33" ht="11.25" customHeight="1">
      <c r="A33" s="12"/>
      <c r="B33" s="12"/>
      <c r="C33" s="12"/>
      <c r="D33" s="109"/>
      <c r="E33" s="12"/>
      <c r="F33" s="12"/>
      <c r="G33" s="12"/>
      <c r="H33" s="12"/>
      <c r="I33" s="109"/>
      <c r="J33" s="12"/>
      <c r="K33" s="12"/>
      <c r="L33" s="12"/>
      <c r="M33" s="12"/>
      <c r="N33" s="109"/>
      <c r="O33" s="12"/>
      <c r="P33" s="12"/>
      <c r="Q33" s="12"/>
      <c r="R33" s="12"/>
      <c r="S33" s="12"/>
      <c r="T33" s="12"/>
      <c r="U33" s="12"/>
      <c r="V33" s="12"/>
      <c r="W33" s="12"/>
      <c r="X33" s="12"/>
      <c r="Y33" s="12"/>
      <c r="Z33" s="12"/>
    </row>
    <row r="34" ht="11.25" customHeight="1">
      <c r="A34" s="12"/>
      <c r="B34" s="12"/>
      <c r="C34" s="12"/>
      <c r="D34" s="109"/>
      <c r="E34" s="12"/>
      <c r="F34" s="12"/>
      <c r="G34" s="12"/>
      <c r="H34" s="12"/>
      <c r="I34" s="109"/>
      <c r="J34" s="12"/>
      <c r="K34" s="12"/>
      <c r="L34" s="12"/>
      <c r="M34" s="12"/>
      <c r="N34" s="109"/>
      <c r="O34" s="12"/>
      <c r="P34" s="12"/>
      <c r="Q34" s="12"/>
      <c r="R34" s="12"/>
      <c r="S34" s="12"/>
      <c r="T34" s="12"/>
      <c r="U34" s="12"/>
      <c r="V34" s="12"/>
      <c r="W34" s="12"/>
      <c r="X34" s="12"/>
      <c r="Y34" s="12"/>
      <c r="Z34" s="12"/>
    </row>
    <row r="35" ht="11.25" customHeight="1">
      <c r="A35" s="12"/>
      <c r="B35" s="12"/>
      <c r="C35" s="12"/>
      <c r="D35" s="109"/>
      <c r="E35" s="12"/>
      <c r="F35" s="12"/>
      <c r="G35" s="12"/>
      <c r="H35" s="12"/>
      <c r="I35" s="109"/>
      <c r="J35" s="12"/>
      <c r="K35" s="12"/>
      <c r="L35" s="12"/>
      <c r="M35" s="12"/>
      <c r="N35" s="109"/>
      <c r="O35" s="12"/>
      <c r="P35" s="12"/>
      <c r="Q35" s="12"/>
      <c r="R35" s="12"/>
      <c r="S35" s="12"/>
      <c r="T35" s="12"/>
      <c r="U35" s="12"/>
      <c r="V35" s="12"/>
      <c r="W35" s="12"/>
      <c r="X35" s="12"/>
      <c r="Y35" s="12"/>
      <c r="Z35" s="12"/>
    </row>
    <row r="36" ht="11.25" customHeight="1">
      <c r="A36" s="12"/>
      <c r="B36" s="12"/>
      <c r="C36" s="12"/>
      <c r="D36" s="109"/>
      <c r="E36" s="12"/>
      <c r="F36" s="12"/>
      <c r="G36" s="12"/>
      <c r="H36" s="12"/>
      <c r="I36" s="109"/>
      <c r="J36" s="12"/>
      <c r="K36" s="12"/>
      <c r="L36" s="12"/>
      <c r="M36" s="12"/>
      <c r="N36" s="109"/>
      <c r="O36" s="12"/>
      <c r="P36" s="12"/>
      <c r="Q36" s="12"/>
      <c r="R36" s="12"/>
      <c r="S36" s="12"/>
      <c r="T36" s="12"/>
      <c r="U36" s="12"/>
      <c r="V36" s="12"/>
      <c r="W36" s="12"/>
      <c r="X36" s="12"/>
      <c r="Y36" s="12"/>
      <c r="Z36" s="12"/>
    </row>
    <row r="37" ht="11.25" customHeight="1">
      <c r="A37" s="12"/>
      <c r="B37" s="12"/>
      <c r="C37" s="12"/>
      <c r="D37" s="109"/>
      <c r="E37" s="12"/>
      <c r="F37" s="12"/>
      <c r="G37" s="12"/>
      <c r="H37" s="12"/>
      <c r="I37" s="109"/>
      <c r="J37" s="12"/>
      <c r="K37" s="12"/>
      <c r="L37" s="12"/>
      <c r="M37" s="12"/>
      <c r="N37" s="109"/>
      <c r="O37" s="12"/>
      <c r="P37" s="12"/>
      <c r="Q37" s="12"/>
      <c r="R37" s="12"/>
      <c r="S37" s="12"/>
      <c r="T37" s="12"/>
      <c r="U37" s="12"/>
      <c r="V37" s="12"/>
      <c r="W37" s="12"/>
      <c r="X37" s="12"/>
      <c r="Y37" s="12"/>
      <c r="Z37" s="12"/>
    </row>
    <row r="38" ht="11.25" customHeight="1">
      <c r="A38" s="12"/>
      <c r="B38" s="12"/>
      <c r="C38" s="12"/>
      <c r="D38" s="109"/>
      <c r="E38" s="12"/>
      <c r="F38" s="12"/>
      <c r="G38" s="12"/>
      <c r="H38" s="12"/>
      <c r="I38" s="109"/>
      <c r="J38" s="12"/>
      <c r="K38" s="12"/>
      <c r="L38" s="12"/>
      <c r="M38" s="12"/>
      <c r="N38" s="109"/>
      <c r="O38" s="12"/>
      <c r="P38" s="12"/>
      <c r="Q38" s="12"/>
      <c r="R38" s="12"/>
      <c r="S38" s="12"/>
      <c r="T38" s="12"/>
      <c r="U38" s="12"/>
      <c r="V38" s="12"/>
      <c r="W38" s="12"/>
      <c r="X38" s="12"/>
      <c r="Y38" s="12"/>
      <c r="Z38" s="12"/>
    </row>
    <row r="39" ht="11.25" customHeight="1">
      <c r="A39" s="12"/>
      <c r="B39" s="12"/>
      <c r="C39" s="12"/>
      <c r="D39" s="109"/>
      <c r="E39" s="12"/>
      <c r="F39" s="12"/>
      <c r="G39" s="12"/>
      <c r="H39" s="12"/>
      <c r="I39" s="109"/>
      <c r="J39" s="12"/>
      <c r="K39" s="12"/>
      <c r="L39" s="12"/>
      <c r="M39" s="12"/>
      <c r="N39" s="109"/>
      <c r="O39" s="12"/>
      <c r="P39" s="12"/>
      <c r="Q39" s="12"/>
      <c r="R39" s="12"/>
      <c r="S39" s="12"/>
      <c r="T39" s="12"/>
      <c r="U39" s="12"/>
      <c r="V39" s="12"/>
      <c r="W39" s="12"/>
      <c r="X39" s="12"/>
      <c r="Y39" s="12"/>
      <c r="Z39" s="12"/>
    </row>
    <row r="40" ht="11.25" customHeight="1">
      <c r="A40" s="12"/>
      <c r="B40" s="12"/>
      <c r="C40" s="12"/>
      <c r="D40" s="109"/>
      <c r="E40" s="12"/>
      <c r="F40" s="12"/>
      <c r="G40" s="12"/>
      <c r="H40" s="12"/>
      <c r="I40" s="109"/>
      <c r="J40" s="12"/>
      <c r="K40" s="12"/>
      <c r="L40" s="12"/>
      <c r="M40" s="12"/>
      <c r="N40" s="109"/>
      <c r="O40" s="12"/>
      <c r="P40" s="12"/>
      <c r="Q40" s="12"/>
      <c r="R40" s="12"/>
      <c r="S40" s="12"/>
      <c r="T40" s="12"/>
      <c r="U40" s="12"/>
      <c r="V40" s="12"/>
      <c r="W40" s="12"/>
      <c r="X40" s="12"/>
      <c r="Y40" s="12"/>
      <c r="Z40" s="12"/>
    </row>
    <row r="41" ht="11.25" customHeight="1">
      <c r="A41" s="12"/>
      <c r="B41" s="12"/>
      <c r="C41" s="12"/>
      <c r="D41" s="109"/>
      <c r="E41" s="12"/>
      <c r="F41" s="12"/>
      <c r="G41" s="12"/>
      <c r="H41" s="12"/>
      <c r="I41" s="109"/>
      <c r="J41" s="12"/>
      <c r="K41" s="12"/>
      <c r="L41" s="12"/>
      <c r="M41" s="12"/>
      <c r="N41" s="109"/>
      <c r="O41" s="12"/>
      <c r="P41" s="12"/>
      <c r="Q41" s="12"/>
      <c r="R41" s="12"/>
      <c r="S41" s="12"/>
      <c r="T41" s="12"/>
      <c r="U41" s="12"/>
      <c r="V41" s="12"/>
      <c r="W41" s="12"/>
      <c r="X41" s="12"/>
      <c r="Y41" s="12"/>
      <c r="Z41" s="12"/>
    </row>
    <row r="42" ht="11.25" customHeight="1">
      <c r="A42" s="12"/>
      <c r="B42" s="12"/>
      <c r="C42" s="12"/>
      <c r="D42" s="109"/>
      <c r="E42" s="12"/>
      <c r="F42" s="12"/>
      <c r="G42" s="12"/>
      <c r="H42" s="12"/>
      <c r="I42" s="109"/>
      <c r="J42" s="12"/>
      <c r="K42" s="12"/>
      <c r="L42" s="12"/>
      <c r="M42" s="12"/>
      <c r="N42" s="109"/>
      <c r="O42" s="12"/>
      <c r="P42" s="12"/>
      <c r="Q42" s="12"/>
      <c r="R42" s="12"/>
      <c r="S42" s="12"/>
      <c r="T42" s="12"/>
      <c r="U42" s="12"/>
      <c r="V42" s="12"/>
      <c r="W42" s="12"/>
      <c r="X42" s="12"/>
      <c r="Y42" s="12"/>
      <c r="Z42" s="12"/>
    </row>
    <row r="43" ht="11.25" customHeight="1">
      <c r="A43" s="12"/>
      <c r="B43" s="12"/>
      <c r="C43" s="12"/>
      <c r="D43" s="109"/>
      <c r="E43" s="12"/>
      <c r="F43" s="12"/>
      <c r="G43" s="12"/>
      <c r="H43" s="12"/>
      <c r="I43" s="109"/>
      <c r="J43" s="12"/>
      <c r="K43" s="12"/>
      <c r="L43" s="12"/>
      <c r="M43" s="12"/>
      <c r="N43" s="109"/>
      <c r="O43" s="12"/>
      <c r="P43" s="12"/>
      <c r="Q43" s="12"/>
      <c r="R43" s="12"/>
      <c r="S43" s="12"/>
      <c r="T43" s="12"/>
      <c r="U43" s="12"/>
      <c r="V43" s="12"/>
      <c r="W43" s="12"/>
      <c r="X43" s="12"/>
      <c r="Y43" s="12"/>
      <c r="Z43" s="12"/>
    </row>
    <row r="44" ht="11.25" customHeight="1">
      <c r="A44" s="12"/>
      <c r="B44" s="12"/>
      <c r="C44" s="12"/>
      <c r="D44" s="109"/>
      <c r="E44" s="12"/>
      <c r="F44" s="12"/>
      <c r="G44" s="12"/>
      <c r="H44" s="12"/>
      <c r="I44" s="109"/>
      <c r="J44" s="12"/>
      <c r="K44" s="12"/>
      <c r="L44" s="12"/>
      <c r="M44" s="12"/>
      <c r="N44" s="109"/>
      <c r="O44" s="12"/>
      <c r="P44" s="12"/>
      <c r="Q44" s="12"/>
      <c r="R44" s="12"/>
      <c r="S44" s="12"/>
      <c r="T44" s="12"/>
      <c r="U44" s="12"/>
      <c r="V44" s="12"/>
      <c r="W44" s="12"/>
      <c r="X44" s="12"/>
      <c r="Y44" s="12"/>
      <c r="Z44" s="12"/>
    </row>
    <row r="45" ht="11.25" customHeight="1">
      <c r="A45" s="12"/>
      <c r="B45" s="12"/>
      <c r="C45" s="12"/>
      <c r="D45" s="109"/>
      <c r="E45" s="12"/>
      <c r="F45" s="12"/>
      <c r="G45" s="12"/>
      <c r="H45" s="12"/>
      <c r="I45" s="109"/>
      <c r="J45" s="12"/>
      <c r="K45" s="12"/>
      <c r="L45" s="12"/>
      <c r="M45" s="12"/>
      <c r="N45" s="109"/>
      <c r="O45" s="12"/>
      <c r="P45" s="12"/>
      <c r="Q45" s="12"/>
      <c r="R45" s="12"/>
      <c r="S45" s="12"/>
      <c r="T45" s="12"/>
      <c r="U45" s="12"/>
      <c r="V45" s="12"/>
      <c r="W45" s="12"/>
      <c r="X45" s="12"/>
      <c r="Y45" s="12"/>
      <c r="Z45" s="12"/>
    </row>
    <row r="46" ht="11.25" customHeight="1">
      <c r="A46" s="12"/>
      <c r="B46" s="12"/>
      <c r="C46" s="12"/>
      <c r="D46" s="109"/>
      <c r="E46" s="12"/>
      <c r="F46" s="12"/>
      <c r="G46" s="12"/>
      <c r="H46" s="12"/>
      <c r="I46" s="109"/>
      <c r="J46" s="12"/>
      <c r="K46" s="12"/>
      <c r="L46" s="12"/>
      <c r="M46" s="12"/>
      <c r="N46" s="109"/>
      <c r="O46" s="12"/>
      <c r="P46" s="12"/>
      <c r="Q46" s="12"/>
      <c r="R46" s="12"/>
      <c r="S46" s="12"/>
      <c r="T46" s="12"/>
      <c r="U46" s="12"/>
      <c r="V46" s="12"/>
      <c r="W46" s="12"/>
      <c r="X46" s="12"/>
      <c r="Y46" s="12"/>
      <c r="Z46" s="12"/>
    </row>
    <row r="47" ht="11.25" customHeight="1">
      <c r="A47" s="12"/>
      <c r="B47" s="12"/>
      <c r="C47" s="12"/>
      <c r="D47" s="109"/>
      <c r="E47" s="12"/>
      <c r="F47" s="12"/>
      <c r="G47" s="12"/>
      <c r="H47" s="12"/>
      <c r="I47" s="109"/>
      <c r="J47" s="12"/>
      <c r="K47" s="12"/>
      <c r="L47" s="12"/>
      <c r="M47" s="12"/>
      <c r="N47" s="109"/>
      <c r="O47" s="12"/>
      <c r="P47" s="12"/>
      <c r="Q47" s="12"/>
      <c r="R47" s="12"/>
      <c r="S47" s="12"/>
      <c r="T47" s="12"/>
      <c r="U47" s="12"/>
      <c r="V47" s="12"/>
      <c r="W47" s="12"/>
      <c r="X47" s="12"/>
      <c r="Y47" s="12"/>
      <c r="Z47" s="12"/>
    </row>
    <row r="48" ht="11.25" customHeight="1">
      <c r="A48" s="12"/>
      <c r="B48" s="12"/>
      <c r="C48" s="12"/>
      <c r="D48" s="109"/>
      <c r="E48" s="12"/>
      <c r="F48" s="12"/>
      <c r="G48" s="12"/>
      <c r="H48" s="12"/>
      <c r="I48" s="109"/>
      <c r="J48" s="12"/>
      <c r="K48" s="12"/>
      <c r="L48" s="12"/>
      <c r="M48" s="12"/>
      <c r="N48" s="109"/>
      <c r="O48" s="12"/>
      <c r="P48" s="12"/>
      <c r="Q48" s="12"/>
      <c r="R48" s="12"/>
      <c r="S48" s="12"/>
      <c r="T48" s="12"/>
      <c r="U48" s="12"/>
      <c r="V48" s="12"/>
      <c r="W48" s="12"/>
      <c r="X48" s="12"/>
      <c r="Y48" s="12"/>
      <c r="Z48" s="12"/>
    </row>
    <row r="49">
      <c r="A49" s="12"/>
      <c r="B49" s="12"/>
      <c r="C49" s="12"/>
      <c r="D49" s="109"/>
      <c r="E49" s="12"/>
      <c r="F49" s="12"/>
      <c r="G49" s="12"/>
      <c r="H49" s="12"/>
      <c r="I49" s="109"/>
      <c r="J49" s="12"/>
      <c r="K49" s="12"/>
      <c r="L49" s="12"/>
      <c r="M49" s="12"/>
      <c r="N49" s="109"/>
      <c r="O49" s="12"/>
      <c r="P49" s="12"/>
      <c r="Q49" s="12"/>
      <c r="R49" s="12"/>
      <c r="S49" s="12"/>
      <c r="T49" s="12"/>
      <c r="U49" s="12"/>
      <c r="V49" s="12"/>
      <c r="W49" s="12"/>
      <c r="X49" s="12"/>
      <c r="Y49" s="12"/>
      <c r="Z49" s="12"/>
    </row>
    <row r="50">
      <c r="A50" s="12"/>
      <c r="B50" s="12"/>
      <c r="C50" s="12"/>
      <c r="D50" s="109"/>
      <c r="E50" s="12"/>
      <c r="F50" s="12"/>
      <c r="G50" s="12"/>
      <c r="H50" s="12"/>
      <c r="I50" s="109"/>
      <c r="J50" s="12"/>
      <c r="K50" s="12"/>
      <c r="L50" s="12"/>
      <c r="M50" s="12"/>
      <c r="N50" s="109"/>
      <c r="O50" s="12"/>
      <c r="P50" s="12"/>
      <c r="Q50" s="12"/>
      <c r="R50" s="12"/>
      <c r="S50" s="12"/>
      <c r="T50" s="12"/>
      <c r="U50" s="12"/>
      <c r="V50" s="12"/>
      <c r="W50" s="12"/>
      <c r="X50" s="12"/>
      <c r="Y50" s="12"/>
      <c r="Z50" s="12"/>
    </row>
    <row r="51">
      <c r="A51" s="12"/>
      <c r="B51" s="12"/>
      <c r="C51" s="12"/>
      <c r="D51" s="109"/>
      <c r="E51" s="12"/>
      <c r="F51" s="12"/>
      <c r="G51" s="12"/>
      <c r="H51" s="12"/>
      <c r="I51" s="109"/>
      <c r="J51" s="12"/>
      <c r="K51" s="12"/>
      <c r="L51" s="12"/>
      <c r="M51" s="12"/>
      <c r="N51" s="109"/>
      <c r="O51" s="12"/>
      <c r="P51" s="12"/>
      <c r="Q51" s="12"/>
      <c r="R51" s="12"/>
      <c r="S51" s="12"/>
      <c r="T51" s="12"/>
      <c r="U51" s="12"/>
      <c r="V51" s="12"/>
      <c r="W51" s="12"/>
      <c r="X51" s="12"/>
      <c r="Y51" s="12"/>
      <c r="Z51" s="12"/>
    </row>
    <row r="52">
      <c r="A52" s="12"/>
      <c r="B52" s="12"/>
      <c r="C52" s="12"/>
      <c r="D52" s="109"/>
      <c r="E52" s="12"/>
      <c r="F52" s="12"/>
      <c r="G52" s="12"/>
      <c r="H52" s="12"/>
      <c r="I52" s="109"/>
      <c r="J52" s="12"/>
      <c r="K52" s="12"/>
      <c r="L52" s="12"/>
      <c r="M52" s="12"/>
      <c r="N52" s="109"/>
      <c r="O52" s="12"/>
      <c r="P52" s="12"/>
      <c r="Q52" s="12"/>
      <c r="R52" s="12"/>
      <c r="S52" s="12"/>
      <c r="T52" s="12"/>
      <c r="U52" s="12"/>
      <c r="V52" s="12"/>
      <c r="W52" s="12"/>
      <c r="X52" s="12"/>
      <c r="Y52" s="12"/>
      <c r="Z52" s="12"/>
    </row>
    <row r="53">
      <c r="A53" s="12"/>
      <c r="B53" s="12"/>
      <c r="C53" s="12"/>
      <c r="D53" s="109"/>
      <c r="E53" s="12"/>
      <c r="F53" s="12"/>
      <c r="G53" s="12"/>
      <c r="H53" s="12"/>
      <c r="I53" s="109"/>
      <c r="J53" s="12"/>
      <c r="K53" s="12"/>
      <c r="L53" s="12"/>
      <c r="M53" s="12"/>
      <c r="N53" s="109"/>
      <c r="O53" s="12"/>
      <c r="P53" s="12"/>
      <c r="Q53" s="12"/>
      <c r="R53" s="12"/>
      <c r="S53" s="12"/>
      <c r="T53" s="12"/>
      <c r="U53" s="12"/>
      <c r="V53" s="12"/>
      <c r="W53" s="12"/>
      <c r="X53" s="12"/>
      <c r="Y53" s="12"/>
      <c r="Z53" s="12"/>
    </row>
    <row r="54">
      <c r="A54" s="12"/>
      <c r="B54" s="12"/>
      <c r="C54" s="12"/>
      <c r="D54" s="109"/>
      <c r="E54" s="12"/>
      <c r="F54" s="12"/>
      <c r="G54" s="12"/>
      <c r="H54" s="12"/>
      <c r="I54" s="109"/>
      <c r="J54" s="12"/>
      <c r="K54" s="12"/>
      <c r="L54" s="12"/>
      <c r="M54" s="12"/>
      <c r="N54" s="109"/>
      <c r="O54" s="12"/>
      <c r="P54" s="12"/>
      <c r="Q54" s="12"/>
      <c r="R54" s="12"/>
      <c r="S54" s="12"/>
      <c r="T54" s="12"/>
      <c r="U54" s="12"/>
      <c r="V54" s="12"/>
      <c r="W54" s="12"/>
      <c r="X54" s="12"/>
      <c r="Y54" s="12"/>
      <c r="Z54" s="12"/>
    </row>
    <row r="55">
      <c r="A55" s="12"/>
      <c r="B55" s="12"/>
      <c r="C55" s="12"/>
      <c r="D55" s="109"/>
      <c r="E55" s="12"/>
      <c r="F55" s="12"/>
      <c r="G55" s="12"/>
      <c r="H55" s="12"/>
      <c r="I55" s="109"/>
      <c r="J55" s="12"/>
      <c r="K55" s="12"/>
      <c r="L55" s="12"/>
      <c r="M55" s="12"/>
      <c r="N55" s="109"/>
      <c r="O55" s="12"/>
      <c r="P55" s="12"/>
      <c r="Q55" s="12"/>
      <c r="R55" s="12"/>
      <c r="S55" s="12"/>
      <c r="T55" s="12"/>
      <c r="U55" s="12"/>
      <c r="V55" s="12"/>
      <c r="W55" s="12"/>
      <c r="X55" s="12"/>
      <c r="Y55" s="12"/>
      <c r="Z55" s="12"/>
    </row>
    <row r="56">
      <c r="A56" s="12"/>
      <c r="B56" s="12"/>
      <c r="C56" s="12"/>
      <c r="D56" s="109"/>
      <c r="E56" s="12"/>
      <c r="F56" s="12"/>
      <c r="G56" s="12"/>
      <c r="H56" s="12"/>
      <c r="I56" s="109"/>
      <c r="J56" s="12"/>
      <c r="K56" s="12"/>
      <c r="L56" s="12"/>
      <c r="M56" s="12"/>
      <c r="N56" s="109"/>
      <c r="O56" s="12"/>
      <c r="P56" s="12"/>
      <c r="Q56" s="12"/>
      <c r="R56" s="12"/>
      <c r="S56" s="12"/>
      <c r="T56" s="12"/>
      <c r="U56" s="12"/>
      <c r="V56" s="12"/>
      <c r="W56" s="12"/>
      <c r="X56" s="12"/>
      <c r="Y56" s="12"/>
      <c r="Z56" s="12"/>
    </row>
    <row r="57">
      <c r="A57" s="12"/>
      <c r="B57" s="12"/>
      <c r="C57" s="12"/>
      <c r="D57" s="109"/>
      <c r="E57" s="12"/>
      <c r="F57" s="12"/>
      <c r="G57" s="12"/>
      <c r="H57" s="12"/>
      <c r="I57" s="109"/>
      <c r="J57" s="12"/>
      <c r="K57" s="12"/>
      <c r="L57" s="12"/>
      <c r="M57" s="12"/>
      <c r="N57" s="109"/>
      <c r="O57" s="12"/>
      <c r="P57" s="12"/>
      <c r="Q57" s="12"/>
      <c r="R57" s="12"/>
      <c r="S57" s="12"/>
      <c r="T57" s="12"/>
      <c r="U57" s="12"/>
      <c r="V57" s="12"/>
      <c r="W57" s="12"/>
      <c r="X57" s="12"/>
      <c r="Y57" s="12"/>
      <c r="Z57" s="12"/>
    </row>
    <row r="58">
      <c r="A58" s="12"/>
      <c r="B58" s="12"/>
      <c r="C58" s="12"/>
      <c r="D58" s="109"/>
      <c r="E58" s="12"/>
      <c r="F58" s="12"/>
      <c r="G58" s="12"/>
      <c r="H58" s="12"/>
      <c r="I58" s="109"/>
      <c r="J58" s="12"/>
      <c r="K58" s="12"/>
      <c r="L58" s="12"/>
      <c r="M58" s="12"/>
      <c r="N58" s="109"/>
      <c r="O58" s="12"/>
      <c r="P58" s="12"/>
      <c r="Q58" s="12"/>
      <c r="R58" s="12"/>
      <c r="S58" s="12"/>
      <c r="T58" s="12"/>
      <c r="U58" s="12"/>
      <c r="V58" s="12"/>
      <c r="W58" s="12"/>
      <c r="X58" s="12"/>
      <c r="Y58" s="12"/>
      <c r="Z58" s="12"/>
    </row>
    <row r="59">
      <c r="A59" s="12"/>
      <c r="B59" s="12"/>
      <c r="C59" s="12"/>
      <c r="D59" s="109"/>
      <c r="E59" s="12"/>
      <c r="F59" s="12"/>
      <c r="G59" s="12"/>
      <c r="H59" s="12"/>
      <c r="I59" s="109"/>
      <c r="J59" s="12"/>
      <c r="K59" s="12"/>
      <c r="L59" s="12"/>
      <c r="M59" s="12"/>
      <c r="N59" s="109"/>
      <c r="O59" s="12"/>
      <c r="P59" s="12"/>
      <c r="Q59" s="12"/>
      <c r="R59" s="12"/>
      <c r="S59" s="12"/>
      <c r="T59" s="12"/>
      <c r="U59" s="12"/>
      <c r="V59" s="12"/>
      <c r="W59" s="12"/>
      <c r="X59" s="12"/>
      <c r="Y59" s="12"/>
      <c r="Z59" s="12"/>
    </row>
    <row r="60">
      <c r="A60" s="12"/>
      <c r="B60" s="12"/>
      <c r="C60" s="12"/>
      <c r="D60" s="109"/>
      <c r="E60" s="12"/>
      <c r="F60" s="12"/>
      <c r="G60" s="12"/>
      <c r="H60" s="12"/>
      <c r="I60" s="109"/>
      <c r="J60" s="12"/>
      <c r="K60" s="12"/>
      <c r="L60" s="12"/>
      <c r="M60" s="12"/>
      <c r="N60" s="109"/>
      <c r="O60" s="12"/>
      <c r="P60" s="12"/>
      <c r="Q60" s="12"/>
      <c r="R60" s="12"/>
      <c r="S60" s="12"/>
      <c r="T60" s="12"/>
      <c r="U60" s="12"/>
      <c r="V60" s="12"/>
      <c r="W60" s="12"/>
      <c r="X60" s="12"/>
      <c r="Y60" s="12"/>
      <c r="Z60" s="12"/>
    </row>
    <row r="61">
      <c r="A61" s="12"/>
      <c r="B61" s="12"/>
      <c r="C61" s="12"/>
      <c r="D61" s="109"/>
      <c r="E61" s="12"/>
      <c r="F61" s="12"/>
      <c r="G61" s="12"/>
      <c r="H61" s="12"/>
      <c r="I61" s="109"/>
      <c r="J61" s="12"/>
      <c r="K61" s="12"/>
      <c r="L61" s="12"/>
      <c r="M61" s="12"/>
      <c r="N61" s="109"/>
      <c r="O61" s="12"/>
      <c r="P61" s="12"/>
      <c r="Q61" s="12"/>
      <c r="R61" s="12"/>
      <c r="S61" s="12"/>
      <c r="T61" s="12"/>
      <c r="U61" s="12"/>
      <c r="V61" s="12"/>
      <c r="W61" s="12"/>
      <c r="X61" s="12"/>
      <c r="Y61" s="12"/>
      <c r="Z61" s="12"/>
    </row>
    <row r="62">
      <c r="A62" s="12"/>
      <c r="B62" s="12"/>
      <c r="C62" s="12"/>
      <c r="D62" s="109"/>
      <c r="E62" s="12"/>
      <c r="F62" s="12"/>
      <c r="G62" s="12"/>
      <c r="H62" s="12"/>
      <c r="I62" s="109"/>
      <c r="J62" s="12"/>
      <c r="K62" s="12"/>
      <c r="L62" s="12"/>
      <c r="M62" s="12"/>
      <c r="N62" s="109"/>
      <c r="O62" s="12"/>
      <c r="P62" s="12"/>
      <c r="Q62" s="12"/>
      <c r="R62" s="12"/>
      <c r="S62" s="12"/>
      <c r="T62" s="12"/>
      <c r="U62" s="12"/>
      <c r="V62" s="12"/>
      <c r="W62" s="12"/>
      <c r="X62" s="12"/>
      <c r="Y62" s="12"/>
      <c r="Z62" s="12"/>
    </row>
    <row r="63">
      <c r="A63" s="12"/>
      <c r="B63" s="12"/>
      <c r="C63" s="12"/>
      <c r="D63" s="109"/>
      <c r="E63" s="12"/>
      <c r="F63" s="12"/>
      <c r="G63" s="12"/>
      <c r="H63" s="12"/>
      <c r="I63" s="109"/>
      <c r="J63" s="12"/>
      <c r="K63" s="12"/>
      <c r="L63" s="12"/>
      <c r="M63" s="12"/>
      <c r="N63" s="109"/>
      <c r="O63" s="12"/>
      <c r="P63" s="12"/>
      <c r="Q63" s="12"/>
      <c r="R63" s="12"/>
      <c r="S63" s="12"/>
      <c r="T63" s="12"/>
      <c r="U63" s="12"/>
      <c r="V63" s="12"/>
      <c r="W63" s="12"/>
      <c r="X63" s="12"/>
      <c r="Y63" s="12"/>
      <c r="Z63" s="12"/>
    </row>
    <row r="64">
      <c r="A64" s="12"/>
      <c r="B64" s="12"/>
      <c r="C64" s="12"/>
      <c r="D64" s="109"/>
      <c r="E64" s="12"/>
      <c r="F64" s="12"/>
      <c r="G64" s="12"/>
      <c r="H64" s="12"/>
      <c r="I64" s="109"/>
      <c r="J64" s="12"/>
      <c r="K64" s="12"/>
      <c r="L64" s="12"/>
      <c r="M64" s="12"/>
      <c r="N64" s="109"/>
      <c r="O64" s="12"/>
      <c r="P64" s="12"/>
      <c r="Q64" s="12"/>
      <c r="R64" s="12"/>
      <c r="S64" s="12"/>
      <c r="T64" s="12"/>
      <c r="U64" s="12"/>
      <c r="V64" s="12"/>
      <c r="W64" s="12"/>
      <c r="X64" s="12"/>
      <c r="Y64" s="12"/>
      <c r="Z64" s="12"/>
    </row>
    <row r="65">
      <c r="A65" s="12"/>
      <c r="B65" s="12"/>
      <c r="C65" s="12"/>
      <c r="D65" s="109"/>
      <c r="E65" s="12"/>
      <c r="F65" s="12"/>
      <c r="G65" s="12"/>
      <c r="H65" s="12"/>
      <c r="I65" s="109"/>
      <c r="J65" s="12"/>
      <c r="K65" s="12"/>
      <c r="L65" s="12"/>
      <c r="M65" s="12"/>
      <c r="N65" s="109"/>
      <c r="O65" s="12"/>
      <c r="P65" s="12"/>
      <c r="Q65" s="12"/>
      <c r="R65" s="12"/>
      <c r="S65" s="12"/>
      <c r="T65" s="12"/>
      <c r="U65" s="12"/>
      <c r="V65" s="12"/>
      <c r="W65" s="12"/>
      <c r="X65" s="12"/>
      <c r="Y65" s="12"/>
      <c r="Z65" s="12"/>
    </row>
    <row r="66">
      <c r="A66" s="12"/>
      <c r="B66" s="12"/>
      <c r="C66" s="12"/>
      <c r="D66" s="109"/>
      <c r="E66" s="12"/>
      <c r="F66" s="12"/>
      <c r="G66" s="12"/>
      <c r="H66" s="12"/>
      <c r="I66" s="109"/>
      <c r="J66" s="12"/>
      <c r="K66" s="12"/>
      <c r="L66" s="12"/>
      <c r="M66" s="12"/>
      <c r="N66" s="109"/>
      <c r="O66" s="12"/>
      <c r="P66" s="12"/>
      <c r="Q66" s="12"/>
      <c r="R66" s="12"/>
      <c r="S66" s="12"/>
      <c r="T66" s="12"/>
      <c r="U66" s="12"/>
      <c r="V66" s="12"/>
      <c r="W66" s="12"/>
      <c r="X66" s="12"/>
      <c r="Y66" s="12"/>
      <c r="Z66" s="12"/>
    </row>
    <row r="67">
      <c r="A67" s="12"/>
      <c r="B67" s="12"/>
      <c r="C67" s="12"/>
      <c r="D67" s="109"/>
      <c r="E67" s="12"/>
      <c r="F67" s="12"/>
      <c r="G67" s="12"/>
      <c r="H67" s="12"/>
      <c r="I67" s="109"/>
      <c r="J67" s="12"/>
      <c r="K67" s="12"/>
      <c r="L67" s="12"/>
      <c r="M67" s="12"/>
      <c r="N67" s="109"/>
      <c r="O67" s="12"/>
      <c r="P67" s="12"/>
      <c r="Q67" s="12"/>
      <c r="R67" s="12"/>
      <c r="S67" s="12"/>
      <c r="T67" s="12"/>
      <c r="U67" s="12"/>
      <c r="V67" s="12"/>
      <c r="W67" s="12"/>
      <c r="X67" s="12"/>
      <c r="Y67" s="12"/>
      <c r="Z67" s="12"/>
    </row>
    <row r="68">
      <c r="A68" s="12"/>
      <c r="B68" s="12"/>
      <c r="C68" s="12"/>
      <c r="D68" s="109"/>
      <c r="E68" s="12"/>
      <c r="F68" s="12"/>
      <c r="G68" s="12"/>
      <c r="H68" s="12"/>
      <c r="I68" s="109"/>
      <c r="J68" s="12"/>
      <c r="K68" s="12"/>
      <c r="L68" s="12"/>
      <c r="M68" s="12"/>
      <c r="N68" s="109"/>
      <c r="O68" s="12"/>
      <c r="P68" s="12"/>
      <c r="Q68" s="12"/>
      <c r="R68" s="12"/>
      <c r="S68" s="12"/>
      <c r="T68" s="12"/>
      <c r="U68" s="12"/>
      <c r="V68" s="12"/>
      <c r="W68" s="12"/>
      <c r="X68" s="12"/>
      <c r="Y68" s="12"/>
      <c r="Z68" s="12"/>
    </row>
    <row r="69">
      <c r="A69" s="12"/>
      <c r="B69" s="12"/>
      <c r="C69" s="12"/>
      <c r="D69" s="109"/>
      <c r="E69" s="12"/>
      <c r="F69" s="12"/>
      <c r="G69" s="12"/>
      <c r="H69" s="12"/>
      <c r="I69" s="109"/>
      <c r="J69" s="12"/>
      <c r="K69" s="12"/>
      <c r="L69" s="12"/>
      <c r="M69" s="12"/>
      <c r="N69" s="109"/>
      <c r="O69" s="12"/>
      <c r="P69" s="12"/>
      <c r="Q69" s="12"/>
      <c r="R69" s="12"/>
      <c r="S69" s="12"/>
      <c r="T69" s="12"/>
      <c r="U69" s="12"/>
      <c r="V69" s="12"/>
      <c r="W69" s="12"/>
      <c r="X69" s="12"/>
      <c r="Y69" s="12"/>
      <c r="Z69" s="12"/>
    </row>
    <row r="70">
      <c r="A70" s="12"/>
      <c r="B70" s="12"/>
      <c r="C70" s="12"/>
      <c r="D70" s="109"/>
      <c r="E70" s="12"/>
      <c r="F70" s="12"/>
      <c r="G70" s="12"/>
      <c r="H70" s="12"/>
      <c r="I70" s="109"/>
      <c r="J70" s="12"/>
      <c r="K70" s="12"/>
      <c r="L70" s="12"/>
      <c r="M70" s="12"/>
      <c r="N70" s="109"/>
      <c r="O70" s="12"/>
      <c r="P70" s="12"/>
      <c r="Q70" s="12"/>
      <c r="R70" s="12"/>
      <c r="S70" s="12"/>
      <c r="T70" s="12"/>
      <c r="U70" s="12"/>
      <c r="V70" s="12"/>
      <c r="W70" s="12"/>
      <c r="X70" s="12"/>
      <c r="Y70" s="12"/>
      <c r="Z70" s="12"/>
    </row>
    <row r="71">
      <c r="A71" s="12"/>
      <c r="B71" s="12"/>
      <c r="C71" s="12"/>
      <c r="D71" s="109"/>
      <c r="E71" s="12"/>
      <c r="F71" s="12"/>
      <c r="G71" s="12"/>
      <c r="H71" s="12"/>
      <c r="I71" s="109"/>
      <c r="J71" s="12"/>
      <c r="K71" s="12"/>
      <c r="L71" s="12"/>
      <c r="M71" s="12"/>
      <c r="N71" s="109"/>
      <c r="O71" s="12"/>
      <c r="P71" s="12"/>
      <c r="Q71" s="12"/>
      <c r="R71" s="12"/>
      <c r="S71" s="12"/>
      <c r="T71" s="12"/>
      <c r="U71" s="12"/>
      <c r="V71" s="12"/>
      <c r="W71" s="12"/>
      <c r="X71" s="12"/>
      <c r="Y71" s="12"/>
      <c r="Z71" s="12"/>
    </row>
    <row r="72">
      <c r="A72" s="12"/>
      <c r="B72" s="12"/>
      <c r="C72" s="12"/>
      <c r="D72" s="109"/>
      <c r="E72" s="12"/>
      <c r="F72" s="12"/>
      <c r="G72" s="12"/>
      <c r="H72" s="12"/>
      <c r="I72" s="109"/>
      <c r="J72" s="12"/>
      <c r="K72" s="12"/>
      <c r="L72" s="12"/>
      <c r="M72" s="12"/>
      <c r="N72" s="109"/>
      <c r="O72" s="12"/>
      <c r="P72" s="12"/>
      <c r="Q72" s="12"/>
      <c r="R72" s="12"/>
      <c r="S72" s="12"/>
      <c r="T72" s="12"/>
      <c r="U72" s="12"/>
      <c r="V72" s="12"/>
      <c r="W72" s="12"/>
      <c r="X72" s="12"/>
      <c r="Y72" s="12"/>
      <c r="Z72" s="12"/>
    </row>
    <row r="73">
      <c r="A73" s="12"/>
      <c r="B73" s="12"/>
      <c r="C73" s="12"/>
      <c r="D73" s="109"/>
      <c r="E73" s="12"/>
      <c r="F73" s="12"/>
      <c r="G73" s="12"/>
      <c r="H73" s="12"/>
      <c r="I73" s="109"/>
      <c r="J73" s="12"/>
      <c r="K73" s="12"/>
      <c r="L73" s="12"/>
      <c r="M73" s="12"/>
      <c r="N73" s="109"/>
      <c r="O73" s="12"/>
      <c r="P73" s="12"/>
      <c r="Q73" s="12"/>
      <c r="R73" s="12"/>
      <c r="S73" s="12"/>
      <c r="T73" s="12"/>
      <c r="U73" s="12"/>
      <c r="V73" s="12"/>
      <c r="W73" s="12"/>
      <c r="X73" s="12"/>
      <c r="Y73" s="12"/>
      <c r="Z73" s="12"/>
    </row>
    <row r="74">
      <c r="A74" s="12"/>
      <c r="B74" s="12"/>
      <c r="C74" s="12"/>
      <c r="D74" s="109"/>
      <c r="E74" s="12"/>
      <c r="F74" s="12"/>
      <c r="G74" s="12"/>
      <c r="H74" s="12"/>
      <c r="I74" s="109"/>
      <c r="J74" s="12"/>
      <c r="K74" s="12"/>
      <c r="L74" s="12"/>
      <c r="M74" s="12"/>
      <c r="N74" s="109"/>
      <c r="O74" s="12"/>
      <c r="P74" s="12"/>
      <c r="Q74" s="12"/>
      <c r="R74" s="12"/>
      <c r="S74" s="12"/>
      <c r="T74" s="12"/>
      <c r="U74" s="12"/>
      <c r="V74" s="12"/>
      <c r="W74" s="12"/>
      <c r="X74" s="12"/>
      <c r="Y74" s="12"/>
      <c r="Z74" s="12"/>
    </row>
    <row r="75">
      <c r="A75" s="12"/>
      <c r="B75" s="12"/>
      <c r="C75" s="12"/>
      <c r="D75" s="109"/>
      <c r="E75" s="12"/>
      <c r="F75" s="12"/>
      <c r="G75" s="12"/>
      <c r="H75" s="12"/>
      <c r="I75" s="109"/>
      <c r="J75" s="12"/>
      <c r="K75" s="12"/>
      <c r="L75" s="12"/>
      <c r="M75" s="12"/>
      <c r="N75" s="109"/>
      <c r="O75" s="12"/>
      <c r="P75" s="12"/>
      <c r="Q75" s="12"/>
      <c r="R75" s="12"/>
      <c r="S75" s="12"/>
      <c r="T75" s="12"/>
      <c r="U75" s="12"/>
      <c r="V75" s="12"/>
      <c r="W75" s="12"/>
      <c r="X75" s="12"/>
      <c r="Y75" s="12"/>
      <c r="Z75" s="12"/>
    </row>
    <row r="76">
      <c r="A76" s="12"/>
      <c r="B76" s="12"/>
      <c r="C76" s="12"/>
      <c r="D76" s="109"/>
      <c r="E76" s="12"/>
      <c r="F76" s="12"/>
      <c r="G76" s="12"/>
      <c r="H76" s="12"/>
      <c r="I76" s="109"/>
      <c r="J76" s="12"/>
      <c r="K76" s="12"/>
      <c r="L76" s="12"/>
      <c r="M76" s="12"/>
      <c r="N76" s="109"/>
      <c r="O76" s="12"/>
      <c r="P76" s="12"/>
      <c r="Q76" s="12"/>
      <c r="R76" s="12"/>
      <c r="S76" s="12"/>
      <c r="T76" s="12"/>
      <c r="U76" s="12"/>
      <c r="V76" s="12"/>
      <c r="W76" s="12"/>
      <c r="X76" s="12"/>
      <c r="Y76" s="12"/>
      <c r="Z76" s="12"/>
    </row>
    <row r="77">
      <c r="A77" s="12"/>
      <c r="B77" s="12"/>
      <c r="C77" s="12"/>
      <c r="D77" s="109"/>
      <c r="E77" s="12"/>
      <c r="F77" s="12"/>
      <c r="G77" s="12"/>
      <c r="H77" s="12"/>
      <c r="I77" s="109"/>
      <c r="J77" s="12"/>
      <c r="K77" s="12"/>
      <c r="L77" s="12"/>
      <c r="M77" s="12"/>
      <c r="N77" s="109"/>
      <c r="O77" s="12"/>
      <c r="P77" s="12"/>
      <c r="Q77" s="12"/>
      <c r="R77" s="12"/>
      <c r="S77" s="12"/>
      <c r="T77" s="12"/>
      <c r="U77" s="12"/>
      <c r="V77" s="12"/>
      <c r="W77" s="12"/>
      <c r="X77" s="12"/>
      <c r="Y77" s="12"/>
      <c r="Z77" s="12"/>
    </row>
    <row r="78">
      <c r="A78" s="12"/>
      <c r="B78" s="12"/>
      <c r="C78" s="12"/>
      <c r="D78" s="109"/>
      <c r="E78" s="12"/>
      <c r="F78" s="12"/>
      <c r="G78" s="12"/>
      <c r="H78" s="12"/>
      <c r="I78" s="109"/>
      <c r="J78" s="12"/>
      <c r="K78" s="12"/>
      <c r="L78" s="12"/>
      <c r="M78" s="12"/>
      <c r="N78" s="109"/>
      <c r="O78" s="12"/>
      <c r="P78" s="12"/>
      <c r="Q78" s="12"/>
      <c r="R78" s="12"/>
      <c r="S78" s="12"/>
      <c r="T78" s="12"/>
      <c r="U78" s="12"/>
      <c r="V78" s="12"/>
      <c r="W78" s="12"/>
      <c r="X78" s="12"/>
      <c r="Y78" s="12"/>
      <c r="Z78" s="12"/>
    </row>
    <row r="79">
      <c r="A79" s="12"/>
      <c r="B79" s="12"/>
      <c r="C79" s="12"/>
      <c r="D79" s="109"/>
      <c r="E79" s="12"/>
      <c r="F79" s="12"/>
      <c r="G79" s="12"/>
      <c r="H79" s="12"/>
      <c r="I79" s="109"/>
      <c r="J79" s="12"/>
      <c r="K79" s="12"/>
      <c r="L79" s="12"/>
      <c r="M79" s="12"/>
      <c r="N79" s="109"/>
      <c r="O79" s="12"/>
      <c r="P79" s="12"/>
      <c r="Q79" s="12"/>
      <c r="R79" s="12"/>
      <c r="S79" s="12"/>
      <c r="T79" s="12"/>
      <c r="U79" s="12"/>
      <c r="V79" s="12"/>
      <c r="W79" s="12"/>
      <c r="X79" s="12"/>
      <c r="Y79" s="12"/>
      <c r="Z79" s="12"/>
    </row>
    <row r="80">
      <c r="A80" s="12"/>
      <c r="B80" s="12"/>
      <c r="C80" s="12"/>
      <c r="D80" s="109"/>
      <c r="E80" s="12"/>
      <c r="F80" s="12"/>
      <c r="G80" s="12"/>
      <c r="H80" s="12"/>
      <c r="I80" s="109"/>
      <c r="J80" s="12"/>
      <c r="K80" s="12"/>
      <c r="L80" s="12"/>
      <c r="M80" s="12"/>
      <c r="N80" s="109"/>
      <c r="O80" s="12"/>
      <c r="P80" s="12"/>
      <c r="Q80" s="12"/>
      <c r="R80" s="12"/>
      <c r="S80" s="12"/>
      <c r="T80" s="12"/>
      <c r="U80" s="12"/>
      <c r="V80" s="12"/>
      <c r="W80" s="12"/>
      <c r="X80" s="12"/>
      <c r="Y80" s="12"/>
      <c r="Z80" s="12"/>
    </row>
    <row r="81">
      <c r="A81" s="12"/>
      <c r="B81" s="12"/>
      <c r="C81" s="12"/>
      <c r="D81" s="109"/>
      <c r="E81" s="12"/>
      <c r="F81" s="12"/>
      <c r="G81" s="12"/>
      <c r="H81" s="12"/>
      <c r="I81" s="109"/>
      <c r="J81" s="12"/>
      <c r="K81" s="12"/>
      <c r="L81" s="12"/>
      <c r="M81" s="12"/>
      <c r="N81" s="109"/>
      <c r="O81" s="12"/>
      <c r="P81" s="12"/>
      <c r="Q81" s="12"/>
      <c r="R81" s="12"/>
      <c r="S81" s="12"/>
      <c r="T81" s="12"/>
      <c r="U81" s="12"/>
      <c r="V81" s="12"/>
      <c r="W81" s="12"/>
      <c r="X81" s="12"/>
      <c r="Y81" s="12"/>
      <c r="Z81" s="12"/>
    </row>
    <row r="82">
      <c r="A82" s="12"/>
      <c r="B82" s="12"/>
      <c r="C82" s="12"/>
      <c r="D82" s="109"/>
      <c r="E82" s="12"/>
      <c r="F82" s="12"/>
      <c r="G82" s="12"/>
      <c r="H82" s="12"/>
      <c r="I82" s="109"/>
      <c r="J82" s="12"/>
      <c r="K82" s="12"/>
      <c r="L82" s="12"/>
      <c r="M82" s="12"/>
      <c r="N82" s="109"/>
      <c r="O82" s="12"/>
      <c r="P82" s="12"/>
      <c r="Q82" s="12"/>
      <c r="R82" s="12"/>
      <c r="S82" s="12"/>
      <c r="T82" s="12"/>
      <c r="U82" s="12"/>
      <c r="V82" s="12"/>
      <c r="W82" s="12"/>
      <c r="X82" s="12"/>
      <c r="Y82" s="12"/>
      <c r="Z82" s="12"/>
    </row>
    <row r="83">
      <c r="A83" s="12"/>
      <c r="B83" s="12"/>
      <c r="C83" s="12"/>
      <c r="D83" s="109"/>
      <c r="E83" s="12"/>
      <c r="F83" s="12"/>
      <c r="G83" s="12"/>
      <c r="H83" s="12"/>
      <c r="I83" s="109"/>
      <c r="J83" s="12"/>
      <c r="K83" s="12"/>
      <c r="L83" s="12"/>
      <c r="M83" s="12"/>
      <c r="N83" s="109"/>
      <c r="O83" s="12"/>
      <c r="P83" s="12"/>
      <c r="Q83" s="12"/>
      <c r="R83" s="12"/>
      <c r="S83" s="12"/>
      <c r="T83" s="12"/>
      <c r="U83" s="12"/>
      <c r="V83" s="12"/>
      <c r="W83" s="12"/>
      <c r="X83" s="12"/>
      <c r="Y83" s="12"/>
      <c r="Z83" s="12"/>
    </row>
    <row r="84">
      <c r="A84" s="12"/>
      <c r="B84" s="12"/>
      <c r="C84" s="12"/>
      <c r="D84" s="109"/>
      <c r="E84" s="12"/>
      <c r="F84" s="12"/>
      <c r="G84" s="12"/>
      <c r="H84" s="12"/>
      <c r="I84" s="109"/>
      <c r="J84" s="12"/>
      <c r="K84" s="12"/>
      <c r="L84" s="12"/>
      <c r="M84" s="12"/>
      <c r="N84" s="109"/>
      <c r="O84" s="12"/>
      <c r="P84" s="12"/>
      <c r="Q84" s="12"/>
      <c r="R84" s="12"/>
      <c r="S84" s="12"/>
      <c r="T84" s="12"/>
      <c r="U84" s="12"/>
      <c r="V84" s="12"/>
      <c r="W84" s="12"/>
      <c r="X84" s="12"/>
      <c r="Y84" s="12"/>
      <c r="Z84" s="12"/>
    </row>
    <row r="85">
      <c r="A85" s="12"/>
      <c r="B85" s="12"/>
      <c r="C85" s="12"/>
      <c r="D85" s="109"/>
      <c r="E85" s="12"/>
      <c r="F85" s="12"/>
      <c r="G85" s="12"/>
      <c r="H85" s="12"/>
      <c r="I85" s="109"/>
      <c r="J85" s="12"/>
      <c r="K85" s="12"/>
      <c r="L85" s="12"/>
      <c r="M85" s="12"/>
      <c r="N85" s="109"/>
      <c r="O85" s="12"/>
      <c r="P85" s="12"/>
      <c r="Q85" s="12"/>
      <c r="R85" s="12"/>
      <c r="S85" s="12"/>
      <c r="T85" s="12"/>
      <c r="U85" s="12"/>
      <c r="V85" s="12"/>
      <c r="W85" s="12"/>
      <c r="X85" s="12"/>
      <c r="Y85" s="12"/>
      <c r="Z85" s="12"/>
    </row>
    <row r="86">
      <c r="A86" s="12"/>
      <c r="B86" s="12"/>
      <c r="C86" s="12"/>
      <c r="D86" s="109"/>
      <c r="E86" s="12"/>
      <c r="F86" s="12"/>
      <c r="G86" s="12"/>
      <c r="H86" s="12"/>
      <c r="I86" s="109"/>
      <c r="J86" s="12"/>
      <c r="K86" s="12"/>
      <c r="L86" s="12"/>
      <c r="M86" s="12"/>
      <c r="N86" s="109"/>
      <c r="O86" s="12"/>
      <c r="P86" s="12"/>
      <c r="Q86" s="12"/>
      <c r="R86" s="12"/>
      <c r="S86" s="12"/>
      <c r="T86" s="12"/>
      <c r="U86" s="12"/>
      <c r="V86" s="12"/>
      <c r="W86" s="12"/>
      <c r="X86" s="12"/>
      <c r="Y86" s="12"/>
      <c r="Z86" s="12"/>
    </row>
    <row r="87">
      <c r="A87" s="12"/>
      <c r="B87" s="12"/>
      <c r="C87" s="12"/>
      <c r="D87" s="109"/>
      <c r="E87" s="12"/>
      <c r="F87" s="12"/>
      <c r="G87" s="12"/>
      <c r="H87" s="12"/>
      <c r="I87" s="109"/>
      <c r="J87" s="12"/>
      <c r="K87" s="12"/>
      <c r="L87" s="12"/>
      <c r="M87" s="12"/>
      <c r="N87" s="109"/>
      <c r="O87" s="12"/>
      <c r="P87" s="12"/>
      <c r="Q87" s="12"/>
      <c r="R87" s="12"/>
      <c r="S87" s="12"/>
      <c r="T87" s="12"/>
      <c r="U87" s="12"/>
      <c r="V87" s="12"/>
      <c r="W87" s="12"/>
      <c r="X87" s="12"/>
      <c r="Y87" s="12"/>
      <c r="Z87" s="12"/>
    </row>
    <row r="88">
      <c r="A88" s="12"/>
      <c r="B88" s="12"/>
      <c r="C88" s="12"/>
      <c r="D88" s="109"/>
      <c r="E88" s="12"/>
      <c r="F88" s="12"/>
      <c r="G88" s="12"/>
      <c r="H88" s="12"/>
      <c r="I88" s="109"/>
      <c r="J88" s="12"/>
      <c r="K88" s="12"/>
      <c r="L88" s="12"/>
      <c r="M88" s="12"/>
      <c r="N88" s="109"/>
      <c r="O88" s="12"/>
      <c r="P88" s="12"/>
      <c r="Q88" s="12"/>
      <c r="R88" s="12"/>
      <c r="S88" s="12"/>
      <c r="T88" s="12"/>
      <c r="U88" s="12"/>
      <c r="V88" s="12"/>
      <c r="W88" s="12"/>
      <c r="X88" s="12"/>
      <c r="Y88" s="12"/>
      <c r="Z88" s="12"/>
    </row>
    <row r="89">
      <c r="A89" s="12"/>
      <c r="B89" s="12"/>
      <c r="C89" s="12"/>
      <c r="D89" s="109"/>
      <c r="E89" s="12"/>
      <c r="F89" s="12"/>
      <c r="G89" s="12"/>
      <c r="H89" s="12"/>
      <c r="I89" s="109"/>
      <c r="J89" s="12"/>
      <c r="K89" s="12"/>
      <c r="L89" s="12"/>
      <c r="M89" s="12"/>
      <c r="N89" s="109"/>
      <c r="O89" s="12"/>
      <c r="P89" s="12"/>
      <c r="Q89" s="12"/>
      <c r="R89" s="12"/>
      <c r="S89" s="12"/>
      <c r="T89" s="12"/>
      <c r="U89" s="12"/>
      <c r="V89" s="12"/>
      <c r="W89" s="12"/>
      <c r="X89" s="12"/>
      <c r="Y89" s="12"/>
      <c r="Z89" s="12"/>
    </row>
    <row r="90">
      <c r="A90" s="12"/>
      <c r="B90" s="12"/>
      <c r="C90" s="12"/>
      <c r="D90" s="109"/>
      <c r="E90" s="12"/>
      <c r="F90" s="12"/>
      <c r="G90" s="12"/>
      <c r="H90" s="12"/>
      <c r="I90" s="109"/>
      <c r="J90" s="12"/>
      <c r="K90" s="12"/>
      <c r="L90" s="12"/>
      <c r="M90" s="12"/>
      <c r="N90" s="109"/>
      <c r="O90" s="12"/>
      <c r="P90" s="12"/>
      <c r="Q90" s="12"/>
      <c r="R90" s="12"/>
      <c r="S90" s="12"/>
      <c r="T90" s="12"/>
      <c r="U90" s="12"/>
      <c r="V90" s="12"/>
      <c r="W90" s="12"/>
      <c r="X90" s="12"/>
      <c r="Y90" s="12"/>
      <c r="Z90" s="12"/>
    </row>
    <row r="91">
      <c r="A91" s="12"/>
      <c r="B91" s="12"/>
      <c r="C91" s="12"/>
      <c r="D91" s="109"/>
      <c r="E91" s="12"/>
      <c r="F91" s="12"/>
      <c r="G91" s="12"/>
      <c r="H91" s="12"/>
      <c r="I91" s="109"/>
      <c r="J91" s="12"/>
      <c r="K91" s="12"/>
      <c r="L91" s="12"/>
      <c r="M91" s="12"/>
      <c r="N91" s="109"/>
      <c r="O91" s="12"/>
      <c r="P91" s="12"/>
      <c r="Q91" s="12"/>
      <c r="R91" s="12"/>
      <c r="S91" s="12"/>
      <c r="T91" s="12"/>
      <c r="U91" s="12"/>
      <c r="V91" s="12"/>
      <c r="W91" s="12"/>
      <c r="X91" s="12"/>
      <c r="Y91" s="12"/>
      <c r="Z91" s="12"/>
    </row>
    <row r="92">
      <c r="A92" s="12"/>
      <c r="B92" s="12"/>
      <c r="C92" s="12"/>
      <c r="D92" s="109"/>
      <c r="E92" s="12"/>
      <c r="F92" s="12"/>
      <c r="G92" s="12"/>
      <c r="H92" s="12"/>
      <c r="I92" s="109"/>
      <c r="J92" s="12"/>
      <c r="K92" s="12"/>
      <c r="L92" s="12"/>
      <c r="M92" s="12"/>
      <c r="N92" s="109"/>
      <c r="O92" s="12"/>
      <c r="P92" s="12"/>
      <c r="Q92" s="12"/>
      <c r="R92" s="12"/>
      <c r="S92" s="12"/>
      <c r="T92" s="12"/>
      <c r="U92" s="12"/>
      <c r="V92" s="12"/>
      <c r="W92" s="12"/>
      <c r="X92" s="12"/>
      <c r="Y92" s="12"/>
      <c r="Z92" s="12"/>
    </row>
    <row r="93">
      <c r="A93" s="12"/>
      <c r="B93" s="12"/>
      <c r="C93" s="12"/>
      <c r="D93" s="109"/>
      <c r="E93" s="12"/>
      <c r="F93" s="12"/>
      <c r="G93" s="12"/>
      <c r="H93" s="12"/>
      <c r="I93" s="109"/>
      <c r="J93" s="12"/>
      <c r="K93" s="12"/>
      <c r="L93" s="12"/>
      <c r="M93" s="12"/>
      <c r="N93" s="109"/>
      <c r="O93" s="12"/>
      <c r="P93" s="12"/>
      <c r="Q93" s="12"/>
      <c r="R93" s="12"/>
      <c r="S93" s="12"/>
      <c r="T93" s="12"/>
      <c r="U93" s="12"/>
      <c r="V93" s="12"/>
      <c r="W93" s="12"/>
      <c r="X93" s="12"/>
      <c r="Y93" s="12"/>
      <c r="Z93" s="12"/>
    </row>
    <row r="94">
      <c r="A94" s="12"/>
      <c r="B94" s="12"/>
      <c r="C94" s="12"/>
      <c r="D94" s="109"/>
      <c r="E94" s="12"/>
      <c r="F94" s="12"/>
      <c r="G94" s="12"/>
      <c r="H94" s="12"/>
      <c r="I94" s="109"/>
      <c r="J94" s="12"/>
      <c r="K94" s="12"/>
      <c r="L94" s="12"/>
      <c r="M94" s="12"/>
      <c r="N94" s="109"/>
      <c r="O94" s="12"/>
      <c r="P94" s="12"/>
      <c r="Q94" s="12"/>
      <c r="R94" s="12"/>
      <c r="S94" s="12"/>
      <c r="T94" s="12"/>
      <c r="U94" s="12"/>
      <c r="V94" s="12"/>
      <c r="W94" s="12"/>
      <c r="X94" s="12"/>
      <c r="Y94" s="12"/>
      <c r="Z94" s="12"/>
    </row>
    <row r="95">
      <c r="A95" s="12"/>
      <c r="B95" s="12"/>
      <c r="C95" s="12"/>
      <c r="D95" s="109"/>
      <c r="E95" s="12"/>
      <c r="F95" s="12"/>
      <c r="G95" s="12"/>
      <c r="H95" s="12"/>
      <c r="I95" s="109"/>
      <c r="J95" s="12"/>
      <c r="K95" s="12"/>
      <c r="L95" s="12"/>
      <c r="M95" s="12"/>
      <c r="N95" s="109"/>
      <c r="O95" s="12"/>
      <c r="P95" s="12"/>
      <c r="Q95" s="12"/>
      <c r="R95" s="12"/>
      <c r="S95" s="12"/>
      <c r="T95" s="12"/>
      <c r="U95" s="12"/>
      <c r="V95" s="12"/>
      <c r="W95" s="12"/>
      <c r="X95" s="12"/>
      <c r="Y95" s="12"/>
      <c r="Z95" s="12"/>
    </row>
    <row r="96">
      <c r="A96" s="12"/>
      <c r="B96" s="12"/>
      <c r="C96" s="12"/>
      <c r="D96" s="109"/>
      <c r="E96" s="12"/>
      <c r="F96" s="12"/>
      <c r="G96" s="12"/>
      <c r="H96" s="12"/>
      <c r="I96" s="109"/>
      <c r="J96" s="12"/>
      <c r="K96" s="12"/>
      <c r="L96" s="12"/>
      <c r="M96" s="12"/>
      <c r="N96" s="109"/>
      <c r="O96" s="12"/>
      <c r="P96" s="12"/>
      <c r="Q96" s="12"/>
      <c r="R96" s="12"/>
      <c r="S96" s="12"/>
      <c r="T96" s="12"/>
      <c r="U96" s="12"/>
      <c r="V96" s="12"/>
      <c r="W96" s="12"/>
      <c r="X96" s="12"/>
      <c r="Y96" s="12"/>
      <c r="Z96" s="12"/>
    </row>
    <row r="97">
      <c r="A97" s="12"/>
      <c r="B97" s="12"/>
      <c r="C97" s="12"/>
      <c r="D97" s="109"/>
      <c r="E97" s="12"/>
      <c r="F97" s="12"/>
      <c r="G97" s="12"/>
      <c r="H97" s="12"/>
      <c r="I97" s="109"/>
      <c r="J97" s="12"/>
      <c r="K97" s="12"/>
      <c r="L97" s="12"/>
      <c r="M97" s="12"/>
      <c r="N97" s="109"/>
      <c r="O97" s="12"/>
      <c r="P97" s="12"/>
      <c r="Q97" s="12"/>
      <c r="R97" s="12"/>
      <c r="S97" s="12"/>
      <c r="T97" s="12"/>
      <c r="U97" s="12"/>
      <c r="V97" s="12"/>
      <c r="W97" s="12"/>
      <c r="X97" s="12"/>
      <c r="Y97" s="12"/>
      <c r="Z97" s="12"/>
    </row>
    <row r="98">
      <c r="A98" s="12"/>
      <c r="B98" s="12"/>
      <c r="C98" s="12"/>
      <c r="D98" s="109"/>
      <c r="E98" s="12"/>
      <c r="F98" s="12"/>
      <c r="G98" s="12"/>
      <c r="H98" s="12"/>
      <c r="I98" s="109"/>
      <c r="J98" s="12"/>
      <c r="K98" s="12"/>
      <c r="L98" s="12"/>
      <c r="M98" s="12"/>
      <c r="N98" s="109"/>
      <c r="O98" s="12"/>
      <c r="P98" s="12"/>
      <c r="Q98" s="12"/>
      <c r="R98" s="12"/>
      <c r="S98" s="12"/>
      <c r="T98" s="12"/>
      <c r="U98" s="12"/>
      <c r="V98" s="12"/>
      <c r="W98" s="12"/>
      <c r="X98" s="12"/>
      <c r="Y98" s="12"/>
      <c r="Z98" s="12"/>
    </row>
    <row r="99">
      <c r="A99" s="12"/>
      <c r="B99" s="12"/>
      <c r="C99" s="12"/>
      <c r="D99" s="109"/>
      <c r="E99" s="12"/>
      <c r="F99" s="12"/>
      <c r="G99" s="12"/>
      <c r="H99" s="12"/>
      <c r="I99" s="109"/>
      <c r="J99" s="12"/>
      <c r="K99" s="12"/>
      <c r="L99" s="12"/>
      <c r="M99" s="12"/>
      <c r="N99" s="109"/>
      <c r="O99" s="12"/>
      <c r="P99" s="12"/>
      <c r="Q99" s="12"/>
      <c r="R99" s="12"/>
      <c r="S99" s="12"/>
      <c r="T99" s="12"/>
      <c r="U99" s="12"/>
      <c r="V99" s="12"/>
      <c r="W99" s="12"/>
      <c r="X99" s="12"/>
      <c r="Y99" s="12"/>
      <c r="Z99" s="12"/>
    </row>
    <row r="100">
      <c r="A100" s="12"/>
      <c r="B100" s="12"/>
      <c r="C100" s="12"/>
      <c r="D100" s="109"/>
      <c r="E100" s="12"/>
      <c r="F100" s="12"/>
      <c r="G100" s="12"/>
      <c r="H100" s="12"/>
      <c r="I100" s="109"/>
      <c r="J100" s="12"/>
      <c r="K100" s="12"/>
      <c r="L100" s="12"/>
      <c r="M100" s="12"/>
      <c r="N100" s="109"/>
      <c r="O100" s="12"/>
      <c r="P100" s="12"/>
      <c r="Q100" s="12"/>
      <c r="R100" s="12"/>
      <c r="S100" s="12"/>
      <c r="T100" s="12"/>
      <c r="U100" s="12"/>
      <c r="V100" s="12"/>
      <c r="W100" s="12"/>
      <c r="X100" s="12"/>
      <c r="Y100" s="12"/>
      <c r="Z100" s="12"/>
    </row>
    <row r="101">
      <c r="A101" s="12"/>
      <c r="B101" s="12"/>
      <c r="C101" s="12"/>
      <c r="D101" s="109"/>
      <c r="E101" s="12"/>
      <c r="F101" s="12"/>
      <c r="G101" s="12"/>
      <c r="H101" s="12"/>
      <c r="I101" s="109"/>
      <c r="J101" s="12"/>
      <c r="K101" s="12"/>
      <c r="L101" s="12"/>
      <c r="M101" s="12"/>
      <c r="N101" s="109"/>
      <c r="O101" s="12"/>
      <c r="P101" s="12"/>
      <c r="Q101" s="12"/>
      <c r="R101" s="12"/>
      <c r="S101" s="12"/>
      <c r="T101" s="12"/>
      <c r="U101" s="12"/>
      <c r="V101" s="12"/>
      <c r="W101" s="12"/>
      <c r="X101" s="12"/>
      <c r="Y101" s="12"/>
      <c r="Z101" s="12"/>
    </row>
    <row r="102">
      <c r="A102" s="12"/>
      <c r="B102" s="12"/>
      <c r="C102" s="12"/>
      <c r="D102" s="109"/>
      <c r="E102" s="12"/>
      <c r="F102" s="12"/>
      <c r="G102" s="12"/>
      <c r="H102" s="12"/>
      <c r="I102" s="109"/>
      <c r="J102" s="12"/>
      <c r="K102" s="12"/>
      <c r="L102" s="12"/>
      <c r="M102" s="12"/>
      <c r="N102" s="109"/>
      <c r="O102" s="12"/>
      <c r="P102" s="12"/>
      <c r="Q102" s="12"/>
      <c r="R102" s="12"/>
      <c r="S102" s="12"/>
      <c r="T102" s="12"/>
      <c r="U102" s="12"/>
      <c r="V102" s="12"/>
      <c r="W102" s="12"/>
      <c r="X102" s="12"/>
      <c r="Y102" s="12"/>
      <c r="Z102" s="12"/>
    </row>
    <row r="103">
      <c r="A103" s="12"/>
      <c r="B103" s="12"/>
      <c r="C103" s="12"/>
      <c r="D103" s="109"/>
      <c r="E103" s="12"/>
      <c r="F103" s="12"/>
      <c r="G103" s="12"/>
      <c r="H103" s="12"/>
      <c r="I103" s="109"/>
      <c r="J103" s="12"/>
      <c r="K103" s="12"/>
      <c r="L103" s="12"/>
      <c r="M103" s="12"/>
      <c r="N103" s="109"/>
      <c r="O103" s="12"/>
      <c r="P103" s="12"/>
      <c r="Q103" s="12"/>
      <c r="R103" s="12"/>
      <c r="S103" s="12"/>
      <c r="T103" s="12"/>
      <c r="U103" s="12"/>
      <c r="V103" s="12"/>
      <c r="W103" s="12"/>
      <c r="X103" s="12"/>
      <c r="Y103" s="12"/>
      <c r="Z103" s="12"/>
    </row>
    <row r="104">
      <c r="A104" s="12"/>
      <c r="B104" s="12"/>
      <c r="C104" s="12"/>
      <c r="D104" s="109"/>
      <c r="E104" s="12"/>
      <c r="F104" s="12"/>
      <c r="G104" s="12"/>
      <c r="H104" s="12"/>
      <c r="I104" s="109"/>
      <c r="J104" s="12"/>
      <c r="K104" s="12"/>
      <c r="L104" s="12"/>
      <c r="M104" s="12"/>
      <c r="N104" s="109"/>
      <c r="O104" s="12"/>
      <c r="P104" s="12"/>
      <c r="Q104" s="12"/>
      <c r="R104" s="12"/>
      <c r="S104" s="12"/>
      <c r="T104" s="12"/>
      <c r="U104" s="12"/>
      <c r="V104" s="12"/>
      <c r="W104" s="12"/>
      <c r="X104" s="12"/>
      <c r="Y104" s="12"/>
      <c r="Z104" s="12"/>
    </row>
    <row r="105">
      <c r="A105" s="12"/>
      <c r="B105" s="12"/>
      <c r="C105" s="12"/>
      <c r="D105" s="109"/>
      <c r="E105" s="12"/>
      <c r="F105" s="12"/>
      <c r="G105" s="12"/>
      <c r="H105" s="12"/>
      <c r="I105" s="109"/>
      <c r="J105" s="12"/>
      <c r="K105" s="12"/>
      <c r="L105" s="12"/>
      <c r="M105" s="12"/>
      <c r="N105" s="109"/>
      <c r="O105" s="12"/>
      <c r="P105" s="12"/>
      <c r="Q105" s="12"/>
      <c r="R105" s="12"/>
      <c r="S105" s="12"/>
      <c r="T105" s="12"/>
      <c r="U105" s="12"/>
      <c r="V105" s="12"/>
      <c r="W105" s="12"/>
      <c r="X105" s="12"/>
      <c r="Y105" s="12"/>
      <c r="Z105" s="12"/>
    </row>
    <row r="106">
      <c r="A106" s="12"/>
      <c r="B106" s="12"/>
      <c r="C106" s="12"/>
      <c r="D106" s="109"/>
      <c r="E106" s="12"/>
      <c r="F106" s="12"/>
      <c r="G106" s="12"/>
      <c r="H106" s="12"/>
      <c r="I106" s="109"/>
      <c r="J106" s="12"/>
      <c r="K106" s="12"/>
      <c r="L106" s="12"/>
      <c r="M106" s="12"/>
      <c r="N106" s="109"/>
      <c r="O106" s="12"/>
      <c r="P106" s="12"/>
      <c r="Q106" s="12"/>
      <c r="R106" s="12"/>
      <c r="S106" s="12"/>
      <c r="T106" s="12"/>
      <c r="U106" s="12"/>
      <c r="V106" s="12"/>
      <c r="W106" s="12"/>
      <c r="X106" s="12"/>
      <c r="Y106" s="12"/>
      <c r="Z106" s="12"/>
    </row>
    <row r="107">
      <c r="A107" s="12"/>
      <c r="B107" s="12"/>
      <c r="C107" s="12"/>
      <c r="D107" s="109"/>
      <c r="E107" s="12"/>
      <c r="F107" s="12"/>
      <c r="G107" s="12"/>
      <c r="H107" s="12"/>
      <c r="I107" s="109"/>
      <c r="J107" s="12"/>
      <c r="K107" s="12"/>
      <c r="L107" s="12"/>
      <c r="M107" s="12"/>
      <c r="N107" s="109"/>
      <c r="O107" s="12"/>
      <c r="P107" s="12"/>
      <c r="Q107" s="12"/>
      <c r="R107" s="12"/>
      <c r="S107" s="12"/>
      <c r="T107" s="12"/>
      <c r="U107" s="12"/>
      <c r="V107" s="12"/>
      <c r="W107" s="12"/>
      <c r="X107" s="12"/>
      <c r="Y107" s="12"/>
      <c r="Z107" s="12"/>
    </row>
    <row r="108">
      <c r="A108" s="12"/>
      <c r="B108" s="12"/>
      <c r="C108" s="12"/>
      <c r="D108" s="109"/>
      <c r="E108" s="12"/>
      <c r="F108" s="12"/>
      <c r="G108" s="12"/>
      <c r="H108" s="12"/>
      <c r="I108" s="109"/>
      <c r="J108" s="12"/>
      <c r="K108" s="12"/>
      <c r="L108" s="12"/>
      <c r="M108" s="12"/>
      <c r="N108" s="109"/>
      <c r="O108" s="12"/>
      <c r="P108" s="12"/>
      <c r="Q108" s="12"/>
      <c r="R108" s="12"/>
      <c r="S108" s="12"/>
      <c r="T108" s="12"/>
      <c r="U108" s="12"/>
      <c r="V108" s="12"/>
      <c r="W108" s="12"/>
      <c r="X108" s="12"/>
      <c r="Y108" s="12"/>
      <c r="Z108" s="12"/>
    </row>
    <row r="109">
      <c r="A109" s="12"/>
      <c r="B109" s="12"/>
      <c r="C109" s="12"/>
      <c r="D109" s="109"/>
      <c r="E109" s="12"/>
      <c r="F109" s="12"/>
      <c r="G109" s="12"/>
      <c r="H109" s="12"/>
      <c r="I109" s="109"/>
      <c r="J109" s="12"/>
      <c r="K109" s="12"/>
      <c r="L109" s="12"/>
      <c r="M109" s="12"/>
      <c r="N109" s="109"/>
      <c r="O109" s="12"/>
      <c r="P109" s="12"/>
      <c r="Q109" s="12"/>
      <c r="R109" s="12"/>
      <c r="S109" s="12"/>
      <c r="T109" s="12"/>
      <c r="U109" s="12"/>
      <c r="V109" s="12"/>
      <c r="W109" s="12"/>
      <c r="X109" s="12"/>
      <c r="Y109" s="12"/>
      <c r="Z109" s="12"/>
    </row>
    <row r="110">
      <c r="A110" s="12"/>
      <c r="B110" s="12"/>
      <c r="C110" s="12"/>
      <c r="D110" s="109"/>
      <c r="E110" s="12"/>
      <c r="F110" s="12"/>
      <c r="G110" s="12"/>
      <c r="H110" s="12"/>
      <c r="I110" s="109"/>
      <c r="J110" s="12"/>
      <c r="K110" s="12"/>
      <c r="L110" s="12"/>
      <c r="M110" s="12"/>
      <c r="N110" s="109"/>
      <c r="O110" s="12"/>
      <c r="P110" s="12"/>
      <c r="Q110" s="12"/>
      <c r="R110" s="12"/>
      <c r="S110" s="12"/>
      <c r="T110" s="12"/>
      <c r="U110" s="12"/>
      <c r="V110" s="12"/>
      <c r="W110" s="12"/>
      <c r="X110" s="12"/>
      <c r="Y110" s="12"/>
      <c r="Z110" s="12"/>
    </row>
    <row r="111">
      <c r="A111" s="12"/>
      <c r="B111" s="12"/>
      <c r="C111" s="12"/>
      <c r="D111" s="109"/>
      <c r="E111" s="12"/>
      <c r="F111" s="12"/>
      <c r="G111" s="12"/>
      <c r="H111" s="12"/>
      <c r="I111" s="109"/>
      <c r="J111" s="12"/>
      <c r="K111" s="12"/>
      <c r="L111" s="12"/>
      <c r="M111" s="12"/>
      <c r="N111" s="109"/>
      <c r="O111" s="12"/>
      <c r="P111" s="12"/>
      <c r="Q111" s="12"/>
      <c r="R111" s="12"/>
      <c r="S111" s="12"/>
      <c r="T111" s="12"/>
      <c r="U111" s="12"/>
      <c r="V111" s="12"/>
      <c r="W111" s="12"/>
      <c r="X111" s="12"/>
      <c r="Y111" s="12"/>
      <c r="Z111" s="12"/>
    </row>
    <row r="112">
      <c r="A112" s="12"/>
      <c r="B112" s="12"/>
      <c r="C112" s="12"/>
      <c r="D112" s="109"/>
      <c r="E112" s="12"/>
      <c r="F112" s="12"/>
      <c r="G112" s="12"/>
      <c r="H112" s="12"/>
      <c r="I112" s="109"/>
      <c r="J112" s="12"/>
      <c r="K112" s="12"/>
      <c r="L112" s="12"/>
      <c r="M112" s="12"/>
      <c r="N112" s="109"/>
      <c r="O112" s="12"/>
      <c r="P112" s="12"/>
      <c r="Q112" s="12"/>
      <c r="R112" s="12"/>
      <c r="S112" s="12"/>
      <c r="T112" s="12"/>
      <c r="U112" s="12"/>
      <c r="V112" s="12"/>
      <c r="W112" s="12"/>
      <c r="X112" s="12"/>
      <c r="Y112" s="12"/>
      <c r="Z112" s="12"/>
    </row>
    <row r="113">
      <c r="A113" s="12"/>
      <c r="B113" s="12"/>
      <c r="C113" s="12"/>
      <c r="D113" s="109"/>
      <c r="E113" s="12"/>
      <c r="F113" s="12"/>
      <c r="G113" s="12"/>
      <c r="H113" s="12"/>
      <c r="I113" s="109"/>
      <c r="J113" s="12"/>
      <c r="K113" s="12"/>
      <c r="L113" s="12"/>
      <c r="M113" s="12"/>
      <c r="N113" s="109"/>
      <c r="O113" s="12"/>
      <c r="P113" s="12"/>
      <c r="Q113" s="12"/>
      <c r="R113" s="12"/>
      <c r="S113" s="12"/>
      <c r="T113" s="12"/>
      <c r="U113" s="12"/>
      <c r="V113" s="12"/>
      <c r="W113" s="12"/>
      <c r="X113" s="12"/>
      <c r="Y113" s="12"/>
      <c r="Z113" s="12"/>
    </row>
    <row r="114">
      <c r="A114" s="12"/>
      <c r="B114" s="12"/>
      <c r="C114" s="12"/>
      <c r="D114" s="109"/>
      <c r="E114" s="12"/>
      <c r="F114" s="12"/>
      <c r="G114" s="12"/>
      <c r="H114" s="12"/>
      <c r="I114" s="109"/>
      <c r="J114" s="12"/>
      <c r="K114" s="12"/>
      <c r="L114" s="12"/>
      <c r="M114" s="12"/>
      <c r="N114" s="109"/>
      <c r="O114" s="12"/>
      <c r="P114" s="12"/>
      <c r="Q114" s="12"/>
      <c r="R114" s="12"/>
      <c r="S114" s="12"/>
      <c r="T114" s="12"/>
      <c r="U114" s="12"/>
      <c r="V114" s="12"/>
      <c r="W114" s="12"/>
      <c r="X114" s="12"/>
      <c r="Y114" s="12"/>
      <c r="Z114" s="12"/>
    </row>
    <row r="115">
      <c r="A115" s="12"/>
      <c r="B115" s="12"/>
      <c r="C115" s="12"/>
      <c r="D115" s="109"/>
      <c r="E115" s="12"/>
      <c r="F115" s="12"/>
      <c r="G115" s="12"/>
      <c r="H115" s="12"/>
      <c r="I115" s="109"/>
      <c r="J115" s="12"/>
      <c r="K115" s="12"/>
      <c r="L115" s="12"/>
      <c r="M115" s="12"/>
      <c r="N115" s="109"/>
      <c r="O115" s="12"/>
      <c r="P115" s="12"/>
      <c r="Q115" s="12"/>
      <c r="R115" s="12"/>
      <c r="S115" s="12"/>
      <c r="T115" s="12"/>
      <c r="U115" s="12"/>
      <c r="V115" s="12"/>
      <c r="W115" s="12"/>
      <c r="X115" s="12"/>
      <c r="Y115" s="12"/>
      <c r="Z115" s="12"/>
    </row>
    <row r="116">
      <c r="A116" s="12"/>
      <c r="B116" s="12"/>
      <c r="C116" s="12"/>
      <c r="D116" s="109"/>
      <c r="E116" s="12"/>
      <c r="F116" s="12"/>
      <c r="G116" s="12"/>
      <c r="H116" s="12"/>
      <c r="I116" s="109"/>
      <c r="J116" s="12"/>
      <c r="K116" s="12"/>
      <c r="L116" s="12"/>
      <c r="M116" s="12"/>
      <c r="N116" s="109"/>
      <c r="O116" s="12"/>
      <c r="P116" s="12"/>
      <c r="Q116" s="12"/>
      <c r="R116" s="12"/>
      <c r="S116" s="12"/>
      <c r="T116" s="12"/>
      <c r="U116" s="12"/>
      <c r="V116" s="12"/>
      <c r="W116" s="12"/>
      <c r="X116" s="12"/>
      <c r="Y116" s="12"/>
      <c r="Z116" s="12"/>
    </row>
    <row r="117">
      <c r="A117" s="12"/>
      <c r="B117" s="12"/>
      <c r="C117" s="12"/>
      <c r="D117" s="109"/>
      <c r="E117" s="12"/>
      <c r="F117" s="12"/>
      <c r="G117" s="12"/>
      <c r="H117" s="12"/>
      <c r="I117" s="109"/>
      <c r="J117" s="12"/>
      <c r="K117" s="12"/>
      <c r="L117" s="12"/>
      <c r="M117" s="12"/>
      <c r="N117" s="109"/>
      <c r="O117" s="12"/>
      <c r="P117" s="12"/>
      <c r="Q117" s="12"/>
      <c r="R117" s="12"/>
      <c r="S117" s="12"/>
      <c r="T117" s="12"/>
      <c r="U117" s="12"/>
      <c r="V117" s="12"/>
      <c r="W117" s="12"/>
      <c r="X117" s="12"/>
      <c r="Y117" s="12"/>
      <c r="Z117" s="12"/>
    </row>
    <row r="118">
      <c r="A118" s="12"/>
      <c r="B118" s="12"/>
      <c r="C118" s="12"/>
      <c r="D118" s="109"/>
      <c r="E118" s="12"/>
      <c r="F118" s="12"/>
      <c r="G118" s="12"/>
      <c r="H118" s="12"/>
      <c r="I118" s="109"/>
      <c r="J118" s="12"/>
      <c r="K118" s="12"/>
      <c r="L118" s="12"/>
      <c r="M118" s="12"/>
      <c r="N118" s="109"/>
      <c r="O118" s="12"/>
      <c r="P118" s="12"/>
      <c r="Q118" s="12"/>
      <c r="R118" s="12"/>
      <c r="S118" s="12"/>
      <c r="T118" s="12"/>
      <c r="U118" s="12"/>
      <c r="V118" s="12"/>
      <c r="W118" s="12"/>
      <c r="X118" s="12"/>
      <c r="Y118" s="12"/>
      <c r="Z118" s="12"/>
    </row>
    <row r="119">
      <c r="A119" s="12"/>
      <c r="B119" s="12"/>
      <c r="C119" s="12"/>
      <c r="D119" s="109"/>
      <c r="E119" s="12"/>
      <c r="F119" s="12"/>
      <c r="G119" s="12"/>
      <c r="H119" s="12"/>
      <c r="I119" s="109"/>
      <c r="J119" s="12"/>
      <c r="K119" s="12"/>
      <c r="L119" s="12"/>
      <c r="M119" s="12"/>
      <c r="N119" s="109"/>
      <c r="O119" s="12"/>
      <c r="P119" s="12"/>
      <c r="Q119" s="12"/>
      <c r="R119" s="12"/>
      <c r="S119" s="12"/>
      <c r="T119" s="12"/>
      <c r="U119" s="12"/>
      <c r="V119" s="12"/>
      <c r="W119" s="12"/>
      <c r="X119" s="12"/>
      <c r="Y119" s="12"/>
      <c r="Z119" s="12"/>
    </row>
    <row r="120">
      <c r="A120" s="12"/>
      <c r="B120" s="12"/>
      <c r="C120" s="12"/>
      <c r="D120" s="109"/>
      <c r="E120" s="12"/>
      <c r="F120" s="12"/>
      <c r="G120" s="12"/>
      <c r="H120" s="12"/>
      <c r="I120" s="109"/>
      <c r="J120" s="12"/>
      <c r="K120" s="12"/>
      <c r="L120" s="12"/>
      <c r="M120" s="12"/>
      <c r="N120" s="109"/>
      <c r="O120" s="12"/>
      <c r="P120" s="12"/>
      <c r="Q120" s="12"/>
      <c r="R120" s="12"/>
      <c r="S120" s="12"/>
      <c r="T120" s="12"/>
      <c r="U120" s="12"/>
      <c r="V120" s="12"/>
      <c r="W120" s="12"/>
      <c r="X120" s="12"/>
      <c r="Y120" s="12"/>
      <c r="Z120" s="12"/>
    </row>
    <row r="121">
      <c r="A121" s="12"/>
      <c r="B121" s="12"/>
      <c r="C121" s="12"/>
      <c r="D121" s="109"/>
      <c r="E121" s="12"/>
      <c r="F121" s="12"/>
      <c r="G121" s="12"/>
      <c r="H121" s="12"/>
      <c r="I121" s="109"/>
      <c r="J121" s="12"/>
      <c r="K121" s="12"/>
      <c r="L121" s="12"/>
      <c r="M121" s="12"/>
      <c r="N121" s="109"/>
      <c r="O121" s="12"/>
      <c r="P121" s="12"/>
      <c r="Q121" s="12"/>
      <c r="R121" s="12"/>
      <c r="S121" s="12"/>
      <c r="T121" s="12"/>
      <c r="U121" s="12"/>
      <c r="V121" s="12"/>
      <c r="W121" s="12"/>
      <c r="X121" s="12"/>
      <c r="Y121" s="12"/>
      <c r="Z121" s="12"/>
    </row>
    <row r="122">
      <c r="A122" s="12"/>
      <c r="B122" s="12"/>
      <c r="C122" s="12"/>
      <c r="D122" s="109"/>
      <c r="E122" s="12"/>
      <c r="F122" s="12"/>
      <c r="G122" s="12"/>
      <c r="H122" s="12"/>
      <c r="I122" s="109"/>
      <c r="J122" s="12"/>
      <c r="K122" s="12"/>
      <c r="L122" s="12"/>
      <c r="M122" s="12"/>
      <c r="N122" s="109"/>
      <c r="O122" s="12"/>
      <c r="P122" s="12"/>
      <c r="Q122" s="12"/>
      <c r="R122" s="12"/>
      <c r="S122" s="12"/>
      <c r="T122" s="12"/>
      <c r="U122" s="12"/>
      <c r="V122" s="12"/>
      <c r="W122" s="12"/>
      <c r="X122" s="12"/>
      <c r="Y122" s="12"/>
      <c r="Z122" s="12"/>
    </row>
    <row r="123">
      <c r="A123" s="12"/>
      <c r="B123" s="12"/>
      <c r="C123" s="12"/>
      <c r="D123" s="109"/>
      <c r="E123" s="12"/>
      <c r="F123" s="12"/>
      <c r="G123" s="12"/>
      <c r="H123" s="12"/>
      <c r="I123" s="109"/>
      <c r="J123" s="12"/>
      <c r="K123" s="12"/>
      <c r="L123" s="12"/>
      <c r="M123" s="12"/>
      <c r="N123" s="109"/>
      <c r="O123" s="12"/>
      <c r="P123" s="12"/>
      <c r="Q123" s="12"/>
      <c r="R123" s="12"/>
      <c r="S123" s="12"/>
      <c r="T123" s="12"/>
      <c r="U123" s="12"/>
      <c r="V123" s="12"/>
      <c r="W123" s="12"/>
      <c r="X123" s="12"/>
      <c r="Y123" s="12"/>
      <c r="Z123" s="12"/>
    </row>
    <row r="124">
      <c r="A124" s="12"/>
      <c r="B124" s="12"/>
      <c r="C124" s="12"/>
      <c r="D124" s="109"/>
      <c r="E124" s="12"/>
      <c r="F124" s="12"/>
      <c r="G124" s="12"/>
      <c r="H124" s="12"/>
      <c r="I124" s="109"/>
      <c r="J124" s="12"/>
      <c r="K124" s="12"/>
      <c r="L124" s="12"/>
      <c r="M124" s="12"/>
      <c r="N124" s="109"/>
      <c r="O124" s="12"/>
      <c r="P124" s="12"/>
      <c r="Q124" s="12"/>
      <c r="R124" s="12"/>
      <c r="S124" s="12"/>
      <c r="T124" s="12"/>
      <c r="U124" s="12"/>
      <c r="V124" s="12"/>
      <c r="W124" s="12"/>
      <c r="X124" s="12"/>
      <c r="Y124" s="12"/>
      <c r="Z124" s="12"/>
    </row>
    <row r="125">
      <c r="A125" s="12"/>
      <c r="B125" s="12"/>
      <c r="C125" s="12"/>
      <c r="D125" s="109"/>
      <c r="E125" s="12"/>
      <c r="F125" s="12"/>
      <c r="G125" s="12"/>
      <c r="H125" s="12"/>
      <c r="I125" s="109"/>
      <c r="J125" s="12"/>
      <c r="K125" s="12"/>
      <c r="L125" s="12"/>
      <c r="M125" s="12"/>
      <c r="N125" s="109"/>
      <c r="O125" s="12"/>
      <c r="P125" s="12"/>
      <c r="Q125" s="12"/>
      <c r="R125" s="12"/>
      <c r="S125" s="12"/>
      <c r="T125" s="12"/>
      <c r="U125" s="12"/>
      <c r="V125" s="12"/>
      <c r="W125" s="12"/>
      <c r="X125" s="12"/>
      <c r="Y125" s="12"/>
      <c r="Z125" s="12"/>
    </row>
    <row r="126">
      <c r="A126" s="12"/>
      <c r="B126" s="12"/>
      <c r="C126" s="12"/>
      <c r="D126" s="109"/>
      <c r="E126" s="12"/>
      <c r="F126" s="12"/>
      <c r="G126" s="12"/>
      <c r="H126" s="12"/>
      <c r="I126" s="109"/>
      <c r="J126" s="12"/>
      <c r="K126" s="12"/>
      <c r="L126" s="12"/>
      <c r="M126" s="12"/>
      <c r="N126" s="109"/>
      <c r="O126" s="12"/>
      <c r="P126" s="12"/>
      <c r="Q126" s="12"/>
      <c r="R126" s="12"/>
      <c r="S126" s="12"/>
      <c r="T126" s="12"/>
      <c r="U126" s="12"/>
      <c r="V126" s="12"/>
      <c r="W126" s="12"/>
      <c r="X126" s="12"/>
      <c r="Y126" s="12"/>
      <c r="Z126" s="12"/>
    </row>
    <row r="127">
      <c r="A127" s="12"/>
      <c r="B127" s="12"/>
      <c r="C127" s="12"/>
      <c r="D127" s="109"/>
      <c r="E127" s="12"/>
      <c r="F127" s="12"/>
      <c r="G127" s="12"/>
      <c r="H127" s="12"/>
      <c r="I127" s="109"/>
      <c r="J127" s="12"/>
      <c r="K127" s="12"/>
      <c r="L127" s="12"/>
      <c r="M127" s="12"/>
      <c r="N127" s="109"/>
      <c r="O127" s="12"/>
      <c r="P127" s="12"/>
      <c r="Q127" s="12"/>
      <c r="R127" s="12"/>
      <c r="S127" s="12"/>
      <c r="T127" s="12"/>
      <c r="U127" s="12"/>
      <c r="V127" s="12"/>
      <c r="W127" s="12"/>
      <c r="X127" s="12"/>
      <c r="Y127" s="12"/>
      <c r="Z127" s="12"/>
    </row>
    <row r="128">
      <c r="A128" s="12"/>
      <c r="B128" s="12"/>
      <c r="C128" s="12"/>
      <c r="D128" s="109"/>
      <c r="E128" s="12"/>
      <c r="F128" s="12"/>
      <c r="G128" s="12"/>
      <c r="H128" s="12"/>
      <c r="I128" s="109"/>
      <c r="J128" s="12"/>
      <c r="K128" s="12"/>
      <c r="L128" s="12"/>
      <c r="M128" s="12"/>
      <c r="N128" s="109"/>
      <c r="O128" s="12"/>
      <c r="P128" s="12"/>
      <c r="Q128" s="12"/>
      <c r="R128" s="12"/>
      <c r="S128" s="12"/>
      <c r="T128" s="12"/>
      <c r="U128" s="12"/>
      <c r="V128" s="12"/>
      <c r="W128" s="12"/>
      <c r="X128" s="12"/>
      <c r="Y128" s="12"/>
      <c r="Z128" s="12"/>
    </row>
    <row r="129">
      <c r="A129" s="12"/>
      <c r="B129" s="12"/>
      <c r="C129" s="12"/>
      <c r="D129" s="109"/>
      <c r="E129" s="12"/>
      <c r="F129" s="12"/>
      <c r="G129" s="12"/>
      <c r="H129" s="12"/>
      <c r="I129" s="109"/>
      <c r="J129" s="12"/>
      <c r="K129" s="12"/>
      <c r="L129" s="12"/>
      <c r="M129" s="12"/>
      <c r="N129" s="109"/>
      <c r="O129" s="12"/>
      <c r="P129" s="12"/>
      <c r="Q129" s="12"/>
      <c r="R129" s="12"/>
      <c r="S129" s="12"/>
      <c r="T129" s="12"/>
      <c r="U129" s="12"/>
      <c r="V129" s="12"/>
      <c r="W129" s="12"/>
      <c r="X129" s="12"/>
      <c r="Y129" s="12"/>
      <c r="Z129" s="12"/>
    </row>
    <row r="130">
      <c r="A130" s="12"/>
      <c r="B130" s="12"/>
      <c r="C130" s="12"/>
      <c r="D130" s="109"/>
      <c r="E130" s="12"/>
      <c r="F130" s="12"/>
      <c r="G130" s="12"/>
      <c r="H130" s="12"/>
      <c r="I130" s="109"/>
      <c r="J130" s="12"/>
      <c r="K130" s="12"/>
      <c r="L130" s="12"/>
      <c r="M130" s="12"/>
      <c r="N130" s="109"/>
      <c r="O130" s="12"/>
      <c r="P130" s="12"/>
      <c r="Q130" s="12"/>
      <c r="R130" s="12"/>
      <c r="S130" s="12"/>
      <c r="T130" s="12"/>
      <c r="U130" s="12"/>
      <c r="V130" s="12"/>
      <c r="W130" s="12"/>
      <c r="X130" s="12"/>
      <c r="Y130" s="12"/>
      <c r="Z130" s="12"/>
    </row>
    <row r="131">
      <c r="A131" s="12"/>
      <c r="B131" s="12"/>
      <c r="C131" s="12"/>
      <c r="D131" s="109"/>
      <c r="E131" s="12"/>
      <c r="F131" s="12"/>
      <c r="G131" s="12"/>
      <c r="H131" s="12"/>
      <c r="I131" s="109"/>
      <c r="J131" s="12"/>
      <c r="K131" s="12"/>
      <c r="L131" s="12"/>
      <c r="M131" s="12"/>
      <c r="N131" s="109"/>
      <c r="O131" s="12"/>
      <c r="P131" s="12"/>
      <c r="Q131" s="12"/>
      <c r="R131" s="12"/>
      <c r="S131" s="12"/>
      <c r="T131" s="12"/>
      <c r="U131" s="12"/>
      <c r="V131" s="12"/>
      <c r="W131" s="12"/>
      <c r="X131" s="12"/>
      <c r="Y131" s="12"/>
      <c r="Z131" s="12"/>
    </row>
    <row r="132">
      <c r="A132" s="12"/>
      <c r="B132" s="12"/>
      <c r="C132" s="12"/>
      <c r="D132" s="109"/>
      <c r="E132" s="12"/>
      <c r="F132" s="12"/>
      <c r="G132" s="12"/>
      <c r="H132" s="12"/>
      <c r="I132" s="109"/>
      <c r="J132" s="12"/>
      <c r="K132" s="12"/>
      <c r="L132" s="12"/>
      <c r="M132" s="12"/>
      <c r="N132" s="109"/>
      <c r="O132" s="12"/>
      <c r="P132" s="12"/>
      <c r="Q132" s="12"/>
      <c r="R132" s="12"/>
      <c r="S132" s="12"/>
      <c r="T132" s="12"/>
      <c r="U132" s="12"/>
      <c r="V132" s="12"/>
      <c r="W132" s="12"/>
      <c r="X132" s="12"/>
      <c r="Y132" s="12"/>
      <c r="Z132" s="12"/>
    </row>
    <row r="133">
      <c r="A133" s="12"/>
      <c r="B133" s="12"/>
      <c r="C133" s="12"/>
      <c r="D133" s="109"/>
      <c r="E133" s="12"/>
      <c r="F133" s="12"/>
      <c r="G133" s="12"/>
      <c r="H133" s="12"/>
      <c r="I133" s="109"/>
      <c r="J133" s="12"/>
      <c r="K133" s="12"/>
      <c r="L133" s="12"/>
      <c r="M133" s="12"/>
      <c r="N133" s="109"/>
      <c r="O133" s="12"/>
      <c r="P133" s="12"/>
      <c r="Q133" s="12"/>
      <c r="R133" s="12"/>
      <c r="S133" s="12"/>
      <c r="T133" s="12"/>
      <c r="U133" s="12"/>
      <c r="V133" s="12"/>
      <c r="W133" s="12"/>
      <c r="X133" s="12"/>
      <c r="Y133" s="12"/>
      <c r="Z133" s="12"/>
    </row>
    <row r="134">
      <c r="A134" s="12"/>
      <c r="B134" s="12"/>
      <c r="C134" s="12"/>
      <c r="D134" s="109"/>
      <c r="E134" s="12"/>
      <c r="F134" s="12"/>
      <c r="G134" s="12"/>
      <c r="H134" s="12"/>
      <c r="I134" s="109"/>
      <c r="J134" s="12"/>
      <c r="K134" s="12"/>
      <c r="L134" s="12"/>
      <c r="M134" s="12"/>
      <c r="N134" s="109"/>
      <c r="O134" s="12"/>
      <c r="P134" s="12"/>
      <c r="Q134" s="12"/>
      <c r="R134" s="12"/>
      <c r="S134" s="12"/>
      <c r="T134" s="12"/>
      <c r="U134" s="12"/>
      <c r="V134" s="12"/>
      <c r="W134" s="12"/>
      <c r="X134" s="12"/>
      <c r="Y134" s="12"/>
      <c r="Z134" s="12"/>
    </row>
    <row r="135">
      <c r="A135" s="12"/>
      <c r="B135" s="12"/>
      <c r="C135" s="12"/>
      <c r="D135" s="109"/>
      <c r="E135" s="12"/>
      <c r="F135" s="12"/>
      <c r="G135" s="12"/>
      <c r="H135" s="12"/>
      <c r="I135" s="109"/>
      <c r="J135" s="12"/>
      <c r="K135" s="12"/>
      <c r="L135" s="12"/>
      <c r="M135" s="12"/>
      <c r="N135" s="109"/>
      <c r="O135" s="12"/>
      <c r="P135" s="12"/>
      <c r="Q135" s="12"/>
      <c r="R135" s="12"/>
      <c r="S135" s="12"/>
      <c r="T135" s="12"/>
      <c r="U135" s="12"/>
      <c r="V135" s="12"/>
      <c r="W135" s="12"/>
      <c r="X135" s="12"/>
      <c r="Y135" s="12"/>
      <c r="Z135" s="12"/>
    </row>
    <row r="136">
      <c r="A136" s="12"/>
      <c r="B136" s="12"/>
      <c r="C136" s="12"/>
      <c r="D136" s="109"/>
      <c r="E136" s="12"/>
      <c r="F136" s="12"/>
      <c r="G136" s="12"/>
      <c r="H136" s="12"/>
      <c r="I136" s="109"/>
      <c r="J136" s="12"/>
      <c r="K136" s="12"/>
      <c r="L136" s="12"/>
      <c r="M136" s="12"/>
      <c r="N136" s="109"/>
      <c r="O136" s="12"/>
      <c r="P136" s="12"/>
      <c r="Q136" s="12"/>
      <c r="R136" s="12"/>
      <c r="S136" s="12"/>
      <c r="T136" s="12"/>
      <c r="U136" s="12"/>
      <c r="V136" s="12"/>
      <c r="W136" s="12"/>
      <c r="X136" s="12"/>
      <c r="Y136" s="12"/>
      <c r="Z136" s="12"/>
    </row>
    <row r="137">
      <c r="A137" s="12"/>
      <c r="B137" s="12"/>
      <c r="C137" s="12"/>
      <c r="D137" s="109"/>
      <c r="E137" s="12"/>
      <c r="F137" s="12"/>
      <c r="G137" s="12"/>
      <c r="H137" s="12"/>
      <c r="I137" s="109"/>
      <c r="J137" s="12"/>
      <c r="K137" s="12"/>
      <c r="L137" s="12"/>
      <c r="M137" s="12"/>
      <c r="N137" s="109"/>
      <c r="O137" s="12"/>
      <c r="P137" s="12"/>
      <c r="Q137" s="12"/>
      <c r="R137" s="12"/>
      <c r="S137" s="12"/>
      <c r="T137" s="12"/>
      <c r="U137" s="12"/>
      <c r="V137" s="12"/>
      <c r="W137" s="12"/>
      <c r="X137" s="12"/>
      <c r="Y137" s="12"/>
      <c r="Z137" s="12"/>
    </row>
    <row r="138">
      <c r="A138" s="12"/>
      <c r="B138" s="12"/>
      <c r="C138" s="12"/>
      <c r="D138" s="109"/>
      <c r="E138" s="12"/>
      <c r="F138" s="12"/>
      <c r="G138" s="12"/>
      <c r="H138" s="12"/>
      <c r="I138" s="109"/>
      <c r="J138" s="12"/>
      <c r="K138" s="12"/>
      <c r="L138" s="12"/>
      <c r="M138" s="12"/>
      <c r="N138" s="109"/>
      <c r="O138" s="12"/>
      <c r="P138" s="12"/>
      <c r="Q138" s="12"/>
      <c r="R138" s="12"/>
      <c r="S138" s="12"/>
      <c r="T138" s="12"/>
      <c r="U138" s="12"/>
      <c r="V138" s="12"/>
      <c r="W138" s="12"/>
      <c r="X138" s="12"/>
      <c r="Y138" s="12"/>
      <c r="Z138" s="12"/>
    </row>
    <row r="139">
      <c r="A139" s="12"/>
      <c r="B139" s="12"/>
      <c r="C139" s="12"/>
      <c r="D139" s="109"/>
      <c r="E139" s="12"/>
      <c r="F139" s="12"/>
      <c r="G139" s="12"/>
      <c r="H139" s="12"/>
      <c r="I139" s="109"/>
      <c r="J139" s="12"/>
      <c r="K139" s="12"/>
      <c r="L139" s="12"/>
      <c r="M139" s="12"/>
      <c r="N139" s="109"/>
      <c r="O139" s="12"/>
      <c r="P139" s="12"/>
      <c r="Q139" s="12"/>
      <c r="R139" s="12"/>
      <c r="S139" s="12"/>
      <c r="T139" s="12"/>
      <c r="U139" s="12"/>
      <c r="V139" s="12"/>
      <c r="W139" s="12"/>
      <c r="X139" s="12"/>
      <c r="Y139" s="12"/>
      <c r="Z139" s="12"/>
    </row>
    <row r="140">
      <c r="A140" s="12"/>
      <c r="B140" s="12"/>
      <c r="C140" s="12"/>
      <c r="D140" s="109"/>
      <c r="E140" s="12"/>
      <c r="F140" s="12"/>
      <c r="G140" s="12"/>
      <c r="H140" s="12"/>
      <c r="I140" s="109"/>
      <c r="J140" s="12"/>
      <c r="K140" s="12"/>
      <c r="L140" s="12"/>
      <c r="M140" s="12"/>
      <c r="N140" s="109"/>
      <c r="O140" s="12"/>
      <c r="P140" s="12"/>
      <c r="Q140" s="12"/>
      <c r="R140" s="12"/>
      <c r="S140" s="12"/>
      <c r="T140" s="12"/>
      <c r="U140" s="12"/>
      <c r="V140" s="12"/>
      <c r="W140" s="12"/>
      <c r="X140" s="12"/>
      <c r="Y140" s="12"/>
      <c r="Z140" s="12"/>
    </row>
    <row r="141">
      <c r="A141" s="12"/>
      <c r="B141" s="12"/>
      <c r="C141" s="12"/>
      <c r="D141" s="109"/>
      <c r="E141" s="12"/>
      <c r="F141" s="12"/>
      <c r="G141" s="12"/>
      <c r="H141" s="12"/>
      <c r="I141" s="109"/>
      <c r="J141" s="12"/>
      <c r="K141" s="12"/>
      <c r="L141" s="12"/>
      <c r="M141" s="12"/>
      <c r="N141" s="109"/>
      <c r="O141" s="12"/>
      <c r="P141" s="12"/>
      <c r="Q141" s="12"/>
      <c r="R141" s="12"/>
      <c r="S141" s="12"/>
      <c r="T141" s="12"/>
      <c r="U141" s="12"/>
      <c r="V141" s="12"/>
      <c r="W141" s="12"/>
      <c r="X141" s="12"/>
      <c r="Y141" s="12"/>
      <c r="Z141" s="12"/>
    </row>
    <row r="142">
      <c r="A142" s="12"/>
      <c r="B142" s="12"/>
      <c r="C142" s="12"/>
      <c r="D142" s="109"/>
      <c r="E142" s="12"/>
      <c r="F142" s="12"/>
      <c r="G142" s="12"/>
      <c r="H142" s="12"/>
      <c r="I142" s="109"/>
      <c r="J142" s="12"/>
      <c r="K142" s="12"/>
      <c r="L142" s="12"/>
      <c r="M142" s="12"/>
      <c r="N142" s="109"/>
      <c r="O142" s="12"/>
      <c r="P142" s="12"/>
      <c r="Q142" s="12"/>
      <c r="R142" s="12"/>
      <c r="S142" s="12"/>
      <c r="T142" s="12"/>
      <c r="U142" s="12"/>
      <c r="V142" s="12"/>
      <c r="W142" s="12"/>
      <c r="X142" s="12"/>
      <c r="Y142" s="12"/>
      <c r="Z142" s="12"/>
    </row>
    <row r="143">
      <c r="A143" s="12"/>
      <c r="B143" s="12"/>
      <c r="C143" s="12"/>
      <c r="D143" s="109"/>
      <c r="E143" s="12"/>
      <c r="F143" s="12"/>
      <c r="G143" s="12"/>
      <c r="H143" s="12"/>
      <c r="I143" s="109"/>
      <c r="J143" s="12"/>
      <c r="K143" s="12"/>
      <c r="L143" s="12"/>
      <c r="M143" s="12"/>
      <c r="N143" s="109"/>
      <c r="O143" s="12"/>
      <c r="P143" s="12"/>
      <c r="Q143" s="12"/>
      <c r="R143" s="12"/>
      <c r="S143" s="12"/>
      <c r="T143" s="12"/>
      <c r="U143" s="12"/>
      <c r="V143" s="12"/>
      <c r="W143" s="12"/>
      <c r="X143" s="12"/>
      <c r="Y143" s="12"/>
      <c r="Z143" s="12"/>
    </row>
    <row r="144">
      <c r="A144" s="12"/>
      <c r="B144" s="12"/>
      <c r="C144" s="12"/>
      <c r="D144" s="109"/>
      <c r="E144" s="12"/>
      <c r="F144" s="12"/>
      <c r="G144" s="12"/>
      <c r="H144" s="12"/>
      <c r="I144" s="109"/>
      <c r="J144" s="12"/>
      <c r="K144" s="12"/>
      <c r="L144" s="12"/>
      <c r="M144" s="12"/>
      <c r="N144" s="109"/>
      <c r="O144" s="12"/>
      <c r="P144" s="12"/>
      <c r="Q144" s="12"/>
      <c r="R144" s="12"/>
      <c r="S144" s="12"/>
      <c r="T144" s="12"/>
      <c r="U144" s="12"/>
      <c r="V144" s="12"/>
      <c r="W144" s="12"/>
      <c r="X144" s="12"/>
      <c r="Y144" s="12"/>
      <c r="Z144" s="12"/>
    </row>
    <row r="145">
      <c r="A145" s="12"/>
      <c r="B145" s="12"/>
      <c r="C145" s="12"/>
      <c r="D145" s="109"/>
      <c r="E145" s="12"/>
      <c r="F145" s="12"/>
      <c r="G145" s="12"/>
      <c r="H145" s="12"/>
      <c r="I145" s="109"/>
      <c r="J145" s="12"/>
      <c r="K145" s="12"/>
      <c r="L145" s="12"/>
      <c r="M145" s="12"/>
      <c r="N145" s="109"/>
      <c r="O145" s="12"/>
      <c r="P145" s="12"/>
      <c r="Q145" s="12"/>
      <c r="R145" s="12"/>
      <c r="S145" s="12"/>
      <c r="T145" s="12"/>
      <c r="U145" s="12"/>
      <c r="V145" s="12"/>
      <c r="W145" s="12"/>
      <c r="X145" s="12"/>
      <c r="Y145" s="12"/>
      <c r="Z145" s="12"/>
    </row>
    <row r="146">
      <c r="A146" s="12"/>
      <c r="B146" s="12"/>
      <c r="C146" s="12"/>
      <c r="D146" s="109"/>
      <c r="E146" s="12"/>
      <c r="F146" s="12"/>
      <c r="G146" s="12"/>
      <c r="H146" s="12"/>
      <c r="I146" s="109"/>
      <c r="J146" s="12"/>
      <c r="K146" s="12"/>
      <c r="L146" s="12"/>
      <c r="M146" s="12"/>
      <c r="N146" s="109"/>
      <c r="O146" s="12"/>
      <c r="P146" s="12"/>
      <c r="Q146" s="12"/>
      <c r="R146" s="12"/>
      <c r="S146" s="12"/>
      <c r="T146" s="12"/>
      <c r="U146" s="12"/>
      <c r="V146" s="12"/>
      <c r="W146" s="12"/>
      <c r="X146" s="12"/>
      <c r="Y146" s="12"/>
      <c r="Z146" s="12"/>
    </row>
    <row r="147">
      <c r="A147" s="12"/>
      <c r="B147" s="12"/>
      <c r="C147" s="12"/>
      <c r="D147" s="109"/>
      <c r="E147" s="12"/>
      <c r="F147" s="12"/>
      <c r="G147" s="12"/>
      <c r="H147" s="12"/>
      <c r="I147" s="109"/>
      <c r="J147" s="12"/>
      <c r="K147" s="12"/>
      <c r="L147" s="12"/>
      <c r="M147" s="12"/>
      <c r="N147" s="109"/>
      <c r="O147" s="12"/>
      <c r="P147" s="12"/>
      <c r="Q147" s="12"/>
      <c r="R147" s="12"/>
      <c r="S147" s="12"/>
      <c r="T147" s="12"/>
      <c r="U147" s="12"/>
      <c r="V147" s="12"/>
      <c r="W147" s="12"/>
      <c r="X147" s="12"/>
      <c r="Y147" s="12"/>
      <c r="Z147" s="12"/>
    </row>
    <row r="148">
      <c r="A148" s="12"/>
      <c r="B148" s="12"/>
      <c r="C148" s="12"/>
      <c r="D148" s="109"/>
      <c r="E148" s="12"/>
      <c r="F148" s="12"/>
      <c r="G148" s="12"/>
      <c r="H148" s="12"/>
      <c r="I148" s="109"/>
      <c r="J148" s="12"/>
      <c r="K148" s="12"/>
      <c r="L148" s="12"/>
      <c r="M148" s="12"/>
      <c r="N148" s="109"/>
      <c r="O148" s="12"/>
      <c r="P148" s="12"/>
      <c r="Q148" s="12"/>
      <c r="R148" s="12"/>
      <c r="S148" s="12"/>
      <c r="T148" s="12"/>
      <c r="U148" s="12"/>
      <c r="V148" s="12"/>
      <c r="W148" s="12"/>
      <c r="X148" s="12"/>
      <c r="Y148" s="12"/>
      <c r="Z148" s="12"/>
    </row>
    <row r="149">
      <c r="A149" s="12"/>
      <c r="B149" s="12"/>
      <c r="C149" s="12"/>
      <c r="D149" s="109"/>
      <c r="E149" s="12"/>
      <c r="F149" s="12"/>
      <c r="G149" s="12"/>
      <c r="H149" s="12"/>
      <c r="I149" s="109"/>
      <c r="J149" s="12"/>
      <c r="K149" s="12"/>
      <c r="L149" s="12"/>
      <c r="M149" s="12"/>
      <c r="N149" s="109"/>
      <c r="O149" s="12"/>
      <c r="P149" s="12"/>
      <c r="Q149" s="12"/>
      <c r="R149" s="12"/>
      <c r="S149" s="12"/>
      <c r="T149" s="12"/>
      <c r="U149" s="12"/>
      <c r="V149" s="12"/>
      <c r="W149" s="12"/>
      <c r="X149" s="12"/>
      <c r="Y149" s="12"/>
      <c r="Z149" s="12"/>
    </row>
    <row r="150">
      <c r="A150" s="12"/>
      <c r="B150" s="12"/>
      <c r="C150" s="12"/>
      <c r="D150" s="109"/>
      <c r="E150" s="12"/>
      <c r="F150" s="12"/>
      <c r="G150" s="12"/>
      <c r="H150" s="12"/>
      <c r="I150" s="109"/>
      <c r="J150" s="12"/>
      <c r="K150" s="12"/>
      <c r="L150" s="12"/>
      <c r="M150" s="12"/>
      <c r="N150" s="109"/>
      <c r="O150" s="12"/>
      <c r="P150" s="12"/>
      <c r="Q150" s="12"/>
      <c r="R150" s="12"/>
      <c r="S150" s="12"/>
      <c r="T150" s="12"/>
      <c r="U150" s="12"/>
      <c r="V150" s="12"/>
      <c r="W150" s="12"/>
      <c r="X150" s="12"/>
      <c r="Y150" s="12"/>
      <c r="Z150" s="12"/>
    </row>
    <row r="151">
      <c r="A151" s="12"/>
      <c r="B151" s="12"/>
      <c r="C151" s="12"/>
      <c r="D151" s="109"/>
      <c r="E151" s="12"/>
      <c r="F151" s="12"/>
      <c r="G151" s="12"/>
      <c r="H151" s="12"/>
      <c r="I151" s="109"/>
      <c r="J151" s="12"/>
      <c r="K151" s="12"/>
      <c r="L151" s="12"/>
      <c r="M151" s="12"/>
      <c r="N151" s="109"/>
      <c r="O151" s="12"/>
      <c r="P151" s="12"/>
      <c r="Q151" s="12"/>
      <c r="R151" s="12"/>
      <c r="S151" s="12"/>
      <c r="T151" s="12"/>
      <c r="U151" s="12"/>
      <c r="V151" s="12"/>
      <c r="W151" s="12"/>
      <c r="X151" s="12"/>
      <c r="Y151" s="12"/>
      <c r="Z151" s="12"/>
    </row>
    <row r="152">
      <c r="A152" s="12"/>
      <c r="B152" s="12"/>
      <c r="C152" s="12"/>
      <c r="D152" s="109"/>
      <c r="E152" s="12"/>
      <c r="F152" s="12"/>
      <c r="G152" s="12"/>
      <c r="H152" s="12"/>
      <c r="I152" s="109"/>
      <c r="J152" s="12"/>
      <c r="K152" s="12"/>
      <c r="L152" s="12"/>
      <c r="M152" s="12"/>
      <c r="N152" s="109"/>
      <c r="O152" s="12"/>
      <c r="P152" s="12"/>
      <c r="Q152" s="12"/>
      <c r="R152" s="12"/>
      <c r="S152" s="12"/>
      <c r="T152" s="12"/>
      <c r="U152" s="12"/>
      <c r="V152" s="12"/>
      <c r="W152" s="12"/>
      <c r="X152" s="12"/>
      <c r="Y152" s="12"/>
      <c r="Z152" s="12"/>
    </row>
    <row r="153">
      <c r="A153" s="12"/>
      <c r="B153" s="12"/>
      <c r="C153" s="12"/>
      <c r="D153" s="109"/>
      <c r="E153" s="12"/>
      <c r="F153" s="12"/>
      <c r="G153" s="12"/>
      <c r="H153" s="12"/>
      <c r="I153" s="109"/>
      <c r="J153" s="12"/>
      <c r="K153" s="12"/>
      <c r="L153" s="12"/>
      <c r="M153" s="12"/>
      <c r="N153" s="109"/>
      <c r="O153" s="12"/>
      <c r="P153" s="12"/>
      <c r="Q153" s="12"/>
      <c r="R153" s="12"/>
      <c r="S153" s="12"/>
      <c r="T153" s="12"/>
      <c r="U153" s="12"/>
      <c r="V153" s="12"/>
      <c r="W153" s="12"/>
      <c r="X153" s="12"/>
      <c r="Y153" s="12"/>
      <c r="Z153" s="12"/>
    </row>
    <row r="154">
      <c r="A154" s="12"/>
      <c r="B154" s="12"/>
      <c r="C154" s="12"/>
      <c r="D154" s="109"/>
      <c r="E154" s="12"/>
      <c r="F154" s="12"/>
      <c r="G154" s="12"/>
      <c r="H154" s="12"/>
      <c r="I154" s="109"/>
      <c r="J154" s="12"/>
      <c r="K154" s="12"/>
      <c r="L154" s="12"/>
      <c r="M154" s="12"/>
      <c r="N154" s="109"/>
      <c r="O154" s="12"/>
      <c r="P154" s="12"/>
      <c r="Q154" s="12"/>
      <c r="R154" s="12"/>
      <c r="S154" s="12"/>
      <c r="T154" s="12"/>
      <c r="U154" s="12"/>
      <c r="V154" s="12"/>
      <c r="W154" s="12"/>
      <c r="X154" s="12"/>
      <c r="Y154" s="12"/>
      <c r="Z154" s="12"/>
    </row>
    <row r="155">
      <c r="A155" s="12"/>
      <c r="B155" s="12"/>
      <c r="C155" s="12"/>
      <c r="D155" s="109"/>
      <c r="E155" s="12"/>
      <c r="F155" s="12"/>
      <c r="G155" s="12"/>
      <c r="H155" s="12"/>
      <c r="I155" s="109"/>
      <c r="J155" s="12"/>
      <c r="K155" s="12"/>
      <c r="L155" s="12"/>
      <c r="M155" s="12"/>
      <c r="N155" s="109"/>
      <c r="O155" s="12"/>
      <c r="P155" s="12"/>
      <c r="Q155" s="12"/>
      <c r="R155" s="12"/>
      <c r="S155" s="12"/>
      <c r="T155" s="12"/>
      <c r="U155" s="12"/>
      <c r="V155" s="12"/>
      <c r="W155" s="12"/>
      <c r="X155" s="12"/>
      <c r="Y155" s="12"/>
      <c r="Z155" s="12"/>
    </row>
    <row r="156">
      <c r="A156" s="12"/>
      <c r="B156" s="12"/>
      <c r="C156" s="12"/>
      <c r="D156" s="109"/>
      <c r="E156" s="12"/>
      <c r="F156" s="12"/>
      <c r="G156" s="12"/>
      <c r="H156" s="12"/>
      <c r="I156" s="109"/>
      <c r="J156" s="12"/>
      <c r="K156" s="12"/>
      <c r="L156" s="12"/>
      <c r="M156" s="12"/>
      <c r="N156" s="109"/>
      <c r="O156" s="12"/>
      <c r="P156" s="12"/>
      <c r="Q156" s="12"/>
      <c r="R156" s="12"/>
      <c r="S156" s="12"/>
      <c r="T156" s="12"/>
      <c r="U156" s="12"/>
      <c r="V156" s="12"/>
      <c r="W156" s="12"/>
      <c r="X156" s="12"/>
      <c r="Y156" s="12"/>
      <c r="Z156" s="12"/>
    </row>
    <row r="157">
      <c r="A157" s="12"/>
      <c r="B157" s="12"/>
      <c r="C157" s="12"/>
      <c r="D157" s="109"/>
      <c r="E157" s="12"/>
      <c r="F157" s="12"/>
      <c r="G157" s="12"/>
      <c r="H157" s="12"/>
      <c r="I157" s="109"/>
      <c r="J157" s="12"/>
      <c r="K157" s="12"/>
      <c r="L157" s="12"/>
      <c r="M157" s="12"/>
      <c r="N157" s="109"/>
      <c r="O157" s="12"/>
      <c r="P157" s="12"/>
      <c r="Q157" s="12"/>
      <c r="R157" s="12"/>
      <c r="S157" s="12"/>
      <c r="T157" s="12"/>
      <c r="U157" s="12"/>
      <c r="V157" s="12"/>
      <c r="W157" s="12"/>
      <c r="X157" s="12"/>
      <c r="Y157" s="12"/>
      <c r="Z157" s="12"/>
    </row>
    <row r="158">
      <c r="A158" s="12"/>
      <c r="B158" s="12"/>
      <c r="C158" s="12"/>
      <c r="D158" s="109"/>
      <c r="E158" s="12"/>
      <c r="F158" s="12"/>
      <c r="G158" s="12"/>
      <c r="H158" s="12"/>
      <c r="I158" s="109"/>
      <c r="J158" s="12"/>
      <c r="K158" s="12"/>
      <c r="L158" s="12"/>
      <c r="M158" s="12"/>
      <c r="N158" s="109"/>
      <c r="O158" s="12"/>
      <c r="P158" s="12"/>
      <c r="Q158" s="12"/>
      <c r="R158" s="12"/>
      <c r="S158" s="12"/>
      <c r="T158" s="12"/>
      <c r="U158" s="12"/>
      <c r="V158" s="12"/>
      <c r="W158" s="12"/>
      <c r="X158" s="12"/>
      <c r="Y158" s="12"/>
      <c r="Z158" s="12"/>
    </row>
    <row r="159">
      <c r="A159" s="12"/>
      <c r="B159" s="12"/>
      <c r="C159" s="12"/>
      <c r="D159" s="109"/>
      <c r="E159" s="12"/>
      <c r="F159" s="12"/>
      <c r="G159" s="12"/>
      <c r="H159" s="12"/>
      <c r="I159" s="109"/>
      <c r="J159" s="12"/>
      <c r="K159" s="12"/>
      <c r="L159" s="12"/>
      <c r="M159" s="12"/>
      <c r="N159" s="109"/>
      <c r="O159" s="12"/>
      <c r="P159" s="12"/>
      <c r="Q159" s="12"/>
      <c r="R159" s="12"/>
      <c r="S159" s="12"/>
      <c r="T159" s="12"/>
      <c r="U159" s="12"/>
      <c r="V159" s="12"/>
      <c r="W159" s="12"/>
      <c r="X159" s="12"/>
      <c r="Y159" s="12"/>
      <c r="Z159" s="12"/>
    </row>
    <row r="160">
      <c r="A160" s="12"/>
      <c r="B160" s="12"/>
      <c r="C160" s="12"/>
      <c r="D160" s="109"/>
      <c r="E160" s="12"/>
      <c r="F160" s="12"/>
      <c r="G160" s="12"/>
      <c r="H160" s="12"/>
      <c r="I160" s="109"/>
      <c r="J160" s="12"/>
      <c r="K160" s="12"/>
      <c r="L160" s="12"/>
      <c r="M160" s="12"/>
      <c r="N160" s="109"/>
      <c r="O160" s="12"/>
      <c r="P160" s="12"/>
      <c r="Q160" s="12"/>
      <c r="R160" s="12"/>
      <c r="S160" s="12"/>
      <c r="T160" s="12"/>
      <c r="U160" s="12"/>
      <c r="V160" s="12"/>
      <c r="W160" s="12"/>
      <c r="X160" s="12"/>
      <c r="Y160" s="12"/>
      <c r="Z160" s="12"/>
    </row>
    <row r="161">
      <c r="A161" s="12"/>
      <c r="B161" s="12"/>
      <c r="C161" s="12"/>
      <c r="D161" s="109"/>
      <c r="E161" s="12"/>
      <c r="F161" s="12"/>
      <c r="G161" s="12"/>
      <c r="H161" s="12"/>
      <c r="I161" s="109"/>
      <c r="J161" s="12"/>
      <c r="K161" s="12"/>
      <c r="L161" s="12"/>
      <c r="M161" s="12"/>
      <c r="N161" s="109"/>
      <c r="O161" s="12"/>
      <c r="P161" s="12"/>
      <c r="Q161" s="12"/>
      <c r="R161" s="12"/>
      <c r="S161" s="12"/>
      <c r="T161" s="12"/>
      <c r="U161" s="12"/>
      <c r="V161" s="12"/>
      <c r="W161" s="12"/>
      <c r="X161" s="12"/>
      <c r="Y161" s="12"/>
      <c r="Z161" s="12"/>
    </row>
    <row r="162">
      <c r="A162" s="12"/>
      <c r="B162" s="12"/>
      <c r="C162" s="12"/>
      <c r="D162" s="109"/>
      <c r="E162" s="12"/>
      <c r="F162" s="12"/>
      <c r="G162" s="12"/>
      <c r="H162" s="12"/>
      <c r="I162" s="109"/>
      <c r="J162" s="12"/>
      <c r="K162" s="12"/>
      <c r="L162" s="12"/>
      <c r="M162" s="12"/>
      <c r="N162" s="109"/>
      <c r="O162" s="12"/>
      <c r="P162" s="12"/>
      <c r="Q162" s="12"/>
      <c r="R162" s="12"/>
      <c r="S162" s="12"/>
      <c r="T162" s="12"/>
      <c r="U162" s="12"/>
      <c r="V162" s="12"/>
      <c r="W162" s="12"/>
      <c r="X162" s="12"/>
      <c r="Y162" s="12"/>
      <c r="Z162" s="12"/>
    </row>
    <row r="163">
      <c r="A163" s="12"/>
      <c r="B163" s="12"/>
      <c r="C163" s="12"/>
      <c r="D163" s="109"/>
      <c r="E163" s="12"/>
      <c r="F163" s="12"/>
      <c r="G163" s="12"/>
      <c r="H163" s="12"/>
      <c r="I163" s="109"/>
      <c r="J163" s="12"/>
      <c r="K163" s="12"/>
      <c r="L163" s="12"/>
      <c r="M163" s="12"/>
      <c r="N163" s="109"/>
      <c r="O163" s="12"/>
      <c r="P163" s="12"/>
      <c r="Q163" s="12"/>
      <c r="R163" s="12"/>
      <c r="S163" s="12"/>
      <c r="T163" s="12"/>
      <c r="U163" s="12"/>
      <c r="V163" s="12"/>
      <c r="W163" s="12"/>
      <c r="X163" s="12"/>
      <c r="Y163" s="12"/>
      <c r="Z163" s="12"/>
    </row>
    <row r="164">
      <c r="A164" s="12"/>
      <c r="B164" s="12"/>
      <c r="C164" s="12"/>
      <c r="D164" s="109"/>
      <c r="E164" s="12"/>
      <c r="F164" s="12"/>
      <c r="G164" s="12"/>
      <c r="H164" s="12"/>
      <c r="I164" s="109"/>
      <c r="J164" s="12"/>
      <c r="K164" s="12"/>
      <c r="L164" s="12"/>
      <c r="M164" s="12"/>
      <c r="N164" s="109"/>
      <c r="O164" s="12"/>
      <c r="P164" s="12"/>
      <c r="Q164" s="12"/>
      <c r="R164" s="12"/>
      <c r="S164" s="12"/>
      <c r="T164" s="12"/>
      <c r="U164" s="12"/>
      <c r="V164" s="12"/>
      <c r="W164" s="12"/>
      <c r="X164" s="12"/>
      <c r="Y164" s="12"/>
      <c r="Z164" s="12"/>
    </row>
    <row r="165">
      <c r="A165" s="12"/>
      <c r="B165" s="12"/>
      <c r="C165" s="12"/>
      <c r="D165" s="109"/>
      <c r="E165" s="12"/>
      <c r="F165" s="12"/>
      <c r="G165" s="12"/>
      <c r="H165" s="12"/>
      <c r="I165" s="109"/>
      <c r="J165" s="12"/>
      <c r="K165" s="12"/>
      <c r="L165" s="12"/>
      <c r="M165" s="12"/>
      <c r="N165" s="109"/>
      <c r="O165" s="12"/>
      <c r="P165" s="12"/>
      <c r="Q165" s="12"/>
      <c r="R165" s="12"/>
      <c r="S165" s="12"/>
      <c r="T165" s="12"/>
      <c r="U165" s="12"/>
      <c r="V165" s="12"/>
      <c r="W165" s="12"/>
      <c r="X165" s="12"/>
      <c r="Y165" s="12"/>
      <c r="Z165" s="12"/>
    </row>
    <row r="166">
      <c r="A166" s="12"/>
      <c r="B166" s="12"/>
      <c r="C166" s="12"/>
      <c r="D166" s="109"/>
      <c r="E166" s="12"/>
      <c r="F166" s="12"/>
      <c r="G166" s="12"/>
      <c r="H166" s="12"/>
      <c r="I166" s="109"/>
      <c r="J166" s="12"/>
      <c r="K166" s="12"/>
      <c r="L166" s="12"/>
      <c r="M166" s="12"/>
      <c r="N166" s="109"/>
      <c r="O166" s="12"/>
      <c r="P166" s="12"/>
      <c r="Q166" s="12"/>
      <c r="R166" s="12"/>
      <c r="S166" s="12"/>
      <c r="T166" s="12"/>
      <c r="U166" s="12"/>
      <c r="V166" s="12"/>
      <c r="W166" s="12"/>
      <c r="X166" s="12"/>
      <c r="Y166" s="12"/>
      <c r="Z166" s="12"/>
    </row>
    <row r="167">
      <c r="A167" s="12"/>
      <c r="B167" s="12"/>
      <c r="C167" s="12"/>
      <c r="D167" s="109"/>
      <c r="E167" s="12"/>
      <c r="F167" s="12"/>
      <c r="G167" s="12"/>
      <c r="H167" s="12"/>
      <c r="I167" s="109"/>
      <c r="J167" s="12"/>
      <c r="K167" s="12"/>
      <c r="L167" s="12"/>
      <c r="M167" s="12"/>
      <c r="N167" s="109"/>
      <c r="O167" s="12"/>
      <c r="P167" s="12"/>
      <c r="Q167" s="12"/>
      <c r="R167" s="12"/>
      <c r="S167" s="12"/>
      <c r="T167" s="12"/>
      <c r="U167" s="12"/>
      <c r="V167" s="12"/>
      <c r="W167" s="12"/>
      <c r="X167" s="12"/>
      <c r="Y167" s="12"/>
      <c r="Z167" s="12"/>
    </row>
    <row r="168">
      <c r="A168" s="12"/>
      <c r="B168" s="12"/>
      <c r="C168" s="12"/>
      <c r="D168" s="109"/>
      <c r="E168" s="12"/>
      <c r="F168" s="12"/>
      <c r="G168" s="12"/>
      <c r="H168" s="12"/>
      <c r="I168" s="109"/>
      <c r="J168" s="12"/>
      <c r="K168" s="12"/>
      <c r="L168" s="12"/>
      <c r="M168" s="12"/>
      <c r="N168" s="109"/>
      <c r="O168" s="12"/>
      <c r="P168" s="12"/>
      <c r="Q168" s="12"/>
      <c r="R168" s="12"/>
      <c r="S168" s="12"/>
      <c r="T168" s="12"/>
      <c r="U168" s="12"/>
      <c r="V168" s="12"/>
      <c r="W168" s="12"/>
      <c r="X168" s="12"/>
      <c r="Y168" s="12"/>
      <c r="Z168" s="12"/>
    </row>
    <row r="169">
      <c r="A169" s="12"/>
      <c r="B169" s="12"/>
      <c r="C169" s="12"/>
      <c r="D169" s="109"/>
      <c r="E169" s="12"/>
      <c r="F169" s="12"/>
      <c r="G169" s="12"/>
      <c r="H169" s="12"/>
      <c r="I169" s="109"/>
      <c r="J169" s="12"/>
      <c r="K169" s="12"/>
      <c r="L169" s="12"/>
      <c r="M169" s="12"/>
      <c r="N169" s="109"/>
      <c r="O169" s="12"/>
      <c r="P169" s="12"/>
      <c r="Q169" s="12"/>
      <c r="R169" s="12"/>
      <c r="S169" s="12"/>
      <c r="T169" s="12"/>
      <c r="U169" s="12"/>
      <c r="V169" s="12"/>
      <c r="W169" s="12"/>
      <c r="X169" s="12"/>
      <c r="Y169" s="12"/>
      <c r="Z169" s="12"/>
    </row>
    <row r="170">
      <c r="A170" s="12"/>
      <c r="B170" s="12"/>
      <c r="C170" s="12"/>
      <c r="D170" s="109"/>
      <c r="E170" s="12"/>
      <c r="F170" s="12"/>
      <c r="G170" s="12"/>
      <c r="H170" s="12"/>
      <c r="I170" s="109"/>
      <c r="J170" s="12"/>
      <c r="K170" s="12"/>
      <c r="L170" s="12"/>
      <c r="M170" s="12"/>
      <c r="N170" s="109"/>
      <c r="O170" s="12"/>
      <c r="P170" s="12"/>
      <c r="Q170" s="12"/>
      <c r="R170" s="12"/>
      <c r="S170" s="12"/>
      <c r="T170" s="12"/>
      <c r="U170" s="12"/>
      <c r="V170" s="12"/>
      <c r="W170" s="12"/>
      <c r="X170" s="12"/>
      <c r="Y170" s="12"/>
      <c r="Z170" s="12"/>
    </row>
    <row r="171">
      <c r="A171" s="12"/>
      <c r="B171" s="12"/>
      <c r="C171" s="12"/>
      <c r="D171" s="109"/>
      <c r="E171" s="12"/>
      <c r="F171" s="12"/>
      <c r="G171" s="12"/>
      <c r="H171" s="12"/>
      <c r="I171" s="109"/>
      <c r="J171" s="12"/>
      <c r="K171" s="12"/>
      <c r="L171" s="12"/>
      <c r="M171" s="12"/>
      <c r="N171" s="109"/>
      <c r="O171" s="12"/>
      <c r="P171" s="12"/>
      <c r="Q171" s="12"/>
      <c r="R171" s="12"/>
      <c r="S171" s="12"/>
      <c r="T171" s="12"/>
      <c r="U171" s="12"/>
      <c r="V171" s="12"/>
      <c r="W171" s="12"/>
      <c r="X171" s="12"/>
      <c r="Y171" s="12"/>
      <c r="Z171" s="12"/>
    </row>
    <row r="172">
      <c r="A172" s="12"/>
      <c r="B172" s="12"/>
      <c r="C172" s="12"/>
      <c r="D172" s="109"/>
      <c r="E172" s="12"/>
      <c r="F172" s="12"/>
      <c r="G172" s="12"/>
      <c r="H172" s="12"/>
      <c r="I172" s="109"/>
      <c r="J172" s="12"/>
      <c r="K172" s="12"/>
      <c r="L172" s="12"/>
      <c r="M172" s="12"/>
      <c r="N172" s="109"/>
      <c r="O172" s="12"/>
      <c r="P172" s="12"/>
      <c r="Q172" s="12"/>
      <c r="R172" s="12"/>
      <c r="S172" s="12"/>
      <c r="T172" s="12"/>
      <c r="U172" s="12"/>
      <c r="V172" s="12"/>
      <c r="W172" s="12"/>
      <c r="X172" s="12"/>
      <c r="Y172" s="12"/>
      <c r="Z172" s="12"/>
    </row>
    <row r="173">
      <c r="A173" s="12"/>
      <c r="B173" s="12"/>
      <c r="C173" s="12"/>
      <c r="D173" s="109"/>
      <c r="E173" s="12"/>
      <c r="F173" s="12"/>
      <c r="G173" s="12"/>
      <c r="H173" s="12"/>
      <c r="I173" s="109"/>
      <c r="J173" s="12"/>
      <c r="K173" s="12"/>
      <c r="L173" s="12"/>
      <c r="M173" s="12"/>
      <c r="N173" s="109"/>
      <c r="O173" s="12"/>
      <c r="P173" s="12"/>
      <c r="Q173" s="12"/>
      <c r="R173" s="12"/>
      <c r="S173" s="12"/>
      <c r="T173" s="12"/>
      <c r="U173" s="12"/>
      <c r="V173" s="12"/>
      <c r="W173" s="12"/>
      <c r="X173" s="12"/>
      <c r="Y173" s="12"/>
      <c r="Z173" s="12"/>
    </row>
    <row r="174">
      <c r="A174" s="12"/>
      <c r="B174" s="12"/>
      <c r="C174" s="12"/>
      <c r="D174" s="109"/>
      <c r="E174" s="12"/>
      <c r="F174" s="12"/>
      <c r="G174" s="12"/>
      <c r="H174" s="12"/>
      <c r="I174" s="109"/>
      <c r="J174" s="12"/>
      <c r="K174" s="12"/>
      <c r="L174" s="12"/>
      <c r="M174" s="12"/>
      <c r="N174" s="109"/>
      <c r="O174" s="12"/>
      <c r="P174" s="12"/>
      <c r="Q174" s="12"/>
      <c r="R174" s="12"/>
      <c r="S174" s="12"/>
      <c r="T174" s="12"/>
      <c r="U174" s="12"/>
      <c r="V174" s="12"/>
      <c r="W174" s="12"/>
      <c r="X174" s="12"/>
      <c r="Y174" s="12"/>
      <c r="Z174" s="12"/>
    </row>
    <row r="175">
      <c r="A175" s="12"/>
      <c r="B175" s="12"/>
      <c r="C175" s="12"/>
      <c r="D175" s="109"/>
      <c r="E175" s="12"/>
      <c r="F175" s="12"/>
      <c r="G175" s="12"/>
      <c r="H175" s="12"/>
      <c r="I175" s="109"/>
      <c r="J175" s="12"/>
      <c r="K175" s="12"/>
      <c r="L175" s="12"/>
      <c r="M175" s="12"/>
      <c r="N175" s="109"/>
      <c r="O175" s="12"/>
      <c r="P175" s="12"/>
      <c r="Q175" s="12"/>
      <c r="R175" s="12"/>
      <c r="S175" s="12"/>
      <c r="T175" s="12"/>
      <c r="U175" s="12"/>
      <c r="V175" s="12"/>
      <c r="W175" s="12"/>
      <c r="X175" s="12"/>
      <c r="Y175" s="12"/>
      <c r="Z175" s="12"/>
    </row>
    <row r="176">
      <c r="A176" s="12"/>
      <c r="B176" s="12"/>
      <c r="C176" s="12"/>
      <c r="D176" s="109"/>
      <c r="E176" s="12"/>
      <c r="F176" s="12"/>
      <c r="G176" s="12"/>
      <c r="H176" s="12"/>
      <c r="I176" s="109"/>
      <c r="J176" s="12"/>
      <c r="K176" s="12"/>
      <c r="L176" s="12"/>
      <c r="M176" s="12"/>
      <c r="N176" s="109"/>
      <c r="O176" s="12"/>
      <c r="P176" s="12"/>
      <c r="Q176" s="12"/>
      <c r="R176" s="12"/>
      <c r="S176" s="12"/>
      <c r="T176" s="12"/>
      <c r="U176" s="12"/>
      <c r="V176" s="12"/>
      <c r="W176" s="12"/>
      <c r="X176" s="12"/>
      <c r="Y176" s="12"/>
      <c r="Z176" s="12"/>
    </row>
    <row r="177">
      <c r="A177" s="12"/>
      <c r="B177" s="12"/>
      <c r="C177" s="12"/>
      <c r="D177" s="109"/>
      <c r="E177" s="12"/>
      <c r="F177" s="12"/>
      <c r="G177" s="12"/>
      <c r="H177" s="12"/>
      <c r="I177" s="109"/>
      <c r="J177" s="12"/>
      <c r="K177" s="12"/>
      <c r="L177" s="12"/>
      <c r="M177" s="12"/>
      <c r="N177" s="109"/>
      <c r="O177" s="12"/>
      <c r="P177" s="12"/>
      <c r="Q177" s="12"/>
      <c r="R177" s="12"/>
      <c r="S177" s="12"/>
      <c r="T177" s="12"/>
      <c r="U177" s="12"/>
      <c r="V177" s="12"/>
      <c r="W177" s="12"/>
      <c r="X177" s="12"/>
      <c r="Y177" s="12"/>
      <c r="Z177" s="12"/>
    </row>
    <row r="178">
      <c r="A178" s="12"/>
      <c r="B178" s="12"/>
      <c r="C178" s="12"/>
      <c r="D178" s="109"/>
      <c r="E178" s="12"/>
      <c r="F178" s="12"/>
      <c r="G178" s="12"/>
      <c r="H178" s="12"/>
      <c r="I178" s="109"/>
      <c r="J178" s="12"/>
      <c r="K178" s="12"/>
      <c r="L178" s="12"/>
      <c r="M178" s="12"/>
      <c r="N178" s="109"/>
      <c r="O178" s="12"/>
      <c r="P178" s="12"/>
      <c r="Q178" s="12"/>
      <c r="R178" s="12"/>
      <c r="S178" s="12"/>
      <c r="T178" s="12"/>
      <c r="U178" s="12"/>
      <c r="V178" s="12"/>
      <c r="W178" s="12"/>
      <c r="X178" s="12"/>
      <c r="Y178" s="12"/>
      <c r="Z178" s="12"/>
    </row>
    <row r="179">
      <c r="A179" s="12"/>
      <c r="B179" s="12"/>
      <c r="C179" s="12"/>
      <c r="D179" s="109"/>
      <c r="E179" s="12"/>
      <c r="F179" s="12"/>
      <c r="G179" s="12"/>
      <c r="H179" s="12"/>
      <c r="I179" s="109"/>
      <c r="J179" s="12"/>
      <c r="K179" s="12"/>
      <c r="L179" s="12"/>
      <c r="M179" s="12"/>
      <c r="N179" s="109"/>
      <c r="O179" s="12"/>
      <c r="P179" s="12"/>
      <c r="Q179" s="12"/>
      <c r="R179" s="12"/>
      <c r="S179" s="12"/>
      <c r="T179" s="12"/>
      <c r="U179" s="12"/>
      <c r="V179" s="12"/>
      <c r="W179" s="12"/>
      <c r="X179" s="12"/>
      <c r="Y179" s="12"/>
      <c r="Z179" s="12"/>
    </row>
    <row r="180">
      <c r="A180" s="12"/>
      <c r="B180" s="12"/>
      <c r="C180" s="12"/>
      <c r="D180" s="109"/>
      <c r="E180" s="12"/>
      <c r="F180" s="12"/>
      <c r="G180" s="12"/>
      <c r="H180" s="12"/>
      <c r="I180" s="109"/>
      <c r="J180" s="12"/>
      <c r="K180" s="12"/>
      <c r="L180" s="12"/>
      <c r="M180" s="12"/>
      <c r="N180" s="109"/>
      <c r="O180" s="12"/>
      <c r="P180" s="12"/>
      <c r="Q180" s="12"/>
      <c r="R180" s="12"/>
      <c r="S180" s="12"/>
      <c r="T180" s="12"/>
      <c r="U180" s="12"/>
      <c r="V180" s="12"/>
      <c r="W180" s="12"/>
      <c r="X180" s="12"/>
      <c r="Y180" s="12"/>
      <c r="Z180" s="12"/>
    </row>
    <row r="181">
      <c r="A181" s="12"/>
      <c r="B181" s="12"/>
      <c r="C181" s="12"/>
      <c r="D181" s="109"/>
      <c r="E181" s="12"/>
      <c r="F181" s="12"/>
      <c r="G181" s="12"/>
      <c r="H181" s="12"/>
      <c r="I181" s="109"/>
      <c r="J181" s="12"/>
      <c r="K181" s="12"/>
      <c r="L181" s="12"/>
      <c r="M181" s="12"/>
      <c r="N181" s="109"/>
      <c r="O181" s="12"/>
      <c r="P181" s="12"/>
      <c r="Q181" s="12"/>
      <c r="R181" s="12"/>
      <c r="S181" s="12"/>
      <c r="T181" s="12"/>
      <c r="U181" s="12"/>
      <c r="V181" s="12"/>
      <c r="W181" s="12"/>
      <c r="X181" s="12"/>
      <c r="Y181" s="12"/>
      <c r="Z181" s="12"/>
    </row>
    <row r="182">
      <c r="A182" s="12"/>
      <c r="B182" s="12"/>
      <c r="C182" s="12"/>
      <c r="D182" s="109"/>
      <c r="E182" s="12"/>
      <c r="F182" s="12"/>
      <c r="G182" s="12"/>
      <c r="H182" s="12"/>
      <c r="I182" s="109"/>
      <c r="J182" s="12"/>
      <c r="K182" s="12"/>
      <c r="L182" s="12"/>
      <c r="M182" s="12"/>
      <c r="N182" s="109"/>
      <c r="O182" s="12"/>
      <c r="P182" s="12"/>
      <c r="Q182" s="12"/>
      <c r="R182" s="12"/>
      <c r="S182" s="12"/>
      <c r="T182" s="12"/>
      <c r="U182" s="12"/>
      <c r="V182" s="12"/>
      <c r="W182" s="12"/>
      <c r="X182" s="12"/>
      <c r="Y182" s="12"/>
      <c r="Z182" s="12"/>
    </row>
    <row r="183">
      <c r="A183" s="12"/>
      <c r="B183" s="12"/>
      <c r="C183" s="12"/>
      <c r="D183" s="109"/>
      <c r="E183" s="12"/>
      <c r="F183" s="12"/>
      <c r="G183" s="12"/>
      <c r="H183" s="12"/>
      <c r="I183" s="109"/>
      <c r="J183" s="12"/>
      <c r="K183" s="12"/>
      <c r="L183" s="12"/>
      <c r="M183" s="12"/>
      <c r="N183" s="109"/>
      <c r="O183" s="12"/>
      <c r="P183" s="12"/>
      <c r="Q183" s="12"/>
      <c r="R183" s="12"/>
      <c r="S183" s="12"/>
      <c r="T183" s="12"/>
      <c r="U183" s="12"/>
      <c r="V183" s="12"/>
      <c r="W183" s="12"/>
      <c r="X183" s="12"/>
      <c r="Y183" s="12"/>
      <c r="Z183" s="12"/>
    </row>
    <row r="184">
      <c r="A184" s="12"/>
      <c r="B184" s="12"/>
      <c r="C184" s="12"/>
      <c r="D184" s="109"/>
      <c r="E184" s="12"/>
      <c r="F184" s="12"/>
      <c r="G184" s="12"/>
      <c r="H184" s="12"/>
      <c r="I184" s="109"/>
      <c r="J184" s="12"/>
      <c r="K184" s="12"/>
      <c r="L184" s="12"/>
      <c r="M184" s="12"/>
      <c r="N184" s="109"/>
      <c r="O184" s="12"/>
      <c r="P184" s="12"/>
      <c r="Q184" s="12"/>
      <c r="R184" s="12"/>
      <c r="S184" s="12"/>
      <c r="T184" s="12"/>
      <c r="U184" s="12"/>
      <c r="V184" s="12"/>
      <c r="W184" s="12"/>
      <c r="X184" s="12"/>
      <c r="Y184" s="12"/>
      <c r="Z184" s="12"/>
    </row>
    <row r="185">
      <c r="A185" s="12"/>
      <c r="B185" s="12"/>
      <c r="C185" s="12"/>
      <c r="D185" s="109"/>
      <c r="E185" s="12"/>
      <c r="F185" s="12"/>
      <c r="G185" s="12"/>
      <c r="H185" s="12"/>
      <c r="I185" s="109"/>
      <c r="J185" s="12"/>
      <c r="K185" s="12"/>
      <c r="L185" s="12"/>
      <c r="M185" s="12"/>
      <c r="N185" s="109"/>
      <c r="O185" s="12"/>
      <c r="P185" s="12"/>
      <c r="Q185" s="12"/>
      <c r="R185" s="12"/>
      <c r="S185" s="12"/>
      <c r="T185" s="12"/>
      <c r="U185" s="12"/>
      <c r="V185" s="12"/>
      <c r="W185" s="12"/>
      <c r="X185" s="12"/>
      <c r="Y185" s="12"/>
      <c r="Z185" s="12"/>
    </row>
    <row r="186">
      <c r="A186" s="12"/>
      <c r="B186" s="12"/>
      <c r="C186" s="12"/>
      <c r="D186" s="109"/>
      <c r="E186" s="12"/>
      <c r="F186" s="12"/>
      <c r="G186" s="12"/>
      <c r="H186" s="12"/>
      <c r="I186" s="109"/>
      <c r="J186" s="12"/>
      <c r="K186" s="12"/>
      <c r="L186" s="12"/>
      <c r="M186" s="12"/>
      <c r="N186" s="109"/>
      <c r="O186" s="12"/>
      <c r="P186" s="12"/>
      <c r="Q186" s="12"/>
      <c r="R186" s="12"/>
      <c r="S186" s="12"/>
      <c r="T186" s="12"/>
      <c r="U186" s="12"/>
      <c r="V186" s="12"/>
      <c r="W186" s="12"/>
      <c r="X186" s="12"/>
      <c r="Y186" s="12"/>
      <c r="Z186" s="12"/>
    </row>
    <row r="187">
      <c r="A187" s="12"/>
      <c r="B187" s="12"/>
      <c r="C187" s="12"/>
      <c r="D187" s="109"/>
      <c r="E187" s="12"/>
      <c r="F187" s="12"/>
      <c r="G187" s="12"/>
      <c r="H187" s="12"/>
      <c r="I187" s="109"/>
      <c r="J187" s="12"/>
      <c r="K187" s="12"/>
      <c r="L187" s="12"/>
      <c r="M187" s="12"/>
      <c r="N187" s="109"/>
      <c r="O187" s="12"/>
      <c r="P187" s="12"/>
      <c r="Q187" s="12"/>
      <c r="R187" s="12"/>
      <c r="S187" s="12"/>
      <c r="T187" s="12"/>
      <c r="U187" s="12"/>
      <c r="V187" s="12"/>
      <c r="W187" s="12"/>
      <c r="X187" s="12"/>
      <c r="Y187" s="12"/>
      <c r="Z187" s="12"/>
    </row>
    <row r="188">
      <c r="A188" s="12"/>
      <c r="B188" s="12"/>
      <c r="C188" s="12"/>
      <c r="D188" s="109"/>
      <c r="E188" s="12"/>
      <c r="F188" s="12"/>
      <c r="G188" s="12"/>
      <c r="H188" s="12"/>
      <c r="I188" s="109"/>
      <c r="J188" s="12"/>
      <c r="K188" s="12"/>
      <c r="L188" s="12"/>
      <c r="M188" s="12"/>
      <c r="N188" s="109"/>
      <c r="O188" s="12"/>
      <c r="P188" s="12"/>
      <c r="Q188" s="12"/>
      <c r="R188" s="12"/>
      <c r="S188" s="12"/>
      <c r="T188" s="12"/>
      <c r="U188" s="12"/>
      <c r="V188" s="12"/>
      <c r="W188" s="12"/>
      <c r="X188" s="12"/>
      <c r="Y188" s="12"/>
      <c r="Z188" s="12"/>
    </row>
    <row r="189">
      <c r="A189" s="12"/>
      <c r="B189" s="12"/>
      <c r="C189" s="12"/>
      <c r="D189" s="109"/>
      <c r="E189" s="12"/>
      <c r="F189" s="12"/>
      <c r="G189" s="12"/>
      <c r="H189" s="12"/>
      <c r="I189" s="109"/>
      <c r="J189" s="12"/>
      <c r="K189" s="12"/>
      <c r="L189" s="12"/>
      <c r="M189" s="12"/>
      <c r="N189" s="109"/>
      <c r="O189" s="12"/>
      <c r="P189" s="12"/>
      <c r="Q189" s="12"/>
      <c r="R189" s="12"/>
      <c r="S189" s="12"/>
      <c r="T189" s="12"/>
      <c r="U189" s="12"/>
      <c r="V189" s="12"/>
      <c r="W189" s="12"/>
      <c r="X189" s="12"/>
      <c r="Y189" s="12"/>
      <c r="Z189" s="12"/>
    </row>
    <row r="190">
      <c r="A190" s="12"/>
      <c r="B190" s="12"/>
      <c r="C190" s="12"/>
      <c r="D190" s="109"/>
      <c r="E190" s="12"/>
      <c r="F190" s="12"/>
      <c r="G190" s="12"/>
      <c r="H190" s="12"/>
      <c r="I190" s="109"/>
      <c r="J190" s="12"/>
      <c r="K190" s="12"/>
      <c r="L190" s="12"/>
      <c r="M190" s="12"/>
      <c r="N190" s="109"/>
      <c r="O190" s="12"/>
      <c r="P190" s="12"/>
      <c r="Q190" s="12"/>
      <c r="R190" s="12"/>
      <c r="S190" s="12"/>
      <c r="T190" s="12"/>
      <c r="U190" s="12"/>
      <c r="V190" s="12"/>
      <c r="W190" s="12"/>
      <c r="X190" s="12"/>
      <c r="Y190" s="12"/>
      <c r="Z190" s="12"/>
    </row>
    <row r="191">
      <c r="A191" s="12"/>
      <c r="B191" s="12"/>
      <c r="C191" s="12"/>
      <c r="D191" s="109"/>
      <c r="E191" s="12"/>
      <c r="F191" s="12"/>
      <c r="G191" s="12"/>
      <c r="H191" s="12"/>
      <c r="I191" s="109"/>
      <c r="J191" s="12"/>
      <c r="K191" s="12"/>
      <c r="L191" s="12"/>
      <c r="M191" s="12"/>
      <c r="N191" s="109"/>
      <c r="O191" s="12"/>
      <c r="P191" s="12"/>
      <c r="Q191" s="12"/>
      <c r="R191" s="12"/>
      <c r="S191" s="12"/>
      <c r="T191" s="12"/>
      <c r="U191" s="12"/>
      <c r="V191" s="12"/>
      <c r="W191" s="12"/>
      <c r="X191" s="12"/>
      <c r="Y191" s="12"/>
      <c r="Z191" s="12"/>
    </row>
    <row r="192">
      <c r="A192" s="12"/>
      <c r="B192" s="12"/>
      <c r="C192" s="12"/>
      <c r="D192" s="109"/>
      <c r="E192" s="12"/>
      <c r="F192" s="12"/>
      <c r="G192" s="12"/>
      <c r="H192" s="12"/>
      <c r="I192" s="109"/>
      <c r="J192" s="12"/>
      <c r="K192" s="12"/>
      <c r="L192" s="12"/>
      <c r="M192" s="12"/>
      <c r="N192" s="109"/>
      <c r="O192" s="12"/>
      <c r="P192" s="12"/>
      <c r="Q192" s="12"/>
      <c r="R192" s="12"/>
      <c r="S192" s="12"/>
      <c r="T192" s="12"/>
      <c r="U192" s="12"/>
      <c r="V192" s="12"/>
      <c r="W192" s="12"/>
      <c r="X192" s="12"/>
      <c r="Y192" s="12"/>
      <c r="Z192" s="12"/>
    </row>
    <row r="193">
      <c r="A193" s="12"/>
      <c r="B193" s="12"/>
      <c r="C193" s="12"/>
      <c r="D193" s="109"/>
      <c r="E193" s="12"/>
      <c r="F193" s="12"/>
      <c r="G193" s="12"/>
      <c r="H193" s="12"/>
      <c r="I193" s="109"/>
      <c r="J193" s="12"/>
      <c r="K193" s="12"/>
      <c r="L193" s="12"/>
      <c r="M193" s="12"/>
      <c r="N193" s="109"/>
      <c r="O193" s="12"/>
      <c r="P193" s="12"/>
      <c r="Q193" s="12"/>
      <c r="R193" s="12"/>
      <c r="S193" s="12"/>
      <c r="T193" s="12"/>
      <c r="U193" s="12"/>
      <c r="V193" s="12"/>
      <c r="W193" s="12"/>
      <c r="X193" s="12"/>
      <c r="Y193" s="12"/>
      <c r="Z193" s="12"/>
    </row>
    <row r="194">
      <c r="A194" s="12"/>
      <c r="B194" s="12"/>
      <c r="C194" s="12"/>
      <c r="D194" s="109"/>
      <c r="E194" s="12"/>
      <c r="F194" s="12"/>
      <c r="G194" s="12"/>
      <c r="H194" s="12"/>
      <c r="I194" s="109"/>
      <c r="J194" s="12"/>
      <c r="K194" s="12"/>
      <c r="L194" s="12"/>
      <c r="M194" s="12"/>
      <c r="N194" s="109"/>
      <c r="O194" s="12"/>
      <c r="P194" s="12"/>
      <c r="Q194" s="12"/>
      <c r="R194" s="12"/>
      <c r="S194" s="12"/>
      <c r="T194" s="12"/>
      <c r="U194" s="12"/>
      <c r="V194" s="12"/>
      <c r="W194" s="12"/>
      <c r="X194" s="12"/>
      <c r="Y194" s="12"/>
      <c r="Z194" s="12"/>
    </row>
    <row r="195">
      <c r="A195" s="12"/>
      <c r="B195" s="12"/>
      <c r="C195" s="12"/>
      <c r="D195" s="109"/>
      <c r="E195" s="12"/>
      <c r="F195" s="12"/>
      <c r="G195" s="12"/>
      <c r="H195" s="12"/>
      <c r="I195" s="109"/>
      <c r="J195" s="12"/>
      <c r="K195" s="12"/>
      <c r="L195" s="12"/>
      <c r="M195" s="12"/>
      <c r="N195" s="109"/>
      <c r="O195" s="12"/>
      <c r="P195" s="12"/>
      <c r="Q195" s="12"/>
      <c r="R195" s="12"/>
      <c r="S195" s="12"/>
      <c r="T195" s="12"/>
      <c r="U195" s="12"/>
      <c r="V195" s="12"/>
      <c r="W195" s="12"/>
      <c r="X195" s="12"/>
      <c r="Y195" s="12"/>
      <c r="Z195" s="12"/>
    </row>
    <row r="196">
      <c r="A196" s="12"/>
      <c r="B196" s="12"/>
      <c r="C196" s="12"/>
      <c r="D196" s="109"/>
      <c r="E196" s="12"/>
      <c r="F196" s="12"/>
      <c r="G196" s="12"/>
      <c r="H196" s="12"/>
      <c r="I196" s="109"/>
      <c r="J196" s="12"/>
      <c r="K196" s="12"/>
      <c r="L196" s="12"/>
      <c r="M196" s="12"/>
      <c r="N196" s="109"/>
      <c r="O196" s="12"/>
      <c r="P196" s="12"/>
      <c r="Q196" s="12"/>
      <c r="R196" s="12"/>
      <c r="S196" s="12"/>
      <c r="T196" s="12"/>
      <c r="U196" s="12"/>
      <c r="V196" s="12"/>
      <c r="W196" s="12"/>
      <c r="X196" s="12"/>
      <c r="Y196" s="12"/>
      <c r="Z196" s="12"/>
    </row>
    <row r="197">
      <c r="A197" s="12"/>
      <c r="B197" s="12"/>
      <c r="C197" s="12"/>
      <c r="D197" s="109"/>
      <c r="E197" s="12"/>
      <c r="F197" s="12"/>
      <c r="G197" s="12"/>
      <c r="H197" s="12"/>
      <c r="I197" s="109"/>
      <c r="J197" s="12"/>
      <c r="K197" s="12"/>
      <c r="L197" s="12"/>
      <c r="M197" s="12"/>
      <c r="N197" s="109"/>
      <c r="O197" s="12"/>
      <c r="P197" s="12"/>
      <c r="Q197" s="12"/>
      <c r="R197" s="12"/>
      <c r="S197" s="12"/>
      <c r="T197" s="12"/>
      <c r="U197" s="12"/>
      <c r="V197" s="12"/>
      <c r="W197" s="12"/>
      <c r="X197" s="12"/>
      <c r="Y197" s="12"/>
      <c r="Z197" s="12"/>
    </row>
    <row r="198">
      <c r="A198" s="12"/>
      <c r="B198" s="12"/>
      <c r="C198" s="12"/>
      <c r="D198" s="109"/>
      <c r="E198" s="12"/>
      <c r="F198" s="12"/>
      <c r="G198" s="12"/>
      <c r="H198" s="12"/>
      <c r="I198" s="109"/>
      <c r="J198" s="12"/>
      <c r="K198" s="12"/>
      <c r="L198" s="12"/>
      <c r="M198" s="12"/>
      <c r="N198" s="109"/>
      <c r="O198" s="12"/>
      <c r="P198" s="12"/>
      <c r="Q198" s="12"/>
      <c r="R198" s="12"/>
      <c r="S198" s="12"/>
      <c r="T198" s="12"/>
      <c r="U198" s="12"/>
      <c r="V198" s="12"/>
      <c r="W198" s="12"/>
      <c r="X198" s="12"/>
      <c r="Y198" s="12"/>
      <c r="Z198" s="12"/>
    </row>
    <row r="199">
      <c r="A199" s="12"/>
      <c r="B199" s="12"/>
      <c r="C199" s="12"/>
      <c r="D199" s="109"/>
      <c r="E199" s="12"/>
      <c r="F199" s="12"/>
      <c r="G199" s="12"/>
      <c r="H199" s="12"/>
      <c r="I199" s="109"/>
      <c r="J199" s="12"/>
      <c r="K199" s="12"/>
      <c r="L199" s="12"/>
      <c r="M199" s="12"/>
      <c r="N199" s="109"/>
      <c r="O199" s="12"/>
      <c r="P199" s="12"/>
      <c r="Q199" s="12"/>
      <c r="R199" s="12"/>
      <c r="S199" s="12"/>
      <c r="T199" s="12"/>
      <c r="U199" s="12"/>
      <c r="V199" s="12"/>
      <c r="W199" s="12"/>
      <c r="X199" s="12"/>
      <c r="Y199" s="12"/>
      <c r="Z199" s="12"/>
    </row>
    <row r="200">
      <c r="A200" s="12"/>
      <c r="B200" s="12"/>
      <c r="C200" s="12"/>
      <c r="D200" s="109"/>
      <c r="E200" s="12"/>
      <c r="F200" s="12"/>
      <c r="G200" s="12"/>
      <c r="H200" s="12"/>
      <c r="I200" s="109"/>
      <c r="J200" s="12"/>
      <c r="K200" s="12"/>
      <c r="L200" s="12"/>
      <c r="M200" s="12"/>
      <c r="N200" s="109"/>
      <c r="O200" s="12"/>
      <c r="P200" s="12"/>
      <c r="Q200" s="12"/>
      <c r="R200" s="12"/>
      <c r="S200" s="12"/>
      <c r="T200" s="12"/>
      <c r="U200" s="12"/>
      <c r="V200" s="12"/>
      <c r="W200" s="12"/>
      <c r="X200" s="12"/>
      <c r="Y200" s="12"/>
      <c r="Z200" s="12"/>
    </row>
    <row r="201">
      <c r="A201" s="12"/>
      <c r="B201" s="12"/>
      <c r="C201" s="12"/>
      <c r="D201" s="109"/>
      <c r="E201" s="12"/>
      <c r="F201" s="12"/>
      <c r="G201" s="12"/>
      <c r="H201" s="12"/>
      <c r="I201" s="109"/>
      <c r="J201" s="12"/>
      <c r="K201" s="12"/>
      <c r="L201" s="12"/>
      <c r="M201" s="12"/>
      <c r="N201" s="109"/>
      <c r="O201" s="12"/>
      <c r="P201" s="12"/>
      <c r="Q201" s="12"/>
      <c r="R201" s="12"/>
      <c r="S201" s="12"/>
      <c r="T201" s="12"/>
      <c r="U201" s="12"/>
      <c r="V201" s="12"/>
      <c r="W201" s="12"/>
      <c r="X201" s="12"/>
      <c r="Y201" s="12"/>
      <c r="Z201" s="12"/>
    </row>
    <row r="202">
      <c r="A202" s="12"/>
      <c r="B202" s="12"/>
      <c r="C202" s="12"/>
      <c r="D202" s="109"/>
      <c r="E202" s="12"/>
      <c r="F202" s="12"/>
      <c r="G202" s="12"/>
      <c r="H202" s="12"/>
      <c r="I202" s="109"/>
      <c r="J202" s="12"/>
      <c r="K202" s="12"/>
      <c r="L202" s="12"/>
      <c r="M202" s="12"/>
      <c r="N202" s="109"/>
      <c r="O202" s="12"/>
      <c r="P202" s="12"/>
      <c r="Q202" s="12"/>
      <c r="R202" s="12"/>
      <c r="S202" s="12"/>
      <c r="T202" s="12"/>
      <c r="U202" s="12"/>
      <c r="V202" s="12"/>
      <c r="W202" s="12"/>
      <c r="X202" s="12"/>
      <c r="Y202" s="12"/>
      <c r="Z202" s="12"/>
    </row>
    <row r="203">
      <c r="A203" s="12"/>
      <c r="B203" s="12"/>
      <c r="C203" s="12"/>
      <c r="D203" s="109"/>
      <c r="E203" s="12"/>
      <c r="F203" s="12"/>
      <c r="G203" s="12"/>
      <c r="H203" s="12"/>
      <c r="I203" s="109"/>
      <c r="J203" s="12"/>
      <c r="K203" s="12"/>
      <c r="L203" s="12"/>
      <c r="M203" s="12"/>
      <c r="N203" s="109"/>
      <c r="O203" s="12"/>
      <c r="P203" s="12"/>
      <c r="Q203" s="12"/>
      <c r="R203" s="12"/>
      <c r="S203" s="12"/>
      <c r="T203" s="12"/>
      <c r="U203" s="12"/>
      <c r="V203" s="12"/>
      <c r="W203" s="12"/>
      <c r="X203" s="12"/>
      <c r="Y203" s="12"/>
      <c r="Z203" s="12"/>
    </row>
    <row r="204">
      <c r="A204" s="12"/>
      <c r="B204" s="12"/>
      <c r="C204" s="12"/>
      <c r="D204" s="109"/>
      <c r="E204" s="12"/>
      <c r="F204" s="12"/>
      <c r="G204" s="12"/>
      <c r="H204" s="12"/>
      <c r="I204" s="109"/>
      <c r="J204" s="12"/>
      <c r="K204" s="12"/>
      <c r="L204" s="12"/>
      <c r="M204" s="12"/>
      <c r="N204" s="109"/>
      <c r="O204" s="12"/>
      <c r="P204" s="12"/>
      <c r="Q204" s="12"/>
      <c r="R204" s="12"/>
      <c r="S204" s="12"/>
      <c r="T204" s="12"/>
      <c r="U204" s="12"/>
      <c r="V204" s="12"/>
      <c r="W204" s="12"/>
      <c r="X204" s="12"/>
      <c r="Y204" s="12"/>
      <c r="Z204" s="12"/>
    </row>
    <row r="205">
      <c r="A205" s="12"/>
      <c r="B205" s="12"/>
      <c r="C205" s="12"/>
      <c r="D205" s="109"/>
      <c r="E205" s="12"/>
      <c r="F205" s="12"/>
      <c r="G205" s="12"/>
      <c r="H205" s="12"/>
      <c r="I205" s="109"/>
      <c r="J205" s="12"/>
      <c r="K205" s="12"/>
      <c r="L205" s="12"/>
      <c r="M205" s="12"/>
      <c r="N205" s="109"/>
      <c r="O205" s="12"/>
      <c r="P205" s="12"/>
      <c r="Q205" s="12"/>
      <c r="R205" s="12"/>
      <c r="S205" s="12"/>
      <c r="T205" s="12"/>
      <c r="U205" s="12"/>
      <c r="V205" s="12"/>
      <c r="W205" s="12"/>
      <c r="X205" s="12"/>
      <c r="Y205" s="12"/>
      <c r="Z205" s="12"/>
    </row>
    <row r="206">
      <c r="A206" s="12"/>
      <c r="B206" s="12"/>
      <c r="C206" s="12"/>
      <c r="D206" s="109"/>
      <c r="E206" s="12"/>
      <c r="F206" s="12"/>
      <c r="G206" s="12"/>
      <c r="H206" s="12"/>
      <c r="I206" s="109"/>
      <c r="J206" s="12"/>
      <c r="K206" s="12"/>
      <c r="L206" s="12"/>
      <c r="M206" s="12"/>
      <c r="N206" s="109"/>
      <c r="O206" s="12"/>
      <c r="P206" s="12"/>
      <c r="Q206" s="12"/>
      <c r="R206" s="12"/>
      <c r="S206" s="12"/>
      <c r="T206" s="12"/>
      <c r="U206" s="12"/>
      <c r="V206" s="12"/>
      <c r="W206" s="12"/>
      <c r="X206" s="12"/>
      <c r="Y206" s="12"/>
      <c r="Z206" s="12"/>
    </row>
    <row r="207">
      <c r="A207" s="12"/>
      <c r="B207" s="12"/>
      <c r="C207" s="12"/>
      <c r="D207" s="109"/>
      <c r="E207" s="12"/>
      <c r="F207" s="12"/>
      <c r="G207" s="12"/>
      <c r="H207" s="12"/>
      <c r="I207" s="109"/>
      <c r="J207" s="12"/>
      <c r="K207" s="12"/>
      <c r="L207" s="12"/>
      <c r="M207" s="12"/>
      <c r="N207" s="109"/>
      <c r="O207" s="12"/>
      <c r="P207" s="12"/>
      <c r="Q207" s="12"/>
      <c r="R207" s="12"/>
      <c r="S207" s="12"/>
      <c r="T207" s="12"/>
      <c r="U207" s="12"/>
      <c r="V207" s="12"/>
      <c r="W207" s="12"/>
      <c r="X207" s="12"/>
      <c r="Y207" s="12"/>
      <c r="Z207" s="12"/>
    </row>
    <row r="208">
      <c r="A208" s="12"/>
      <c r="B208" s="12"/>
      <c r="C208" s="12"/>
      <c r="D208" s="109"/>
      <c r="E208" s="12"/>
      <c r="F208" s="12"/>
      <c r="G208" s="12"/>
      <c r="H208" s="12"/>
      <c r="I208" s="109"/>
      <c r="J208" s="12"/>
      <c r="K208" s="12"/>
      <c r="L208" s="12"/>
      <c r="M208" s="12"/>
      <c r="N208" s="109"/>
      <c r="O208" s="12"/>
      <c r="P208" s="12"/>
      <c r="Q208" s="12"/>
      <c r="R208" s="12"/>
      <c r="S208" s="12"/>
      <c r="T208" s="12"/>
      <c r="U208" s="12"/>
      <c r="V208" s="12"/>
      <c r="W208" s="12"/>
      <c r="X208" s="12"/>
      <c r="Y208" s="12"/>
      <c r="Z208" s="12"/>
    </row>
    <row r="209">
      <c r="A209" s="12"/>
      <c r="B209" s="12"/>
      <c r="C209" s="12"/>
      <c r="D209" s="109"/>
      <c r="E209" s="12"/>
      <c r="F209" s="12"/>
      <c r="G209" s="12"/>
      <c r="H209" s="12"/>
      <c r="I209" s="109"/>
      <c r="J209" s="12"/>
      <c r="K209" s="12"/>
      <c r="L209" s="12"/>
      <c r="M209" s="12"/>
      <c r="N209" s="109"/>
      <c r="O209" s="12"/>
      <c r="P209" s="12"/>
      <c r="Q209" s="12"/>
      <c r="R209" s="12"/>
      <c r="S209" s="12"/>
      <c r="T209" s="12"/>
      <c r="U209" s="12"/>
      <c r="V209" s="12"/>
      <c r="W209" s="12"/>
      <c r="X209" s="12"/>
      <c r="Y209" s="12"/>
      <c r="Z209" s="12"/>
    </row>
    <row r="210">
      <c r="A210" s="12"/>
      <c r="B210" s="12"/>
      <c r="C210" s="12"/>
      <c r="D210" s="109"/>
      <c r="E210" s="12"/>
      <c r="F210" s="12"/>
      <c r="G210" s="12"/>
      <c r="H210" s="12"/>
      <c r="I210" s="109"/>
      <c r="J210" s="12"/>
      <c r="K210" s="12"/>
      <c r="L210" s="12"/>
      <c r="M210" s="12"/>
      <c r="N210" s="109"/>
      <c r="O210" s="12"/>
      <c r="P210" s="12"/>
      <c r="Q210" s="12"/>
      <c r="R210" s="12"/>
      <c r="S210" s="12"/>
      <c r="T210" s="12"/>
      <c r="U210" s="12"/>
      <c r="V210" s="12"/>
      <c r="W210" s="12"/>
      <c r="X210" s="12"/>
      <c r="Y210" s="12"/>
      <c r="Z210" s="12"/>
    </row>
    <row r="211">
      <c r="A211" s="12"/>
      <c r="B211" s="12"/>
      <c r="C211" s="12"/>
      <c r="D211" s="109"/>
      <c r="E211" s="12"/>
      <c r="F211" s="12"/>
      <c r="G211" s="12"/>
      <c r="H211" s="12"/>
      <c r="I211" s="109"/>
      <c r="J211" s="12"/>
      <c r="K211" s="12"/>
      <c r="L211" s="12"/>
      <c r="M211" s="12"/>
      <c r="N211" s="109"/>
      <c r="O211" s="12"/>
      <c r="P211" s="12"/>
      <c r="Q211" s="12"/>
      <c r="R211" s="12"/>
      <c r="S211" s="12"/>
      <c r="T211" s="12"/>
      <c r="U211" s="12"/>
      <c r="V211" s="12"/>
      <c r="W211" s="12"/>
      <c r="X211" s="12"/>
      <c r="Y211" s="12"/>
      <c r="Z211" s="12"/>
    </row>
    <row r="212">
      <c r="A212" s="12"/>
      <c r="B212" s="12"/>
      <c r="C212" s="12"/>
      <c r="D212" s="109"/>
      <c r="E212" s="12"/>
      <c r="F212" s="12"/>
      <c r="G212" s="12"/>
      <c r="H212" s="12"/>
      <c r="I212" s="109"/>
      <c r="J212" s="12"/>
      <c r="K212" s="12"/>
      <c r="L212" s="12"/>
      <c r="M212" s="12"/>
      <c r="N212" s="109"/>
      <c r="O212" s="12"/>
      <c r="P212" s="12"/>
      <c r="Q212" s="12"/>
      <c r="R212" s="12"/>
      <c r="S212" s="12"/>
      <c r="T212" s="12"/>
      <c r="U212" s="12"/>
      <c r="V212" s="12"/>
      <c r="W212" s="12"/>
      <c r="X212" s="12"/>
      <c r="Y212" s="12"/>
      <c r="Z212" s="12"/>
    </row>
    <row r="213">
      <c r="A213" s="12"/>
      <c r="B213" s="12"/>
      <c r="C213" s="12"/>
      <c r="D213" s="109"/>
      <c r="E213" s="12"/>
      <c r="F213" s="12"/>
      <c r="G213" s="12"/>
      <c r="H213" s="12"/>
      <c r="I213" s="109"/>
      <c r="J213" s="12"/>
      <c r="K213" s="12"/>
      <c r="L213" s="12"/>
      <c r="M213" s="12"/>
      <c r="N213" s="109"/>
      <c r="O213" s="12"/>
      <c r="P213" s="12"/>
      <c r="Q213" s="12"/>
      <c r="R213" s="12"/>
      <c r="S213" s="12"/>
      <c r="T213" s="12"/>
      <c r="U213" s="12"/>
      <c r="V213" s="12"/>
      <c r="W213" s="12"/>
      <c r="X213" s="12"/>
      <c r="Y213" s="12"/>
      <c r="Z213" s="12"/>
    </row>
    <row r="214">
      <c r="A214" s="12"/>
      <c r="B214" s="12"/>
      <c r="C214" s="12"/>
      <c r="D214" s="109"/>
      <c r="E214" s="12"/>
      <c r="F214" s="12"/>
      <c r="G214" s="12"/>
      <c r="H214" s="12"/>
      <c r="I214" s="109"/>
      <c r="J214" s="12"/>
      <c r="K214" s="12"/>
      <c r="L214" s="12"/>
      <c r="M214" s="12"/>
      <c r="N214" s="109"/>
      <c r="O214" s="12"/>
      <c r="P214" s="12"/>
      <c r="Q214" s="12"/>
      <c r="R214" s="12"/>
      <c r="S214" s="12"/>
      <c r="T214" s="12"/>
      <c r="U214" s="12"/>
      <c r="V214" s="12"/>
      <c r="W214" s="12"/>
      <c r="X214" s="12"/>
      <c r="Y214" s="12"/>
      <c r="Z214" s="12"/>
    </row>
    <row r="215">
      <c r="A215" s="12"/>
      <c r="B215" s="12"/>
      <c r="C215" s="12"/>
      <c r="D215" s="109"/>
      <c r="E215" s="12"/>
      <c r="F215" s="12"/>
      <c r="G215" s="12"/>
      <c r="H215" s="12"/>
      <c r="I215" s="109"/>
      <c r="J215" s="12"/>
      <c r="K215" s="12"/>
      <c r="L215" s="12"/>
      <c r="M215" s="12"/>
      <c r="N215" s="109"/>
      <c r="O215" s="12"/>
      <c r="P215" s="12"/>
      <c r="Q215" s="12"/>
      <c r="R215" s="12"/>
      <c r="S215" s="12"/>
      <c r="T215" s="12"/>
      <c r="U215" s="12"/>
      <c r="V215" s="12"/>
      <c r="W215" s="12"/>
      <c r="X215" s="12"/>
      <c r="Y215" s="12"/>
      <c r="Z215" s="12"/>
    </row>
    <row r="216">
      <c r="A216" s="12"/>
      <c r="B216" s="12"/>
      <c r="C216" s="12"/>
      <c r="D216" s="109"/>
      <c r="E216" s="12"/>
      <c r="F216" s="12"/>
      <c r="G216" s="12"/>
      <c r="H216" s="12"/>
      <c r="I216" s="109"/>
      <c r="J216" s="12"/>
      <c r="K216" s="12"/>
      <c r="L216" s="12"/>
      <c r="M216" s="12"/>
      <c r="N216" s="109"/>
      <c r="O216" s="12"/>
      <c r="P216" s="12"/>
      <c r="Q216" s="12"/>
      <c r="R216" s="12"/>
      <c r="S216" s="12"/>
      <c r="T216" s="12"/>
      <c r="U216" s="12"/>
      <c r="V216" s="12"/>
      <c r="W216" s="12"/>
      <c r="X216" s="12"/>
      <c r="Y216" s="12"/>
      <c r="Z216" s="12"/>
    </row>
    <row r="217">
      <c r="A217" s="12"/>
      <c r="B217" s="12"/>
      <c r="C217" s="12"/>
      <c r="D217" s="109"/>
      <c r="E217" s="12"/>
      <c r="F217" s="12"/>
      <c r="G217" s="12"/>
      <c r="H217" s="12"/>
      <c r="I217" s="109"/>
      <c r="J217" s="12"/>
      <c r="K217" s="12"/>
      <c r="L217" s="12"/>
      <c r="M217" s="12"/>
      <c r="N217" s="109"/>
      <c r="O217" s="12"/>
      <c r="P217" s="12"/>
      <c r="Q217" s="12"/>
      <c r="R217" s="12"/>
      <c r="S217" s="12"/>
      <c r="T217" s="12"/>
      <c r="U217" s="12"/>
      <c r="V217" s="12"/>
      <c r="W217" s="12"/>
      <c r="X217" s="12"/>
      <c r="Y217" s="12"/>
      <c r="Z217" s="12"/>
    </row>
    <row r="218">
      <c r="A218" s="12"/>
      <c r="B218" s="12"/>
      <c r="C218" s="12"/>
      <c r="D218" s="109"/>
      <c r="E218" s="12"/>
      <c r="F218" s="12"/>
      <c r="G218" s="12"/>
      <c r="H218" s="12"/>
      <c r="I218" s="109"/>
      <c r="J218" s="12"/>
      <c r="K218" s="12"/>
      <c r="L218" s="12"/>
      <c r="M218" s="12"/>
      <c r="N218" s="109"/>
      <c r="O218" s="12"/>
      <c r="P218" s="12"/>
      <c r="Q218" s="12"/>
      <c r="R218" s="12"/>
      <c r="S218" s="12"/>
      <c r="T218" s="12"/>
      <c r="U218" s="12"/>
      <c r="V218" s="12"/>
      <c r="W218" s="12"/>
      <c r="X218" s="12"/>
      <c r="Y218" s="12"/>
      <c r="Z218" s="12"/>
    </row>
    <row r="219">
      <c r="A219" s="12"/>
      <c r="B219" s="12"/>
      <c r="C219" s="12"/>
      <c r="D219" s="109"/>
      <c r="E219" s="12"/>
      <c r="F219" s="12"/>
      <c r="G219" s="12"/>
      <c r="H219" s="12"/>
      <c r="I219" s="109"/>
      <c r="J219" s="12"/>
      <c r="K219" s="12"/>
      <c r="L219" s="12"/>
      <c r="M219" s="12"/>
      <c r="N219" s="109"/>
      <c r="O219" s="12"/>
      <c r="P219" s="12"/>
      <c r="Q219" s="12"/>
      <c r="R219" s="12"/>
      <c r="S219" s="12"/>
      <c r="T219" s="12"/>
      <c r="U219" s="12"/>
      <c r="V219" s="12"/>
      <c r="W219" s="12"/>
      <c r="X219" s="12"/>
      <c r="Y219" s="12"/>
      <c r="Z219" s="12"/>
    </row>
    <row r="220">
      <c r="A220" s="12"/>
      <c r="B220" s="12"/>
      <c r="C220" s="12"/>
      <c r="D220" s="109"/>
      <c r="E220" s="12"/>
      <c r="F220" s="12"/>
      <c r="G220" s="12"/>
      <c r="H220" s="12"/>
      <c r="I220" s="109"/>
      <c r="J220" s="12"/>
      <c r="K220" s="12"/>
      <c r="L220" s="12"/>
      <c r="M220" s="12"/>
      <c r="N220" s="109"/>
      <c r="O220" s="12"/>
      <c r="P220" s="12"/>
      <c r="Q220" s="12"/>
      <c r="R220" s="12"/>
      <c r="S220" s="12"/>
      <c r="T220" s="12"/>
      <c r="U220" s="12"/>
      <c r="V220" s="12"/>
      <c r="W220" s="12"/>
      <c r="X220" s="12"/>
      <c r="Y220" s="12"/>
      <c r="Z220" s="12"/>
    </row>
    <row r="221">
      <c r="A221" s="12"/>
      <c r="B221" s="12"/>
      <c r="C221" s="12"/>
      <c r="D221" s="109"/>
      <c r="E221" s="12"/>
      <c r="F221" s="12"/>
      <c r="G221" s="12"/>
      <c r="H221" s="12"/>
      <c r="I221" s="109"/>
      <c r="J221" s="12"/>
      <c r="K221" s="12"/>
      <c r="L221" s="12"/>
      <c r="M221" s="12"/>
      <c r="N221" s="109"/>
      <c r="O221" s="12"/>
      <c r="P221" s="12"/>
      <c r="Q221" s="12"/>
      <c r="R221" s="12"/>
      <c r="S221" s="12"/>
      <c r="T221" s="12"/>
      <c r="U221" s="12"/>
      <c r="V221" s="12"/>
      <c r="W221" s="12"/>
      <c r="X221" s="12"/>
      <c r="Y221" s="12"/>
      <c r="Z221" s="12"/>
    </row>
    <row r="222">
      <c r="A222" s="12"/>
      <c r="B222" s="12"/>
      <c r="C222" s="12"/>
      <c r="D222" s="109"/>
      <c r="E222" s="12"/>
      <c r="F222" s="12"/>
      <c r="G222" s="12"/>
      <c r="H222" s="12"/>
      <c r="I222" s="109"/>
      <c r="J222" s="12"/>
      <c r="K222" s="12"/>
      <c r="L222" s="12"/>
      <c r="M222" s="12"/>
      <c r="N222" s="109"/>
      <c r="O222" s="12"/>
      <c r="P222" s="12"/>
      <c r="Q222" s="12"/>
      <c r="R222" s="12"/>
      <c r="S222" s="12"/>
      <c r="T222" s="12"/>
      <c r="U222" s="12"/>
      <c r="V222" s="12"/>
      <c r="W222" s="12"/>
      <c r="X222" s="12"/>
      <c r="Y222" s="12"/>
      <c r="Z222" s="12"/>
    </row>
    <row r="223">
      <c r="A223" s="12"/>
      <c r="B223" s="12"/>
      <c r="C223" s="12"/>
      <c r="D223" s="109"/>
      <c r="E223" s="12"/>
      <c r="F223" s="12"/>
      <c r="G223" s="12"/>
      <c r="H223" s="12"/>
      <c r="I223" s="109"/>
      <c r="J223" s="12"/>
      <c r="K223" s="12"/>
      <c r="L223" s="12"/>
      <c r="M223" s="12"/>
      <c r="N223" s="109"/>
      <c r="O223" s="12"/>
      <c r="P223" s="12"/>
      <c r="Q223" s="12"/>
      <c r="R223" s="12"/>
      <c r="S223" s="12"/>
      <c r="T223" s="12"/>
      <c r="U223" s="12"/>
      <c r="V223" s="12"/>
      <c r="W223" s="12"/>
      <c r="X223" s="12"/>
      <c r="Y223" s="12"/>
      <c r="Z223" s="12"/>
    </row>
    <row r="224">
      <c r="A224" s="12"/>
      <c r="B224" s="12"/>
      <c r="C224" s="12"/>
      <c r="D224" s="109"/>
      <c r="E224" s="12"/>
      <c r="F224" s="12"/>
      <c r="G224" s="12"/>
      <c r="H224" s="12"/>
      <c r="I224" s="109"/>
      <c r="J224" s="12"/>
      <c r="K224" s="12"/>
      <c r="L224" s="12"/>
      <c r="M224" s="12"/>
      <c r="N224" s="109"/>
      <c r="O224" s="12"/>
      <c r="P224" s="12"/>
      <c r="Q224" s="12"/>
      <c r="R224" s="12"/>
      <c r="S224" s="12"/>
      <c r="T224" s="12"/>
      <c r="U224" s="12"/>
      <c r="V224" s="12"/>
      <c r="W224" s="12"/>
      <c r="X224" s="12"/>
      <c r="Y224" s="12"/>
      <c r="Z224" s="12"/>
    </row>
    <row r="225">
      <c r="A225" s="12"/>
      <c r="B225" s="12"/>
      <c r="C225" s="12"/>
      <c r="D225" s="109"/>
      <c r="E225" s="12"/>
      <c r="F225" s="12"/>
      <c r="G225" s="12"/>
      <c r="H225" s="12"/>
      <c r="I225" s="109"/>
      <c r="J225" s="12"/>
      <c r="K225" s="12"/>
      <c r="L225" s="12"/>
      <c r="M225" s="12"/>
      <c r="N225" s="109"/>
      <c r="O225" s="12"/>
      <c r="P225" s="12"/>
      <c r="Q225" s="12"/>
      <c r="R225" s="12"/>
      <c r="S225" s="12"/>
      <c r="T225" s="12"/>
      <c r="U225" s="12"/>
      <c r="V225" s="12"/>
      <c r="W225" s="12"/>
      <c r="X225" s="12"/>
      <c r="Y225" s="12"/>
      <c r="Z225" s="12"/>
    </row>
    <row r="226">
      <c r="A226" s="12"/>
      <c r="B226" s="12"/>
      <c r="C226" s="12"/>
      <c r="D226" s="109"/>
      <c r="E226" s="12"/>
      <c r="F226" s="12"/>
      <c r="G226" s="12"/>
      <c r="H226" s="12"/>
      <c r="I226" s="109"/>
      <c r="J226" s="12"/>
      <c r="K226" s="12"/>
      <c r="L226" s="12"/>
      <c r="M226" s="12"/>
      <c r="N226" s="109"/>
      <c r="O226" s="12"/>
      <c r="P226" s="12"/>
      <c r="Q226" s="12"/>
      <c r="R226" s="12"/>
      <c r="S226" s="12"/>
      <c r="T226" s="12"/>
      <c r="U226" s="12"/>
      <c r="V226" s="12"/>
      <c r="W226" s="12"/>
      <c r="X226" s="12"/>
      <c r="Y226" s="12"/>
      <c r="Z226" s="12"/>
    </row>
    <row r="227">
      <c r="A227" s="12"/>
      <c r="B227" s="12"/>
      <c r="C227" s="12"/>
      <c r="D227" s="109"/>
      <c r="E227" s="12"/>
      <c r="F227" s="12"/>
      <c r="G227" s="12"/>
      <c r="H227" s="12"/>
      <c r="I227" s="109"/>
      <c r="J227" s="12"/>
      <c r="K227" s="12"/>
      <c r="L227" s="12"/>
      <c r="M227" s="12"/>
      <c r="N227" s="109"/>
      <c r="O227" s="12"/>
      <c r="P227" s="12"/>
      <c r="Q227" s="12"/>
      <c r="R227" s="12"/>
      <c r="S227" s="12"/>
      <c r="T227" s="12"/>
      <c r="U227" s="12"/>
      <c r="V227" s="12"/>
      <c r="W227" s="12"/>
      <c r="X227" s="12"/>
      <c r="Y227" s="12"/>
      <c r="Z227" s="12"/>
    </row>
    <row r="228">
      <c r="A228" s="12"/>
      <c r="B228" s="12"/>
      <c r="C228" s="12"/>
      <c r="D228" s="109"/>
      <c r="E228" s="12"/>
      <c r="F228" s="12"/>
      <c r="G228" s="12"/>
      <c r="H228" s="12"/>
      <c r="I228" s="109"/>
      <c r="J228" s="12"/>
      <c r="K228" s="12"/>
      <c r="L228" s="12"/>
      <c r="M228" s="12"/>
      <c r="N228" s="109"/>
      <c r="O228" s="12"/>
      <c r="P228" s="12"/>
      <c r="Q228" s="12"/>
      <c r="R228" s="12"/>
      <c r="S228" s="12"/>
      <c r="T228" s="12"/>
      <c r="U228" s="12"/>
      <c r="V228" s="12"/>
      <c r="W228" s="12"/>
      <c r="X228" s="12"/>
      <c r="Y228" s="12"/>
      <c r="Z228" s="12"/>
    </row>
    <row r="229">
      <c r="A229" s="12"/>
      <c r="B229" s="12"/>
      <c r="C229" s="12"/>
      <c r="D229" s="109"/>
      <c r="E229" s="12"/>
      <c r="F229" s="12"/>
      <c r="G229" s="12"/>
      <c r="H229" s="12"/>
      <c r="I229" s="109"/>
      <c r="J229" s="12"/>
      <c r="K229" s="12"/>
      <c r="L229" s="12"/>
      <c r="M229" s="12"/>
      <c r="N229" s="109"/>
      <c r="O229" s="12"/>
      <c r="P229" s="12"/>
      <c r="Q229" s="12"/>
      <c r="R229" s="12"/>
      <c r="S229" s="12"/>
      <c r="T229" s="12"/>
      <c r="U229" s="12"/>
      <c r="V229" s="12"/>
      <c r="W229" s="12"/>
      <c r="X229" s="12"/>
      <c r="Y229" s="12"/>
      <c r="Z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sheetData>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2" max="2" width="13.5"/>
    <col customWidth="1" min="3" max="3" width="19.75"/>
    <col customWidth="1" min="8" max="8" width="19.75"/>
  </cols>
  <sheetData>
    <row r="1">
      <c r="B1" s="403" t="s">
        <v>354</v>
      </c>
      <c r="C1" s="13"/>
      <c r="D1" s="13"/>
      <c r="E1" s="13"/>
      <c r="G1" s="403" t="s">
        <v>355</v>
      </c>
    </row>
    <row r="2">
      <c r="B2" s="13" t="s">
        <v>356</v>
      </c>
      <c r="C2" s="13" t="s">
        <v>357</v>
      </c>
      <c r="D2" s="13" t="s">
        <v>358</v>
      </c>
      <c r="E2" s="13" t="s">
        <v>359</v>
      </c>
      <c r="G2" s="13" t="s">
        <v>316</v>
      </c>
      <c r="H2" s="13" t="s">
        <v>360</v>
      </c>
      <c r="I2" s="13" t="s">
        <v>358</v>
      </c>
      <c r="J2" s="13" t="s">
        <v>359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
    <col customWidth="1" min="2" max="2" width="3.75"/>
    <col customWidth="1" min="3" max="3" width="28.38"/>
    <col customWidth="1" min="4" max="4" width="19.38"/>
    <col customWidth="1" min="5" max="5" width="86.63"/>
    <col customWidth="1" min="6" max="6" width="37.63"/>
    <col customWidth="1" min="7" max="7" width="185.75"/>
    <col customWidth="1" min="10" max="10" width="60.88"/>
  </cols>
  <sheetData>
    <row r="1">
      <c r="B1" s="404"/>
    </row>
    <row r="2">
      <c r="B2" s="405"/>
      <c r="C2" s="406" t="s">
        <v>17</v>
      </c>
      <c r="D2" s="407"/>
      <c r="E2" s="407"/>
      <c r="F2" s="408"/>
      <c r="G2" s="407"/>
    </row>
    <row r="3">
      <c r="B3" s="405"/>
      <c r="C3" s="407"/>
      <c r="D3" s="407"/>
      <c r="E3" s="407"/>
      <c r="F3" s="408"/>
      <c r="G3" s="407"/>
    </row>
    <row r="4">
      <c r="B4" s="405" t="s">
        <v>361</v>
      </c>
      <c r="C4" s="407" t="s">
        <v>362</v>
      </c>
      <c r="D4" s="407" t="s">
        <v>363</v>
      </c>
      <c r="E4" s="407" t="s">
        <v>25</v>
      </c>
      <c r="F4" s="408" t="s">
        <v>26</v>
      </c>
      <c r="G4" s="407" t="s">
        <v>27</v>
      </c>
    </row>
    <row r="5">
      <c r="B5" s="409">
        <v>1.0</v>
      </c>
      <c r="C5" s="410" t="s">
        <v>364</v>
      </c>
      <c r="D5" s="410" t="s">
        <v>365</v>
      </c>
      <c r="E5" s="410" t="s">
        <v>366</v>
      </c>
      <c r="G5" s="410" t="s">
        <v>367</v>
      </c>
    </row>
    <row r="6">
      <c r="B6" s="409">
        <v>2.0</v>
      </c>
      <c r="C6" s="410" t="s">
        <v>368</v>
      </c>
      <c r="D6" s="410" t="s">
        <v>369</v>
      </c>
      <c r="E6" s="410" t="s">
        <v>370</v>
      </c>
      <c r="G6" s="410" t="s">
        <v>371</v>
      </c>
    </row>
    <row r="7">
      <c r="B7" s="409">
        <v>3.0</v>
      </c>
      <c r="C7" s="410" t="s">
        <v>372</v>
      </c>
      <c r="D7" s="410" t="s">
        <v>365</v>
      </c>
      <c r="E7" s="410" t="s">
        <v>373</v>
      </c>
      <c r="G7" s="410" t="s">
        <v>374</v>
      </c>
    </row>
    <row r="8">
      <c r="B8" s="409">
        <v>4.0</v>
      </c>
      <c r="C8" s="410" t="s">
        <v>375</v>
      </c>
      <c r="D8" s="410" t="s">
        <v>365</v>
      </c>
      <c r="E8" s="410" t="s">
        <v>376</v>
      </c>
      <c r="G8" s="410" t="s">
        <v>377</v>
      </c>
    </row>
    <row r="9">
      <c r="B9" s="409">
        <v>5.0</v>
      </c>
      <c r="C9" s="410" t="s">
        <v>378</v>
      </c>
      <c r="D9" s="410" t="s">
        <v>365</v>
      </c>
      <c r="E9" s="410" t="s">
        <v>379</v>
      </c>
      <c r="G9" s="410" t="s">
        <v>380</v>
      </c>
    </row>
    <row r="10">
      <c r="B10" s="409">
        <v>6.0</v>
      </c>
      <c r="C10" s="411" t="s">
        <v>381</v>
      </c>
      <c r="D10" s="411" t="s">
        <v>369</v>
      </c>
      <c r="E10" s="411" t="s">
        <v>382</v>
      </c>
      <c r="F10" s="412"/>
      <c r="G10" s="411" t="s">
        <v>383</v>
      </c>
    </row>
    <row r="11">
      <c r="B11" s="409">
        <v>7.0</v>
      </c>
      <c r="C11" s="410" t="s">
        <v>384</v>
      </c>
      <c r="D11" s="410" t="s">
        <v>365</v>
      </c>
      <c r="E11" s="410" t="s">
        <v>385</v>
      </c>
      <c r="G11" s="410" t="s">
        <v>386</v>
      </c>
    </row>
    <row r="12">
      <c r="B12" s="409">
        <v>8.0</v>
      </c>
      <c r="C12" s="410" t="s">
        <v>387</v>
      </c>
      <c r="D12" s="410" t="s">
        <v>388</v>
      </c>
      <c r="E12" s="410" t="s">
        <v>389</v>
      </c>
      <c r="G12" s="410" t="s">
        <v>390</v>
      </c>
    </row>
    <row r="13">
      <c r="B13" s="409">
        <v>9.0</v>
      </c>
      <c r="C13" s="410" t="s">
        <v>391</v>
      </c>
      <c r="D13" s="410" t="s">
        <v>365</v>
      </c>
      <c r="E13" s="410" t="s">
        <v>392</v>
      </c>
      <c r="G13" s="410" t="s">
        <v>393</v>
      </c>
    </row>
    <row r="14">
      <c r="B14" s="409">
        <v>10.0</v>
      </c>
      <c r="C14" s="410" t="s">
        <v>394</v>
      </c>
      <c r="D14" s="411" t="s">
        <v>369</v>
      </c>
      <c r="E14" s="410" t="s">
        <v>395</v>
      </c>
      <c r="G14" s="410" t="s">
        <v>396</v>
      </c>
    </row>
    <row r="15">
      <c r="B15" s="409">
        <v>11.0</v>
      </c>
      <c r="C15" s="410" t="s">
        <v>397</v>
      </c>
      <c r="D15" s="410" t="s">
        <v>365</v>
      </c>
      <c r="E15" s="410" t="s">
        <v>398</v>
      </c>
      <c r="G15" s="410" t="s">
        <v>399</v>
      </c>
    </row>
    <row r="16">
      <c r="B16" s="409">
        <v>12.0</v>
      </c>
      <c r="C16" s="410" t="s">
        <v>400</v>
      </c>
      <c r="D16" s="410" t="s">
        <v>365</v>
      </c>
      <c r="E16" s="410" t="s">
        <v>401</v>
      </c>
      <c r="G16" s="410" t="s">
        <v>402</v>
      </c>
    </row>
    <row r="17">
      <c r="B17" s="409">
        <v>13.0</v>
      </c>
      <c r="C17" s="410" t="s">
        <v>403</v>
      </c>
      <c r="D17" s="410" t="s">
        <v>404</v>
      </c>
      <c r="E17" s="410" t="s">
        <v>405</v>
      </c>
      <c r="G17" s="410" t="s">
        <v>406</v>
      </c>
    </row>
    <row r="18">
      <c r="B18" s="409">
        <v>14.0</v>
      </c>
      <c r="C18" s="410" t="s">
        <v>407</v>
      </c>
      <c r="D18" s="410" t="s">
        <v>365</v>
      </c>
      <c r="E18" s="410" t="s">
        <v>408</v>
      </c>
      <c r="G18" s="410" t="s">
        <v>409</v>
      </c>
    </row>
    <row r="19">
      <c r="B19" s="409">
        <v>15.0</v>
      </c>
      <c r="C19" s="410" t="s">
        <v>410</v>
      </c>
      <c r="D19" s="410" t="s">
        <v>365</v>
      </c>
      <c r="E19" s="410" t="s">
        <v>411</v>
      </c>
      <c r="G19" s="410" t="s">
        <v>412</v>
      </c>
    </row>
    <row r="20">
      <c r="B20" s="409">
        <v>16.0</v>
      </c>
      <c r="C20" s="410" t="s">
        <v>413</v>
      </c>
      <c r="D20" s="411" t="s">
        <v>369</v>
      </c>
      <c r="E20" s="410" t="s">
        <v>414</v>
      </c>
      <c r="G20" s="410" t="s">
        <v>415</v>
      </c>
    </row>
    <row r="21">
      <c r="B21" s="409">
        <v>17.0</v>
      </c>
      <c r="C21" s="410" t="s">
        <v>416</v>
      </c>
      <c r="D21" s="410" t="s">
        <v>365</v>
      </c>
      <c r="E21" s="410" t="s">
        <v>417</v>
      </c>
      <c r="G21" s="410" t="s">
        <v>418</v>
      </c>
    </row>
    <row r="22">
      <c r="B22" s="409">
        <v>18.0</v>
      </c>
      <c r="C22" s="410" t="s">
        <v>419</v>
      </c>
      <c r="D22" s="410" t="s">
        <v>420</v>
      </c>
      <c r="E22" s="410" t="s">
        <v>421</v>
      </c>
      <c r="G22" s="410" t="s">
        <v>422</v>
      </c>
    </row>
    <row r="23">
      <c r="B23" s="409">
        <v>19.0</v>
      </c>
      <c r="C23" s="411" t="s">
        <v>423</v>
      </c>
      <c r="D23" s="411" t="s">
        <v>388</v>
      </c>
      <c r="E23" s="411" t="s">
        <v>424</v>
      </c>
      <c r="F23" s="411" t="s">
        <v>425</v>
      </c>
      <c r="G23" s="410" t="s">
        <v>426</v>
      </c>
    </row>
    <row r="24">
      <c r="B24" s="409">
        <v>20.0</v>
      </c>
      <c r="C24" s="410" t="s">
        <v>427</v>
      </c>
      <c r="D24" s="410" t="s">
        <v>365</v>
      </c>
      <c r="E24" s="410" t="s">
        <v>428</v>
      </c>
      <c r="G24" s="410" t="s">
        <v>429</v>
      </c>
    </row>
    <row r="25">
      <c r="B25" s="409">
        <v>21.0</v>
      </c>
      <c r="C25" s="410" t="s">
        <v>430</v>
      </c>
      <c r="D25" s="410" t="s">
        <v>365</v>
      </c>
      <c r="E25" s="410" t="s">
        <v>431</v>
      </c>
      <c r="G25" s="410" t="s">
        <v>432</v>
      </c>
    </row>
    <row r="26">
      <c r="B26" s="409">
        <v>22.0</v>
      </c>
      <c r="C26" s="410" t="s">
        <v>433</v>
      </c>
      <c r="D26" s="411" t="s">
        <v>434</v>
      </c>
      <c r="E26" s="410" t="s">
        <v>435</v>
      </c>
      <c r="G26" s="410" t="s">
        <v>436</v>
      </c>
    </row>
    <row r="27">
      <c r="B27" s="409">
        <v>23.0</v>
      </c>
      <c r="C27" s="411" t="s">
        <v>437</v>
      </c>
      <c r="D27" s="411" t="s">
        <v>420</v>
      </c>
      <c r="E27" s="411" t="s">
        <v>438</v>
      </c>
      <c r="F27" s="412"/>
      <c r="G27" s="411" t="s">
        <v>439</v>
      </c>
    </row>
    <row r="28">
      <c r="B28" s="409">
        <v>24.0</v>
      </c>
      <c r="C28" s="411" t="s">
        <v>440</v>
      </c>
      <c r="D28" s="411" t="s">
        <v>441</v>
      </c>
      <c r="E28" s="411" t="s">
        <v>442</v>
      </c>
      <c r="F28" s="412"/>
      <c r="G28" s="411" t="s">
        <v>443</v>
      </c>
    </row>
    <row r="29">
      <c r="B29" s="409">
        <v>25.0</v>
      </c>
      <c r="C29" s="411" t="s">
        <v>444</v>
      </c>
      <c r="D29" s="411" t="s">
        <v>420</v>
      </c>
      <c r="E29" s="411" t="s">
        <v>445</v>
      </c>
      <c r="F29" s="412"/>
      <c r="G29" s="411" t="s">
        <v>446</v>
      </c>
    </row>
    <row r="30">
      <c r="B30" s="409">
        <v>26.0</v>
      </c>
      <c r="C30" s="411" t="s">
        <v>447</v>
      </c>
      <c r="D30" s="411" t="s">
        <v>365</v>
      </c>
      <c r="E30" s="411" t="s">
        <v>448</v>
      </c>
      <c r="F30" s="412"/>
      <c r="G30" s="411" t="s">
        <v>449</v>
      </c>
    </row>
    <row r="31">
      <c r="B31" s="409">
        <v>28.0</v>
      </c>
      <c r="C31" s="411" t="s">
        <v>450</v>
      </c>
      <c r="D31" s="411" t="s">
        <v>365</v>
      </c>
      <c r="E31" s="411" t="s">
        <v>451</v>
      </c>
      <c r="F31" s="412"/>
      <c r="G31" s="411" t="s">
        <v>452</v>
      </c>
    </row>
    <row r="32">
      <c r="B32" s="409">
        <v>29.0</v>
      </c>
      <c r="C32" s="411" t="s">
        <v>453</v>
      </c>
      <c r="D32" s="411" t="s">
        <v>369</v>
      </c>
      <c r="E32" s="411" t="s">
        <v>454</v>
      </c>
      <c r="F32" s="412"/>
      <c r="G32" s="411" t="s">
        <v>455</v>
      </c>
    </row>
    <row r="33">
      <c r="B33" s="409">
        <v>30.0</v>
      </c>
      <c r="C33" s="411" t="s">
        <v>456</v>
      </c>
      <c r="D33" s="411" t="s">
        <v>365</v>
      </c>
      <c r="E33" s="411" t="s">
        <v>457</v>
      </c>
      <c r="F33" s="412"/>
      <c r="G33" s="411" t="s">
        <v>458</v>
      </c>
    </row>
    <row r="34">
      <c r="B34" s="409">
        <v>31.0</v>
      </c>
      <c r="C34" s="411" t="s">
        <v>459</v>
      </c>
      <c r="D34" s="411" t="s">
        <v>420</v>
      </c>
      <c r="E34" s="411" t="s">
        <v>460</v>
      </c>
      <c r="F34" s="412"/>
      <c r="G34" s="411" t="s">
        <v>461</v>
      </c>
    </row>
    <row r="35">
      <c r="B35" s="409">
        <v>32.0</v>
      </c>
      <c r="C35" s="411" t="s">
        <v>462</v>
      </c>
      <c r="D35" s="411" t="s">
        <v>365</v>
      </c>
      <c r="E35" s="411" t="s">
        <v>463</v>
      </c>
      <c r="F35" s="412"/>
      <c r="G35" s="411" t="s">
        <v>464</v>
      </c>
    </row>
    <row r="36">
      <c r="B36" s="409">
        <v>33.0</v>
      </c>
      <c r="C36" s="411" t="s">
        <v>465</v>
      </c>
      <c r="D36" s="411" t="s">
        <v>466</v>
      </c>
      <c r="E36" s="411" t="s">
        <v>467</v>
      </c>
      <c r="F36" s="412"/>
      <c r="G36" s="411" t="s">
        <v>468</v>
      </c>
    </row>
    <row r="37">
      <c r="B37" s="409">
        <v>34.0</v>
      </c>
      <c r="C37" s="411" t="s">
        <v>469</v>
      </c>
      <c r="D37" s="411" t="s">
        <v>365</v>
      </c>
      <c r="E37" s="411" t="s">
        <v>470</v>
      </c>
      <c r="F37" s="412"/>
      <c r="G37" s="411" t="s">
        <v>471</v>
      </c>
    </row>
    <row r="38">
      <c r="B38" s="409">
        <v>35.0</v>
      </c>
      <c r="C38" s="411" t="s">
        <v>472</v>
      </c>
      <c r="D38" s="411" t="s">
        <v>365</v>
      </c>
      <c r="E38" s="411" t="s">
        <v>473</v>
      </c>
      <c r="F38" s="412"/>
      <c r="G38" s="411" t="s">
        <v>474</v>
      </c>
    </row>
    <row r="39">
      <c r="B39" s="409">
        <v>36.0</v>
      </c>
      <c r="C39" s="411" t="s">
        <v>475</v>
      </c>
      <c r="D39" s="411" t="s">
        <v>441</v>
      </c>
      <c r="E39" s="411" t="s">
        <v>476</v>
      </c>
      <c r="F39" s="412"/>
      <c r="G39" s="411" t="s">
        <v>477</v>
      </c>
    </row>
    <row r="40">
      <c r="B40" s="409">
        <v>37.0</v>
      </c>
      <c r="C40" s="411" t="s">
        <v>478</v>
      </c>
      <c r="D40" s="411" t="s">
        <v>369</v>
      </c>
      <c r="E40" s="411" t="s">
        <v>479</v>
      </c>
      <c r="F40" s="412"/>
      <c r="G40" s="411" t="s">
        <v>480</v>
      </c>
    </row>
    <row r="41">
      <c r="B41" s="409">
        <v>38.0</v>
      </c>
      <c r="C41" s="411" t="s">
        <v>481</v>
      </c>
      <c r="D41" s="411" t="s">
        <v>369</v>
      </c>
      <c r="E41" s="411" t="s">
        <v>482</v>
      </c>
      <c r="F41" s="412"/>
      <c r="G41" s="411" t="s">
        <v>483</v>
      </c>
    </row>
    <row r="42">
      <c r="B42" s="409">
        <v>39.0</v>
      </c>
      <c r="C42" s="411" t="s">
        <v>484</v>
      </c>
      <c r="D42" s="411" t="s">
        <v>369</v>
      </c>
      <c r="E42" s="411" t="s">
        <v>485</v>
      </c>
      <c r="F42" s="412"/>
      <c r="G42" s="411" t="s">
        <v>486</v>
      </c>
    </row>
    <row r="43">
      <c r="B43" s="409">
        <v>40.0</v>
      </c>
      <c r="C43" s="411" t="s">
        <v>487</v>
      </c>
      <c r="D43" s="411" t="s">
        <v>488</v>
      </c>
      <c r="E43" s="410" t="s">
        <v>489</v>
      </c>
      <c r="F43" s="412"/>
      <c r="G43" s="411" t="s">
        <v>490</v>
      </c>
    </row>
    <row r="44">
      <c r="B44" s="409">
        <v>41.0</v>
      </c>
      <c r="C44" s="411" t="s">
        <v>491</v>
      </c>
      <c r="D44" s="411" t="s">
        <v>434</v>
      </c>
      <c r="E44" s="411" t="s">
        <v>492</v>
      </c>
      <c r="F44" s="412"/>
      <c r="G44" s="411" t="s">
        <v>493</v>
      </c>
    </row>
    <row r="45">
      <c r="B45" s="409">
        <v>42.0</v>
      </c>
      <c r="C45" s="411" t="s">
        <v>494</v>
      </c>
      <c r="D45" s="411" t="s">
        <v>369</v>
      </c>
      <c r="E45" s="411" t="s">
        <v>495</v>
      </c>
      <c r="F45" s="412"/>
      <c r="G45" s="411" t="s">
        <v>496</v>
      </c>
    </row>
    <row r="46">
      <c r="B46" s="409">
        <v>43.0</v>
      </c>
      <c r="C46" s="411" t="s">
        <v>497</v>
      </c>
      <c r="D46" s="411" t="s">
        <v>369</v>
      </c>
      <c r="E46" s="411" t="s">
        <v>498</v>
      </c>
      <c r="F46" s="412"/>
      <c r="G46" s="411" t="s">
        <v>499</v>
      </c>
    </row>
    <row r="47">
      <c r="B47" s="409">
        <v>44.0</v>
      </c>
      <c r="C47" s="411" t="s">
        <v>500</v>
      </c>
      <c r="D47" s="411" t="s">
        <v>369</v>
      </c>
      <c r="E47" s="411" t="s">
        <v>501</v>
      </c>
      <c r="F47" s="412"/>
      <c r="G47" s="411" t="s">
        <v>502</v>
      </c>
    </row>
    <row r="48">
      <c r="B48" s="409">
        <v>45.0</v>
      </c>
      <c r="C48" s="411" t="s">
        <v>503</v>
      </c>
      <c r="D48" s="411" t="s">
        <v>369</v>
      </c>
      <c r="E48" s="411" t="s">
        <v>504</v>
      </c>
      <c r="F48" s="412"/>
      <c r="G48" s="411" t="s">
        <v>505</v>
      </c>
    </row>
    <row r="49">
      <c r="B49" s="409">
        <v>46.0</v>
      </c>
      <c r="C49" s="411" t="s">
        <v>506</v>
      </c>
      <c r="D49" s="411" t="s">
        <v>369</v>
      </c>
      <c r="E49" s="411" t="s">
        <v>507</v>
      </c>
      <c r="F49" s="412"/>
      <c r="G49" s="411" t="s">
        <v>508</v>
      </c>
    </row>
    <row r="50">
      <c r="B50" s="409">
        <v>47.0</v>
      </c>
      <c r="C50" s="411" t="s">
        <v>509</v>
      </c>
      <c r="D50" s="411" t="s">
        <v>369</v>
      </c>
      <c r="E50" s="411" t="s">
        <v>510</v>
      </c>
      <c r="F50" s="412"/>
      <c r="G50" s="411" t="s">
        <v>511</v>
      </c>
    </row>
    <row r="51">
      <c r="B51" s="409">
        <v>48.0</v>
      </c>
      <c r="C51" s="411" t="s">
        <v>512</v>
      </c>
      <c r="D51" s="411" t="s">
        <v>369</v>
      </c>
      <c r="E51" s="411" t="s">
        <v>513</v>
      </c>
      <c r="F51" s="412"/>
      <c r="G51" s="411" t="s">
        <v>514</v>
      </c>
    </row>
    <row r="52">
      <c r="B52" s="409">
        <v>49.0</v>
      </c>
      <c r="C52" s="411" t="s">
        <v>515</v>
      </c>
      <c r="D52" s="411" t="s">
        <v>388</v>
      </c>
      <c r="E52" s="411" t="s">
        <v>516</v>
      </c>
      <c r="F52" s="412"/>
      <c r="G52" s="411" t="s">
        <v>517</v>
      </c>
    </row>
    <row r="53">
      <c r="B53" s="409">
        <v>50.0</v>
      </c>
      <c r="C53" s="411" t="s">
        <v>518</v>
      </c>
      <c r="D53" s="411" t="s">
        <v>365</v>
      </c>
      <c r="E53" s="411" t="s">
        <v>519</v>
      </c>
      <c r="F53" s="412"/>
      <c r="G53" s="411" t="s">
        <v>520</v>
      </c>
    </row>
    <row r="54">
      <c r="B54" s="409">
        <v>51.0</v>
      </c>
      <c r="C54" s="411" t="s">
        <v>521</v>
      </c>
      <c r="D54" s="411" t="s">
        <v>365</v>
      </c>
      <c r="E54" s="411" t="s">
        <v>522</v>
      </c>
      <c r="F54" s="412"/>
      <c r="G54" s="411" t="s">
        <v>523</v>
      </c>
    </row>
    <row r="55">
      <c r="B55" s="409">
        <v>52.0</v>
      </c>
      <c r="C55" s="411" t="s">
        <v>524</v>
      </c>
      <c r="D55" s="411" t="s">
        <v>365</v>
      </c>
      <c r="E55" s="411" t="s">
        <v>525</v>
      </c>
      <c r="F55" s="412"/>
      <c r="G55" s="411" t="s">
        <v>526</v>
      </c>
    </row>
    <row r="56">
      <c r="B56" s="409">
        <v>53.0</v>
      </c>
      <c r="C56" s="411" t="s">
        <v>527</v>
      </c>
      <c r="D56" s="411" t="s">
        <v>365</v>
      </c>
      <c r="E56" s="411" t="s">
        <v>528</v>
      </c>
      <c r="F56" s="412"/>
      <c r="G56" s="411" t="s">
        <v>529</v>
      </c>
    </row>
    <row r="57">
      <c r="B57" s="409">
        <v>54.0</v>
      </c>
      <c r="C57" s="411" t="s">
        <v>530</v>
      </c>
      <c r="D57" s="411" t="s">
        <v>369</v>
      </c>
      <c r="E57" s="411" t="s">
        <v>531</v>
      </c>
      <c r="F57" s="412"/>
      <c r="G57" s="411" t="s">
        <v>532</v>
      </c>
    </row>
    <row r="58">
      <c r="B58" s="409">
        <v>55.0</v>
      </c>
      <c r="C58" s="411" t="s">
        <v>533</v>
      </c>
      <c r="D58" s="411" t="s">
        <v>441</v>
      </c>
      <c r="E58" s="411" t="s">
        <v>534</v>
      </c>
      <c r="F58" s="412"/>
      <c r="G58" s="411" t="s">
        <v>535</v>
      </c>
    </row>
    <row r="59">
      <c r="B59" s="409">
        <v>56.0</v>
      </c>
      <c r="C59" s="411" t="s">
        <v>536</v>
      </c>
      <c r="D59" s="411" t="s">
        <v>365</v>
      </c>
      <c r="E59" s="411" t="s">
        <v>537</v>
      </c>
      <c r="F59" s="412"/>
      <c r="G59" s="411" t="s">
        <v>538</v>
      </c>
    </row>
    <row r="60">
      <c r="B60" s="409">
        <v>57.0</v>
      </c>
      <c r="C60" s="411" t="s">
        <v>539</v>
      </c>
      <c r="D60" s="411" t="s">
        <v>365</v>
      </c>
      <c r="E60" s="411" t="s">
        <v>540</v>
      </c>
      <c r="F60" s="412"/>
      <c r="G60" s="411" t="s">
        <v>541</v>
      </c>
    </row>
    <row r="61">
      <c r="B61" s="409">
        <v>58.0</v>
      </c>
      <c r="C61" s="411" t="s">
        <v>542</v>
      </c>
      <c r="D61" s="411" t="s">
        <v>365</v>
      </c>
      <c r="E61" s="411" t="s">
        <v>543</v>
      </c>
      <c r="F61" s="412"/>
      <c r="G61" s="411" t="s">
        <v>544</v>
      </c>
    </row>
    <row r="62">
      <c r="B62" s="409">
        <v>59.0</v>
      </c>
      <c r="C62" s="411" t="s">
        <v>545</v>
      </c>
      <c r="D62" s="411" t="s">
        <v>546</v>
      </c>
      <c r="E62" s="411" t="s">
        <v>547</v>
      </c>
      <c r="F62" s="412"/>
      <c r="G62" s="411" t="s">
        <v>548</v>
      </c>
    </row>
    <row r="63">
      <c r="B63" s="409">
        <v>60.0</v>
      </c>
      <c r="C63" s="411" t="s">
        <v>549</v>
      </c>
      <c r="D63" s="411" t="s">
        <v>546</v>
      </c>
      <c r="E63" s="411" t="s">
        <v>550</v>
      </c>
      <c r="F63" s="412"/>
      <c r="G63" s="411" t="s">
        <v>551</v>
      </c>
    </row>
    <row r="64">
      <c r="B64" s="409">
        <v>61.0</v>
      </c>
      <c r="C64" s="411" t="s">
        <v>552</v>
      </c>
      <c r="D64" s="411" t="s">
        <v>365</v>
      </c>
      <c r="E64" s="411" t="s">
        <v>553</v>
      </c>
      <c r="F64" s="412"/>
      <c r="G64" s="411" t="s">
        <v>554</v>
      </c>
    </row>
    <row r="65">
      <c r="B65" s="409">
        <v>62.0</v>
      </c>
      <c r="C65" s="411" t="s">
        <v>555</v>
      </c>
      <c r="D65" s="411" t="s">
        <v>556</v>
      </c>
      <c r="E65" s="411" t="s">
        <v>557</v>
      </c>
      <c r="F65" s="412"/>
      <c r="G65" s="411" t="s">
        <v>558</v>
      </c>
    </row>
    <row r="66">
      <c r="B66" s="409">
        <v>63.0</v>
      </c>
      <c r="C66" s="411" t="s">
        <v>559</v>
      </c>
      <c r="D66" s="411" t="s">
        <v>365</v>
      </c>
      <c r="E66" s="411" t="s">
        <v>560</v>
      </c>
      <c r="F66" s="412"/>
      <c r="G66" s="411" t="s">
        <v>561</v>
      </c>
    </row>
    <row r="67">
      <c r="B67" s="409">
        <v>64.0</v>
      </c>
      <c r="C67" s="411" t="s">
        <v>562</v>
      </c>
      <c r="D67" s="411" t="s">
        <v>365</v>
      </c>
      <c r="E67" s="411" t="s">
        <v>563</v>
      </c>
      <c r="F67" s="412"/>
      <c r="G67" s="411" t="s">
        <v>564</v>
      </c>
    </row>
    <row r="68">
      <c r="B68" s="409">
        <v>65.0</v>
      </c>
      <c r="C68" s="411" t="s">
        <v>565</v>
      </c>
      <c r="D68" s="411" t="s">
        <v>369</v>
      </c>
      <c r="E68" s="411" t="s">
        <v>566</v>
      </c>
      <c r="F68" s="412"/>
      <c r="G68" s="411" t="s">
        <v>567</v>
      </c>
    </row>
    <row r="69">
      <c r="B69" s="409">
        <v>66.0</v>
      </c>
      <c r="C69" s="411" t="s">
        <v>568</v>
      </c>
      <c r="D69" s="411" t="s">
        <v>365</v>
      </c>
      <c r="E69" s="411" t="s">
        <v>569</v>
      </c>
      <c r="F69" s="412"/>
      <c r="G69" s="411" t="s">
        <v>570</v>
      </c>
    </row>
    <row r="70">
      <c r="B70" s="409">
        <v>67.0</v>
      </c>
      <c r="C70" s="411" t="s">
        <v>571</v>
      </c>
      <c r="D70" s="411" t="s">
        <v>388</v>
      </c>
      <c r="E70" s="411" t="s">
        <v>572</v>
      </c>
      <c r="F70" s="412"/>
      <c r="G70" s="411" t="s">
        <v>573</v>
      </c>
    </row>
    <row r="71">
      <c r="B71" s="409">
        <v>68.0</v>
      </c>
      <c r="C71" s="411" t="s">
        <v>574</v>
      </c>
      <c r="D71" s="411" t="s">
        <v>388</v>
      </c>
      <c r="E71" s="411" t="s">
        <v>575</v>
      </c>
      <c r="F71" s="412"/>
      <c r="G71" s="411" t="s">
        <v>576</v>
      </c>
    </row>
    <row r="72">
      <c r="B72" s="409">
        <v>69.0</v>
      </c>
      <c r="C72" s="411" t="s">
        <v>577</v>
      </c>
      <c r="D72" s="411" t="s">
        <v>369</v>
      </c>
      <c r="E72" s="411" t="s">
        <v>578</v>
      </c>
      <c r="F72" s="412"/>
      <c r="G72" s="411" t="s">
        <v>579</v>
      </c>
    </row>
    <row r="73">
      <c r="B73" s="409">
        <v>70.0</v>
      </c>
      <c r="C73" s="411" t="s">
        <v>580</v>
      </c>
      <c r="D73" s="411" t="s">
        <v>369</v>
      </c>
      <c r="E73" s="411" t="s">
        <v>581</v>
      </c>
      <c r="F73" s="412"/>
      <c r="G73" s="411" t="s">
        <v>582</v>
      </c>
    </row>
    <row r="74">
      <c r="B74" s="409">
        <v>71.0</v>
      </c>
      <c r="C74" s="411" t="s">
        <v>583</v>
      </c>
      <c r="D74" s="411" t="s">
        <v>546</v>
      </c>
      <c r="E74" s="411" t="s">
        <v>584</v>
      </c>
      <c r="F74" s="412"/>
      <c r="G74" s="411" t="s">
        <v>585</v>
      </c>
    </row>
    <row r="75">
      <c r="B75" s="409">
        <v>72.0</v>
      </c>
      <c r="C75" s="411" t="s">
        <v>586</v>
      </c>
      <c r="D75" s="411" t="s">
        <v>388</v>
      </c>
      <c r="E75" s="411" t="s">
        <v>587</v>
      </c>
      <c r="F75" s="412"/>
      <c r="G75" s="411" t="s">
        <v>588</v>
      </c>
    </row>
    <row r="76">
      <c r="B76" s="409">
        <v>73.0</v>
      </c>
      <c r="C76" s="411" t="s">
        <v>589</v>
      </c>
      <c r="D76" s="411" t="s">
        <v>369</v>
      </c>
      <c r="E76" s="411" t="s">
        <v>590</v>
      </c>
      <c r="F76" s="412"/>
      <c r="G76" s="411" t="s">
        <v>591</v>
      </c>
    </row>
    <row r="77">
      <c r="B77" s="409">
        <v>74.0</v>
      </c>
      <c r="C77" s="411" t="s">
        <v>592</v>
      </c>
      <c r="D77" s="411" t="s">
        <v>369</v>
      </c>
      <c r="E77" s="411" t="s">
        <v>593</v>
      </c>
      <c r="F77" s="412"/>
      <c r="G77" s="411" t="s">
        <v>594</v>
      </c>
    </row>
    <row r="78">
      <c r="B78" s="409">
        <v>75.0</v>
      </c>
      <c r="C78" s="411" t="s">
        <v>595</v>
      </c>
      <c r="D78" s="411" t="s">
        <v>441</v>
      </c>
      <c r="E78" s="411" t="s">
        <v>596</v>
      </c>
      <c r="F78" s="412"/>
      <c r="G78" s="411" t="s">
        <v>597</v>
      </c>
    </row>
    <row r="79">
      <c r="B79" s="409">
        <v>76.0</v>
      </c>
      <c r="C79" s="411" t="s">
        <v>598</v>
      </c>
      <c r="D79" s="411" t="s">
        <v>388</v>
      </c>
      <c r="E79" s="411" t="s">
        <v>599</v>
      </c>
      <c r="F79" s="412"/>
      <c r="G79" s="411" t="s">
        <v>600</v>
      </c>
    </row>
    <row r="80">
      <c r="B80" s="409">
        <v>77.0</v>
      </c>
      <c r="C80" s="411" t="s">
        <v>601</v>
      </c>
      <c r="D80" s="411" t="s">
        <v>369</v>
      </c>
      <c r="E80" s="411" t="s">
        <v>602</v>
      </c>
      <c r="F80" s="412"/>
      <c r="G80" s="411" t="s">
        <v>603</v>
      </c>
    </row>
    <row r="81">
      <c r="B81" s="409">
        <v>78.0</v>
      </c>
      <c r="C81" s="411" t="s">
        <v>604</v>
      </c>
      <c r="D81" s="411" t="s">
        <v>365</v>
      </c>
      <c r="E81" s="411" t="s">
        <v>605</v>
      </c>
      <c r="F81" s="412"/>
      <c r="G81" s="411" t="s">
        <v>606</v>
      </c>
    </row>
    <row r="82">
      <c r="B82" s="409">
        <v>79.0</v>
      </c>
      <c r="C82" s="411" t="s">
        <v>607</v>
      </c>
      <c r="D82" s="411" t="s">
        <v>365</v>
      </c>
      <c r="E82" s="411" t="s">
        <v>608</v>
      </c>
      <c r="F82" s="411" t="s">
        <v>609</v>
      </c>
      <c r="G82" s="411" t="s">
        <v>610</v>
      </c>
    </row>
    <row r="83">
      <c r="B83" s="409">
        <v>80.0</v>
      </c>
      <c r="C83" s="411" t="s">
        <v>611</v>
      </c>
      <c r="D83" s="411" t="s">
        <v>365</v>
      </c>
      <c r="E83" s="411" t="s">
        <v>612</v>
      </c>
      <c r="F83" s="411" t="s">
        <v>613</v>
      </c>
      <c r="G83" s="411" t="s">
        <v>614</v>
      </c>
    </row>
    <row r="84">
      <c r="B84" s="409">
        <v>81.0</v>
      </c>
      <c r="C84" s="411" t="s">
        <v>615</v>
      </c>
      <c r="D84" s="411" t="s">
        <v>365</v>
      </c>
      <c r="E84" s="411" t="s">
        <v>616</v>
      </c>
      <c r="F84" s="411" t="s">
        <v>617</v>
      </c>
      <c r="G84" s="411" t="s">
        <v>618</v>
      </c>
    </row>
    <row r="85">
      <c r="B85" s="409">
        <v>82.0</v>
      </c>
      <c r="C85" s="411" t="s">
        <v>619</v>
      </c>
      <c r="D85" s="411" t="s">
        <v>365</v>
      </c>
      <c r="E85" s="411" t="s">
        <v>620</v>
      </c>
      <c r="F85" s="411" t="s">
        <v>621</v>
      </c>
      <c r="G85" s="411" t="s">
        <v>622</v>
      </c>
    </row>
    <row r="86">
      <c r="B86" s="409">
        <v>83.0</v>
      </c>
      <c r="C86" s="411" t="s">
        <v>623</v>
      </c>
      <c r="D86" s="411" t="s">
        <v>365</v>
      </c>
      <c r="E86" s="411" t="s">
        <v>624</v>
      </c>
      <c r="F86" s="411" t="s">
        <v>625</v>
      </c>
      <c r="G86" s="411" t="s">
        <v>626</v>
      </c>
    </row>
    <row r="87">
      <c r="B87" s="409">
        <v>84.0</v>
      </c>
      <c r="C87" s="411" t="s">
        <v>627</v>
      </c>
      <c r="D87" s="411" t="s">
        <v>365</v>
      </c>
      <c r="E87" s="411" t="s">
        <v>628</v>
      </c>
      <c r="F87" s="411" t="s">
        <v>629</v>
      </c>
      <c r="G87" s="411" t="s">
        <v>630</v>
      </c>
    </row>
    <row r="88">
      <c r="B88" s="409">
        <v>85.0</v>
      </c>
      <c r="C88" s="411" t="s">
        <v>631</v>
      </c>
      <c r="D88" s="411" t="s">
        <v>365</v>
      </c>
      <c r="E88" s="411" t="s">
        <v>632</v>
      </c>
      <c r="F88" s="411" t="s">
        <v>633</v>
      </c>
      <c r="G88" s="411" t="s">
        <v>634</v>
      </c>
    </row>
    <row r="89">
      <c r="B89" s="409">
        <v>86.0</v>
      </c>
      <c r="C89" s="411" t="s">
        <v>635</v>
      </c>
      <c r="D89" s="411" t="s">
        <v>636</v>
      </c>
      <c r="E89" s="411" t="s">
        <v>637</v>
      </c>
      <c r="F89" s="411" t="s">
        <v>638</v>
      </c>
      <c r="G89" s="411" t="s">
        <v>639</v>
      </c>
    </row>
    <row r="90">
      <c r="B90" s="409">
        <v>87.0</v>
      </c>
      <c r="C90" s="411" t="s">
        <v>640</v>
      </c>
      <c r="D90" s="411" t="s">
        <v>365</v>
      </c>
      <c r="E90" s="411" t="s">
        <v>641</v>
      </c>
      <c r="F90" s="411" t="s">
        <v>642</v>
      </c>
      <c r="G90" s="411" t="s">
        <v>643</v>
      </c>
    </row>
    <row r="91">
      <c r="B91" s="409">
        <v>88.0</v>
      </c>
      <c r="C91" s="411" t="s">
        <v>644</v>
      </c>
      <c r="D91" s="411" t="s">
        <v>365</v>
      </c>
      <c r="E91" s="411" t="s">
        <v>645</v>
      </c>
      <c r="F91" s="411" t="s">
        <v>646</v>
      </c>
      <c r="G91" s="411" t="s">
        <v>647</v>
      </c>
    </row>
    <row r="92">
      <c r="B92" s="409">
        <v>89.0</v>
      </c>
      <c r="C92" s="411" t="s">
        <v>648</v>
      </c>
      <c r="D92" s="411" t="s">
        <v>365</v>
      </c>
      <c r="E92" s="411" t="s">
        <v>649</v>
      </c>
      <c r="F92" s="411" t="s">
        <v>650</v>
      </c>
      <c r="G92" s="411" t="s">
        <v>651</v>
      </c>
    </row>
    <row r="93">
      <c r="B93" s="409">
        <v>90.0</v>
      </c>
      <c r="C93" s="411" t="s">
        <v>652</v>
      </c>
      <c r="D93" s="411" t="s">
        <v>365</v>
      </c>
      <c r="E93" s="411" t="s">
        <v>653</v>
      </c>
      <c r="F93" s="411" t="s">
        <v>654</v>
      </c>
      <c r="G93" s="411" t="s">
        <v>655</v>
      </c>
    </row>
    <row r="94">
      <c r="B94" s="409">
        <v>91.0</v>
      </c>
      <c r="C94" s="411" t="s">
        <v>656</v>
      </c>
      <c r="D94" s="411" t="s">
        <v>365</v>
      </c>
      <c r="E94" s="411" t="s">
        <v>657</v>
      </c>
      <c r="F94" s="412"/>
      <c r="G94" s="411" t="s">
        <v>658</v>
      </c>
    </row>
    <row r="95">
      <c r="B95" s="409">
        <v>92.0</v>
      </c>
      <c r="C95" s="411" t="s">
        <v>659</v>
      </c>
      <c r="D95" s="411" t="s">
        <v>420</v>
      </c>
      <c r="E95" s="411" t="s">
        <v>660</v>
      </c>
      <c r="F95" s="412"/>
      <c r="G95" s="411" t="s">
        <v>661</v>
      </c>
    </row>
    <row r="96">
      <c r="B96" s="409">
        <v>93.0</v>
      </c>
      <c r="C96" s="411" t="s">
        <v>662</v>
      </c>
      <c r="D96" s="411" t="s">
        <v>365</v>
      </c>
      <c r="E96" s="411" t="s">
        <v>663</v>
      </c>
      <c r="F96" s="412"/>
      <c r="G96" s="411" t="s">
        <v>664</v>
      </c>
    </row>
    <row r="97">
      <c r="B97" s="409">
        <v>94.0</v>
      </c>
      <c r="C97" s="411" t="s">
        <v>665</v>
      </c>
      <c r="D97" s="411" t="s">
        <v>365</v>
      </c>
      <c r="E97" s="411" t="s">
        <v>666</v>
      </c>
      <c r="F97" s="412"/>
      <c r="G97" s="411" t="s">
        <v>667</v>
      </c>
    </row>
    <row r="98">
      <c r="B98" s="409">
        <v>95.0</v>
      </c>
      <c r="C98" s="411" t="s">
        <v>668</v>
      </c>
      <c r="D98" s="411" t="s">
        <v>365</v>
      </c>
      <c r="E98" s="411" t="s">
        <v>669</v>
      </c>
      <c r="F98" s="412"/>
      <c r="G98" s="411" t="s">
        <v>670</v>
      </c>
    </row>
    <row r="99">
      <c r="B99" s="409">
        <v>96.0</v>
      </c>
      <c r="C99" s="411" t="s">
        <v>671</v>
      </c>
      <c r="D99" s="411" t="s">
        <v>388</v>
      </c>
      <c r="E99" s="411" t="s">
        <v>672</v>
      </c>
      <c r="F99" s="412"/>
      <c r="G99" s="411" t="s">
        <v>673</v>
      </c>
    </row>
    <row r="100">
      <c r="B100" s="409">
        <v>97.0</v>
      </c>
      <c r="C100" s="411" t="s">
        <v>674</v>
      </c>
      <c r="D100" s="411" t="s">
        <v>388</v>
      </c>
      <c r="E100" s="411" t="s">
        <v>675</v>
      </c>
      <c r="F100" s="412"/>
      <c r="G100" s="411" t="s">
        <v>676</v>
      </c>
    </row>
    <row r="101">
      <c r="B101" s="409">
        <v>98.0</v>
      </c>
      <c r="C101" s="411" t="s">
        <v>677</v>
      </c>
      <c r="D101" s="411" t="s">
        <v>369</v>
      </c>
      <c r="E101" s="411" t="s">
        <v>678</v>
      </c>
      <c r="F101" s="412"/>
      <c r="G101" s="411" t="s">
        <v>679</v>
      </c>
    </row>
    <row r="102">
      <c r="B102" s="409">
        <v>99.0</v>
      </c>
      <c r="C102" s="411" t="s">
        <v>680</v>
      </c>
      <c r="D102" s="411" t="s">
        <v>369</v>
      </c>
      <c r="E102" s="411" t="s">
        <v>681</v>
      </c>
      <c r="F102" s="412"/>
      <c r="G102" s="411" t="s">
        <v>682</v>
      </c>
    </row>
    <row r="103">
      <c r="B103" s="409">
        <v>100.0</v>
      </c>
      <c r="C103" s="411" t="s">
        <v>683</v>
      </c>
      <c r="D103" s="411" t="s">
        <v>369</v>
      </c>
      <c r="E103" s="411" t="s">
        <v>684</v>
      </c>
      <c r="F103" s="412"/>
      <c r="G103" s="411" t="s">
        <v>685</v>
      </c>
    </row>
    <row r="104">
      <c r="B104" s="409">
        <v>101.0</v>
      </c>
      <c r="C104" s="411" t="s">
        <v>686</v>
      </c>
      <c r="D104" s="411" t="s">
        <v>369</v>
      </c>
      <c r="E104" s="411" t="s">
        <v>687</v>
      </c>
      <c r="F104" s="412"/>
      <c r="G104" s="411" t="s">
        <v>688</v>
      </c>
    </row>
    <row r="105">
      <c r="B105" s="409">
        <v>102.0</v>
      </c>
      <c r="C105" s="411" t="s">
        <v>689</v>
      </c>
      <c r="D105" s="411" t="s">
        <v>365</v>
      </c>
      <c r="E105" s="411" t="s">
        <v>690</v>
      </c>
      <c r="F105" s="412"/>
      <c r="G105" s="411" t="s">
        <v>691</v>
      </c>
    </row>
    <row r="106">
      <c r="B106" s="409">
        <v>103.0</v>
      </c>
      <c r="C106" s="411" t="s">
        <v>692</v>
      </c>
      <c r="D106" s="411" t="s">
        <v>365</v>
      </c>
      <c r="E106" s="411" t="s">
        <v>693</v>
      </c>
      <c r="F106" s="412"/>
      <c r="G106" s="411" t="s">
        <v>694</v>
      </c>
    </row>
    <row r="107">
      <c r="B107" s="409">
        <v>104.0</v>
      </c>
      <c r="C107" s="411" t="s">
        <v>695</v>
      </c>
      <c r="D107" s="411" t="s">
        <v>365</v>
      </c>
      <c r="E107" s="411" t="s">
        <v>696</v>
      </c>
      <c r="F107" s="412"/>
      <c r="G107" s="411" t="s">
        <v>697</v>
      </c>
    </row>
    <row r="108">
      <c r="B108" s="409">
        <v>105.0</v>
      </c>
      <c r="C108" s="411" t="s">
        <v>698</v>
      </c>
      <c r="D108" s="411" t="s">
        <v>365</v>
      </c>
      <c r="E108" s="411" t="s">
        <v>699</v>
      </c>
      <c r="F108" s="412"/>
      <c r="G108" s="411" t="s">
        <v>700</v>
      </c>
    </row>
    <row r="109">
      <c r="B109" s="409">
        <v>106.0</v>
      </c>
      <c r="C109" s="411" t="s">
        <v>701</v>
      </c>
      <c r="D109" s="411" t="s">
        <v>365</v>
      </c>
      <c r="E109" s="411" t="s">
        <v>702</v>
      </c>
      <c r="F109" s="412"/>
      <c r="G109" s="411" t="s">
        <v>703</v>
      </c>
    </row>
    <row r="110">
      <c r="B110" s="409">
        <v>107.0</v>
      </c>
      <c r="C110" s="411" t="s">
        <v>704</v>
      </c>
      <c r="D110" s="411" t="s">
        <v>365</v>
      </c>
      <c r="E110" s="411" t="s">
        <v>705</v>
      </c>
      <c r="F110" s="411" t="s">
        <v>706</v>
      </c>
      <c r="G110" s="411" t="s">
        <v>707</v>
      </c>
    </row>
    <row r="111">
      <c r="B111" s="409">
        <v>108.0</v>
      </c>
      <c r="C111" s="411" t="s">
        <v>708</v>
      </c>
      <c r="D111" s="411" t="s">
        <v>369</v>
      </c>
      <c r="E111" s="411" t="s">
        <v>709</v>
      </c>
      <c r="F111" s="412"/>
      <c r="G111" s="411" t="s">
        <v>710</v>
      </c>
    </row>
    <row r="112">
      <c r="B112" s="409">
        <v>109.0</v>
      </c>
      <c r="C112" s="411" t="s">
        <v>711</v>
      </c>
      <c r="D112" s="411" t="s">
        <v>365</v>
      </c>
      <c r="E112" s="411" t="s">
        <v>712</v>
      </c>
      <c r="F112" s="412"/>
      <c r="G112" s="411" t="s">
        <v>713</v>
      </c>
    </row>
    <row r="113">
      <c r="B113" s="409">
        <v>110.0</v>
      </c>
      <c r="C113" s="411" t="s">
        <v>714</v>
      </c>
      <c r="D113" s="411" t="s">
        <v>369</v>
      </c>
      <c r="E113" s="411" t="s">
        <v>715</v>
      </c>
      <c r="F113" s="412"/>
      <c r="G113" s="411" t="s">
        <v>716</v>
      </c>
    </row>
    <row r="114">
      <c r="B114" s="409">
        <v>111.0</v>
      </c>
      <c r="C114" s="411" t="s">
        <v>717</v>
      </c>
      <c r="D114" s="411" t="s">
        <v>365</v>
      </c>
      <c r="E114" s="411" t="s">
        <v>718</v>
      </c>
      <c r="F114" s="412"/>
      <c r="G114" s="411" t="s">
        <v>719</v>
      </c>
    </row>
    <row r="115">
      <c r="B115" s="409">
        <v>112.0</v>
      </c>
      <c r="C115" s="411" t="s">
        <v>720</v>
      </c>
      <c r="D115" s="411" t="s">
        <v>365</v>
      </c>
      <c r="E115" s="411" t="s">
        <v>721</v>
      </c>
      <c r="F115" s="412"/>
      <c r="G115" s="411" t="s">
        <v>722</v>
      </c>
    </row>
    <row r="116">
      <c r="B116" s="409">
        <v>113.0</v>
      </c>
      <c r="C116" s="411" t="s">
        <v>344</v>
      </c>
      <c r="D116" s="411" t="s">
        <v>369</v>
      </c>
      <c r="E116" s="411" t="s">
        <v>723</v>
      </c>
      <c r="F116" s="412"/>
      <c r="G116" s="411" t="s">
        <v>724</v>
      </c>
    </row>
    <row r="117">
      <c r="B117" s="409">
        <v>114.0</v>
      </c>
      <c r="C117" s="411" t="s">
        <v>725</v>
      </c>
      <c r="D117" s="411" t="s">
        <v>388</v>
      </c>
      <c r="E117" s="411" t="s">
        <v>726</v>
      </c>
      <c r="F117" s="411" t="s">
        <v>727</v>
      </c>
      <c r="G117" s="411" t="s">
        <v>728</v>
      </c>
    </row>
    <row r="118">
      <c r="B118" s="413">
        <v>115.0</v>
      </c>
      <c r="C118" s="411" t="s">
        <v>30</v>
      </c>
      <c r="D118" s="411"/>
      <c r="E118" s="412"/>
      <c r="F118" s="412"/>
      <c r="G118" s="412"/>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pane ySplit="2.0" topLeftCell="A3" activePane="bottomLeft" state="frozen"/>
      <selection activeCell="B4" sqref="B4" pane="bottomLeft"/>
    </sheetView>
  </sheetViews>
  <sheetFormatPr customHeight="1" defaultColWidth="12.63" defaultRowHeight="15.75" outlineLevelCol="1" outlineLevelRow="1"/>
  <cols>
    <col customWidth="1" min="1" max="1" width="19.25"/>
    <col customWidth="1" min="2" max="2" width="8.88"/>
    <col customWidth="1" min="3" max="3" width="9.5"/>
    <col customWidth="1" min="4" max="4" width="8.38"/>
    <col customWidth="1" min="5" max="5" width="13.13"/>
    <col customWidth="1" min="6" max="6" width="8.13"/>
    <col customWidth="1" min="7" max="7" width="7.88"/>
    <col customWidth="1" min="8" max="8" width="8.13"/>
    <col customWidth="1" min="9" max="9" width="7.5"/>
    <col customWidth="1" min="10" max="10" width="5.13"/>
    <col customWidth="1" min="11" max="11" width="9.63"/>
    <col customWidth="1" min="12" max="12" width="8.13"/>
    <col customWidth="1" min="13" max="13" width="15.75"/>
    <col customWidth="1" min="14" max="14" width="5.88" outlineLevel="1"/>
    <col customWidth="1" min="15" max="15" width="4.5"/>
    <col customWidth="1" min="16" max="16" width="6.13"/>
    <col customWidth="1" min="17" max="17" width="6.0"/>
    <col customWidth="1" min="18" max="18" width="40.88"/>
    <col customWidth="1" min="19" max="19" width="10.0"/>
    <col customWidth="1" min="20" max="20" width="14.13"/>
    <col customWidth="1" min="21" max="21" width="19.25"/>
    <col customWidth="1" min="22" max="23" width="10.13"/>
    <col customWidth="1" min="24" max="30" width="6.5"/>
    <col customWidth="1" min="31" max="31" width="19.88"/>
    <col customWidth="1" hidden="1" min="32" max="32" width="19.88"/>
    <col customWidth="1" hidden="1" min="33" max="33" width="12.63"/>
    <col customWidth="1" hidden="1" min="34" max="34" width="9.5"/>
    <col customWidth="1" hidden="1" min="35" max="35" width="10.13"/>
    <col customWidth="1" hidden="1" min="36" max="36" width="8.0"/>
    <col customWidth="1" hidden="1" min="37" max="39" width="7.63"/>
    <col customWidth="1" hidden="1" min="40" max="40" width="10.88"/>
    <col customWidth="1" hidden="1" min="41" max="41" width="14.38"/>
    <col customWidth="1" hidden="1" min="42" max="42" width="25.75"/>
    <col customWidth="1" hidden="1" min="43" max="43" width="30.13"/>
    <col customWidth="1" hidden="1" min="44" max="44" width="26.0"/>
    <col customWidth="1" hidden="1" min="45" max="46" width="7.63"/>
    <col customWidth="1" min="47" max="58" width="7.63"/>
  </cols>
  <sheetData>
    <row r="1" ht="15.75" customHeight="1">
      <c r="A1" s="414"/>
      <c r="B1" s="415" t="s">
        <v>130</v>
      </c>
      <c r="C1" s="416"/>
      <c r="D1" s="416"/>
      <c r="E1" s="416"/>
      <c r="F1" s="416"/>
      <c r="G1" s="416"/>
      <c r="H1" s="417"/>
      <c r="I1" s="418" t="s">
        <v>134</v>
      </c>
      <c r="J1" s="419" t="s">
        <v>729</v>
      </c>
      <c r="K1" s="419" t="s">
        <v>730</v>
      </c>
      <c r="L1" s="420" t="s">
        <v>731</v>
      </c>
      <c r="M1" s="421" t="s">
        <v>25</v>
      </c>
      <c r="N1" s="421" t="s">
        <v>732</v>
      </c>
      <c r="O1" s="421" t="s">
        <v>191</v>
      </c>
      <c r="P1" s="419" t="s">
        <v>733</v>
      </c>
      <c r="Q1" s="414"/>
      <c r="R1" s="422" t="s">
        <v>734</v>
      </c>
      <c r="S1" s="423" t="s">
        <v>111</v>
      </c>
      <c r="T1" s="423" t="s">
        <v>735</v>
      </c>
      <c r="U1" s="423" t="s">
        <v>736</v>
      </c>
      <c r="V1" s="424"/>
      <c r="W1" s="424"/>
      <c r="X1" s="425" t="s">
        <v>737</v>
      </c>
      <c r="Y1" s="424"/>
      <c r="Z1" s="424"/>
      <c r="AA1" s="424"/>
      <c r="AB1" s="424"/>
      <c r="AC1" s="424"/>
      <c r="AD1" s="424"/>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row>
    <row r="2" ht="13.5" customHeight="1">
      <c r="A2" s="419" t="s">
        <v>118</v>
      </c>
      <c r="B2" s="427" t="s">
        <v>172</v>
      </c>
      <c r="C2" s="427" t="s">
        <v>738</v>
      </c>
      <c r="D2" s="427" t="s">
        <v>739</v>
      </c>
      <c r="E2" s="427" t="s">
        <v>740</v>
      </c>
      <c r="F2" s="427" t="s">
        <v>741</v>
      </c>
      <c r="G2" s="427" t="s">
        <v>742</v>
      </c>
      <c r="H2" s="427" t="s">
        <v>743</v>
      </c>
      <c r="I2" s="428"/>
      <c r="J2" s="428"/>
      <c r="K2" s="428"/>
      <c r="L2" s="428"/>
      <c r="M2" s="428"/>
      <c r="N2" s="428"/>
      <c r="O2" s="428"/>
      <c r="P2" s="428"/>
      <c r="Q2" s="428"/>
      <c r="R2" s="429"/>
      <c r="S2" s="430"/>
      <c r="T2" s="430"/>
      <c r="U2" s="430"/>
      <c r="V2" s="431" t="s">
        <v>234</v>
      </c>
      <c r="W2" s="431" t="s">
        <v>744</v>
      </c>
      <c r="X2" s="431">
        <v>0.0</v>
      </c>
      <c r="Y2" s="431">
        <v>1.0</v>
      </c>
      <c r="Z2" s="431">
        <v>2.0</v>
      </c>
      <c r="AA2" s="431">
        <v>3.0</v>
      </c>
      <c r="AB2" s="431">
        <v>4.0</v>
      </c>
      <c r="AC2" s="431">
        <v>5.0</v>
      </c>
      <c r="AD2" s="431">
        <v>6.0</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row>
    <row r="3" ht="15.75" customHeight="1">
      <c r="A3" s="432"/>
      <c r="B3" s="433"/>
      <c r="C3" s="433"/>
      <c r="D3" s="433"/>
      <c r="E3" s="433"/>
      <c r="F3" s="433"/>
      <c r="G3" s="433"/>
      <c r="H3" s="434" t="s">
        <v>745</v>
      </c>
      <c r="I3" s="433"/>
      <c r="J3" s="433"/>
      <c r="K3" s="433"/>
      <c r="L3" s="433"/>
      <c r="M3" s="433"/>
      <c r="N3" s="433"/>
      <c r="O3" s="433"/>
      <c r="P3" s="433"/>
      <c r="Q3" s="433"/>
      <c r="R3" s="435"/>
      <c r="S3" s="436"/>
      <c r="T3" s="437"/>
      <c r="U3" s="437"/>
      <c r="V3" s="438"/>
      <c r="W3" s="438"/>
      <c r="X3" s="439"/>
      <c r="Y3" s="440"/>
      <c r="Z3" s="440"/>
      <c r="AA3" s="440"/>
      <c r="AB3" s="440"/>
      <c r="AC3" s="440"/>
      <c r="AD3" s="438"/>
      <c r="AE3" s="441"/>
      <c r="AF3" s="441" t="s">
        <v>746</v>
      </c>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row>
    <row r="4">
      <c r="A4" s="442" t="s">
        <v>747</v>
      </c>
      <c r="B4" s="443" t="s">
        <v>748</v>
      </c>
      <c r="C4" s="444" t="s">
        <v>749</v>
      </c>
      <c r="D4" s="444" t="s">
        <v>750</v>
      </c>
      <c r="E4" s="444" t="s">
        <v>121</v>
      </c>
      <c r="F4" s="444" t="s">
        <v>751</v>
      </c>
      <c r="G4" s="445" t="s">
        <v>752</v>
      </c>
      <c r="H4" s="446" t="s">
        <v>753</v>
      </c>
      <c r="I4" s="447" t="s">
        <v>754</v>
      </c>
      <c r="J4" s="448">
        <v>1.0</v>
      </c>
      <c r="K4" s="444">
        <v>1.0</v>
      </c>
      <c r="L4" s="449">
        <f>VLOOKUP(A4,'Кузнец'!$B$145:$J$193,9,FALSE)</f>
        <v>0.68</v>
      </c>
      <c r="M4" s="450" t="s">
        <v>30</v>
      </c>
      <c r="N4" s="451">
        <f>VLOOKUP(A4,'Кузнец'!$B$145:$J$193,4,FALSE)</f>
        <v>3</v>
      </c>
      <c r="O4" s="451">
        <v>7.0</v>
      </c>
      <c r="P4" s="452" t="s">
        <v>755</v>
      </c>
      <c r="Q4" s="453"/>
      <c r="R4" s="451"/>
      <c r="S4" s="454">
        <v>0.0</v>
      </c>
      <c r="T4" s="437"/>
      <c r="U4" s="437"/>
      <c r="V4" s="438"/>
      <c r="W4" s="438"/>
      <c r="X4" s="440">
        <v>0.0</v>
      </c>
      <c r="Y4" s="440">
        <v>0.0</v>
      </c>
      <c r="Z4" s="440">
        <v>0.0</v>
      </c>
      <c r="AA4" s="440">
        <v>0.0</v>
      </c>
      <c r="AB4" s="440">
        <v>0.0</v>
      </c>
      <c r="AC4" s="440">
        <v>0.0</v>
      </c>
      <c r="AD4" s="440">
        <v>0.0</v>
      </c>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row>
    <row r="5" ht="15.75" hidden="1" customHeight="1" outlineLevel="1">
      <c r="A5" s="455" t="s">
        <v>756</v>
      </c>
      <c r="B5" s="456">
        <v>1.0</v>
      </c>
      <c r="C5" s="456">
        <v>1.0</v>
      </c>
      <c r="D5" s="456">
        <v>1.0</v>
      </c>
      <c r="E5" s="456">
        <v>1.0</v>
      </c>
      <c r="F5" s="456">
        <v>1.0</v>
      </c>
      <c r="G5" s="456">
        <v>1.0</v>
      </c>
      <c r="H5" s="456">
        <v>1.0</v>
      </c>
      <c r="I5" s="447"/>
      <c r="J5" s="448"/>
      <c r="K5" s="444"/>
      <c r="L5" s="449" t="str">
        <f>VLOOKUP(A5,'Кузнец'!$B$145:$J$193,9,FALSE)</f>
        <v>#N/A</v>
      </c>
      <c r="M5" s="457"/>
      <c r="N5" s="451" t="str">
        <f t="shared" ref="N5:N11" si="1">VLOOKUP(A5,'Создание оружия'!$B$12:$H$104,4,FALSE)</f>
        <v>#REF!</v>
      </c>
      <c r="O5" s="451"/>
      <c r="P5" s="451"/>
      <c r="Q5" s="453"/>
      <c r="R5" s="451"/>
      <c r="S5" s="436"/>
      <c r="T5" s="437"/>
      <c r="U5" s="437"/>
      <c r="V5" s="438"/>
      <c r="W5" s="438"/>
      <c r="X5" s="440">
        <v>0.0</v>
      </c>
      <c r="Y5" s="440">
        <v>0.0</v>
      </c>
      <c r="Z5" s="440">
        <v>0.0</v>
      </c>
      <c r="AA5" s="440">
        <v>0.0</v>
      </c>
      <c r="AB5" s="440">
        <v>0.0</v>
      </c>
      <c r="AC5" s="440">
        <v>0.0</v>
      </c>
      <c r="AD5" s="440">
        <v>0.0</v>
      </c>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row>
    <row r="6" ht="15.75" hidden="1" customHeight="1" outlineLevel="1">
      <c r="A6" s="455" t="s">
        <v>757</v>
      </c>
      <c r="B6" s="456">
        <v>4.0</v>
      </c>
      <c r="C6" s="456">
        <v>4.0</v>
      </c>
      <c r="D6" s="456">
        <v>6.0</v>
      </c>
      <c r="E6" s="456">
        <v>6.0</v>
      </c>
      <c r="F6" s="456">
        <v>8.0</v>
      </c>
      <c r="G6" s="456">
        <v>8.0</v>
      </c>
      <c r="H6" s="456">
        <v>10.0</v>
      </c>
      <c r="I6" s="447"/>
      <c r="J6" s="448"/>
      <c r="K6" s="444"/>
      <c r="L6" s="449" t="str">
        <f>VLOOKUP(A6,'Кузнец'!$B$145:$J$193,9,FALSE)</f>
        <v>#N/A</v>
      </c>
      <c r="M6" s="457"/>
      <c r="N6" s="451" t="str">
        <f t="shared" si="1"/>
        <v>#REF!</v>
      </c>
      <c r="O6" s="451"/>
      <c r="P6" s="451"/>
      <c r="Q6" s="453"/>
      <c r="R6" s="451"/>
      <c r="S6" s="436"/>
      <c r="T6" s="437"/>
      <c r="U6" s="437"/>
      <c r="V6" s="438"/>
      <c r="W6" s="438"/>
      <c r="X6" s="440">
        <v>0.0</v>
      </c>
      <c r="Y6" s="440">
        <v>0.0</v>
      </c>
      <c r="Z6" s="440">
        <v>0.0</v>
      </c>
      <c r="AA6" s="440">
        <v>0.0</v>
      </c>
      <c r="AB6" s="440">
        <v>0.0</v>
      </c>
      <c r="AC6" s="440">
        <v>0.0</v>
      </c>
      <c r="AD6" s="440">
        <v>0.0</v>
      </c>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row>
    <row r="7" ht="15.75" hidden="1" customHeight="1" outlineLevel="1">
      <c r="A7" s="455" t="s">
        <v>758</v>
      </c>
      <c r="B7" s="456">
        <v>0.0</v>
      </c>
      <c r="C7" s="456">
        <v>1.0</v>
      </c>
      <c r="D7" s="456">
        <v>1.0</v>
      </c>
      <c r="E7" s="456">
        <v>3.0</v>
      </c>
      <c r="F7" s="456">
        <v>4.0</v>
      </c>
      <c r="G7" s="456">
        <v>7.0</v>
      </c>
      <c r="H7" s="456">
        <v>9.0</v>
      </c>
      <c r="I7" s="447"/>
      <c r="J7" s="448"/>
      <c r="K7" s="444"/>
      <c r="L7" s="449" t="str">
        <f>VLOOKUP(A7,'Кузнец'!$B$145:$J$193,9,FALSE)</f>
        <v>#N/A</v>
      </c>
      <c r="M7" s="457"/>
      <c r="N7" s="451" t="str">
        <f t="shared" si="1"/>
        <v>#REF!</v>
      </c>
      <c r="O7" s="451"/>
      <c r="P7" s="451"/>
      <c r="Q7" s="453"/>
      <c r="R7" s="451"/>
      <c r="S7" s="436"/>
      <c r="T7" s="437"/>
      <c r="U7" s="437"/>
      <c r="V7" s="438"/>
      <c r="W7" s="438"/>
      <c r="X7" s="440">
        <v>0.0</v>
      </c>
      <c r="Y7" s="440">
        <v>0.0</v>
      </c>
      <c r="Z7" s="440">
        <v>0.0</v>
      </c>
      <c r="AA7" s="440">
        <v>0.0</v>
      </c>
      <c r="AB7" s="440">
        <v>0.0</v>
      </c>
      <c r="AC7" s="440">
        <v>0.0</v>
      </c>
      <c r="AD7" s="440">
        <v>0.0</v>
      </c>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row>
    <row r="8" ht="15.75" hidden="1" customHeight="1" outlineLevel="1">
      <c r="A8" s="455" t="s">
        <v>759</v>
      </c>
      <c r="B8" s="456">
        <f t="shared" ref="B8:H8" si="2">(B5+B6)/2+B7</f>
        <v>2.5</v>
      </c>
      <c r="C8" s="456">
        <f t="shared" si="2"/>
        <v>3.5</v>
      </c>
      <c r="D8" s="456">
        <f t="shared" si="2"/>
        <v>4.5</v>
      </c>
      <c r="E8" s="456">
        <f t="shared" si="2"/>
        <v>6.5</v>
      </c>
      <c r="F8" s="456">
        <f t="shared" si="2"/>
        <v>8.5</v>
      </c>
      <c r="G8" s="456">
        <f t="shared" si="2"/>
        <v>11.5</v>
      </c>
      <c r="H8" s="456">
        <f t="shared" si="2"/>
        <v>14.5</v>
      </c>
      <c r="I8" s="447"/>
      <c r="J8" s="448"/>
      <c r="K8" s="444"/>
      <c r="L8" s="449" t="str">
        <f>VLOOKUP(A8,'Кузнец'!$B$145:$J$193,9,FALSE)</f>
        <v>#N/A</v>
      </c>
      <c r="M8" s="457"/>
      <c r="N8" s="451" t="str">
        <f t="shared" si="1"/>
        <v>#REF!</v>
      </c>
      <c r="O8" s="451"/>
      <c r="P8" s="451"/>
      <c r="Q8" s="453"/>
      <c r="R8" s="451"/>
      <c r="S8" s="436"/>
      <c r="T8" s="437"/>
      <c r="U8" s="437"/>
      <c r="V8" s="438"/>
      <c r="W8" s="438"/>
      <c r="X8" s="440">
        <v>0.0</v>
      </c>
      <c r="Y8" s="440">
        <v>0.0</v>
      </c>
      <c r="Z8" s="440">
        <v>0.0</v>
      </c>
      <c r="AA8" s="440">
        <v>0.0</v>
      </c>
      <c r="AB8" s="440">
        <v>0.0</v>
      </c>
      <c r="AC8" s="440">
        <v>0.0</v>
      </c>
      <c r="AD8" s="440">
        <v>0.0</v>
      </c>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row>
    <row r="9" ht="15.75" hidden="1" customHeight="1" outlineLevel="1">
      <c r="A9" s="455" t="s">
        <v>760</v>
      </c>
      <c r="B9" s="458"/>
      <c r="C9" s="458">
        <f t="shared" ref="C9:H9" si="3">C8/B8-1</f>
        <v>0.4</v>
      </c>
      <c r="D9" s="458">
        <f t="shared" si="3"/>
        <v>0.2857142857</v>
      </c>
      <c r="E9" s="458">
        <f t="shared" si="3"/>
        <v>0.4444444444</v>
      </c>
      <c r="F9" s="458">
        <f t="shared" si="3"/>
        <v>0.3076923077</v>
      </c>
      <c r="G9" s="458">
        <f t="shared" si="3"/>
        <v>0.3529411765</v>
      </c>
      <c r="H9" s="458">
        <f t="shared" si="3"/>
        <v>0.2608695652</v>
      </c>
      <c r="I9" s="447"/>
      <c r="J9" s="448"/>
      <c r="K9" s="444"/>
      <c r="L9" s="449" t="str">
        <f>VLOOKUP(A9,'Кузнец'!$B$145:$J$193,9,FALSE)</f>
        <v>#N/A</v>
      </c>
      <c r="M9" s="457"/>
      <c r="N9" s="451" t="str">
        <f t="shared" si="1"/>
        <v>#REF!</v>
      </c>
      <c r="O9" s="451"/>
      <c r="P9" s="451"/>
      <c r="Q9" s="453"/>
      <c r="R9" s="451"/>
      <c r="S9" s="436"/>
      <c r="T9" s="437"/>
      <c r="U9" s="437"/>
      <c r="V9" s="438"/>
      <c r="W9" s="438"/>
      <c r="X9" s="440">
        <v>0.0</v>
      </c>
      <c r="Y9" s="440">
        <v>0.0</v>
      </c>
      <c r="Z9" s="440">
        <v>0.0</v>
      </c>
      <c r="AA9" s="440">
        <v>0.0</v>
      </c>
      <c r="AB9" s="440">
        <v>0.0</v>
      </c>
      <c r="AC9" s="440">
        <v>0.0</v>
      </c>
      <c r="AD9" s="440">
        <v>0.0</v>
      </c>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row>
    <row r="10" ht="15.75" hidden="1" customHeight="1" outlineLevel="1">
      <c r="A10" s="455" t="s">
        <v>761</v>
      </c>
      <c r="B10" s="456">
        <v>1.0</v>
      </c>
      <c r="C10" s="456"/>
      <c r="D10" s="458"/>
      <c r="E10" s="458"/>
      <c r="F10" s="458"/>
      <c r="G10" s="458"/>
      <c r="H10" s="458"/>
      <c r="I10" s="447"/>
      <c r="J10" s="448"/>
      <c r="K10" s="444"/>
      <c r="L10" s="449" t="str">
        <f>VLOOKUP(A10,'Кузнец'!$B$145:$J$193,9,FALSE)</f>
        <v>#N/A</v>
      </c>
      <c r="M10" s="457"/>
      <c r="N10" s="451" t="str">
        <f t="shared" si="1"/>
        <v>#REF!</v>
      </c>
      <c r="O10" s="451"/>
      <c r="P10" s="451"/>
      <c r="Q10" s="453"/>
      <c r="R10" s="451"/>
      <c r="S10" s="436"/>
      <c r="T10" s="437"/>
      <c r="U10" s="437"/>
      <c r="V10" s="438"/>
      <c r="W10" s="438"/>
      <c r="X10" s="440">
        <v>0.0</v>
      </c>
      <c r="Y10" s="440">
        <v>0.0</v>
      </c>
      <c r="Z10" s="440">
        <v>0.0</v>
      </c>
      <c r="AA10" s="440">
        <v>0.0</v>
      </c>
      <c r="AB10" s="440">
        <v>0.0</v>
      </c>
      <c r="AC10" s="440">
        <v>0.0</v>
      </c>
      <c r="AD10" s="440">
        <v>0.0</v>
      </c>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row>
    <row r="11" ht="15.75" hidden="1" customHeight="1" outlineLevel="1">
      <c r="A11" s="455" t="s">
        <v>762</v>
      </c>
      <c r="B11" s="456">
        <f t="shared" ref="B11:H11" si="4">B8/$B10</f>
        <v>2.5</v>
      </c>
      <c r="C11" s="456">
        <f t="shared" si="4"/>
        <v>3.5</v>
      </c>
      <c r="D11" s="456">
        <f t="shared" si="4"/>
        <v>4.5</v>
      </c>
      <c r="E11" s="456">
        <f t="shared" si="4"/>
        <v>6.5</v>
      </c>
      <c r="F11" s="456">
        <f t="shared" si="4"/>
        <v>8.5</v>
      </c>
      <c r="G11" s="456">
        <f t="shared" si="4"/>
        <v>11.5</v>
      </c>
      <c r="H11" s="456">
        <f t="shared" si="4"/>
        <v>14.5</v>
      </c>
      <c r="I11" s="447"/>
      <c r="J11" s="448"/>
      <c r="K11" s="444"/>
      <c r="L11" s="449" t="str">
        <f>VLOOKUP(A11,'Кузнец'!$B$145:$J$193,9,FALSE)</f>
        <v>#N/A</v>
      </c>
      <c r="M11" s="457"/>
      <c r="N11" s="451" t="str">
        <f t="shared" si="1"/>
        <v>#REF!</v>
      </c>
      <c r="O11" s="451"/>
      <c r="P11" s="451"/>
      <c r="Q11" s="453"/>
      <c r="R11" s="451"/>
      <c r="S11" s="436"/>
      <c r="T11" s="437"/>
      <c r="U11" s="437"/>
      <c r="V11" s="438"/>
      <c r="W11" s="438"/>
      <c r="X11" s="440">
        <v>0.0</v>
      </c>
      <c r="Y11" s="440">
        <v>0.0</v>
      </c>
      <c r="Z11" s="440">
        <v>0.0</v>
      </c>
      <c r="AA11" s="440">
        <v>0.0</v>
      </c>
      <c r="AB11" s="440">
        <v>0.0</v>
      </c>
      <c r="AC11" s="440">
        <v>0.0</v>
      </c>
      <c r="AD11" s="440">
        <v>0.0</v>
      </c>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row>
    <row r="12" ht="15.0" customHeight="1" collapsed="1">
      <c r="A12" s="442" t="s">
        <v>763</v>
      </c>
      <c r="B12" s="443" t="s">
        <v>748</v>
      </c>
      <c r="C12" s="444" t="s">
        <v>749</v>
      </c>
      <c r="D12" s="444" t="s">
        <v>750</v>
      </c>
      <c r="E12" s="444" t="s">
        <v>121</v>
      </c>
      <c r="F12" s="444" t="s">
        <v>751</v>
      </c>
      <c r="G12" s="445" t="s">
        <v>752</v>
      </c>
      <c r="H12" s="446" t="s">
        <v>753</v>
      </c>
      <c r="I12" s="447" t="s">
        <v>754</v>
      </c>
      <c r="J12" s="459">
        <v>1.0</v>
      </c>
      <c r="K12" s="444">
        <v>1.0</v>
      </c>
      <c r="L12" s="449">
        <f>VLOOKUP(A12,'Кузнец'!$B$145:$J$193,9,FALSE)</f>
        <v>0.7</v>
      </c>
      <c r="M12" s="450" t="s">
        <v>30</v>
      </c>
      <c r="N12" s="451">
        <f>VLOOKUP(A12,'Кузнец'!$B$145:$J$193,4,FALSE)</f>
        <v>3</v>
      </c>
      <c r="O12" s="451">
        <v>8.0</v>
      </c>
      <c r="P12" s="452" t="s">
        <v>755</v>
      </c>
      <c r="Q12" s="453"/>
      <c r="R12" s="452" t="s">
        <v>764</v>
      </c>
      <c r="S12" s="454">
        <v>0.0</v>
      </c>
      <c r="T12" s="460"/>
      <c r="U12" s="460">
        <v>0.05</v>
      </c>
      <c r="V12" s="438"/>
      <c r="W12" s="438"/>
      <c r="X12" s="440">
        <v>0.0</v>
      </c>
      <c r="Y12" s="440">
        <v>0.0</v>
      </c>
      <c r="Z12" s="440">
        <v>0.0</v>
      </c>
      <c r="AA12" s="440">
        <v>0.0</v>
      </c>
      <c r="AB12" s="440">
        <v>0.0</v>
      </c>
      <c r="AC12" s="440">
        <v>0.0</v>
      </c>
      <c r="AD12" s="440">
        <v>0.0</v>
      </c>
      <c r="AE12" s="441"/>
      <c r="AF12" s="441" t="s">
        <v>765</v>
      </c>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row>
    <row r="13" ht="15.0" hidden="1" customHeight="1" outlineLevel="1">
      <c r="A13" s="455" t="s">
        <v>756</v>
      </c>
      <c r="B13" s="456">
        <v>1.0</v>
      </c>
      <c r="C13" s="456">
        <v>1.0</v>
      </c>
      <c r="D13" s="456">
        <v>1.0</v>
      </c>
      <c r="E13" s="456">
        <v>1.0</v>
      </c>
      <c r="F13" s="456">
        <v>1.0</v>
      </c>
      <c r="G13" s="456">
        <v>1.0</v>
      </c>
      <c r="H13" s="456">
        <v>1.0</v>
      </c>
      <c r="I13" s="447"/>
      <c r="J13" s="448"/>
      <c r="K13" s="444"/>
      <c r="L13" s="449" t="str">
        <f>VLOOKUP(A13,'Кузнец'!$B$145:$J$193,9,FALSE)</f>
        <v>#N/A</v>
      </c>
      <c r="M13" s="457"/>
      <c r="N13" s="451" t="str">
        <f>VLOOKUP(A13,'Кузнец'!$B$145:$J$193,4,FALSE)</f>
        <v>#N/A</v>
      </c>
      <c r="O13" s="451"/>
      <c r="P13" s="451"/>
      <c r="Q13" s="453"/>
      <c r="R13" s="451"/>
      <c r="S13" s="454">
        <v>0.0</v>
      </c>
      <c r="T13" s="437"/>
      <c r="U13" s="437"/>
      <c r="V13" s="438"/>
      <c r="W13" s="438"/>
      <c r="X13" s="440">
        <v>0.0</v>
      </c>
      <c r="Y13" s="440">
        <v>0.0</v>
      </c>
      <c r="Z13" s="440">
        <v>0.0</v>
      </c>
      <c r="AA13" s="440">
        <v>0.0</v>
      </c>
      <c r="AB13" s="440">
        <v>0.0</v>
      </c>
      <c r="AC13" s="440">
        <v>0.0</v>
      </c>
      <c r="AD13" s="440">
        <v>0.0</v>
      </c>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row>
    <row r="14" ht="15.0" hidden="1" customHeight="1" outlineLevel="1">
      <c r="A14" s="455" t="s">
        <v>757</v>
      </c>
      <c r="B14" s="456">
        <v>4.0</v>
      </c>
      <c r="C14" s="456">
        <v>4.0</v>
      </c>
      <c r="D14" s="456">
        <v>6.0</v>
      </c>
      <c r="E14" s="456">
        <v>6.0</v>
      </c>
      <c r="F14" s="456">
        <v>8.0</v>
      </c>
      <c r="G14" s="456">
        <v>8.0</v>
      </c>
      <c r="H14" s="456">
        <v>10.0</v>
      </c>
      <c r="I14" s="447"/>
      <c r="J14" s="448"/>
      <c r="K14" s="444"/>
      <c r="L14" s="449" t="str">
        <f>VLOOKUP(A14,'Кузнец'!$B$145:$J$193,9,FALSE)</f>
        <v>#N/A</v>
      </c>
      <c r="M14" s="457"/>
      <c r="N14" s="451" t="str">
        <f>VLOOKUP(A14,'Кузнец'!$B$145:$J$193,4,FALSE)</f>
        <v>#N/A</v>
      </c>
      <c r="O14" s="451"/>
      <c r="P14" s="451"/>
      <c r="Q14" s="453"/>
      <c r="R14" s="451"/>
      <c r="S14" s="454">
        <v>0.0</v>
      </c>
      <c r="T14" s="437"/>
      <c r="U14" s="437"/>
      <c r="V14" s="438"/>
      <c r="W14" s="438"/>
      <c r="X14" s="440">
        <v>0.0</v>
      </c>
      <c r="Y14" s="440">
        <v>0.0</v>
      </c>
      <c r="Z14" s="440">
        <v>0.0</v>
      </c>
      <c r="AA14" s="440">
        <v>0.0</v>
      </c>
      <c r="AB14" s="440">
        <v>0.0</v>
      </c>
      <c r="AC14" s="440">
        <v>0.0</v>
      </c>
      <c r="AD14" s="440">
        <v>0.0</v>
      </c>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row>
    <row r="15" ht="15.0" hidden="1" customHeight="1" outlineLevel="1">
      <c r="A15" s="455" t="s">
        <v>758</v>
      </c>
      <c r="B15" s="461">
        <v>0.0</v>
      </c>
      <c r="C15" s="456">
        <v>1.0</v>
      </c>
      <c r="D15" s="456">
        <v>1.0</v>
      </c>
      <c r="E15" s="456">
        <v>3.0</v>
      </c>
      <c r="F15" s="456">
        <v>4.0</v>
      </c>
      <c r="G15" s="456">
        <v>7.0</v>
      </c>
      <c r="H15" s="456">
        <v>9.0</v>
      </c>
      <c r="I15" s="447"/>
      <c r="J15" s="448"/>
      <c r="K15" s="444"/>
      <c r="L15" s="449" t="str">
        <f>VLOOKUP(A15,'Кузнец'!$B$145:$J$193,9,FALSE)</f>
        <v>#N/A</v>
      </c>
      <c r="M15" s="457"/>
      <c r="N15" s="451" t="str">
        <f>VLOOKUP(A15,'Кузнец'!$B$145:$J$193,4,FALSE)</f>
        <v>#N/A</v>
      </c>
      <c r="O15" s="451"/>
      <c r="P15" s="451"/>
      <c r="Q15" s="453"/>
      <c r="R15" s="451"/>
      <c r="S15" s="454">
        <v>0.0</v>
      </c>
      <c r="T15" s="437"/>
      <c r="U15" s="437"/>
      <c r="V15" s="438"/>
      <c r="W15" s="438"/>
      <c r="X15" s="440">
        <v>0.0</v>
      </c>
      <c r="Y15" s="440">
        <v>0.0</v>
      </c>
      <c r="Z15" s="440">
        <v>0.0</v>
      </c>
      <c r="AA15" s="440">
        <v>0.0</v>
      </c>
      <c r="AB15" s="440">
        <v>0.0</v>
      </c>
      <c r="AC15" s="440">
        <v>0.0</v>
      </c>
      <c r="AD15" s="440">
        <v>0.0</v>
      </c>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row>
    <row r="16" ht="15.0" hidden="1" customHeight="1" outlineLevel="1">
      <c r="A16" s="455" t="s">
        <v>759</v>
      </c>
      <c r="B16" s="456">
        <f t="shared" ref="B16:H16" si="5">(B13+B14)/2+B15</f>
        <v>2.5</v>
      </c>
      <c r="C16" s="456">
        <f t="shared" si="5"/>
        <v>3.5</v>
      </c>
      <c r="D16" s="456">
        <f t="shared" si="5"/>
        <v>4.5</v>
      </c>
      <c r="E16" s="456">
        <f t="shared" si="5"/>
        <v>6.5</v>
      </c>
      <c r="F16" s="456">
        <f t="shared" si="5"/>
        <v>8.5</v>
      </c>
      <c r="G16" s="456">
        <f t="shared" si="5"/>
        <v>11.5</v>
      </c>
      <c r="H16" s="456">
        <f t="shared" si="5"/>
        <v>14.5</v>
      </c>
      <c r="I16" s="447"/>
      <c r="J16" s="448"/>
      <c r="K16" s="444"/>
      <c r="L16" s="449" t="str">
        <f>VLOOKUP(A16,'Кузнец'!$B$145:$J$193,9,FALSE)</f>
        <v>#N/A</v>
      </c>
      <c r="M16" s="457"/>
      <c r="N16" s="451" t="str">
        <f>VLOOKUP(A16,'Кузнец'!$B$145:$J$193,4,FALSE)</f>
        <v>#N/A</v>
      </c>
      <c r="O16" s="451"/>
      <c r="P16" s="451"/>
      <c r="Q16" s="453"/>
      <c r="R16" s="451"/>
      <c r="S16" s="454">
        <v>0.0</v>
      </c>
      <c r="T16" s="437"/>
      <c r="U16" s="437"/>
      <c r="V16" s="438"/>
      <c r="W16" s="438"/>
      <c r="X16" s="440">
        <v>0.0</v>
      </c>
      <c r="Y16" s="440">
        <v>0.0</v>
      </c>
      <c r="Z16" s="440">
        <v>0.0</v>
      </c>
      <c r="AA16" s="440">
        <v>0.0</v>
      </c>
      <c r="AB16" s="440">
        <v>0.0</v>
      </c>
      <c r="AC16" s="440">
        <v>0.0</v>
      </c>
      <c r="AD16" s="440">
        <v>0.0</v>
      </c>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row>
    <row r="17" ht="15.0" hidden="1" customHeight="1" outlineLevel="1">
      <c r="A17" s="455" t="s">
        <v>760</v>
      </c>
      <c r="B17" s="458"/>
      <c r="C17" s="458">
        <f t="shared" ref="C17:H17" si="6">C16/B16-1</f>
        <v>0.4</v>
      </c>
      <c r="D17" s="458">
        <f t="shared" si="6"/>
        <v>0.2857142857</v>
      </c>
      <c r="E17" s="458">
        <f t="shared" si="6"/>
        <v>0.4444444444</v>
      </c>
      <c r="F17" s="458">
        <f t="shared" si="6"/>
        <v>0.3076923077</v>
      </c>
      <c r="G17" s="458">
        <f t="shared" si="6"/>
        <v>0.3529411765</v>
      </c>
      <c r="H17" s="458">
        <f t="shared" si="6"/>
        <v>0.2608695652</v>
      </c>
      <c r="I17" s="447"/>
      <c r="J17" s="448"/>
      <c r="K17" s="444"/>
      <c r="L17" s="449" t="str">
        <f>VLOOKUP(A17,'Кузнец'!$B$145:$J$193,9,FALSE)</f>
        <v>#N/A</v>
      </c>
      <c r="M17" s="457"/>
      <c r="N17" s="451" t="str">
        <f>VLOOKUP(A17,'Кузнец'!$B$145:$J$193,4,FALSE)</f>
        <v>#N/A</v>
      </c>
      <c r="O17" s="451"/>
      <c r="P17" s="451"/>
      <c r="Q17" s="453"/>
      <c r="R17" s="451"/>
      <c r="S17" s="454">
        <v>0.0</v>
      </c>
      <c r="T17" s="437"/>
      <c r="U17" s="437"/>
      <c r="V17" s="438"/>
      <c r="W17" s="438"/>
      <c r="X17" s="440">
        <v>0.0</v>
      </c>
      <c r="Y17" s="440">
        <v>0.0</v>
      </c>
      <c r="Z17" s="440">
        <v>0.0</v>
      </c>
      <c r="AA17" s="440">
        <v>0.0</v>
      </c>
      <c r="AB17" s="440">
        <v>0.0</v>
      </c>
      <c r="AC17" s="440">
        <v>0.0</v>
      </c>
      <c r="AD17" s="440">
        <v>0.0</v>
      </c>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row>
    <row r="18" ht="15.0" hidden="1" customHeight="1" outlineLevel="1">
      <c r="A18" s="455" t="s">
        <v>761</v>
      </c>
      <c r="B18" s="461">
        <v>1.0</v>
      </c>
      <c r="C18" s="456"/>
      <c r="D18" s="458"/>
      <c r="E18" s="458"/>
      <c r="F18" s="458"/>
      <c r="G18" s="458"/>
      <c r="H18" s="458"/>
      <c r="I18" s="447"/>
      <c r="J18" s="448"/>
      <c r="K18" s="444"/>
      <c r="L18" s="449" t="str">
        <f>VLOOKUP(A18,'Кузнец'!$B$145:$J$193,9,FALSE)</f>
        <v>#N/A</v>
      </c>
      <c r="M18" s="457"/>
      <c r="N18" s="451" t="str">
        <f>VLOOKUP(A18,'Кузнец'!$B$145:$J$193,4,FALSE)</f>
        <v>#N/A</v>
      </c>
      <c r="O18" s="451"/>
      <c r="P18" s="451"/>
      <c r="Q18" s="453"/>
      <c r="R18" s="451"/>
      <c r="S18" s="454">
        <v>0.0</v>
      </c>
      <c r="T18" s="437"/>
      <c r="U18" s="437"/>
      <c r="V18" s="438"/>
      <c r="W18" s="438"/>
      <c r="X18" s="440">
        <v>0.0</v>
      </c>
      <c r="Y18" s="440">
        <v>0.0</v>
      </c>
      <c r="Z18" s="440">
        <v>0.0</v>
      </c>
      <c r="AA18" s="440">
        <v>0.0</v>
      </c>
      <c r="AB18" s="440">
        <v>0.0</v>
      </c>
      <c r="AC18" s="440">
        <v>0.0</v>
      </c>
      <c r="AD18" s="440">
        <v>0.0</v>
      </c>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row>
    <row r="19" ht="15.0" hidden="1" customHeight="1" outlineLevel="1">
      <c r="A19" s="455" t="s">
        <v>762</v>
      </c>
      <c r="B19" s="456">
        <f t="shared" ref="B19:H19" si="7">B16/$B18</f>
        <v>2.5</v>
      </c>
      <c r="C19" s="456">
        <f t="shared" si="7"/>
        <v>3.5</v>
      </c>
      <c r="D19" s="456">
        <f t="shared" si="7"/>
        <v>4.5</v>
      </c>
      <c r="E19" s="456">
        <f t="shared" si="7"/>
        <v>6.5</v>
      </c>
      <c r="F19" s="456">
        <f t="shared" si="7"/>
        <v>8.5</v>
      </c>
      <c r="G19" s="456">
        <f t="shared" si="7"/>
        <v>11.5</v>
      </c>
      <c r="H19" s="456">
        <f t="shared" si="7"/>
        <v>14.5</v>
      </c>
      <c r="I19" s="447"/>
      <c r="J19" s="448"/>
      <c r="K19" s="444"/>
      <c r="L19" s="449" t="str">
        <f>VLOOKUP(A19,'Кузнец'!$B$145:$J$193,9,FALSE)</f>
        <v>#N/A</v>
      </c>
      <c r="M19" s="457"/>
      <c r="N19" s="451" t="str">
        <f>VLOOKUP(A19,'Кузнец'!$B$145:$J$193,4,FALSE)</f>
        <v>#N/A</v>
      </c>
      <c r="O19" s="451"/>
      <c r="P19" s="451"/>
      <c r="Q19" s="453"/>
      <c r="R19" s="451"/>
      <c r="S19" s="454">
        <v>0.0</v>
      </c>
      <c r="T19" s="437"/>
      <c r="U19" s="437"/>
      <c r="V19" s="438"/>
      <c r="W19" s="438"/>
      <c r="X19" s="440">
        <v>0.0</v>
      </c>
      <c r="Y19" s="440">
        <v>0.0</v>
      </c>
      <c r="Z19" s="440">
        <v>0.0</v>
      </c>
      <c r="AA19" s="440">
        <v>0.0</v>
      </c>
      <c r="AB19" s="440">
        <v>0.0</v>
      </c>
      <c r="AC19" s="440">
        <v>0.0</v>
      </c>
      <c r="AD19" s="440">
        <v>0.0</v>
      </c>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row>
    <row r="20" collapsed="1">
      <c r="A20" s="462" t="s">
        <v>766</v>
      </c>
      <c r="B20" s="443" t="s">
        <v>748</v>
      </c>
      <c r="C20" s="444" t="s">
        <v>749</v>
      </c>
      <c r="D20" s="444" t="s">
        <v>750</v>
      </c>
      <c r="E20" s="444" t="s">
        <v>121</v>
      </c>
      <c r="F20" s="444" t="s">
        <v>751</v>
      </c>
      <c r="G20" s="445" t="s">
        <v>752</v>
      </c>
      <c r="H20" s="446" t="s">
        <v>753</v>
      </c>
      <c r="I20" s="447" t="s">
        <v>754</v>
      </c>
      <c r="J20" s="448">
        <v>1.0</v>
      </c>
      <c r="K20" s="444">
        <v>1.0</v>
      </c>
      <c r="L20" s="449">
        <f>VLOOKUP(A20,'Кузнец'!$B$145:$J$193,9,FALSE)</f>
        <v>0.72</v>
      </c>
      <c r="M20" s="450" t="s">
        <v>30</v>
      </c>
      <c r="N20" s="451">
        <f>VLOOKUP(A20,'Кузнец'!$B$145:$J$193,4,FALSE)</f>
        <v>2</v>
      </c>
      <c r="O20" s="451">
        <v>5.0</v>
      </c>
      <c r="P20" s="452" t="s">
        <v>755</v>
      </c>
      <c r="Q20" s="453"/>
      <c r="R20" s="452" t="s">
        <v>767</v>
      </c>
      <c r="S20" s="454">
        <v>0.0</v>
      </c>
      <c r="T20" s="437"/>
      <c r="U20" s="437"/>
      <c r="V20" s="463">
        <v>1.0</v>
      </c>
      <c r="W20" s="438"/>
      <c r="X20" s="440">
        <v>0.0</v>
      </c>
      <c r="Y20" s="440">
        <v>0.0</v>
      </c>
      <c r="Z20" s="440">
        <v>0.0</v>
      </c>
      <c r="AA20" s="440">
        <v>0.0</v>
      </c>
      <c r="AB20" s="440">
        <v>0.0</v>
      </c>
      <c r="AC20" s="440">
        <v>0.0</v>
      </c>
      <c r="AD20" s="440">
        <v>0.0</v>
      </c>
      <c r="AE20" s="441"/>
      <c r="AF20" s="464" t="s">
        <v>768</v>
      </c>
      <c r="AG20" s="464">
        <v>1.0</v>
      </c>
      <c r="AH20" s="464">
        <v>2.0</v>
      </c>
      <c r="AI20" s="464">
        <v>3.0</v>
      </c>
      <c r="AJ20" s="464">
        <v>4.0</v>
      </c>
      <c r="AK20" s="464">
        <v>5.0</v>
      </c>
      <c r="AL20" s="464">
        <v>6.0</v>
      </c>
      <c r="AM20" s="441"/>
      <c r="AN20" s="441"/>
      <c r="AO20" s="441"/>
      <c r="AP20" s="441"/>
      <c r="AQ20" s="441"/>
      <c r="AR20" s="441"/>
      <c r="AS20" s="441"/>
      <c r="AT20" s="441"/>
      <c r="AU20" s="441"/>
      <c r="AV20" s="441"/>
      <c r="AW20" s="441"/>
      <c r="AX20" s="441"/>
      <c r="AY20" s="441"/>
      <c r="AZ20" s="441"/>
      <c r="BA20" s="441"/>
      <c r="BB20" s="441"/>
      <c r="BC20" s="441"/>
      <c r="BD20" s="441"/>
      <c r="BE20" s="441"/>
      <c r="BF20" s="441"/>
    </row>
    <row r="21" hidden="1" outlineLevel="1">
      <c r="A21" s="455" t="s">
        <v>756</v>
      </c>
      <c r="B21" s="443" t="s">
        <v>748</v>
      </c>
      <c r="C21" s="456">
        <v>1.0</v>
      </c>
      <c r="D21" s="456">
        <v>1.0</v>
      </c>
      <c r="E21" s="456">
        <v>1.0</v>
      </c>
      <c r="F21" s="456">
        <v>1.0</v>
      </c>
      <c r="G21" s="456">
        <v>1.0</v>
      </c>
      <c r="H21" s="456">
        <v>1.0</v>
      </c>
      <c r="I21" s="447"/>
      <c r="J21" s="448"/>
      <c r="K21" s="444"/>
      <c r="L21" s="449" t="str">
        <f>VLOOKUP(A21,'Кузнец'!$B$145:$J$193,9,FALSE)</f>
        <v>#N/A</v>
      </c>
      <c r="M21" s="457"/>
      <c r="N21" s="451" t="str">
        <f>VLOOKUP(A21,'Кузнец'!$B$145:$J$193,4,FALSE)</f>
        <v>#N/A</v>
      </c>
      <c r="O21" s="451"/>
      <c r="P21" s="451"/>
      <c r="Q21" s="453"/>
      <c r="R21" s="451"/>
      <c r="S21" s="454">
        <v>0.0</v>
      </c>
      <c r="T21" s="437"/>
      <c r="U21" s="437"/>
      <c r="V21" s="438"/>
      <c r="W21" s="438"/>
      <c r="X21" s="440">
        <v>0.0</v>
      </c>
      <c r="Y21" s="440">
        <v>0.0</v>
      </c>
      <c r="Z21" s="440">
        <v>0.0</v>
      </c>
      <c r="AA21" s="440">
        <v>0.0</v>
      </c>
      <c r="AB21" s="440">
        <v>0.0</v>
      </c>
      <c r="AC21" s="440">
        <v>0.0</v>
      </c>
      <c r="AD21" s="440">
        <v>0.0</v>
      </c>
      <c r="AE21" s="441"/>
      <c r="AF21" s="464"/>
      <c r="AG21" s="464"/>
      <c r="AH21" s="464"/>
      <c r="AI21" s="464"/>
      <c r="AJ21" s="464"/>
      <c r="AK21" s="464"/>
      <c r="AL21" s="464"/>
      <c r="AM21" s="441"/>
      <c r="AN21" s="441"/>
      <c r="AO21" s="441"/>
      <c r="AP21" s="441"/>
      <c r="AQ21" s="441"/>
      <c r="AR21" s="441"/>
      <c r="AS21" s="441"/>
      <c r="AT21" s="441"/>
      <c r="AU21" s="441"/>
      <c r="AV21" s="441"/>
      <c r="AW21" s="441"/>
      <c r="AX21" s="441"/>
      <c r="AY21" s="441"/>
      <c r="AZ21" s="441"/>
      <c r="BA21" s="441"/>
      <c r="BB21" s="441"/>
      <c r="BC21" s="441"/>
      <c r="BD21" s="441"/>
      <c r="BE21" s="441"/>
      <c r="BF21" s="441"/>
    </row>
    <row r="22" hidden="1" outlineLevel="1">
      <c r="A22" s="455" t="s">
        <v>757</v>
      </c>
      <c r="B22" s="443" t="s">
        <v>748</v>
      </c>
      <c r="C22" s="456">
        <v>4.0</v>
      </c>
      <c r="D22" s="456">
        <v>6.0</v>
      </c>
      <c r="E22" s="456">
        <v>6.0</v>
      </c>
      <c r="F22" s="456">
        <v>8.0</v>
      </c>
      <c r="G22" s="456">
        <v>8.0</v>
      </c>
      <c r="H22" s="456">
        <v>10.0</v>
      </c>
      <c r="I22" s="447"/>
      <c r="J22" s="448"/>
      <c r="K22" s="444"/>
      <c r="L22" s="449" t="str">
        <f>VLOOKUP(A22,'Кузнец'!$B$145:$J$193,9,FALSE)</f>
        <v>#N/A</v>
      </c>
      <c r="M22" s="457"/>
      <c r="N22" s="451" t="str">
        <f>VLOOKUP(A22,'Кузнец'!$B$145:$J$193,4,FALSE)</f>
        <v>#N/A</v>
      </c>
      <c r="O22" s="451"/>
      <c r="P22" s="451"/>
      <c r="Q22" s="453"/>
      <c r="R22" s="451"/>
      <c r="S22" s="454">
        <v>0.0</v>
      </c>
      <c r="T22" s="437"/>
      <c r="U22" s="437"/>
      <c r="V22" s="438"/>
      <c r="W22" s="438"/>
      <c r="X22" s="440">
        <v>0.0</v>
      </c>
      <c r="Y22" s="440">
        <v>0.0</v>
      </c>
      <c r="Z22" s="440">
        <v>0.0</v>
      </c>
      <c r="AA22" s="440">
        <v>0.0</v>
      </c>
      <c r="AB22" s="440">
        <v>0.0</v>
      </c>
      <c r="AC22" s="440">
        <v>0.0</v>
      </c>
      <c r="AD22" s="440">
        <v>0.0</v>
      </c>
      <c r="AE22" s="441"/>
      <c r="AF22" s="464"/>
      <c r="AG22" s="464"/>
      <c r="AH22" s="464"/>
      <c r="AI22" s="464"/>
      <c r="AJ22" s="464"/>
      <c r="AK22" s="464"/>
      <c r="AL22" s="464"/>
      <c r="AM22" s="441"/>
      <c r="AN22" s="441"/>
      <c r="AO22" s="441"/>
      <c r="AP22" s="441"/>
      <c r="AQ22" s="441"/>
      <c r="AR22" s="441"/>
      <c r="AS22" s="441"/>
      <c r="AT22" s="441"/>
      <c r="AU22" s="441"/>
      <c r="AV22" s="441"/>
      <c r="AW22" s="441"/>
      <c r="AX22" s="441"/>
      <c r="AY22" s="441"/>
      <c r="AZ22" s="441"/>
      <c r="BA22" s="441"/>
      <c r="BB22" s="441"/>
      <c r="BC22" s="441"/>
      <c r="BD22" s="441"/>
      <c r="BE22" s="441"/>
      <c r="BF22" s="441"/>
    </row>
    <row r="23" hidden="1" outlineLevel="1">
      <c r="A23" s="455" t="s">
        <v>758</v>
      </c>
      <c r="B23" s="443" t="s">
        <v>748</v>
      </c>
      <c r="C23" s="456">
        <v>1.0</v>
      </c>
      <c r="D23" s="456">
        <v>1.0</v>
      </c>
      <c r="E23" s="456">
        <v>3.0</v>
      </c>
      <c r="F23" s="456">
        <v>4.0</v>
      </c>
      <c r="G23" s="456">
        <v>7.0</v>
      </c>
      <c r="H23" s="456">
        <v>9.0</v>
      </c>
      <c r="I23" s="447"/>
      <c r="J23" s="448"/>
      <c r="K23" s="444"/>
      <c r="L23" s="449" t="str">
        <f>VLOOKUP(A23,'Кузнец'!$B$145:$J$193,9,FALSE)</f>
        <v>#N/A</v>
      </c>
      <c r="M23" s="457"/>
      <c r="N23" s="451" t="str">
        <f>VLOOKUP(A23,'Кузнец'!$B$145:$J$193,4,FALSE)</f>
        <v>#N/A</v>
      </c>
      <c r="O23" s="451"/>
      <c r="P23" s="451"/>
      <c r="Q23" s="453"/>
      <c r="R23" s="451"/>
      <c r="S23" s="454">
        <v>0.0</v>
      </c>
      <c r="T23" s="437"/>
      <c r="U23" s="437"/>
      <c r="V23" s="438"/>
      <c r="W23" s="438"/>
      <c r="X23" s="440">
        <v>0.0</v>
      </c>
      <c r="Y23" s="440">
        <v>0.0</v>
      </c>
      <c r="Z23" s="440">
        <v>0.0</v>
      </c>
      <c r="AA23" s="440">
        <v>0.0</v>
      </c>
      <c r="AB23" s="440">
        <v>0.0</v>
      </c>
      <c r="AC23" s="440">
        <v>0.0</v>
      </c>
      <c r="AD23" s="440">
        <v>0.0</v>
      </c>
      <c r="AE23" s="441"/>
      <c r="AF23" s="464"/>
      <c r="AG23" s="464"/>
      <c r="AH23" s="464"/>
      <c r="AI23" s="464"/>
      <c r="AJ23" s="464"/>
      <c r="AK23" s="464"/>
      <c r="AL23" s="464"/>
      <c r="AM23" s="441"/>
      <c r="AN23" s="441"/>
      <c r="AO23" s="441"/>
      <c r="AP23" s="441"/>
      <c r="AQ23" s="441"/>
      <c r="AR23" s="441"/>
      <c r="AS23" s="441"/>
      <c r="AT23" s="441"/>
      <c r="AU23" s="441"/>
      <c r="AV23" s="441"/>
      <c r="AW23" s="441"/>
      <c r="AX23" s="441"/>
      <c r="AY23" s="441"/>
      <c r="AZ23" s="441"/>
      <c r="BA23" s="441"/>
      <c r="BB23" s="441"/>
      <c r="BC23" s="441"/>
      <c r="BD23" s="441"/>
      <c r="BE23" s="441"/>
      <c r="BF23" s="441"/>
    </row>
    <row r="24" hidden="1" outlineLevel="1">
      <c r="A24" s="455" t="s">
        <v>759</v>
      </c>
      <c r="B24" s="443" t="s">
        <v>748</v>
      </c>
      <c r="C24" s="456">
        <f t="shared" ref="C24:H24" si="8">(C21+C22)/2+C23</f>
        <v>3.5</v>
      </c>
      <c r="D24" s="456">
        <f t="shared" si="8"/>
        <v>4.5</v>
      </c>
      <c r="E24" s="456">
        <f t="shared" si="8"/>
        <v>6.5</v>
      </c>
      <c r="F24" s="456">
        <f t="shared" si="8"/>
        <v>8.5</v>
      </c>
      <c r="G24" s="456">
        <f t="shared" si="8"/>
        <v>11.5</v>
      </c>
      <c r="H24" s="456">
        <f t="shared" si="8"/>
        <v>14.5</v>
      </c>
      <c r="I24" s="447"/>
      <c r="J24" s="448"/>
      <c r="K24" s="444"/>
      <c r="L24" s="449" t="str">
        <f>VLOOKUP(A24,'Кузнец'!$B$145:$J$193,9,FALSE)</f>
        <v>#N/A</v>
      </c>
      <c r="M24" s="457"/>
      <c r="N24" s="451" t="str">
        <f>VLOOKUP(A24,'Кузнец'!$B$145:$J$193,4,FALSE)</f>
        <v>#N/A</v>
      </c>
      <c r="O24" s="451"/>
      <c r="P24" s="451"/>
      <c r="Q24" s="453"/>
      <c r="R24" s="451"/>
      <c r="S24" s="454">
        <v>0.0</v>
      </c>
      <c r="T24" s="437"/>
      <c r="U24" s="437"/>
      <c r="V24" s="438"/>
      <c r="W24" s="438"/>
      <c r="X24" s="440">
        <v>0.0</v>
      </c>
      <c r="Y24" s="440">
        <v>0.0</v>
      </c>
      <c r="Z24" s="440">
        <v>0.0</v>
      </c>
      <c r="AA24" s="440">
        <v>0.0</v>
      </c>
      <c r="AB24" s="440">
        <v>0.0</v>
      </c>
      <c r="AC24" s="440">
        <v>0.0</v>
      </c>
      <c r="AD24" s="440">
        <v>0.0</v>
      </c>
      <c r="AE24" s="441"/>
      <c r="AF24" s="464"/>
      <c r="AG24" s="464"/>
      <c r="AH24" s="464"/>
      <c r="AI24" s="464"/>
      <c r="AJ24" s="464"/>
      <c r="AK24" s="464"/>
      <c r="AL24" s="464"/>
      <c r="AM24" s="441"/>
      <c r="AN24" s="441"/>
      <c r="AO24" s="441"/>
      <c r="AP24" s="441"/>
      <c r="AQ24" s="441"/>
      <c r="AR24" s="441"/>
      <c r="AS24" s="441"/>
      <c r="AT24" s="441"/>
      <c r="AU24" s="441"/>
      <c r="AV24" s="441"/>
      <c r="AW24" s="441"/>
      <c r="AX24" s="441"/>
      <c r="AY24" s="441"/>
      <c r="AZ24" s="441"/>
      <c r="BA24" s="441"/>
      <c r="BB24" s="441"/>
      <c r="BC24" s="441"/>
      <c r="BD24" s="441"/>
      <c r="BE24" s="441"/>
      <c r="BF24" s="441"/>
    </row>
    <row r="25" hidden="1" outlineLevel="1">
      <c r="A25" s="455" t="s">
        <v>760</v>
      </c>
      <c r="B25" s="443" t="s">
        <v>748</v>
      </c>
      <c r="C25" s="458" t="str">
        <f t="shared" ref="C25:H25" si="9">C24/B24-1</f>
        <v>#VALUE!</v>
      </c>
      <c r="D25" s="458">
        <f t="shared" si="9"/>
        <v>0.2857142857</v>
      </c>
      <c r="E25" s="458">
        <f t="shared" si="9"/>
        <v>0.4444444444</v>
      </c>
      <c r="F25" s="458">
        <f t="shared" si="9"/>
        <v>0.3076923077</v>
      </c>
      <c r="G25" s="458">
        <f t="shared" si="9"/>
        <v>0.3529411765</v>
      </c>
      <c r="H25" s="458">
        <f t="shared" si="9"/>
        <v>0.2608695652</v>
      </c>
      <c r="I25" s="447"/>
      <c r="J25" s="448"/>
      <c r="K25" s="444"/>
      <c r="L25" s="449" t="str">
        <f>VLOOKUP(A25,'Кузнец'!$B$145:$J$193,9,FALSE)</f>
        <v>#N/A</v>
      </c>
      <c r="M25" s="457"/>
      <c r="N25" s="451" t="str">
        <f>VLOOKUP(A25,'Кузнец'!$B$145:$J$193,4,FALSE)</f>
        <v>#N/A</v>
      </c>
      <c r="O25" s="451"/>
      <c r="P25" s="451"/>
      <c r="Q25" s="453"/>
      <c r="R25" s="451"/>
      <c r="S25" s="454">
        <v>0.0</v>
      </c>
      <c r="T25" s="437"/>
      <c r="U25" s="437"/>
      <c r="V25" s="438"/>
      <c r="W25" s="438"/>
      <c r="X25" s="440">
        <v>0.0</v>
      </c>
      <c r="Y25" s="440">
        <v>0.0</v>
      </c>
      <c r="Z25" s="440">
        <v>0.0</v>
      </c>
      <c r="AA25" s="440">
        <v>0.0</v>
      </c>
      <c r="AB25" s="440">
        <v>0.0</v>
      </c>
      <c r="AC25" s="440">
        <v>0.0</v>
      </c>
      <c r="AD25" s="440">
        <v>0.0</v>
      </c>
      <c r="AE25" s="441"/>
      <c r="AF25" s="464"/>
      <c r="AG25" s="464"/>
      <c r="AH25" s="464"/>
      <c r="AI25" s="464"/>
      <c r="AJ25" s="464"/>
      <c r="AK25" s="464"/>
      <c r="AL25" s="464"/>
      <c r="AM25" s="441"/>
      <c r="AN25" s="441"/>
      <c r="AO25" s="441"/>
      <c r="AP25" s="441"/>
      <c r="AQ25" s="441"/>
      <c r="AR25" s="441"/>
      <c r="AS25" s="441"/>
      <c r="AT25" s="441"/>
      <c r="AU25" s="441"/>
      <c r="AV25" s="441"/>
      <c r="AW25" s="441"/>
      <c r="AX25" s="441"/>
      <c r="AY25" s="441"/>
      <c r="AZ25" s="441"/>
      <c r="BA25" s="441"/>
      <c r="BB25" s="441"/>
      <c r="BC25" s="441"/>
      <c r="BD25" s="441"/>
      <c r="BE25" s="441"/>
      <c r="BF25" s="441"/>
    </row>
    <row r="26" hidden="1" outlineLevel="1">
      <c r="A26" s="455" t="s">
        <v>761</v>
      </c>
      <c r="B26" s="443" t="s">
        <v>748</v>
      </c>
      <c r="C26" s="456"/>
      <c r="D26" s="458"/>
      <c r="E26" s="458"/>
      <c r="F26" s="458"/>
      <c r="G26" s="458"/>
      <c r="H26" s="458"/>
      <c r="I26" s="447"/>
      <c r="J26" s="448"/>
      <c r="K26" s="444"/>
      <c r="L26" s="449" t="str">
        <f>VLOOKUP(A26,'Кузнец'!$B$145:$J$193,9,FALSE)</f>
        <v>#N/A</v>
      </c>
      <c r="M26" s="457"/>
      <c r="N26" s="451" t="str">
        <f>VLOOKUP(A26,'Кузнец'!$B$145:$J$193,4,FALSE)</f>
        <v>#N/A</v>
      </c>
      <c r="O26" s="451"/>
      <c r="P26" s="451"/>
      <c r="Q26" s="453"/>
      <c r="R26" s="451"/>
      <c r="S26" s="454">
        <v>0.0</v>
      </c>
      <c r="T26" s="437"/>
      <c r="U26" s="437"/>
      <c r="V26" s="438"/>
      <c r="W26" s="438"/>
      <c r="X26" s="440">
        <v>0.0</v>
      </c>
      <c r="Y26" s="440">
        <v>0.0</v>
      </c>
      <c r="Z26" s="440">
        <v>0.0</v>
      </c>
      <c r="AA26" s="440">
        <v>0.0</v>
      </c>
      <c r="AB26" s="440">
        <v>0.0</v>
      </c>
      <c r="AC26" s="440">
        <v>0.0</v>
      </c>
      <c r="AD26" s="440">
        <v>0.0</v>
      </c>
      <c r="AE26" s="441"/>
      <c r="AF26" s="464"/>
      <c r="AG26" s="464"/>
      <c r="AH26" s="464"/>
      <c r="AI26" s="464"/>
      <c r="AJ26" s="464"/>
      <c r="AK26" s="464"/>
      <c r="AL26" s="464"/>
      <c r="AM26" s="441"/>
      <c r="AN26" s="441"/>
      <c r="AO26" s="441"/>
      <c r="AP26" s="441"/>
      <c r="AQ26" s="441"/>
      <c r="AR26" s="441"/>
      <c r="AS26" s="441"/>
      <c r="AT26" s="441"/>
      <c r="AU26" s="441"/>
      <c r="AV26" s="441"/>
      <c r="AW26" s="441"/>
      <c r="AX26" s="441"/>
      <c r="AY26" s="441"/>
      <c r="AZ26" s="441"/>
      <c r="BA26" s="441"/>
      <c r="BB26" s="441"/>
      <c r="BC26" s="441"/>
      <c r="BD26" s="441"/>
      <c r="BE26" s="441"/>
      <c r="BF26" s="441"/>
    </row>
    <row r="27" hidden="1" outlineLevel="1">
      <c r="A27" s="455" t="s">
        <v>762</v>
      </c>
      <c r="B27" s="443" t="s">
        <v>748</v>
      </c>
      <c r="C27" s="456" t="str">
        <f t="shared" ref="C27:H27" si="10">C24/$B26</f>
        <v>#VALUE!</v>
      </c>
      <c r="D27" s="456" t="str">
        <f t="shared" si="10"/>
        <v>#VALUE!</v>
      </c>
      <c r="E27" s="456" t="str">
        <f t="shared" si="10"/>
        <v>#VALUE!</v>
      </c>
      <c r="F27" s="456" t="str">
        <f t="shared" si="10"/>
        <v>#VALUE!</v>
      </c>
      <c r="G27" s="456" t="str">
        <f t="shared" si="10"/>
        <v>#VALUE!</v>
      </c>
      <c r="H27" s="456" t="str">
        <f t="shared" si="10"/>
        <v>#VALUE!</v>
      </c>
      <c r="I27" s="447"/>
      <c r="J27" s="448"/>
      <c r="K27" s="444"/>
      <c r="L27" s="449" t="str">
        <f>VLOOKUP(A27,'Кузнец'!$B$145:$J$193,9,FALSE)</f>
        <v>#N/A</v>
      </c>
      <c r="M27" s="457"/>
      <c r="N27" s="451" t="str">
        <f>VLOOKUP(A27,'Кузнец'!$B$145:$J$193,4,FALSE)</f>
        <v>#N/A</v>
      </c>
      <c r="O27" s="451"/>
      <c r="P27" s="451"/>
      <c r="Q27" s="453"/>
      <c r="R27" s="451"/>
      <c r="S27" s="454">
        <v>0.0</v>
      </c>
      <c r="T27" s="437"/>
      <c r="U27" s="437"/>
      <c r="V27" s="438"/>
      <c r="W27" s="438"/>
      <c r="X27" s="440">
        <v>0.0</v>
      </c>
      <c r="Y27" s="440">
        <v>0.0</v>
      </c>
      <c r="Z27" s="440">
        <v>0.0</v>
      </c>
      <c r="AA27" s="440">
        <v>0.0</v>
      </c>
      <c r="AB27" s="440">
        <v>0.0</v>
      </c>
      <c r="AC27" s="440">
        <v>0.0</v>
      </c>
      <c r="AD27" s="440">
        <v>0.0</v>
      </c>
      <c r="AE27" s="441"/>
      <c r="AF27" s="464"/>
      <c r="AG27" s="464"/>
      <c r="AH27" s="464"/>
      <c r="AI27" s="464"/>
      <c r="AJ27" s="464"/>
      <c r="AK27" s="464"/>
      <c r="AL27" s="464"/>
      <c r="AM27" s="441"/>
      <c r="AN27" s="441"/>
      <c r="AO27" s="441"/>
      <c r="AP27" s="441"/>
      <c r="AQ27" s="441"/>
      <c r="AR27" s="441"/>
      <c r="AS27" s="441"/>
      <c r="AT27" s="441"/>
      <c r="AU27" s="441"/>
      <c r="AV27" s="441"/>
      <c r="AW27" s="441"/>
      <c r="AX27" s="441"/>
      <c r="AY27" s="441"/>
      <c r="AZ27" s="441"/>
      <c r="BA27" s="441"/>
      <c r="BB27" s="441"/>
      <c r="BC27" s="441"/>
      <c r="BD27" s="441"/>
      <c r="BE27" s="441"/>
      <c r="BF27" s="441"/>
    </row>
    <row r="28" collapsed="1">
      <c r="A28" s="442" t="s">
        <v>769</v>
      </c>
      <c r="B28" s="443" t="s">
        <v>748</v>
      </c>
      <c r="C28" s="444" t="s">
        <v>749</v>
      </c>
      <c r="D28" s="444" t="s">
        <v>750</v>
      </c>
      <c r="E28" s="444" t="s">
        <v>121</v>
      </c>
      <c r="F28" s="444" t="s">
        <v>751</v>
      </c>
      <c r="G28" s="445" t="s">
        <v>752</v>
      </c>
      <c r="H28" s="446" t="s">
        <v>753</v>
      </c>
      <c r="I28" s="447" t="s">
        <v>770</v>
      </c>
      <c r="J28" s="448">
        <v>1.0</v>
      </c>
      <c r="K28" s="444">
        <v>1.0</v>
      </c>
      <c r="L28" s="449">
        <f>VLOOKUP(A28,'Кузнец'!$B$145:$J$193,9,FALSE)</f>
        <v>0.74</v>
      </c>
      <c r="M28" s="450" t="s">
        <v>30</v>
      </c>
      <c r="N28" s="451">
        <f>VLOOKUP(A28,'Кузнец'!$B$145:$J$193,4,FALSE)</f>
        <v>2</v>
      </c>
      <c r="O28" s="451">
        <v>6.0</v>
      </c>
      <c r="P28" s="452" t="s">
        <v>755</v>
      </c>
      <c r="Q28" s="453"/>
      <c r="R28" s="452" t="s">
        <v>764</v>
      </c>
      <c r="S28" s="454">
        <v>0.0</v>
      </c>
      <c r="T28" s="460"/>
      <c r="U28" s="460">
        <v>0.05</v>
      </c>
      <c r="V28" s="465"/>
      <c r="W28" s="465"/>
      <c r="X28" s="440">
        <v>0.0</v>
      </c>
      <c r="Y28" s="440">
        <v>0.0</v>
      </c>
      <c r="Z28" s="440">
        <v>0.0</v>
      </c>
      <c r="AA28" s="440">
        <v>0.0</v>
      </c>
      <c r="AB28" s="440">
        <v>0.0</v>
      </c>
      <c r="AC28" s="440">
        <v>0.0</v>
      </c>
      <c r="AD28" s="440">
        <v>0.0</v>
      </c>
      <c r="AE28" s="441"/>
      <c r="AF28" s="464" t="s">
        <v>771</v>
      </c>
      <c r="AG28" s="466">
        <f>(2+10+8+8+8+8)/6</f>
        <v>7.333333333</v>
      </c>
      <c r="AH28" s="466">
        <f t="shared" ref="AH28:AL28" si="11">$AG$28</f>
        <v>7.333333333</v>
      </c>
      <c r="AI28" s="466">
        <f t="shared" si="11"/>
        <v>7.333333333</v>
      </c>
      <c r="AJ28" s="466">
        <f t="shared" si="11"/>
        <v>7.333333333</v>
      </c>
      <c r="AK28" s="466">
        <f t="shared" si="11"/>
        <v>7.333333333</v>
      </c>
      <c r="AL28" s="466">
        <f t="shared" si="11"/>
        <v>7.333333333</v>
      </c>
      <c r="AM28" s="441"/>
      <c r="AN28" s="441"/>
      <c r="AO28" s="441"/>
      <c r="AP28" s="441"/>
      <c r="AQ28" s="441"/>
      <c r="AR28" s="441"/>
      <c r="AS28" s="441"/>
      <c r="AT28" s="441"/>
      <c r="AU28" s="441"/>
      <c r="AV28" s="441"/>
      <c r="AW28" s="441"/>
      <c r="AX28" s="441"/>
      <c r="AY28" s="441"/>
      <c r="AZ28" s="441"/>
      <c r="BA28" s="441"/>
      <c r="BB28" s="441"/>
      <c r="BC28" s="441"/>
      <c r="BD28" s="441"/>
      <c r="BE28" s="441"/>
      <c r="BF28" s="441"/>
    </row>
    <row r="29" hidden="1" outlineLevel="1">
      <c r="A29" s="455" t="s">
        <v>756</v>
      </c>
      <c r="B29" s="456">
        <v>1.0</v>
      </c>
      <c r="C29" s="456">
        <v>1.0</v>
      </c>
      <c r="D29" s="456">
        <v>1.0</v>
      </c>
      <c r="E29" s="456">
        <v>1.0</v>
      </c>
      <c r="F29" s="456">
        <v>1.0</v>
      </c>
      <c r="G29" s="456">
        <v>1.0</v>
      </c>
      <c r="H29" s="456">
        <v>1.0</v>
      </c>
      <c r="I29" s="447"/>
      <c r="J29" s="448"/>
      <c r="K29" s="444"/>
      <c r="L29" s="449" t="str">
        <f>VLOOKUP(A29,'Кузнец'!$B$145:$J$193,9,FALSE)</f>
        <v>#N/A</v>
      </c>
      <c r="M29" s="457"/>
      <c r="N29" s="451" t="str">
        <f>VLOOKUP(A29,'Кузнец'!$B$145:$J$193,4,FALSE)</f>
        <v>#N/A</v>
      </c>
      <c r="O29" s="451"/>
      <c r="P29" s="451"/>
      <c r="Q29" s="453"/>
      <c r="R29" s="451"/>
      <c r="S29" s="454">
        <v>0.0</v>
      </c>
      <c r="T29" s="437"/>
      <c r="U29" s="437"/>
      <c r="V29" s="465"/>
      <c r="W29" s="465"/>
      <c r="X29" s="439"/>
      <c r="Y29" s="467"/>
      <c r="Z29" s="467"/>
      <c r="AA29" s="467"/>
      <c r="AB29" s="467"/>
      <c r="AC29" s="467"/>
      <c r="AD29" s="438"/>
      <c r="AE29" s="441"/>
      <c r="AF29" s="464"/>
      <c r="AG29" s="464"/>
      <c r="AH29" s="464"/>
      <c r="AI29" s="464"/>
      <c r="AJ29" s="464"/>
      <c r="AK29" s="464"/>
      <c r="AL29" s="464"/>
      <c r="AM29" s="441"/>
      <c r="AN29" s="441"/>
      <c r="AO29" s="441"/>
      <c r="AP29" s="441"/>
      <c r="AQ29" s="441"/>
      <c r="AR29" s="441"/>
      <c r="AS29" s="441"/>
      <c r="AT29" s="441"/>
      <c r="AU29" s="441"/>
      <c r="AV29" s="441"/>
      <c r="AW29" s="441"/>
      <c r="AX29" s="441"/>
      <c r="AY29" s="441"/>
      <c r="AZ29" s="441"/>
      <c r="BA29" s="441"/>
      <c r="BB29" s="441"/>
      <c r="BC29" s="441"/>
      <c r="BD29" s="441"/>
      <c r="BE29" s="441"/>
      <c r="BF29" s="441"/>
    </row>
    <row r="30" hidden="1" outlineLevel="1">
      <c r="A30" s="455" t="s">
        <v>757</v>
      </c>
      <c r="B30" s="456">
        <v>4.0</v>
      </c>
      <c r="C30" s="456">
        <v>4.0</v>
      </c>
      <c r="D30" s="456">
        <v>6.0</v>
      </c>
      <c r="E30" s="456">
        <v>6.0</v>
      </c>
      <c r="F30" s="456">
        <v>8.0</v>
      </c>
      <c r="G30" s="456">
        <v>8.0</v>
      </c>
      <c r="H30" s="456">
        <v>10.0</v>
      </c>
      <c r="I30" s="447"/>
      <c r="J30" s="448"/>
      <c r="K30" s="444"/>
      <c r="L30" s="449" t="str">
        <f>VLOOKUP(A30,'Кузнец'!$B$145:$J$193,9,FALSE)</f>
        <v>#N/A</v>
      </c>
      <c r="M30" s="457"/>
      <c r="N30" s="451" t="str">
        <f>VLOOKUP(A30,'Кузнец'!$B$145:$J$193,4,FALSE)</f>
        <v>#N/A</v>
      </c>
      <c r="O30" s="451"/>
      <c r="P30" s="451"/>
      <c r="Q30" s="453"/>
      <c r="R30" s="451"/>
      <c r="S30" s="454">
        <v>0.0</v>
      </c>
      <c r="T30" s="437"/>
      <c r="U30" s="437"/>
      <c r="V30" s="465"/>
      <c r="W30" s="465"/>
      <c r="X30" s="439"/>
      <c r="Y30" s="467"/>
      <c r="Z30" s="467"/>
      <c r="AA30" s="467"/>
      <c r="AB30" s="467"/>
      <c r="AC30" s="467"/>
      <c r="AD30" s="438"/>
      <c r="AE30" s="441"/>
      <c r="AF30" s="464"/>
      <c r="AG30" s="464"/>
      <c r="AH30" s="464"/>
      <c r="AI30" s="464"/>
      <c r="AJ30" s="464"/>
      <c r="AK30" s="464"/>
      <c r="AL30" s="464"/>
      <c r="AM30" s="441"/>
      <c r="AN30" s="441"/>
      <c r="AO30" s="441"/>
      <c r="AP30" s="441"/>
      <c r="AQ30" s="441"/>
      <c r="AR30" s="441"/>
      <c r="AS30" s="441"/>
      <c r="AT30" s="441"/>
      <c r="AU30" s="441"/>
      <c r="AV30" s="441"/>
      <c r="AW30" s="441"/>
      <c r="AX30" s="441"/>
      <c r="AY30" s="441"/>
      <c r="AZ30" s="441"/>
      <c r="BA30" s="441"/>
      <c r="BB30" s="441"/>
      <c r="BC30" s="441"/>
      <c r="BD30" s="441"/>
      <c r="BE30" s="441"/>
      <c r="BF30" s="441"/>
    </row>
    <row r="31" hidden="1" outlineLevel="1">
      <c r="A31" s="455" t="s">
        <v>758</v>
      </c>
      <c r="B31" s="456">
        <v>0.0</v>
      </c>
      <c r="C31" s="456">
        <v>1.0</v>
      </c>
      <c r="D31" s="456">
        <v>1.0</v>
      </c>
      <c r="E31" s="456">
        <v>2.0</v>
      </c>
      <c r="F31" s="456">
        <v>2.0</v>
      </c>
      <c r="G31" s="456">
        <v>3.0</v>
      </c>
      <c r="H31" s="456">
        <v>3.0</v>
      </c>
      <c r="I31" s="447"/>
      <c r="J31" s="448"/>
      <c r="K31" s="444"/>
      <c r="L31" s="449" t="str">
        <f>VLOOKUP(A31,'Кузнец'!$B$145:$J$193,9,FALSE)</f>
        <v>#N/A</v>
      </c>
      <c r="M31" s="457"/>
      <c r="N31" s="451" t="str">
        <f>VLOOKUP(A31,'Кузнец'!$B$145:$J$193,4,FALSE)</f>
        <v>#N/A</v>
      </c>
      <c r="O31" s="451"/>
      <c r="P31" s="451"/>
      <c r="Q31" s="453"/>
      <c r="R31" s="451"/>
      <c r="S31" s="454">
        <v>0.0</v>
      </c>
      <c r="T31" s="437"/>
      <c r="U31" s="437"/>
      <c r="V31" s="465"/>
      <c r="W31" s="465"/>
      <c r="X31" s="439"/>
      <c r="Y31" s="467"/>
      <c r="Z31" s="467"/>
      <c r="AA31" s="467"/>
      <c r="AB31" s="467"/>
      <c r="AC31" s="467"/>
      <c r="AD31" s="438"/>
      <c r="AE31" s="441"/>
      <c r="AF31" s="464"/>
      <c r="AG31" s="464"/>
      <c r="AH31" s="464"/>
      <c r="AI31" s="464"/>
      <c r="AJ31" s="464"/>
      <c r="AK31" s="464"/>
      <c r="AL31" s="464"/>
      <c r="AM31" s="441"/>
      <c r="AN31" s="441"/>
      <c r="AO31" s="441"/>
      <c r="AP31" s="441"/>
      <c r="AQ31" s="441"/>
      <c r="AR31" s="441"/>
      <c r="AS31" s="441"/>
      <c r="AT31" s="441"/>
      <c r="AU31" s="441"/>
      <c r="AV31" s="441"/>
      <c r="AW31" s="441"/>
      <c r="AX31" s="441"/>
      <c r="AY31" s="441"/>
      <c r="AZ31" s="441"/>
      <c r="BA31" s="441"/>
      <c r="BB31" s="441"/>
      <c r="BC31" s="441"/>
      <c r="BD31" s="441"/>
      <c r="BE31" s="441"/>
      <c r="BF31" s="441"/>
    </row>
    <row r="32" hidden="1" outlineLevel="1">
      <c r="A32" s="455" t="s">
        <v>759</v>
      </c>
      <c r="B32" s="456">
        <f t="shared" ref="B32:H32" si="12">(B29+B30)/2+B31</f>
        <v>2.5</v>
      </c>
      <c r="C32" s="456">
        <f t="shared" si="12"/>
        <v>3.5</v>
      </c>
      <c r="D32" s="456">
        <f t="shared" si="12"/>
        <v>4.5</v>
      </c>
      <c r="E32" s="456">
        <f t="shared" si="12"/>
        <v>5.5</v>
      </c>
      <c r="F32" s="456">
        <f t="shared" si="12"/>
        <v>6.5</v>
      </c>
      <c r="G32" s="456">
        <f t="shared" si="12"/>
        <v>7.5</v>
      </c>
      <c r="H32" s="456">
        <f t="shared" si="12"/>
        <v>8.5</v>
      </c>
      <c r="I32" s="447"/>
      <c r="J32" s="448"/>
      <c r="K32" s="444"/>
      <c r="L32" s="449" t="str">
        <f>VLOOKUP(A32,'Кузнец'!$B$145:$J$193,9,FALSE)</f>
        <v>#N/A</v>
      </c>
      <c r="M32" s="457"/>
      <c r="N32" s="451" t="str">
        <f>VLOOKUP(A32,'Кузнец'!$B$145:$J$193,4,FALSE)</f>
        <v>#N/A</v>
      </c>
      <c r="O32" s="451"/>
      <c r="P32" s="451"/>
      <c r="Q32" s="453"/>
      <c r="R32" s="451"/>
      <c r="S32" s="454">
        <v>0.0</v>
      </c>
      <c r="T32" s="437"/>
      <c r="U32" s="437"/>
      <c r="V32" s="465"/>
      <c r="W32" s="465"/>
      <c r="X32" s="439"/>
      <c r="Y32" s="467"/>
      <c r="Z32" s="467"/>
      <c r="AA32" s="467"/>
      <c r="AB32" s="467"/>
      <c r="AC32" s="467"/>
      <c r="AD32" s="438"/>
      <c r="AE32" s="441"/>
      <c r="AF32" s="464"/>
      <c r="AG32" s="464"/>
      <c r="AH32" s="464"/>
      <c r="AI32" s="464"/>
      <c r="AJ32" s="464"/>
      <c r="AK32" s="464"/>
      <c r="AL32" s="464"/>
      <c r="AM32" s="441"/>
      <c r="AN32" s="441"/>
      <c r="AO32" s="441"/>
      <c r="AP32" s="441"/>
      <c r="AQ32" s="441"/>
      <c r="AR32" s="441"/>
      <c r="AS32" s="441"/>
      <c r="AT32" s="441"/>
      <c r="AU32" s="441"/>
      <c r="AV32" s="441"/>
      <c r="AW32" s="441"/>
      <c r="AX32" s="441"/>
      <c r="AY32" s="441"/>
      <c r="AZ32" s="441"/>
      <c r="BA32" s="441"/>
      <c r="BB32" s="441"/>
      <c r="BC32" s="441"/>
      <c r="BD32" s="441"/>
      <c r="BE32" s="441"/>
      <c r="BF32" s="441"/>
    </row>
    <row r="33" hidden="1" outlineLevel="1">
      <c r="A33" s="455" t="s">
        <v>760</v>
      </c>
      <c r="B33" s="458"/>
      <c r="C33" s="458">
        <f t="shared" ref="C33:H33" si="13">C32/B32-1</f>
        <v>0.4</v>
      </c>
      <c r="D33" s="458">
        <f t="shared" si="13"/>
        <v>0.2857142857</v>
      </c>
      <c r="E33" s="458">
        <f t="shared" si="13"/>
        <v>0.2222222222</v>
      </c>
      <c r="F33" s="458">
        <f t="shared" si="13"/>
        <v>0.1818181818</v>
      </c>
      <c r="G33" s="458">
        <f t="shared" si="13"/>
        <v>0.1538461538</v>
      </c>
      <c r="H33" s="458">
        <f t="shared" si="13"/>
        <v>0.1333333333</v>
      </c>
      <c r="I33" s="447"/>
      <c r="J33" s="448"/>
      <c r="K33" s="444"/>
      <c r="L33" s="449" t="str">
        <f>VLOOKUP(A33,'Кузнец'!$B$145:$J$193,9,FALSE)</f>
        <v>#N/A</v>
      </c>
      <c r="M33" s="457"/>
      <c r="N33" s="451" t="str">
        <f>VLOOKUP(A33,'Кузнец'!$B$145:$J$193,4,FALSE)</f>
        <v>#N/A</v>
      </c>
      <c r="O33" s="451"/>
      <c r="P33" s="451"/>
      <c r="Q33" s="453"/>
      <c r="R33" s="451"/>
      <c r="S33" s="454">
        <v>0.0</v>
      </c>
      <c r="T33" s="437"/>
      <c r="U33" s="437"/>
      <c r="V33" s="465"/>
      <c r="W33" s="465"/>
      <c r="X33" s="439"/>
      <c r="Y33" s="467"/>
      <c r="Z33" s="467"/>
      <c r="AA33" s="467"/>
      <c r="AB33" s="467"/>
      <c r="AC33" s="467"/>
      <c r="AD33" s="438"/>
      <c r="AE33" s="441"/>
      <c r="AF33" s="464"/>
      <c r="AG33" s="464"/>
      <c r="AH33" s="464"/>
      <c r="AI33" s="464"/>
      <c r="AJ33" s="464"/>
      <c r="AK33" s="464"/>
      <c r="AL33" s="464"/>
      <c r="AM33" s="441"/>
      <c r="AN33" s="441"/>
      <c r="AO33" s="441"/>
      <c r="AP33" s="441"/>
      <c r="AQ33" s="441"/>
      <c r="AR33" s="441"/>
      <c r="AS33" s="441"/>
      <c r="AT33" s="441"/>
      <c r="AU33" s="441"/>
      <c r="AV33" s="441"/>
      <c r="AW33" s="441"/>
      <c r="AX33" s="441"/>
      <c r="AY33" s="441"/>
      <c r="AZ33" s="441"/>
      <c r="BA33" s="441"/>
      <c r="BB33" s="441"/>
      <c r="BC33" s="441"/>
      <c r="BD33" s="441"/>
      <c r="BE33" s="441"/>
      <c r="BF33" s="441"/>
    </row>
    <row r="34" hidden="1" outlineLevel="1">
      <c r="A34" s="455" t="s">
        <v>761</v>
      </c>
      <c r="B34" s="456">
        <v>1.0</v>
      </c>
      <c r="C34" s="456"/>
      <c r="D34" s="458"/>
      <c r="E34" s="458"/>
      <c r="F34" s="458"/>
      <c r="G34" s="458"/>
      <c r="H34" s="458"/>
      <c r="I34" s="447"/>
      <c r="J34" s="448"/>
      <c r="K34" s="444"/>
      <c r="L34" s="449" t="str">
        <f>VLOOKUP(A34,'Кузнец'!$B$145:$J$193,9,FALSE)</f>
        <v>#N/A</v>
      </c>
      <c r="M34" s="457"/>
      <c r="N34" s="451" t="str">
        <f>VLOOKUP(A34,'Кузнец'!$B$145:$J$193,4,FALSE)</f>
        <v>#N/A</v>
      </c>
      <c r="O34" s="451"/>
      <c r="P34" s="451"/>
      <c r="Q34" s="453"/>
      <c r="R34" s="451"/>
      <c r="S34" s="454">
        <v>0.0</v>
      </c>
      <c r="T34" s="437"/>
      <c r="U34" s="437"/>
      <c r="V34" s="465"/>
      <c r="W34" s="465"/>
      <c r="X34" s="439"/>
      <c r="Y34" s="467"/>
      <c r="Z34" s="467"/>
      <c r="AA34" s="467"/>
      <c r="AB34" s="467"/>
      <c r="AC34" s="467"/>
      <c r="AD34" s="438"/>
      <c r="AE34" s="441"/>
      <c r="AF34" s="464"/>
      <c r="AG34" s="464"/>
      <c r="AH34" s="464"/>
      <c r="AI34" s="464"/>
      <c r="AJ34" s="464"/>
      <c r="AK34" s="464"/>
      <c r="AL34" s="464"/>
      <c r="AM34" s="441"/>
      <c r="AN34" s="441"/>
      <c r="AO34" s="441"/>
      <c r="AP34" s="441"/>
      <c r="AQ34" s="441"/>
      <c r="AR34" s="441"/>
      <c r="AS34" s="441"/>
      <c r="AT34" s="441"/>
      <c r="AU34" s="441"/>
      <c r="AV34" s="441"/>
      <c r="AW34" s="441"/>
      <c r="AX34" s="441"/>
      <c r="AY34" s="441"/>
      <c r="AZ34" s="441"/>
      <c r="BA34" s="441"/>
      <c r="BB34" s="441"/>
      <c r="BC34" s="441"/>
      <c r="BD34" s="441"/>
      <c r="BE34" s="441"/>
      <c r="BF34" s="441"/>
    </row>
    <row r="35" hidden="1" outlineLevel="1">
      <c r="A35" s="455" t="s">
        <v>762</v>
      </c>
      <c r="B35" s="456">
        <f t="shared" ref="B35:H35" si="14">B32/$B34</f>
        <v>2.5</v>
      </c>
      <c r="C35" s="456">
        <f t="shared" si="14"/>
        <v>3.5</v>
      </c>
      <c r="D35" s="456">
        <f t="shared" si="14"/>
        <v>4.5</v>
      </c>
      <c r="E35" s="456">
        <f t="shared" si="14"/>
        <v>5.5</v>
      </c>
      <c r="F35" s="456">
        <f t="shared" si="14"/>
        <v>6.5</v>
      </c>
      <c r="G35" s="456">
        <f t="shared" si="14"/>
        <v>7.5</v>
      </c>
      <c r="H35" s="456">
        <f t="shared" si="14"/>
        <v>8.5</v>
      </c>
      <c r="I35" s="447"/>
      <c r="J35" s="448"/>
      <c r="K35" s="444"/>
      <c r="L35" s="449" t="str">
        <f>VLOOKUP(A35,'Кузнец'!$B$145:$J$193,9,FALSE)</f>
        <v>#N/A</v>
      </c>
      <c r="M35" s="457"/>
      <c r="N35" s="451" t="str">
        <f>VLOOKUP(A35,'Кузнец'!$B$145:$J$193,4,FALSE)</f>
        <v>#N/A</v>
      </c>
      <c r="O35" s="451"/>
      <c r="P35" s="451"/>
      <c r="Q35" s="453"/>
      <c r="R35" s="451"/>
      <c r="S35" s="454">
        <v>0.0</v>
      </c>
      <c r="T35" s="437"/>
      <c r="U35" s="437"/>
      <c r="V35" s="465"/>
      <c r="W35" s="465"/>
      <c r="X35" s="439"/>
      <c r="Y35" s="467"/>
      <c r="Z35" s="467"/>
      <c r="AA35" s="467"/>
      <c r="AB35" s="467"/>
      <c r="AC35" s="467"/>
      <c r="AD35" s="438"/>
      <c r="AE35" s="441"/>
      <c r="AF35" s="464"/>
      <c r="AG35" s="464"/>
      <c r="AH35" s="464"/>
      <c r="AI35" s="464"/>
      <c r="AJ35" s="464"/>
      <c r="AK35" s="464"/>
      <c r="AL35" s="464"/>
      <c r="AM35" s="441"/>
      <c r="AN35" s="441"/>
      <c r="AO35" s="441"/>
      <c r="AP35" s="441"/>
      <c r="AQ35" s="441"/>
      <c r="AR35" s="441"/>
      <c r="AS35" s="441"/>
      <c r="AT35" s="441"/>
      <c r="AU35" s="441"/>
      <c r="AV35" s="441"/>
      <c r="AW35" s="441"/>
      <c r="AX35" s="441"/>
      <c r="AY35" s="441"/>
      <c r="AZ35" s="441"/>
      <c r="BA35" s="441"/>
      <c r="BB35" s="441"/>
      <c r="BC35" s="441"/>
      <c r="BD35" s="441"/>
      <c r="BE35" s="441"/>
      <c r="BF35" s="441"/>
    </row>
    <row r="36" collapsed="1">
      <c r="A36" s="468" t="s">
        <v>772</v>
      </c>
      <c r="B36" s="450" t="s">
        <v>773</v>
      </c>
      <c r="C36" s="457" t="s">
        <v>115</v>
      </c>
      <c r="D36" s="457" t="s">
        <v>774</v>
      </c>
      <c r="E36" s="457" t="s">
        <v>775</v>
      </c>
      <c r="F36" s="457" t="s">
        <v>776</v>
      </c>
      <c r="G36" s="457" t="s">
        <v>777</v>
      </c>
      <c r="H36" s="457" t="s">
        <v>778</v>
      </c>
      <c r="I36" s="469" t="s">
        <v>779</v>
      </c>
      <c r="J36" s="451">
        <v>0.0</v>
      </c>
      <c r="K36" s="451">
        <v>2.0</v>
      </c>
      <c r="L36" s="449">
        <f>VLOOKUP(A36,'Кузнец'!$B$145:$J$193,9,FALSE)</f>
        <v>1.36</v>
      </c>
      <c r="M36" s="450" t="s">
        <v>30</v>
      </c>
      <c r="N36" s="451">
        <f>VLOOKUP(A36,'Кузнец'!$B$145:$J$193,4,FALSE)</f>
        <v>5</v>
      </c>
      <c r="O36" s="451">
        <v>12.0</v>
      </c>
      <c r="P36" s="452" t="s">
        <v>755</v>
      </c>
      <c r="Q36" s="451"/>
      <c r="R36" s="452" t="s">
        <v>780</v>
      </c>
      <c r="S36" s="454">
        <v>0.0</v>
      </c>
      <c r="T36" s="437"/>
      <c r="U36" s="437"/>
      <c r="V36" s="438"/>
      <c r="W36" s="438"/>
      <c r="X36" s="440">
        <v>22.0</v>
      </c>
      <c r="Y36" s="440">
        <v>24.0</v>
      </c>
      <c r="Z36" s="440">
        <v>26.0</v>
      </c>
      <c r="AA36" s="440">
        <v>28.0</v>
      </c>
      <c r="AB36" s="440">
        <v>30.0</v>
      </c>
      <c r="AC36" s="440">
        <v>32.0</v>
      </c>
      <c r="AD36" s="440">
        <v>34.0</v>
      </c>
      <c r="AE36" s="441"/>
      <c r="AF36" s="464" t="s">
        <v>781</v>
      </c>
      <c r="AG36" s="464">
        <v>4.0</v>
      </c>
      <c r="AH36" s="464">
        <v>5.0</v>
      </c>
      <c r="AI36" s="464">
        <v>6.0</v>
      </c>
      <c r="AJ36" s="464">
        <v>7.0</v>
      </c>
      <c r="AK36" s="464">
        <v>8.0</v>
      </c>
      <c r="AL36" s="464">
        <v>9.0</v>
      </c>
      <c r="AM36" s="441"/>
      <c r="AN36" s="441"/>
      <c r="AO36" s="441"/>
      <c r="AP36" s="441"/>
      <c r="AQ36" s="441"/>
      <c r="AR36" s="441"/>
      <c r="AS36" s="441"/>
      <c r="AT36" s="441"/>
      <c r="AU36" s="441"/>
      <c r="AV36" s="441"/>
      <c r="AW36" s="441"/>
      <c r="AX36" s="441"/>
      <c r="AY36" s="441"/>
      <c r="AZ36" s="441"/>
      <c r="BA36" s="441"/>
      <c r="BB36" s="441"/>
      <c r="BC36" s="441"/>
      <c r="BD36" s="441"/>
      <c r="BE36" s="441"/>
      <c r="BF36" s="441"/>
    </row>
    <row r="37" hidden="1" outlineLevel="1">
      <c r="A37" s="455" t="s">
        <v>756</v>
      </c>
      <c r="B37" s="456">
        <v>1.0</v>
      </c>
      <c r="C37" s="456">
        <v>1.0</v>
      </c>
      <c r="D37" s="456">
        <v>1.0</v>
      </c>
      <c r="E37" s="456">
        <v>1.0</v>
      </c>
      <c r="F37" s="456">
        <v>1.0</v>
      </c>
      <c r="G37" s="456">
        <v>1.0</v>
      </c>
      <c r="H37" s="456">
        <v>1.0</v>
      </c>
      <c r="I37" s="469"/>
      <c r="J37" s="451"/>
      <c r="K37" s="451"/>
      <c r="L37" s="449" t="str">
        <f>VLOOKUP(A37,'Кузнец'!$B$145:$J$193,9,FALSE)</f>
        <v>#N/A</v>
      </c>
      <c r="M37" s="457"/>
      <c r="N37" s="451" t="str">
        <f>VLOOKUP(A37,'Кузнец'!$B$145:$J$193,4,FALSE)</f>
        <v>#N/A</v>
      </c>
      <c r="O37" s="451"/>
      <c r="P37" s="452" t="s">
        <v>755</v>
      </c>
      <c r="Q37" s="451"/>
      <c r="R37" s="451"/>
      <c r="S37" s="454">
        <v>0.0</v>
      </c>
      <c r="T37" s="437"/>
      <c r="U37" s="437"/>
      <c r="V37" s="438"/>
      <c r="W37" s="438"/>
      <c r="X37" s="467"/>
      <c r="Y37" s="467"/>
      <c r="Z37" s="467"/>
      <c r="AA37" s="467"/>
      <c r="AB37" s="467"/>
      <c r="AC37" s="467"/>
      <c r="AD37" s="467"/>
      <c r="AE37" s="441"/>
      <c r="AF37" s="464"/>
      <c r="AG37" s="464"/>
      <c r="AH37" s="464"/>
      <c r="AI37" s="464"/>
      <c r="AJ37" s="464"/>
      <c r="AK37" s="464"/>
      <c r="AL37" s="464"/>
      <c r="AM37" s="441"/>
      <c r="AN37" s="441"/>
      <c r="AO37" s="441"/>
      <c r="AP37" s="441"/>
      <c r="AQ37" s="441"/>
      <c r="AR37" s="441"/>
      <c r="AS37" s="441"/>
      <c r="AT37" s="441"/>
      <c r="AU37" s="441"/>
      <c r="AV37" s="441"/>
      <c r="AW37" s="441"/>
      <c r="AX37" s="441"/>
      <c r="AY37" s="441"/>
      <c r="AZ37" s="441"/>
      <c r="BA37" s="441"/>
      <c r="BB37" s="441"/>
      <c r="BC37" s="441"/>
      <c r="BD37" s="441"/>
      <c r="BE37" s="441"/>
      <c r="BF37" s="441"/>
    </row>
    <row r="38" hidden="1" outlineLevel="1">
      <c r="A38" s="455" t="s">
        <v>757</v>
      </c>
      <c r="B38" s="456">
        <v>6.0</v>
      </c>
      <c r="C38" s="456">
        <v>6.0</v>
      </c>
      <c r="D38" s="456">
        <v>8.0</v>
      </c>
      <c r="E38" s="456">
        <v>8.0</v>
      </c>
      <c r="F38" s="456">
        <v>10.0</v>
      </c>
      <c r="G38" s="456">
        <v>10.0</v>
      </c>
      <c r="H38" s="456">
        <v>12.0</v>
      </c>
      <c r="I38" s="469"/>
      <c r="J38" s="451"/>
      <c r="K38" s="451"/>
      <c r="L38" s="449" t="str">
        <f>VLOOKUP(A38,'Кузнец'!$B$145:$J$193,9,FALSE)</f>
        <v>#N/A</v>
      </c>
      <c r="M38" s="457"/>
      <c r="N38" s="451" t="str">
        <f>VLOOKUP(A38,'Кузнец'!$B$145:$J$193,4,FALSE)</f>
        <v>#N/A</v>
      </c>
      <c r="O38" s="451"/>
      <c r="P38" s="452" t="s">
        <v>755</v>
      </c>
      <c r="Q38" s="451"/>
      <c r="R38" s="451"/>
      <c r="S38" s="454">
        <v>0.0</v>
      </c>
      <c r="T38" s="437"/>
      <c r="U38" s="437"/>
      <c r="V38" s="438"/>
      <c r="W38" s="438"/>
      <c r="X38" s="467"/>
      <c r="Y38" s="467"/>
      <c r="Z38" s="467"/>
      <c r="AA38" s="467"/>
      <c r="AB38" s="467"/>
      <c r="AC38" s="467"/>
      <c r="AD38" s="467"/>
      <c r="AE38" s="441"/>
      <c r="AF38" s="464"/>
      <c r="AG38" s="464"/>
      <c r="AH38" s="464"/>
      <c r="AI38" s="464"/>
      <c r="AJ38" s="464"/>
      <c r="AK38" s="464"/>
      <c r="AL38" s="464"/>
      <c r="AM38" s="441"/>
      <c r="AN38" s="441"/>
      <c r="AO38" s="441"/>
      <c r="AP38" s="441"/>
      <c r="AQ38" s="441"/>
      <c r="AR38" s="441"/>
      <c r="AS38" s="441"/>
      <c r="AT38" s="441"/>
      <c r="AU38" s="441"/>
      <c r="AV38" s="441"/>
      <c r="AW38" s="441"/>
      <c r="AX38" s="441"/>
      <c r="AY38" s="441"/>
      <c r="AZ38" s="441"/>
      <c r="BA38" s="441"/>
      <c r="BB38" s="441"/>
      <c r="BC38" s="441"/>
      <c r="BD38" s="441"/>
      <c r="BE38" s="441"/>
      <c r="BF38" s="441"/>
    </row>
    <row r="39" hidden="1" outlineLevel="1">
      <c r="A39" s="455" t="s">
        <v>758</v>
      </c>
      <c r="B39" s="456">
        <v>0.0</v>
      </c>
      <c r="C39" s="456">
        <v>2.0</v>
      </c>
      <c r="D39" s="456">
        <v>3.0</v>
      </c>
      <c r="E39" s="456">
        <v>6.0</v>
      </c>
      <c r="F39" s="456">
        <v>8.0</v>
      </c>
      <c r="G39" s="456">
        <v>12.0</v>
      </c>
      <c r="H39" s="456">
        <v>15.0</v>
      </c>
      <c r="I39" s="469"/>
      <c r="J39" s="451"/>
      <c r="K39" s="451"/>
      <c r="L39" s="449" t="str">
        <f>VLOOKUP(A39,'Кузнец'!$B$145:$J$193,9,FALSE)</f>
        <v>#N/A</v>
      </c>
      <c r="M39" s="457"/>
      <c r="N39" s="451" t="str">
        <f>VLOOKUP(A39,'Кузнец'!$B$145:$J$193,4,FALSE)</f>
        <v>#N/A</v>
      </c>
      <c r="O39" s="451"/>
      <c r="P39" s="452" t="s">
        <v>755</v>
      </c>
      <c r="Q39" s="451"/>
      <c r="R39" s="451"/>
      <c r="S39" s="454">
        <v>0.0</v>
      </c>
      <c r="T39" s="437"/>
      <c r="U39" s="437"/>
      <c r="V39" s="438"/>
      <c r="W39" s="438"/>
      <c r="X39" s="467"/>
      <c r="Y39" s="467"/>
      <c r="Z39" s="467"/>
      <c r="AA39" s="467"/>
      <c r="AB39" s="467"/>
      <c r="AC39" s="467"/>
      <c r="AD39" s="467"/>
      <c r="AE39" s="441"/>
      <c r="AF39" s="464"/>
      <c r="AG39" s="464"/>
      <c r="AH39" s="464"/>
      <c r="AI39" s="464"/>
      <c r="AJ39" s="464"/>
      <c r="AK39" s="464"/>
      <c r="AL39" s="464"/>
      <c r="AM39" s="441"/>
      <c r="AN39" s="441"/>
      <c r="AO39" s="441"/>
      <c r="AP39" s="441"/>
      <c r="AQ39" s="441"/>
      <c r="AR39" s="441"/>
      <c r="AS39" s="441"/>
      <c r="AT39" s="441"/>
      <c r="AU39" s="441"/>
      <c r="AV39" s="441"/>
      <c r="AW39" s="441"/>
      <c r="AX39" s="441"/>
      <c r="AY39" s="441"/>
      <c r="AZ39" s="441"/>
      <c r="BA39" s="441"/>
      <c r="BB39" s="441"/>
      <c r="BC39" s="441"/>
      <c r="BD39" s="441"/>
      <c r="BE39" s="441"/>
      <c r="BF39" s="441"/>
    </row>
    <row r="40" hidden="1" outlineLevel="1">
      <c r="A40" s="455" t="s">
        <v>759</v>
      </c>
      <c r="B40" s="456">
        <f t="shared" ref="B40:H40" si="15">(B37+B38)/2+B39</f>
        <v>3.5</v>
      </c>
      <c r="C40" s="456">
        <f t="shared" si="15"/>
        <v>5.5</v>
      </c>
      <c r="D40" s="456">
        <f t="shared" si="15"/>
        <v>7.5</v>
      </c>
      <c r="E40" s="456">
        <f t="shared" si="15"/>
        <v>10.5</v>
      </c>
      <c r="F40" s="456">
        <f t="shared" si="15"/>
        <v>13.5</v>
      </c>
      <c r="G40" s="456">
        <f t="shared" si="15"/>
        <v>17.5</v>
      </c>
      <c r="H40" s="456">
        <f t="shared" si="15"/>
        <v>21.5</v>
      </c>
      <c r="I40" s="469"/>
      <c r="J40" s="451"/>
      <c r="K40" s="451"/>
      <c r="L40" s="449" t="str">
        <f>VLOOKUP(A40,'Кузнец'!$B$145:$J$193,9,FALSE)</f>
        <v>#N/A</v>
      </c>
      <c r="M40" s="457"/>
      <c r="N40" s="451" t="str">
        <f>VLOOKUP(A40,'Кузнец'!$B$145:$J$193,4,FALSE)</f>
        <v>#N/A</v>
      </c>
      <c r="O40" s="451"/>
      <c r="P40" s="452" t="s">
        <v>755</v>
      </c>
      <c r="Q40" s="451"/>
      <c r="R40" s="451"/>
      <c r="S40" s="454">
        <v>0.0</v>
      </c>
      <c r="T40" s="437"/>
      <c r="U40" s="437"/>
      <c r="V40" s="438"/>
      <c r="W40" s="438"/>
      <c r="X40" s="467"/>
      <c r="Y40" s="467"/>
      <c r="Z40" s="467"/>
      <c r="AA40" s="467"/>
      <c r="AB40" s="467"/>
      <c r="AC40" s="467"/>
      <c r="AD40" s="467"/>
      <c r="AE40" s="441"/>
      <c r="AF40" s="464"/>
      <c r="AG40" s="464"/>
      <c r="AH40" s="464"/>
      <c r="AI40" s="464"/>
      <c r="AJ40" s="464"/>
      <c r="AK40" s="464"/>
      <c r="AL40" s="464"/>
      <c r="AM40" s="441"/>
      <c r="AN40" s="441"/>
      <c r="AO40" s="441"/>
      <c r="AP40" s="441"/>
      <c r="AQ40" s="441"/>
      <c r="AR40" s="441"/>
      <c r="AS40" s="441"/>
      <c r="AT40" s="441"/>
      <c r="AU40" s="441"/>
      <c r="AV40" s="441"/>
      <c r="AW40" s="441"/>
      <c r="AX40" s="441"/>
      <c r="AY40" s="441"/>
      <c r="AZ40" s="441"/>
      <c r="BA40" s="441"/>
      <c r="BB40" s="441"/>
      <c r="BC40" s="441"/>
      <c r="BD40" s="441"/>
      <c r="BE40" s="441"/>
      <c r="BF40" s="441"/>
    </row>
    <row r="41" hidden="1" outlineLevel="1">
      <c r="A41" s="455" t="s">
        <v>760</v>
      </c>
      <c r="B41" s="458"/>
      <c r="C41" s="458">
        <f t="shared" ref="C41:H41" si="16">C40/B40-1</f>
        <v>0.5714285714</v>
      </c>
      <c r="D41" s="458">
        <f t="shared" si="16"/>
        <v>0.3636363636</v>
      </c>
      <c r="E41" s="458">
        <f t="shared" si="16"/>
        <v>0.4</v>
      </c>
      <c r="F41" s="458">
        <f t="shared" si="16"/>
        <v>0.2857142857</v>
      </c>
      <c r="G41" s="458">
        <f t="shared" si="16"/>
        <v>0.2962962963</v>
      </c>
      <c r="H41" s="458">
        <f t="shared" si="16"/>
        <v>0.2285714286</v>
      </c>
      <c r="I41" s="469"/>
      <c r="J41" s="451"/>
      <c r="K41" s="451"/>
      <c r="L41" s="449" t="str">
        <f>VLOOKUP(A41,'Кузнец'!$B$145:$J$193,9,FALSE)</f>
        <v>#N/A</v>
      </c>
      <c r="M41" s="457"/>
      <c r="N41" s="451" t="str">
        <f>VLOOKUP(A41,'Кузнец'!$B$145:$J$193,4,FALSE)</f>
        <v>#N/A</v>
      </c>
      <c r="O41" s="451"/>
      <c r="P41" s="452" t="s">
        <v>755</v>
      </c>
      <c r="Q41" s="451"/>
      <c r="R41" s="451"/>
      <c r="S41" s="454">
        <v>0.0</v>
      </c>
      <c r="T41" s="437"/>
      <c r="U41" s="437"/>
      <c r="V41" s="438"/>
      <c r="W41" s="438"/>
      <c r="X41" s="467"/>
      <c r="Y41" s="467"/>
      <c r="Z41" s="467"/>
      <c r="AA41" s="467"/>
      <c r="AB41" s="467"/>
      <c r="AC41" s="467"/>
      <c r="AD41" s="467"/>
      <c r="AE41" s="441"/>
      <c r="AF41" s="464"/>
      <c r="AG41" s="464"/>
      <c r="AH41" s="464"/>
      <c r="AI41" s="464"/>
      <c r="AJ41" s="464"/>
      <c r="AK41" s="464"/>
      <c r="AL41" s="464"/>
      <c r="AM41" s="441"/>
      <c r="AN41" s="441"/>
      <c r="AO41" s="441"/>
      <c r="AP41" s="441"/>
      <c r="AQ41" s="441"/>
      <c r="AR41" s="441"/>
      <c r="AS41" s="441"/>
      <c r="AT41" s="441"/>
      <c r="AU41" s="441"/>
      <c r="AV41" s="441"/>
      <c r="AW41" s="441"/>
      <c r="AX41" s="441"/>
      <c r="AY41" s="441"/>
      <c r="AZ41" s="441"/>
      <c r="BA41" s="441"/>
      <c r="BB41" s="441"/>
      <c r="BC41" s="441"/>
      <c r="BD41" s="441"/>
      <c r="BE41" s="441"/>
      <c r="BF41" s="441"/>
    </row>
    <row r="42" hidden="1" outlineLevel="1">
      <c r="A42" s="455" t="s">
        <v>761</v>
      </c>
      <c r="B42" s="456">
        <v>2.0</v>
      </c>
      <c r="C42" s="456"/>
      <c r="D42" s="458"/>
      <c r="E42" s="458"/>
      <c r="F42" s="458"/>
      <c r="G42" s="458"/>
      <c r="H42" s="458"/>
      <c r="I42" s="469"/>
      <c r="J42" s="451"/>
      <c r="K42" s="451"/>
      <c r="L42" s="449" t="str">
        <f>VLOOKUP(A42,'Кузнец'!$B$145:$J$193,9,FALSE)</f>
        <v>#N/A</v>
      </c>
      <c r="M42" s="457"/>
      <c r="N42" s="451" t="str">
        <f>VLOOKUP(A42,'Кузнец'!$B$145:$J$193,4,FALSE)</f>
        <v>#N/A</v>
      </c>
      <c r="O42" s="451"/>
      <c r="P42" s="452" t="s">
        <v>755</v>
      </c>
      <c r="Q42" s="451"/>
      <c r="R42" s="451"/>
      <c r="S42" s="454">
        <v>0.0</v>
      </c>
      <c r="T42" s="437"/>
      <c r="U42" s="437"/>
      <c r="V42" s="438"/>
      <c r="W42" s="438"/>
      <c r="X42" s="467"/>
      <c r="Y42" s="467"/>
      <c r="Z42" s="467"/>
      <c r="AA42" s="467"/>
      <c r="AB42" s="467"/>
      <c r="AC42" s="467"/>
      <c r="AD42" s="467"/>
      <c r="AE42" s="441"/>
      <c r="AF42" s="464"/>
      <c r="AG42" s="464"/>
      <c r="AH42" s="464"/>
      <c r="AI42" s="464"/>
      <c r="AJ42" s="464"/>
      <c r="AK42" s="464"/>
      <c r="AL42" s="464"/>
      <c r="AM42" s="441"/>
      <c r="AN42" s="441"/>
      <c r="AO42" s="441"/>
      <c r="AP42" s="441"/>
      <c r="AQ42" s="441"/>
      <c r="AR42" s="441"/>
      <c r="AS42" s="441"/>
      <c r="AT42" s="441"/>
      <c r="AU42" s="441"/>
      <c r="AV42" s="441"/>
      <c r="AW42" s="441"/>
      <c r="AX42" s="441"/>
      <c r="AY42" s="441"/>
      <c r="AZ42" s="441"/>
      <c r="BA42" s="441"/>
      <c r="BB42" s="441"/>
      <c r="BC42" s="441"/>
      <c r="BD42" s="441"/>
      <c r="BE42" s="441"/>
      <c r="BF42" s="441"/>
    </row>
    <row r="43" hidden="1" outlineLevel="1">
      <c r="A43" s="455" t="s">
        <v>762</v>
      </c>
      <c r="B43" s="456">
        <f t="shared" ref="B43:H43" si="17">B40/$B42</f>
        <v>1.75</v>
      </c>
      <c r="C43" s="456">
        <f t="shared" si="17"/>
        <v>2.75</v>
      </c>
      <c r="D43" s="456">
        <f t="shared" si="17"/>
        <v>3.75</v>
      </c>
      <c r="E43" s="456">
        <f t="shared" si="17"/>
        <v>5.25</v>
      </c>
      <c r="F43" s="456">
        <f t="shared" si="17"/>
        <v>6.75</v>
      </c>
      <c r="G43" s="456">
        <f t="shared" si="17"/>
        <v>8.75</v>
      </c>
      <c r="H43" s="456">
        <f t="shared" si="17"/>
        <v>10.75</v>
      </c>
      <c r="I43" s="469"/>
      <c r="J43" s="451"/>
      <c r="K43" s="451"/>
      <c r="L43" s="449" t="str">
        <f>VLOOKUP(A43,'Кузнец'!$B$145:$J$193,9,FALSE)</f>
        <v>#N/A</v>
      </c>
      <c r="M43" s="457"/>
      <c r="N43" s="451" t="str">
        <f>VLOOKUP(A43,'Кузнец'!$B$145:$J$193,4,FALSE)</f>
        <v>#N/A</v>
      </c>
      <c r="O43" s="451"/>
      <c r="P43" s="452" t="s">
        <v>755</v>
      </c>
      <c r="Q43" s="451"/>
      <c r="R43" s="451"/>
      <c r="S43" s="454">
        <v>0.0</v>
      </c>
      <c r="T43" s="437"/>
      <c r="U43" s="437"/>
      <c r="V43" s="438"/>
      <c r="W43" s="438"/>
      <c r="X43" s="467"/>
      <c r="Y43" s="467"/>
      <c r="Z43" s="467"/>
      <c r="AA43" s="467"/>
      <c r="AB43" s="467"/>
      <c r="AC43" s="467"/>
      <c r="AD43" s="467"/>
      <c r="AE43" s="441"/>
      <c r="AF43" s="464"/>
      <c r="AG43" s="464"/>
      <c r="AH43" s="464"/>
      <c r="AI43" s="464"/>
      <c r="AJ43" s="464"/>
      <c r="AK43" s="464"/>
      <c r="AL43" s="464"/>
      <c r="AM43" s="441"/>
      <c r="AN43" s="441"/>
      <c r="AO43" s="441"/>
      <c r="AP43" s="441"/>
      <c r="AQ43" s="441"/>
      <c r="AR43" s="441"/>
      <c r="AS43" s="441"/>
      <c r="AT43" s="441"/>
      <c r="AU43" s="441"/>
      <c r="AV43" s="441"/>
      <c r="AW43" s="441"/>
      <c r="AX43" s="441"/>
      <c r="AY43" s="441"/>
      <c r="AZ43" s="441"/>
      <c r="BA43" s="441"/>
      <c r="BB43" s="441"/>
      <c r="BC43" s="441"/>
      <c r="BD43" s="441"/>
      <c r="BE43" s="441"/>
      <c r="BF43" s="441"/>
    </row>
    <row r="44" ht="15.75" customHeight="1" collapsed="1">
      <c r="A44" s="442" t="s">
        <v>195</v>
      </c>
      <c r="B44" s="457" t="s">
        <v>750</v>
      </c>
      <c r="C44" s="457" t="s">
        <v>121</v>
      </c>
      <c r="D44" s="457" t="s">
        <v>751</v>
      </c>
      <c r="E44" s="457" t="s">
        <v>782</v>
      </c>
      <c r="F44" s="457" t="s">
        <v>783</v>
      </c>
      <c r="G44" s="457" t="s">
        <v>753</v>
      </c>
      <c r="H44" s="457" t="s">
        <v>784</v>
      </c>
      <c r="I44" s="447" t="s">
        <v>754</v>
      </c>
      <c r="J44" s="457">
        <v>0.0</v>
      </c>
      <c r="K44" s="457">
        <v>2.0</v>
      </c>
      <c r="L44" s="449">
        <f>VLOOKUP(A44,'Кузнец'!$B$145:$J$193,9,FALSE)</f>
        <v>1.4</v>
      </c>
      <c r="M44" s="450" t="s">
        <v>785</v>
      </c>
      <c r="N44" s="451">
        <f>VLOOKUP(A44,'Кузнец'!$B$145:$J$193,4,FALSE)</f>
        <v>6</v>
      </c>
      <c r="O44" s="451">
        <v>13.0</v>
      </c>
      <c r="P44" s="452" t="s">
        <v>755</v>
      </c>
      <c r="Q44" s="451"/>
      <c r="R44" s="452" t="s">
        <v>786</v>
      </c>
      <c r="S44" s="454">
        <v>0.0</v>
      </c>
      <c r="T44" s="437"/>
      <c r="U44" s="437"/>
      <c r="V44" s="438"/>
      <c r="W44" s="438"/>
      <c r="X44" s="440">
        <v>26.0</v>
      </c>
      <c r="Y44" s="440">
        <v>28.0</v>
      </c>
      <c r="Z44" s="440">
        <v>30.0</v>
      </c>
      <c r="AA44" s="440">
        <v>32.0</v>
      </c>
      <c r="AB44" s="440">
        <v>34.0</v>
      </c>
      <c r="AC44" s="440">
        <v>36.0</v>
      </c>
      <c r="AD44" s="440">
        <v>38.0</v>
      </c>
      <c r="AE44" s="441"/>
      <c r="AF44" s="464" t="s">
        <v>787</v>
      </c>
      <c r="AG44" s="466">
        <f t="shared" ref="AG44:AL44" si="18">AG28+AG36</f>
        <v>11.33333333</v>
      </c>
      <c r="AH44" s="466">
        <f t="shared" si="18"/>
        <v>12.33333333</v>
      </c>
      <c r="AI44" s="466">
        <f t="shared" si="18"/>
        <v>13.33333333</v>
      </c>
      <c r="AJ44" s="466">
        <f t="shared" si="18"/>
        <v>14.33333333</v>
      </c>
      <c r="AK44" s="466">
        <f t="shared" si="18"/>
        <v>15.33333333</v>
      </c>
      <c r="AL44" s="466">
        <f t="shared" si="18"/>
        <v>16.33333333</v>
      </c>
      <c r="AM44" s="441"/>
      <c r="AN44" s="441"/>
      <c r="AO44" s="441"/>
      <c r="AP44" s="441"/>
      <c r="AQ44" s="441"/>
      <c r="AR44" s="441"/>
      <c r="AS44" s="441"/>
      <c r="AT44" s="441"/>
      <c r="AU44" s="441"/>
      <c r="AV44" s="441"/>
      <c r="AW44" s="441"/>
      <c r="AX44" s="441"/>
      <c r="AY44" s="441"/>
      <c r="AZ44" s="441"/>
      <c r="BA44" s="441"/>
      <c r="BB44" s="441"/>
      <c r="BC44" s="441"/>
      <c r="BD44" s="441"/>
      <c r="BE44" s="441"/>
      <c r="BF44" s="441"/>
    </row>
    <row r="45" ht="15.75" hidden="1" customHeight="1" outlineLevel="1">
      <c r="A45" s="455" t="s">
        <v>756</v>
      </c>
      <c r="B45" s="456">
        <v>1.0</v>
      </c>
      <c r="C45" s="456">
        <v>1.0</v>
      </c>
      <c r="D45" s="456">
        <v>1.0</v>
      </c>
      <c r="E45" s="456">
        <v>1.0</v>
      </c>
      <c r="F45" s="456">
        <v>1.0</v>
      </c>
      <c r="G45" s="456">
        <v>1.0</v>
      </c>
      <c r="H45" s="456">
        <v>1.0</v>
      </c>
      <c r="I45" s="470"/>
      <c r="J45" s="457"/>
      <c r="K45" s="457"/>
      <c r="L45" s="449" t="str">
        <f>VLOOKUP(A45,'Кузнец'!$B$145:$J$193,9,FALSE)</f>
        <v>#N/A</v>
      </c>
      <c r="M45" s="457"/>
      <c r="N45" s="451" t="str">
        <f>VLOOKUP(A45,'Кузнец'!$B$145:$J$193,4,FALSE)</f>
        <v>#N/A</v>
      </c>
      <c r="O45" s="451"/>
      <c r="P45" s="452" t="s">
        <v>755</v>
      </c>
      <c r="Q45" s="453"/>
      <c r="R45" s="451"/>
      <c r="S45" s="454">
        <v>0.0</v>
      </c>
      <c r="T45" s="437"/>
      <c r="U45" s="437"/>
      <c r="V45" s="438"/>
      <c r="W45" s="438"/>
      <c r="X45" s="467"/>
      <c r="Y45" s="467"/>
      <c r="Z45" s="467"/>
      <c r="AA45" s="467"/>
      <c r="AB45" s="467"/>
      <c r="AC45" s="467"/>
      <c r="AD45" s="467"/>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row>
    <row r="46" ht="15.75" hidden="1" customHeight="1" outlineLevel="1">
      <c r="A46" s="455" t="s">
        <v>757</v>
      </c>
      <c r="B46" s="456">
        <v>6.0</v>
      </c>
      <c r="C46" s="456">
        <v>6.0</v>
      </c>
      <c r="D46" s="456">
        <v>8.0</v>
      </c>
      <c r="E46" s="456">
        <v>8.0</v>
      </c>
      <c r="F46" s="456">
        <v>10.0</v>
      </c>
      <c r="G46" s="456">
        <v>10.0</v>
      </c>
      <c r="H46" s="456">
        <v>12.0</v>
      </c>
      <c r="I46" s="470"/>
      <c r="J46" s="457"/>
      <c r="K46" s="457"/>
      <c r="L46" s="449" t="str">
        <f>VLOOKUP(A46,'Кузнец'!$B$145:$J$193,9,FALSE)</f>
        <v>#N/A</v>
      </c>
      <c r="M46" s="457"/>
      <c r="N46" s="451" t="str">
        <f>VLOOKUP(A46,'Кузнец'!$B$145:$J$193,4,FALSE)</f>
        <v>#N/A</v>
      </c>
      <c r="O46" s="451"/>
      <c r="P46" s="452" t="s">
        <v>755</v>
      </c>
      <c r="Q46" s="453"/>
      <c r="R46" s="451"/>
      <c r="S46" s="454">
        <v>0.0</v>
      </c>
      <c r="T46" s="437"/>
      <c r="U46" s="437"/>
      <c r="V46" s="438"/>
      <c r="W46" s="438"/>
      <c r="X46" s="467"/>
      <c r="Y46" s="467"/>
      <c r="Z46" s="467"/>
      <c r="AA46" s="467"/>
      <c r="AB46" s="467"/>
      <c r="AC46" s="467"/>
      <c r="AD46" s="467"/>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row>
    <row r="47" ht="15.75" hidden="1" customHeight="1" outlineLevel="1">
      <c r="A47" s="455" t="s">
        <v>758</v>
      </c>
      <c r="B47" s="456">
        <v>1.0</v>
      </c>
      <c r="C47" s="456">
        <v>3.0</v>
      </c>
      <c r="D47" s="456">
        <v>4.0</v>
      </c>
      <c r="E47" s="456">
        <v>7.0</v>
      </c>
      <c r="F47" s="456">
        <v>9.0</v>
      </c>
      <c r="G47" s="456">
        <v>13.0</v>
      </c>
      <c r="H47" s="456">
        <v>16.0</v>
      </c>
      <c r="I47" s="470"/>
      <c r="J47" s="457"/>
      <c r="K47" s="457"/>
      <c r="L47" s="449" t="str">
        <f>VLOOKUP(A47,'Кузнец'!$B$145:$J$193,9,FALSE)</f>
        <v>#N/A</v>
      </c>
      <c r="M47" s="457"/>
      <c r="N47" s="451" t="str">
        <f>VLOOKUP(A47,'Кузнец'!$B$145:$J$193,4,FALSE)</f>
        <v>#N/A</v>
      </c>
      <c r="O47" s="451"/>
      <c r="P47" s="452" t="s">
        <v>755</v>
      </c>
      <c r="Q47" s="453"/>
      <c r="R47" s="451"/>
      <c r="S47" s="454">
        <v>0.0</v>
      </c>
      <c r="T47" s="437"/>
      <c r="U47" s="437"/>
      <c r="V47" s="438"/>
      <c r="W47" s="438"/>
      <c r="X47" s="467"/>
      <c r="Y47" s="467"/>
      <c r="Z47" s="467"/>
      <c r="AA47" s="467"/>
      <c r="AB47" s="467"/>
      <c r="AC47" s="467"/>
      <c r="AD47" s="467"/>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row>
    <row r="48" ht="15.75" hidden="1" customHeight="1" outlineLevel="1">
      <c r="A48" s="455" t="s">
        <v>759</v>
      </c>
      <c r="B48" s="456">
        <f t="shared" ref="B48:H48" si="19">(B45+B46)/2+B47</f>
        <v>4.5</v>
      </c>
      <c r="C48" s="456">
        <f t="shared" si="19"/>
        <v>6.5</v>
      </c>
      <c r="D48" s="456">
        <f t="shared" si="19"/>
        <v>8.5</v>
      </c>
      <c r="E48" s="456">
        <f t="shared" si="19"/>
        <v>11.5</v>
      </c>
      <c r="F48" s="456">
        <f t="shared" si="19"/>
        <v>14.5</v>
      </c>
      <c r="G48" s="456">
        <f t="shared" si="19"/>
        <v>18.5</v>
      </c>
      <c r="H48" s="456">
        <f t="shared" si="19"/>
        <v>22.5</v>
      </c>
      <c r="I48" s="470"/>
      <c r="J48" s="457"/>
      <c r="K48" s="457"/>
      <c r="L48" s="449" t="str">
        <f>VLOOKUP(A48,'Кузнец'!$B$145:$J$193,9,FALSE)</f>
        <v>#N/A</v>
      </c>
      <c r="M48" s="457"/>
      <c r="N48" s="451" t="str">
        <f>VLOOKUP(A48,'Кузнец'!$B$145:$J$193,4,FALSE)</f>
        <v>#N/A</v>
      </c>
      <c r="O48" s="451"/>
      <c r="P48" s="452" t="s">
        <v>755</v>
      </c>
      <c r="Q48" s="453"/>
      <c r="R48" s="451"/>
      <c r="S48" s="454">
        <v>0.0</v>
      </c>
      <c r="T48" s="437"/>
      <c r="U48" s="437"/>
      <c r="V48" s="438"/>
      <c r="W48" s="438"/>
      <c r="X48" s="467"/>
      <c r="Y48" s="467"/>
      <c r="Z48" s="467"/>
      <c r="AA48" s="467"/>
      <c r="AB48" s="467"/>
      <c r="AC48" s="467"/>
      <c r="AD48" s="467"/>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row>
    <row r="49" ht="15.75" hidden="1" customHeight="1" outlineLevel="1">
      <c r="A49" s="455" t="s">
        <v>760</v>
      </c>
      <c r="B49" s="458"/>
      <c r="C49" s="458">
        <f t="shared" ref="C49:H49" si="20">C48/B48-1</f>
        <v>0.4444444444</v>
      </c>
      <c r="D49" s="458">
        <f t="shared" si="20"/>
        <v>0.3076923077</v>
      </c>
      <c r="E49" s="458">
        <f t="shared" si="20"/>
        <v>0.3529411765</v>
      </c>
      <c r="F49" s="458">
        <f t="shared" si="20"/>
        <v>0.2608695652</v>
      </c>
      <c r="G49" s="458">
        <f t="shared" si="20"/>
        <v>0.275862069</v>
      </c>
      <c r="H49" s="458">
        <f t="shared" si="20"/>
        <v>0.2162162162</v>
      </c>
      <c r="I49" s="470"/>
      <c r="J49" s="457"/>
      <c r="K49" s="457"/>
      <c r="L49" s="449" t="str">
        <f>VLOOKUP(A49,'Кузнец'!$B$145:$J$193,9,FALSE)</f>
        <v>#N/A</v>
      </c>
      <c r="M49" s="457"/>
      <c r="N49" s="451" t="str">
        <f>VLOOKUP(A49,'Кузнец'!$B$145:$J$193,4,FALSE)</f>
        <v>#N/A</v>
      </c>
      <c r="O49" s="451"/>
      <c r="P49" s="452" t="s">
        <v>755</v>
      </c>
      <c r="Q49" s="453"/>
      <c r="R49" s="451"/>
      <c r="S49" s="454">
        <v>0.0</v>
      </c>
      <c r="T49" s="437"/>
      <c r="U49" s="437"/>
      <c r="V49" s="438"/>
      <c r="W49" s="438"/>
      <c r="X49" s="467"/>
      <c r="Y49" s="467"/>
      <c r="Z49" s="467"/>
      <c r="AA49" s="467"/>
      <c r="AB49" s="467"/>
      <c r="AC49" s="467"/>
      <c r="AD49" s="467"/>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row>
    <row r="50" ht="15.75" hidden="1" customHeight="1" outlineLevel="1">
      <c r="A50" s="455" t="s">
        <v>761</v>
      </c>
      <c r="B50" s="456">
        <v>2.0</v>
      </c>
      <c r="C50" s="456"/>
      <c r="D50" s="458"/>
      <c r="E50" s="458"/>
      <c r="F50" s="458"/>
      <c r="G50" s="458"/>
      <c r="H50" s="458"/>
      <c r="I50" s="470"/>
      <c r="J50" s="457"/>
      <c r="K50" s="457"/>
      <c r="L50" s="449" t="str">
        <f>VLOOKUP(A50,'Кузнец'!$B$145:$J$193,9,FALSE)</f>
        <v>#N/A</v>
      </c>
      <c r="M50" s="457"/>
      <c r="N50" s="451" t="str">
        <f>VLOOKUP(A50,'Кузнец'!$B$145:$J$193,4,FALSE)</f>
        <v>#N/A</v>
      </c>
      <c r="O50" s="451"/>
      <c r="P50" s="452" t="s">
        <v>755</v>
      </c>
      <c r="Q50" s="453"/>
      <c r="R50" s="451"/>
      <c r="S50" s="454">
        <v>0.0</v>
      </c>
      <c r="T50" s="437"/>
      <c r="U50" s="437"/>
      <c r="V50" s="438"/>
      <c r="W50" s="438"/>
      <c r="X50" s="467"/>
      <c r="Y50" s="467"/>
      <c r="Z50" s="467"/>
      <c r="AA50" s="467"/>
      <c r="AB50" s="467"/>
      <c r="AC50" s="467"/>
      <c r="AD50" s="467"/>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row>
    <row r="51" ht="15.75" hidden="1" customHeight="1" outlineLevel="1">
      <c r="A51" s="455" t="s">
        <v>762</v>
      </c>
      <c r="B51" s="456">
        <f t="shared" ref="B51:H51" si="21">B48/$B50</f>
        <v>2.25</v>
      </c>
      <c r="C51" s="456">
        <f t="shared" si="21"/>
        <v>3.25</v>
      </c>
      <c r="D51" s="456">
        <f t="shared" si="21"/>
        <v>4.25</v>
      </c>
      <c r="E51" s="456">
        <f t="shared" si="21"/>
        <v>5.75</v>
      </c>
      <c r="F51" s="456">
        <f t="shared" si="21"/>
        <v>7.25</v>
      </c>
      <c r="G51" s="456">
        <f t="shared" si="21"/>
        <v>9.25</v>
      </c>
      <c r="H51" s="456">
        <f t="shared" si="21"/>
        <v>11.25</v>
      </c>
      <c r="I51" s="470"/>
      <c r="J51" s="457"/>
      <c r="K51" s="457"/>
      <c r="L51" s="449" t="str">
        <f>VLOOKUP(A51,'Кузнец'!$B$145:$J$193,9,FALSE)</f>
        <v>#N/A</v>
      </c>
      <c r="M51" s="457"/>
      <c r="N51" s="451" t="str">
        <f>VLOOKUP(A51,'Кузнец'!$B$145:$J$193,4,FALSE)</f>
        <v>#N/A</v>
      </c>
      <c r="O51" s="451"/>
      <c r="P51" s="452" t="s">
        <v>755</v>
      </c>
      <c r="Q51" s="453"/>
      <c r="R51" s="451"/>
      <c r="S51" s="454">
        <v>0.0</v>
      </c>
      <c r="T51" s="437"/>
      <c r="U51" s="437"/>
      <c r="V51" s="438"/>
      <c r="W51" s="438"/>
      <c r="X51" s="467"/>
      <c r="Y51" s="467"/>
      <c r="Z51" s="467"/>
      <c r="AA51" s="467"/>
      <c r="AB51" s="467"/>
      <c r="AC51" s="467"/>
      <c r="AD51" s="467"/>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row>
    <row r="52" collapsed="1">
      <c r="A52" s="442" t="s">
        <v>788</v>
      </c>
      <c r="B52" s="457" t="s">
        <v>750</v>
      </c>
      <c r="C52" s="457" t="s">
        <v>121</v>
      </c>
      <c r="D52" s="457" t="s">
        <v>751</v>
      </c>
      <c r="E52" s="457" t="s">
        <v>782</v>
      </c>
      <c r="F52" s="457" t="s">
        <v>783</v>
      </c>
      <c r="G52" s="457" t="s">
        <v>753</v>
      </c>
      <c r="H52" s="457" t="s">
        <v>784</v>
      </c>
      <c r="I52" s="447" t="s">
        <v>770</v>
      </c>
      <c r="J52" s="451">
        <v>0.0</v>
      </c>
      <c r="K52" s="451">
        <v>2.0</v>
      </c>
      <c r="L52" s="449">
        <f>VLOOKUP(A52,'Кузнец'!$B$145:$J$193,9,FALSE)</f>
        <v>2.16</v>
      </c>
      <c r="M52" s="450" t="s">
        <v>789</v>
      </c>
      <c r="N52" s="451">
        <f>VLOOKUP(A52,'Кузнец'!$B$145:$J$193,4,FALSE)</f>
        <v>7</v>
      </c>
      <c r="O52" s="451">
        <v>14.0</v>
      </c>
      <c r="P52" s="452" t="s">
        <v>755</v>
      </c>
      <c r="Q52" s="451"/>
      <c r="R52" s="452" t="s">
        <v>786</v>
      </c>
      <c r="S52" s="454">
        <v>0.0</v>
      </c>
      <c r="T52" s="467"/>
      <c r="U52" s="467"/>
      <c r="V52" s="438"/>
      <c r="W52" s="438"/>
      <c r="X52" s="440">
        <v>26.0</v>
      </c>
      <c r="Y52" s="440">
        <v>28.0</v>
      </c>
      <c r="Z52" s="440">
        <v>30.0</v>
      </c>
      <c r="AA52" s="440">
        <v>32.0</v>
      </c>
      <c r="AB52" s="440">
        <v>34.0</v>
      </c>
      <c r="AC52" s="440">
        <v>36.0</v>
      </c>
      <c r="AD52" s="440">
        <v>38.0</v>
      </c>
      <c r="AE52" s="441"/>
      <c r="AF52" s="471" t="s">
        <v>790</v>
      </c>
      <c r="AG52" s="471">
        <f t="shared" ref="AG52:AL52" si="22">AG44*6</f>
        <v>68</v>
      </c>
      <c r="AH52" s="471">
        <f t="shared" si="22"/>
        <v>74</v>
      </c>
      <c r="AI52" s="471">
        <f t="shared" si="22"/>
        <v>80</v>
      </c>
      <c r="AJ52" s="471">
        <f t="shared" si="22"/>
        <v>86</v>
      </c>
      <c r="AK52" s="471">
        <f t="shared" si="22"/>
        <v>92</v>
      </c>
      <c r="AL52" s="471">
        <f t="shared" si="22"/>
        <v>98</v>
      </c>
      <c r="AM52" s="441"/>
      <c r="AN52" s="441"/>
      <c r="AO52" s="441"/>
      <c r="AP52" s="441"/>
      <c r="AQ52" s="441"/>
      <c r="AR52" s="441"/>
      <c r="AS52" s="441"/>
      <c r="AT52" s="441"/>
      <c r="AU52" s="441"/>
      <c r="AV52" s="441"/>
      <c r="AW52" s="441"/>
      <c r="AX52" s="441"/>
      <c r="AY52" s="441"/>
      <c r="AZ52" s="441"/>
      <c r="BA52" s="441"/>
      <c r="BB52" s="441"/>
      <c r="BC52" s="441"/>
      <c r="BD52" s="441"/>
      <c r="BE52" s="441"/>
      <c r="BF52" s="441"/>
    </row>
    <row r="53" hidden="1" outlineLevel="1">
      <c r="A53" s="455" t="s">
        <v>791</v>
      </c>
      <c r="B53" s="456">
        <v>1.0</v>
      </c>
      <c r="C53" s="456">
        <v>1.0</v>
      </c>
      <c r="D53" s="456">
        <v>1.0</v>
      </c>
      <c r="E53" s="456">
        <v>1.0</v>
      </c>
      <c r="F53" s="456">
        <v>1.0</v>
      </c>
      <c r="G53" s="456">
        <v>1.0</v>
      </c>
      <c r="H53" s="456">
        <v>1.0</v>
      </c>
      <c r="I53" s="472"/>
      <c r="J53" s="472"/>
      <c r="K53" s="472"/>
      <c r="L53" s="472"/>
      <c r="M53" s="472"/>
      <c r="N53" s="472"/>
      <c r="O53" s="472"/>
      <c r="P53" s="472"/>
      <c r="Q53" s="472"/>
      <c r="R53" s="472"/>
      <c r="S53" s="473"/>
      <c r="T53" s="474"/>
      <c r="U53" s="474"/>
      <c r="V53" s="474"/>
      <c r="W53" s="474"/>
      <c r="X53" s="467"/>
      <c r="Y53" s="467"/>
      <c r="Z53" s="467"/>
      <c r="AA53" s="467"/>
      <c r="AB53" s="467"/>
      <c r="AC53" s="467"/>
      <c r="AD53" s="467"/>
      <c r="AE53" s="441"/>
      <c r="AF53" s="475"/>
      <c r="AG53" s="475"/>
      <c r="AH53" s="475"/>
      <c r="AI53" s="475"/>
      <c r="AJ53" s="441" t="s">
        <v>792</v>
      </c>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row>
    <row r="54" hidden="1" outlineLevel="1">
      <c r="A54" s="455" t="s">
        <v>793</v>
      </c>
      <c r="B54" s="456">
        <v>6.0</v>
      </c>
      <c r="C54" s="456">
        <v>6.0</v>
      </c>
      <c r="D54" s="456">
        <v>8.0</v>
      </c>
      <c r="E54" s="456">
        <v>8.0</v>
      </c>
      <c r="F54" s="456">
        <v>10.0</v>
      </c>
      <c r="G54" s="456">
        <v>10.0</v>
      </c>
      <c r="H54" s="456">
        <v>12.0</v>
      </c>
      <c r="I54" s="472"/>
      <c r="J54" s="472"/>
      <c r="K54" s="472"/>
      <c r="L54" s="472"/>
      <c r="M54" s="472"/>
      <c r="N54" s="472"/>
      <c r="O54" s="472"/>
      <c r="P54" s="472"/>
      <c r="Q54" s="472"/>
      <c r="R54" s="472"/>
      <c r="S54" s="473"/>
      <c r="T54" s="474"/>
      <c r="U54" s="474"/>
      <c r="V54" s="474"/>
      <c r="W54" s="474"/>
      <c r="X54" s="467"/>
      <c r="Y54" s="467"/>
      <c r="Z54" s="467"/>
      <c r="AA54" s="467"/>
      <c r="AB54" s="467"/>
      <c r="AC54" s="467"/>
      <c r="AD54" s="467"/>
      <c r="AE54" s="441"/>
      <c r="AF54" s="475"/>
      <c r="AG54" s="475"/>
      <c r="AH54" s="475"/>
      <c r="AI54" s="475"/>
      <c r="AJ54" s="441"/>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row>
    <row r="55" hidden="1" outlineLevel="1">
      <c r="A55" s="455" t="s">
        <v>794</v>
      </c>
      <c r="B55" s="456">
        <v>0.0</v>
      </c>
      <c r="C55" s="456">
        <v>2.0</v>
      </c>
      <c r="D55" s="456">
        <v>3.0</v>
      </c>
      <c r="E55" s="456">
        <v>6.0</v>
      </c>
      <c r="F55" s="456">
        <v>8.0</v>
      </c>
      <c r="G55" s="456">
        <v>12.0</v>
      </c>
      <c r="H55" s="456">
        <v>15.0</v>
      </c>
      <c r="I55" s="472"/>
      <c r="J55" s="472"/>
      <c r="K55" s="472"/>
      <c r="L55" s="472"/>
      <c r="M55" s="472"/>
      <c r="N55" s="472"/>
      <c r="O55" s="472"/>
      <c r="P55" s="472"/>
      <c r="Q55" s="472"/>
      <c r="R55" s="472"/>
      <c r="S55" s="473"/>
      <c r="T55" s="474"/>
      <c r="U55" s="474"/>
      <c r="V55" s="474"/>
      <c r="W55" s="474"/>
      <c r="X55" s="467"/>
      <c r="Y55" s="467"/>
      <c r="Z55" s="467"/>
      <c r="AA55" s="467"/>
      <c r="AB55" s="467"/>
      <c r="AC55" s="467"/>
      <c r="AD55" s="467"/>
      <c r="AE55" s="441"/>
      <c r="AF55" s="475"/>
      <c r="AG55" s="475"/>
      <c r="AH55" s="475"/>
      <c r="AI55" s="475"/>
      <c r="AJ55" s="441"/>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row>
    <row r="56" hidden="1" outlineLevel="1">
      <c r="A56" s="455" t="s">
        <v>787</v>
      </c>
      <c r="B56" s="456">
        <f t="shared" ref="B56:H56" si="23">(B53+B54)/2+B55</f>
        <v>3.5</v>
      </c>
      <c r="C56" s="456">
        <f t="shared" si="23"/>
        <v>5.5</v>
      </c>
      <c r="D56" s="456">
        <f t="shared" si="23"/>
        <v>7.5</v>
      </c>
      <c r="E56" s="456">
        <f t="shared" si="23"/>
        <v>10.5</v>
      </c>
      <c r="F56" s="456">
        <f t="shared" si="23"/>
        <v>13.5</v>
      </c>
      <c r="G56" s="456">
        <f t="shared" si="23"/>
        <v>17.5</v>
      </c>
      <c r="H56" s="456">
        <f t="shared" si="23"/>
        <v>21.5</v>
      </c>
      <c r="I56" s="472"/>
      <c r="J56" s="472"/>
      <c r="K56" s="472"/>
      <c r="L56" s="472"/>
      <c r="M56" s="472"/>
      <c r="N56" s="472"/>
      <c r="O56" s="472"/>
      <c r="P56" s="472"/>
      <c r="Q56" s="472"/>
      <c r="R56" s="472"/>
      <c r="S56" s="473"/>
      <c r="T56" s="474"/>
      <c r="U56" s="474"/>
      <c r="V56" s="474"/>
      <c r="W56" s="474"/>
      <c r="X56" s="467"/>
      <c r="Y56" s="467"/>
      <c r="Z56" s="467"/>
      <c r="AA56" s="467"/>
      <c r="AB56" s="467"/>
      <c r="AC56" s="467"/>
      <c r="AD56" s="467"/>
      <c r="AE56" s="441"/>
      <c r="AF56" s="475"/>
      <c r="AG56" s="475"/>
      <c r="AH56" s="475"/>
      <c r="AI56" s="475"/>
      <c r="AJ56" s="441"/>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row>
    <row r="57" hidden="1" outlineLevel="1">
      <c r="A57" s="455" t="s">
        <v>760</v>
      </c>
      <c r="B57" s="458"/>
      <c r="C57" s="458">
        <f t="shared" ref="C57:H57" si="24">C56/B56-1</f>
        <v>0.5714285714</v>
      </c>
      <c r="D57" s="458">
        <f t="shared" si="24"/>
        <v>0.3636363636</v>
      </c>
      <c r="E57" s="458">
        <f t="shared" si="24"/>
        <v>0.4</v>
      </c>
      <c r="F57" s="458">
        <f t="shared" si="24"/>
        <v>0.2857142857</v>
      </c>
      <c r="G57" s="458">
        <f t="shared" si="24"/>
        <v>0.2962962963</v>
      </c>
      <c r="H57" s="458">
        <f t="shared" si="24"/>
        <v>0.2285714286</v>
      </c>
      <c r="I57" s="472"/>
      <c r="J57" s="476"/>
      <c r="K57" s="476"/>
      <c r="L57" s="476"/>
      <c r="M57" s="476"/>
      <c r="N57" s="476"/>
      <c r="O57" s="476"/>
      <c r="P57" s="476"/>
      <c r="Q57" s="476"/>
      <c r="R57" s="472"/>
      <c r="S57" s="477"/>
      <c r="T57" s="478"/>
      <c r="U57" s="478"/>
      <c r="V57" s="478"/>
      <c r="W57" s="478"/>
      <c r="X57" s="467"/>
      <c r="Y57" s="467"/>
      <c r="Z57" s="467"/>
      <c r="AA57" s="467"/>
      <c r="AB57" s="467"/>
      <c r="AC57" s="467"/>
      <c r="AD57" s="467"/>
      <c r="AE57" s="441"/>
      <c r="AF57" s="479"/>
      <c r="AG57" s="479"/>
      <c r="AH57" s="479"/>
      <c r="AI57" s="479"/>
      <c r="AJ57" s="441"/>
      <c r="AK57" s="479"/>
      <c r="AL57" s="479"/>
      <c r="AM57" s="479"/>
      <c r="AN57" s="479"/>
      <c r="AO57" s="479"/>
      <c r="AP57" s="479"/>
      <c r="AQ57" s="479"/>
      <c r="AR57" s="479"/>
      <c r="AS57" s="475"/>
      <c r="AT57" s="479"/>
      <c r="AU57" s="479"/>
      <c r="AV57" s="479"/>
      <c r="AW57" s="479"/>
      <c r="AX57" s="479"/>
      <c r="AY57" s="479"/>
      <c r="AZ57" s="479"/>
      <c r="BA57" s="475"/>
      <c r="BB57" s="479"/>
      <c r="BC57" s="479"/>
      <c r="BD57" s="479"/>
      <c r="BE57" s="479"/>
      <c r="BF57" s="479"/>
    </row>
    <row r="58" hidden="1" outlineLevel="1">
      <c r="A58" s="455" t="s">
        <v>761</v>
      </c>
      <c r="B58" s="456">
        <v>2.0</v>
      </c>
      <c r="C58" s="456"/>
      <c r="D58" s="458"/>
      <c r="E58" s="458"/>
      <c r="F58" s="458"/>
      <c r="G58" s="458"/>
      <c r="H58" s="458"/>
      <c r="I58" s="472"/>
      <c r="J58" s="472"/>
      <c r="K58" s="472"/>
      <c r="L58" s="476"/>
      <c r="M58" s="476"/>
      <c r="N58" s="476"/>
      <c r="O58" s="476"/>
      <c r="P58" s="476"/>
      <c r="Q58" s="476"/>
      <c r="R58" s="472"/>
      <c r="S58" s="473"/>
      <c r="T58" s="474"/>
      <c r="U58" s="474"/>
      <c r="V58" s="478"/>
      <c r="W58" s="478"/>
      <c r="X58" s="467"/>
      <c r="Y58" s="467"/>
      <c r="Z58" s="467"/>
      <c r="AA58" s="467"/>
      <c r="AB58" s="467"/>
      <c r="AC58" s="467"/>
      <c r="AD58" s="467"/>
      <c r="AE58" s="441"/>
      <c r="AF58" s="479"/>
      <c r="AG58" s="479"/>
      <c r="AH58" s="479"/>
      <c r="AI58" s="479"/>
      <c r="AJ58" s="441"/>
      <c r="AK58" s="475"/>
      <c r="AL58" s="475"/>
      <c r="AM58" s="479"/>
      <c r="AN58" s="479"/>
      <c r="AO58" s="479"/>
      <c r="AP58" s="479"/>
      <c r="AQ58" s="479"/>
      <c r="AR58" s="479"/>
      <c r="AS58" s="475"/>
      <c r="AT58" s="475"/>
      <c r="AU58" s="475"/>
      <c r="AV58" s="479"/>
      <c r="AW58" s="479"/>
      <c r="AX58" s="479"/>
      <c r="AY58" s="479"/>
      <c r="AZ58" s="479"/>
      <c r="BA58" s="475"/>
      <c r="BB58" s="475"/>
      <c r="BC58" s="475"/>
      <c r="BD58" s="479"/>
      <c r="BE58" s="479"/>
      <c r="BF58" s="479"/>
    </row>
    <row r="59" hidden="1" outlineLevel="1">
      <c r="A59" s="455" t="s">
        <v>762</v>
      </c>
      <c r="B59" s="456">
        <f t="shared" ref="B59:H59" si="25">B56/$B58</f>
        <v>1.75</v>
      </c>
      <c r="C59" s="456">
        <f t="shared" si="25"/>
        <v>2.75</v>
      </c>
      <c r="D59" s="456">
        <f t="shared" si="25"/>
        <v>3.75</v>
      </c>
      <c r="E59" s="456">
        <f t="shared" si="25"/>
        <v>5.25</v>
      </c>
      <c r="F59" s="456">
        <f t="shared" si="25"/>
        <v>6.75</v>
      </c>
      <c r="G59" s="456">
        <f t="shared" si="25"/>
        <v>8.75</v>
      </c>
      <c r="H59" s="456">
        <f t="shared" si="25"/>
        <v>10.75</v>
      </c>
      <c r="I59" s="472"/>
      <c r="J59" s="472"/>
      <c r="K59" s="472"/>
      <c r="L59" s="472"/>
      <c r="M59" s="472"/>
      <c r="N59" s="472"/>
      <c r="O59" s="472"/>
      <c r="P59" s="472"/>
      <c r="Q59" s="472"/>
      <c r="R59" s="472"/>
      <c r="S59" s="473"/>
      <c r="T59" s="474"/>
      <c r="U59" s="474"/>
      <c r="V59" s="474"/>
      <c r="W59" s="474"/>
      <c r="X59" s="467"/>
      <c r="Y59" s="467"/>
      <c r="Z59" s="467"/>
      <c r="AA59" s="467"/>
      <c r="AB59" s="467"/>
      <c r="AC59" s="467"/>
      <c r="AD59" s="467"/>
      <c r="AE59" s="441"/>
      <c r="AF59" s="475"/>
      <c r="AG59" s="475"/>
      <c r="AH59" s="475"/>
      <c r="AI59" s="475"/>
      <c r="AJ59" s="441"/>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row>
    <row r="60" ht="15.75" customHeight="1" collapsed="1">
      <c r="A60" s="480"/>
      <c r="B60" s="481"/>
      <c r="C60" s="481"/>
      <c r="D60" s="481"/>
      <c r="E60" s="481"/>
      <c r="F60" s="481"/>
      <c r="G60" s="481"/>
      <c r="H60" s="482" t="s">
        <v>795</v>
      </c>
      <c r="I60" s="481"/>
      <c r="J60" s="481"/>
      <c r="K60" s="481"/>
      <c r="L60" s="481"/>
      <c r="M60" s="481"/>
      <c r="N60" s="481"/>
      <c r="O60" s="481"/>
      <c r="P60" s="481"/>
      <c r="Q60" s="481"/>
      <c r="R60" s="483"/>
      <c r="S60" s="436"/>
      <c r="T60" s="467"/>
      <c r="U60" s="467"/>
      <c r="V60" s="438"/>
      <c r="W60" s="438"/>
      <c r="X60" s="467"/>
      <c r="Y60" s="467"/>
      <c r="Z60" s="467"/>
      <c r="AA60" s="467"/>
      <c r="AB60" s="467"/>
      <c r="AC60" s="467"/>
      <c r="AD60" s="467"/>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row>
    <row r="61">
      <c r="A61" s="484" t="s">
        <v>796</v>
      </c>
      <c r="B61" s="485" t="s">
        <v>797</v>
      </c>
      <c r="C61" s="485" t="s">
        <v>798</v>
      </c>
      <c r="D61" s="485" t="s">
        <v>799</v>
      </c>
      <c r="E61" s="485" t="s">
        <v>800</v>
      </c>
      <c r="F61" s="485" t="s">
        <v>801</v>
      </c>
      <c r="G61" s="485" t="s">
        <v>802</v>
      </c>
      <c r="H61" s="485" t="s">
        <v>803</v>
      </c>
      <c r="I61" s="486" t="s">
        <v>754</v>
      </c>
      <c r="J61" s="487">
        <v>0.0</v>
      </c>
      <c r="K61" s="485">
        <v>3.0</v>
      </c>
      <c r="L61" s="488">
        <f>VLOOKUP(A61,'Кузнец'!$B$145:$J$193,9,FALSE)</f>
        <v>2.1</v>
      </c>
      <c r="M61" s="489" t="s">
        <v>789</v>
      </c>
      <c r="N61" s="490">
        <f>VLOOKUP(A61,'Кузнец'!$B$145:$J$193,4,FALSE)</f>
        <v>8</v>
      </c>
      <c r="O61" s="490">
        <v>16.0</v>
      </c>
      <c r="P61" s="491" t="s">
        <v>804</v>
      </c>
      <c r="Q61" s="490"/>
      <c r="R61" s="491" t="s">
        <v>805</v>
      </c>
      <c r="S61" s="454">
        <v>0.0</v>
      </c>
      <c r="T61" s="467"/>
      <c r="U61" s="467"/>
      <c r="V61" s="438"/>
      <c r="W61" s="438"/>
      <c r="X61" s="440">
        <v>32.0</v>
      </c>
      <c r="Y61" s="440">
        <v>35.0</v>
      </c>
      <c r="Z61" s="440">
        <v>38.0</v>
      </c>
      <c r="AA61" s="440">
        <v>41.0</v>
      </c>
      <c r="AB61" s="440">
        <v>44.0</v>
      </c>
      <c r="AC61" s="440">
        <v>47.0</v>
      </c>
      <c r="AD61" s="440">
        <v>50.0</v>
      </c>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row>
    <row r="62" hidden="1" outlineLevel="1">
      <c r="A62" s="492" t="s">
        <v>756</v>
      </c>
      <c r="B62" s="493">
        <v>1.0</v>
      </c>
      <c r="C62" s="493">
        <v>1.0</v>
      </c>
      <c r="D62" s="493">
        <v>1.0</v>
      </c>
      <c r="E62" s="493">
        <v>1.0</v>
      </c>
      <c r="F62" s="493">
        <v>1.0</v>
      </c>
      <c r="G62" s="493">
        <v>1.0</v>
      </c>
      <c r="H62" s="493">
        <v>3.0</v>
      </c>
      <c r="I62" s="486"/>
      <c r="J62" s="487"/>
      <c r="K62" s="485"/>
      <c r="L62" s="485" t="str">
        <f>VLOOKUP(A62,'Кузнец'!$B$145:$J$193,9,FALSE)</f>
        <v>#N/A</v>
      </c>
      <c r="M62" s="494"/>
      <c r="N62" s="490" t="str">
        <f>VLOOKUP(A62,'Кузнец'!$B$145:$J$193,4,FALSE)</f>
        <v>#N/A</v>
      </c>
      <c r="O62" s="490"/>
      <c r="P62" s="490"/>
      <c r="Q62" s="490"/>
      <c r="R62" s="490"/>
      <c r="S62" s="454">
        <v>0.0</v>
      </c>
      <c r="T62" s="467"/>
      <c r="U62" s="467"/>
      <c r="V62" s="438"/>
      <c r="W62" s="438"/>
      <c r="X62" s="467"/>
      <c r="Y62" s="467"/>
      <c r="Z62" s="467"/>
      <c r="AA62" s="467"/>
      <c r="AB62" s="467"/>
      <c r="AC62" s="467"/>
      <c r="AD62" s="467"/>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row>
    <row r="63" hidden="1" outlineLevel="1">
      <c r="A63" s="492" t="s">
        <v>757</v>
      </c>
      <c r="B63" s="493">
        <v>8.0</v>
      </c>
      <c r="C63" s="493">
        <v>8.0</v>
      </c>
      <c r="D63" s="493">
        <v>10.0</v>
      </c>
      <c r="E63" s="493">
        <v>10.0</v>
      </c>
      <c r="F63" s="493">
        <v>12.0</v>
      </c>
      <c r="G63" s="493">
        <v>12.0</v>
      </c>
      <c r="H63" s="493">
        <v>18.0</v>
      </c>
      <c r="I63" s="486"/>
      <c r="J63" s="487"/>
      <c r="K63" s="485"/>
      <c r="L63" s="485" t="str">
        <f>VLOOKUP(A63,'Кузнец'!$B$145:$J$193,9,FALSE)</f>
        <v>#N/A</v>
      </c>
      <c r="M63" s="494"/>
      <c r="N63" s="490" t="str">
        <f>VLOOKUP(A63,'Кузнец'!$B$145:$J$193,4,FALSE)</f>
        <v>#N/A</v>
      </c>
      <c r="O63" s="490"/>
      <c r="P63" s="490"/>
      <c r="Q63" s="490"/>
      <c r="R63" s="490"/>
      <c r="S63" s="454">
        <v>0.0</v>
      </c>
      <c r="T63" s="467"/>
      <c r="U63" s="467"/>
      <c r="V63" s="438"/>
      <c r="W63" s="438"/>
      <c r="X63" s="467"/>
      <c r="Y63" s="467"/>
      <c r="Z63" s="467"/>
      <c r="AA63" s="467"/>
      <c r="AB63" s="467"/>
      <c r="AC63" s="467"/>
      <c r="AD63" s="467"/>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row>
    <row r="64" hidden="1" outlineLevel="1">
      <c r="A64" s="492" t="s">
        <v>758</v>
      </c>
      <c r="B64" s="493">
        <v>2.0</v>
      </c>
      <c r="C64" s="493">
        <v>5.0</v>
      </c>
      <c r="D64" s="493">
        <v>7.0</v>
      </c>
      <c r="E64" s="493">
        <v>11.0</v>
      </c>
      <c r="F64" s="493">
        <v>14.0</v>
      </c>
      <c r="G64" s="493">
        <v>19.0</v>
      </c>
      <c r="H64" s="493">
        <v>21.0</v>
      </c>
      <c r="I64" s="486"/>
      <c r="J64" s="487"/>
      <c r="K64" s="485"/>
      <c r="L64" s="485" t="str">
        <f>VLOOKUP(A64,'Кузнец'!$B$145:$J$193,9,FALSE)</f>
        <v>#N/A</v>
      </c>
      <c r="M64" s="494"/>
      <c r="N64" s="490" t="str">
        <f>VLOOKUP(A64,'Кузнец'!$B$145:$J$193,4,FALSE)</f>
        <v>#N/A</v>
      </c>
      <c r="O64" s="490"/>
      <c r="P64" s="490"/>
      <c r="Q64" s="490"/>
      <c r="R64" s="490"/>
      <c r="S64" s="454">
        <v>0.0</v>
      </c>
      <c r="T64" s="467"/>
      <c r="U64" s="467"/>
      <c r="V64" s="438"/>
      <c r="W64" s="438"/>
      <c r="X64" s="467"/>
      <c r="Y64" s="467"/>
      <c r="Z64" s="467"/>
      <c r="AA64" s="467"/>
      <c r="AB64" s="467"/>
      <c r="AC64" s="467"/>
      <c r="AD64" s="467"/>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row>
    <row r="65" hidden="1" outlineLevel="1">
      <c r="A65" s="492" t="s">
        <v>759</v>
      </c>
      <c r="B65" s="493">
        <f t="shared" ref="B65:H65" si="26">(B62+B63)/2+B64</f>
        <v>6.5</v>
      </c>
      <c r="C65" s="493">
        <f t="shared" si="26"/>
        <v>9.5</v>
      </c>
      <c r="D65" s="493">
        <f t="shared" si="26"/>
        <v>12.5</v>
      </c>
      <c r="E65" s="493">
        <f t="shared" si="26"/>
        <v>16.5</v>
      </c>
      <c r="F65" s="493">
        <f t="shared" si="26"/>
        <v>20.5</v>
      </c>
      <c r="G65" s="493">
        <f t="shared" si="26"/>
        <v>25.5</v>
      </c>
      <c r="H65" s="493">
        <f t="shared" si="26"/>
        <v>31.5</v>
      </c>
      <c r="I65" s="486"/>
      <c r="J65" s="487"/>
      <c r="K65" s="485"/>
      <c r="L65" s="485" t="str">
        <f>VLOOKUP(A65,'Кузнец'!$B$145:$J$193,9,FALSE)</f>
        <v>#N/A</v>
      </c>
      <c r="M65" s="494"/>
      <c r="N65" s="490" t="str">
        <f>VLOOKUP(A65,'Кузнец'!$B$145:$J$193,4,FALSE)</f>
        <v>#N/A</v>
      </c>
      <c r="O65" s="490"/>
      <c r="P65" s="490"/>
      <c r="Q65" s="490"/>
      <c r="R65" s="490"/>
      <c r="S65" s="454">
        <v>0.0</v>
      </c>
      <c r="T65" s="467"/>
      <c r="U65" s="467"/>
      <c r="V65" s="438"/>
      <c r="W65" s="438"/>
      <c r="X65" s="467"/>
      <c r="Y65" s="467"/>
      <c r="Z65" s="467"/>
      <c r="AA65" s="467"/>
      <c r="AB65" s="467"/>
      <c r="AC65" s="467"/>
      <c r="AD65" s="467"/>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row>
    <row r="66" hidden="1" outlineLevel="1">
      <c r="A66" s="492" t="s">
        <v>760</v>
      </c>
      <c r="B66" s="495"/>
      <c r="C66" s="495">
        <f t="shared" ref="C66:H66" si="27">C65/B65-1</f>
        <v>0.4615384615</v>
      </c>
      <c r="D66" s="495">
        <f t="shared" si="27"/>
        <v>0.3157894737</v>
      </c>
      <c r="E66" s="495">
        <f t="shared" si="27"/>
        <v>0.32</v>
      </c>
      <c r="F66" s="495">
        <f t="shared" si="27"/>
        <v>0.2424242424</v>
      </c>
      <c r="G66" s="495">
        <f t="shared" si="27"/>
        <v>0.243902439</v>
      </c>
      <c r="H66" s="495">
        <f t="shared" si="27"/>
        <v>0.2352941176</v>
      </c>
      <c r="I66" s="486"/>
      <c r="J66" s="487"/>
      <c r="K66" s="485"/>
      <c r="L66" s="485" t="str">
        <f>VLOOKUP(A66,'Кузнец'!$B$145:$J$193,9,FALSE)</f>
        <v>#N/A</v>
      </c>
      <c r="M66" s="494"/>
      <c r="N66" s="490" t="str">
        <f>VLOOKUP(A66,'Кузнец'!$B$145:$J$193,4,FALSE)</f>
        <v>#N/A</v>
      </c>
      <c r="O66" s="490"/>
      <c r="P66" s="490"/>
      <c r="Q66" s="490"/>
      <c r="R66" s="490"/>
      <c r="S66" s="454">
        <v>0.0</v>
      </c>
      <c r="T66" s="467"/>
      <c r="U66" s="467"/>
      <c r="V66" s="438"/>
      <c r="W66" s="438"/>
      <c r="X66" s="467"/>
      <c r="Y66" s="467"/>
      <c r="Z66" s="467"/>
      <c r="AA66" s="467"/>
      <c r="AB66" s="467"/>
      <c r="AC66" s="467"/>
      <c r="AD66" s="467"/>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row>
    <row r="67" hidden="1" outlineLevel="1">
      <c r="A67" s="492" t="s">
        <v>761</v>
      </c>
      <c r="B67" s="493">
        <f>$K61</f>
        <v>3</v>
      </c>
      <c r="C67" s="493"/>
      <c r="D67" s="495"/>
      <c r="E67" s="495"/>
      <c r="F67" s="495"/>
      <c r="G67" s="495"/>
      <c r="H67" s="495"/>
      <c r="I67" s="486"/>
      <c r="J67" s="487"/>
      <c r="K67" s="485"/>
      <c r="L67" s="485" t="str">
        <f>VLOOKUP(A67,'Кузнец'!$B$145:$J$193,9,FALSE)</f>
        <v>#N/A</v>
      </c>
      <c r="M67" s="494"/>
      <c r="N67" s="490" t="str">
        <f>VLOOKUP(A67,'Кузнец'!$B$145:$J$193,4,FALSE)</f>
        <v>#N/A</v>
      </c>
      <c r="O67" s="490"/>
      <c r="P67" s="490"/>
      <c r="Q67" s="490"/>
      <c r="R67" s="490"/>
      <c r="S67" s="454">
        <v>0.0</v>
      </c>
      <c r="T67" s="467"/>
      <c r="U67" s="467"/>
      <c r="V67" s="438"/>
      <c r="W67" s="438"/>
      <c r="X67" s="467"/>
      <c r="Y67" s="467"/>
      <c r="Z67" s="467"/>
      <c r="AA67" s="467"/>
      <c r="AB67" s="467"/>
      <c r="AC67" s="467"/>
      <c r="AD67" s="467"/>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row>
    <row r="68" hidden="1" outlineLevel="1">
      <c r="A68" s="492" t="s">
        <v>762</v>
      </c>
      <c r="B68" s="496">
        <f t="shared" ref="B68:H68" si="28">B65/$B67</f>
        <v>2.166666667</v>
      </c>
      <c r="C68" s="496">
        <f t="shared" si="28"/>
        <v>3.166666667</v>
      </c>
      <c r="D68" s="496">
        <f t="shared" si="28"/>
        <v>4.166666667</v>
      </c>
      <c r="E68" s="496">
        <f t="shared" si="28"/>
        <v>5.5</v>
      </c>
      <c r="F68" s="496">
        <f t="shared" si="28"/>
        <v>6.833333333</v>
      </c>
      <c r="G68" s="496">
        <f t="shared" si="28"/>
        <v>8.5</v>
      </c>
      <c r="H68" s="496">
        <f t="shared" si="28"/>
        <v>10.5</v>
      </c>
      <c r="I68" s="486"/>
      <c r="J68" s="487"/>
      <c r="K68" s="485"/>
      <c r="L68" s="485" t="str">
        <f>VLOOKUP(A68,'Кузнец'!$B$145:$J$193,9,FALSE)</f>
        <v>#N/A</v>
      </c>
      <c r="M68" s="494"/>
      <c r="N68" s="490" t="str">
        <f>VLOOKUP(A68,'Кузнец'!$B$145:$J$193,4,FALSE)</f>
        <v>#N/A</v>
      </c>
      <c r="O68" s="490"/>
      <c r="P68" s="490"/>
      <c r="Q68" s="490"/>
      <c r="R68" s="490"/>
      <c r="S68" s="454">
        <v>0.0</v>
      </c>
      <c r="T68" s="467"/>
      <c r="U68" s="467"/>
      <c r="V68" s="438"/>
      <c r="W68" s="438"/>
      <c r="X68" s="467"/>
      <c r="Y68" s="467"/>
      <c r="Z68" s="467"/>
      <c r="AA68" s="467"/>
      <c r="AB68" s="467"/>
      <c r="AC68" s="467"/>
      <c r="AD68" s="467"/>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row>
    <row r="69" ht="15.0" customHeight="1" collapsed="1">
      <c r="A69" s="484" t="s">
        <v>806</v>
      </c>
      <c r="B69" s="485" t="s">
        <v>121</v>
      </c>
      <c r="C69" s="485" t="s">
        <v>807</v>
      </c>
      <c r="D69" s="485" t="s">
        <v>808</v>
      </c>
      <c r="E69" s="485" t="s">
        <v>809</v>
      </c>
      <c r="F69" s="485" t="s">
        <v>810</v>
      </c>
      <c r="G69" s="485" t="s">
        <v>811</v>
      </c>
      <c r="H69" s="485" t="s">
        <v>812</v>
      </c>
      <c r="I69" s="486" t="s">
        <v>754</v>
      </c>
      <c r="J69" s="487">
        <v>0.0</v>
      </c>
      <c r="K69" s="485">
        <v>3.0</v>
      </c>
      <c r="L69" s="488">
        <f>VLOOKUP(A69,'Кузнец'!$B$145:$J$193,9,FALSE)</f>
        <v>2.76</v>
      </c>
      <c r="M69" s="489" t="s">
        <v>813</v>
      </c>
      <c r="N69" s="490">
        <f>VLOOKUP(A69,'Кузнец'!$B$145:$J$193,4,FALSE)</f>
        <v>10</v>
      </c>
      <c r="O69" s="490">
        <v>17.0</v>
      </c>
      <c r="P69" s="491" t="s">
        <v>804</v>
      </c>
      <c r="Q69" s="490"/>
      <c r="R69" s="491" t="s">
        <v>805</v>
      </c>
      <c r="S69" s="454">
        <v>0.0</v>
      </c>
      <c r="T69" s="467"/>
      <c r="U69" s="467"/>
      <c r="V69" s="438"/>
      <c r="W69" s="438"/>
      <c r="X69" s="440">
        <v>32.0</v>
      </c>
      <c r="Y69" s="440">
        <v>35.0</v>
      </c>
      <c r="Z69" s="440">
        <v>38.0</v>
      </c>
      <c r="AA69" s="440">
        <v>41.0</v>
      </c>
      <c r="AB69" s="440">
        <v>44.0</v>
      </c>
      <c r="AC69" s="440">
        <v>47.0</v>
      </c>
      <c r="AD69" s="440">
        <v>50.0</v>
      </c>
      <c r="AE69" s="441"/>
      <c r="AF69" s="497" t="s">
        <v>814</v>
      </c>
      <c r="AG69" s="497">
        <f t="shared" ref="AG69:AL69" si="29">AG$93*$AH$142+AG$101*$AI$142+$AG$142</f>
        <v>68</v>
      </c>
      <c r="AH69" s="497">
        <f t="shared" si="29"/>
        <v>79</v>
      </c>
      <c r="AI69" s="497">
        <f t="shared" si="29"/>
        <v>90</v>
      </c>
      <c r="AJ69" s="497">
        <f t="shared" si="29"/>
        <v>97</v>
      </c>
      <c r="AK69" s="497">
        <f t="shared" si="29"/>
        <v>104</v>
      </c>
      <c r="AL69" s="497">
        <f t="shared" si="29"/>
        <v>111</v>
      </c>
      <c r="AM69" s="441"/>
      <c r="AN69" s="441"/>
      <c r="AO69" s="441"/>
      <c r="AP69" s="441"/>
      <c r="AQ69" s="441"/>
      <c r="AR69" s="441"/>
      <c r="AS69" s="441"/>
      <c r="AT69" s="441"/>
      <c r="AU69" s="441"/>
      <c r="AV69" s="441"/>
      <c r="AW69" s="441"/>
      <c r="AX69" s="441"/>
      <c r="AY69" s="441"/>
      <c r="AZ69" s="441"/>
      <c r="BA69" s="441"/>
      <c r="BB69" s="441"/>
      <c r="BC69" s="441"/>
      <c r="BD69" s="441"/>
      <c r="BE69" s="441"/>
      <c r="BF69" s="441"/>
    </row>
    <row r="70" hidden="1" outlineLevel="1">
      <c r="A70" s="492" t="s">
        <v>756</v>
      </c>
      <c r="B70" s="493">
        <v>1.0</v>
      </c>
      <c r="C70" s="493">
        <v>1.0</v>
      </c>
      <c r="D70" s="493">
        <v>1.0</v>
      </c>
      <c r="E70" s="493">
        <v>1.0</v>
      </c>
      <c r="F70" s="493">
        <v>1.0</v>
      </c>
      <c r="G70" s="493">
        <v>1.0</v>
      </c>
      <c r="H70" s="493">
        <v>1.0</v>
      </c>
      <c r="I70" s="486"/>
      <c r="J70" s="487"/>
      <c r="K70" s="485"/>
      <c r="L70" s="485" t="str">
        <f>VLOOKUP(A70,'Кузнец'!$B$145:$J$193,9,FALSE)</f>
        <v>#N/A</v>
      </c>
      <c r="M70" s="494"/>
      <c r="N70" s="490" t="str">
        <f>VLOOKUP(A70,'Кузнец'!$B$145:$J$193,4,FALSE)</f>
        <v>#N/A</v>
      </c>
      <c r="O70" s="490"/>
      <c r="P70" s="490"/>
      <c r="Q70" s="490"/>
      <c r="R70" s="490"/>
      <c r="S70" s="454">
        <v>0.0</v>
      </c>
      <c r="T70" s="467"/>
      <c r="U70" s="467"/>
      <c r="V70" s="438"/>
      <c r="W70" s="438"/>
      <c r="X70" s="467"/>
      <c r="Y70" s="467"/>
      <c r="Z70" s="467"/>
      <c r="AA70" s="467"/>
      <c r="AB70" s="467"/>
      <c r="AC70" s="467"/>
      <c r="AD70" s="467"/>
      <c r="AE70" s="441"/>
      <c r="AF70" s="441"/>
      <c r="AG70" s="497" t="str">
        <f t="shared" ref="AG70:AL70" si="30">#REF!+AG$117+AG143</f>
        <v>#REF!</v>
      </c>
      <c r="AH70" s="497" t="str">
        <f t="shared" si="30"/>
        <v>#REF!</v>
      </c>
      <c r="AI70" s="497" t="str">
        <f t="shared" si="30"/>
        <v>#REF!</v>
      </c>
      <c r="AJ70" s="497" t="str">
        <f t="shared" si="30"/>
        <v>#REF!</v>
      </c>
      <c r="AK70" s="497" t="str">
        <f t="shared" si="30"/>
        <v>#REF!</v>
      </c>
      <c r="AL70" s="497" t="str">
        <f t="shared" si="30"/>
        <v>#REF!</v>
      </c>
      <c r="AM70" s="441"/>
      <c r="AN70" s="441"/>
      <c r="AO70" s="441"/>
      <c r="AP70" s="441"/>
      <c r="AQ70" s="441"/>
      <c r="AR70" s="441"/>
      <c r="AS70" s="441"/>
      <c r="AT70" s="441"/>
      <c r="AU70" s="441"/>
      <c r="AV70" s="441"/>
      <c r="AW70" s="441"/>
      <c r="AX70" s="441"/>
      <c r="AY70" s="441"/>
      <c r="AZ70" s="441"/>
      <c r="BA70" s="441"/>
      <c r="BB70" s="441"/>
      <c r="BC70" s="441"/>
      <c r="BD70" s="441"/>
      <c r="BE70" s="441"/>
      <c r="BF70" s="441"/>
    </row>
    <row r="71" hidden="1" outlineLevel="1">
      <c r="A71" s="492" t="s">
        <v>757</v>
      </c>
      <c r="B71" s="493">
        <v>6.0</v>
      </c>
      <c r="C71" s="493">
        <v>6.0</v>
      </c>
      <c r="D71" s="493">
        <v>8.0</v>
      </c>
      <c r="E71" s="493">
        <v>8.0</v>
      </c>
      <c r="F71" s="493">
        <v>10.0</v>
      </c>
      <c r="G71" s="493">
        <v>10.0</v>
      </c>
      <c r="H71" s="493">
        <v>12.0</v>
      </c>
      <c r="I71" s="486"/>
      <c r="J71" s="487"/>
      <c r="K71" s="485"/>
      <c r="L71" s="485" t="str">
        <f>VLOOKUP(A71,'Кузнец'!$B$145:$J$193,9,FALSE)</f>
        <v>#N/A</v>
      </c>
      <c r="M71" s="494"/>
      <c r="N71" s="490" t="str">
        <f>VLOOKUP(A71,'Кузнец'!$B$145:$J$193,4,FALSE)</f>
        <v>#N/A</v>
      </c>
      <c r="O71" s="490"/>
      <c r="P71" s="490"/>
      <c r="Q71" s="490"/>
      <c r="R71" s="490"/>
      <c r="S71" s="454">
        <v>0.0</v>
      </c>
      <c r="T71" s="467"/>
      <c r="U71" s="467"/>
      <c r="V71" s="438"/>
      <c r="W71" s="438"/>
      <c r="X71" s="467"/>
      <c r="Y71" s="467"/>
      <c r="Z71" s="467"/>
      <c r="AA71" s="467"/>
      <c r="AB71" s="467"/>
      <c r="AC71" s="467"/>
      <c r="AD71" s="467"/>
      <c r="AE71" s="441"/>
      <c r="AF71" s="441"/>
      <c r="AG71" s="497" t="str">
        <f t="shared" ref="AG71:AL71" si="31">#REF!+AG$117+AG144</f>
        <v>#REF!</v>
      </c>
      <c r="AH71" s="497" t="str">
        <f t="shared" si="31"/>
        <v>#REF!</v>
      </c>
      <c r="AI71" s="497" t="str">
        <f t="shared" si="31"/>
        <v>#REF!</v>
      </c>
      <c r="AJ71" s="497" t="str">
        <f t="shared" si="31"/>
        <v>#REF!</v>
      </c>
      <c r="AK71" s="497" t="str">
        <f t="shared" si="31"/>
        <v>#REF!</v>
      </c>
      <c r="AL71" s="497" t="str">
        <f t="shared" si="31"/>
        <v>#REF!</v>
      </c>
      <c r="AM71" s="441"/>
      <c r="AN71" s="441"/>
      <c r="AO71" s="441"/>
      <c r="AP71" s="441"/>
      <c r="AQ71" s="441"/>
      <c r="AR71" s="441"/>
      <c r="AS71" s="441"/>
      <c r="AT71" s="441"/>
      <c r="AU71" s="441"/>
      <c r="AV71" s="441"/>
      <c r="AW71" s="441"/>
      <c r="AX71" s="441"/>
      <c r="AY71" s="441"/>
      <c r="AZ71" s="441"/>
      <c r="BA71" s="441"/>
      <c r="BB71" s="441"/>
      <c r="BC71" s="441"/>
      <c r="BD71" s="441"/>
      <c r="BE71" s="441"/>
      <c r="BF71" s="441"/>
    </row>
    <row r="72" hidden="1" outlineLevel="1">
      <c r="A72" s="492" t="s">
        <v>758</v>
      </c>
      <c r="B72" s="493">
        <v>3.0</v>
      </c>
      <c r="C72" s="493">
        <v>6.0</v>
      </c>
      <c r="D72" s="493">
        <v>8.0</v>
      </c>
      <c r="E72" s="493">
        <v>12.0</v>
      </c>
      <c r="F72" s="493">
        <v>15.0</v>
      </c>
      <c r="G72" s="493">
        <v>20.0</v>
      </c>
      <c r="H72" s="493">
        <v>24.0</v>
      </c>
      <c r="I72" s="486"/>
      <c r="J72" s="487"/>
      <c r="K72" s="485"/>
      <c r="L72" s="485" t="str">
        <f>VLOOKUP(A72,'Кузнец'!$B$145:$J$193,9,FALSE)</f>
        <v>#N/A</v>
      </c>
      <c r="M72" s="494"/>
      <c r="N72" s="490" t="str">
        <f>VLOOKUP(A72,'Кузнец'!$B$145:$J$193,4,FALSE)</f>
        <v>#N/A</v>
      </c>
      <c r="O72" s="490"/>
      <c r="P72" s="490"/>
      <c r="Q72" s="490"/>
      <c r="R72" s="490"/>
      <c r="S72" s="454">
        <v>0.0</v>
      </c>
      <c r="T72" s="467"/>
      <c r="U72" s="467"/>
      <c r="V72" s="438"/>
      <c r="W72" s="438"/>
      <c r="X72" s="467"/>
      <c r="Y72" s="467"/>
      <c r="Z72" s="467"/>
      <c r="AA72" s="467"/>
      <c r="AB72" s="467"/>
      <c r="AC72" s="467"/>
      <c r="AD72" s="467"/>
      <c r="AE72" s="441"/>
      <c r="AF72" s="441"/>
      <c r="AG72" s="497" t="str">
        <f t="shared" ref="AG72:AL72" si="32">#REF!+AG$117+AG145</f>
        <v>#REF!</v>
      </c>
      <c r="AH72" s="497" t="str">
        <f t="shared" si="32"/>
        <v>#REF!</v>
      </c>
      <c r="AI72" s="497" t="str">
        <f t="shared" si="32"/>
        <v>#REF!</v>
      </c>
      <c r="AJ72" s="497" t="str">
        <f t="shared" si="32"/>
        <v>#REF!</v>
      </c>
      <c r="AK72" s="497" t="str">
        <f t="shared" si="32"/>
        <v>#REF!</v>
      </c>
      <c r="AL72" s="497" t="str">
        <f t="shared" si="32"/>
        <v>#REF!</v>
      </c>
      <c r="AM72" s="441"/>
      <c r="AN72" s="441"/>
      <c r="AO72" s="441"/>
      <c r="AP72" s="441"/>
      <c r="AQ72" s="441"/>
      <c r="AR72" s="441"/>
      <c r="AS72" s="441"/>
      <c r="AT72" s="441"/>
      <c r="AU72" s="441"/>
      <c r="AV72" s="441"/>
      <c r="AW72" s="441"/>
      <c r="AX72" s="441"/>
      <c r="AY72" s="441"/>
      <c r="AZ72" s="441"/>
      <c r="BA72" s="441"/>
      <c r="BB72" s="441"/>
      <c r="BC72" s="441"/>
      <c r="BD72" s="441"/>
      <c r="BE72" s="441"/>
      <c r="BF72" s="441"/>
    </row>
    <row r="73" hidden="1" outlineLevel="1">
      <c r="A73" s="492" t="s">
        <v>759</v>
      </c>
      <c r="B73" s="493">
        <f t="shared" ref="B73:H73" si="33">(B70+B71)/2+B72</f>
        <v>6.5</v>
      </c>
      <c r="C73" s="493">
        <f t="shared" si="33"/>
        <v>9.5</v>
      </c>
      <c r="D73" s="493">
        <f t="shared" si="33"/>
        <v>12.5</v>
      </c>
      <c r="E73" s="493">
        <f t="shared" si="33"/>
        <v>16.5</v>
      </c>
      <c r="F73" s="493">
        <f t="shared" si="33"/>
        <v>20.5</v>
      </c>
      <c r="G73" s="493">
        <f t="shared" si="33"/>
        <v>25.5</v>
      </c>
      <c r="H73" s="493">
        <f t="shared" si="33"/>
        <v>30.5</v>
      </c>
      <c r="I73" s="486"/>
      <c r="J73" s="487"/>
      <c r="K73" s="485"/>
      <c r="L73" s="485" t="str">
        <f>VLOOKUP(A73,'Кузнец'!$B$145:$J$193,9,FALSE)</f>
        <v>#N/A</v>
      </c>
      <c r="M73" s="494"/>
      <c r="N73" s="490" t="str">
        <f>VLOOKUP(A73,'Кузнец'!$B$145:$J$193,4,FALSE)</f>
        <v>#N/A</v>
      </c>
      <c r="O73" s="490"/>
      <c r="P73" s="490"/>
      <c r="Q73" s="490"/>
      <c r="R73" s="490"/>
      <c r="S73" s="454">
        <v>0.0</v>
      </c>
      <c r="T73" s="467"/>
      <c r="U73" s="467"/>
      <c r="V73" s="438"/>
      <c r="W73" s="438"/>
      <c r="X73" s="467"/>
      <c r="Y73" s="467"/>
      <c r="Z73" s="467"/>
      <c r="AA73" s="467"/>
      <c r="AB73" s="467"/>
      <c r="AC73" s="467"/>
      <c r="AD73" s="467"/>
      <c r="AE73" s="441"/>
      <c r="AF73" s="441"/>
      <c r="AG73" s="497" t="str">
        <f t="shared" ref="AG73:AL73" si="34">#REF!+AG$117+AG146</f>
        <v>#REF!</v>
      </c>
      <c r="AH73" s="497" t="str">
        <f t="shared" si="34"/>
        <v>#REF!</v>
      </c>
      <c r="AI73" s="497" t="str">
        <f t="shared" si="34"/>
        <v>#REF!</v>
      </c>
      <c r="AJ73" s="497" t="str">
        <f t="shared" si="34"/>
        <v>#REF!</v>
      </c>
      <c r="AK73" s="497" t="str">
        <f t="shared" si="34"/>
        <v>#REF!</v>
      </c>
      <c r="AL73" s="497" t="str">
        <f t="shared" si="34"/>
        <v>#REF!</v>
      </c>
      <c r="AM73" s="441"/>
      <c r="AN73" s="441"/>
      <c r="AO73" s="441"/>
      <c r="AP73" s="441"/>
      <c r="AQ73" s="441"/>
      <c r="AR73" s="441"/>
      <c r="AS73" s="441"/>
      <c r="AT73" s="441"/>
      <c r="AU73" s="441"/>
      <c r="AV73" s="441"/>
      <c r="AW73" s="441"/>
      <c r="AX73" s="441"/>
      <c r="AY73" s="441"/>
      <c r="AZ73" s="441"/>
      <c r="BA73" s="441"/>
      <c r="BB73" s="441"/>
      <c r="BC73" s="441"/>
      <c r="BD73" s="441"/>
      <c r="BE73" s="441"/>
      <c r="BF73" s="441"/>
    </row>
    <row r="74" hidden="1" outlineLevel="1">
      <c r="A74" s="492" t="s">
        <v>760</v>
      </c>
      <c r="B74" s="495"/>
      <c r="C74" s="495">
        <f t="shared" ref="C74:H74" si="35">C73/B73-1</f>
        <v>0.4615384615</v>
      </c>
      <c r="D74" s="495">
        <f t="shared" si="35"/>
        <v>0.3157894737</v>
      </c>
      <c r="E74" s="495">
        <f t="shared" si="35"/>
        <v>0.32</v>
      </c>
      <c r="F74" s="495">
        <f t="shared" si="35"/>
        <v>0.2424242424</v>
      </c>
      <c r="G74" s="495">
        <f t="shared" si="35"/>
        <v>0.243902439</v>
      </c>
      <c r="H74" s="495">
        <f t="shared" si="35"/>
        <v>0.1960784314</v>
      </c>
      <c r="I74" s="486"/>
      <c r="J74" s="487"/>
      <c r="K74" s="485"/>
      <c r="L74" s="485" t="str">
        <f>VLOOKUP(A74,'Кузнец'!$B$145:$J$193,9,FALSE)</f>
        <v>#N/A</v>
      </c>
      <c r="M74" s="494"/>
      <c r="N74" s="490" t="str">
        <f>VLOOKUP(A74,'Кузнец'!$B$145:$J$193,4,FALSE)</f>
        <v>#N/A</v>
      </c>
      <c r="O74" s="490"/>
      <c r="P74" s="490"/>
      <c r="Q74" s="490"/>
      <c r="R74" s="490"/>
      <c r="S74" s="454">
        <v>0.0</v>
      </c>
      <c r="T74" s="467"/>
      <c r="U74" s="467"/>
      <c r="V74" s="438"/>
      <c r="W74" s="438"/>
      <c r="X74" s="467"/>
      <c r="Y74" s="467"/>
      <c r="Z74" s="467"/>
      <c r="AA74" s="467"/>
      <c r="AB74" s="467"/>
      <c r="AC74" s="467"/>
      <c r="AD74" s="467"/>
      <c r="AE74" s="441"/>
      <c r="AF74" s="441"/>
      <c r="AG74" s="497" t="str">
        <f t="shared" ref="AG74:AL74" si="36">#REF!+AG$117+AG147</f>
        <v>#REF!</v>
      </c>
      <c r="AH74" s="497" t="str">
        <f t="shared" si="36"/>
        <v>#REF!</v>
      </c>
      <c r="AI74" s="497" t="str">
        <f t="shared" si="36"/>
        <v>#REF!</v>
      </c>
      <c r="AJ74" s="497" t="str">
        <f t="shared" si="36"/>
        <v>#REF!</v>
      </c>
      <c r="AK74" s="497" t="str">
        <f t="shared" si="36"/>
        <v>#REF!</v>
      </c>
      <c r="AL74" s="497" t="str">
        <f t="shared" si="36"/>
        <v>#REF!</v>
      </c>
      <c r="AM74" s="441"/>
      <c r="AN74" s="441"/>
      <c r="AO74" s="441"/>
      <c r="AP74" s="441"/>
      <c r="AQ74" s="441"/>
      <c r="AR74" s="441"/>
      <c r="AS74" s="441"/>
      <c r="AT74" s="441"/>
      <c r="AU74" s="441"/>
      <c r="AV74" s="441"/>
      <c r="AW74" s="441"/>
      <c r="AX74" s="441"/>
      <c r="AY74" s="441"/>
      <c r="AZ74" s="441"/>
      <c r="BA74" s="441"/>
      <c r="BB74" s="441"/>
      <c r="BC74" s="441"/>
      <c r="BD74" s="441"/>
      <c r="BE74" s="441"/>
      <c r="BF74" s="441"/>
    </row>
    <row r="75" hidden="1" outlineLevel="1">
      <c r="A75" s="492" t="s">
        <v>761</v>
      </c>
      <c r="B75" s="493">
        <f>$K69</f>
        <v>3</v>
      </c>
      <c r="C75" s="493"/>
      <c r="D75" s="495"/>
      <c r="E75" s="495"/>
      <c r="F75" s="495"/>
      <c r="G75" s="495"/>
      <c r="H75" s="495"/>
      <c r="I75" s="486"/>
      <c r="J75" s="487"/>
      <c r="K75" s="485"/>
      <c r="L75" s="485" t="str">
        <f>VLOOKUP(A75,'Кузнец'!$B$145:$J$193,9,FALSE)</f>
        <v>#N/A</v>
      </c>
      <c r="M75" s="494"/>
      <c r="N75" s="490" t="str">
        <f>VLOOKUP(A75,'Кузнец'!$B$145:$J$193,4,FALSE)</f>
        <v>#N/A</v>
      </c>
      <c r="O75" s="490"/>
      <c r="P75" s="490"/>
      <c r="Q75" s="490"/>
      <c r="R75" s="490"/>
      <c r="S75" s="454">
        <v>0.0</v>
      </c>
      <c r="T75" s="467"/>
      <c r="U75" s="467"/>
      <c r="V75" s="438"/>
      <c r="W75" s="438"/>
      <c r="X75" s="467"/>
      <c r="Y75" s="467"/>
      <c r="Z75" s="467"/>
      <c r="AA75" s="467"/>
      <c r="AB75" s="467"/>
      <c r="AC75" s="467"/>
      <c r="AD75" s="467"/>
      <c r="AE75" s="441"/>
      <c r="AF75" s="441"/>
      <c r="AG75" s="497" t="str">
        <f t="shared" ref="AG75:AL75" si="37">#REF!+AG$117+AG148</f>
        <v>#REF!</v>
      </c>
      <c r="AH75" s="497" t="str">
        <f t="shared" si="37"/>
        <v>#REF!</v>
      </c>
      <c r="AI75" s="497" t="str">
        <f t="shared" si="37"/>
        <v>#REF!</v>
      </c>
      <c r="AJ75" s="497" t="str">
        <f t="shared" si="37"/>
        <v>#REF!</v>
      </c>
      <c r="AK75" s="497" t="str">
        <f t="shared" si="37"/>
        <v>#REF!</v>
      </c>
      <c r="AL75" s="497" t="str">
        <f t="shared" si="37"/>
        <v>#REF!</v>
      </c>
      <c r="AM75" s="441"/>
      <c r="AN75" s="441"/>
      <c r="AO75" s="441"/>
      <c r="AP75" s="441"/>
      <c r="AQ75" s="441"/>
      <c r="AR75" s="441"/>
      <c r="AS75" s="441"/>
      <c r="AT75" s="441"/>
      <c r="AU75" s="441"/>
      <c r="AV75" s="441"/>
      <c r="AW75" s="441"/>
      <c r="AX75" s="441"/>
      <c r="AY75" s="441"/>
      <c r="AZ75" s="441"/>
      <c r="BA75" s="441"/>
      <c r="BB75" s="441"/>
      <c r="BC75" s="441"/>
      <c r="BD75" s="441"/>
      <c r="BE75" s="441"/>
      <c r="BF75" s="441"/>
    </row>
    <row r="76" hidden="1" outlineLevel="1">
      <c r="A76" s="492" t="s">
        <v>762</v>
      </c>
      <c r="B76" s="496">
        <f t="shared" ref="B76:H76" si="38">B73/$B75</f>
        <v>2.166666667</v>
      </c>
      <c r="C76" s="496">
        <f t="shared" si="38"/>
        <v>3.166666667</v>
      </c>
      <c r="D76" s="496">
        <f t="shared" si="38"/>
        <v>4.166666667</v>
      </c>
      <c r="E76" s="496">
        <f t="shared" si="38"/>
        <v>5.5</v>
      </c>
      <c r="F76" s="496">
        <f t="shared" si="38"/>
        <v>6.833333333</v>
      </c>
      <c r="G76" s="496">
        <f t="shared" si="38"/>
        <v>8.5</v>
      </c>
      <c r="H76" s="496">
        <f t="shared" si="38"/>
        <v>10.16666667</v>
      </c>
      <c r="I76" s="486"/>
      <c r="J76" s="487"/>
      <c r="K76" s="485"/>
      <c r="L76" s="485" t="str">
        <f>VLOOKUP(A76,'Кузнец'!$B$145:$J$193,9,FALSE)</f>
        <v>#N/A</v>
      </c>
      <c r="M76" s="494"/>
      <c r="N76" s="490" t="str">
        <f>VLOOKUP(A76,'Кузнец'!$B$145:$J$193,4,FALSE)</f>
        <v>#N/A</v>
      </c>
      <c r="O76" s="490"/>
      <c r="P76" s="490"/>
      <c r="Q76" s="490"/>
      <c r="R76" s="490"/>
      <c r="S76" s="454">
        <v>0.0</v>
      </c>
      <c r="T76" s="467"/>
      <c r="U76" s="467"/>
      <c r="V76" s="438"/>
      <c r="W76" s="438"/>
      <c r="X76" s="467"/>
      <c r="Y76" s="467"/>
      <c r="Z76" s="467"/>
      <c r="AA76" s="467"/>
      <c r="AB76" s="467"/>
      <c r="AC76" s="467"/>
      <c r="AD76" s="467"/>
      <c r="AE76" s="441"/>
      <c r="AF76" s="441"/>
      <c r="AG76" s="497" t="str">
        <f t="shared" ref="AG76:AL76" si="39">#REF!+AG$117+AG149</f>
        <v>#REF!</v>
      </c>
      <c r="AH76" s="497" t="str">
        <f t="shared" si="39"/>
        <v>#REF!</v>
      </c>
      <c r="AI76" s="497" t="str">
        <f t="shared" si="39"/>
        <v>#REF!</v>
      </c>
      <c r="AJ76" s="497" t="str">
        <f t="shared" si="39"/>
        <v>#REF!</v>
      </c>
      <c r="AK76" s="497" t="str">
        <f t="shared" si="39"/>
        <v>#REF!</v>
      </c>
      <c r="AL76" s="497" t="str">
        <f t="shared" si="39"/>
        <v>#REF!</v>
      </c>
      <c r="AM76" s="441"/>
      <c r="AN76" s="441"/>
      <c r="AO76" s="441"/>
      <c r="AP76" s="441"/>
      <c r="AQ76" s="441"/>
      <c r="AR76" s="441"/>
      <c r="AS76" s="441"/>
      <c r="AT76" s="441"/>
      <c r="AU76" s="441"/>
      <c r="AV76" s="441"/>
      <c r="AW76" s="441"/>
      <c r="AX76" s="441"/>
      <c r="AY76" s="441"/>
      <c r="AZ76" s="441"/>
      <c r="BA76" s="441"/>
      <c r="BB76" s="441"/>
      <c r="BC76" s="441"/>
      <c r="BD76" s="441"/>
      <c r="BE76" s="441"/>
      <c r="BF76" s="441"/>
    </row>
    <row r="77" ht="15.0" customHeight="1" collapsed="1">
      <c r="A77" s="484" t="s">
        <v>815</v>
      </c>
      <c r="B77" s="485" t="s">
        <v>816</v>
      </c>
      <c r="C77" s="485" t="s">
        <v>817</v>
      </c>
      <c r="D77" s="485" t="s">
        <v>818</v>
      </c>
      <c r="E77" s="485" t="s">
        <v>819</v>
      </c>
      <c r="F77" s="485" t="s">
        <v>820</v>
      </c>
      <c r="G77" s="485" t="s">
        <v>821</v>
      </c>
      <c r="H77" s="485" t="s">
        <v>822</v>
      </c>
      <c r="I77" s="486" t="s">
        <v>770</v>
      </c>
      <c r="J77" s="487">
        <v>0.0</v>
      </c>
      <c r="K77" s="485">
        <v>3.0</v>
      </c>
      <c r="L77" s="488">
        <f>VLOOKUP(A77,'Кузнец'!$B$145:$J$193,9,FALSE)</f>
        <v>3.2</v>
      </c>
      <c r="M77" s="489" t="s">
        <v>813</v>
      </c>
      <c r="N77" s="490">
        <f>VLOOKUP(A77,'Кузнец'!$B$145:$J$193,4,FALSE)</f>
        <v>11</v>
      </c>
      <c r="O77" s="490">
        <v>18.0</v>
      </c>
      <c r="P77" s="491" t="s">
        <v>804</v>
      </c>
      <c r="Q77" s="490"/>
      <c r="R77" s="491" t="s">
        <v>823</v>
      </c>
      <c r="S77" s="454">
        <v>0.0</v>
      </c>
      <c r="T77" s="467"/>
      <c r="U77" s="467"/>
      <c r="V77" s="438"/>
      <c r="W77" s="438"/>
      <c r="X77" s="440">
        <v>34.0</v>
      </c>
      <c r="Y77" s="440">
        <v>37.0</v>
      </c>
      <c r="Z77" s="440">
        <v>40.0</v>
      </c>
      <c r="AA77" s="440">
        <v>43.0</v>
      </c>
      <c r="AB77" s="440">
        <v>46.0</v>
      </c>
      <c r="AC77" s="440">
        <v>49.0</v>
      </c>
      <c r="AD77" s="440">
        <v>52.0</v>
      </c>
      <c r="AE77" s="441"/>
      <c r="AF77" s="497" t="s">
        <v>824</v>
      </c>
      <c r="AG77" s="497">
        <f t="shared" ref="AG77:AL77" si="40">AG$93*$AH$150+AG$101*$AI$150+$AG$150</f>
        <v>76</v>
      </c>
      <c r="AH77" s="497">
        <f t="shared" si="40"/>
        <v>87</v>
      </c>
      <c r="AI77" s="497">
        <f t="shared" si="40"/>
        <v>98</v>
      </c>
      <c r="AJ77" s="497">
        <f t="shared" si="40"/>
        <v>104</v>
      </c>
      <c r="AK77" s="497">
        <f t="shared" si="40"/>
        <v>110</v>
      </c>
      <c r="AL77" s="497">
        <f t="shared" si="40"/>
        <v>116</v>
      </c>
      <c r="AM77" s="441"/>
      <c r="AN77" s="441"/>
      <c r="AO77" s="441"/>
      <c r="AP77" s="441"/>
      <c r="AQ77" s="441"/>
      <c r="AR77" s="441"/>
      <c r="AS77" s="441"/>
      <c r="AT77" s="441"/>
      <c r="AU77" s="441"/>
      <c r="AV77" s="441"/>
      <c r="AW77" s="441"/>
      <c r="AX77" s="441"/>
      <c r="AY77" s="441"/>
      <c r="AZ77" s="441"/>
      <c r="BA77" s="441"/>
      <c r="BB77" s="441"/>
      <c r="BC77" s="441"/>
      <c r="BD77" s="441"/>
      <c r="BE77" s="441"/>
      <c r="BF77" s="441"/>
    </row>
    <row r="78" ht="12.75" hidden="1" customHeight="1" outlineLevel="1">
      <c r="A78" s="492" t="s">
        <v>756</v>
      </c>
      <c r="B78" s="493">
        <v>1.0</v>
      </c>
      <c r="C78" s="493">
        <v>1.0</v>
      </c>
      <c r="D78" s="493">
        <v>1.0</v>
      </c>
      <c r="E78" s="493">
        <v>1.0</v>
      </c>
      <c r="F78" s="493">
        <v>3.0</v>
      </c>
      <c r="G78" s="493">
        <v>3.0</v>
      </c>
      <c r="H78" s="493">
        <v>4.0</v>
      </c>
      <c r="I78" s="486"/>
      <c r="J78" s="487"/>
      <c r="K78" s="485"/>
      <c r="L78" s="485" t="str">
        <f>VLOOKUP(A78,'Кузнец'!$B$145:$J$193,9,FALSE)</f>
        <v>#N/A</v>
      </c>
      <c r="M78" s="494"/>
      <c r="N78" s="490" t="str">
        <f>VLOOKUP(A78,'Кузнец'!$B$145:$J$193,4,FALSE)</f>
        <v>#N/A</v>
      </c>
      <c r="O78" s="490"/>
      <c r="P78" s="490"/>
      <c r="Q78" s="490"/>
      <c r="R78" s="490"/>
      <c r="S78" s="454">
        <v>0.0</v>
      </c>
      <c r="T78" s="467"/>
      <c r="U78" s="467"/>
      <c r="V78" s="438"/>
      <c r="W78" s="438"/>
      <c r="X78" s="467"/>
      <c r="Y78" s="467"/>
      <c r="Z78" s="467"/>
      <c r="AA78" s="467"/>
      <c r="AB78" s="467"/>
      <c r="AC78" s="438"/>
      <c r="AD78" s="438"/>
      <c r="AE78" s="441"/>
      <c r="AF78" s="497" t="s">
        <v>814</v>
      </c>
      <c r="AG78" s="497" t="str">
        <f t="shared" ref="AG78:AL78" si="41">#REF!+AG$117+AG151</f>
        <v>#REF!</v>
      </c>
      <c r="AH78" s="497" t="str">
        <f t="shared" si="41"/>
        <v>#REF!</v>
      </c>
      <c r="AI78" s="497" t="str">
        <f t="shared" si="41"/>
        <v>#REF!</v>
      </c>
      <c r="AJ78" s="497" t="str">
        <f t="shared" si="41"/>
        <v>#REF!</v>
      </c>
      <c r="AK78" s="497" t="str">
        <f t="shared" si="41"/>
        <v>#REF!</v>
      </c>
      <c r="AL78" s="497" t="str">
        <f t="shared" si="41"/>
        <v>#REF!</v>
      </c>
      <c r="AM78" s="441"/>
      <c r="AN78" s="441"/>
      <c r="AO78" s="441"/>
      <c r="AP78" s="441"/>
      <c r="AQ78" s="441"/>
      <c r="AR78" s="441"/>
      <c r="AS78" s="441"/>
      <c r="AT78" s="441"/>
      <c r="AU78" s="441"/>
      <c r="AV78" s="441"/>
      <c r="AW78" s="441"/>
      <c r="AX78" s="441"/>
      <c r="AY78" s="441"/>
      <c r="AZ78" s="441"/>
      <c r="BA78" s="441"/>
      <c r="BB78" s="441"/>
      <c r="BC78" s="441"/>
      <c r="BD78" s="441"/>
      <c r="BE78" s="441"/>
      <c r="BF78" s="441"/>
    </row>
    <row r="79" ht="12.75" hidden="1" customHeight="1" outlineLevel="1">
      <c r="A79" s="492" t="s">
        <v>757</v>
      </c>
      <c r="B79" s="493">
        <v>10.0</v>
      </c>
      <c r="C79" s="493">
        <v>10.0</v>
      </c>
      <c r="D79" s="493">
        <v>12.0</v>
      </c>
      <c r="E79" s="493">
        <v>12.0</v>
      </c>
      <c r="F79" s="493">
        <v>18.0</v>
      </c>
      <c r="G79" s="493">
        <v>18.0</v>
      </c>
      <c r="H79" s="493">
        <v>24.0</v>
      </c>
      <c r="I79" s="486"/>
      <c r="J79" s="487"/>
      <c r="K79" s="485"/>
      <c r="L79" s="485" t="str">
        <f>VLOOKUP(A79,'Кузнец'!$B$145:$J$193,9,FALSE)</f>
        <v>#N/A</v>
      </c>
      <c r="M79" s="494"/>
      <c r="N79" s="490" t="str">
        <f>VLOOKUP(A79,'Кузнец'!$B$145:$J$193,4,FALSE)</f>
        <v>#N/A</v>
      </c>
      <c r="O79" s="490"/>
      <c r="P79" s="490"/>
      <c r="Q79" s="490"/>
      <c r="R79" s="490"/>
      <c r="S79" s="454">
        <v>0.0</v>
      </c>
      <c r="T79" s="467"/>
      <c r="U79" s="467"/>
      <c r="V79" s="438"/>
      <c r="W79" s="438"/>
      <c r="X79" s="467"/>
      <c r="Y79" s="467"/>
      <c r="Z79" s="467"/>
      <c r="AA79" s="467"/>
      <c r="AB79" s="467"/>
      <c r="AC79" s="438"/>
      <c r="AD79" s="438"/>
      <c r="AE79" s="441"/>
      <c r="AF79" s="497" t="s">
        <v>814</v>
      </c>
      <c r="AG79" s="497" t="str">
        <f t="shared" ref="AG79:AL79" si="42">#REF!+AG$117+AG152</f>
        <v>#REF!</v>
      </c>
      <c r="AH79" s="497" t="str">
        <f t="shared" si="42"/>
        <v>#REF!</v>
      </c>
      <c r="AI79" s="497" t="str">
        <f t="shared" si="42"/>
        <v>#REF!</v>
      </c>
      <c r="AJ79" s="497" t="str">
        <f t="shared" si="42"/>
        <v>#REF!</v>
      </c>
      <c r="AK79" s="497" t="str">
        <f t="shared" si="42"/>
        <v>#REF!</v>
      </c>
      <c r="AL79" s="497" t="str">
        <f t="shared" si="42"/>
        <v>#REF!</v>
      </c>
      <c r="AM79" s="441"/>
      <c r="AN79" s="441"/>
      <c r="AO79" s="441"/>
      <c r="AP79" s="441"/>
      <c r="AQ79" s="441"/>
      <c r="AR79" s="441"/>
      <c r="AS79" s="441"/>
      <c r="AT79" s="441"/>
      <c r="AU79" s="441"/>
      <c r="AV79" s="441"/>
      <c r="AW79" s="441"/>
      <c r="AX79" s="441"/>
      <c r="AY79" s="441"/>
      <c r="AZ79" s="441"/>
      <c r="BA79" s="441"/>
      <c r="BB79" s="441"/>
      <c r="BC79" s="441"/>
      <c r="BD79" s="441"/>
      <c r="BE79" s="441"/>
      <c r="BF79" s="441"/>
    </row>
    <row r="80" ht="12.75" hidden="1" customHeight="1" outlineLevel="1">
      <c r="A80" s="492" t="s">
        <v>758</v>
      </c>
      <c r="B80" s="493">
        <v>1.0</v>
      </c>
      <c r="C80" s="493">
        <v>4.0</v>
      </c>
      <c r="D80" s="493">
        <v>6.0</v>
      </c>
      <c r="E80" s="493">
        <v>10.0</v>
      </c>
      <c r="F80" s="493">
        <v>10.0</v>
      </c>
      <c r="G80" s="493">
        <v>15.0</v>
      </c>
      <c r="H80" s="493">
        <v>17.0</v>
      </c>
      <c r="I80" s="486"/>
      <c r="J80" s="487"/>
      <c r="K80" s="485"/>
      <c r="L80" s="485" t="str">
        <f>VLOOKUP(A80,'Кузнец'!$B$145:$J$193,9,FALSE)</f>
        <v>#N/A</v>
      </c>
      <c r="M80" s="494"/>
      <c r="N80" s="490" t="str">
        <f>VLOOKUP(A80,'Кузнец'!$B$145:$J$193,4,FALSE)</f>
        <v>#N/A</v>
      </c>
      <c r="O80" s="490"/>
      <c r="P80" s="490"/>
      <c r="Q80" s="490"/>
      <c r="R80" s="490"/>
      <c r="S80" s="454">
        <v>0.0</v>
      </c>
      <c r="T80" s="467"/>
      <c r="U80" s="467"/>
      <c r="V80" s="438"/>
      <c r="W80" s="438"/>
      <c r="X80" s="467"/>
      <c r="Y80" s="467"/>
      <c r="Z80" s="467"/>
      <c r="AA80" s="467"/>
      <c r="AB80" s="467"/>
      <c r="AC80" s="438"/>
      <c r="AD80" s="438"/>
      <c r="AE80" s="441"/>
      <c r="AF80" s="497" t="s">
        <v>814</v>
      </c>
      <c r="AG80" s="497" t="str">
        <f t="shared" ref="AG80:AL80" si="43">#REF!+AG$117+AG153</f>
        <v>#REF!</v>
      </c>
      <c r="AH80" s="497" t="str">
        <f t="shared" si="43"/>
        <v>#REF!</v>
      </c>
      <c r="AI80" s="497" t="str">
        <f t="shared" si="43"/>
        <v>#REF!</v>
      </c>
      <c r="AJ80" s="497" t="str">
        <f t="shared" si="43"/>
        <v>#REF!</v>
      </c>
      <c r="AK80" s="497" t="str">
        <f t="shared" si="43"/>
        <v>#REF!</v>
      </c>
      <c r="AL80" s="497" t="str">
        <f t="shared" si="43"/>
        <v>#REF!</v>
      </c>
      <c r="AM80" s="441"/>
      <c r="AN80" s="441"/>
      <c r="AO80" s="441"/>
      <c r="AP80" s="441"/>
      <c r="AQ80" s="441"/>
      <c r="AR80" s="441"/>
      <c r="AS80" s="441"/>
      <c r="AT80" s="441"/>
      <c r="AU80" s="441"/>
      <c r="AV80" s="441"/>
      <c r="AW80" s="441"/>
      <c r="AX80" s="441"/>
      <c r="AY80" s="441"/>
      <c r="AZ80" s="441"/>
      <c r="BA80" s="441"/>
      <c r="BB80" s="441"/>
      <c r="BC80" s="441"/>
      <c r="BD80" s="441"/>
      <c r="BE80" s="441"/>
      <c r="BF80" s="441"/>
    </row>
    <row r="81" ht="12.75" hidden="1" customHeight="1" outlineLevel="1">
      <c r="A81" s="492" t="s">
        <v>759</v>
      </c>
      <c r="B81" s="493">
        <f t="shared" ref="B81:H81" si="44">(B78+B79)/2+B80</f>
        <v>6.5</v>
      </c>
      <c r="C81" s="493">
        <f t="shared" si="44"/>
        <v>9.5</v>
      </c>
      <c r="D81" s="493">
        <f t="shared" si="44"/>
        <v>12.5</v>
      </c>
      <c r="E81" s="493">
        <f t="shared" si="44"/>
        <v>16.5</v>
      </c>
      <c r="F81" s="493">
        <f t="shared" si="44"/>
        <v>20.5</v>
      </c>
      <c r="G81" s="493">
        <f t="shared" si="44"/>
        <v>25.5</v>
      </c>
      <c r="H81" s="493">
        <f t="shared" si="44"/>
        <v>31</v>
      </c>
      <c r="I81" s="486"/>
      <c r="J81" s="487"/>
      <c r="K81" s="485"/>
      <c r="L81" s="485" t="str">
        <f>VLOOKUP(A81,'Кузнец'!$B$145:$J$193,9,FALSE)</f>
        <v>#N/A</v>
      </c>
      <c r="M81" s="494"/>
      <c r="N81" s="490" t="str">
        <f>VLOOKUP(A81,'Кузнец'!$B$145:$J$193,4,FALSE)</f>
        <v>#N/A</v>
      </c>
      <c r="O81" s="490"/>
      <c r="P81" s="490"/>
      <c r="Q81" s="490"/>
      <c r="R81" s="490"/>
      <c r="S81" s="454">
        <v>0.0</v>
      </c>
      <c r="T81" s="467"/>
      <c r="U81" s="467"/>
      <c r="V81" s="438"/>
      <c r="W81" s="438"/>
      <c r="X81" s="467"/>
      <c r="Y81" s="467"/>
      <c r="Z81" s="467"/>
      <c r="AA81" s="467"/>
      <c r="AB81" s="467"/>
      <c r="AC81" s="438"/>
      <c r="AD81" s="438"/>
      <c r="AE81" s="441"/>
      <c r="AF81" s="497" t="s">
        <v>814</v>
      </c>
      <c r="AG81" s="497" t="str">
        <f t="shared" ref="AG81:AL81" si="45">#REF!+AG$117+AG154</f>
        <v>#REF!</v>
      </c>
      <c r="AH81" s="497" t="str">
        <f t="shared" si="45"/>
        <v>#REF!</v>
      </c>
      <c r="AI81" s="497" t="str">
        <f t="shared" si="45"/>
        <v>#REF!</v>
      </c>
      <c r="AJ81" s="497" t="str">
        <f t="shared" si="45"/>
        <v>#REF!</v>
      </c>
      <c r="AK81" s="497" t="str">
        <f t="shared" si="45"/>
        <v>#REF!</v>
      </c>
      <c r="AL81" s="497" t="str">
        <f t="shared" si="45"/>
        <v>#REF!</v>
      </c>
      <c r="AM81" s="441"/>
      <c r="AN81" s="441"/>
      <c r="AO81" s="441"/>
      <c r="AP81" s="441"/>
      <c r="AQ81" s="441"/>
      <c r="AR81" s="441"/>
      <c r="AS81" s="441"/>
      <c r="AT81" s="441"/>
      <c r="AU81" s="441"/>
      <c r="AV81" s="441"/>
      <c r="AW81" s="441"/>
      <c r="AX81" s="441"/>
      <c r="AY81" s="441"/>
      <c r="AZ81" s="441"/>
      <c r="BA81" s="441"/>
      <c r="BB81" s="441"/>
      <c r="BC81" s="441"/>
      <c r="BD81" s="441"/>
      <c r="BE81" s="441"/>
      <c r="BF81" s="441"/>
    </row>
    <row r="82" ht="12.75" hidden="1" customHeight="1" outlineLevel="1">
      <c r="A82" s="492" t="s">
        <v>760</v>
      </c>
      <c r="B82" s="495"/>
      <c r="C82" s="495">
        <f t="shared" ref="C82:H82" si="46">C81/B81-1</f>
        <v>0.4615384615</v>
      </c>
      <c r="D82" s="495">
        <f t="shared" si="46"/>
        <v>0.3157894737</v>
      </c>
      <c r="E82" s="495">
        <f t="shared" si="46"/>
        <v>0.32</v>
      </c>
      <c r="F82" s="495">
        <f t="shared" si="46"/>
        <v>0.2424242424</v>
      </c>
      <c r="G82" s="495">
        <f t="shared" si="46"/>
        <v>0.243902439</v>
      </c>
      <c r="H82" s="495">
        <f t="shared" si="46"/>
        <v>0.2156862745</v>
      </c>
      <c r="I82" s="486"/>
      <c r="J82" s="487"/>
      <c r="K82" s="485"/>
      <c r="L82" s="485" t="str">
        <f>VLOOKUP(A82,'Кузнец'!$B$145:$J$193,9,FALSE)</f>
        <v>#N/A</v>
      </c>
      <c r="M82" s="494"/>
      <c r="N82" s="490" t="str">
        <f>VLOOKUP(A82,'Кузнец'!$B$145:$J$193,4,FALSE)</f>
        <v>#N/A</v>
      </c>
      <c r="O82" s="490"/>
      <c r="P82" s="490"/>
      <c r="Q82" s="490"/>
      <c r="R82" s="490"/>
      <c r="S82" s="454">
        <v>0.0</v>
      </c>
      <c r="T82" s="467"/>
      <c r="U82" s="467"/>
      <c r="V82" s="438"/>
      <c r="W82" s="438"/>
      <c r="X82" s="467"/>
      <c r="Y82" s="467"/>
      <c r="Z82" s="467"/>
      <c r="AA82" s="467"/>
      <c r="AB82" s="467"/>
      <c r="AC82" s="438"/>
      <c r="AD82" s="438"/>
      <c r="AE82" s="441"/>
      <c r="AF82" s="497" t="s">
        <v>814</v>
      </c>
      <c r="AG82" s="497" t="str">
        <f t="shared" ref="AG82:AL82" si="47">#REF!+AG$117+AG155</f>
        <v>#REF!</v>
      </c>
      <c r="AH82" s="497" t="str">
        <f t="shared" si="47"/>
        <v>#REF!</v>
      </c>
      <c r="AI82" s="497" t="str">
        <f t="shared" si="47"/>
        <v>#REF!</v>
      </c>
      <c r="AJ82" s="497" t="str">
        <f t="shared" si="47"/>
        <v>#REF!</v>
      </c>
      <c r="AK82" s="497" t="str">
        <f t="shared" si="47"/>
        <v>#REF!</v>
      </c>
      <c r="AL82" s="497" t="str">
        <f t="shared" si="47"/>
        <v>#REF!</v>
      </c>
      <c r="AM82" s="441"/>
      <c r="AN82" s="441"/>
      <c r="AO82" s="441"/>
      <c r="AP82" s="441"/>
      <c r="AQ82" s="441"/>
      <c r="AR82" s="441"/>
      <c r="AS82" s="441"/>
      <c r="AT82" s="441"/>
      <c r="AU82" s="441"/>
      <c r="AV82" s="441"/>
      <c r="AW82" s="441"/>
      <c r="AX82" s="441"/>
      <c r="AY82" s="441"/>
      <c r="AZ82" s="441"/>
      <c r="BA82" s="441"/>
      <c r="BB82" s="441"/>
      <c r="BC82" s="441"/>
      <c r="BD82" s="441"/>
      <c r="BE82" s="441"/>
      <c r="BF82" s="441"/>
    </row>
    <row r="83" ht="12.75" hidden="1" customHeight="1" outlineLevel="1">
      <c r="A83" s="492" t="s">
        <v>761</v>
      </c>
      <c r="B83" s="493">
        <f>$K77</f>
        <v>3</v>
      </c>
      <c r="C83" s="493"/>
      <c r="D83" s="495"/>
      <c r="E83" s="495"/>
      <c r="F83" s="495"/>
      <c r="G83" s="495"/>
      <c r="H83" s="495"/>
      <c r="I83" s="486"/>
      <c r="J83" s="487"/>
      <c r="K83" s="485"/>
      <c r="L83" s="485" t="str">
        <f>VLOOKUP(A83,'Кузнец'!$B$145:$J$193,9,FALSE)</f>
        <v>#N/A</v>
      </c>
      <c r="M83" s="494"/>
      <c r="N83" s="490" t="str">
        <f>VLOOKUP(A83,'Кузнец'!$B$145:$J$193,4,FALSE)</f>
        <v>#N/A</v>
      </c>
      <c r="O83" s="490"/>
      <c r="P83" s="490"/>
      <c r="Q83" s="490"/>
      <c r="R83" s="490"/>
      <c r="S83" s="454">
        <v>0.0</v>
      </c>
      <c r="T83" s="467"/>
      <c r="U83" s="467"/>
      <c r="V83" s="438"/>
      <c r="W83" s="438"/>
      <c r="X83" s="467"/>
      <c r="Y83" s="467"/>
      <c r="Z83" s="467"/>
      <c r="AA83" s="467"/>
      <c r="AB83" s="467"/>
      <c r="AC83" s="438"/>
      <c r="AD83" s="438"/>
      <c r="AE83" s="441"/>
      <c r="AF83" s="497" t="s">
        <v>814</v>
      </c>
      <c r="AG83" s="497" t="str">
        <f t="shared" ref="AG83:AL83" si="48">#REF!+AG$117+AG156</f>
        <v>#REF!</v>
      </c>
      <c r="AH83" s="497" t="str">
        <f t="shared" si="48"/>
        <v>#REF!</v>
      </c>
      <c r="AI83" s="497" t="str">
        <f t="shared" si="48"/>
        <v>#REF!</v>
      </c>
      <c r="AJ83" s="497" t="str">
        <f t="shared" si="48"/>
        <v>#REF!</v>
      </c>
      <c r="AK83" s="497" t="str">
        <f t="shared" si="48"/>
        <v>#REF!</v>
      </c>
      <c r="AL83" s="497" t="str">
        <f t="shared" si="48"/>
        <v>#REF!</v>
      </c>
      <c r="AM83" s="441"/>
      <c r="AN83" s="441"/>
      <c r="AO83" s="441"/>
      <c r="AP83" s="441"/>
      <c r="AQ83" s="441"/>
      <c r="AR83" s="441"/>
      <c r="AS83" s="441"/>
      <c r="AT83" s="441"/>
      <c r="AU83" s="441"/>
      <c r="AV83" s="441"/>
      <c r="AW83" s="441"/>
      <c r="AX83" s="441"/>
      <c r="AY83" s="441"/>
      <c r="AZ83" s="441"/>
      <c r="BA83" s="441"/>
      <c r="BB83" s="441"/>
      <c r="BC83" s="441"/>
      <c r="BD83" s="441"/>
      <c r="BE83" s="441"/>
      <c r="BF83" s="441"/>
    </row>
    <row r="84" ht="12.75" hidden="1" customHeight="1" outlineLevel="1">
      <c r="A84" s="492" t="s">
        <v>762</v>
      </c>
      <c r="B84" s="496">
        <f t="shared" ref="B84:H84" si="49">B81/$B83</f>
        <v>2.166666667</v>
      </c>
      <c r="C84" s="496">
        <f t="shared" si="49"/>
        <v>3.166666667</v>
      </c>
      <c r="D84" s="496">
        <f t="shared" si="49"/>
        <v>4.166666667</v>
      </c>
      <c r="E84" s="496">
        <f t="shared" si="49"/>
        <v>5.5</v>
      </c>
      <c r="F84" s="496">
        <f t="shared" si="49"/>
        <v>6.833333333</v>
      </c>
      <c r="G84" s="496">
        <f t="shared" si="49"/>
        <v>8.5</v>
      </c>
      <c r="H84" s="496">
        <f t="shared" si="49"/>
        <v>10.33333333</v>
      </c>
      <c r="I84" s="486"/>
      <c r="J84" s="487"/>
      <c r="K84" s="485"/>
      <c r="L84" s="485" t="str">
        <f>VLOOKUP(A84,'Кузнец'!$B$145:$J$193,9,FALSE)</f>
        <v>#N/A</v>
      </c>
      <c r="M84" s="494"/>
      <c r="N84" s="490" t="str">
        <f>VLOOKUP(A84,'Кузнец'!$B$145:$J$193,4,FALSE)</f>
        <v>#N/A</v>
      </c>
      <c r="O84" s="490"/>
      <c r="P84" s="490"/>
      <c r="Q84" s="490"/>
      <c r="R84" s="490"/>
      <c r="S84" s="454">
        <v>0.0</v>
      </c>
      <c r="T84" s="467"/>
      <c r="U84" s="467"/>
      <c r="V84" s="438"/>
      <c r="W84" s="438"/>
      <c r="X84" s="467"/>
      <c r="Y84" s="467"/>
      <c r="Z84" s="467"/>
      <c r="AA84" s="467"/>
      <c r="AB84" s="467"/>
      <c r="AC84" s="438"/>
      <c r="AD84" s="438"/>
      <c r="AE84" s="441"/>
      <c r="AF84" s="497" t="s">
        <v>814</v>
      </c>
      <c r="AG84" s="497" t="str">
        <f t="shared" ref="AG84:AL84" si="50">#REF!+AG$117+AG157</f>
        <v>#REF!</v>
      </c>
      <c r="AH84" s="497" t="str">
        <f t="shared" si="50"/>
        <v>#REF!</v>
      </c>
      <c r="AI84" s="497" t="str">
        <f t="shared" si="50"/>
        <v>#REF!</v>
      </c>
      <c r="AJ84" s="497" t="str">
        <f t="shared" si="50"/>
        <v>#REF!</v>
      </c>
      <c r="AK84" s="497" t="str">
        <f t="shared" si="50"/>
        <v>#REF!</v>
      </c>
      <c r="AL84" s="497" t="str">
        <f t="shared" si="50"/>
        <v>#REF!</v>
      </c>
      <c r="AM84" s="441"/>
      <c r="AN84" s="441"/>
      <c r="AO84" s="441"/>
      <c r="AP84" s="441"/>
      <c r="AQ84" s="441"/>
      <c r="AR84" s="441"/>
      <c r="AS84" s="441"/>
      <c r="AT84" s="441"/>
      <c r="AU84" s="441"/>
      <c r="AV84" s="441"/>
      <c r="AW84" s="441"/>
      <c r="AX84" s="441"/>
      <c r="AY84" s="441"/>
      <c r="AZ84" s="441"/>
      <c r="BA84" s="441"/>
      <c r="BB84" s="441"/>
      <c r="BC84" s="441"/>
      <c r="BD84" s="441"/>
      <c r="BE84" s="441"/>
      <c r="BF84" s="441"/>
    </row>
    <row r="85" collapsed="1">
      <c r="A85" s="484" t="s">
        <v>825</v>
      </c>
      <c r="B85" s="485" t="s">
        <v>816</v>
      </c>
      <c r="C85" s="485" t="s">
        <v>817</v>
      </c>
      <c r="D85" s="485" t="s">
        <v>818</v>
      </c>
      <c r="E85" s="485" t="s">
        <v>819</v>
      </c>
      <c r="F85" s="485" t="s">
        <v>820</v>
      </c>
      <c r="G85" s="485" t="s">
        <v>821</v>
      </c>
      <c r="H85" s="485" t="s">
        <v>822</v>
      </c>
      <c r="I85" s="486" t="s">
        <v>754</v>
      </c>
      <c r="J85" s="487">
        <v>0.0</v>
      </c>
      <c r="K85" s="485">
        <v>3.0</v>
      </c>
      <c r="L85" s="488">
        <f>VLOOKUP(A85,'Кузнец'!$B$145:$J$193,9,FALSE)</f>
        <v>2.84</v>
      </c>
      <c r="M85" s="489" t="s">
        <v>826</v>
      </c>
      <c r="N85" s="490">
        <f>VLOOKUP(A85,'Кузнец'!$B$145:$J$193,4,FALSE)</f>
        <v>12</v>
      </c>
      <c r="O85" s="490">
        <v>18.0</v>
      </c>
      <c r="P85" s="491" t="s">
        <v>804</v>
      </c>
      <c r="Q85" s="490"/>
      <c r="R85" s="491" t="s">
        <v>827</v>
      </c>
      <c r="S85" s="454">
        <v>0.0</v>
      </c>
      <c r="T85" s="467"/>
      <c r="U85" s="467"/>
      <c r="V85" s="438"/>
      <c r="W85" s="438"/>
      <c r="X85" s="440">
        <v>34.0</v>
      </c>
      <c r="Y85" s="440">
        <v>37.0</v>
      </c>
      <c r="Z85" s="440">
        <v>40.0</v>
      </c>
      <c r="AA85" s="440">
        <v>43.0</v>
      </c>
      <c r="AB85" s="440">
        <v>46.0</v>
      </c>
      <c r="AC85" s="440">
        <v>49.0</v>
      </c>
      <c r="AD85" s="440">
        <v>52.0</v>
      </c>
      <c r="AE85" s="441"/>
      <c r="AF85" s="497" t="s">
        <v>828</v>
      </c>
      <c r="AG85" s="497">
        <f t="shared" ref="AG85:AL85" si="51">AG$93*$AH$158+AG$101*$AI$158+$AG$158</f>
        <v>90</v>
      </c>
      <c r="AH85" s="497">
        <f t="shared" si="51"/>
        <v>102</v>
      </c>
      <c r="AI85" s="497">
        <f t="shared" si="51"/>
        <v>114</v>
      </c>
      <c r="AJ85" s="497">
        <f t="shared" si="51"/>
        <v>119</v>
      </c>
      <c r="AK85" s="497">
        <f t="shared" si="51"/>
        <v>124</v>
      </c>
      <c r="AL85" s="497">
        <f t="shared" si="51"/>
        <v>129</v>
      </c>
      <c r="AM85" s="441"/>
      <c r="AN85" s="441"/>
      <c r="AO85" s="441"/>
      <c r="AP85" s="441"/>
      <c r="AQ85" s="441"/>
      <c r="AR85" s="441"/>
      <c r="AS85" s="441"/>
      <c r="AT85" s="441"/>
      <c r="AU85" s="441"/>
      <c r="AV85" s="441"/>
      <c r="AW85" s="441"/>
      <c r="AX85" s="441"/>
      <c r="AY85" s="441"/>
      <c r="AZ85" s="441"/>
      <c r="BA85" s="441"/>
      <c r="BB85" s="441"/>
      <c r="BC85" s="441"/>
      <c r="BD85" s="441"/>
      <c r="BE85" s="441"/>
      <c r="BF85" s="441"/>
    </row>
    <row r="86" hidden="1" outlineLevel="1">
      <c r="A86" s="492" t="s">
        <v>756</v>
      </c>
      <c r="B86" s="493">
        <v>1.0</v>
      </c>
      <c r="C86" s="493">
        <v>1.0</v>
      </c>
      <c r="D86" s="493">
        <v>1.0</v>
      </c>
      <c r="E86" s="493">
        <v>1.0</v>
      </c>
      <c r="F86" s="493">
        <v>3.0</v>
      </c>
      <c r="G86" s="493">
        <v>3.0</v>
      </c>
      <c r="H86" s="493">
        <v>4.0</v>
      </c>
      <c r="I86" s="486"/>
      <c r="J86" s="487"/>
      <c r="K86" s="485"/>
      <c r="L86" s="485" t="str">
        <f>VLOOKUP(A86,'Кузнец'!$B$145:$J$193,9,FALSE)</f>
        <v>#N/A</v>
      </c>
      <c r="M86" s="494"/>
      <c r="N86" s="490" t="str">
        <f>VLOOKUP(A86,'Кузнец'!$B$145:$J$193,4,FALSE)</f>
        <v>#N/A</v>
      </c>
      <c r="O86" s="490"/>
      <c r="P86" s="490"/>
      <c r="Q86" s="490"/>
      <c r="R86" s="490"/>
      <c r="S86" s="454">
        <v>0.0</v>
      </c>
      <c r="T86" s="467"/>
      <c r="U86" s="467"/>
      <c r="V86" s="438"/>
      <c r="W86" s="438"/>
      <c r="X86" s="467"/>
      <c r="Y86" s="467"/>
      <c r="Z86" s="467"/>
      <c r="AA86" s="467"/>
      <c r="AB86" s="467"/>
      <c r="AC86" s="438"/>
      <c r="AD86" s="438"/>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row>
    <row r="87" hidden="1" outlineLevel="1">
      <c r="A87" s="492" t="s">
        <v>757</v>
      </c>
      <c r="B87" s="493">
        <v>10.0</v>
      </c>
      <c r="C87" s="493">
        <v>10.0</v>
      </c>
      <c r="D87" s="493">
        <v>12.0</v>
      </c>
      <c r="E87" s="493">
        <v>12.0</v>
      </c>
      <c r="F87" s="493">
        <v>18.0</v>
      </c>
      <c r="G87" s="493">
        <v>18.0</v>
      </c>
      <c r="H87" s="493">
        <v>24.0</v>
      </c>
      <c r="I87" s="486"/>
      <c r="J87" s="487"/>
      <c r="K87" s="485"/>
      <c r="L87" s="485" t="str">
        <f>VLOOKUP(A87,'Кузнец'!$B$145:$J$193,9,FALSE)</f>
        <v>#N/A</v>
      </c>
      <c r="M87" s="494"/>
      <c r="N87" s="490" t="str">
        <f>VLOOKUP(A87,'Кузнец'!$B$145:$J$193,4,FALSE)</f>
        <v>#N/A</v>
      </c>
      <c r="O87" s="490"/>
      <c r="P87" s="490"/>
      <c r="Q87" s="490"/>
      <c r="R87" s="490"/>
      <c r="S87" s="454">
        <v>0.0</v>
      </c>
      <c r="T87" s="467"/>
      <c r="U87" s="467"/>
      <c r="V87" s="438"/>
      <c r="W87" s="438"/>
      <c r="X87" s="467"/>
      <c r="Y87" s="467"/>
      <c r="Z87" s="467"/>
      <c r="AA87" s="467"/>
      <c r="AB87" s="467"/>
      <c r="AC87" s="438"/>
      <c r="AD87" s="438"/>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row>
    <row r="88" hidden="1" outlineLevel="1">
      <c r="A88" s="492" t="s">
        <v>758</v>
      </c>
      <c r="B88" s="493">
        <v>1.0</v>
      </c>
      <c r="C88" s="493">
        <v>4.0</v>
      </c>
      <c r="D88" s="493">
        <v>6.0</v>
      </c>
      <c r="E88" s="493">
        <v>10.0</v>
      </c>
      <c r="F88" s="493">
        <v>10.0</v>
      </c>
      <c r="G88" s="493">
        <v>15.0</v>
      </c>
      <c r="H88" s="493">
        <v>17.0</v>
      </c>
      <c r="I88" s="486"/>
      <c r="J88" s="487"/>
      <c r="K88" s="485"/>
      <c r="L88" s="485" t="str">
        <f>VLOOKUP(A88,'Кузнец'!$B$145:$J$193,9,FALSE)</f>
        <v>#N/A</v>
      </c>
      <c r="M88" s="494"/>
      <c r="N88" s="490" t="str">
        <f>VLOOKUP(A88,'Кузнец'!$B$145:$J$193,4,FALSE)</f>
        <v>#N/A</v>
      </c>
      <c r="O88" s="490"/>
      <c r="P88" s="490"/>
      <c r="Q88" s="490"/>
      <c r="R88" s="490"/>
      <c r="S88" s="454">
        <v>0.0</v>
      </c>
      <c r="T88" s="467"/>
      <c r="U88" s="467"/>
      <c r="V88" s="438"/>
      <c r="W88" s="438"/>
      <c r="X88" s="467"/>
      <c r="Y88" s="467"/>
      <c r="Z88" s="467"/>
      <c r="AA88" s="467"/>
      <c r="AB88" s="467"/>
      <c r="AC88" s="438"/>
      <c r="AD88" s="438"/>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row>
    <row r="89" hidden="1" outlineLevel="1">
      <c r="A89" s="492" t="s">
        <v>759</v>
      </c>
      <c r="B89" s="493">
        <f t="shared" ref="B89:H89" si="52">(B86+B87)/2+B88</f>
        <v>6.5</v>
      </c>
      <c r="C89" s="493">
        <f t="shared" si="52"/>
        <v>9.5</v>
      </c>
      <c r="D89" s="493">
        <f t="shared" si="52"/>
        <v>12.5</v>
      </c>
      <c r="E89" s="493">
        <f t="shared" si="52"/>
        <v>16.5</v>
      </c>
      <c r="F89" s="493">
        <f t="shared" si="52"/>
        <v>20.5</v>
      </c>
      <c r="G89" s="493">
        <f t="shared" si="52"/>
        <v>25.5</v>
      </c>
      <c r="H89" s="493">
        <f t="shared" si="52"/>
        <v>31</v>
      </c>
      <c r="I89" s="486"/>
      <c r="J89" s="487"/>
      <c r="K89" s="485"/>
      <c r="L89" s="485" t="str">
        <f>VLOOKUP(A89,'Кузнец'!$B$145:$J$193,9,FALSE)</f>
        <v>#N/A</v>
      </c>
      <c r="M89" s="494"/>
      <c r="N89" s="490" t="str">
        <f>VLOOKUP(A89,'Кузнец'!$B$145:$J$193,4,FALSE)</f>
        <v>#N/A</v>
      </c>
      <c r="O89" s="490"/>
      <c r="P89" s="490"/>
      <c r="Q89" s="490"/>
      <c r="R89" s="490"/>
      <c r="S89" s="454">
        <v>0.0</v>
      </c>
      <c r="T89" s="467"/>
      <c r="U89" s="467"/>
      <c r="V89" s="438"/>
      <c r="W89" s="438"/>
      <c r="X89" s="467"/>
      <c r="Y89" s="467"/>
      <c r="Z89" s="467"/>
      <c r="AA89" s="467"/>
      <c r="AB89" s="467"/>
      <c r="AC89" s="438"/>
      <c r="AD89" s="438"/>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row>
    <row r="90" hidden="1" outlineLevel="1">
      <c r="A90" s="492" t="s">
        <v>760</v>
      </c>
      <c r="B90" s="495"/>
      <c r="C90" s="495">
        <f t="shared" ref="C90:H90" si="53">C89/B89-1</f>
        <v>0.4615384615</v>
      </c>
      <c r="D90" s="495">
        <f t="shared" si="53"/>
        <v>0.3157894737</v>
      </c>
      <c r="E90" s="495">
        <f t="shared" si="53"/>
        <v>0.32</v>
      </c>
      <c r="F90" s="495">
        <f t="shared" si="53"/>
        <v>0.2424242424</v>
      </c>
      <c r="G90" s="495">
        <f t="shared" si="53"/>
        <v>0.243902439</v>
      </c>
      <c r="H90" s="495">
        <f t="shared" si="53"/>
        <v>0.2156862745</v>
      </c>
      <c r="I90" s="486"/>
      <c r="J90" s="487"/>
      <c r="K90" s="485"/>
      <c r="L90" s="485" t="str">
        <f>VLOOKUP(A90,'Кузнец'!$B$145:$J$193,9,FALSE)</f>
        <v>#N/A</v>
      </c>
      <c r="M90" s="494"/>
      <c r="N90" s="490" t="str">
        <f>VLOOKUP(A90,'Кузнец'!$B$145:$J$193,4,FALSE)</f>
        <v>#N/A</v>
      </c>
      <c r="O90" s="490"/>
      <c r="P90" s="490"/>
      <c r="Q90" s="490"/>
      <c r="R90" s="490"/>
      <c r="S90" s="454">
        <v>0.0</v>
      </c>
      <c r="T90" s="467"/>
      <c r="U90" s="467"/>
      <c r="V90" s="438"/>
      <c r="W90" s="438"/>
      <c r="X90" s="467"/>
      <c r="Y90" s="467"/>
      <c r="Z90" s="467"/>
      <c r="AA90" s="467"/>
      <c r="AB90" s="467"/>
      <c r="AC90" s="438"/>
      <c r="AD90" s="438"/>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row>
    <row r="91" hidden="1" outlineLevel="1">
      <c r="A91" s="492" t="s">
        <v>761</v>
      </c>
      <c r="B91" s="493">
        <f>$K85</f>
        <v>3</v>
      </c>
      <c r="C91" s="493"/>
      <c r="D91" s="495"/>
      <c r="E91" s="495"/>
      <c r="F91" s="495"/>
      <c r="G91" s="495"/>
      <c r="H91" s="495"/>
      <c r="I91" s="486"/>
      <c r="J91" s="487"/>
      <c r="K91" s="485"/>
      <c r="L91" s="485" t="str">
        <f>VLOOKUP(A91,'Кузнец'!$B$145:$J$193,9,FALSE)</f>
        <v>#N/A</v>
      </c>
      <c r="M91" s="494"/>
      <c r="N91" s="490" t="str">
        <f>VLOOKUP(A91,'Кузнец'!$B$145:$J$193,4,FALSE)</f>
        <v>#N/A</v>
      </c>
      <c r="O91" s="490"/>
      <c r="P91" s="490"/>
      <c r="Q91" s="490"/>
      <c r="R91" s="490"/>
      <c r="S91" s="454">
        <v>0.0</v>
      </c>
      <c r="T91" s="467"/>
      <c r="U91" s="467"/>
      <c r="V91" s="438"/>
      <c r="W91" s="438"/>
      <c r="X91" s="467"/>
      <c r="Y91" s="467"/>
      <c r="Z91" s="467"/>
      <c r="AA91" s="467"/>
      <c r="AB91" s="467"/>
      <c r="AC91" s="438"/>
      <c r="AD91" s="438"/>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row>
    <row r="92" hidden="1" outlineLevel="1">
      <c r="A92" s="492" t="s">
        <v>762</v>
      </c>
      <c r="B92" s="496">
        <f t="shared" ref="B92:H92" si="54">B89/$B91</f>
        <v>2.166666667</v>
      </c>
      <c r="C92" s="496">
        <f t="shared" si="54"/>
        <v>3.166666667</v>
      </c>
      <c r="D92" s="496">
        <f t="shared" si="54"/>
        <v>4.166666667</v>
      </c>
      <c r="E92" s="496">
        <f t="shared" si="54"/>
        <v>5.5</v>
      </c>
      <c r="F92" s="496">
        <f t="shared" si="54"/>
        <v>6.833333333</v>
      </c>
      <c r="G92" s="496">
        <f t="shared" si="54"/>
        <v>8.5</v>
      </c>
      <c r="H92" s="496">
        <f t="shared" si="54"/>
        <v>10.33333333</v>
      </c>
      <c r="I92" s="486"/>
      <c r="J92" s="487"/>
      <c r="K92" s="485"/>
      <c r="L92" s="485" t="str">
        <f>VLOOKUP(A92,'Кузнец'!$B$145:$J$193,9,FALSE)</f>
        <v>#N/A</v>
      </c>
      <c r="M92" s="494"/>
      <c r="N92" s="490" t="str">
        <f>VLOOKUP(A92,'Кузнец'!$B$145:$J$193,4,FALSE)</f>
        <v>#N/A</v>
      </c>
      <c r="O92" s="490"/>
      <c r="P92" s="490"/>
      <c r="Q92" s="490"/>
      <c r="R92" s="490"/>
      <c r="S92" s="454">
        <v>0.0</v>
      </c>
      <c r="T92" s="467"/>
      <c r="U92" s="467"/>
      <c r="V92" s="438"/>
      <c r="W92" s="438"/>
      <c r="X92" s="467"/>
      <c r="Y92" s="467"/>
      <c r="Z92" s="467"/>
      <c r="AA92" s="467"/>
      <c r="AB92" s="467"/>
      <c r="AC92" s="438"/>
      <c r="AD92" s="438"/>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row>
    <row r="93" collapsed="1">
      <c r="A93" s="484" t="s">
        <v>829</v>
      </c>
      <c r="B93" s="485" t="s">
        <v>816</v>
      </c>
      <c r="C93" s="485" t="s">
        <v>817</v>
      </c>
      <c r="D93" s="485" t="s">
        <v>818</v>
      </c>
      <c r="E93" s="485" t="s">
        <v>819</v>
      </c>
      <c r="F93" s="485" t="s">
        <v>820</v>
      </c>
      <c r="G93" s="485" t="s">
        <v>821</v>
      </c>
      <c r="H93" s="485" t="s">
        <v>822</v>
      </c>
      <c r="I93" s="486" t="s">
        <v>754</v>
      </c>
      <c r="J93" s="487">
        <v>0.0</v>
      </c>
      <c r="K93" s="485">
        <v>3.0</v>
      </c>
      <c r="L93" s="488">
        <f>VLOOKUP(A93,'Кузнец'!$B$145:$J$193,9,FALSE)</f>
        <v>3.55</v>
      </c>
      <c r="M93" s="489" t="s">
        <v>830</v>
      </c>
      <c r="N93" s="490">
        <f>VLOOKUP(A93,'Кузнец'!$B$145:$J$193,4,FALSE)</f>
        <v>13</v>
      </c>
      <c r="O93" s="490">
        <v>19.0</v>
      </c>
      <c r="P93" s="491" t="s">
        <v>804</v>
      </c>
      <c r="Q93" s="490"/>
      <c r="R93" s="491" t="s">
        <v>831</v>
      </c>
      <c r="S93" s="454">
        <v>0.0</v>
      </c>
      <c r="T93" s="460"/>
      <c r="U93" s="460">
        <v>0.05</v>
      </c>
      <c r="V93" s="438"/>
      <c r="W93" s="438"/>
      <c r="X93" s="440">
        <v>32.0</v>
      </c>
      <c r="Y93" s="440">
        <v>35.0</v>
      </c>
      <c r="Z93" s="440">
        <v>38.0</v>
      </c>
      <c r="AA93" s="440">
        <v>41.0</v>
      </c>
      <c r="AB93" s="440">
        <v>44.0</v>
      </c>
      <c r="AC93" s="440">
        <v>47.0</v>
      </c>
      <c r="AD93" s="440">
        <v>50.0</v>
      </c>
      <c r="AE93" s="441"/>
      <c r="AF93" s="498" t="s">
        <v>49</v>
      </c>
      <c r="AG93" s="499">
        <v>4.0</v>
      </c>
      <c r="AH93" s="499">
        <v>5.0</v>
      </c>
      <c r="AI93" s="499">
        <v>6.0</v>
      </c>
      <c r="AJ93" s="499">
        <v>7.0</v>
      </c>
      <c r="AK93" s="499">
        <v>8.0</v>
      </c>
      <c r="AL93" s="499">
        <v>9.0</v>
      </c>
      <c r="AM93" s="441"/>
      <c r="AN93" s="441"/>
      <c r="AO93" s="441"/>
      <c r="AP93" s="441"/>
      <c r="AQ93" s="441"/>
      <c r="AR93" s="441"/>
      <c r="AS93" s="441"/>
      <c r="AT93" s="441"/>
      <c r="AU93" s="441"/>
      <c r="AV93" s="441"/>
      <c r="AW93" s="441"/>
      <c r="AX93" s="441"/>
      <c r="AY93" s="441"/>
      <c r="AZ93" s="441"/>
      <c r="BA93" s="441"/>
      <c r="BB93" s="441"/>
      <c r="BC93" s="441"/>
      <c r="BD93" s="441"/>
      <c r="BE93" s="441"/>
      <c r="BF93" s="441"/>
    </row>
    <row r="94" hidden="1" outlineLevel="1">
      <c r="A94" s="492" t="s">
        <v>756</v>
      </c>
      <c r="B94" s="493">
        <v>1.0</v>
      </c>
      <c r="C94" s="493">
        <v>1.0</v>
      </c>
      <c r="D94" s="493">
        <v>1.0</v>
      </c>
      <c r="E94" s="493">
        <v>1.0</v>
      </c>
      <c r="F94" s="493">
        <v>3.0</v>
      </c>
      <c r="G94" s="493">
        <v>3.0</v>
      </c>
      <c r="H94" s="493">
        <v>4.0</v>
      </c>
      <c r="I94" s="486"/>
      <c r="J94" s="487"/>
      <c r="K94" s="485"/>
      <c r="L94" s="485" t="str">
        <f>VLOOKUP(A94,'Кузнец'!$B$145:$J$193,9,FALSE)</f>
        <v>#N/A</v>
      </c>
      <c r="M94" s="494"/>
      <c r="N94" s="490" t="str">
        <f>VLOOKUP(A94,'Кузнец'!$B$145:$J$193,4,FALSE)</f>
        <v>#N/A</v>
      </c>
      <c r="O94" s="490"/>
      <c r="P94" s="490"/>
      <c r="Q94" s="490"/>
      <c r="R94" s="490"/>
      <c r="S94" s="454">
        <v>0.0</v>
      </c>
      <c r="T94" s="467"/>
      <c r="U94" s="467"/>
      <c r="V94" s="438"/>
      <c r="W94" s="438"/>
      <c r="X94" s="467"/>
      <c r="Y94" s="467"/>
      <c r="Z94" s="467"/>
      <c r="AA94" s="467"/>
      <c r="AB94" s="467"/>
      <c r="AC94" s="438"/>
      <c r="AD94" s="438"/>
      <c r="AE94" s="441"/>
      <c r="AF94" s="499"/>
      <c r="AG94" s="499"/>
      <c r="AH94" s="499"/>
      <c r="AI94" s="499"/>
      <c r="AJ94" s="499"/>
      <c r="AK94" s="499"/>
      <c r="AL94" s="499"/>
      <c r="AM94" s="441"/>
      <c r="AN94" s="441"/>
      <c r="AO94" s="441"/>
      <c r="AP94" s="441"/>
      <c r="AQ94" s="441"/>
      <c r="AR94" s="441"/>
      <c r="AS94" s="441"/>
      <c r="AT94" s="441"/>
      <c r="AU94" s="441"/>
      <c r="AV94" s="441"/>
      <c r="AW94" s="441"/>
      <c r="AX94" s="441"/>
      <c r="AY94" s="441"/>
      <c r="AZ94" s="441"/>
      <c r="BA94" s="441"/>
      <c r="BB94" s="441"/>
      <c r="BC94" s="441"/>
      <c r="BD94" s="441"/>
      <c r="BE94" s="441"/>
      <c r="BF94" s="441"/>
    </row>
    <row r="95" hidden="1" outlineLevel="1">
      <c r="A95" s="492" t="s">
        <v>757</v>
      </c>
      <c r="B95" s="493">
        <v>10.0</v>
      </c>
      <c r="C95" s="493">
        <v>10.0</v>
      </c>
      <c r="D95" s="493">
        <v>12.0</v>
      </c>
      <c r="E95" s="493">
        <v>12.0</v>
      </c>
      <c r="F95" s="493">
        <v>18.0</v>
      </c>
      <c r="G95" s="493">
        <v>18.0</v>
      </c>
      <c r="H95" s="493">
        <v>24.0</v>
      </c>
      <c r="I95" s="486"/>
      <c r="J95" s="487"/>
      <c r="K95" s="485"/>
      <c r="L95" s="485" t="str">
        <f>VLOOKUP(A95,'Кузнец'!$B$145:$J$193,9,FALSE)</f>
        <v>#N/A</v>
      </c>
      <c r="M95" s="494"/>
      <c r="N95" s="490" t="str">
        <f>VLOOKUP(A95,'Кузнец'!$B$145:$J$193,4,FALSE)</f>
        <v>#N/A</v>
      </c>
      <c r="O95" s="490"/>
      <c r="P95" s="490"/>
      <c r="Q95" s="490"/>
      <c r="R95" s="490"/>
      <c r="S95" s="454">
        <v>0.0</v>
      </c>
      <c r="T95" s="467"/>
      <c r="U95" s="467"/>
      <c r="V95" s="438"/>
      <c r="W95" s="438"/>
      <c r="X95" s="467"/>
      <c r="Y95" s="467"/>
      <c r="Z95" s="467"/>
      <c r="AA95" s="467"/>
      <c r="AB95" s="467"/>
      <c r="AC95" s="438"/>
      <c r="AD95" s="438"/>
      <c r="AE95" s="441"/>
      <c r="AF95" s="499"/>
      <c r="AG95" s="499"/>
      <c r="AH95" s="499"/>
      <c r="AI95" s="499"/>
      <c r="AJ95" s="499"/>
      <c r="AK95" s="499"/>
      <c r="AL95" s="499"/>
      <c r="AM95" s="441"/>
      <c r="AN95" s="441"/>
      <c r="AO95" s="441"/>
      <c r="AP95" s="441"/>
      <c r="AQ95" s="441"/>
      <c r="AR95" s="441"/>
      <c r="AS95" s="441"/>
      <c r="AT95" s="441"/>
      <c r="AU95" s="441"/>
      <c r="AV95" s="441"/>
      <c r="AW95" s="441"/>
      <c r="AX95" s="441"/>
      <c r="AY95" s="441"/>
      <c r="AZ95" s="441"/>
      <c r="BA95" s="441"/>
      <c r="BB95" s="441"/>
      <c r="BC95" s="441"/>
      <c r="BD95" s="441"/>
      <c r="BE95" s="441"/>
      <c r="BF95" s="441"/>
    </row>
    <row r="96" hidden="1" outlineLevel="1">
      <c r="A96" s="492" t="s">
        <v>758</v>
      </c>
      <c r="B96" s="493">
        <v>1.0</v>
      </c>
      <c r="C96" s="493">
        <v>4.0</v>
      </c>
      <c r="D96" s="493">
        <v>6.0</v>
      </c>
      <c r="E96" s="493">
        <v>10.0</v>
      </c>
      <c r="F96" s="493">
        <v>10.0</v>
      </c>
      <c r="G96" s="493">
        <v>15.0</v>
      </c>
      <c r="H96" s="493">
        <v>17.0</v>
      </c>
      <c r="I96" s="486"/>
      <c r="J96" s="487"/>
      <c r="K96" s="485"/>
      <c r="L96" s="485" t="str">
        <f>VLOOKUP(A96,'Кузнец'!$B$145:$J$193,9,FALSE)</f>
        <v>#N/A</v>
      </c>
      <c r="M96" s="494"/>
      <c r="N96" s="490" t="str">
        <f>VLOOKUP(A96,'Кузнец'!$B$145:$J$193,4,FALSE)</f>
        <v>#N/A</v>
      </c>
      <c r="O96" s="490"/>
      <c r="P96" s="490"/>
      <c r="Q96" s="490"/>
      <c r="R96" s="490"/>
      <c r="S96" s="454">
        <v>0.0</v>
      </c>
      <c r="T96" s="467"/>
      <c r="U96" s="467"/>
      <c r="V96" s="438"/>
      <c r="W96" s="438"/>
      <c r="X96" s="467"/>
      <c r="Y96" s="467"/>
      <c r="Z96" s="467"/>
      <c r="AA96" s="467"/>
      <c r="AB96" s="467"/>
      <c r="AC96" s="438"/>
      <c r="AD96" s="438"/>
      <c r="AE96" s="441"/>
      <c r="AF96" s="499"/>
      <c r="AG96" s="499"/>
      <c r="AH96" s="499"/>
      <c r="AI96" s="499"/>
      <c r="AJ96" s="499"/>
      <c r="AK96" s="499"/>
      <c r="AL96" s="499"/>
      <c r="AM96" s="441"/>
      <c r="AN96" s="441"/>
      <c r="AO96" s="441"/>
      <c r="AP96" s="441"/>
      <c r="AQ96" s="441"/>
      <c r="AR96" s="441"/>
      <c r="AS96" s="441"/>
      <c r="AT96" s="441"/>
      <c r="AU96" s="441"/>
      <c r="AV96" s="441"/>
      <c r="AW96" s="441"/>
      <c r="AX96" s="441"/>
      <c r="AY96" s="441"/>
      <c r="AZ96" s="441"/>
      <c r="BA96" s="441"/>
      <c r="BB96" s="441"/>
      <c r="BC96" s="441"/>
      <c r="BD96" s="441"/>
      <c r="BE96" s="441"/>
      <c r="BF96" s="441"/>
    </row>
    <row r="97" hidden="1" outlineLevel="1">
      <c r="A97" s="492" t="s">
        <v>759</v>
      </c>
      <c r="B97" s="493">
        <f t="shared" ref="B97:H97" si="55">(B94+B95)/2+B96</f>
        <v>6.5</v>
      </c>
      <c r="C97" s="493">
        <f t="shared" si="55"/>
        <v>9.5</v>
      </c>
      <c r="D97" s="493">
        <f t="shared" si="55"/>
        <v>12.5</v>
      </c>
      <c r="E97" s="493">
        <f t="shared" si="55"/>
        <v>16.5</v>
      </c>
      <c r="F97" s="493">
        <f t="shared" si="55"/>
        <v>20.5</v>
      </c>
      <c r="G97" s="493">
        <f t="shared" si="55"/>
        <v>25.5</v>
      </c>
      <c r="H97" s="493">
        <f t="shared" si="55"/>
        <v>31</v>
      </c>
      <c r="I97" s="486"/>
      <c r="J97" s="487"/>
      <c r="K97" s="485"/>
      <c r="L97" s="485" t="str">
        <f>VLOOKUP(A97,'Кузнец'!$B$145:$J$193,9,FALSE)</f>
        <v>#N/A</v>
      </c>
      <c r="M97" s="494"/>
      <c r="N97" s="490" t="str">
        <f>VLOOKUP(A97,'Кузнец'!$B$145:$J$193,4,FALSE)</f>
        <v>#N/A</v>
      </c>
      <c r="O97" s="490"/>
      <c r="P97" s="490"/>
      <c r="Q97" s="490"/>
      <c r="R97" s="490"/>
      <c r="S97" s="454">
        <v>0.0</v>
      </c>
      <c r="T97" s="467"/>
      <c r="U97" s="467"/>
      <c r="V97" s="438"/>
      <c r="W97" s="438"/>
      <c r="X97" s="467"/>
      <c r="Y97" s="467"/>
      <c r="Z97" s="467"/>
      <c r="AA97" s="467"/>
      <c r="AB97" s="467"/>
      <c r="AC97" s="438"/>
      <c r="AD97" s="438"/>
      <c r="AE97" s="441"/>
      <c r="AF97" s="499"/>
      <c r="AG97" s="499"/>
      <c r="AH97" s="499"/>
      <c r="AI97" s="499"/>
      <c r="AJ97" s="499"/>
      <c r="AK97" s="499"/>
      <c r="AL97" s="499"/>
      <c r="AM97" s="441"/>
      <c r="AN97" s="441"/>
      <c r="AO97" s="441"/>
      <c r="AP97" s="441"/>
      <c r="AQ97" s="441"/>
      <c r="AR97" s="441"/>
      <c r="AS97" s="441"/>
      <c r="AT97" s="441"/>
      <c r="AU97" s="441"/>
      <c r="AV97" s="441"/>
      <c r="AW97" s="441"/>
      <c r="AX97" s="441"/>
      <c r="AY97" s="441"/>
      <c r="AZ97" s="441"/>
      <c r="BA97" s="441"/>
      <c r="BB97" s="441"/>
      <c r="BC97" s="441"/>
      <c r="BD97" s="441"/>
      <c r="BE97" s="441"/>
      <c r="BF97" s="441"/>
    </row>
    <row r="98" hidden="1" outlineLevel="1">
      <c r="A98" s="492" t="s">
        <v>760</v>
      </c>
      <c r="B98" s="495"/>
      <c r="C98" s="495">
        <f t="shared" ref="C98:H98" si="56">C97/B97-1</f>
        <v>0.4615384615</v>
      </c>
      <c r="D98" s="495">
        <f t="shared" si="56"/>
        <v>0.3157894737</v>
      </c>
      <c r="E98" s="495">
        <f t="shared" si="56"/>
        <v>0.32</v>
      </c>
      <c r="F98" s="495">
        <f t="shared" si="56"/>
        <v>0.2424242424</v>
      </c>
      <c r="G98" s="495">
        <f t="shared" si="56"/>
        <v>0.243902439</v>
      </c>
      <c r="H98" s="495">
        <f t="shared" si="56"/>
        <v>0.2156862745</v>
      </c>
      <c r="I98" s="486"/>
      <c r="J98" s="487"/>
      <c r="K98" s="485"/>
      <c r="L98" s="485" t="str">
        <f>VLOOKUP(A98,'Кузнец'!$B$145:$J$193,9,FALSE)</f>
        <v>#N/A</v>
      </c>
      <c r="M98" s="494"/>
      <c r="N98" s="490" t="str">
        <f>VLOOKUP(A98,'Кузнец'!$B$145:$J$193,4,FALSE)</f>
        <v>#N/A</v>
      </c>
      <c r="O98" s="490"/>
      <c r="P98" s="490"/>
      <c r="Q98" s="490"/>
      <c r="R98" s="490"/>
      <c r="S98" s="454">
        <v>0.0</v>
      </c>
      <c r="T98" s="467"/>
      <c r="U98" s="467"/>
      <c r="V98" s="438"/>
      <c r="W98" s="438"/>
      <c r="X98" s="467"/>
      <c r="Y98" s="467"/>
      <c r="Z98" s="467"/>
      <c r="AA98" s="467"/>
      <c r="AB98" s="467"/>
      <c r="AC98" s="438"/>
      <c r="AD98" s="438"/>
      <c r="AE98" s="441"/>
      <c r="AF98" s="499"/>
      <c r="AG98" s="499"/>
      <c r="AH98" s="499"/>
      <c r="AI98" s="499"/>
      <c r="AJ98" s="499"/>
      <c r="AK98" s="499"/>
      <c r="AL98" s="499"/>
      <c r="AM98" s="441"/>
      <c r="AN98" s="441"/>
      <c r="AO98" s="441"/>
      <c r="AP98" s="441"/>
      <c r="AQ98" s="441"/>
      <c r="AR98" s="441"/>
      <c r="AS98" s="441"/>
      <c r="AT98" s="441"/>
      <c r="AU98" s="441"/>
      <c r="AV98" s="441"/>
      <c r="AW98" s="441"/>
      <c r="AX98" s="441"/>
      <c r="AY98" s="441"/>
      <c r="AZ98" s="441"/>
      <c r="BA98" s="441"/>
      <c r="BB98" s="441"/>
      <c r="BC98" s="441"/>
      <c r="BD98" s="441"/>
      <c r="BE98" s="441"/>
      <c r="BF98" s="441"/>
    </row>
    <row r="99" hidden="1" outlineLevel="1">
      <c r="A99" s="492" t="s">
        <v>761</v>
      </c>
      <c r="B99" s="493">
        <f>$K93</f>
        <v>3</v>
      </c>
      <c r="C99" s="493"/>
      <c r="D99" s="495"/>
      <c r="E99" s="495"/>
      <c r="F99" s="495"/>
      <c r="G99" s="495"/>
      <c r="H99" s="495"/>
      <c r="I99" s="486"/>
      <c r="J99" s="487"/>
      <c r="K99" s="485"/>
      <c r="L99" s="485" t="str">
        <f>VLOOKUP(A99,'Кузнец'!$B$145:$J$193,9,FALSE)</f>
        <v>#N/A</v>
      </c>
      <c r="M99" s="494"/>
      <c r="N99" s="490" t="str">
        <f>VLOOKUP(A99,'Кузнец'!$B$145:$J$193,4,FALSE)</f>
        <v>#N/A</v>
      </c>
      <c r="O99" s="490"/>
      <c r="P99" s="490"/>
      <c r="Q99" s="490"/>
      <c r="R99" s="490"/>
      <c r="S99" s="454">
        <v>0.0</v>
      </c>
      <c r="T99" s="467"/>
      <c r="U99" s="467"/>
      <c r="V99" s="438"/>
      <c r="W99" s="438"/>
      <c r="X99" s="467"/>
      <c r="Y99" s="467"/>
      <c r="Z99" s="467"/>
      <c r="AA99" s="467"/>
      <c r="AB99" s="467"/>
      <c r="AC99" s="438"/>
      <c r="AD99" s="438"/>
      <c r="AE99" s="441"/>
      <c r="AF99" s="499"/>
      <c r="AG99" s="499"/>
      <c r="AH99" s="499"/>
      <c r="AI99" s="499"/>
      <c r="AJ99" s="499"/>
      <c r="AK99" s="499"/>
      <c r="AL99" s="499"/>
      <c r="AM99" s="441"/>
      <c r="AN99" s="441"/>
      <c r="AO99" s="441"/>
      <c r="AP99" s="441"/>
      <c r="AQ99" s="441"/>
      <c r="AR99" s="441"/>
      <c r="AS99" s="441"/>
      <c r="AT99" s="441"/>
      <c r="AU99" s="441"/>
      <c r="AV99" s="441"/>
      <c r="AW99" s="441"/>
      <c r="AX99" s="441"/>
      <c r="AY99" s="441"/>
      <c r="AZ99" s="441"/>
      <c r="BA99" s="441"/>
      <c r="BB99" s="441"/>
      <c r="BC99" s="441"/>
      <c r="BD99" s="441"/>
      <c r="BE99" s="441"/>
      <c r="BF99" s="441"/>
    </row>
    <row r="100" hidden="1" outlineLevel="1">
      <c r="A100" s="492" t="s">
        <v>762</v>
      </c>
      <c r="B100" s="496">
        <f t="shared" ref="B100:H100" si="57">B97/$B99</f>
        <v>2.166666667</v>
      </c>
      <c r="C100" s="496">
        <f t="shared" si="57"/>
        <v>3.166666667</v>
      </c>
      <c r="D100" s="496">
        <f t="shared" si="57"/>
        <v>4.166666667</v>
      </c>
      <c r="E100" s="496">
        <f t="shared" si="57"/>
        <v>5.5</v>
      </c>
      <c r="F100" s="496">
        <f t="shared" si="57"/>
        <v>6.833333333</v>
      </c>
      <c r="G100" s="496">
        <f t="shared" si="57"/>
        <v>8.5</v>
      </c>
      <c r="H100" s="496">
        <f t="shared" si="57"/>
        <v>10.33333333</v>
      </c>
      <c r="I100" s="486"/>
      <c r="J100" s="487"/>
      <c r="K100" s="485"/>
      <c r="L100" s="485" t="str">
        <f>VLOOKUP(A100,'Кузнец'!$B$145:$J$193,9,FALSE)</f>
        <v>#N/A</v>
      </c>
      <c r="M100" s="494"/>
      <c r="N100" s="490" t="str">
        <f>VLOOKUP(A100,'Кузнец'!$B$145:$J$193,4,FALSE)</f>
        <v>#N/A</v>
      </c>
      <c r="O100" s="490"/>
      <c r="P100" s="490"/>
      <c r="Q100" s="490"/>
      <c r="R100" s="490"/>
      <c r="S100" s="454">
        <v>0.0</v>
      </c>
      <c r="T100" s="467"/>
      <c r="U100" s="467"/>
      <c r="V100" s="438"/>
      <c r="W100" s="438"/>
      <c r="X100" s="467"/>
      <c r="Y100" s="467"/>
      <c r="Z100" s="467"/>
      <c r="AA100" s="467"/>
      <c r="AB100" s="467"/>
      <c r="AC100" s="438"/>
      <c r="AD100" s="438"/>
      <c r="AE100" s="441"/>
      <c r="AF100" s="499"/>
      <c r="AG100" s="499"/>
      <c r="AH100" s="499"/>
      <c r="AI100" s="499"/>
      <c r="AJ100" s="499"/>
      <c r="AK100" s="499"/>
      <c r="AL100" s="499"/>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row>
    <row r="101" collapsed="1">
      <c r="A101" s="484" t="s">
        <v>832</v>
      </c>
      <c r="B101" s="485" t="s">
        <v>833</v>
      </c>
      <c r="C101" s="485" t="s">
        <v>818</v>
      </c>
      <c r="D101" s="485" t="s">
        <v>834</v>
      </c>
      <c r="E101" s="485" t="s">
        <v>835</v>
      </c>
      <c r="F101" s="485" t="s">
        <v>836</v>
      </c>
      <c r="G101" s="485" t="s">
        <v>837</v>
      </c>
      <c r="H101" s="485" t="s">
        <v>838</v>
      </c>
      <c r="I101" s="486" t="s">
        <v>770</v>
      </c>
      <c r="J101" s="487">
        <v>0.0</v>
      </c>
      <c r="K101" s="485">
        <v>4.0</v>
      </c>
      <c r="L101" s="488">
        <f>VLOOKUP(A101,'Кузнец'!$B$145:$J$193,9,FALSE)</f>
        <v>3.6</v>
      </c>
      <c r="M101" s="489" t="s">
        <v>839</v>
      </c>
      <c r="N101" s="490">
        <f>VLOOKUP(A101,'Кузнец'!$B$145:$J$193,4,FALSE)</f>
        <v>14</v>
      </c>
      <c r="O101" s="490">
        <v>20.0</v>
      </c>
      <c r="P101" s="491" t="s">
        <v>804</v>
      </c>
      <c r="Q101" s="490"/>
      <c r="R101" s="491" t="s">
        <v>840</v>
      </c>
      <c r="S101" s="454">
        <v>0.0</v>
      </c>
      <c r="T101" s="467"/>
      <c r="U101" s="467"/>
      <c r="V101" s="438"/>
      <c r="W101" s="438"/>
      <c r="X101" s="440">
        <v>35.0</v>
      </c>
      <c r="Y101" s="440">
        <v>39.0</v>
      </c>
      <c r="Z101" s="440">
        <v>43.0</v>
      </c>
      <c r="AA101" s="440">
        <v>47.0</v>
      </c>
      <c r="AB101" s="440">
        <v>51.0</v>
      </c>
      <c r="AC101" s="440">
        <v>55.0</v>
      </c>
      <c r="AD101" s="440">
        <v>59.0</v>
      </c>
      <c r="AE101" s="441"/>
      <c r="AF101" s="499" t="s">
        <v>841</v>
      </c>
      <c r="AG101" s="499">
        <v>0.0</v>
      </c>
      <c r="AH101" s="499">
        <v>1.0</v>
      </c>
      <c r="AI101" s="499">
        <v>2.0</v>
      </c>
      <c r="AJ101" s="499">
        <v>2.0</v>
      </c>
      <c r="AK101" s="499">
        <v>2.0</v>
      </c>
      <c r="AL101" s="499">
        <v>2.0</v>
      </c>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row>
    <row r="102" hidden="1" outlineLevel="1">
      <c r="A102" s="492" t="s">
        <v>756</v>
      </c>
      <c r="B102" s="493">
        <v>1.0</v>
      </c>
      <c r="C102" s="493">
        <v>1.0</v>
      </c>
      <c r="D102" s="493">
        <v>2.0</v>
      </c>
      <c r="E102" s="493">
        <v>2.0</v>
      </c>
      <c r="F102" s="493">
        <v>2.0</v>
      </c>
      <c r="G102" s="493">
        <v>2.0</v>
      </c>
      <c r="H102" s="493">
        <v>2.0</v>
      </c>
      <c r="I102" s="486"/>
      <c r="J102" s="487"/>
      <c r="K102" s="485"/>
      <c r="L102" s="485" t="str">
        <f>VLOOKUP(A102,'Кузнец'!$B$145:$J$193,9,FALSE)</f>
        <v>#N/A</v>
      </c>
      <c r="M102" s="494"/>
      <c r="N102" s="490" t="str">
        <f>VLOOKUP(A102,'Кузнец'!$B$145:$J$193,4,FALSE)</f>
        <v>#N/A</v>
      </c>
      <c r="O102" s="490"/>
      <c r="P102" s="490"/>
      <c r="Q102" s="490"/>
      <c r="R102" s="490"/>
      <c r="S102" s="454">
        <v>0.0</v>
      </c>
      <c r="T102" s="467"/>
      <c r="U102" s="467"/>
      <c r="V102" s="438"/>
      <c r="W102" s="438"/>
      <c r="X102" s="467"/>
      <c r="Y102" s="467"/>
      <c r="Z102" s="467"/>
      <c r="AA102" s="467"/>
      <c r="AB102" s="467"/>
      <c r="AC102" s="438"/>
      <c r="AD102" s="438"/>
      <c r="AE102" s="441"/>
      <c r="AF102" s="499"/>
      <c r="AG102" s="499"/>
      <c r="AH102" s="499"/>
      <c r="AI102" s="499"/>
      <c r="AJ102" s="499"/>
      <c r="AK102" s="499"/>
      <c r="AL102" s="499"/>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row>
    <row r="103" hidden="1" outlineLevel="1">
      <c r="A103" s="492" t="s">
        <v>757</v>
      </c>
      <c r="B103" s="493">
        <v>12.0</v>
      </c>
      <c r="C103" s="493">
        <v>12.0</v>
      </c>
      <c r="D103" s="493">
        <v>16.0</v>
      </c>
      <c r="E103" s="493">
        <v>16.0</v>
      </c>
      <c r="F103" s="493">
        <v>20.0</v>
      </c>
      <c r="G103" s="493">
        <v>20.0</v>
      </c>
      <c r="H103" s="493">
        <v>24.0</v>
      </c>
      <c r="I103" s="486"/>
      <c r="J103" s="487"/>
      <c r="K103" s="485"/>
      <c r="L103" s="485" t="str">
        <f>VLOOKUP(A103,'Кузнец'!$B$145:$J$193,9,FALSE)</f>
        <v>#N/A</v>
      </c>
      <c r="M103" s="494"/>
      <c r="N103" s="490" t="str">
        <f>VLOOKUP(A103,'Кузнец'!$B$145:$J$193,4,FALSE)</f>
        <v>#N/A</v>
      </c>
      <c r="O103" s="490"/>
      <c r="P103" s="490"/>
      <c r="Q103" s="490"/>
      <c r="R103" s="490"/>
      <c r="S103" s="454">
        <v>0.0</v>
      </c>
      <c r="T103" s="467"/>
      <c r="U103" s="467"/>
      <c r="V103" s="438"/>
      <c r="W103" s="438"/>
      <c r="X103" s="467"/>
      <c r="Y103" s="467"/>
      <c r="Z103" s="467"/>
      <c r="AA103" s="467"/>
      <c r="AB103" s="467"/>
      <c r="AC103" s="438"/>
      <c r="AD103" s="438"/>
      <c r="AE103" s="441"/>
      <c r="AF103" s="499"/>
      <c r="AG103" s="499"/>
      <c r="AH103" s="499"/>
      <c r="AI103" s="499"/>
      <c r="AJ103" s="499"/>
      <c r="AK103" s="499"/>
      <c r="AL103" s="499"/>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row>
    <row r="104" hidden="1" outlineLevel="1">
      <c r="A104" s="492" t="s">
        <v>758</v>
      </c>
      <c r="B104" s="493">
        <v>2.0</v>
      </c>
      <c r="C104" s="493">
        <v>6.0</v>
      </c>
      <c r="D104" s="493">
        <v>7.0</v>
      </c>
      <c r="E104" s="493">
        <v>12.0</v>
      </c>
      <c r="F104" s="493">
        <v>15.0</v>
      </c>
      <c r="G104" s="493">
        <v>21.0</v>
      </c>
      <c r="H104" s="493">
        <v>25.0</v>
      </c>
      <c r="I104" s="486"/>
      <c r="J104" s="487"/>
      <c r="K104" s="485"/>
      <c r="L104" s="485" t="str">
        <f>VLOOKUP(A104,'Кузнец'!$B$145:$J$193,9,FALSE)</f>
        <v>#N/A</v>
      </c>
      <c r="M104" s="494"/>
      <c r="N104" s="490" t="str">
        <f>VLOOKUP(A104,'Кузнец'!$B$145:$J$193,4,FALSE)</f>
        <v>#N/A</v>
      </c>
      <c r="O104" s="490"/>
      <c r="P104" s="490"/>
      <c r="Q104" s="490"/>
      <c r="R104" s="490"/>
      <c r="S104" s="454">
        <v>0.0</v>
      </c>
      <c r="T104" s="467"/>
      <c r="U104" s="467"/>
      <c r="V104" s="438"/>
      <c r="W104" s="438"/>
      <c r="X104" s="467"/>
      <c r="Y104" s="467"/>
      <c r="Z104" s="467"/>
      <c r="AA104" s="467"/>
      <c r="AB104" s="467"/>
      <c r="AC104" s="438"/>
      <c r="AD104" s="438"/>
      <c r="AE104" s="441"/>
      <c r="AF104" s="499"/>
      <c r="AG104" s="499"/>
      <c r="AH104" s="499"/>
      <c r="AI104" s="499"/>
      <c r="AJ104" s="499"/>
      <c r="AK104" s="499"/>
      <c r="AL104" s="499"/>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row>
    <row r="105" hidden="1" outlineLevel="1">
      <c r="A105" s="492" t="s">
        <v>759</v>
      </c>
      <c r="B105" s="493">
        <f t="shared" ref="B105:H105" si="58">(B102+B103)/2+B104</f>
        <v>8.5</v>
      </c>
      <c r="C105" s="493">
        <f t="shared" si="58"/>
        <v>12.5</v>
      </c>
      <c r="D105" s="493">
        <f t="shared" si="58"/>
        <v>16</v>
      </c>
      <c r="E105" s="493">
        <f t="shared" si="58"/>
        <v>21</v>
      </c>
      <c r="F105" s="493">
        <f t="shared" si="58"/>
        <v>26</v>
      </c>
      <c r="G105" s="493">
        <f t="shared" si="58"/>
        <v>32</v>
      </c>
      <c r="H105" s="493">
        <f t="shared" si="58"/>
        <v>38</v>
      </c>
      <c r="I105" s="486"/>
      <c r="J105" s="487"/>
      <c r="K105" s="485"/>
      <c r="L105" s="485" t="str">
        <f>VLOOKUP(A105,'Кузнец'!$B$145:$J$193,9,FALSE)</f>
        <v>#N/A</v>
      </c>
      <c r="M105" s="494"/>
      <c r="N105" s="490" t="str">
        <f>VLOOKUP(A105,'Кузнец'!$B$145:$J$193,4,FALSE)</f>
        <v>#N/A</v>
      </c>
      <c r="O105" s="490"/>
      <c r="P105" s="490"/>
      <c r="Q105" s="490"/>
      <c r="R105" s="490"/>
      <c r="S105" s="454">
        <v>0.0</v>
      </c>
      <c r="T105" s="467"/>
      <c r="U105" s="467"/>
      <c r="V105" s="438"/>
      <c r="W105" s="438"/>
      <c r="X105" s="467"/>
      <c r="Y105" s="467"/>
      <c r="Z105" s="467"/>
      <c r="AA105" s="467"/>
      <c r="AB105" s="467"/>
      <c r="AC105" s="438"/>
      <c r="AD105" s="438"/>
      <c r="AE105" s="441"/>
      <c r="AF105" s="499"/>
      <c r="AG105" s="499"/>
      <c r="AH105" s="499"/>
      <c r="AI105" s="499"/>
      <c r="AJ105" s="499"/>
      <c r="AK105" s="499"/>
      <c r="AL105" s="499"/>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row>
    <row r="106" hidden="1" outlineLevel="1">
      <c r="A106" s="492" t="s">
        <v>760</v>
      </c>
      <c r="B106" s="495"/>
      <c r="C106" s="495">
        <f t="shared" ref="C106:H106" si="59">C105/B105-1</f>
        <v>0.4705882353</v>
      </c>
      <c r="D106" s="495">
        <f t="shared" si="59"/>
        <v>0.28</v>
      </c>
      <c r="E106" s="495">
        <f t="shared" si="59"/>
        <v>0.3125</v>
      </c>
      <c r="F106" s="495">
        <f t="shared" si="59"/>
        <v>0.2380952381</v>
      </c>
      <c r="G106" s="495">
        <f t="shared" si="59"/>
        <v>0.2307692308</v>
      </c>
      <c r="H106" s="495">
        <f t="shared" si="59"/>
        <v>0.1875</v>
      </c>
      <c r="I106" s="486"/>
      <c r="J106" s="487"/>
      <c r="K106" s="485"/>
      <c r="L106" s="485" t="str">
        <f>VLOOKUP(A106,'Кузнец'!$B$145:$J$193,9,FALSE)</f>
        <v>#N/A</v>
      </c>
      <c r="M106" s="494"/>
      <c r="N106" s="490" t="str">
        <f>VLOOKUP(A106,'Кузнец'!$B$145:$J$193,4,FALSE)</f>
        <v>#N/A</v>
      </c>
      <c r="O106" s="490"/>
      <c r="P106" s="490"/>
      <c r="Q106" s="490"/>
      <c r="R106" s="490"/>
      <c r="S106" s="454">
        <v>0.0</v>
      </c>
      <c r="T106" s="467"/>
      <c r="U106" s="467"/>
      <c r="V106" s="438"/>
      <c r="W106" s="438"/>
      <c r="X106" s="467"/>
      <c r="Y106" s="467"/>
      <c r="Z106" s="467"/>
      <c r="AA106" s="467"/>
      <c r="AB106" s="467"/>
      <c r="AC106" s="438"/>
      <c r="AD106" s="438"/>
      <c r="AE106" s="441"/>
      <c r="AF106" s="499"/>
      <c r="AG106" s="499"/>
      <c r="AH106" s="499"/>
      <c r="AI106" s="499"/>
      <c r="AJ106" s="499"/>
      <c r="AK106" s="499"/>
      <c r="AL106" s="499"/>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row>
    <row r="107" hidden="1" outlineLevel="1">
      <c r="A107" s="492" t="s">
        <v>761</v>
      </c>
      <c r="B107" s="493">
        <f>$K101</f>
        <v>4</v>
      </c>
      <c r="C107" s="493"/>
      <c r="D107" s="495"/>
      <c r="E107" s="495"/>
      <c r="F107" s="495"/>
      <c r="G107" s="495"/>
      <c r="H107" s="495"/>
      <c r="I107" s="486"/>
      <c r="J107" s="487"/>
      <c r="K107" s="485"/>
      <c r="L107" s="485" t="str">
        <f>VLOOKUP(A107,'Кузнец'!$B$145:$J$193,9,FALSE)</f>
        <v>#N/A</v>
      </c>
      <c r="M107" s="494"/>
      <c r="N107" s="490" t="str">
        <f>VLOOKUP(A107,'Кузнец'!$B$145:$J$193,4,FALSE)</f>
        <v>#N/A</v>
      </c>
      <c r="O107" s="490"/>
      <c r="P107" s="490"/>
      <c r="Q107" s="490"/>
      <c r="R107" s="490"/>
      <c r="S107" s="454">
        <v>0.0</v>
      </c>
      <c r="T107" s="467"/>
      <c r="U107" s="467"/>
      <c r="V107" s="438"/>
      <c r="W107" s="438"/>
      <c r="X107" s="467"/>
      <c r="Y107" s="467"/>
      <c r="Z107" s="467"/>
      <c r="AA107" s="467"/>
      <c r="AB107" s="467"/>
      <c r="AC107" s="438"/>
      <c r="AD107" s="438"/>
      <c r="AE107" s="441"/>
      <c r="AF107" s="499"/>
      <c r="AG107" s="499"/>
      <c r="AH107" s="499"/>
      <c r="AI107" s="499"/>
      <c r="AJ107" s="499"/>
      <c r="AK107" s="499"/>
      <c r="AL107" s="499"/>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row>
    <row r="108" hidden="1" outlineLevel="1">
      <c r="A108" s="492" t="s">
        <v>762</v>
      </c>
      <c r="B108" s="496">
        <f t="shared" ref="B108:H108" si="60">B105/$B107</f>
        <v>2.125</v>
      </c>
      <c r="C108" s="496">
        <f t="shared" si="60"/>
        <v>3.125</v>
      </c>
      <c r="D108" s="496">
        <f t="shared" si="60"/>
        <v>4</v>
      </c>
      <c r="E108" s="496">
        <f t="shared" si="60"/>
        <v>5.25</v>
      </c>
      <c r="F108" s="496">
        <f t="shared" si="60"/>
        <v>6.5</v>
      </c>
      <c r="G108" s="496">
        <f t="shared" si="60"/>
        <v>8</v>
      </c>
      <c r="H108" s="496">
        <f t="shared" si="60"/>
        <v>9.5</v>
      </c>
      <c r="I108" s="486"/>
      <c r="J108" s="487"/>
      <c r="K108" s="485"/>
      <c r="L108" s="485" t="str">
        <f>VLOOKUP(A108,'Кузнец'!$B$145:$J$193,9,FALSE)</f>
        <v>#N/A</v>
      </c>
      <c r="M108" s="494"/>
      <c r="N108" s="490" t="str">
        <f>VLOOKUP(A108,'Кузнец'!$B$145:$J$193,4,FALSE)</f>
        <v>#N/A</v>
      </c>
      <c r="O108" s="490"/>
      <c r="P108" s="490"/>
      <c r="Q108" s="490"/>
      <c r="R108" s="490"/>
      <c r="S108" s="454">
        <v>0.0</v>
      </c>
      <c r="T108" s="467"/>
      <c r="U108" s="467"/>
      <c r="V108" s="438"/>
      <c r="W108" s="438"/>
      <c r="X108" s="467"/>
      <c r="Y108" s="467"/>
      <c r="Z108" s="467"/>
      <c r="AA108" s="467"/>
      <c r="AB108" s="467"/>
      <c r="AC108" s="438"/>
      <c r="AD108" s="438"/>
      <c r="AE108" s="441"/>
      <c r="AF108" s="499"/>
      <c r="AG108" s="499"/>
      <c r="AH108" s="499"/>
      <c r="AI108" s="499"/>
      <c r="AJ108" s="499"/>
      <c r="AK108" s="499"/>
      <c r="AL108" s="499"/>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row>
    <row r="109" collapsed="1">
      <c r="A109" s="484" t="s">
        <v>842</v>
      </c>
      <c r="B109" s="500" t="s">
        <v>843</v>
      </c>
      <c r="C109" s="501" t="s">
        <v>844</v>
      </c>
      <c r="D109" s="501" t="s">
        <v>845</v>
      </c>
      <c r="E109" s="501" t="s">
        <v>820</v>
      </c>
      <c r="F109" s="501" t="s">
        <v>846</v>
      </c>
      <c r="G109" s="501" t="s">
        <v>822</v>
      </c>
      <c r="H109" s="501" t="s">
        <v>847</v>
      </c>
      <c r="I109" s="486" t="s">
        <v>770</v>
      </c>
      <c r="J109" s="487">
        <v>1.0</v>
      </c>
      <c r="K109" s="502">
        <v>4.0</v>
      </c>
      <c r="L109" s="488">
        <f>VLOOKUP(A109,'Кузнец'!$B$145:$J$193,9,FALSE)</f>
        <v>4.38</v>
      </c>
      <c r="M109" s="489" t="s">
        <v>848</v>
      </c>
      <c r="N109" s="490">
        <f>VLOOKUP(A109,'Кузнец'!$B$145:$J$193,4,FALSE)</f>
        <v>17</v>
      </c>
      <c r="O109" s="490">
        <v>25.0</v>
      </c>
      <c r="P109" s="491" t="s">
        <v>804</v>
      </c>
      <c r="Q109" s="503"/>
      <c r="R109" s="491" t="s">
        <v>849</v>
      </c>
      <c r="S109" s="454">
        <v>0.0</v>
      </c>
      <c r="T109" s="467"/>
      <c r="U109" s="467"/>
      <c r="V109" s="504">
        <v>1.0</v>
      </c>
      <c r="W109" s="505"/>
      <c r="X109" s="506">
        <v>30.0</v>
      </c>
      <c r="Y109" s="506">
        <v>34.0</v>
      </c>
      <c r="Z109" s="506">
        <v>38.0</v>
      </c>
      <c r="AA109" s="506">
        <v>42.0</v>
      </c>
      <c r="AB109" s="506">
        <v>46.0</v>
      </c>
      <c r="AC109" s="506">
        <v>50.0</v>
      </c>
      <c r="AD109" s="506">
        <v>54.0</v>
      </c>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row>
    <row r="110" hidden="1" outlineLevel="1">
      <c r="A110" s="492" t="s">
        <v>756</v>
      </c>
      <c r="B110" s="493">
        <v>2.0</v>
      </c>
      <c r="C110" s="493">
        <v>2.0</v>
      </c>
      <c r="D110" s="507">
        <v>3.0</v>
      </c>
      <c r="E110" s="507">
        <v>3.0</v>
      </c>
      <c r="F110" s="507">
        <v>4.0</v>
      </c>
      <c r="G110" s="507">
        <v>4.0</v>
      </c>
      <c r="H110" s="507">
        <v>5.0</v>
      </c>
      <c r="I110" s="486"/>
      <c r="J110" s="487"/>
      <c r="K110" s="485"/>
      <c r="L110" s="485" t="str">
        <f>VLOOKUP(A110,'Кузнец'!$B$145:$J$193,9,FALSE)</f>
        <v>#N/A</v>
      </c>
      <c r="M110" s="494"/>
      <c r="N110" s="490" t="str">
        <f>VLOOKUP(A110,'Кузнец'!$B$145:$J$193,4,FALSE)</f>
        <v>#N/A</v>
      </c>
      <c r="O110" s="490"/>
      <c r="P110" s="490"/>
      <c r="Q110" s="503"/>
      <c r="R110" s="490"/>
      <c r="S110" s="454">
        <v>0.0</v>
      </c>
      <c r="T110" s="467"/>
      <c r="U110" s="467"/>
      <c r="V110" s="438"/>
      <c r="W110" s="438"/>
      <c r="X110" s="467"/>
      <c r="Y110" s="467"/>
      <c r="Z110" s="467"/>
      <c r="AA110" s="467"/>
      <c r="AB110" s="467"/>
      <c r="AC110" s="438"/>
      <c r="AD110" s="438"/>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row>
    <row r="111" hidden="1" outlineLevel="1">
      <c r="A111" s="492" t="s">
        <v>757</v>
      </c>
      <c r="B111" s="493">
        <v>12.0</v>
      </c>
      <c r="C111" s="493">
        <v>12.0</v>
      </c>
      <c r="D111" s="507">
        <v>18.0</v>
      </c>
      <c r="E111" s="507">
        <v>18.0</v>
      </c>
      <c r="F111" s="507">
        <v>24.0</v>
      </c>
      <c r="G111" s="507">
        <v>24.0</v>
      </c>
      <c r="H111" s="507">
        <v>30.0</v>
      </c>
      <c r="I111" s="486"/>
      <c r="J111" s="487"/>
      <c r="K111" s="485"/>
      <c r="L111" s="485" t="str">
        <f>VLOOKUP(A111,'Кузнец'!$B$145:$J$193,9,FALSE)</f>
        <v>#N/A</v>
      </c>
      <c r="M111" s="494"/>
      <c r="N111" s="490" t="str">
        <f>VLOOKUP(A111,'Кузнец'!$B$145:$J$193,4,FALSE)</f>
        <v>#N/A</v>
      </c>
      <c r="O111" s="490"/>
      <c r="P111" s="490"/>
      <c r="Q111" s="503"/>
      <c r="R111" s="490"/>
      <c r="S111" s="454">
        <v>0.0</v>
      </c>
      <c r="T111" s="467"/>
      <c r="U111" s="467"/>
      <c r="V111" s="438"/>
      <c r="W111" s="438"/>
      <c r="X111" s="467"/>
      <c r="Y111" s="467"/>
      <c r="Z111" s="467"/>
      <c r="AA111" s="467"/>
      <c r="AB111" s="467"/>
      <c r="AC111" s="438"/>
      <c r="AD111" s="438"/>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row>
    <row r="112" hidden="1" outlineLevel="1">
      <c r="A112" s="492" t="s">
        <v>758</v>
      </c>
      <c r="B112" s="507">
        <v>1.0</v>
      </c>
      <c r="C112" s="507">
        <v>5.0</v>
      </c>
      <c r="D112" s="507">
        <v>5.0</v>
      </c>
      <c r="E112" s="507">
        <v>10.0</v>
      </c>
      <c r="F112" s="507">
        <v>11.0</v>
      </c>
      <c r="G112" s="507">
        <v>17.0</v>
      </c>
      <c r="H112" s="507">
        <v>20.0</v>
      </c>
      <c r="I112" s="486"/>
      <c r="J112" s="487"/>
      <c r="K112" s="485"/>
      <c r="L112" s="485" t="str">
        <f>VLOOKUP(A112,'Кузнец'!$B$145:$J$193,9,FALSE)</f>
        <v>#N/A</v>
      </c>
      <c r="M112" s="494"/>
      <c r="N112" s="490" t="str">
        <f>VLOOKUP(A112,'Кузнец'!$B$145:$J$193,4,FALSE)</f>
        <v>#N/A</v>
      </c>
      <c r="O112" s="490"/>
      <c r="P112" s="490"/>
      <c r="Q112" s="503"/>
      <c r="R112" s="490"/>
      <c r="S112" s="454">
        <v>0.0</v>
      </c>
      <c r="T112" s="467"/>
      <c r="U112" s="467"/>
      <c r="V112" s="438"/>
      <c r="W112" s="438"/>
      <c r="X112" s="467"/>
      <c r="Y112" s="467"/>
      <c r="Z112" s="467"/>
      <c r="AA112" s="467"/>
      <c r="AB112" s="467"/>
      <c r="AC112" s="438"/>
      <c r="AD112" s="438"/>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row>
    <row r="113" hidden="1" outlineLevel="1">
      <c r="A113" s="492" t="s">
        <v>759</v>
      </c>
      <c r="B113" s="493">
        <f t="shared" ref="B113:H113" si="61">(B110+B111)/2+B112</f>
        <v>8</v>
      </c>
      <c r="C113" s="493">
        <f t="shared" si="61"/>
        <v>12</v>
      </c>
      <c r="D113" s="493">
        <f t="shared" si="61"/>
        <v>15.5</v>
      </c>
      <c r="E113" s="493">
        <f t="shared" si="61"/>
        <v>20.5</v>
      </c>
      <c r="F113" s="493">
        <f t="shared" si="61"/>
        <v>25</v>
      </c>
      <c r="G113" s="493">
        <f t="shared" si="61"/>
        <v>31</v>
      </c>
      <c r="H113" s="493">
        <f t="shared" si="61"/>
        <v>37.5</v>
      </c>
      <c r="I113" s="486"/>
      <c r="J113" s="487"/>
      <c r="K113" s="485"/>
      <c r="L113" s="485" t="str">
        <f>VLOOKUP(A113,'Кузнец'!$B$145:$J$193,9,FALSE)</f>
        <v>#N/A</v>
      </c>
      <c r="M113" s="494"/>
      <c r="N113" s="490" t="str">
        <f>VLOOKUP(A113,'Кузнец'!$B$145:$J$193,4,FALSE)</f>
        <v>#N/A</v>
      </c>
      <c r="O113" s="490"/>
      <c r="P113" s="490"/>
      <c r="Q113" s="503"/>
      <c r="R113" s="490"/>
      <c r="S113" s="454">
        <v>0.0</v>
      </c>
      <c r="T113" s="467"/>
      <c r="U113" s="467"/>
      <c r="V113" s="438"/>
      <c r="W113" s="438"/>
      <c r="X113" s="467"/>
      <c r="Y113" s="467"/>
      <c r="Z113" s="467"/>
      <c r="AA113" s="467"/>
      <c r="AB113" s="467"/>
      <c r="AC113" s="438"/>
      <c r="AD113" s="438"/>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row>
    <row r="114" hidden="1" outlineLevel="1">
      <c r="A114" s="492" t="s">
        <v>760</v>
      </c>
      <c r="B114" s="495"/>
      <c r="C114" s="495">
        <f t="shared" ref="C114:H114" si="62">C113/B113-1</f>
        <v>0.5</v>
      </c>
      <c r="D114" s="495">
        <f t="shared" si="62"/>
        <v>0.2916666667</v>
      </c>
      <c r="E114" s="495">
        <f t="shared" si="62"/>
        <v>0.3225806452</v>
      </c>
      <c r="F114" s="495">
        <f t="shared" si="62"/>
        <v>0.2195121951</v>
      </c>
      <c r="G114" s="495">
        <f t="shared" si="62"/>
        <v>0.24</v>
      </c>
      <c r="H114" s="495">
        <f t="shared" si="62"/>
        <v>0.2096774194</v>
      </c>
      <c r="I114" s="486"/>
      <c r="J114" s="487"/>
      <c r="K114" s="485"/>
      <c r="L114" s="485" t="str">
        <f>VLOOKUP(A114,'Кузнец'!$B$145:$J$193,9,FALSE)</f>
        <v>#N/A</v>
      </c>
      <c r="M114" s="494"/>
      <c r="N114" s="490" t="str">
        <f>VLOOKUP(A114,'Кузнец'!$B$145:$J$193,4,FALSE)</f>
        <v>#N/A</v>
      </c>
      <c r="O114" s="490"/>
      <c r="P114" s="490"/>
      <c r="Q114" s="503"/>
      <c r="R114" s="490"/>
      <c r="S114" s="454">
        <v>0.0</v>
      </c>
      <c r="T114" s="467"/>
      <c r="U114" s="467"/>
      <c r="V114" s="438"/>
      <c r="W114" s="438"/>
      <c r="X114" s="467"/>
      <c r="Y114" s="467"/>
      <c r="Z114" s="467"/>
      <c r="AA114" s="467"/>
      <c r="AB114" s="467"/>
      <c r="AC114" s="438"/>
      <c r="AD114" s="438"/>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row>
    <row r="115" hidden="1" outlineLevel="1">
      <c r="A115" s="492" t="s">
        <v>761</v>
      </c>
      <c r="B115" s="493">
        <f>$K109</f>
        <v>4</v>
      </c>
      <c r="C115" s="493"/>
      <c r="D115" s="495"/>
      <c r="E115" s="495"/>
      <c r="F115" s="495"/>
      <c r="G115" s="495"/>
      <c r="H115" s="495"/>
      <c r="I115" s="486"/>
      <c r="J115" s="487"/>
      <c r="K115" s="485"/>
      <c r="L115" s="485" t="str">
        <f>VLOOKUP(A115,'Кузнец'!$B$145:$J$193,9,FALSE)</f>
        <v>#N/A</v>
      </c>
      <c r="M115" s="494"/>
      <c r="N115" s="490" t="str">
        <f>VLOOKUP(A115,'Кузнец'!$B$145:$J$193,4,FALSE)</f>
        <v>#N/A</v>
      </c>
      <c r="O115" s="490"/>
      <c r="P115" s="490"/>
      <c r="Q115" s="503"/>
      <c r="R115" s="490"/>
      <c r="S115" s="454">
        <v>0.0</v>
      </c>
      <c r="T115" s="467"/>
      <c r="U115" s="467"/>
      <c r="V115" s="438"/>
      <c r="W115" s="438"/>
      <c r="X115" s="467"/>
      <c r="Y115" s="467"/>
      <c r="Z115" s="467"/>
      <c r="AA115" s="467"/>
      <c r="AB115" s="467"/>
      <c r="AC115" s="438"/>
      <c r="AD115" s="438"/>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row>
    <row r="116" hidden="1" outlineLevel="1">
      <c r="A116" s="492" t="s">
        <v>762</v>
      </c>
      <c r="B116" s="496">
        <f t="shared" ref="B116:H116" si="63">B113/$B115</f>
        <v>2</v>
      </c>
      <c r="C116" s="496">
        <f t="shared" si="63"/>
        <v>3</v>
      </c>
      <c r="D116" s="496">
        <f t="shared" si="63"/>
        <v>3.875</v>
      </c>
      <c r="E116" s="496">
        <f t="shared" si="63"/>
        <v>5.125</v>
      </c>
      <c r="F116" s="496">
        <f t="shared" si="63"/>
        <v>6.25</v>
      </c>
      <c r="G116" s="496">
        <f t="shared" si="63"/>
        <v>7.75</v>
      </c>
      <c r="H116" s="496">
        <f t="shared" si="63"/>
        <v>9.375</v>
      </c>
      <c r="I116" s="486"/>
      <c r="J116" s="487"/>
      <c r="K116" s="485"/>
      <c r="L116" s="485" t="str">
        <f>VLOOKUP(A116,'Кузнец'!$B$145:$J$193,9,FALSE)</f>
        <v>#N/A</v>
      </c>
      <c r="M116" s="494"/>
      <c r="N116" s="490" t="str">
        <f>VLOOKUP(A116,'Кузнец'!$B$145:$J$193,4,FALSE)</f>
        <v>#N/A</v>
      </c>
      <c r="O116" s="490"/>
      <c r="P116" s="490"/>
      <c r="Q116" s="503"/>
      <c r="R116" s="490"/>
      <c r="S116" s="454">
        <v>0.0</v>
      </c>
      <c r="T116" s="467"/>
      <c r="U116" s="467"/>
      <c r="V116" s="438"/>
      <c r="W116" s="438"/>
      <c r="X116" s="467"/>
      <c r="Y116" s="467"/>
      <c r="Z116" s="467"/>
      <c r="AA116" s="467"/>
      <c r="AB116" s="467"/>
      <c r="AC116" s="438"/>
      <c r="AD116" s="438"/>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row>
    <row r="117" collapsed="1">
      <c r="A117" s="484" t="s">
        <v>850</v>
      </c>
      <c r="B117" s="485" t="s">
        <v>851</v>
      </c>
      <c r="C117" s="485" t="s">
        <v>852</v>
      </c>
      <c r="D117" s="485" t="s">
        <v>853</v>
      </c>
      <c r="E117" s="485" t="s">
        <v>854</v>
      </c>
      <c r="F117" s="485" t="s">
        <v>855</v>
      </c>
      <c r="G117" s="485" t="s">
        <v>856</v>
      </c>
      <c r="H117" s="485" t="s">
        <v>857</v>
      </c>
      <c r="I117" s="486" t="s">
        <v>770</v>
      </c>
      <c r="J117" s="487">
        <v>0.0</v>
      </c>
      <c r="K117" s="485">
        <v>4.0</v>
      </c>
      <c r="L117" s="488">
        <f>VLOOKUP(A117,'Кузнец'!$B$145:$J$193,9,FALSE)</f>
        <v>4.32</v>
      </c>
      <c r="M117" s="489" t="s">
        <v>858</v>
      </c>
      <c r="N117" s="490">
        <f>VLOOKUP(A117,'Кузнец'!$B$145:$J$193,4,FALSE)</f>
        <v>18</v>
      </c>
      <c r="O117" s="490">
        <v>23.0</v>
      </c>
      <c r="P117" s="491" t="s">
        <v>859</v>
      </c>
      <c r="Q117" s="503"/>
      <c r="R117" s="491" t="s">
        <v>860</v>
      </c>
      <c r="S117" s="454">
        <v>0.0</v>
      </c>
      <c r="T117" s="467"/>
      <c r="U117" s="467"/>
      <c r="V117" s="438"/>
      <c r="W117" s="438"/>
      <c r="X117" s="440">
        <v>36.0</v>
      </c>
      <c r="Y117" s="440">
        <v>40.0</v>
      </c>
      <c r="Z117" s="440">
        <v>44.0</v>
      </c>
      <c r="AA117" s="440">
        <v>48.0</v>
      </c>
      <c r="AB117" s="440">
        <v>52.0</v>
      </c>
      <c r="AC117" s="440">
        <v>56.0</v>
      </c>
      <c r="AD117" s="440">
        <v>60.0</v>
      </c>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row>
    <row r="118" hidden="1" outlineLevel="1">
      <c r="A118" s="492" t="s">
        <v>756</v>
      </c>
      <c r="B118" s="493">
        <v>1.0</v>
      </c>
      <c r="C118" s="493">
        <v>1.0</v>
      </c>
      <c r="D118" s="493">
        <v>2.0</v>
      </c>
      <c r="E118" s="493">
        <v>2.0</v>
      </c>
      <c r="F118" s="493">
        <v>2.0</v>
      </c>
      <c r="G118" s="493">
        <v>2.0</v>
      </c>
      <c r="H118" s="493">
        <v>2.0</v>
      </c>
      <c r="I118" s="486"/>
      <c r="J118" s="487"/>
      <c r="K118" s="485"/>
      <c r="L118" s="485" t="str">
        <f>VLOOKUP(A118,'Кузнец'!$B$145:$J$193,9,FALSE)</f>
        <v>#N/A</v>
      </c>
      <c r="M118" s="494"/>
      <c r="N118" s="490" t="str">
        <f>VLOOKUP(A118,'Кузнец'!$B$145:$J$193,4,FALSE)</f>
        <v>#N/A</v>
      </c>
      <c r="O118" s="490"/>
      <c r="P118" s="490"/>
      <c r="Q118" s="490"/>
      <c r="R118" s="490"/>
      <c r="S118" s="454">
        <v>0.0</v>
      </c>
      <c r="T118" s="467"/>
      <c r="U118" s="467"/>
      <c r="V118" s="438"/>
      <c r="W118" s="438"/>
      <c r="X118" s="467"/>
      <c r="Y118" s="467"/>
      <c r="Z118" s="467"/>
      <c r="AA118" s="467"/>
      <c r="AB118" s="467"/>
      <c r="AC118" s="438"/>
      <c r="AD118" s="438"/>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row>
    <row r="119" hidden="1" outlineLevel="1">
      <c r="A119" s="492" t="s">
        <v>757</v>
      </c>
      <c r="B119" s="493">
        <v>12.0</v>
      </c>
      <c r="C119" s="493">
        <v>12.0</v>
      </c>
      <c r="D119" s="493">
        <v>16.0</v>
      </c>
      <c r="E119" s="493">
        <v>16.0</v>
      </c>
      <c r="F119" s="493">
        <v>20.0</v>
      </c>
      <c r="G119" s="493">
        <v>20.0</v>
      </c>
      <c r="H119" s="493">
        <v>24.0</v>
      </c>
      <c r="I119" s="486"/>
      <c r="J119" s="487"/>
      <c r="K119" s="485"/>
      <c r="L119" s="485" t="str">
        <f>VLOOKUP(A119,'Кузнец'!$B$145:$J$193,9,FALSE)</f>
        <v>#N/A</v>
      </c>
      <c r="M119" s="494"/>
      <c r="N119" s="490" t="str">
        <f>VLOOKUP(A119,'Кузнец'!$B$145:$J$193,4,FALSE)</f>
        <v>#N/A</v>
      </c>
      <c r="O119" s="490"/>
      <c r="P119" s="490"/>
      <c r="Q119" s="490"/>
      <c r="R119" s="490"/>
      <c r="S119" s="454">
        <v>0.0</v>
      </c>
      <c r="T119" s="467"/>
      <c r="U119" s="467"/>
      <c r="V119" s="438"/>
      <c r="W119" s="438"/>
      <c r="X119" s="467"/>
      <c r="Y119" s="467"/>
      <c r="Z119" s="467"/>
      <c r="AA119" s="467"/>
      <c r="AB119" s="467"/>
      <c r="AC119" s="438"/>
      <c r="AD119" s="438"/>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row>
    <row r="120" hidden="1" outlineLevel="1">
      <c r="A120" s="492" t="s">
        <v>758</v>
      </c>
      <c r="B120" s="493">
        <v>3.0</v>
      </c>
      <c r="C120" s="493">
        <v>7.0</v>
      </c>
      <c r="D120" s="493">
        <v>8.0</v>
      </c>
      <c r="E120" s="493">
        <v>13.0</v>
      </c>
      <c r="F120" s="493">
        <v>16.0</v>
      </c>
      <c r="G120" s="493">
        <v>22.0</v>
      </c>
      <c r="H120" s="493">
        <v>26.0</v>
      </c>
      <c r="I120" s="486"/>
      <c r="J120" s="487"/>
      <c r="K120" s="485"/>
      <c r="L120" s="485" t="str">
        <f>VLOOKUP(A120,'Кузнец'!$B$145:$J$193,9,FALSE)</f>
        <v>#N/A</v>
      </c>
      <c r="M120" s="494"/>
      <c r="N120" s="490" t="str">
        <f>VLOOKUP(A120,'Кузнец'!$B$145:$J$193,4,FALSE)</f>
        <v>#N/A</v>
      </c>
      <c r="O120" s="490"/>
      <c r="P120" s="490"/>
      <c r="Q120" s="490"/>
      <c r="R120" s="490"/>
      <c r="S120" s="454">
        <v>0.0</v>
      </c>
      <c r="T120" s="467"/>
      <c r="U120" s="467"/>
      <c r="V120" s="438"/>
      <c r="W120" s="438"/>
      <c r="X120" s="467"/>
      <c r="Y120" s="467"/>
      <c r="Z120" s="467"/>
      <c r="AA120" s="467"/>
      <c r="AB120" s="467"/>
      <c r="AC120" s="438"/>
      <c r="AD120" s="438"/>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row>
    <row r="121" hidden="1" outlineLevel="1">
      <c r="A121" s="492" t="s">
        <v>759</v>
      </c>
      <c r="B121" s="493">
        <f t="shared" ref="B121:H121" si="64">(B118+B119)/2+B120</f>
        <v>9.5</v>
      </c>
      <c r="C121" s="493">
        <f t="shared" si="64"/>
        <v>13.5</v>
      </c>
      <c r="D121" s="493">
        <f t="shared" si="64"/>
        <v>17</v>
      </c>
      <c r="E121" s="493">
        <f t="shared" si="64"/>
        <v>22</v>
      </c>
      <c r="F121" s="493">
        <f t="shared" si="64"/>
        <v>27</v>
      </c>
      <c r="G121" s="493">
        <f t="shared" si="64"/>
        <v>33</v>
      </c>
      <c r="H121" s="493">
        <f t="shared" si="64"/>
        <v>39</v>
      </c>
      <c r="I121" s="486"/>
      <c r="J121" s="487"/>
      <c r="K121" s="485"/>
      <c r="L121" s="485" t="str">
        <f>VLOOKUP(A121,'Кузнец'!$B$145:$J$193,9,FALSE)</f>
        <v>#N/A</v>
      </c>
      <c r="M121" s="494"/>
      <c r="N121" s="490" t="str">
        <f>VLOOKUP(A121,'Кузнец'!$B$145:$J$193,4,FALSE)</f>
        <v>#N/A</v>
      </c>
      <c r="O121" s="490"/>
      <c r="P121" s="490"/>
      <c r="Q121" s="490"/>
      <c r="R121" s="490"/>
      <c r="S121" s="454">
        <v>0.0</v>
      </c>
      <c r="T121" s="467"/>
      <c r="U121" s="467"/>
      <c r="V121" s="438"/>
      <c r="W121" s="438"/>
      <c r="X121" s="467"/>
      <c r="Y121" s="467"/>
      <c r="Z121" s="467"/>
      <c r="AA121" s="467"/>
      <c r="AB121" s="467"/>
      <c r="AC121" s="438"/>
      <c r="AD121" s="438"/>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row>
    <row r="122" hidden="1" outlineLevel="1">
      <c r="A122" s="492" t="s">
        <v>760</v>
      </c>
      <c r="B122" s="495"/>
      <c r="C122" s="495">
        <f t="shared" ref="C122:H122" si="65">C121/B121-1</f>
        <v>0.4210526316</v>
      </c>
      <c r="D122" s="495">
        <f t="shared" si="65"/>
        <v>0.2592592593</v>
      </c>
      <c r="E122" s="495">
        <f t="shared" si="65"/>
        <v>0.2941176471</v>
      </c>
      <c r="F122" s="495">
        <f t="shared" si="65"/>
        <v>0.2272727273</v>
      </c>
      <c r="G122" s="495">
        <f t="shared" si="65"/>
        <v>0.2222222222</v>
      </c>
      <c r="H122" s="495">
        <f t="shared" si="65"/>
        <v>0.1818181818</v>
      </c>
      <c r="I122" s="486"/>
      <c r="J122" s="487"/>
      <c r="K122" s="485"/>
      <c r="L122" s="485" t="str">
        <f>VLOOKUP(A122,'Кузнец'!$B$145:$J$193,9,FALSE)</f>
        <v>#N/A</v>
      </c>
      <c r="M122" s="494"/>
      <c r="N122" s="490" t="str">
        <f>VLOOKUP(A122,'Кузнец'!$B$145:$J$193,4,FALSE)</f>
        <v>#N/A</v>
      </c>
      <c r="O122" s="490"/>
      <c r="P122" s="490"/>
      <c r="Q122" s="490"/>
      <c r="R122" s="490"/>
      <c r="S122" s="454">
        <v>0.0</v>
      </c>
      <c r="T122" s="467"/>
      <c r="U122" s="467"/>
      <c r="V122" s="438"/>
      <c r="W122" s="438"/>
      <c r="X122" s="467"/>
      <c r="Y122" s="467"/>
      <c r="Z122" s="467"/>
      <c r="AA122" s="467"/>
      <c r="AB122" s="467"/>
      <c r="AC122" s="438"/>
      <c r="AD122" s="438"/>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row>
    <row r="123" hidden="1" outlineLevel="1">
      <c r="A123" s="492" t="s">
        <v>761</v>
      </c>
      <c r="B123" s="493">
        <f>$K117</f>
        <v>4</v>
      </c>
      <c r="C123" s="493"/>
      <c r="D123" s="495"/>
      <c r="E123" s="495"/>
      <c r="F123" s="495"/>
      <c r="G123" s="495"/>
      <c r="H123" s="495"/>
      <c r="I123" s="486"/>
      <c r="J123" s="487"/>
      <c r="K123" s="485"/>
      <c r="L123" s="485" t="str">
        <f>VLOOKUP(A123,'Кузнец'!$B$145:$J$193,9,FALSE)</f>
        <v>#N/A</v>
      </c>
      <c r="M123" s="494"/>
      <c r="N123" s="490" t="str">
        <f>VLOOKUP(A123,'Кузнец'!$B$145:$J$193,4,FALSE)</f>
        <v>#N/A</v>
      </c>
      <c r="O123" s="490"/>
      <c r="P123" s="490"/>
      <c r="Q123" s="490"/>
      <c r="R123" s="490"/>
      <c r="S123" s="454">
        <v>0.0</v>
      </c>
      <c r="T123" s="467"/>
      <c r="U123" s="467"/>
      <c r="V123" s="438"/>
      <c r="W123" s="438"/>
      <c r="X123" s="467"/>
      <c r="Y123" s="467"/>
      <c r="Z123" s="467"/>
      <c r="AA123" s="467"/>
      <c r="AB123" s="467"/>
      <c r="AC123" s="438"/>
      <c r="AD123" s="438"/>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row>
    <row r="124" hidden="1" outlineLevel="1">
      <c r="A124" s="492" t="s">
        <v>762</v>
      </c>
      <c r="B124" s="496">
        <f t="shared" ref="B124:H124" si="66">B121/$B123</f>
        <v>2.375</v>
      </c>
      <c r="C124" s="496">
        <f t="shared" si="66"/>
        <v>3.375</v>
      </c>
      <c r="D124" s="496">
        <f t="shared" si="66"/>
        <v>4.25</v>
      </c>
      <c r="E124" s="496">
        <f t="shared" si="66"/>
        <v>5.5</v>
      </c>
      <c r="F124" s="496">
        <f t="shared" si="66"/>
        <v>6.75</v>
      </c>
      <c r="G124" s="496">
        <f t="shared" si="66"/>
        <v>8.25</v>
      </c>
      <c r="H124" s="496">
        <f t="shared" si="66"/>
        <v>9.75</v>
      </c>
      <c r="I124" s="486"/>
      <c r="J124" s="487"/>
      <c r="K124" s="485"/>
      <c r="L124" s="485" t="str">
        <f>VLOOKUP(A124,'Кузнец'!$B$145:$J$193,9,FALSE)</f>
        <v>#N/A</v>
      </c>
      <c r="M124" s="494"/>
      <c r="N124" s="490" t="str">
        <f>VLOOKUP(A124,'Кузнец'!$B$145:$J$193,4,FALSE)</f>
        <v>#N/A</v>
      </c>
      <c r="O124" s="490"/>
      <c r="P124" s="490"/>
      <c r="Q124" s="490"/>
      <c r="R124" s="490"/>
      <c r="S124" s="454">
        <v>0.0</v>
      </c>
      <c r="T124" s="467"/>
      <c r="U124" s="467"/>
      <c r="V124" s="438"/>
      <c r="W124" s="438"/>
      <c r="X124" s="467"/>
      <c r="Y124" s="467"/>
      <c r="Z124" s="467"/>
      <c r="AA124" s="467"/>
      <c r="AB124" s="467"/>
      <c r="AC124" s="438"/>
      <c r="AD124" s="438"/>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row>
    <row r="125" collapsed="1">
      <c r="A125" s="484" t="s">
        <v>861</v>
      </c>
      <c r="B125" s="485" t="s">
        <v>862</v>
      </c>
      <c r="C125" s="485" t="s">
        <v>853</v>
      </c>
      <c r="D125" s="485" t="s">
        <v>863</v>
      </c>
      <c r="E125" s="485" t="s">
        <v>864</v>
      </c>
      <c r="F125" s="485" t="s">
        <v>865</v>
      </c>
      <c r="G125" s="485" t="s">
        <v>866</v>
      </c>
      <c r="H125" s="485" t="s">
        <v>867</v>
      </c>
      <c r="I125" s="486" t="s">
        <v>770</v>
      </c>
      <c r="J125" s="487">
        <v>0.0</v>
      </c>
      <c r="K125" s="485">
        <v>5.0</v>
      </c>
      <c r="L125" s="488">
        <f>VLOOKUP(A125,'Кузнец'!$B$145:$J$193,9,FALSE)</f>
        <v>5.18</v>
      </c>
      <c r="M125" s="489" t="s">
        <v>868</v>
      </c>
      <c r="N125" s="490">
        <f>VLOOKUP(A125,'Кузнец'!$B$145:$J$193,4,FALSE)</f>
        <v>20</v>
      </c>
      <c r="O125" s="490">
        <v>26.0</v>
      </c>
      <c r="P125" s="491" t="s">
        <v>859</v>
      </c>
      <c r="Q125" s="503"/>
      <c r="R125" s="491" t="s">
        <v>869</v>
      </c>
      <c r="S125" s="454">
        <v>0.0</v>
      </c>
      <c r="T125" s="460"/>
      <c r="U125" s="460">
        <v>0.05</v>
      </c>
      <c r="V125" s="438"/>
      <c r="W125" s="438"/>
      <c r="X125" s="440">
        <v>35.0</v>
      </c>
      <c r="Y125" s="440">
        <v>40.0</v>
      </c>
      <c r="Z125" s="440">
        <v>45.0</v>
      </c>
      <c r="AA125" s="440">
        <v>50.0</v>
      </c>
      <c r="AB125" s="440">
        <v>55.0</v>
      </c>
      <c r="AC125" s="440">
        <v>60.0</v>
      </c>
      <c r="AD125" s="440">
        <v>65.0</v>
      </c>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row>
    <row r="126" hidden="1" outlineLevel="1">
      <c r="A126" s="492" t="s">
        <v>756</v>
      </c>
      <c r="B126" s="493">
        <v>2.0</v>
      </c>
      <c r="C126" s="493">
        <v>2.0</v>
      </c>
      <c r="D126" s="493">
        <v>2.0</v>
      </c>
      <c r="E126" s="493">
        <v>2.0</v>
      </c>
      <c r="F126" s="493">
        <v>2.0</v>
      </c>
      <c r="G126" s="493">
        <v>2.0</v>
      </c>
      <c r="H126" s="493">
        <v>3.0</v>
      </c>
      <c r="I126" s="486"/>
      <c r="J126" s="487"/>
      <c r="K126" s="485"/>
      <c r="L126" s="485" t="str">
        <f>VLOOKUP(A126,'Кузнец'!$B$145:$J$193,9,FALSE)</f>
        <v>#N/A</v>
      </c>
      <c r="M126" s="494"/>
      <c r="N126" s="490" t="str">
        <f>VLOOKUP(A126,'Кузнец'!$B$145:$J$193,4,FALSE)</f>
        <v>#N/A</v>
      </c>
      <c r="O126" s="490"/>
      <c r="P126" s="490"/>
      <c r="Q126" s="503"/>
      <c r="R126" s="490"/>
      <c r="S126" s="454">
        <v>0.0</v>
      </c>
      <c r="T126" s="467"/>
      <c r="U126" s="467"/>
      <c r="V126" s="438"/>
      <c r="W126" s="438"/>
      <c r="X126" s="467"/>
      <c r="Y126" s="467"/>
      <c r="Z126" s="467"/>
      <c r="AA126" s="467"/>
      <c r="AB126" s="467"/>
      <c r="AC126" s="438"/>
      <c r="AD126" s="438"/>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row>
    <row r="127" hidden="1" outlineLevel="1">
      <c r="A127" s="492" t="s">
        <v>757</v>
      </c>
      <c r="B127" s="493">
        <v>16.0</v>
      </c>
      <c r="C127" s="493">
        <v>16.0</v>
      </c>
      <c r="D127" s="493">
        <v>20.0</v>
      </c>
      <c r="E127" s="493">
        <v>20.0</v>
      </c>
      <c r="F127" s="493">
        <v>24.0</v>
      </c>
      <c r="G127" s="493">
        <v>24.0</v>
      </c>
      <c r="H127" s="493">
        <v>30.0</v>
      </c>
      <c r="I127" s="486"/>
      <c r="J127" s="487"/>
      <c r="K127" s="485"/>
      <c r="L127" s="485" t="str">
        <f>VLOOKUP(A127,'Кузнец'!$B$145:$J$193,9,FALSE)</f>
        <v>#N/A</v>
      </c>
      <c r="M127" s="494"/>
      <c r="N127" s="490" t="str">
        <f>VLOOKUP(A127,'Кузнец'!$B$145:$J$193,4,FALSE)</f>
        <v>#N/A</v>
      </c>
      <c r="O127" s="490"/>
      <c r="P127" s="490"/>
      <c r="Q127" s="503"/>
      <c r="R127" s="490"/>
      <c r="S127" s="454">
        <v>0.0</v>
      </c>
      <c r="T127" s="467"/>
      <c r="U127" s="467"/>
      <c r="V127" s="438"/>
      <c r="W127" s="438"/>
      <c r="X127" s="467"/>
      <c r="Y127" s="467"/>
      <c r="Z127" s="467"/>
      <c r="AA127" s="467"/>
      <c r="AB127" s="467"/>
      <c r="AC127" s="438"/>
      <c r="AD127" s="438"/>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row>
    <row r="128" hidden="1" outlineLevel="1">
      <c r="A128" s="492" t="s">
        <v>758</v>
      </c>
      <c r="B128" s="493">
        <v>3.0</v>
      </c>
      <c r="C128" s="493">
        <v>8.0</v>
      </c>
      <c r="D128" s="493">
        <v>11.0</v>
      </c>
      <c r="E128" s="493">
        <v>17.0</v>
      </c>
      <c r="F128" s="493">
        <v>21.0</v>
      </c>
      <c r="G128" s="493">
        <v>28.0</v>
      </c>
      <c r="H128" s="493">
        <v>32.0</v>
      </c>
      <c r="I128" s="486"/>
      <c r="J128" s="487"/>
      <c r="K128" s="485"/>
      <c r="L128" s="485" t="str">
        <f>VLOOKUP(A128,'Кузнец'!$B$145:$J$193,9,FALSE)</f>
        <v>#N/A</v>
      </c>
      <c r="M128" s="494"/>
      <c r="N128" s="490" t="str">
        <f>VLOOKUP(A128,'Кузнец'!$B$145:$J$193,4,FALSE)</f>
        <v>#N/A</v>
      </c>
      <c r="O128" s="490"/>
      <c r="P128" s="490"/>
      <c r="Q128" s="503"/>
      <c r="R128" s="490"/>
      <c r="S128" s="454">
        <v>0.0</v>
      </c>
      <c r="T128" s="467"/>
      <c r="U128" s="467"/>
      <c r="V128" s="438"/>
      <c r="W128" s="438"/>
      <c r="X128" s="467"/>
      <c r="Y128" s="467"/>
      <c r="Z128" s="467"/>
      <c r="AA128" s="467"/>
      <c r="AB128" s="467"/>
      <c r="AC128" s="438"/>
      <c r="AD128" s="438"/>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row>
    <row r="129" hidden="1" outlineLevel="1">
      <c r="A129" s="492" t="s">
        <v>759</v>
      </c>
      <c r="B129" s="493">
        <f t="shared" ref="B129:H129" si="67">(B126+B127)/2+B128</f>
        <v>12</v>
      </c>
      <c r="C129" s="493">
        <f t="shared" si="67"/>
        <v>17</v>
      </c>
      <c r="D129" s="493">
        <f t="shared" si="67"/>
        <v>22</v>
      </c>
      <c r="E129" s="493">
        <f t="shared" si="67"/>
        <v>28</v>
      </c>
      <c r="F129" s="493">
        <f t="shared" si="67"/>
        <v>34</v>
      </c>
      <c r="G129" s="493">
        <f t="shared" si="67"/>
        <v>41</v>
      </c>
      <c r="H129" s="493">
        <f t="shared" si="67"/>
        <v>48.5</v>
      </c>
      <c r="I129" s="486"/>
      <c r="J129" s="487"/>
      <c r="K129" s="485"/>
      <c r="L129" s="485" t="str">
        <f>VLOOKUP(A129,'Кузнец'!$B$145:$J$193,9,FALSE)</f>
        <v>#N/A</v>
      </c>
      <c r="M129" s="494"/>
      <c r="N129" s="490" t="str">
        <f>VLOOKUP(A129,'Кузнец'!$B$145:$J$193,4,FALSE)</f>
        <v>#N/A</v>
      </c>
      <c r="O129" s="490"/>
      <c r="P129" s="490"/>
      <c r="Q129" s="503"/>
      <c r="R129" s="490"/>
      <c r="S129" s="454">
        <v>0.0</v>
      </c>
      <c r="T129" s="467"/>
      <c r="U129" s="467"/>
      <c r="V129" s="438"/>
      <c r="W129" s="438"/>
      <c r="X129" s="467"/>
      <c r="Y129" s="467"/>
      <c r="Z129" s="467"/>
      <c r="AA129" s="467"/>
      <c r="AB129" s="467"/>
      <c r="AC129" s="438"/>
      <c r="AD129" s="438"/>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row>
    <row r="130" hidden="1" outlineLevel="1">
      <c r="A130" s="492" t="s">
        <v>760</v>
      </c>
      <c r="B130" s="495"/>
      <c r="C130" s="495">
        <f t="shared" ref="C130:H130" si="68">C129/B129-1</f>
        <v>0.4166666667</v>
      </c>
      <c r="D130" s="495">
        <f t="shared" si="68"/>
        <v>0.2941176471</v>
      </c>
      <c r="E130" s="495">
        <f t="shared" si="68"/>
        <v>0.2727272727</v>
      </c>
      <c r="F130" s="495">
        <f t="shared" si="68"/>
        <v>0.2142857143</v>
      </c>
      <c r="G130" s="495">
        <f t="shared" si="68"/>
        <v>0.2058823529</v>
      </c>
      <c r="H130" s="495">
        <f t="shared" si="68"/>
        <v>0.1829268293</v>
      </c>
      <c r="I130" s="486"/>
      <c r="J130" s="487"/>
      <c r="K130" s="485"/>
      <c r="L130" s="485" t="str">
        <f>VLOOKUP(A130,'Кузнец'!$B$145:$J$193,9,FALSE)</f>
        <v>#N/A</v>
      </c>
      <c r="M130" s="494"/>
      <c r="N130" s="490" t="str">
        <f>VLOOKUP(A130,'Кузнец'!$B$145:$J$193,4,FALSE)</f>
        <v>#N/A</v>
      </c>
      <c r="O130" s="490"/>
      <c r="P130" s="490"/>
      <c r="Q130" s="503"/>
      <c r="R130" s="490"/>
      <c r="S130" s="454">
        <v>0.0</v>
      </c>
      <c r="T130" s="467"/>
      <c r="U130" s="467"/>
      <c r="V130" s="438"/>
      <c r="W130" s="438"/>
      <c r="X130" s="467"/>
      <c r="Y130" s="467"/>
      <c r="Z130" s="467"/>
      <c r="AA130" s="467"/>
      <c r="AB130" s="467"/>
      <c r="AC130" s="438"/>
      <c r="AD130" s="438"/>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row>
    <row r="131" hidden="1" outlineLevel="1">
      <c r="A131" s="492" t="s">
        <v>761</v>
      </c>
      <c r="B131" s="493">
        <f>$K125</f>
        <v>5</v>
      </c>
      <c r="C131" s="493"/>
      <c r="D131" s="495"/>
      <c r="E131" s="495"/>
      <c r="F131" s="495"/>
      <c r="G131" s="495"/>
      <c r="H131" s="495"/>
      <c r="I131" s="486"/>
      <c r="J131" s="487"/>
      <c r="K131" s="485"/>
      <c r="L131" s="485" t="str">
        <f>VLOOKUP(A131,'Кузнец'!$B$145:$J$193,9,FALSE)</f>
        <v>#N/A</v>
      </c>
      <c r="M131" s="494"/>
      <c r="N131" s="490" t="str">
        <f>VLOOKUP(A131,'Кузнец'!$B$145:$J$193,4,FALSE)</f>
        <v>#N/A</v>
      </c>
      <c r="O131" s="490"/>
      <c r="P131" s="490"/>
      <c r="Q131" s="503"/>
      <c r="R131" s="490"/>
      <c r="S131" s="454">
        <v>0.0</v>
      </c>
      <c r="T131" s="467"/>
      <c r="U131" s="467"/>
      <c r="V131" s="438"/>
      <c r="W131" s="438"/>
      <c r="X131" s="467"/>
      <c r="Y131" s="467"/>
      <c r="Z131" s="467"/>
      <c r="AA131" s="467"/>
      <c r="AB131" s="467"/>
      <c r="AC131" s="438"/>
      <c r="AD131" s="438"/>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row>
    <row r="132" hidden="1" outlineLevel="1">
      <c r="A132" s="492" t="s">
        <v>762</v>
      </c>
      <c r="B132" s="496">
        <f t="shared" ref="B132:H132" si="69">B129/$B131</f>
        <v>2.4</v>
      </c>
      <c r="C132" s="496">
        <f t="shared" si="69"/>
        <v>3.4</v>
      </c>
      <c r="D132" s="496">
        <f t="shared" si="69"/>
        <v>4.4</v>
      </c>
      <c r="E132" s="496">
        <f t="shared" si="69"/>
        <v>5.6</v>
      </c>
      <c r="F132" s="496">
        <f t="shared" si="69"/>
        <v>6.8</v>
      </c>
      <c r="G132" s="496">
        <f t="shared" si="69"/>
        <v>8.2</v>
      </c>
      <c r="H132" s="496">
        <f t="shared" si="69"/>
        <v>9.7</v>
      </c>
      <c r="I132" s="486"/>
      <c r="J132" s="487"/>
      <c r="K132" s="485"/>
      <c r="L132" s="485" t="str">
        <f>VLOOKUP(A132,'Кузнец'!$B$145:$J$193,9,FALSE)</f>
        <v>#N/A</v>
      </c>
      <c r="M132" s="494"/>
      <c r="N132" s="490" t="str">
        <f>VLOOKUP(A132,'Кузнец'!$B$145:$J$193,4,FALSE)</f>
        <v>#N/A</v>
      </c>
      <c r="O132" s="490"/>
      <c r="P132" s="490"/>
      <c r="Q132" s="503"/>
      <c r="R132" s="490"/>
      <c r="S132" s="454">
        <v>0.0</v>
      </c>
      <c r="T132" s="467"/>
      <c r="U132" s="467"/>
      <c r="V132" s="438"/>
      <c r="W132" s="438"/>
      <c r="X132" s="467"/>
      <c r="Y132" s="467"/>
      <c r="Z132" s="467"/>
      <c r="AA132" s="467"/>
      <c r="AB132" s="467"/>
      <c r="AC132" s="438"/>
      <c r="AD132" s="438"/>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row>
    <row r="133" ht="15.75" customHeight="1" collapsed="1">
      <c r="A133" s="508" t="s">
        <v>870</v>
      </c>
      <c r="B133" s="485" t="s">
        <v>871</v>
      </c>
      <c r="C133" s="485" t="s">
        <v>872</v>
      </c>
      <c r="D133" s="485" t="s">
        <v>873</v>
      </c>
      <c r="E133" s="485" t="s">
        <v>874</v>
      </c>
      <c r="F133" s="485" t="s">
        <v>875</v>
      </c>
      <c r="G133" s="485" t="s">
        <v>876</v>
      </c>
      <c r="H133" s="485" t="s">
        <v>877</v>
      </c>
      <c r="I133" s="486" t="s">
        <v>770</v>
      </c>
      <c r="J133" s="494">
        <v>0.0</v>
      </c>
      <c r="K133" s="494">
        <v>5.0</v>
      </c>
      <c r="L133" s="509">
        <f>VLOOKUP(A133,'Кузнец'!$B$145:$J$193,9,FALSE)</f>
        <v>5.76</v>
      </c>
      <c r="M133" s="489" t="s">
        <v>878</v>
      </c>
      <c r="N133" s="490">
        <f>VLOOKUP(A133,'Кузнец'!$B$145:$J$193,4,FALSE)</f>
        <v>23</v>
      </c>
      <c r="O133" s="490">
        <v>28.0</v>
      </c>
      <c r="P133" s="491" t="s">
        <v>859</v>
      </c>
      <c r="Q133" s="503"/>
      <c r="R133" s="491" t="s">
        <v>879</v>
      </c>
      <c r="S133" s="454">
        <v>0.0</v>
      </c>
      <c r="T133" s="467"/>
      <c r="U133" s="467"/>
      <c r="V133" s="438"/>
      <c r="W133" s="438"/>
      <c r="X133" s="440">
        <v>37.0</v>
      </c>
      <c r="Y133" s="440">
        <v>42.0</v>
      </c>
      <c r="Z133" s="440">
        <v>47.0</v>
      </c>
      <c r="AA133" s="440">
        <v>52.0</v>
      </c>
      <c r="AB133" s="440">
        <v>57.0</v>
      </c>
      <c r="AC133" s="440">
        <v>62.0</v>
      </c>
      <c r="AD133" s="440">
        <v>67.0</v>
      </c>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row>
    <row r="134" ht="15.75" hidden="1" customHeight="1" outlineLevel="1">
      <c r="A134" s="492" t="s">
        <v>756</v>
      </c>
      <c r="B134" s="493">
        <v>2.0</v>
      </c>
      <c r="C134" s="493">
        <v>2.0</v>
      </c>
      <c r="D134" s="493">
        <v>2.0</v>
      </c>
      <c r="E134" s="493">
        <v>2.0</v>
      </c>
      <c r="F134" s="493">
        <v>2.0</v>
      </c>
      <c r="G134" s="493">
        <v>2.0</v>
      </c>
      <c r="H134" s="493">
        <v>3.0</v>
      </c>
      <c r="I134" s="510"/>
      <c r="J134" s="494"/>
      <c r="K134" s="494"/>
      <c r="L134" s="488"/>
      <c r="M134" s="494"/>
      <c r="N134" s="490"/>
      <c r="O134" s="490"/>
      <c r="P134" s="490"/>
      <c r="Q134" s="503"/>
      <c r="R134" s="490"/>
      <c r="S134" s="436"/>
      <c r="T134" s="467"/>
      <c r="U134" s="467"/>
      <c r="V134" s="438"/>
      <c r="W134" s="438"/>
      <c r="X134" s="467"/>
      <c r="Y134" s="467"/>
      <c r="Z134" s="467"/>
      <c r="AA134" s="467"/>
      <c r="AB134" s="467"/>
      <c r="AC134" s="438"/>
      <c r="AD134" s="438"/>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row>
    <row r="135" ht="15.75" hidden="1" customHeight="1" outlineLevel="1">
      <c r="A135" s="492" t="s">
        <v>757</v>
      </c>
      <c r="B135" s="493">
        <v>16.0</v>
      </c>
      <c r="C135" s="493">
        <v>16.0</v>
      </c>
      <c r="D135" s="493">
        <v>20.0</v>
      </c>
      <c r="E135" s="493">
        <v>20.0</v>
      </c>
      <c r="F135" s="493">
        <v>24.0</v>
      </c>
      <c r="G135" s="493">
        <v>24.0</v>
      </c>
      <c r="H135" s="493">
        <v>30.0</v>
      </c>
      <c r="I135" s="510"/>
      <c r="J135" s="494"/>
      <c r="K135" s="494"/>
      <c r="L135" s="488"/>
      <c r="M135" s="494"/>
      <c r="N135" s="490"/>
      <c r="O135" s="490"/>
      <c r="P135" s="490"/>
      <c r="Q135" s="503"/>
      <c r="R135" s="490"/>
      <c r="S135" s="436"/>
      <c r="T135" s="467"/>
      <c r="U135" s="467"/>
      <c r="V135" s="438"/>
      <c r="W135" s="438"/>
      <c r="X135" s="467"/>
      <c r="Y135" s="467"/>
      <c r="Z135" s="467"/>
      <c r="AA135" s="467"/>
      <c r="AB135" s="467"/>
      <c r="AC135" s="438"/>
      <c r="AD135" s="438"/>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441"/>
      <c r="BC135" s="441"/>
      <c r="BD135" s="441"/>
      <c r="BE135" s="441"/>
      <c r="BF135" s="441"/>
    </row>
    <row r="136" ht="15.75" hidden="1" customHeight="1" outlineLevel="1">
      <c r="A136" s="492" t="s">
        <v>758</v>
      </c>
      <c r="B136" s="493">
        <v>5.0</v>
      </c>
      <c r="C136" s="493">
        <v>10.0</v>
      </c>
      <c r="D136" s="493">
        <v>13.0</v>
      </c>
      <c r="E136" s="493">
        <v>19.0</v>
      </c>
      <c r="F136" s="493">
        <v>23.0</v>
      </c>
      <c r="G136" s="493">
        <v>30.0</v>
      </c>
      <c r="H136" s="493">
        <v>34.0</v>
      </c>
      <c r="I136" s="510"/>
      <c r="J136" s="494"/>
      <c r="K136" s="494"/>
      <c r="L136" s="488"/>
      <c r="M136" s="494"/>
      <c r="N136" s="490"/>
      <c r="O136" s="490"/>
      <c r="P136" s="490"/>
      <c r="Q136" s="503"/>
      <c r="R136" s="490"/>
      <c r="S136" s="436"/>
      <c r="T136" s="467"/>
      <c r="U136" s="467"/>
      <c r="V136" s="438"/>
      <c r="W136" s="438"/>
      <c r="X136" s="467"/>
      <c r="Y136" s="467"/>
      <c r="Z136" s="467"/>
      <c r="AA136" s="467"/>
      <c r="AB136" s="467"/>
      <c r="AC136" s="438"/>
      <c r="AD136" s="438"/>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row>
    <row r="137" ht="15.75" hidden="1" customHeight="1" outlineLevel="1">
      <c r="A137" s="492" t="s">
        <v>759</v>
      </c>
      <c r="B137" s="493">
        <f t="shared" ref="B137:H137" si="70">(B134+B135)/2+B136</f>
        <v>14</v>
      </c>
      <c r="C137" s="493">
        <f t="shared" si="70"/>
        <v>19</v>
      </c>
      <c r="D137" s="493">
        <f t="shared" si="70"/>
        <v>24</v>
      </c>
      <c r="E137" s="493">
        <f t="shared" si="70"/>
        <v>30</v>
      </c>
      <c r="F137" s="493">
        <f t="shared" si="70"/>
        <v>36</v>
      </c>
      <c r="G137" s="493">
        <f t="shared" si="70"/>
        <v>43</v>
      </c>
      <c r="H137" s="493">
        <f t="shared" si="70"/>
        <v>50.5</v>
      </c>
      <c r="I137" s="510"/>
      <c r="J137" s="494"/>
      <c r="K137" s="494"/>
      <c r="L137" s="488"/>
      <c r="M137" s="494"/>
      <c r="N137" s="490"/>
      <c r="O137" s="490"/>
      <c r="P137" s="490"/>
      <c r="Q137" s="503"/>
      <c r="R137" s="490"/>
      <c r="S137" s="436"/>
      <c r="T137" s="467"/>
      <c r="U137" s="467"/>
      <c r="V137" s="438"/>
      <c r="W137" s="438"/>
      <c r="X137" s="467"/>
      <c r="Y137" s="467"/>
      <c r="Z137" s="467"/>
      <c r="AA137" s="467"/>
      <c r="AB137" s="467"/>
      <c r="AC137" s="438"/>
      <c r="AD137" s="438"/>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row>
    <row r="138" ht="15.75" hidden="1" customHeight="1" outlineLevel="1">
      <c r="A138" s="492" t="s">
        <v>760</v>
      </c>
      <c r="B138" s="495"/>
      <c r="C138" s="495">
        <f t="shared" ref="C138:H138" si="71">C137/B137-1</f>
        <v>0.3571428571</v>
      </c>
      <c r="D138" s="495">
        <f t="shared" si="71"/>
        <v>0.2631578947</v>
      </c>
      <c r="E138" s="495">
        <f t="shared" si="71"/>
        <v>0.25</v>
      </c>
      <c r="F138" s="495">
        <f t="shared" si="71"/>
        <v>0.2</v>
      </c>
      <c r="G138" s="495">
        <f t="shared" si="71"/>
        <v>0.1944444444</v>
      </c>
      <c r="H138" s="495">
        <f t="shared" si="71"/>
        <v>0.1744186047</v>
      </c>
      <c r="I138" s="510"/>
      <c r="J138" s="494"/>
      <c r="K138" s="494"/>
      <c r="L138" s="488"/>
      <c r="M138" s="494"/>
      <c r="N138" s="490"/>
      <c r="O138" s="490"/>
      <c r="P138" s="490"/>
      <c r="Q138" s="503"/>
      <c r="R138" s="490"/>
      <c r="S138" s="436"/>
      <c r="T138" s="467"/>
      <c r="U138" s="467"/>
      <c r="V138" s="438"/>
      <c r="W138" s="438"/>
      <c r="X138" s="467"/>
      <c r="Y138" s="467"/>
      <c r="Z138" s="467"/>
      <c r="AA138" s="467"/>
      <c r="AB138" s="467"/>
      <c r="AC138" s="438"/>
      <c r="AD138" s="438"/>
      <c r="AE138" s="441"/>
      <c r="AF138" s="441"/>
      <c r="AG138" s="441"/>
      <c r="AH138" s="441"/>
      <c r="AI138" s="441"/>
      <c r="AJ138" s="441"/>
      <c r="AK138" s="441"/>
      <c r="AL138" s="441"/>
      <c r="AM138" s="441"/>
      <c r="AN138" s="441"/>
      <c r="AO138" s="441"/>
      <c r="AP138" s="441"/>
      <c r="AQ138" s="441"/>
      <c r="AR138" s="441"/>
      <c r="AS138" s="441"/>
      <c r="AT138" s="441"/>
      <c r="AU138" s="441"/>
      <c r="AV138" s="441"/>
      <c r="AW138" s="441"/>
      <c r="AX138" s="441"/>
      <c r="AY138" s="441"/>
      <c r="AZ138" s="441"/>
      <c r="BA138" s="441"/>
      <c r="BB138" s="441"/>
      <c r="BC138" s="441"/>
      <c r="BD138" s="441"/>
      <c r="BE138" s="441"/>
      <c r="BF138" s="441"/>
    </row>
    <row r="139" ht="15.75" hidden="1" customHeight="1" outlineLevel="1">
      <c r="A139" s="492" t="s">
        <v>761</v>
      </c>
      <c r="B139" s="493">
        <f>$K133</f>
        <v>5</v>
      </c>
      <c r="C139" s="493"/>
      <c r="D139" s="495"/>
      <c r="E139" s="495"/>
      <c r="F139" s="495"/>
      <c r="G139" s="495"/>
      <c r="H139" s="495"/>
      <c r="I139" s="510"/>
      <c r="J139" s="494"/>
      <c r="K139" s="494"/>
      <c r="L139" s="488"/>
      <c r="M139" s="494"/>
      <c r="N139" s="490"/>
      <c r="O139" s="490"/>
      <c r="P139" s="490"/>
      <c r="Q139" s="503"/>
      <c r="R139" s="490"/>
      <c r="S139" s="436"/>
      <c r="T139" s="467"/>
      <c r="U139" s="467"/>
      <c r="V139" s="438"/>
      <c r="W139" s="438"/>
      <c r="X139" s="467"/>
      <c r="Y139" s="467"/>
      <c r="Z139" s="467"/>
      <c r="AA139" s="467"/>
      <c r="AB139" s="467"/>
      <c r="AC139" s="438"/>
      <c r="AD139" s="438"/>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row>
    <row r="140" ht="15.75" hidden="1" customHeight="1" outlineLevel="1">
      <c r="A140" s="492" t="s">
        <v>762</v>
      </c>
      <c r="B140" s="496">
        <f t="shared" ref="B140:H140" si="72">B137/$B139</f>
        <v>2.8</v>
      </c>
      <c r="C140" s="496">
        <f t="shared" si="72"/>
        <v>3.8</v>
      </c>
      <c r="D140" s="496">
        <f t="shared" si="72"/>
        <v>4.8</v>
      </c>
      <c r="E140" s="496">
        <f t="shared" si="72"/>
        <v>6</v>
      </c>
      <c r="F140" s="496">
        <f t="shared" si="72"/>
        <v>7.2</v>
      </c>
      <c r="G140" s="496">
        <f t="shared" si="72"/>
        <v>8.6</v>
      </c>
      <c r="H140" s="496">
        <f t="shared" si="72"/>
        <v>10.1</v>
      </c>
      <c r="I140" s="510"/>
      <c r="J140" s="494"/>
      <c r="K140" s="494"/>
      <c r="L140" s="488"/>
      <c r="M140" s="494"/>
      <c r="N140" s="490"/>
      <c r="O140" s="490"/>
      <c r="P140" s="490"/>
      <c r="Q140" s="503"/>
      <c r="R140" s="490"/>
      <c r="S140" s="436"/>
      <c r="T140" s="467"/>
      <c r="U140" s="467"/>
      <c r="V140" s="438"/>
      <c r="W140" s="438"/>
      <c r="X140" s="467"/>
      <c r="Y140" s="467"/>
      <c r="Z140" s="467"/>
      <c r="AA140" s="467"/>
      <c r="AB140" s="467"/>
      <c r="AC140" s="438"/>
      <c r="AD140" s="438"/>
      <c r="AE140" s="441"/>
      <c r="AF140" s="441"/>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row>
    <row r="141" collapsed="1">
      <c r="A141" s="511"/>
      <c r="B141" s="512"/>
      <c r="C141" s="512"/>
      <c r="D141" s="512"/>
      <c r="E141" s="512"/>
      <c r="F141" s="512"/>
      <c r="G141" s="512"/>
      <c r="H141" s="513" t="s">
        <v>880</v>
      </c>
      <c r="I141" s="512"/>
      <c r="J141" s="512"/>
      <c r="K141" s="512"/>
      <c r="L141" s="512"/>
      <c r="M141" s="512"/>
      <c r="N141" s="512"/>
      <c r="O141" s="512"/>
      <c r="P141" s="512"/>
      <c r="Q141" s="512"/>
      <c r="R141" s="514"/>
      <c r="S141" s="436"/>
      <c r="T141" s="467"/>
      <c r="U141" s="467"/>
      <c r="V141" s="438"/>
      <c r="W141" s="438"/>
      <c r="X141" s="467"/>
      <c r="Y141" s="467"/>
      <c r="Z141" s="467"/>
      <c r="AA141" s="467"/>
      <c r="AB141" s="467"/>
      <c r="AC141" s="438"/>
      <c r="AD141" s="438"/>
      <c r="AE141" s="441"/>
      <c r="AF141" s="441"/>
      <c r="AG141" s="515" t="s">
        <v>881</v>
      </c>
      <c r="AH141" s="516" t="s">
        <v>882</v>
      </c>
      <c r="AI141" s="517" t="s">
        <v>883</v>
      </c>
      <c r="AJ141" s="441"/>
      <c r="AK141" s="441"/>
      <c r="AL141" s="441"/>
      <c r="AM141" s="441"/>
      <c r="AN141" s="518"/>
      <c r="AO141" s="519" t="s">
        <v>884</v>
      </c>
      <c r="AP141" s="520" t="s">
        <v>885</v>
      </c>
      <c r="AQ141" s="520" t="s">
        <v>886</v>
      </c>
      <c r="AR141" s="521" t="s">
        <v>887</v>
      </c>
      <c r="AS141" s="441"/>
      <c r="AT141" s="441"/>
      <c r="AU141" s="441"/>
      <c r="AV141" s="441"/>
      <c r="AW141" s="441"/>
      <c r="AX141" s="441"/>
      <c r="AY141" s="441"/>
      <c r="AZ141" s="441"/>
      <c r="BA141" s="441"/>
      <c r="BB141" s="441"/>
      <c r="BC141" s="441"/>
      <c r="BD141" s="441"/>
      <c r="BE141" s="441"/>
      <c r="BF141" s="441"/>
    </row>
    <row r="142">
      <c r="A142" s="522" t="s">
        <v>888</v>
      </c>
      <c r="B142" s="523" t="s">
        <v>748</v>
      </c>
      <c r="C142" s="524" t="s">
        <v>773</v>
      </c>
      <c r="D142" s="524" t="s">
        <v>889</v>
      </c>
      <c r="E142" s="524" t="s">
        <v>797</v>
      </c>
      <c r="F142" s="524" t="s">
        <v>890</v>
      </c>
      <c r="G142" s="524" t="s">
        <v>891</v>
      </c>
      <c r="H142" s="524" t="s">
        <v>892</v>
      </c>
      <c r="I142" s="525" t="s">
        <v>779</v>
      </c>
      <c r="J142" s="526">
        <v>0.0</v>
      </c>
      <c r="K142" s="526">
        <v>2.0</v>
      </c>
      <c r="L142" s="527">
        <f>VLOOKUP(A142,'Плотник'!B172:G177,6,FALSE)</f>
        <v>0.14</v>
      </c>
      <c r="M142" s="528" t="s">
        <v>893</v>
      </c>
      <c r="N142" s="526">
        <f>VLOOKUP(A142,'Плотник'!B172:G177,4,FALSE)</f>
        <v>5</v>
      </c>
      <c r="O142" s="528">
        <v>6.0</v>
      </c>
      <c r="P142" s="528" t="s">
        <v>755</v>
      </c>
      <c r="Q142" s="529"/>
      <c r="R142" s="528" t="s">
        <v>894</v>
      </c>
      <c r="S142" s="454">
        <v>0.0</v>
      </c>
      <c r="T142" s="467"/>
      <c r="U142" s="467"/>
      <c r="V142" s="438"/>
      <c r="W142" s="438"/>
      <c r="X142" s="440">
        <v>0.0</v>
      </c>
      <c r="Y142" s="440">
        <v>0.0</v>
      </c>
      <c r="Z142" s="440">
        <v>0.0</v>
      </c>
      <c r="AA142" s="440">
        <v>0.0</v>
      </c>
      <c r="AB142" s="440">
        <v>0.0</v>
      </c>
      <c r="AC142" s="440">
        <v>0.0</v>
      </c>
      <c r="AD142" s="440">
        <v>0.0</v>
      </c>
      <c r="AE142" s="441"/>
      <c r="AF142" s="441" t="s">
        <v>895</v>
      </c>
      <c r="AG142" s="515">
        <v>40.0</v>
      </c>
      <c r="AH142" s="517">
        <v>7.0</v>
      </c>
      <c r="AI142" s="517">
        <v>4.0</v>
      </c>
      <c r="AJ142" s="441"/>
      <c r="AK142" s="441"/>
      <c r="AL142" s="441"/>
      <c r="AM142" s="441"/>
      <c r="AN142" s="441" t="s">
        <v>896</v>
      </c>
      <c r="AO142" s="515">
        <f>AG142</f>
        <v>40</v>
      </c>
      <c r="AP142" s="530" t="s">
        <v>897</v>
      </c>
      <c r="AQ142" s="530" t="s">
        <v>898</v>
      </c>
      <c r="AR142" s="530" t="s">
        <v>899</v>
      </c>
      <c r="AS142" s="441"/>
      <c r="AT142" s="441"/>
      <c r="AU142" s="441"/>
      <c r="AV142" s="441"/>
      <c r="AW142" s="441"/>
      <c r="AX142" s="441"/>
      <c r="AY142" s="441"/>
      <c r="AZ142" s="441"/>
      <c r="BA142" s="441"/>
      <c r="BB142" s="441"/>
      <c r="BC142" s="441"/>
      <c r="BD142" s="441"/>
      <c r="BE142" s="441"/>
      <c r="BF142" s="441"/>
    </row>
    <row r="143" hidden="1" outlineLevel="1">
      <c r="A143" s="531" t="s">
        <v>756</v>
      </c>
      <c r="B143" s="532">
        <v>1.0</v>
      </c>
      <c r="C143" s="532">
        <v>1.0</v>
      </c>
      <c r="D143" s="532">
        <v>1.0</v>
      </c>
      <c r="E143" s="532">
        <v>1.0</v>
      </c>
      <c r="F143" s="532">
        <v>1.0</v>
      </c>
      <c r="G143" s="532">
        <v>1.0</v>
      </c>
      <c r="H143" s="532">
        <v>1.0</v>
      </c>
      <c r="I143" s="525"/>
      <c r="J143" s="526"/>
      <c r="K143" s="526"/>
      <c r="L143" s="527" t="str">
        <f>VLOOKUP(A143,'Кузнец'!$B$145:$J$193,9,FALSE)</f>
        <v>#N/A</v>
      </c>
      <c r="M143" s="526"/>
      <c r="N143" s="526" t="str">
        <f>VLOOKUP(A143,'Кузнец'!$B$145:$J$193,4,FALSE)</f>
        <v>#N/A</v>
      </c>
      <c r="O143" s="526"/>
      <c r="P143" s="526"/>
      <c r="Q143" s="529"/>
      <c r="R143" s="526"/>
      <c r="S143" s="454">
        <v>0.0</v>
      </c>
      <c r="T143" s="467"/>
      <c r="U143" s="467"/>
      <c r="V143" s="438"/>
      <c r="W143" s="438"/>
      <c r="X143" s="440">
        <v>0.0</v>
      </c>
      <c r="Y143" s="440">
        <v>0.0</v>
      </c>
      <c r="Z143" s="440">
        <v>0.0</v>
      </c>
      <c r="AA143" s="440">
        <v>0.0</v>
      </c>
      <c r="AB143" s="440">
        <v>0.0</v>
      </c>
      <c r="AC143" s="440">
        <v>0.0</v>
      </c>
      <c r="AD143" s="440">
        <v>0.0</v>
      </c>
      <c r="AE143" s="441"/>
      <c r="AF143" s="441"/>
      <c r="AG143" s="515"/>
      <c r="AH143" s="517"/>
      <c r="AI143" s="517"/>
      <c r="AJ143" s="441"/>
      <c r="AK143" s="441"/>
      <c r="AL143" s="441"/>
      <c r="AM143" s="441"/>
      <c r="AN143" s="441"/>
      <c r="AO143" s="515"/>
      <c r="AP143" s="533"/>
      <c r="AQ143" s="530"/>
      <c r="AR143" s="530"/>
      <c r="AS143" s="441"/>
      <c r="AT143" s="441"/>
      <c r="AU143" s="441"/>
      <c r="AV143" s="441"/>
      <c r="AW143" s="441"/>
      <c r="AX143" s="441"/>
      <c r="AY143" s="441"/>
      <c r="AZ143" s="441"/>
      <c r="BA143" s="441"/>
      <c r="BB143" s="441"/>
      <c r="BC143" s="441"/>
      <c r="BD143" s="441"/>
      <c r="BE143" s="441"/>
      <c r="BF143" s="441"/>
    </row>
    <row r="144" hidden="1" outlineLevel="1">
      <c r="A144" s="531" t="s">
        <v>757</v>
      </c>
      <c r="B144" s="534">
        <v>4.0</v>
      </c>
      <c r="C144" s="532">
        <v>6.0</v>
      </c>
      <c r="D144" s="532">
        <v>8.0</v>
      </c>
      <c r="E144" s="532">
        <v>8.0</v>
      </c>
      <c r="F144" s="532">
        <v>10.0</v>
      </c>
      <c r="G144" s="532">
        <v>10.0</v>
      </c>
      <c r="H144" s="532">
        <v>12.0</v>
      </c>
      <c r="I144" s="525"/>
      <c r="J144" s="526"/>
      <c r="K144" s="526"/>
      <c r="L144" s="527" t="str">
        <f>VLOOKUP(A144,'Кузнец'!$B$145:$J$193,9,FALSE)</f>
        <v>#N/A</v>
      </c>
      <c r="M144" s="526"/>
      <c r="N144" s="526" t="str">
        <f>VLOOKUP(A144,'Кузнец'!$B$145:$J$193,4,FALSE)</f>
        <v>#N/A</v>
      </c>
      <c r="O144" s="526"/>
      <c r="P144" s="526"/>
      <c r="Q144" s="529"/>
      <c r="R144" s="526"/>
      <c r="S144" s="454">
        <v>0.0</v>
      </c>
      <c r="T144" s="467"/>
      <c r="U144" s="467"/>
      <c r="V144" s="438"/>
      <c r="W144" s="438"/>
      <c r="X144" s="440">
        <v>0.0</v>
      </c>
      <c r="Y144" s="440">
        <v>0.0</v>
      </c>
      <c r="Z144" s="440">
        <v>0.0</v>
      </c>
      <c r="AA144" s="440">
        <v>0.0</v>
      </c>
      <c r="AB144" s="440">
        <v>0.0</v>
      </c>
      <c r="AC144" s="440">
        <v>0.0</v>
      </c>
      <c r="AD144" s="440">
        <v>0.0</v>
      </c>
      <c r="AE144" s="441"/>
      <c r="AF144" s="441"/>
      <c r="AG144" s="515"/>
      <c r="AH144" s="517"/>
      <c r="AI144" s="517"/>
      <c r="AJ144" s="441"/>
      <c r="AK144" s="441"/>
      <c r="AL144" s="441"/>
      <c r="AM144" s="441"/>
      <c r="AN144" s="441"/>
      <c r="AO144" s="515"/>
      <c r="AP144" s="533"/>
      <c r="AQ144" s="530"/>
      <c r="AR144" s="530"/>
      <c r="AS144" s="441"/>
      <c r="AT144" s="441"/>
      <c r="AU144" s="441"/>
      <c r="AV144" s="441"/>
      <c r="AW144" s="441"/>
      <c r="AX144" s="441"/>
      <c r="AY144" s="441"/>
      <c r="AZ144" s="441"/>
      <c r="BA144" s="441"/>
      <c r="BB144" s="441"/>
      <c r="BC144" s="441"/>
      <c r="BD144" s="441"/>
      <c r="BE144" s="441"/>
      <c r="BF144" s="441"/>
    </row>
    <row r="145" hidden="1" outlineLevel="1">
      <c r="A145" s="531" t="s">
        <v>758</v>
      </c>
      <c r="B145" s="532">
        <v>0.0</v>
      </c>
      <c r="C145" s="534">
        <v>0.0</v>
      </c>
      <c r="D145" s="534">
        <v>0.0</v>
      </c>
      <c r="E145" s="534">
        <v>2.0</v>
      </c>
      <c r="F145" s="534">
        <v>3.0</v>
      </c>
      <c r="G145" s="534">
        <v>6.0</v>
      </c>
      <c r="H145" s="534">
        <v>8.0</v>
      </c>
      <c r="I145" s="525"/>
      <c r="J145" s="526"/>
      <c r="K145" s="526"/>
      <c r="L145" s="527" t="str">
        <f>VLOOKUP(A145,'Кузнец'!$B$145:$J$193,9,FALSE)</f>
        <v>#N/A</v>
      </c>
      <c r="M145" s="526"/>
      <c r="N145" s="526" t="str">
        <f>VLOOKUP(A145,'Кузнец'!$B$145:$J$193,4,FALSE)</f>
        <v>#N/A</v>
      </c>
      <c r="O145" s="526"/>
      <c r="P145" s="526"/>
      <c r="Q145" s="529"/>
      <c r="R145" s="526"/>
      <c r="S145" s="454">
        <v>0.0</v>
      </c>
      <c r="T145" s="467"/>
      <c r="U145" s="467"/>
      <c r="V145" s="438"/>
      <c r="W145" s="438"/>
      <c r="X145" s="440">
        <v>0.0</v>
      </c>
      <c r="Y145" s="440">
        <v>0.0</v>
      </c>
      <c r="Z145" s="440">
        <v>0.0</v>
      </c>
      <c r="AA145" s="440">
        <v>0.0</v>
      </c>
      <c r="AB145" s="440">
        <v>0.0</v>
      </c>
      <c r="AC145" s="440">
        <v>0.0</v>
      </c>
      <c r="AD145" s="440">
        <v>0.0</v>
      </c>
      <c r="AE145" s="441"/>
      <c r="AF145" s="441"/>
      <c r="AG145" s="515"/>
      <c r="AH145" s="517"/>
      <c r="AI145" s="517"/>
      <c r="AJ145" s="441"/>
      <c r="AK145" s="441"/>
      <c r="AL145" s="441"/>
      <c r="AM145" s="441"/>
      <c r="AN145" s="441"/>
      <c r="AO145" s="515"/>
      <c r="AP145" s="533"/>
      <c r="AQ145" s="530"/>
      <c r="AR145" s="530"/>
      <c r="AS145" s="441"/>
      <c r="AT145" s="441"/>
      <c r="AU145" s="441"/>
      <c r="AV145" s="441"/>
      <c r="AW145" s="441"/>
      <c r="AX145" s="441"/>
      <c r="AY145" s="441"/>
      <c r="AZ145" s="441"/>
      <c r="BA145" s="441"/>
      <c r="BB145" s="441"/>
      <c r="BC145" s="441"/>
      <c r="BD145" s="441"/>
      <c r="BE145" s="441"/>
      <c r="BF145" s="441"/>
    </row>
    <row r="146" hidden="1" outlineLevel="1">
      <c r="A146" s="531" t="s">
        <v>759</v>
      </c>
      <c r="B146" s="532">
        <f t="shared" ref="B146:H146" si="73">(B143+B144)/2+B145</f>
        <v>2.5</v>
      </c>
      <c r="C146" s="532">
        <f t="shared" si="73"/>
        <v>3.5</v>
      </c>
      <c r="D146" s="532">
        <f t="shared" si="73"/>
        <v>4.5</v>
      </c>
      <c r="E146" s="532">
        <f t="shared" si="73"/>
        <v>6.5</v>
      </c>
      <c r="F146" s="532">
        <f t="shared" si="73"/>
        <v>8.5</v>
      </c>
      <c r="G146" s="532">
        <f t="shared" si="73"/>
        <v>11.5</v>
      </c>
      <c r="H146" s="532">
        <f t="shared" si="73"/>
        <v>14.5</v>
      </c>
      <c r="I146" s="525"/>
      <c r="J146" s="526"/>
      <c r="K146" s="526"/>
      <c r="L146" s="527" t="str">
        <f>VLOOKUP(A146,'Кузнец'!$B$145:$J$193,9,FALSE)</f>
        <v>#N/A</v>
      </c>
      <c r="M146" s="526"/>
      <c r="N146" s="526" t="str">
        <f>VLOOKUP(A146,'Кузнец'!$B$145:$J$193,4,FALSE)</f>
        <v>#N/A</v>
      </c>
      <c r="O146" s="526"/>
      <c r="P146" s="526"/>
      <c r="Q146" s="529"/>
      <c r="R146" s="526"/>
      <c r="S146" s="454">
        <v>0.0</v>
      </c>
      <c r="T146" s="467"/>
      <c r="U146" s="467"/>
      <c r="V146" s="438"/>
      <c r="W146" s="438"/>
      <c r="X146" s="440">
        <v>0.0</v>
      </c>
      <c r="Y146" s="440">
        <v>0.0</v>
      </c>
      <c r="Z146" s="440">
        <v>0.0</v>
      </c>
      <c r="AA146" s="440">
        <v>0.0</v>
      </c>
      <c r="AB146" s="440">
        <v>0.0</v>
      </c>
      <c r="AC146" s="440">
        <v>0.0</v>
      </c>
      <c r="AD146" s="440">
        <v>0.0</v>
      </c>
      <c r="AE146" s="441"/>
      <c r="AF146" s="441"/>
      <c r="AG146" s="515"/>
      <c r="AH146" s="517"/>
      <c r="AI146" s="517"/>
      <c r="AJ146" s="441"/>
      <c r="AK146" s="441"/>
      <c r="AL146" s="441"/>
      <c r="AM146" s="441"/>
      <c r="AN146" s="441"/>
      <c r="AO146" s="515"/>
      <c r="AP146" s="533"/>
      <c r="AQ146" s="530"/>
      <c r="AR146" s="530"/>
      <c r="AS146" s="441"/>
      <c r="AT146" s="441"/>
      <c r="AU146" s="441"/>
      <c r="AV146" s="441"/>
      <c r="AW146" s="441"/>
      <c r="AX146" s="441"/>
      <c r="AY146" s="441"/>
      <c r="AZ146" s="441"/>
      <c r="BA146" s="441"/>
      <c r="BB146" s="441"/>
      <c r="BC146" s="441"/>
      <c r="BD146" s="441"/>
      <c r="BE146" s="441"/>
      <c r="BF146" s="441"/>
    </row>
    <row r="147" hidden="1" outlineLevel="1">
      <c r="A147" s="531" t="s">
        <v>760</v>
      </c>
      <c r="B147" s="535"/>
      <c r="C147" s="535">
        <f t="shared" ref="C147:H147" si="74">C146/B146-1</f>
        <v>0.4</v>
      </c>
      <c r="D147" s="535">
        <f t="shared" si="74"/>
        <v>0.2857142857</v>
      </c>
      <c r="E147" s="535">
        <f t="shared" si="74"/>
        <v>0.4444444444</v>
      </c>
      <c r="F147" s="535">
        <f t="shared" si="74"/>
        <v>0.3076923077</v>
      </c>
      <c r="G147" s="535">
        <f t="shared" si="74"/>
        <v>0.3529411765</v>
      </c>
      <c r="H147" s="535">
        <f t="shared" si="74"/>
        <v>0.2608695652</v>
      </c>
      <c r="I147" s="525"/>
      <c r="J147" s="526"/>
      <c r="K147" s="526"/>
      <c r="L147" s="527" t="str">
        <f>VLOOKUP(A147,'Кузнец'!$B$145:$J$193,9,FALSE)</f>
        <v>#N/A</v>
      </c>
      <c r="M147" s="526"/>
      <c r="N147" s="526" t="str">
        <f>VLOOKUP(A147,'Кузнец'!$B$145:$J$193,4,FALSE)</f>
        <v>#N/A</v>
      </c>
      <c r="O147" s="526"/>
      <c r="P147" s="526"/>
      <c r="Q147" s="529"/>
      <c r="R147" s="526"/>
      <c r="S147" s="454">
        <v>0.0</v>
      </c>
      <c r="T147" s="467"/>
      <c r="U147" s="467"/>
      <c r="V147" s="438"/>
      <c r="W147" s="438"/>
      <c r="X147" s="440">
        <v>0.0</v>
      </c>
      <c r="Y147" s="440">
        <v>0.0</v>
      </c>
      <c r="Z147" s="440">
        <v>0.0</v>
      </c>
      <c r="AA147" s="440">
        <v>0.0</v>
      </c>
      <c r="AB147" s="440">
        <v>0.0</v>
      </c>
      <c r="AC147" s="440">
        <v>0.0</v>
      </c>
      <c r="AD147" s="440">
        <v>0.0</v>
      </c>
      <c r="AE147" s="441"/>
      <c r="AF147" s="441"/>
      <c r="AG147" s="515"/>
      <c r="AH147" s="517"/>
      <c r="AI147" s="517"/>
      <c r="AJ147" s="441"/>
      <c r="AK147" s="441"/>
      <c r="AL147" s="441"/>
      <c r="AM147" s="441"/>
      <c r="AN147" s="441"/>
      <c r="AO147" s="515"/>
      <c r="AP147" s="533"/>
      <c r="AQ147" s="530"/>
      <c r="AR147" s="530"/>
      <c r="AS147" s="441"/>
      <c r="AT147" s="441"/>
      <c r="AU147" s="441"/>
      <c r="AV147" s="441"/>
      <c r="AW147" s="441"/>
      <c r="AX147" s="441"/>
      <c r="AY147" s="441"/>
      <c r="AZ147" s="441"/>
      <c r="BA147" s="441"/>
      <c r="BB147" s="441"/>
      <c r="BC147" s="441"/>
      <c r="BD147" s="441"/>
      <c r="BE147" s="441"/>
      <c r="BF147" s="441"/>
    </row>
    <row r="148" hidden="1" outlineLevel="1">
      <c r="A148" s="531" t="s">
        <v>761</v>
      </c>
      <c r="B148" s="532">
        <f>$K142</f>
        <v>2</v>
      </c>
      <c r="C148" s="532"/>
      <c r="D148" s="535"/>
      <c r="E148" s="535"/>
      <c r="F148" s="535"/>
      <c r="G148" s="535"/>
      <c r="H148" s="535"/>
      <c r="I148" s="525"/>
      <c r="J148" s="526"/>
      <c r="K148" s="526"/>
      <c r="L148" s="527" t="str">
        <f>VLOOKUP(A148,'Кузнец'!$B$145:$J$193,9,FALSE)</f>
        <v>#N/A</v>
      </c>
      <c r="M148" s="526"/>
      <c r="N148" s="526" t="str">
        <f>VLOOKUP(A148,'Кузнец'!$B$145:$J$193,4,FALSE)</f>
        <v>#N/A</v>
      </c>
      <c r="O148" s="526"/>
      <c r="P148" s="526"/>
      <c r="Q148" s="529"/>
      <c r="R148" s="526"/>
      <c r="S148" s="454">
        <v>0.0</v>
      </c>
      <c r="T148" s="467"/>
      <c r="U148" s="467"/>
      <c r="V148" s="438"/>
      <c r="W148" s="438"/>
      <c r="X148" s="440">
        <v>0.0</v>
      </c>
      <c r="Y148" s="440">
        <v>0.0</v>
      </c>
      <c r="Z148" s="440">
        <v>0.0</v>
      </c>
      <c r="AA148" s="440">
        <v>0.0</v>
      </c>
      <c r="AB148" s="440">
        <v>0.0</v>
      </c>
      <c r="AC148" s="440">
        <v>0.0</v>
      </c>
      <c r="AD148" s="440">
        <v>0.0</v>
      </c>
      <c r="AE148" s="441"/>
      <c r="AF148" s="441"/>
      <c r="AG148" s="515"/>
      <c r="AH148" s="517"/>
      <c r="AI148" s="517"/>
      <c r="AJ148" s="441"/>
      <c r="AK148" s="441"/>
      <c r="AL148" s="441"/>
      <c r="AM148" s="441"/>
      <c r="AN148" s="441"/>
      <c r="AO148" s="515"/>
      <c r="AP148" s="533"/>
      <c r="AQ148" s="530"/>
      <c r="AR148" s="530"/>
      <c r="AS148" s="441"/>
      <c r="AT148" s="441"/>
      <c r="AU148" s="441"/>
      <c r="AV148" s="441"/>
      <c r="AW148" s="441"/>
      <c r="AX148" s="441"/>
      <c r="AY148" s="441"/>
      <c r="AZ148" s="441"/>
      <c r="BA148" s="441"/>
      <c r="BB148" s="441"/>
      <c r="BC148" s="441"/>
      <c r="BD148" s="441"/>
      <c r="BE148" s="441"/>
      <c r="BF148" s="441"/>
    </row>
    <row r="149" hidden="1" outlineLevel="1">
      <c r="A149" s="531" t="s">
        <v>762</v>
      </c>
      <c r="B149" s="532">
        <f t="shared" ref="B149:H149" si="75">B146/$B148</f>
        <v>1.25</v>
      </c>
      <c r="C149" s="532">
        <f t="shared" si="75"/>
        <v>1.75</v>
      </c>
      <c r="D149" s="532">
        <f t="shared" si="75"/>
        <v>2.25</v>
      </c>
      <c r="E149" s="532">
        <f t="shared" si="75"/>
        <v>3.25</v>
      </c>
      <c r="F149" s="532">
        <f t="shared" si="75"/>
        <v>4.25</v>
      </c>
      <c r="G149" s="532">
        <f t="shared" si="75"/>
        <v>5.75</v>
      </c>
      <c r="H149" s="532">
        <f t="shared" si="75"/>
        <v>7.25</v>
      </c>
      <c r="I149" s="525"/>
      <c r="J149" s="526"/>
      <c r="K149" s="526"/>
      <c r="L149" s="527" t="str">
        <f>VLOOKUP(A149,'Кузнец'!$B$145:$J$193,9,FALSE)</f>
        <v>#N/A</v>
      </c>
      <c r="M149" s="526"/>
      <c r="N149" s="526" t="str">
        <f>VLOOKUP(A149,'Кузнец'!$B$145:$J$193,4,FALSE)</f>
        <v>#N/A</v>
      </c>
      <c r="O149" s="526"/>
      <c r="P149" s="526"/>
      <c r="Q149" s="529"/>
      <c r="R149" s="526"/>
      <c r="S149" s="454">
        <v>0.0</v>
      </c>
      <c r="T149" s="467"/>
      <c r="U149" s="467"/>
      <c r="V149" s="438"/>
      <c r="W149" s="438"/>
      <c r="X149" s="440">
        <v>0.0</v>
      </c>
      <c r="Y149" s="440">
        <v>0.0</v>
      </c>
      <c r="Z149" s="440">
        <v>0.0</v>
      </c>
      <c r="AA149" s="440">
        <v>0.0</v>
      </c>
      <c r="AB149" s="440">
        <v>0.0</v>
      </c>
      <c r="AC149" s="440">
        <v>0.0</v>
      </c>
      <c r="AD149" s="440">
        <v>0.0</v>
      </c>
      <c r="AE149" s="441"/>
      <c r="AF149" s="441"/>
      <c r="AG149" s="515"/>
      <c r="AH149" s="517"/>
      <c r="AI149" s="517"/>
      <c r="AJ149" s="441"/>
      <c r="AK149" s="441"/>
      <c r="AL149" s="441"/>
      <c r="AM149" s="441"/>
      <c r="AN149" s="441"/>
      <c r="AO149" s="515"/>
      <c r="AP149" s="533"/>
      <c r="AQ149" s="530"/>
      <c r="AR149" s="530"/>
      <c r="AS149" s="441"/>
      <c r="AT149" s="441"/>
      <c r="AU149" s="441"/>
      <c r="AV149" s="441"/>
      <c r="AW149" s="441"/>
      <c r="AX149" s="441"/>
      <c r="AY149" s="441"/>
      <c r="AZ149" s="441"/>
      <c r="BA149" s="441"/>
      <c r="BB149" s="441"/>
      <c r="BC149" s="441"/>
      <c r="BD149" s="441"/>
      <c r="BE149" s="441"/>
      <c r="BF149" s="441"/>
    </row>
    <row r="150" collapsed="1">
      <c r="A150" s="522" t="s">
        <v>900</v>
      </c>
      <c r="B150" s="536" t="s">
        <v>901</v>
      </c>
      <c r="C150" s="536" t="s">
        <v>902</v>
      </c>
      <c r="D150" s="536" t="s">
        <v>807</v>
      </c>
      <c r="E150" s="536" t="s">
        <v>903</v>
      </c>
      <c r="F150" s="536" t="s">
        <v>904</v>
      </c>
      <c r="G150" s="536" t="s">
        <v>905</v>
      </c>
      <c r="H150" s="536" t="s">
        <v>906</v>
      </c>
      <c r="I150" s="525" t="s">
        <v>754</v>
      </c>
      <c r="J150" s="526">
        <v>0.0</v>
      </c>
      <c r="K150" s="526">
        <v>2.0</v>
      </c>
      <c r="L150" s="527">
        <f>VLOOKUP(A150,'Кузнец'!$B$145:$J$193,9,FALSE)</f>
        <v>1.36</v>
      </c>
      <c r="M150" s="528" t="s">
        <v>785</v>
      </c>
      <c r="N150" s="526">
        <f>VLOOKUP(A150,'Кузнец'!$B$145:$J$193,4,FALSE)</f>
        <v>6</v>
      </c>
      <c r="O150" s="526">
        <v>15.0</v>
      </c>
      <c r="P150" s="528" t="s">
        <v>755</v>
      </c>
      <c r="Q150" s="529"/>
      <c r="R150" s="526"/>
      <c r="S150" s="454">
        <v>0.0</v>
      </c>
      <c r="T150" s="467"/>
      <c r="U150" s="467"/>
      <c r="V150" s="438"/>
      <c r="W150" s="438"/>
      <c r="X150" s="440">
        <v>0.0</v>
      </c>
      <c r="Y150" s="440">
        <v>0.0</v>
      </c>
      <c r="Z150" s="440">
        <v>0.0</v>
      </c>
      <c r="AA150" s="440">
        <v>0.0</v>
      </c>
      <c r="AB150" s="440">
        <v>0.0</v>
      </c>
      <c r="AC150" s="440">
        <v>0.0</v>
      </c>
      <c r="AD150" s="440">
        <v>0.0</v>
      </c>
      <c r="AE150" s="441"/>
      <c r="AF150" s="441" t="s">
        <v>907</v>
      </c>
      <c r="AG150" s="515">
        <v>52.0</v>
      </c>
      <c r="AH150" s="517">
        <v>6.0</v>
      </c>
      <c r="AI150" s="517">
        <v>5.0</v>
      </c>
      <c r="AJ150" s="441"/>
      <c r="AK150" s="441"/>
      <c r="AL150" s="441"/>
      <c r="AM150" s="441"/>
      <c r="AN150" s="441" t="s">
        <v>908</v>
      </c>
      <c r="AO150" s="515">
        <f>AG150</f>
        <v>52</v>
      </c>
      <c r="AP150" s="530" t="s">
        <v>909</v>
      </c>
      <c r="AQ150" s="530" t="s">
        <v>910</v>
      </c>
      <c r="AR150" s="530" t="s">
        <v>910</v>
      </c>
      <c r="AS150" s="441"/>
      <c r="AT150" s="441"/>
      <c r="AU150" s="441"/>
      <c r="AV150" s="441"/>
      <c r="AW150" s="441"/>
      <c r="AX150" s="441"/>
      <c r="AY150" s="441"/>
      <c r="AZ150" s="441"/>
      <c r="BA150" s="441"/>
      <c r="BB150" s="441"/>
      <c r="BC150" s="441"/>
      <c r="BD150" s="441"/>
      <c r="BE150" s="441"/>
      <c r="BF150" s="441"/>
    </row>
    <row r="151" hidden="1" outlineLevel="1">
      <c r="A151" s="531" t="s">
        <v>756</v>
      </c>
      <c r="B151" s="532">
        <v>1.0</v>
      </c>
      <c r="C151" s="532">
        <v>1.0</v>
      </c>
      <c r="D151" s="532">
        <v>1.0</v>
      </c>
      <c r="E151" s="532">
        <v>1.0</v>
      </c>
      <c r="F151" s="532">
        <v>1.0</v>
      </c>
      <c r="G151" s="532">
        <v>1.0</v>
      </c>
      <c r="H151" s="532">
        <v>1.0</v>
      </c>
      <c r="I151" s="525"/>
      <c r="J151" s="526"/>
      <c r="K151" s="526"/>
      <c r="L151" s="527" t="str">
        <f>VLOOKUP(A151,'Кузнец'!$B$145:$J$193,9,FALSE)</f>
        <v>#N/A</v>
      </c>
      <c r="M151" s="526"/>
      <c r="N151" s="526" t="str">
        <f>VLOOKUP(A151,'Кузнец'!$B$145:$J$193,4,FALSE)</f>
        <v>#N/A</v>
      </c>
      <c r="O151" s="526"/>
      <c r="P151" s="526"/>
      <c r="Q151" s="529"/>
      <c r="R151" s="526"/>
      <c r="S151" s="454">
        <v>0.0</v>
      </c>
      <c r="T151" s="467"/>
      <c r="U151" s="467"/>
      <c r="V151" s="438"/>
      <c r="W151" s="438"/>
      <c r="X151" s="440">
        <v>0.0</v>
      </c>
      <c r="Y151" s="440">
        <v>0.0</v>
      </c>
      <c r="Z151" s="440">
        <v>0.0</v>
      </c>
      <c r="AA151" s="440">
        <v>0.0</v>
      </c>
      <c r="AB151" s="440">
        <v>0.0</v>
      </c>
      <c r="AC151" s="440">
        <v>0.0</v>
      </c>
      <c r="AD151" s="440">
        <v>0.0</v>
      </c>
      <c r="AE151" s="441"/>
      <c r="AF151" s="441"/>
      <c r="AG151" s="515"/>
      <c r="AH151" s="517"/>
      <c r="AI151" s="517"/>
      <c r="AJ151" s="441"/>
      <c r="AK151" s="441"/>
      <c r="AL151" s="441"/>
      <c r="AM151" s="441"/>
      <c r="AN151" s="441"/>
      <c r="AO151" s="515"/>
      <c r="AP151" s="530"/>
      <c r="AQ151" s="530"/>
      <c r="AR151" s="530"/>
      <c r="AS151" s="441"/>
      <c r="AT151" s="441"/>
      <c r="AU151" s="441"/>
      <c r="AV151" s="441"/>
      <c r="AW151" s="441"/>
      <c r="AX151" s="441"/>
      <c r="AY151" s="441"/>
      <c r="AZ151" s="441"/>
      <c r="BA151" s="441"/>
      <c r="BB151" s="441"/>
      <c r="BC151" s="441"/>
      <c r="BD151" s="441"/>
      <c r="BE151" s="441"/>
      <c r="BF151" s="441"/>
    </row>
    <row r="152" hidden="1" outlineLevel="1">
      <c r="A152" s="531" t="s">
        <v>757</v>
      </c>
      <c r="B152" s="532">
        <v>4.0</v>
      </c>
      <c r="C152" s="532">
        <v>4.0</v>
      </c>
      <c r="D152" s="532">
        <v>6.0</v>
      </c>
      <c r="E152" s="532">
        <v>6.0</v>
      </c>
      <c r="F152" s="532">
        <v>8.0</v>
      </c>
      <c r="G152" s="532">
        <v>8.0</v>
      </c>
      <c r="H152" s="532">
        <v>10.0</v>
      </c>
      <c r="I152" s="525"/>
      <c r="J152" s="526"/>
      <c r="K152" s="526"/>
      <c r="L152" s="527" t="str">
        <f>VLOOKUP(A152,'Кузнец'!$B$145:$J$193,9,FALSE)</f>
        <v>#N/A</v>
      </c>
      <c r="M152" s="526"/>
      <c r="N152" s="526" t="str">
        <f>VLOOKUP(A152,'Кузнец'!$B$145:$J$193,4,FALSE)</f>
        <v>#N/A</v>
      </c>
      <c r="O152" s="526"/>
      <c r="P152" s="526"/>
      <c r="Q152" s="529"/>
      <c r="R152" s="526"/>
      <c r="S152" s="454">
        <v>0.0</v>
      </c>
      <c r="T152" s="467"/>
      <c r="U152" s="467"/>
      <c r="V152" s="438"/>
      <c r="W152" s="438"/>
      <c r="X152" s="440">
        <v>0.0</v>
      </c>
      <c r="Y152" s="440">
        <v>0.0</v>
      </c>
      <c r="Z152" s="440">
        <v>0.0</v>
      </c>
      <c r="AA152" s="440">
        <v>0.0</v>
      </c>
      <c r="AB152" s="440">
        <v>0.0</v>
      </c>
      <c r="AC152" s="440">
        <v>0.0</v>
      </c>
      <c r="AD152" s="440">
        <v>0.0</v>
      </c>
      <c r="AE152" s="441"/>
      <c r="AF152" s="441"/>
      <c r="AG152" s="515"/>
      <c r="AH152" s="517"/>
      <c r="AI152" s="517"/>
      <c r="AJ152" s="441"/>
      <c r="AK152" s="441"/>
      <c r="AL152" s="441"/>
      <c r="AM152" s="441"/>
      <c r="AN152" s="441"/>
      <c r="AO152" s="515"/>
      <c r="AP152" s="530"/>
      <c r="AQ152" s="530"/>
      <c r="AR152" s="530"/>
      <c r="AS152" s="441"/>
      <c r="AT152" s="441"/>
      <c r="AU152" s="441"/>
      <c r="AV152" s="441"/>
      <c r="AW152" s="441"/>
      <c r="AX152" s="441"/>
      <c r="AY152" s="441"/>
      <c r="AZ152" s="441"/>
      <c r="BA152" s="441"/>
      <c r="BB152" s="441"/>
      <c r="BC152" s="441"/>
      <c r="BD152" s="441"/>
      <c r="BE152" s="441"/>
      <c r="BF152" s="441"/>
    </row>
    <row r="153" ht="15.0" hidden="1" customHeight="1" outlineLevel="1">
      <c r="A153" s="531" t="s">
        <v>758</v>
      </c>
      <c r="B153" s="532">
        <v>3.0</v>
      </c>
      <c r="C153" s="532">
        <v>5.0</v>
      </c>
      <c r="D153" s="532">
        <v>6.0</v>
      </c>
      <c r="E153" s="532">
        <v>9.0</v>
      </c>
      <c r="F153" s="532">
        <v>11.0</v>
      </c>
      <c r="G153" s="532">
        <v>15.0</v>
      </c>
      <c r="H153" s="532">
        <v>18.0</v>
      </c>
      <c r="I153" s="525"/>
      <c r="J153" s="526"/>
      <c r="K153" s="526"/>
      <c r="L153" s="527" t="str">
        <f>VLOOKUP(A153,'Кузнец'!$B$145:$J$193,9,FALSE)</f>
        <v>#N/A</v>
      </c>
      <c r="M153" s="526"/>
      <c r="N153" s="526" t="str">
        <f>VLOOKUP(A153,'Кузнец'!$B$145:$J$193,4,FALSE)</f>
        <v>#N/A</v>
      </c>
      <c r="O153" s="526"/>
      <c r="P153" s="526"/>
      <c r="Q153" s="529"/>
      <c r="R153" s="526"/>
      <c r="S153" s="454">
        <v>0.0</v>
      </c>
      <c r="T153" s="467"/>
      <c r="U153" s="467"/>
      <c r="V153" s="438"/>
      <c r="W153" s="438"/>
      <c r="X153" s="440">
        <v>0.0</v>
      </c>
      <c r="Y153" s="440">
        <v>0.0</v>
      </c>
      <c r="Z153" s="440">
        <v>0.0</v>
      </c>
      <c r="AA153" s="440">
        <v>0.0</v>
      </c>
      <c r="AB153" s="440">
        <v>0.0</v>
      </c>
      <c r="AC153" s="440">
        <v>0.0</v>
      </c>
      <c r="AD153" s="440">
        <v>0.0</v>
      </c>
      <c r="AE153" s="441"/>
      <c r="AF153" s="441"/>
      <c r="AG153" s="515"/>
      <c r="AH153" s="517"/>
      <c r="AI153" s="517"/>
      <c r="AJ153" s="441"/>
      <c r="AK153" s="441"/>
      <c r="AL153" s="441"/>
      <c r="AM153" s="441"/>
      <c r="AN153" s="441"/>
      <c r="AO153" s="515"/>
      <c r="AP153" s="530"/>
      <c r="AQ153" s="530"/>
      <c r="AR153" s="530"/>
      <c r="AS153" s="441"/>
      <c r="AT153" s="441"/>
      <c r="AU153" s="441"/>
      <c r="AV153" s="441"/>
      <c r="AW153" s="441"/>
      <c r="AX153" s="441"/>
      <c r="AY153" s="441"/>
      <c r="AZ153" s="441"/>
      <c r="BA153" s="441"/>
      <c r="BB153" s="441"/>
      <c r="BC153" s="441"/>
      <c r="BD153" s="441"/>
      <c r="BE153" s="441"/>
      <c r="BF153" s="441"/>
    </row>
    <row r="154" hidden="1" outlineLevel="1">
      <c r="A154" s="531" t="s">
        <v>759</v>
      </c>
      <c r="B154" s="532">
        <f t="shared" ref="B154:H154" si="76">(B151+B152)/2+B153</f>
        <v>5.5</v>
      </c>
      <c r="C154" s="532">
        <f t="shared" si="76"/>
        <v>7.5</v>
      </c>
      <c r="D154" s="532">
        <f t="shared" si="76"/>
        <v>9.5</v>
      </c>
      <c r="E154" s="532">
        <f t="shared" si="76"/>
        <v>12.5</v>
      </c>
      <c r="F154" s="532">
        <f t="shared" si="76"/>
        <v>15.5</v>
      </c>
      <c r="G154" s="532">
        <f t="shared" si="76"/>
        <v>19.5</v>
      </c>
      <c r="H154" s="532">
        <f t="shared" si="76"/>
        <v>23.5</v>
      </c>
      <c r="I154" s="525"/>
      <c r="J154" s="526"/>
      <c r="K154" s="526"/>
      <c r="L154" s="527" t="str">
        <f>VLOOKUP(A154,'Кузнец'!$B$145:$J$193,9,FALSE)</f>
        <v>#N/A</v>
      </c>
      <c r="M154" s="526"/>
      <c r="N154" s="526" t="str">
        <f>VLOOKUP(A154,'Кузнец'!$B$145:$J$193,4,FALSE)</f>
        <v>#N/A</v>
      </c>
      <c r="O154" s="526"/>
      <c r="P154" s="526"/>
      <c r="Q154" s="529"/>
      <c r="R154" s="526"/>
      <c r="S154" s="454">
        <v>0.0</v>
      </c>
      <c r="T154" s="467"/>
      <c r="U154" s="467"/>
      <c r="V154" s="438"/>
      <c r="W154" s="438"/>
      <c r="X154" s="440">
        <v>0.0</v>
      </c>
      <c r="Y154" s="440">
        <v>0.0</v>
      </c>
      <c r="Z154" s="440">
        <v>0.0</v>
      </c>
      <c r="AA154" s="440">
        <v>0.0</v>
      </c>
      <c r="AB154" s="440">
        <v>0.0</v>
      </c>
      <c r="AC154" s="440">
        <v>0.0</v>
      </c>
      <c r="AD154" s="440">
        <v>0.0</v>
      </c>
      <c r="AE154" s="441"/>
      <c r="AF154" s="441"/>
      <c r="AG154" s="515"/>
      <c r="AH154" s="517"/>
      <c r="AI154" s="517"/>
      <c r="AJ154" s="441"/>
      <c r="AK154" s="441"/>
      <c r="AL154" s="441"/>
      <c r="AM154" s="441"/>
      <c r="AN154" s="441"/>
      <c r="AO154" s="515"/>
      <c r="AP154" s="530"/>
      <c r="AQ154" s="530"/>
      <c r="AR154" s="530"/>
      <c r="AS154" s="441"/>
      <c r="AT154" s="441"/>
      <c r="AU154" s="441"/>
      <c r="AV154" s="441"/>
      <c r="AW154" s="441"/>
      <c r="AX154" s="441"/>
      <c r="AY154" s="441"/>
      <c r="AZ154" s="441"/>
      <c r="BA154" s="441"/>
      <c r="BB154" s="441"/>
      <c r="BC154" s="441"/>
      <c r="BD154" s="441"/>
      <c r="BE154" s="441"/>
      <c r="BF154" s="441"/>
    </row>
    <row r="155" hidden="1" outlineLevel="1">
      <c r="A155" s="531" t="s">
        <v>760</v>
      </c>
      <c r="B155" s="535"/>
      <c r="C155" s="535">
        <f t="shared" ref="C155:H155" si="77">C154/B154-1</f>
        <v>0.3636363636</v>
      </c>
      <c r="D155" s="535">
        <f t="shared" si="77"/>
        <v>0.2666666667</v>
      </c>
      <c r="E155" s="535">
        <f t="shared" si="77"/>
        <v>0.3157894737</v>
      </c>
      <c r="F155" s="535">
        <f t="shared" si="77"/>
        <v>0.24</v>
      </c>
      <c r="G155" s="535">
        <f t="shared" si="77"/>
        <v>0.2580645161</v>
      </c>
      <c r="H155" s="535">
        <f t="shared" si="77"/>
        <v>0.2051282051</v>
      </c>
      <c r="I155" s="525"/>
      <c r="J155" s="526"/>
      <c r="K155" s="526"/>
      <c r="L155" s="527" t="str">
        <f>VLOOKUP(A155,'Кузнец'!$B$145:$J$193,9,FALSE)</f>
        <v>#N/A</v>
      </c>
      <c r="M155" s="526"/>
      <c r="N155" s="526" t="str">
        <f>VLOOKUP(A155,'Кузнец'!$B$145:$J$193,4,FALSE)</f>
        <v>#N/A</v>
      </c>
      <c r="O155" s="526"/>
      <c r="P155" s="526"/>
      <c r="Q155" s="529"/>
      <c r="R155" s="526"/>
      <c r="S155" s="454">
        <v>0.0</v>
      </c>
      <c r="T155" s="467"/>
      <c r="U155" s="467"/>
      <c r="V155" s="438"/>
      <c r="W155" s="438"/>
      <c r="X155" s="440">
        <v>0.0</v>
      </c>
      <c r="Y155" s="440">
        <v>0.0</v>
      </c>
      <c r="Z155" s="440">
        <v>0.0</v>
      </c>
      <c r="AA155" s="440">
        <v>0.0</v>
      </c>
      <c r="AB155" s="440">
        <v>0.0</v>
      </c>
      <c r="AC155" s="440">
        <v>0.0</v>
      </c>
      <c r="AD155" s="440">
        <v>0.0</v>
      </c>
      <c r="AE155" s="441"/>
      <c r="AF155" s="441"/>
      <c r="AG155" s="515"/>
      <c r="AH155" s="517"/>
      <c r="AI155" s="517"/>
      <c r="AJ155" s="441"/>
      <c r="AK155" s="441"/>
      <c r="AL155" s="441"/>
      <c r="AM155" s="441"/>
      <c r="AN155" s="441"/>
      <c r="AO155" s="515"/>
      <c r="AP155" s="530"/>
      <c r="AQ155" s="530"/>
      <c r="AR155" s="530"/>
      <c r="AS155" s="441"/>
      <c r="AT155" s="441"/>
      <c r="AU155" s="441"/>
      <c r="AV155" s="441"/>
      <c r="AW155" s="441"/>
      <c r="AX155" s="441"/>
      <c r="AY155" s="441"/>
      <c r="AZ155" s="441"/>
      <c r="BA155" s="441"/>
      <c r="BB155" s="441"/>
      <c r="BC155" s="441"/>
      <c r="BD155" s="441"/>
      <c r="BE155" s="441"/>
      <c r="BF155" s="441"/>
    </row>
    <row r="156" hidden="1" outlineLevel="1">
      <c r="A156" s="531" t="s">
        <v>761</v>
      </c>
      <c r="B156" s="532">
        <f>$K150</f>
        <v>2</v>
      </c>
      <c r="C156" s="532"/>
      <c r="D156" s="535"/>
      <c r="E156" s="535"/>
      <c r="F156" s="535"/>
      <c r="G156" s="535"/>
      <c r="H156" s="535"/>
      <c r="I156" s="525"/>
      <c r="J156" s="526"/>
      <c r="K156" s="526"/>
      <c r="L156" s="527" t="str">
        <f>VLOOKUP(A156,'Кузнец'!$B$145:$J$193,9,FALSE)</f>
        <v>#N/A</v>
      </c>
      <c r="M156" s="526"/>
      <c r="N156" s="526" t="str">
        <f>VLOOKUP(A156,'Кузнец'!$B$145:$J$193,4,FALSE)</f>
        <v>#N/A</v>
      </c>
      <c r="O156" s="526"/>
      <c r="P156" s="526"/>
      <c r="Q156" s="529"/>
      <c r="R156" s="526"/>
      <c r="S156" s="454">
        <v>0.0</v>
      </c>
      <c r="T156" s="467"/>
      <c r="U156" s="467"/>
      <c r="V156" s="438"/>
      <c r="W156" s="438"/>
      <c r="X156" s="440">
        <v>0.0</v>
      </c>
      <c r="Y156" s="440">
        <v>0.0</v>
      </c>
      <c r="Z156" s="440">
        <v>0.0</v>
      </c>
      <c r="AA156" s="440">
        <v>0.0</v>
      </c>
      <c r="AB156" s="440">
        <v>0.0</v>
      </c>
      <c r="AC156" s="440">
        <v>0.0</v>
      </c>
      <c r="AD156" s="440">
        <v>0.0</v>
      </c>
      <c r="AE156" s="441"/>
      <c r="AF156" s="441"/>
      <c r="AG156" s="515"/>
      <c r="AH156" s="517"/>
      <c r="AI156" s="517"/>
      <c r="AJ156" s="441"/>
      <c r="AK156" s="441"/>
      <c r="AL156" s="441"/>
      <c r="AM156" s="441"/>
      <c r="AN156" s="441"/>
      <c r="AO156" s="515"/>
      <c r="AP156" s="530"/>
      <c r="AQ156" s="530"/>
      <c r="AR156" s="530"/>
      <c r="AS156" s="441"/>
      <c r="AT156" s="441"/>
      <c r="AU156" s="441"/>
      <c r="AV156" s="441"/>
      <c r="AW156" s="441"/>
      <c r="AX156" s="441"/>
      <c r="AY156" s="441"/>
      <c r="AZ156" s="441"/>
      <c r="BA156" s="441"/>
      <c r="BB156" s="441"/>
      <c r="BC156" s="441"/>
      <c r="BD156" s="441"/>
      <c r="BE156" s="441"/>
      <c r="BF156" s="441"/>
    </row>
    <row r="157" hidden="1" outlineLevel="1">
      <c r="A157" s="531" t="s">
        <v>762</v>
      </c>
      <c r="B157" s="532">
        <f t="shared" ref="B157:H157" si="78">B154/$B156</f>
        <v>2.75</v>
      </c>
      <c r="C157" s="532">
        <f t="shared" si="78"/>
        <v>3.75</v>
      </c>
      <c r="D157" s="532">
        <f t="shared" si="78"/>
        <v>4.75</v>
      </c>
      <c r="E157" s="532">
        <f t="shared" si="78"/>
        <v>6.25</v>
      </c>
      <c r="F157" s="532">
        <f t="shared" si="78"/>
        <v>7.75</v>
      </c>
      <c r="G157" s="532">
        <f t="shared" si="78"/>
        <v>9.75</v>
      </c>
      <c r="H157" s="532">
        <f t="shared" si="78"/>
        <v>11.75</v>
      </c>
      <c r="I157" s="525"/>
      <c r="J157" s="526"/>
      <c r="K157" s="526"/>
      <c r="L157" s="527" t="str">
        <f>VLOOKUP(A157,'Кузнец'!$B$145:$J$193,9,FALSE)</f>
        <v>#N/A</v>
      </c>
      <c r="M157" s="526"/>
      <c r="N157" s="526" t="str">
        <f>VLOOKUP(A157,'Кузнец'!$B$145:$J$193,4,FALSE)</f>
        <v>#N/A</v>
      </c>
      <c r="O157" s="526"/>
      <c r="P157" s="526"/>
      <c r="Q157" s="529"/>
      <c r="R157" s="526"/>
      <c r="S157" s="454">
        <v>0.0</v>
      </c>
      <c r="T157" s="467"/>
      <c r="U157" s="467"/>
      <c r="V157" s="438"/>
      <c r="W157" s="438"/>
      <c r="X157" s="440">
        <v>0.0</v>
      </c>
      <c r="Y157" s="440">
        <v>0.0</v>
      </c>
      <c r="Z157" s="440">
        <v>0.0</v>
      </c>
      <c r="AA157" s="440">
        <v>0.0</v>
      </c>
      <c r="AB157" s="440">
        <v>0.0</v>
      </c>
      <c r="AC157" s="440">
        <v>0.0</v>
      </c>
      <c r="AD157" s="440">
        <v>0.0</v>
      </c>
      <c r="AE157" s="441"/>
      <c r="AF157" s="441"/>
      <c r="AG157" s="515"/>
      <c r="AH157" s="517"/>
      <c r="AI157" s="517"/>
      <c r="AJ157" s="441"/>
      <c r="AK157" s="441"/>
      <c r="AL157" s="441"/>
      <c r="AM157" s="441"/>
      <c r="AN157" s="441"/>
      <c r="AO157" s="515"/>
      <c r="AP157" s="530"/>
      <c r="AQ157" s="530"/>
      <c r="AR157" s="530"/>
      <c r="AS157" s="441"/>
      <c r="AT157" s="441"/>
      <c r="AU157" s="441"/>
      <c r="AV157" s="441"/>
      <c r="AW157" s="441"/>
      <c r="AX157" s="441"/>
      <c r="AY157" s="441"/>
      <c r="AZ157" s="441"/>
      <c r="BA157" s="441"/>
      <c r="BB157" s="441"/>
      <c r="BC157" s="441"/>
      <c r="BD157" s="441"/>
      <c r="BE157" s="441"/>
      <c r="BF157" s="441"/>
    </row>
    <row r="158" collapsed="1">
      <c r="A158" s="537" t="s">
        <v>911</v>
      </c>
      <c r="B158" s="524" t="s">
        <v>750</v>
      </c>
      <c r="C158" s="524" t="s">
        <v>121</v>
      </c>
      <c r="D158" s="524" t="s">
        <v>751</v>
      </c>
      <c r="E158" s="524" t="s">
        <v>782</v>
      </c>
      <c r="F158" s="524" t="s">
        <v>783</v>
      </c>
      <c r="G158" s="524" t="s">
        <v>753</v>
      </c>
      <c r="H158" s="524" t="s">
        <v>784</v>
      </c>
      <c r="I158" s="525" t="s">
        <v>754</v>
      </c>
      <c r="J158" s="526">
        <v>0.0</v>
      </c>
      <c r="K158" s="526">
        <v>2.0</v>
      </c>
      <c r="L158" s="527">
        <f>VLOOKUP(A158,'Кузнец'!$B$145:$J$193,9,FALSE)</f>
        <v>1.38</v>
      </c>
      <c r="M158" s="528" t="s">
        <v>785</v>
      </c>
      <c r="N158" s="526">
        <f>VLOOKUP(A158,'Кузнец'!$B$145:$J$193,4,FALSE)</f>
        <v>6</v>
      </c>
      <c r="O158" s="526">
        <v>18.0</v>
      </c>
      <c r="P158" s="528" t="s">
        <v>755</v>
      </c>
      <c r="Q158" s="529"/>
      <c r="R158" s="526"/>
      <c r="S158" s="454">
        <v>0.0</v>
      </c>
      <c r="T158" s="467"/>
      <c r="U158" s="467"/>
      <c r="V158" s="438"/>
      <c r="W158" s="438"/>
      <c r="X158" s="440">
        <v>0.0</v>
      </c>
      <c r="Y158" s="440">
        <v>0.0</v>
      </c>
      <c r="Z158" s="440">
        <v>0.0</v>
      </c>
      <c r="AA158" s="440">
        <v>0.0</v>
      </c>
      <c r="AB158" s="440">
        <v>0.0</v>
      </c>
      <c r="AC158" s="440">
        <v>0.0</v>
      </c>
      <c r="AD158" s="440">
        <v>0.0</v>
      </c>
      <c r="AE158" s="441"/>
      <c r="AF158" s="441" t="s">
        <v>912</v>
      </c>
      <c r="AG158" s="515">
        <v>70.0</v>
      </c>
      <c r="AH158" s="517">
        <v>5.0</v>
      </c>
      <c r="AI158" s="517">
        <v>7.0</v>
      </c>
      <c r="AJ158" s="441"/>
      <c r="AK158" s="441"/>
      <c r="AL158" s="441"/>
      <c r="AM158" s="441"/>
      <c r="AN158" s="441" t="s">
        <v>913</v>
      </c>
      <c r="AO158" s="515">
        <f>AG158</f>
        <v>70</v>
      </c>
      <c r="AP158" s="530" t="s">
        <v>914</v>
      </c>
      <c r="AQ158" s="530" t="s">
        <v>899</v>
      </c>
      <c r="AR158" s="530" t="s">
        <v>898</v>
      </c>
      <c r="AS158" s="441"/>
      <c r="AT158" s="441"/>
      <c r="AU158" s="441"/>
      <c r="AV158" s="441"/>
      <c r="AW158" s="441"/>
      <c r="AX158" s="441"/>
      <c r="AY158" s="441"/>
      <c r="AZ158" s="441"/>
      <c r="BA158" s="441"/>
      <c r="BB158" s="441"/>
      <c r="BC158" s="441"/>
      <c r="BD158" s="441"/>
      <c r="BE158" s="441"/>
      <c r="BF158" s="441"/>
    </row>
    <row r="159" hidden="1" outlineLevel="1">
      <c r="A159" s="531" t="s">
        <v>756</v>
      </c>
      <c r="B159" s="532">
        <v>1.0</v>
      </c>
      <c r="C159" s="532">
        <v>1.0</v>
      </c>
      <c r="D159" s="532">
        <v>1.0</v>
      </c>
      <c r="E159" s="532">
        <v>1.0</v>
      </c>
      <c r="F159" s="532">
        <v>1.0</v>
      </c>
      <c r="G159" s="532">
        <v>1.0</v>
      </c>
      <c r="H159" s="532">
        <v>1.0</v>
      </c>
      <c r="I159" s="525"/>
      <c r="J159" s="526"/>
      <c r="K159" s="526"/>
      <c r="L159" s="527" t="str">
        <f>VLOOKUP(A159,'Кузнец'!$B$145:$J$193,9,FALSE)</f>
        <v>#N/A</v>
      </c>
      <c r="M159" s="526"/>
      <c r="N159" s="526" t="str">
        <f>VLOOKUP(A159,'Кузнец'!$B$145:$J$193,4,FALSE)</f>
        <v>#N/A</v>
      </c>
      <c r="O159" s="526"/>
      <c r="P159" s="526"/>
      <c r="Q159" s="529"/>
      <c r="R159" s="526"/>
      <c r="S159" s="454">
        <v>0.0</v>
      </c>
      <c r="T159" s="467"/>
      <c r="U159" s="467"/>
      <c r="V159" s="438"/>
      <c r="W159" s="438"/>
      <c r="X159" s="440">
        <v>0.0</v>
      </c>
      <c r="Y159" s="440">
        <v>0.0</v>
      </c>
      <c r="Z159" s="440">
        <v>0.0</v>
      </c>
      <c r="AA159" s="440">
        <v>0.0</v>
      </c>
      <c r="AB159" s="440">
        <v>0.0</v>
      </c>
      <c r="AC159" s="440">
        <v>0.0</v>
      </c>
      <c r="AD159" s="440">
        <v>0.0</v>
      </c>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row>
    <row r="160" hidden="1" outlineLevel="1">
      <c r="A160" s="531" t="s">
        <v>757</v>
      </c>
      <c r="B160" s="532">
        <v>6.0</v>
      </c>
      <c r="C160" s="532">
        <v>6.0</v>
      </c>
      <c r="D160" s="532">
        <v>8.0</v>
      </c>
      <c r="E160" s="532">
        <v>8.0</v>
      </c>
      <c r="F160" s="532">
        <v>10.0</v>
      </c>
      <c r="G160" s="532">
        <v>10.0</v>
      </c>
      <c r="H160" s="532">
        <v>12.0</v>
      </c>
      <c r="I160" s="525"/>
      <c r="J160" s="526"/>
      <c r="K160" s="526"/>
      <c r="L160" s="527" t="str">
        <f>VLOOKUP(A160,'Кузнец'!$B$145:$J$193,9,FALSE)</f>
        <v>#N/A</v>
      </c>
      <c r="M160" s="526"/>
      <c r="N160" s="526" t="str">
        <f>VLOOKUP(A160,'Кузнец'!$B$145:$J$193,4,FALSE)</f>
        <v>#N/A</v>
      </c>
      <c r="O160" s="526"/>
      <c r="P160" s="526"/>
      <c r="Q160" s="529"/>
      <c r="R160" s="526"/>
      <c r="S160" s="454">
        <v>0.0</v>
      </c>
      <c r="T160" s="467"/>
      <c r="U160" s="467"/>
      <c r="V160" s="438"/>
      <c r="W160" s="438"/>
      <c r="X160" s="440">
        <v>0.0</v>
      </c>
      <c r="Y160" s="440">
        <v>0.0</v>
      </c>
      <c r="Z160" s="440">
        <v>0.0</v>
      </c>
      <c r="AA160" s="440">
        <v>0.0</v>
      </c>
      <c r="AB160" s="440">
        <v>0.0</v>
      </c>
      <c r="AC160" s="440">
        <v>0.0</v>
      </c>
      <c r="AD160" s="440">
        <v>0.0</v>
      </c>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row>
    <row r="161" hidden="1" outlineLevel="1">
      <c r="A161" s="531" t="s">
        <v>758</v>
      </c>
      <c r="B161" s="532">
        <v>1.0</v>
      </c>
      <c r="C161" s="532">
        <v>3.0</v>
      </c>
      <c r="D161" s="532">
        <v>4.0</v>
      </c>
      <c r="E161" s="532">
        <v>7.0</v>
      </c>
      <c r="F161" s="532">
        <v>9.0</v>
      </c>
      <c r="G161" s="532">
        <v>13.0</v>
      </c>
      <c r="H161" s="532">
        <v>16.0</v>
      </c>
      <c r="I161" s="525"/>
      <c r="J161" s="526"/>
      <c r="K161" s="526"/>
      <c r="L161" s="527" t="str">
        <f>VLOOKUP(A161,'Кузнец'!$B$145:$J$193,9,FALSE)</f>
        <v>#N/A</v>
      </c>
      <c r="M161" s="526"/>
      <c r="N161" s="526" t="str">
        <f>VLOOKUP(A161,'Кузнец'!$B$145:$J$193,4,FALSE)</f>
        <v>#N/A</v>
      </c>
      <c r="O161" s="526"/>
      <c r="P161" s="526"/>
      <c r="Q161" s="529"/>
      <c r="R161" s="526"/>
      <c r="S161" s="454">
        <v>0.0</v>
      </c>
      <c r="T161" s="467"/>
      <c r="U161" s="467"/>
      <c r="V161" s="438"/>
      <c r="W161" s="438"/>
      <c r="X161" s="440">
        <v>0.0</v>
      </c>
      <c r="Y161" s="440">
        <v>0.0</v>
      </c>
      <c r="Z161" s="440">
        <v>0.0</v>
      </c>
      <c r="AA161" s="440">
        <v>0.0</v>
      </c>
      <c r="AB161" s="440">
        <v>0.0</v>
      </c>
      <c r="AC161" s="440">
        <v>0.0</v>
      </c>
      <c r="AD161" s="440">
        <v>0.0</v>
      </c>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row>
    <row r="162" hidden="1" outlineLevel="1">
      <c r="A162" s="531" t="s">
        <v>759</v>
      </c>
      <c r="B162" s="532">
        <f t="shared" ref="B162:H162" si="79">(B159+B160)/2+B161</f>
        <v>4.5</v>
      </c>
      <c r="C162" s="532">
        <f t="shared" si="79"/>
        <v>6.5</v>
      </c>
      <c r="D162" s="532">
        <f t="shared" si="79"/>
        <v>8.5</v>
      </c>
      <c r="E162" s="532">
        <f t="shared" si="79"/>
        <v>11.5</v>
      </c>
      <c r="F162" s="532">
        <f t="shared" si="79"/>
        <v>14.5</v>
      </c>
      <c r="G162" s="532">
        <f t="shared" si="79"/>
        <v>18.5</v>
      </c>
      <c r="H162" s="532">
        <f t="shared" si="79"/>
        <v>22.5</v>
      </c>
      <c r="I162" s="525"/>
      <c r="J162" s="526"/>
      <c r="K162" s="526"/>
      <c r="L162" s="527" t="str">
        <f>VLOOKUP(A162,'Кузнец'!$B$145:$J$193,9,FALSE)</f>
        <v>#N/A</v>
      </c>
      <c r="M162" s="526"/>
      <c r="N162" s="526" t="str">
        <f>VLOOKUP(A162,'Кузнец'!$B$145:$J$193,4,FALSE)</f>
        <v>#N/A</v>
      </c>
      <c r="O162" s="526"/>
      <c r="P162" s="526"/>
      <c r="Q162" s="529"/>
      <c r="R162" s="526"/>
      <c r="S162" s="454">
        <v>0.0</v>
      </c>
      <c r="T162" s="467"/>
      <c r="U162" s="467"/>
      <c r="V162" s="438"/>
      <c r="W162" s="438"/>
      <c r="X162" s="440">
        <v>0.0</v>
      </c>
      <c r="Y162" s="440">
        <v>0.0</v>
      </c>
      <c r="Z162" s="440">
        <v>0.0</v>
      </c>
      <c r="AA162" s="440">
        <v>0.0</v>
      </c>
      <c r="AB162" s="440">
        <v>0.0</v>
      </c>
      <c r="AC162" s="440">
        <v>0.0</v>
      </c>
      <c r="AD162" s="440">
        <v>0.0</v>
      </c>
      <c r="AE162" s="441"/>
      <c r="AF162" s="441"/>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441"/>
      <c r="BC162" s="441"/>
      <c r="BD162" s="441"/>
      <c r="BE162" s="441"/>
      <c r="BF162" s="441"/>
    </row>
    <row r="163" hidden="1" outlineLevel="1">
      <c r="A163" s="531" t="s">
        <v>760</v>
      </c>
      <c r="B163" s="535"/>
      <c r="C163" s="535">
        <f t="shared" ref="C163:H163" si="80">C162/B162-1</f>
        <v>0.4444444444</v>
      </c>
      <c r="D163" s="535">
        <f t="shared" si="80"/>
        <v>0.3076923077</v>
      </c>
      <c r="E163" s="535">
        <f t="shared" si="80"/>
        <v>0.3529411765</v>
      </c>
      <c r="F163" s="535">
        <f t="shared" si="80"/>
        <v>0.2608695652</v>
      </c>
      <c r="G163" s="535">
        <f t="shared" si="80"/>
        <v>0.275862069</v>
      </c>
      <c r="H163" s="535">
        <f t="shared" si="80"/>
        <v>0.2162162162</v>
      </c>
      <c r="I163" s="525"/>
      <c r="J163" s="526"/>
      <c r="K163" s="526"/>
      <c r="L163" s="527" t="str">
        <f>VLOOKUP(A163,'Кузнец'!$B$145:$J$193,9,FALSE)</f>
        <v>#N/A</v>
      </c>
      <c r="M163" s="526"/>
      <c r="N163" s="526" t="str">
        <f>VLOOKUP(A163,'Кузнец'!$B$145:$J$193,4,FALSE)</f>
        <v>#N/A</v>
      </c>
      <c r="O163" s="526"/>
      <c r="P163" s="526"/>
      <c r="Q163" s="529"/>
      <c r="R163" s="526"/>
      <c r="S163" s="454">
        <v>0.0</v>
      </c>
      <c r="T163" s="467"/>
      <c r="U163" s="467"/>
      <c r="V163" s="438"/>
      <c r="W163" s="438"/>
      <c r="X163" s="440">
        <v>0.0</v>
      </c>
      <c r="Y163" s="440">
        <v>0.0</v>
      </c>
      <c r="Z163" s="440">
        <v>0.0</v>
      </c>
      <c r="AA163" s="440">
        <v>0.0</v>
      </c>
      <c r="AB163" s="440">
        <v>0.0</v>
      </c>
      <c r="AC163" s="440">
        <v>0.0</v>
      </c>
      <c r="AD163" s="440">
        <v>0.0</v>
      </c>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1"/>
      <c r="BC163" s="441"/>
      <c r="BD163" s="441"/>
      <c r="BE163" s="441"/>
      <c r="BF163" s="441"/>
    </row>
    <row r="164" hidden="1" outlineLevel="1">
      <c r="A164" s="531" t="s">
        <v>761</v>
      </c>
      <c r="B164" s="532">
        <f>$K158</f>
        <v>2</v>
      </c>
      <c r="C164" s="532"/>
      <c r="D164" s="535"/>
      <c r="E164" s="535"/>
      <c r="F164" s="535"/>
      <c r="G164" s="535"/>
      <c r="H164" s="535"/>
      <c r="I164" s="525"/>
      <c r="J164" s="526"/>
      <c r="K164" s="526"/>
      <c r="L164" s="527" t="str">
        <f>VLOOKUP(A164,'Кузнец'!$B$145:$J$193,9,FALSE)</f>
        <v>#N/A</v>
      </c>
      <c r="M164" s="526"/>
      <c r="N164" s="526" t="str">
        <f>VLOOKUP(A164,'Кузнец'!$B$145:$J$193,4,FALSE)</f>
        <v>#N/A</v>
      </c>
      <c r="O164" s="526"/>
      <c r="P164" s="526"/>
      <c r="Q164" s="529"/>
      <c r="R164" s="526"/>
      <c r="S164" s="454">
        <v>0.0</v>
      </c>
      <c r="T164" s="467"/>
      <c r="U164" s="467"/>
      <c r="V164" s="438"/>
      <c r="W164" s="438"/>
      <c r="X164" s="440">
        <v>0.0</v>
      </c>
      <c r="Y164" s="440">
        <v>0.0</v>
      </c>
      <c r="Z164" s="440">
        <v>0.0</v>
      </c>
      <c r="AA164" s="440">
        <v>0.0</v>
      </c>
      <c r="AB164" s="440">
        <v>0.0</v>
      </c>
      <c r="AC164" s="440">
        <v>0.0</v>
      </c>
      <c r="AD164" s="440">
        <v>0.0</v>
      </c>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row>
    <row r="165" hidden="1" outlineLevel="1">
      <c r="A165" s="531" t="s">
        <v>762</v>
      </c>
      <c r="B165" s="532">
        <f t="shared" ref="B165:H165" si="81">B162/$B164</f>
        <v>2.25</v>
      </c>
      <c r="C165" s="532">
        <f t="shared" si="81"/>
        <v>3.25</v>
      </c>
      <c r="D165" s="532">
        <f t="shared" si="81"/>
        <v>4.25</v>
      </c>
      <c r="E165" s="532">
        <f t="shared" si="81"/>
        <v>5.75</v>
      </c>
      <c r="F165" s="532">
        <f t="shared" si="81"/>
        <v>7.25</v>
      </c>
      <c r="G165" s="532">
        <f t="shared" si="81"/>
        <v>9.25</v>
      </c>
      <c r="H165" s="532">
        <f t="shared" si="81"/>
        <v>11.25</v>
      </c>
      <c r="I165" s="525"/>
      <c r="J165" s="526"/>
      <c r="K165" s="526"/>
      <c r="L165" s="527" t="str">
        <f>VLOOKUP(A165,'Кузнец'!$B$145:$J$193,9,FALSE)</f>
        <v>#N/A</v>
      </c>
      <c r="M165" s="526"/>
      <c r="N165" s="526" t="str">
        <f>VLOOKUP(A165,'Кузнец'!$B$145:$J$193,4,FALSE)</f>
        <v>#N/A</v>
      </c>
      <c r="O165" s="526"/>
      <c r="P165" s="526"/>
      <c r="Q165" s="529"/>
      <c r="R165" s="526"/>
      <c r="S165" s="454">
        <v>0.0</v>
      </c>
      <c r="T165" s="467"/>
      <c r="U165" s="467"/>
      <c r="V165" s="438"/>
      <c r="W165" s="438"/>
      <c r="X165" s="440">
        <v>0.0</v>
      </c>
      <c r="Y165" s="440">
        <v>0.0</v>
      </c>
      <c r="Z165" s="440">
        <v>0.0</v>
      </c>
      <c r="AA165" s="440">
        <v>0.0</v>
      </c>
      <c r="AB165" s="440">
        <v>0.0</v>
      </c>
      <c r="AC165" s="440">
        <v>0.0</v>
      </c>
      <c r="AD165" s="440">
        <v>0.0</v>
      </c>
      <c r="AE165" s="441"/>
      <c r="AF165" s="441"/>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c r="BB165" s="441"/>
      <c r="BC165" s="441"/>
      <c r="BD165" s="441"/>
      <c r="BE165" s="441"/>
      <c r="BF165" s="441"/>
    </row>
    <row r="166" collapsed="1">
      <c r="A166" s="522" t="s">
        <v>915</v>
      </c>
      <c r="B166" s="524" t="s">
        <v>750</v>
      </c>
      <c r="C166" s="524" t="s">
        <v>916</v>
      </c>
      <c r="D166" s="524" t="s">
        <v>775</v>
      </c>
      <c r="E166" s="524" t="s">
        <v>752</v>
      </c>
      <c r="F166" s="524" t="s">
        <v>753</v>
      </c>
      <c r="G166" s="524" t="s">
        <v>906</v>
      </c>
      <c r="H166" s="524" t="s">
        <v>917</v>
      </c>
      <c r="I166" s="525" t="s">
        <v>754</v>
      </c>
      <c r="J166" s="538">
        <v>0.0</v>
      </c>
      <c r="K166" s="526">
        <v>3.0</v>
      </c>
      <c r="L166" s="527">
        <f>VLOOKUP(A166,'Кузнец'!$B$145:$J$193,9,FALSE)</f>
        <v>2.07</v>
      </c>
      <c r="M166" s="528" t="s">
        <v>918</v>
      </c>
      <c r="N166" s="526">
        <f>VLOOKUP(A166,'Кузнец'!$B$145:$J$193,4,FALSE)</f>
        <v>7</v>
      </c>
      <c r="O166" s="526">
        <v>17.0</v>
      </c>
      <c r="P166" s="528" t="s">
        <v>804</v>
      </c>
      <c r="Q166" s="526"/>
      <c r="R166" s="528" t="s">
        <v>919</v>
      </c>
      <c r="S166" s="454">
        <v>0.0</v>
      </c>
      <c r="T166" s="460"/>
      <c r="U166" s="460">
        <v>0.05</v>
      </c>
      <c r="V166" s="463">
        <v>1.0</v>
      </c>
      <c r="W166" s="438"/>
      <c r="X166" s="440">
        <v>0.0</v>
      </c>
      <c r="Y166" s="440">
        <v>0.0</v>
      </c>
      <c r="Z166" s="440">
        <v>0.0</v>
      </c>
      <c r="AA166" s="440">
        <v>0.0</v>
      </c>
      <c r="AB166" s="440">
        <v>0.0</v>
      </c>
      <c r="AC166" s="440">
        <v>0.0</v>
      </c>
      <c r="AD166" s="440">
        <v>0.0</v>
      </c>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row>
    <row r="167" hidden="1" outlineLevel="1">
      <c r="A167" s="531" t="s">
        <v>756</v>
      </c>
      <c r="B167" s="532">
        <v>1.0</v>
      </c>
      <c r="C167" s="532">
        <v>1.0</v>
      </c>
      <c r="D167" s="532">
        <v>1.0</v>
      </c>
      <c r="E167" s="532">
        <v>1.0</v>
      </c>
      <c r="F167" s="532">
        <v>1.0</v>
      </c>
      <c r="G167" s="532">
        <v>1.0</v>
      </c>
      <c r="H167" s="532">
        <v>1.0</v>
      </c>
      <c r="I167" s="539"/>
      <c r="J167" s="538"/>
      <c r="K167" s="538"/>
      <c r="L167" s="527" t="str">
        <f>VLOOKUP(A167,'Кузнец'!$B$145:$J$193,9,FALSE)</f>
        <v>#N/A</v>
      </c>
      <c r="M167" s="526"/>
      <c r="N167" s="526" t="str">
        <f>VLOOKUP(A167,'Кузнец'!$B$145:$J$193,4,FALSE)</f>
        <v>#N/A</v>
      </c>
      <c r="O167" s="526"/>
      <c r="P167" s="526"/>
      <c r="Q167" s="526"/>
      <c r="R167" s="526"/>
      <c r="S167" s="454">
        <v>0.0</v>
      </c>
      <c r="T167" s="467"/>
      <c r="U167" s="467"/>
      <c r="V167" s="438"/>
      <c r="W167" s="438"/>
      <c r="X167" s="440">
        <v>0.0</v>
      </c>
      <c r="Y167" s="440">
        <v>0.0</v>
      </c>
      <c r="Z167" s="440">
        <v>0.0</v>
      </c>
      <c r="AA167" s="440">
        <v>0.0</v>
      </c>
      <c r="AB167" s="440">
        <v>0.0</v>
      </c>
      <c r="AC167" s="440">
        <v>0.0</v>
      </c>
      <c r="AD167" s="440">
        <v>0.0</v>
      </c>
      <c r="AE167" s="441"/>
      <c r="AF167" s="441"/>
      <c r="AG167" s="441">
        <f t="shared" ref="AG167:AG173" si="82">AG$52-AG86</f>
        <v>68</v>
      </c>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row>
    <row r="168" hidden="1" outlineLevel="1">
      <c r="A168" s="531" t="s">
        <v>757</v>
      </c>
      <c r="B168" s="532">
        <v>6.0</v>
      </c>
      <c r="C168" s="532">
        <v>6.0</v>
      </c>
      <c r="D168" s="532">
        <v>8.0</v>
      </c>
      <c r="E168" s="532">
        <v>8.0</v>
      </c>
      <c r="F168" s="532">
        <v>10.0</v>
      </c>
      <c r="G168" s="532">
        <v>10.0</v>
      </c>
      <c r="H168" s="532">
        <v>12.0</v>
      </c>
      <c r="I168" s="539"/>
      <c r="J168" s="538"/>
      <c r="K168" s="538"/>
      <c r="L168" s="527" t="str">
        <f>VLOOKUP(A168,'Кузнец'!$B$145:$J$193,9,FALSE)</f>
        <v>#N/A</v>
      </c>
      <c r="M168" s="526"/>
      <c r="N168" s="526" t="str">
        <f>VLOOKUP(A168,'Кузнец'!$B$145:$J$193,4,FALSE)</f>
        <v>#N/A</v>
      </c>
      <c r="O168" s="526"/>
      <c r="P168" s="526"/>
      <c r="Q168" s="526"/>
      <c r="R168" s="526"/>
      <c r="S168" s="454">
        <v>0.0</v>
      </c>
      <c r="T168" s="467"/>
      <c r="U168" s="467"/>
      <c r="V168" s="438"/>
      <c r="W168" s="438"/>
      <c r="X168" s="440">
        <v>0.0</v>
      </c>
      <c r="Y168" s="440">
        <v>0.0</v>
      </c>
      <c r="Z168" s="440">
        <v>0.0</v>
      </c>
      <c r="AA168" s="440">
        <v>0.0</v>
      </c>
      <c r="AB168" s="440">
        <v>0.0</v>
      </c>
      <c r="AC168" s="440">
        <v>0.0</v>
      </c>
      <c r="AD168" s="440">
        <v>0.0</v>
      </c>
      <c r="AE168" s="441"/>
      <c r="AF168" s="441"/>
      <c r="AG168" s="441">
        <f t="shared" si="82"/>
        <v>68</v>
      </c>
      <c r="AH168" s="441"/>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row>
    <row r="169" hidden="1" outlineLevel="1">
      <c r="A169" s="531" t="s">
        <v>758</v>
      </c>
      <c r="B169" s="532">
        <v>1.0</v>
      </c>
      <c r="C169" s="532">
        <v>4.0</v>
      </c>
      <c r="D169" s="532">
        <v>6.0</v>
      </c>
      <c r="E169" s="532">
        <v>10.0</v>
      </c>
      <c r="F169" s="532">
        <v>13.0</v>
      </c>
      <c r="G169" s="532">
        <v>18.0</v>
      </c>
      <c r="H169" s="532">
        <v>22.0</v>
      </c>
      <c r="I169" s="539"/>
      <c r="J169" s="538"/>
      <c r="K169" s="538"/>
      <c r="L169" s="527" t="str">
        <f>VLOOKUP(A169,'Кузнец'!$B$145:$J$193,9,FALSE)</f>
        <v>#N/A</v>
      </c>
      <c r="M169" s="526"/>
      <c r="N169" s="526" t="str">
        <f>VLOOKUP(A169,'Кузнец'!$B$145:$J$193,4,FALSE)</f>
        <v>#N/A</v>
      </c>
      <c r="O169" s="526"/>
      <c r="P169" s="526"/>
      <c r="Q169" s="526"/>
      <c r="R169" s="526"/>
      <c r="S169" s="454">
        <v>0.0</v>
      </c>
      <c r="T169" s="467"/>
      <c r="U169" s="467"/>
      <c r="V169" s="438"/>
      <c r="W169" s="438"/>
      <c r="X169" s="440">
        <v>0.0</v>
      </c>
      <c r="Y169" s="440">
        <v>0.0</v>
      </c>
      <c r="Z169" s="440">
        <v>0.0</v>
      </c>
      <c r="AA169" s="440">
        <v>0.0</v>
      </c>
      <c r="AB169" s="440">
        <v>0.0</v>
      </c>
      <c r="AC169" s="440">
        <v>0.0</v>
      </c>
      <c r="AD169" s="440">
        <v>0.0</v>
      </c>
      <c r="AE169" s="441"/>
      <c r="AF169" s="441"/>
      <c r="AG169" s="441">
        <f t="shared" si="82"/>
        <v>68</v>
      </c>
      <c r="AH169" s="441"/>
      <c r="AI169" s="441"/>
      <c r="AJ169" s="441"/>
      <c r="AK169" s="441"/>
      <c r="AL169" s="441"/>
      <c r="AM169" s="441"/>
      <c r="AN169" s="441"/>
      <c r="AO169" s="441"/>
      <c r="AP169" s="441"/>
      <c r="AQ169" s="441"/>
      <c r="AR169" s="441"/>
      <c r="AS169" s="441"/>
      <c r="AT169" s="441"/>
      <c r="AU169" s="441"/>
      <c r="AV169" s="441"/>
      <c r="AW169" s="441"/>
      <c r="AX169" s="441"/>
      <c r="AY169" s="441"/>
      <c r="AZ169" s="441"/>
      <c r="BA169" s="441"/>
      <c r="BB169" s="441"/>
      <c r="BC169" s="441"/>
      <c r="BD169" s="441"/>
      <c r="BE169" s="441"/>
      <c r="BF169" s="441"/>
    </row>
    <row r="170" hidden="1" outlineLevel="1">
      <c r="A170" s="531" t="s">
        <v>759</v>
      </c>
      <c r="B170" s="532">
        <f t="shared" ref="B170:H170" si="83">(B167+B168)/2+B169</f>
        <v>4.5</v>
      </c>
      <c r="C170" s="532">
        <f t="shared" si="83"/>
        <v>7.5</v>
      </c>
      <c r="D170" s="532">
        <f t="shared" si="83"/>
        <v>10.5</v>
      </c>
      <c r="E170" s="532">
        <f t="shared" si="83"/>
        <v>14.5</v>
      </c>
      <c r="F170" s="532">
        <f t="shared" si="83"/>
        <v>18.5</v>
      </c>
      <c r="G170" s="532">
        <f t="shared" si="83"/>
        <v>23.5</v>
      </c>
      <c r="H170" s="532">
        <f t="shared" si="83"/>
        <v>28.5</v>
      </c>
      <c r="I170" s="539"/>
      <c r="J170" s="538"/>
      <c r="K170" s="538"/>
      <c r="L170" s="527" t="str">
        <f>VLOOKUP(A170,'Кузнец'!$B$145:$J$193,9,FALSE)</f>
        <v>#N/A</v>
      </c>
      <c r="M170" s="526"/>
      <c r="N170" s="526" t="str">
        <f>VLOOKUP(A170,'Кузнец'!$B$145:$J$193,4,FALSE)</f>
        <v>#N/A</v>
      </c>
      <c r="O170" s="526"/>
      <c r="P170" s="526"/>
      <c r="Q170" s="526"/>
      <c r="R170" s="526"/>
      <c r="S170" s="454">
        <v>0.0</v>
      </c>
      <c r="T170" s="467"/>
      <c r="U170" s="467"/>
      <c r="V170" s="438"/>
      <c r="W170" s="438"/>
      <c r="X170" s="440">
        <v>0.0</v>
      </c>
      <c r="Y170" s="440">
        <v>0.0</v>
      </c>
      <c r="Z170" s="440">
        <v>0.0</v>
      </c>
      <c r="AA170" s="440">
        <v>0.0</v>
      </c>
      <c r="AB170" s="440">
        <v>0.0</v>
      </c>
      <c r="AC170" s="440">
        <v>0.0</v>
      </c>
      <c r="AD170" s="440">
        <v>0.0</v>
      </c>
      <c r="AE170" s="441"/>
      <c r="AF170" s="441"/>
      <c r="AG170" s="441">
        <f t="shared" si="82"/>
        <v>68</v>
      </c>
      <c r="AH170" s="441"/>
      <c r="AI170" s="441"/>
      <c r="AJ170" s="441"/>
      <c r="AK170" s="441"/>
      <c r="AL170" s="441"/>
      <c r="AM170" s="441"/>
      <c r="AN170" s="441"/>
      <c r="AO170" s="441"/>
      <c r="AP170" s="441"/>
      <c r="AQ170" s="441"/>
      <c r="AR170" s="441"/>
      <c r="AS170" s="441"/>
      <c r="AT170" s="441"/>
      <c r="AU170" s="441"/>
      <c r="AV170" s="441"/>
      <c r="AW170" s="441"/>
      <c r="AX170" s="441"/>
      <c r="AY170" s="441"/>
      <c r="AZ170" s="441"/>
      <c r="BA170" s="441"/>
      <c r="BB170" s="441"/>
      <c r="BC170" s="441"/>
      <c r="BD170" s="441"/>
      <c r="BE170" s="441"/>
      <c r="BF170" s="441"/>
    </row>
    <row r="171" hidden="1" outlineLevel="1">
      <c r="A171" s="531" t="s">
        <v>760</v>
      </c>
      <c r="B171" s="535"/>
      <c r="C171" s="535">
        <f t="shared" ref="C171:H171" si="84">C170/B170-1</f>
        <v>0.6666666667</v>
      </c>
      <c r="D171" s="535">
        <f t="shared" si="84"/>
        <v>0.4</v>
      </c>
      <c r="E171" s="535">
        <f t="shared" si="84"/>
        <v>0.380952381</v>
      </c>
      <c r="F171" s="535">
        <f t="shared" si="84"/>
        <v>0.275862069</v>
      </c>
      <c r="G171" s="535">
        <f t="shared" si="84"/>
        <v>0.2702702703</v>
      </c>
      <c r="H171" s="535">
        <f t="shared" si="84"/>
        <v>0.2127659574</v>
      </c>
      <c r="I171" s="539"/>
      <c r="J171" s="538"/>
      <c r="K171" s="538"/>
      <c r="L171" s="527" t="str">
        <f>VLOOKUP(A171,'Кузнец'!$B$145:$J$193,9,FALSE)</f>
        <v>#N/A</v>
      </c>
      <c r="M171" s="526"/>
      <c r="N171" s="526" t="str">
        <f>VLOOKUP(A171,'Кузнец'!$B$145:$J$193,4,FALSE)</f>
        <v>#N/A</v>
      </c>
      <c r="O171" s="526"/>
      <c r="P171" s="526"/>
      <c r="Q171" s="526"/>
      <c r="R171" s="526"/>
      <c r="S171" s="454">
        <v>0.0</v>
      </c>
      <c r="T171" s="467"/>
      <c r="U171" s="467"/>
      <c r="V171" s="438"/>
      <c r="W171" s="438"/>
      <c r="X171" s="440">
        <v>0.0</v>
      </c>
      <c r="Y171" s="440">
        <v>0.0</v>
      </c>
      <c r="Z171" s="440">
        <v>0.0</v>
      </c>
      <c r="AA171" s="440">
        <v>0.0</v>
      </c>
      <c r="AB171" s="440">
        <v>0.0</v>
      </c>
      <c r="AC171" s="440">
        <v>0.0</v>
      </c>
      <c r="AD171" s="440">
        <v>0.0</v>
      </c>
      <c r="AE171" s="441"/>
      <c r="AF171" s="441"/>
      <c r="AG171" s="441">
        <f t="shared" si="82"/>
        <v>68</v>
      </c>
      <c r="AH171" s="441"/>
      <c r="AI171" s="441"/>
      <c r="AJ171" s="441"/>
      <c r="AK171" s="441"/>
      <c r="AL171" s="441"/>
      <c r="AM171" s="441"/>
      <c r="AN171" s="441"/>
      <c r="AO171" s="441"/>
      <c r="AP171" s="441"/>
      <c r="AQ171" s="441"/>
      <c r="AR171" s="441"/>
      <c r="AS171" s="441"/>
      <c r="AT171" s="441"/>
      <c r="AU171" s="441"/>
      <c r="AV171" s="441"/>
      <c r="AW171" s="441"/>
      <c r="AX171" s="441"/>
      <c r="AY171" s="441"/>
      <c r="AZ171" s="441"/>
      <c r="BA171" s="441"/>
      <c r="BB171" s="441"/>
      <c r="BC171" s="441"/>
      <c r="BD171" s="441"/>
      <c r="BE171" s="441"/>
      <c r="BF171" s="441"/>
    </row>
    <row r="172" hidden="1" outlineLevel="1">
      <c r="A172" s="531" t="s">
        <v>761</v>
      </c>
      <c r="B172" s="532">
        <f>$K166</f>
        <v>3</v>
      </c>
      <c r="C172" s="532"/>
      <c r="D172" s="535"/>
      <c r="E172" s="535"/>
      <c r="F172" s="535"/>
      <c r="G172" s="535"/>
      <c r="H172" s="535"/>
      <c r="I172" s="539"/>
      <c r="J172" s="538"/>
      <c r="K172" s="538"/>
      <c r="L172" s="527" t="str">
        <f>VLOOKUP(A172,'Кузнец'!$B$145:$J$193,9,FALSE)</f>
        <v>#N/A</v>
      </c>
      <c r="M172" s="526"/>
      <c r="N172" s="526" t="str">
        <f>VLOOKUP(A172,'Кузнец'!$B$145:$J$193,4,FALSE)</f>
        <v>#N/A</v>
      </c>
      <c r="O172" s="526"/>
      <c r="P172" s="526"/>
      <c r="Q172" s="526"/>
      <c r="R172" s="526"/>
      <c r="S172" s="454">
        <v>0.0</v>
      </c>
      <c r="T172" s="467"/>
      <c r="U172" s="467"/>
      <c r="V172" s="438"/>
      <c r="W172" s="438"/>
      <c r="X172" s="440">
        <v>0.0</v>
      </c>
      <c r="Y172" s="440">
        <v>0.0</v>
      </c>
      <c r="Z172" s="440">
        <v>0.0</v>
      </c>
      <c r="AA172" s="440">
        <v>0.0</v>
      </c>
      <c r="AB172" s="440">
        <v>0.0</v>
      </c>
      <c r="AC172" s="440">
        <v>0.0</v>
      </c>
      <c r="AD172" s="440">
        <v>0.0</v>
      </c>
      <c r="AE172" s="441"/>
      <c r="AF172" s="441"/>
      <c r="AG172" s="441">
        <f t="shared" si="82"/>
        <v>68</v>
      </c>
      <c r="AH172" s="441"/>
      <c r="AI172" s="441"/>
      <c r="AJ172" s="441"/>
      <c r="AK172" s="441"/>
      <c r="AL172" s="441"/>
      <c r="AM172" s="441"/>
      <c r="AN172" s="441"/>
      <c r="AO172" s="441"/>
      <c r="AP172" s="441"/>
      <c r="AQ172" s="441"/>
      <c r="AR172" s="441"/>
      <c r="AS172" s="441"/>
      <c r="AT172" s="441"/>
      <c r="AU172" s="441"/>
      <c r="AV172" s="441"/>
      <c r="AW172" s="441"/>
      <c r="AX172" s="441"/>
      <c r="AY172" s="441"/>
      <c r="AZ172" s="441"/>
      <c r="BA172" s="441"/>
      <c r="BB172" s="441"/>
      <c r="BC172" s="441"/>
      <c r="BD172" s="441"/>
      <c r="BE172" s="441"/>
      <c r="BF172" s="441"/>
    </row>
    <row r="173" hidden="1" outlineLevel="1">
      <c r="A173" s="531" t="s">
        <v>762</v>
      </c>
      <c r="B173" s="540">
        <f t="shared" ref="B173:H173" si="85">B170/$B172</f>
        <v>1.5</v>
      </c>
      <c r="C173" s="540">
        <f t="shared" si="85"/>
        <v>2.5</v>
      </c>
      <c r="D173" s="540">
        <f t="shared" si="85"/>
        <v>3.5</v>
      </c>
      <c r="E173" s="540">
        <f t="shared" si="85"/>
        <v>4.833333333</v>
      </c>
      <c r="F173" s="540">
        <f t="shared" si="85"/>
        <v>6.166666667</v>
      </c>
      <c r="G173" s="540">
        <f t="shared" si="85"/>
        <v>7.833333333</v>
      </c>
      <c r="H173" s="540">
        <f t="shared" si="85"/>
        <v>9.5</v>
      </c>
      <c r="I173" s="539"/>
      <c r="J173" s="538"/>
      <c r="K173" s="538"/>
      <c r="L173" s="527" t="str">
        <f>VLOOKUP(A173,'Кузнец'!$B$145:$J$193,9,FALSE)</f>
        <v>#N/A</v>
      </c>
      <c r="M173" s="526"/>
      <c r="N173" s="526" t="str">
        <f>VLOOKUP(A173,'Кузнец'!$B$145:$J$193,4,FALSE)</f>
        <v>#N/A</v>
      </c>
      <c r="O173" s="526"/>
      <c r="P173" s="526"/>
      <c r="Q173" s="526"/>
      <c r="R173" s="526"/>
      <c r="S173" s="454">
        <v>0.0</v>
      </c>
      <c r="T173" s="467"/>
      <c r="U173" s="467"/>
      <c r="V173" s="438"/>
      <c r="W173" s="438"/>
      <c r="X173" s="440">
        <v>0.0</v>
      </c>
      <c r="Y173" s="440">
        <v>0.0</v>
      </c>
      <c r="Z173" s="440">
        <v>0.0</v>
      </c>
      <c r="AA173" s="440">
        <v>0.0</v>
      </c>
      <c r="AB173" s="440">
        <v>0.0</v>
      </c>
      <c r="AC173" s="440">
        <v>0.0</v>
      </c>
      <c r="AD173" s="440">
        <v>0.0</v>
      </c>
      <c r="AE173" s="441"/>
      <c r="AF173" s="441"/>
      <c r="AG173" s="441">
        <f t="shared" si="82"/>
        <v>68</v>
      </c>
      <c r="AH173" s="441"/>
      <c r="AI173" s="441"/>
      <c r="AJ173" s="441"/>
      <c r="AK173" s="441"/>
      <c r="AL173" s="441"/>
      <c r="AM173" s="441"/>
      <c r="AN173" s="441"/>
      <c r="AO173" s="441"/>
      <c r="AP173" s="441"/>
      <c r="AQ173" s="441"/>
      <c r="AR173" s="441"/>
      <c r="AS173" s="441"/>
      <c r="AT173" s="441"/>
      <c r="AU173" s="441"/>
      <c r="AV173" s="441"/>
      <c r="AW173" s="441"/>
      <c r="AX173" s="441"/>
      <c r="AY173" s="441"/>
      <c r="AZ173" s="441"/>
      <c r="BA173" s="441"/>
      <c r="BB173" s="441"/>
      <c r="BC173" s="441"/>
      <c r="BD173" s="441"/>
      <c r="BE173" s="441"/>
      <c r="BF173" s="441"/>
    </row>
    <row r="174" collapsed="1">
      <c r="A174" s="522" t="s">
        <v>920</v>
      </c>
      <c r="B174" s="538" t="s">
        <v>121</v>
      </c>
      <c r="C174" s="538" t="s">
        <v>807</v>
      </c>
      <c r="D174" s="538" t="s">
        <v>808</v>
      </c>
      <c r="E174" s="538" t="s">
        <v>809</v>
      </c>
      <c r="F174" s="538" t="s">
        <v>810</v>
      </c>
      <c r="G174" s="538" t="s">
        <v>811</v>
      </c>
      <c r="H174" s="538" t="s">
        <v>812</v>
      </c>
      <c r="I174" s="525" t="s">
        <v>754</v>
      </c>
      <c r="J174" s="538">
        <v>0.0</v>
      </c>
      <c r="K174" s="526">
        <v>3.0</v>
      </c>
      <c r="L174" s="527">
        <f>VLOOKUP(A174,'Кузнец'!$B$145:$J$193,9,FALSE)</f>
        <v>3.96</v>
      </c>
      <c r="M174" s="528" t="s">
        <v>921</v>
      </c>
      <c r="N174" s="526">
        <f>VLOOKUP(A174,'Кузнец'!$B$145:$J$193,4,FALSE)</f>
        <v>16</v>
      </c>
      <c r="O174" s="526">
        <v>22.0</v>
      </c>
      <c r="P174" s="528" t="s">
        <v>804</v>
      </c>
      <c r="Q174" s="526"/>
      <c r="R174" s="528" t="s">
        <v>922</v>
      </c>
      <c r="S174" s="454">
        <v>0.0</v>
      </c>
      <c r="T174" s="467"/>
      <c r="U174" s="467"/>
      <c r="V174" s="438"/>
      <c r="W174" s="438"/>
      <c r="X174" s="440">
        <v>0.0</v>
      </c>
      <c r="Y174" s="440">
        <v>0.0</v>
      </c>
      <c r="Z174" s="440">
        <v>0.0</v>
      </c>
      <c r="AA174" s="440">
        <v>0.0</v>
      </c>
      <c r="AB174" s="440">
        <v>0.0</v>
      </c>
      <c r="AC174" s="440">
        <v>0.0</v>
      </c>
      <c r="AD174" s="440">
        <v>0.0</v>
      </c>
      <c r="AE174" s="441"/>
      <c r="AF174" s="441"/>
      <c r="AG174" s="441"/>
      <c r="AH174" s="441"/>
      <c r="AI174" s="441"/>
      <c r="AJ174" s="441"/>
      <c r="AK174" s="441"/>
      <c r="AL174" s="441"/>
      <c r="AM174" s="441"/>
      <c r="AN174" s="441"/>
      <c r="AO174" s="441"/>
      <c r="AP174" s="441"/>
      <c r="AQ174" s="441"/>
      <c r="AR174" s="441"/>
      <c r="AS174" s="441"/>
      <c r="AT174" s="441"/>
      <c r="AU174" s="441"/>
      <c r="AV174" s="441"/>
      <c r="AW174" s="441"/>
      <c r="AX174" s="441"/>
      <c r="AY174" s="441"/>
      <c r="AZ174" s="441"/>
      <c r="BA174" s="441"/>
      <c r="BB174" s="441"/>
      <c r="BC174" s="441"/>
      <c r="BD174" s="441"/>
      <c r="BE174" s="441"/>
      <c r="BF174" s="441"/>
    </row>
    <row r="175" hidden="1" outlineLevel="1">
      <c r="A175" s="531" t="s">
        <v>756</v>
      </c>
      <c r="B175" s="532">
        <v>1.0</v>
      </c>
      <c r="C175" s="532">
        <v>1.0</v>
      </c>
      <c r="D175" s="532">
        <v>1.0</v>
      </c>
      <c r="E175" s="532">
        <v>1.0</v>
      </c>
      <c r="F175" s="532">
        <v>1.0</v>
      </c>
      <c r="G175" s="532">
        <v>1.0</v>
      </c>
      <c r="H175" s="532">
        <v>1.0</v>
      </c>
      <c r="I175" s="539"/>
      <c r="J175" s="538"/>
      <c r="K175" s="538"/>
      <c r="L175" s="527" t="str">
        <f>VLOOKUP(A175,'Кузнец'!$B$145:$J$193,9,FALSE)</f>
        <v>#N/A</v>
      </c>
      <c r="M175" s="526"/>
      <c r="N175" s="526" t="str">
        <f>VLOOKUP(A175,'Кузнец'!$B$145:$J$193,4,FALSE)</f>
        <v>#N/A</v>
      </c>
      <c r="O175" s="526"/>
      <c r="P175" s="526"/>
      <c r="Q175" s="526"/>
      <c r="R175" s="526"/>
      <c r="S175" s="454">
        <v>0.0</v>
      </c>
      <c r="T175" s="467"/>
      <c r="U175" s="467"/>
      <c r="V175" s="438"/>
      <c r="W175" s="438"/>
      <c r="X175" s="440">
        <v>0.0</v>
      </c>
      <c r="Y175" s="440">
        <v>0.0</v>
      </c>
      <c r="Z175" s="440">
        <v>0.0</v>
      </c>
      <c r="AA175" s="440">
        <v>0.0</v>
      </c>
      <c r="AB175" s="440">
        <v>0.0</v>
      </c>
      <c r="AC175" s="440">
        <v>0.0</v>
      </c>
      <c r="AD175" s="440">
        <v>0.0</v>
      </c>
      <c r="AE175" s="441"/>
      <c r="AF175" s="441"/>
      <c r="AG175" s="441"/>
      <c r="AH175" s="441"/>
      <c r="AI175" s="441"/>
      <c r="AJ175" s="441"/>
      <c r="AK175" s="441"/>
      <c r="AL175" s="441"/>
      <c r="AM175" s="441"/>
      <c r="AN175" s="441"/>
      <c r="AO175" s="441"/>
      <c r="AP175" s="441"/>
      <c r="AQ175" s="441"/>
      <c r="AR175" s="441"/>
      <c r="AS175" s="441"/>
      <c r="AT175" s="441"/>
      <c r="AU175" s="441"/>
      <c r="AV175" s="441"/>
      <c r="AW175" s="441"/>
      <c r="AX175" s="441"/>
      <c r="AY175" s="441"/>
      <c r="AZ175" s="441"/>
      <c r="BA175" s="441"/>
      <c r="BB175" s="441"/>
      <c r="BC175" s="441"/>
      <c r="BD175" s="441"/>
      <c r="BE175" s="441"/>
      <c r="BF175" s="441"/>
    </row>
    <row r="176" hidden="1" outlineLevel="1">
      <c r="A176" s="531" t="s">
        <v>757</v>
      </c>
      <c r="B176" s="532">
        <v>6.0</v>
      </c>
      <c r="C176" s="532">
        <v>6.0</v>
      </c>
      <c r="D176" s="532">
        <v>8.0</v>
      </c>
      <c r="E176" s="532">
        <v>8.0</v>
      </c>
      <c r="F176" s="532">
        <v>10.0</v>
      </c>
      <c r="G176" s="532">
        <v>10.0</v>
      </c>
      <c r="H176" s="532">
        <v>12.0</v>
      </c>
      <c r="I176" s="539"/>
      <c r="J176" s="538"/>
      <c r="K176" s="538"/>
      <c r="L176" s="527" t="str">
        <f>VLOOKUP(A176,'Кузнец'!$B$145:$J$193,9,FALSE)</f>
        <v>#N/A</v>
      </c>
      <c r="M176" s="526"/>
      <c r="N176" s="526" t="str">
        <f>VLOOKUP(A176,'Кузнец'!$B$145:$J$193,4,FALSE)</f>
        <v>#N/A</v>
      </c>
      <c r="O176" s="526"/>
      <c r="P176" s="526"/>
      <c r="Q176" s="526"/>
      <c r="R176" s="526"/>
      <c r="S176" s="454">
        <v>0.0</v>
      </c>
      <c r="T176" s="467"/>
      <c r="U176" s="467"/>
      <c r="V176" s="438"/>
      <c r="W176" s="438"/>
      <c r="X176" s="440">
        <v>0.0</v>
      </c>
      <c r="Y176" s="440">
        <v>0.0</v>
      </c>
      <c r="Z176" s="440">
        <v>0.0</v>
      </c>
      <c r="AA176" s="440">
        <v>0.0</v>
      </c>
      <c r="AB176" s="440">
        <v>0.0</v>
      </c>
      <c r="AC176" s="440">
        <v>0.0</v>
      </c>
      <c r="AD176" s="440">
        <v>0.0</v>
      </c>
      <c r="AE176" s="441"/>
      <c r="AF176" s="441"/>
      <c r="AG176" s="441"/>
      <c r="AH176" s="441"/>
      <c r="AI176" s="441"/>
      <c r="AJ176" s="441"/>
      <c r="AK176" s="441"/>
      <c r="AL176" s="441"/>
      <c r="AM176" s="441"/>
      <c r="AN176" s="441"/>
      <c r="AO176" s="441"/>
      <c r="AP176" s="441"/>
      <c r="AQ176" s="441"/>
      <c r="AR176" s="441"/>
      <c r="AS176" s="441"/>
      <c r="AT176" s="441"/>
      <c r="AU176" s="441"/>
      <c r="AV176" s="441"/>
      <c r="AW176" s="441"/>
      <c r="AX176" s="441"/>
      <c r="AY176" s="441"/>
      <c r="AZ176" s="441"/>
      <c r="BA176" s="441"/>
      <c r="BB176" s="441"/>
      <c r="BC176" s="441"/>
      <c r="BD176" s="441"/>
      <c r="BE176" s="441"/>
      <c r="BF176" s="441"/>
    </row>
    <row r="177" hidden="1" outlineLevel="1">
      <c r="A177" s="531" t="s">
        <v>758</v>
      </c>
      <c r="B177" s="532">
        <v>3.0</v>
      </c>
      <c r="C177" s="532">
        <v>6.0</v>
      </c>
      <c r="D177" s="532">
        <v>8.0</v>
      </c>
      <c r="E177" s="532">
        <v>12.0</v>
      </c>
      <c r="F177" s="532">
        <v>15.0</v>
      </c>
      <c r="G177" s="532">
        <v>20.0</v>
      </c>
      <c r="H177" s="532">
        <v>24.0</v>
      </c>
      <c r="I177" s="539"/>
      <c r="J177" s="538"/>
      <c r="K177" s="538"/>
      <c r="L177" s="527" t="str">
        <f>VLOOKUP(A177,'Кузнец'!$B$145:$J$193,9,FALSE)</f>
        <v>#N/A</v>
      </c>
      <c r="M177" s="526"/>
      <c r="N177" s="526" t="str">
        <f>VLOOKUP(A177,'Кузнец'!$B$145:$J$193,4,FALSE)</f>
        <v>#N/A</v>
      </c>
      <c r="O177" s="526"/>
      <c r="P177" s="526"/>
      <c r="Q177" s="526"/>
      <c r="R177" s="526"/>
      <c r="S177" s="454">
        <v>0.0</v>
      </c>
      <c r="T177" s="467"/>
      <c r="U177" s="467"/>
      <c r="V177" s="438"/>
      <c r="W177" s="438"/>
      <c r="X177" s="440">
        <v>0.0</v>
      </c>
      <c r="Y177" s="440">
        <v>0.0</v>
      </c>
      <c r="Z177" s="440">
        <v>0.0</v>
      </c>
      <c r="AA177" s="440">
        <v>0.0</v>
      </c>
      <c r="AB177" s="440">
        <v>0.0</v>
      </c>
      <c r="AC177" s="440">
        <v>0.0</v>
      </c>
      <c r="AD177" s="440">
        <v>0.0</v>
      </c>
      <c r="AE177" s="441"/>
      <c r="AF177" s="441"/>
      <c r="AG177" s="441"/>
      <c r="AH177" s="441"/>
      <c r="AI177" s="441"/>
      <c r="AJ177" s="441"/>
      <c r="AK177" s="441"/>
      <c r="AL177" s="441"/>
      <c r="AM177" s="441"/>
      <c r="AN177" s="441"/>
      <c r="AO177" s="441"/>
      <c r="AP177" s="441"/>
      <c r="AQ177" s="441"/>
      <c r="AR177" s="441"/>
      <c r="AS177" s="441"/>
      <c r="AT177" s="441"/>
      <c r="AU177" s="441"/>
      <c r="AV177" s="441"/>
      <c r="AW177" s="441"/>
      <c r="AX177" s="441"/>
      <c r="AY177" s="441"/>
      <c r="AZ177" s="441"/>
      <c r="BA177" s="441"/>
      <c r="BB177" s="441"/>
      <c r="BC177" s="441"/>
      <c r="BD177" s="441"/>
      <c r="BE177" s="441"/>
      <c r="BF177" s="441"/>
    </row>
    <row r="178" hidden="1" outlineLevel="1">
      <c r="A178" s="531" t="s">
        <v>759</v>
      </c>
      <c r="B178" s="532">
        <f t="shared" ref="B178:H178" si="86">(B175+B176)/2+B177</f>
        <v>6.5</v>
      </c>
      <c r="C178" s="532">
        <f t="shared" si="86"/>
        <v>9.5</v>
      </c>
      <c r="D178" s="532">
        <f t="shared" si="86"/>
        <v>12.5</v>
      </c>
      <c r="E178" s="532">
        <f t="shared" si="86"/>
        <v>16.5</v>
      </c>
      <c r="F178" s="532">
        <f t="shared" si="86"/>
        <v>20.5</v>
      </c>
      <c r="G178" s="532">
        <f t="shared" si="86"/>
        <v>25.5</v>
      </c>
      <c r="H178" s="532">
        <f t="shared" si="86"/>
        <v>30.5</v>
      </c>
      <c r="I178" s="539"/>
      <c r="J178" s="538"/>
      <c r="K178" s="538"/>
      <c r="L178" s="527" t="str">
        <f>VLOOKUP(A178,'Кузнец'!$B$145:$J$193,9,FALSE)</f>
        <v>#N/A</v>
      </c>
      <c r="M178" s="526"/>
      <c r="N178" s="526" t="str">
        <f>VLOOKUP(A178,'Кузнец'!$B$145:$J$193,4,FALSE)</f>
        <v>#N/A</v>
      </c>
      <c r="O178" s="526"/>
      <c r="P178" s="526"/>
      <c r="Q178" s="526"/>
      <c r="R178" s="526"/>
      <c r="S178" s="454">
        <v>0.0</v>
      </c>
      <c r="T178" s="467"/>
      <c r="U178" s="467"/>
      <c r="V178" s="438"/>
      <c r="W178" s="438"/>
      <c r="X178" s="440">
        <v>0.0</v>
      </c>
      <c r="Y178" s="440">
        <v>0.0</v>
      </c>
      <c r="Z178" s="440">
        <v>0.0</v>
      </c>
      <c r="AA178" s="440">
        <v>0.0</v>
      </c>
      <c r="AB178" s="440">
        <v>0.0</v>
      </c>
      <c r="AC178" s="440">
        <v>0.0</v>
      </c>
      <c r="AD178" s="440">
        <v>0.0</v>
      </c>
      <c r="AE178" s="441"/>
      <c r="AF178" s="441"/>
      <c r="AG178" s="441"/>
      <c r="AH178" s="441"/>
      <c r="AI178" s="441"/>
      <c r="AJ178" s="441"/>
      <c r="AK178" s="441"/>
      <c r="AL178" s="441"/>
      <c r="AM178" s="441"/>
      <c r="AN178" s="441"/>
      <c r="AO178" s="441"/>
      <c r="AP178" s="441"/>
      <c r="AQ178" s="441"/>
      <c r="AR178" s="441"/>
      <c r="AS178" s="441"/>
      <c r="AT178" s="441"/>
      <c r="AU178" s="441"/>
      <c r="AV178" s="441"/>
      <c r="AW178" s="441"/>
      <c r="AX178" s="441"/>
      <c r="AY178" s="441"/>
      <c r="AZ178" s="441"/>
      <c r="BA178" s="441"/>
      <c r="BB178" s="441"/>
      <c r="BC178" s="441"/>
      <c r="BD178" s="441"/>
      <c r="BE178" s="441"/>
      <c r="BF178" s="441"/>
    </row>
    <row r="179" hidden="1" outlineLevel="1">
      <c r="A179" s="531" t="s">
        <v>760</v>
      </c>
      <c r="B179" s="535"/>
      <c r="C179" s="535">
        <f t="shared" ref="C179:H179" si="87">C178/B178-1</f>
        <v>0.4615384615</v>
      </c>
      <c r="D179" s="535">
        <f t="shared" si="87"/>
        <v>0.3157894737</v>
      </c>
      <c r="E179" s="535">
        <f t="shared" si="87"/>
        <v>0.32</v>
      </c>
      <c r="F179" s="535">
        <f t="shared" si="87"/>
        <v>0.2424242424</v>
      </c>
      <c r="G179" s="535">
        <f t="shared" si="87"/>
        <v>0.243902439</v>
      </c>
      <c r="H179" s="535">
        <f t="shared" si="87"/>
        <v>0.1960784314</v>
      </c>
      <c r="I179" s="539"/>
      <c r="J179" s="538"/>
      <c r="K179" s="538"/>
      <c r="L179" s="527" t="str">
        <f>VLOOKUP(A179,'Кузнец'!$B$145:$J$193,9,FALSE)</f>
        <v>#N/A</v>
      </c>
      <c r="M179" s="526"/>
      <c r="N179" s="526" t="str">
        <f>VLOOKUP(A179,'Кузнец'!$B$145:$J$193,4,FALSE)</f>
        <v>#N/A</v>
      </c>
      <c r="O179" s="526"/>
      <c r="P179" s="526"/>
      <c r="Q179" s="526"/>
      <c r="R179" s="526"/>
      <c r="S179" s="454">
        <v>0.0</v>
      </c>
      <c r="T179" s="467"/>
      <c r="U179" s="467"/>
      <c r="V179" s="438"/>
      <c r="W179" s="438"/>
      <c r="X179" s="440">
        <v>0.0</v>
      </c>
      <c r="Y179" s="440">
        <v>0.0</v>
      </c>
      <c r="Z179" s="440">
        <v>0.0</v>
      </c>
      <c r="AA179" s="440">
        <v>0.0</v>
      </c>
      <c r="AB179" s="440">
        <v>0.0</v>
      </c>
      <c r="AC179" s="440">
        <v>0.0</v>
      </c>
      <c r="AD179" s="440">
        <v>0.0</v>
      </c>
      <c r="AE179" s="441"/>
      <c r="AF179" s="441"/>
      <c r="AG179" s="441"/>
      <c r="AH179" s="441"/>
      <c r="AI179" s="441"/>
      <c r="AJ179" s="441"/>
      <c r="AK179" s="441"/>
      <c r="AL179" s="441"/>
      <c r="AM179" s="441"/>
      <c r="AN179" s="441"/>
      <c r="AO179" s="441"/>
      <c r="AP179" s="441"/>
      <c r="AQ179" s="441"/>
      <c r="AR179" s="441"/>
      <c r="AS179" s="441"/>
      <c r="AT179" s="441"/>
      <c r="AU179" s="441"/>
      <c r="AV179" s="441"/>
      <c r="AW179" s="441"/>
      <c r="AX179" s="441"/>
      <c r="AY179" s="441"/>
      <c r="AZ179" s="441"/>
      <c r="BA179" s="441"/>
      <c r="BB179" s="441"/>
      <c r="BC179" s="441"/>
      <c r="BD179" s="441"/>
      <c r="BE179" s="441"/>
      <c r="BF179" s="441"/>
    </row>
    <row r="180" hidden="1" outlineLevel="1">
      <c r="A180" s="531" t="s">
        <v>761</v>
      </c>
      <c r="B180" s="532">
        <f>$K174</f>
        <v>3</v>
      </c>
      <c r="C180" s="532"/>
      <c r="D180" s="535"/>
      <c r="E180" s="535"/>
      <c r="F180" s="535"/>
      <c r="G180" s="535"/>
      <c r="H180" s="535"/>
      <c r="I180" s="539"/>
      <c r="J180" s="538"/>
      <c r="K180" s="538"/>
      <c r="L180" s="527" t="str">
        <f>VLOOKUP(A180,'Кузнец'!$B$145:$J$193,9,FALSE)</f>
        <v>#N/A</v>
      </c>
      <c r="M180" s="526"/>
      <c r="N180" s="526" t="str">
        <f>VLOOKUP(A180,'Кузнец'!$B$145:$J$193,4,FALSE)</f>
        <v>#N/A</v>
      </c>
      <c r="O180" s="526"/>
      <c r="P180" s="526"/>
      <c r="Q180" s="526"/>
      <c r="R180" s="526"/>
      <c r="S180" s="454">
        <v>0.0</v>
      </c>
      <c r="T180" s="467"/>
      <c r="U180" s="467"/>
      <c r="V180" s="438"/>
      <c r="W180" s="438"/>
      <c r="X180" s="440">
        <v>0.0</v>
      </c>
      <c r="Y180" s="440">
        <v>0.0</v>
      </c>
      <c r="Z180" s="440">
        <v>0.0</v>
      </c>
      <c r="AA180" s="440">
        <v>0.0</v>
      </c>
      <c r="AB180" s="440">
        <v>0.0</v>
      </c>
      <c r="AC180" s="440">
        <v>0.0</v>
      </c>
      <c r="AD180" s="440">
        <v>0.0</v>
      </c>
      <c r="AE180" s="441"/>
      <c r="AF180" s="441"/>
      <c r="AG180" s="441"/>
      <c r="AH180" s="441"/>
      <c r="AI180" s="441"/>
      <c r="AJ180" s="441"/>
      <c r="AK180" s="441"/>
      <c r="AL180" s="441"/>
      <c r="AM180" s="441"/>
      <c r="AN180" s="441"/>
      <c r="AO180" s="441"/>
      <c r="AP180" s="441"/>
      <c r="AQ180" s="441"/>
      <c r="AR180" s="441"/>
      <c r="AS180" s="441"/>
      <c r="AT180" s="441"/>
      <c r="AU180" s="441"/>
      <c r="AV180" s="441"/>
      <c r="AW180" s="441"/>
      <c r="AX180" s="441"/>
      <c r="AY180" s="441"/>
      <c r="AZ180" s="441"/>
      <c r="BA180" s="441"/>
      <c r="BB180" s="441"/>
      <c r="BC180" s="441"/>
      <c r="BD180" s="441"/>
      <c r="BE180" s="441"/>
      <c r="BF180" s="441"/>
    </row>
    <row r="181" hidden="1" outlineLevel="1">
      <c r="A181" s="531" t="s">
        <v>762</v>
      </c>
      <c r="B181" s="540">
        <f t="shared" ref="B181:H181" si="88">B178/$B180</f>
        <v>2.166666667</v>
      </c>
      <c r="C181" s="540">
        <f t="shared" si="88"/>
        <v>3.166666667</v>
      </c>
      <c r="D181" s="540">
        <f t="shared" si="88"/>
        <v>4.166666667</v>
      </c>
      <c r="E181" s="540">
        <f t="shared" si="88"/>
        <v>5.5</v>
      </c>
      <c r="F181" s="540">
        <f t="shared" si="88"/>
        <v>6.833333333</v>
      </c>
      <c r="G181" s="540">
        <f t="shared" si="88"/>
        <v>8.5</v>
      </c>
      <c r="H181" s="540">
        <f t="shared" si="88"/>
        <v>10.16666667</v>
      </c>
      <c r="I181" s="539"/>
      <c r="J181" s="538"/>
      <c r="K181" s="538"/>
      <c r="L181" s="527" t="str">
        <f>VLOOKUP(A181,'Кузнец'!$B$145:$J$193,9,FALSE)</f>
        <v>#N/A</v>
      </c>
      <c r="M181" s="526"/>
      <c r="N181" s="526" t="str">
        <f>VLOOKUP(A181,'Кузнец'!$B$145:$J$193,4,FALSE)</f>
        <v>#N/A</v>
      </c>
      <c r="O181" s="526"/>
      <c r="P181" s="526"/>
      <c r="Q181" s="526"/>
      <c r="R181" s="526"/>
      <c r="S181" s="454">
        <v>0.0</v>
      </c>
      <c r="T181" s="467"/>
      <c r="U181" s="467"/>
      <c r="V181" s="438"/>
      <c r="W181" s="438"/>
      <c r="X181" s="440">
        <v>0.0</v>
      </c>
      <c r="Y181" s="440">
        <v>0.0</v>
      </c>
      <c r="Z181" s="440">
        <v>0.0</v>
      </c>
      <c r="AA181" s="440">
        <v>0.0</v>
      </c>
      <c r="AB181" s="440">
        <v>0.0</v>
      </c>
      <c r="AC181" s="440">
        <v>0.0</v>
      </c>
      <c r="AD181" s="440">
        <v>0.0</v>
      </c>
      <c r="AE181" s="441"/>
      <c r="AF181" s="441"/>
      <c r="AG181" s="441"/>
      <c r="AH181" s="441"/>
      <c r="AI181" s="441"/>
      <c r="AJ181" s="441"/>
      <c r="AK181" s="441"/>
      <c r="AL181" s="441"/>
      <c r="AM181" s="441"/>
      <c r="AN181" s="441"/>
      <c r="AO181" s="441"/>
      <c r="AP181" s="441"/>
      <c r="AQ181" s="441"/>
      <c r="AR181" s="441"/>
      <c r="AS181" s="441"/>
      <c r="AT181" s="441"/>
      <c r="AU181" s="441"/>
      <c r="AV181" s="441"/>
      <c r="AW181" s="441"/>
      <c r="AX181" s="441"/>
      <c r="AY181" s="441"/>
      <c r="AZ181" s="441"/>
      <c r="BA181" s="441"/>
      <c r="BB181" s="441"/>
      <c r="BC181" s="441"/>
      <c r="BD181" s="441"/>
      <c r="BE181" s="441"/>
      <c r="BF181" s="441"/>
    </row>
    <row r="182" collapsed="1">
      <c r="A182" s="522" t="s">
        <v>923</v>
      </c>
      <c r="B182" s="538" t="s">
        <v>924</v>
      </c>
      <c r="C182" s="538" t="s">
        <v>751</v>
      </c>
      <c r="D182" s="538" t="s">
        <v>891</v>
      </c>
      <c r="E182" s="538" t="s">
        <v>925</v>
      </c>
      <c r="F182" s="538" t="s">
        <v>926</v>
      </c>
      <c r="G182" s="538" t="s">
        <v>927</v>
      </c>
      <c r="H182" s="538" t="s">
        <v>928</v>
      </c>
      <c r="I182" s="525" t="s">
        <v>754</v>
      </c>
      <c r="J182" s="538">
        <v>0.0</v>
      </c>
      <c r="K182" s="526">
        <v>3.0</v>
      </c>
      <c r="L182" s="527">
        <f>VLOOKUP(A182,'Кузнец'!$B$145:$J$193,9,FALSE)</f>
        <v>3.6</v>
      </c>
      <c r="M182" s="528" t="s">
        <v>929</v>
      </c>
      <c r="N182" s="526">
        <f>VLOOKUP(A182,'Кузнец'!$B$145:$J$193,4,FALSE)</f>
        <v>13</v>
      </c>
      <c r="O182" s="526">
        <v>20.0</v>
      </c>
      <c r="P182" s="528" t="s">
        <v>804</v>
      </c>
      <c r="Q182" s="526"/>
      <c r="R182" s="528" t="s">
        <v>930</v>
      </c>
      <c r="S182" s="454">
        <v>0.0</v>
      </c>
      <c r="T182" s="467"/>
      <c r="U182" s="467"/>
      <c r="V182" s="438"/>
      <c r="W182" s="438"/>
      <c r="X182" s="440">
        <v>0.0</v>
      </c>
      <c r="Y182" s="440">
        <v>0.0</v>
      </c>
      <c r="Z182" s="440">
        <v>0.0</v>
      </c>
      <c r="AA182" s="440">
        <v>0.0</v>
      </c>
      <c r="AB182" s="440">
        <v>0.0</v>
      </c>
      <c r="AC182" s="440">
        <v>0.0</v>
      </c>
      <c r="AD182" s="440">
        <v>0.0</v>
      </c>
      <c r="AE182" s="441"/>
      <c r="AF182" s="441" t="s">
        <v>814</v>
      </c>
      <c r="AG182" s="441">
        <f t="shared" ref="AG182:AL182" si="89">AG$52-AG69</f>
        <v>0</v>
      </c>
      <c r="AH182" s="441">
        <f t="shared" si="89"/>
        <v>-5</v>
      </c>
      <c r="AI182" s="441">
        <f t="shared" si="89"/>
        <v>-10</v>
      </c>
      <c r="AJ182" s="441">
        <f t="shared" si="89"/>
        <v>-11</v>
      </c>
      <c r="AK182" s="441">
        <f t="shared" si="89"/>
        <v>-12</v>
      </c>
      <c r="AL182" s="441">
        <f t="shared" si="89"/>
        <v>-13</v>
      </c>
      <c r="AM182" s="441"/>
      <c r="AN182" s="441"/>
      <c r="AO182" s="441"/>
      <c r="AP182" s="441"/>
      <c r="AQ182" s="441"/>
      <c r="AR182" s="441"/>
      <c r="AS182" s="441"/>
      <c r="AT182" s="441"/>
      <c r="AU182" s="441"/>
      <c r="AV182" s="441"/>
      <c r="AW182" s="441"/>
      <c r="AX182" s="441"/>
      <c r="AY182" s="441"/>
      <c r="AZ182" s="441"/>
      <c r="BA182" s="441"/>
      <c r="BB182" s="441"/>
      <c r="BC182" s="441"/>
      <c r="BD182" s="441"/>
      <c r="BE182" s="441"/>
      <c r="BF182" s="441"/>
    </row>
    <row r="183" hidden="1" outlineLevel="1">
      <c r="A183" s="531" t="s">
        <v>756</v>
      </c>
      <c r="B183" s="532">
        <v>1.0</v>
      </c>
      <c r="C183" s="532">
        <v>1.0</v>
      </c>
      <c r="D183" s="532">
        <v>1.0</v>
      </c>
      <c r="E183" s="532">
        <v>1.0</v>
      </c>
      <c r="F183" s="532">
        <v>1.0</v>
      </c>
      <c r="G183" s="532">
        <v>1.0</v>
      </c>
      <c r="H183" s="532">
        <v>3.0</v>
      </c>
      <c r="I183" s="539"/>
      <c r="J183" s="538"/>
      <c r="K183" s="538"/>
      <c r="L183" s="527" t="str">
        <f>VLOOKUP(A183,'Кузнец'!$B$145:$J$193,9,FALSE)</f>
        <v>#N/A</v>
      </c>
      <c r="M183" s="526"/>
      <c r="N183" s="526" t="str">
        <f>VLOOKUP(A183,'Кузнец'!$B$145:$J$193,4,FALSE)</f>
        <v>#N/A</v>
      </c>
      <c r="O183" s="526"/>
      <c r="P183" s="526"/>
      <c r="Q183" s="526"/>
      <c r="R183" s="526"/>
      <c r="S183" s="454">
        <v>0.0</v>
      </c>
      <c r="T183" s="467"/>
      <c r="U183" s="467"/>
      <c r="V183" s="438"/>
      <c r="W183" s="438"/>
      <c r="X183" s="467"/>
      <c r="Y183" s="467"/>
      <c r="Z183" s="467"/>
      <c r="AA183" s="467"/>
      <c r="AB183" s="467"/>
      <c r="AC183" s="438"/>
      <c r="AD183" s="438"/>
      <c r="AE183" s="441"/>
      <c r="AF183" s="441"/>
      <c r="AG183" s="441" t="str">
        <f t="shared" ref="AG183:AL183" si="90">AG$52-AG70</f>
        <v>#REF!</v>
      </c>
      <c r="AH183" s="441" t="str">
        <f t="shared" si="90"/>
        <v>#REF!</v>
      </c>
      <c r="AI183" s="441" t="str">
        <f t="shared" si="90"/>
        <v>#REF!</v>
      </c>
      <c r="AJ183" s="441" t="str">
        <f t="shared" si="90"/>
        <v>#REF!</v>
      </c>
      <c r="AK183" s="441" t="str">
        <f t="shared" si="90"/>
        <v>#REF!</v>
      </c>
      <c r="AL183" s="441" t="str">
        <f t="shared" si="90"/>
        <v>#REF!</v>
      </c>
      <c r="AM183" s="441"/>
      <c r="AN183" s="441"/>
      <c r="AO183" s="441"/>
      <c r="AP183" s="441"/>
      <c r="AQ183" s="441"/>
      <c r="AR183" s="441"/>
      <c r="AS183" s="441"/>
      <c r="AT183" s="441"/>
      <c r="AU183" s="441"/>
      <c r="AV183" s="441"/>
      <c r="AW183" s="441"/>
      <c r="AX183" s="441"/>
      <c r="AY183" s="441"/>
      <c r="AZ183" s="441"/>
      <c r="BA183" s="441"/>
      <c r="BB183" s="441"/>
      <c r="BC183" s="441"/>
      <c r="BD183" s="441"/>
      <c r="BE183" s="441"/>
      <c r="BF183" s="441"/>
    </row>
    <row r="184" hidden="1" outlineLevel="1">
      <c r="A184" s="531" t="s">
        <v>757</v>
      </c>
      <c r="B184" s="532">
        <v>8.0</v>
      </c>
      <c r="C184" s="532">
        <v>8.0</v>
      </c>
      <c r="D184" s="532">
        <v>10.0</v>
      </c>
      <c r="E184" s="532">
        <v>10.0</v>
      </c>
      <c r="F184" s="532">
        <v>12.0</v>
      </c>
      <c r="G184" s="532">
        <v>12.0</v>
      </c>
      <c r="H184" s="532">
        <v>18.0</v>
      </c>
      <c r="I184" s="539"/>
      <c r="J184" s="538"/>
      <c r="K184" s="538"/>
      <c r="L184" s="527" t="str">
        <f>VLOOKUP(A184,'Кузнец'!$B$145:$J$193,9,FALSE)</f>
        <v>#N/A</v>
      </c>
      <c r="M184" s="526"/>
      <c r="N184" s="526" t="str">
        <f>VLOOKUP(A184,'Кузнец'!$B$145:$J$193,4,FALSE)</f>
        <v>#N/A</v>
      </c>
      <c r="O184" s="526"/>
      <c r="P184" s="526"/>
      <c r="Q184" s="526"/>
      <c r="R184" s="526"/>
      <c r="S184" s="454">
        <v>0.0</v>
      </c>
      <c r="T184" s="467"/>
      <c r="U184" s="467"/>
      <c r="V184" s="438"/>
      <c r="W184" s="438"/>
      <c r="X184" s="467"/>
      <c r="Y184" s="467"/>
      <c r="Z184" s="467"/>
      <c r="AA184" s="467"/>
      <c r="AB184" s="467"/>
      <c r="AC184" s="438"/>
      <c r="AD184" s="438"/>
      <c r="AE184" s="441"/>
      <c r="AF184" s="441"/>
      <c r="AG184" s="441" t="str">
        <f t="shared" ref="AG184:AL184" si="91">AG$52-AG71</f>
        <v>#REF!</v>
      </c>
      <c r="AH184" s="441" t="str">
        <f t="shared" si="91"/>
        <v>#REF!</v>
      </c>
      <c r="AI184" s="441" t="str">
        <f t="shared" si="91"/>
        <v>#REF!</v>
      </c>
      <c r="AJ184" s="441" t="str">
        <f t="shared" si="91"/>
        <v>#REF!</v>
      </c>
      <c r="AK184" s="441" t="str">
        <f t="shared" si="91"/>
        <v>#REF!</v>
      </c>
      <c r="AL184" s="441" t="str">
        <f t="shared" si="91"/>
        <v>#REF!</v>
      </c>
      <c r="AM184" s="441"/>
      <c r="AN184" s="441"/>
      <c r="AO184" s="441"/>
      <c r="AP184" s="441"/>
      <c r="AQ184" s="441"/>
      <c r="AR184" s="441"/>
      <c r="AS184" s="441"/>
      <c r="AT184" s="441"/>
      <c r="AU184" s="441"/>
      <c r="AV184" s="441"/>
      <c r="AW184" s="441"/>
      <c r="AX184" s="441"/>
      <c r="AY184" s="441"/>
      <c r="AZ184" s="441"/>
      <c r="BA184" s="441"/>
      <c r="BB184" s="441"/>
      <c r="BC184" s="441"/>
      <c r="BD184" s="441"/>
      <c r="BE184" s="441"/>
      <c r="BF184" s="441"/>
    </row>
    <row r="185" hidden="1" outlineLevel="1">
      <c r="A185" s="531" t="s">
        <v>758</v>
      </c>
      <c r="B185" s="532">
        <v>1.0</v>
      </c>
      <c r="C185" s="532">
        <v>4.0</v>
      </c>
      <c r="D185" s="532">
        <v>6.0</v>
      </c>
      <c r="E185" s="532">
        <v>10.0</v>
      </c>
      <c r="F185" s="532">
        <v>13.0</v>
      </c>
      <c r="G185" s="532">
        <v>18.0</v>
      </c>
      <c r="H185" s="532">
        <v>19.0</v>
      </c>
      <c r="I185" s="539"/>
      <c r="J185" s="538"/>
      <c r="K185" s="538"/>
      <c r="L185" s="527" t="str">
        <f>VLOOKUP(A185,'Кузнец'!$B$145:$J$193,9,FALSE)</f>
        <v>#N/A</v>
      </c>
      <c r="M185" s="526"/>
      <c r="N185" s="526" t="str">
        <f>VLOOKUP(A185,'Кузнец'!$B$145:$J$193,4,FALSE)</f>
        <v>#N/A</v>
      </c>
      <c r="O185" s="526"/>
      <c r="P185" s="526"/>
      <c r="Q185" s="526"/>
      <c r="R185" s="526"/>
      <c r="S185" s="454">
        <v>0.0</v>
      </c>
      <c r="T185" s="467"/>
      <c r="U185" s="467"/>
      <c r="V185" s="438"/>
      <c r="W185" s="438"/>
      <c r="X185" s="467"/>
      <c r="Y185" s="467"/>
      <c r="Z185" s="467"/>
      <c r="AA185" s="467"/>
      <c r="AB185" s="467"/>
      <c r="AC185" s="438"/>
      <c r="AD185" s="438"/>
      <c r="AE185" s="441"/>
      <c r="AF185" s="441"/>
      <c r="AG185" s="441" t="str">
        <f t="shared" ref="AG185:AL185" si="92">AG$52-AG72</f>
        <v>#REF!</v>
      </c>
      <c r="AH185" s="441" t="str">
        <f t="shared" si="92"/>
        <v>#REF!</v>
      </c>
      <c r="AI185" s="441" t="str">
        <f t="shared" si="92"/>
        <v>#REF!</v>
      </c>
      <c r="AJ185" s="441" t="str">
        <f t="shared" si="92"/>
        <v>#REF!</v>
      </c>
      <c r="AK185" s="441" t="str">
        <f t="shared" si="92"/>
        <v>#REF!</v>
      </c>
      <c r="AL185" s="441" t="str">
        <f t="shared" si="92"/>
        <v>#REF!</v>
      </c>
      <c r="AM185" s="441"/>
      <c r="AN185" s="441"/>
      <c r="AO185" s="441"/>
      <c r="AP185" s="441"/>
      <c r="AQ185" s="441"/>
      <c r="AR185" s="441"/>
      <c r="AS185" s="441"/>
      <c r="AT185" s="441"/>
      <c r="AU185" s="441"/>
      <c r="AV185" s="441"/>
      <c r="AW185" s="441"/>
      <c r="AX185" s="441"/>
      <c r="AY185" s="441"/>
      <c r="AZ185" s="441"/>
      <c r="BA185" s="441"/>
      <c r="BB185" s="441"/>
      <c r="BC185" s="441"/>
      <c r="BD185" s="441"/>
      <c r="BE185" s="441"/>
      <c r="BF185" s="441"/>
    </row>
    <row r="186" hidden="1" outlineLevel="1">
      <c r="A186" s="531" t="s">
        <v>759</v>
      </c>
      <c r="B186" s="532">
        <f t="shared" ref="B186:H186" si="93">(B183+B184)/2+B185</f>
        <v>5.5</v>
      </c>
      <c r="C186" s="532">
        <f t="shared" si="93"/>
        <v>8.5</v>
      </c>
      <c r="D186" s="532">
        <f t="shared" si="93"/>
        <v>11.5</v>
      </c>
      <c r="E186" s="532">
        <f t="shared" si="93"/>
        <v>15.5</v>
      </c>
      <c r="F186" s="532">
        <f t="shared" si="93"/>
        <v>19.5</v>
      </c>
      <c r="G186" s="532">
        <f t="shared" si="93"/>
        <v>24.5</v>
      </c>
      <c r="H186" s="532">
        <f t="shared" si="93"/>
        <v>29.5</v>
      </c>
      <c r="I186" s="539"/>
      <c r="J186" s="538"/>
      <c r="K186" s="538"/>
      <c r="L186" s="527" t="str">
        <f>VLOOKUP(A186,'Кузнец'!$B$145:$J$193,9,FALSE)</f>
        <v>#N/A</v>
      </c>
      <c r="M186" s="526"/>
      <c r="N186" s="526" t="str">
        <f>VLOOKUP(A186,'Кузнец'!$B$145:$J$193,4,FALSE)</f>
        <v>#N/A</v>
      </c>
      <c r="O186" s="526"/>
      <c r="P186" s="526"/>
      <c r="Q186" s="526"/>
      <c r="R186" s="526"/>
      <c r="S186" s="454">
        <v>0.0</v>
      </c>
      <c r="T186" s="467"/>
      <c r="U186" s="467"/>
      <c r="V186" s="438"/>
      <c r="W186" s="438"/>
      <c r="X186" s="467"/>
      <c r="Y186" s="467"/>
      <c r="Z186" s="467"/>
      <c r="AA186" s="467"/>
      <c r="AB186" s="467"/>
      <c r="AC186" s="438"/>
      <c r="AD186" s="438"/>
      <c r="AE186" s="441"/>
      <c r="AF186" s="441"/>
      <c r="AG186" s="441" t="str">
        <f t="shared" ref="AG186:AL186" si="94">AG$52-AG73</f>
        <v>#REF!</v>
      </c>
      <c r="AH186" s="441" t="str">
        <f t="shared" si="94"/>
        <v>#REF!</v>
      </c>
      <c r="AI186" s="441" t="str">
        <f t="shared" si="94"/>
        <v>#REF!</v>
      </c>
      <c r="AJ186" s="441" t="str">
        <f t="shared" si="94"/>
        <v>#REF!</v>
      </c>
      <c r="AK186" s="441" t="str">
        <f t="shared" si="94"/>
        <v>#REF!</v>
      </c>
      <c r="AL186" s="441" t="str">
        <f t="shared" si="94"/>
        <v>#REF!</v>
      </c>
      <c r="AM186" s="441"/>
      <c r="AN186" s="441"/>
      <c r="AO186" s="441"/>
      <c r="AP186" s="441"/>
      <c r="AQ186" s="441"/>
      <c r="AR186" s="441"/>
      <c r="AS186" s="441"/>
      <c r="AT186" s="441"/>
      <c r="AU186" s="441"/>
      <c r="AV186" s="441"/>
      <c r="AW186" s="441"/>
      <c r="AX186" s="441"/>
      <c r="AY186" s="441"/>
      <c r="AZ186" s="441"/>
      <c r="BA186" s="441"/>
      <c r="BB186" s="441"/>
      <c r="BC186" s="441"/>
      <c r="BD186" s="441"/>
      <c r="BE186" s="441"/>
      <c r="BF186" s="441"/>
    </row>
    <row r="187" hidden="1" outlineLevel="1">
      <c r="A187" s="531" t="s">
        <v>760</v>
      </c>
      <c r="B187" s="535"/>
      <c r="C187" s="535">
        <f t="shared" ref="C187:H187" si="95">C186/B186-1</f>
        <v>0.5454545455</v>
      </c>
      <c r="D187" s="535">
        <f t="shared" si="95"/>
        <v>0.3529411765</v>
      </c>
      <c r="E187" s="535">
        <f t="shared" si="95"/>
        <v>0.347826087</v>
      </c>
      <c r="F187" s="535">
        <f t="shared" si="95"/>
        <v>0.2580645161</v>
      </c>
      <c r="G187" s="535">
        <f t="shared" si="95"/>
        <v>0.2564102564</v>
      </c>
      <c r="H187" s="535">
        <f t="shared" si="95"/>
        <v>0.2040816327</v>
      </c>
      <c r="I187" s="539"/>
      <c r="J187" s="538"/>
      <c r="K187" s="538"/>
      <c r="L187" s="527" t="str">
        <f>VLOOKUP(A187,'Кузнец'!$B$145:$J$193,9,FALSE)</f>
        <v>#N/A</v>
      </c>
      <c r="M187" s="526"/>
      <c r="N187" s="526" t="str">
        <f>VLOOKUP(A187,'Кузнец'!$B$145:$J$193,4,FALSE)</f>
        <v>#N/A</v>
      </c>
      <c r="O187" s="526"/>
      <c r="P187" s="526"/>
      <c r="Q187" s="526"/>
      <c r="R187" s="526"/>
      <c r="S187" s="454">
        <v>0.0</v>
      </c>
      <c r="T187" s="467"/>
      <c r="U187" s="467"/>
      <c r="V187" s="438"/>
      <c r="W187" s="438"/>
      <c r="X187" s="467"/>
      <c r="Y187" s="467"/>
      <c r="Z187" s="467"/>
      <c r="AA187" s="467"/>
      <c r="AB187" s="467"/>
      <c r="AC187" s="438"/>
      <c r="AD187" s="438"/>
      <c r="AE187" s="441"/>
      <c r="AF187" s="441"/>
      <c r="AG187" s="441" t="str">
        <f t="shared" ref="AG187:AL187" si="96">AG$52-AG74</f>
        <v>#REF!</v>
      </c>
      <c r="AH187" s="441" t="str">
        <f t="shared" si="96"/>
        <v>#REF!</v>
      </c>
      <c r="AI187" s="441" t="str">
        <f t="shared" si="96"/>
        <v>#REF!</v>
      </c>
      <c r="AJ187" s="441" t="str">
        <f t="shared" si="96"/>
        <v>#REF!</v>
      </c>
      <c r="AK187" s="441" t="str">
        <f t="shared" si="96"/>
        <v>#REF!</v>
      </c>
      <c r="AL187" s="441" t="str">
        <f t="shared" si="96"/>
        <v>#REF!</v>
      </c>
      <c r="AM187" s="441"/>
      <c r="AN187" s="441"/>
      <c r="AO187" s="441"/>
      <c r="AP187" s="441"/>
      <c r="AQ187" s="441"/>
      <c r="AR187" s="441"/>
      <c r="AS187" s="441"/>
      <c r="AT187" s="441"/>
      <c r="AU187" s="441"/>
      <c r="AV187" s="441"/>
      <c r="AW187" s="441"/>
      <c r="AX187" s="441"/>
      <c r="AY187" s="441"/>
      <c r="AZ187" s="441"/>
      <c r="BA187" s="441"/>
      <c r="BB187" s="441"/>
      <c r="BC187" s="441"/>
      <c r="BD187" s="441"/>
      <c r="BE187" s="441"/>
      <c r="BF187" s="441"/>
    </row>
    <row r="188" hidden="1" outlineLevel="1">
      <c r="A188" s="531" t="s">
        <v>761</v>
      </c>
      <c r="B188" s="532">
        <f>$K182</f>
        <v>3</v>
      </c>
      <c r="C188" s="532"/>
      <c r="D188" s="535"/>
      <c r="E188" s="535"/>
      <c r="F188" s="535"/>
      <c r="G188" s="535"/>
      <c r="H188" s="535"/>
      <c r="I188" s="539"/>
      <c r="J188" s="538"/>
      <c r="K188" s="538"/>
      <c r="L188" s="527" t="str">
        <f>VLOOKUP(A188,'Кузнец'!$B$145:$J$193,9,FALSE)</f>
        <v>#N/A</v>
      </c>
      <c r="M188" s="526"/>
      <c r="N188" s="526" t="str">
        <f>VLOOKUP(A188,'Кузнец'!$B$145:$J$193,4,FALSE)</f>
        <v>#N/A</v>
      </c>
      <c r="O188" s="526"/>
      <c r="P188" s="526"/>
      <c r="Q188" s="526"/>
      <c r="R188" s="526"/>
      <c r="S188" s="454">
        <v>0.0</v>
      </c>
      <c r="T188" s="467"/>
      <c r="U188" s="467"/>
      <c r="V188" s="438"/>
      <c r="W188" s="438"/>
      <c r="X188" s="467"/>
      <c r="Y188" s="467"/>
      <c r="Z188" s="467"/>
      <c r="AA188" s="467"/>
      <c r="AB188" s="467"/>
      <c r="AC188" s="438"/>
      <c r="AD188" s="438"/>
      <c r="AE188" s="441"/>
      <c r="AF188" s="441"/>
      <c r="AG188" s="441" t="str">
        <f t="shared" ref="AG188:AL188" si="97">AG$52-AG75</f>
        <v>#REF!</v>
      </c>
      <c r="AH188" s="441" t="str">
        <f t="shared" si="97"/>
        <v>#REF!</v>
      </c>
      <c r="AI188" s="441" t="str">
        <f t="shared" si="97"/>
        <v>#REF!</v>
      </c>
      <c r="AJ188" s="441" t="str">
        <f t="shared" si="97"/>
        <v>#REF!</v>
      </c>
      <c r="AK188" s="441" t="str">
        <f t="shared" si="97"/>
        <v>#REF!</v>
      </c>
      <c r="AL188" s="441" t="str">
        <f t="shared" si="97"/>
        <v>#REF!</v>
      </c>
      <c r="AM188" s="441"/>
      <c r="AN188" s="441"/>
      <c r="AO188" s="441"/>
      <c r="AP188" s="441"/>
      <c r="AQ188" s="441"/>
      <c r="AR188" s="441"/>
      <c r="AS188" s="441"/>
      <c r="AT188" s="441"/>
      <c r="AU188" s="441"/>
      <c r="AV188" s="441"/>
      <c r="AW188" s="441"/>
      <c r="AX188" s="441"/>
      <c r="AY188" s="441"/>
      <c r="AZ188" s="441"/>
      <c r="BA188" s="441"/>
      <c r="BB188" s="441"/>
      <c r="BC188" s="441"/>
      <c r="BD188" s="441"/>
      <c r="BE188" s="441"/>
      <c r="BF188" s="441"/>
    </row>
    <row r="189" hidden="1" outlineLevel="1">
      <c r="A189" s="531" t="s">
        <v>762</v>
      </c>
      <c r="B189" s="540">
        <f t="shared" ref="B189:H189" si="98">B186/$B188</f>
        <v>1.833333333</v>
      </c>
      <c r="C189" s="540">
        <f t="shared" si="98"/>
        <v>2.833333333</v>
      </c>
      <c r="D189" s="540">
        <f t="shared" si="98"/>
        <v>3.833333333</v>
      </c>
      <c r="E189" s="540">
        <f t="shared" si="98"/>
        <v>5.166666667</v>
      </c>
      <c r="F189" s="540">
        <f t="shared" si="98"/>
        <v>6.5</v>
      </c>
      <c r="G189" s="540">
        <f t="shared" si="98"/>
        <v>8.166666667</v>
      </c>
      <c r="H189" s="540">
        <f t="shared" si="98"/>
        <v>9.833333333</v>
      </c>
      <c r="I189" s="539"/>
      <c r="J189" s="538"/>
      <c r="K189" s="538"/>
      <c r="L189" s="527" t="str">
        <f>VLOOKUP(A189,'Кузнец'!$B$145:$J$193,9,FALSE)</f>
        <v>#N/A</v>
      </c>
      <c r="M189" s="526"/>
      <c r="N189" s="526" t="str">
        <f>VLOOKUP(A189,'Кузнец'!$B$145:$J$193,4,FALSE)</f>
        <v>#N/A</v>
      </c>
      <c r="O189" s="526"/>
      <c r="P189" s="526"/>
      <c r="Q189" s="526"/>
      <c r="R189" s="526"/>
      <c r="S189" s="454">
        <v>0.0</v>
      </c>
      <c r="T189" s="467"/>
      <c r="U189" s="467"/>
      <c r="V189" s="438"/>
      <c r="W189" s="438"/>
      <c r="X189" s="467"/>
      <c r="Y189" s="467"/>
      <c r="Z189" s="467"/>
      <c r="AA189" s="467"/>
      <c r="AB189" s="467"/>
      <c r="AC189" s="438"/>
      <c r="AD189" s="438"/>
      <c r="AE189" s="441"/>
      <c r="AF189" s="441"/>
      <c r="AG189" s="441" t="str">
        <f t="shared" ref="AG189:AL189" si="99">AG$52-AG76</f>
        <v>#REF!</v>
      </c>
      <c r="AH189" s="441" t="str">
        <f t="shared" si="99"/>
        <v>#REF!</v>
      </c>
      <c r="AI189" s="441" t="str">
        <f t="shared" si="99"/>
        <v>#REF!</v>
      </c>
      <c r="AJ189" s="441" t="str">
        <f t="shared" si="99"/>
        <v>#REF!</v>
      </c>
      <c r="AK189" s="441" t="str">
        <f t="shared" si="99"/>
        <v>#REF!</v>
      </c>
      <c r="AL189" s="441" t="str">
        <f t="shared" si="99"/>
        <v>#REF!</v>
      </c>
      <c r="AM189" s="441"/>
      <c r="AN189" s="441"/>
      <c r="AO189" s="441"/>
      <c r="AP189" s="441"/>
      <c r="AQ189" s="441"/>
      <c r="AR189" s="441"/>
      <c r="AS189" s="441"/>
      <c r="AT189" s="441"/>
      <c r="AU189" s="441"/>
      <c r="AV189" s="441"/>
      <c r="AW189" s="441"/>
      <c r="AX189" s="441"/>
      <c r="AY189" s="441"/>
      <c r="AZ189" s="441"/>
      <c r="BA189" s="441"/>
      <c r="BB189" s="441"/>
      <c r="BC189" s="441"/>
      <c r="BD189" s="441"/>
      <c r="BE189" s="441"/>
      <c r="BF189" s="441"/>
    </row>
    <row r="190" collapsed="1">
      <c r="A190" s="522" t="s">
        <v>931</v>
      </c>
      <c r="B190" s="538" t="s">
        <v>924</v>
      </c>
      <c r="C190" s="538" t="s">
        <v>751</v>
      </c>
      <c r="D190" s="538" t="s">
        <v>891</v>
      </c>
      <c r="E190" s="538" t="s">
        <v>925</v>
      </c>
      <c r="F190" s="538" t="s">
        <v>926</v>
      </c>
      <c r="G190" s="538" t="s">
        <v>927</v>
      </c>
      <c r="H190" s="538" t="s">
        <v>928</v>
      </c>
      <c r="I190" s="525" t="s">
        <v>754</v>
      </c>
      <c r="J190" s="538">
        <v>0.0</v>
      </c>
      <c r="K190" s="526">
        <v>3.0</v>
      </c>
      <c r="L190" s="527">
        <f>VLOOKUP(A190,'Кузнец'!$B$145:$J$193,9,FALSE)</f>
        <v>3.55</v>
      </c>
      <c r="M190" s="528" t="s">
        <v>929</v>
      </c>
      <c r="N190" s="526">
        <f>VLOOKUP(A190,'Кузнец'!$B$145:$J$193,4,FALSE)</f>
        <v>15</v>
      </c>
      <c r="O190" s="526">
        <v>22.0</v>
      </c>
      <c r="P190" s="528" t="s">
        <v>804</v>
      </c>
      <c r="Q190" s="526"/>
      <c r="R190" s="541" t="s">
        <v>932</v>
      </c>
      <c r="S190" s="454">
        <v>0.0</v>
      </c>
      <c r="T190" s="542"/>
      <c r="U190" s="542"/>
      <c r="V190" s="543"/>
      <c r="W190" s="543"/>
      <c r="X190" s="544">
        <v>23.0</v>
      </c>
      <c r="Y190" s="544">
        <v>26.0</v>
      </c>
      <c r="Z190" s="544">
        <v>29.0</v>
      </c>
      <c r="AA190" s="544">
        <v>32.0</v>
      </c>
      <c r="AB190" s="544">
        <v>35.0</v>
      </c>
      <c r="AC190" s="544">
        <v>38.0</v>
      </c>
      <c r="AD190" s="544">
        <v>41.0</v>
      </c>
      <c r="AE190" s="441"/>
      <c r="AF190" s="441" t="s">
        <v>824</v>
      </c>
      <c r="AG190" s="441">
        <f t="shared" ref="AG190:AL190" si="100">AG$52-AG77</f>
        <v>-8</v>
      </c>
      <c r="AH190" s="441">
        <f t="shared" si="100"/>
        <v>-13</v>
      </c>
      <c r="AI190" s="441">
        <f t="shared" si="100"/>
        <v>-18</v>
      </c>
      <c r="AJ190" s="441">
        <f t="shared" si="100"/>
        <v>-18</v>
      </c>
      <c r="AK190" s="441">
        <f t="shared" si="100"/>
        <v>-18</v>
      </c>
      <c r="AL190" s="441">
        <f t="shared" si="100"/>
        <v>-18</v>
      </c>
      <c r="AM190" s="545"/>
      <c r="AN190" s="545"/>
      <c r="AO190" s="545"/>
      <c r="AP190" s="545"/>
      <c r="AQ190" s="545"/>
      <c r="AR190" s="545"/>
      <c r="AS190" s="545"/>
      <c r="AT190" s="545"/>
      <c r="AU190" s="545"/>
      <c r="AV190" s="545"/>
      <c r="AW190" s="545"/>
      <c r="AX190" s="545"/>
      <c r="AY190" s="545"/>
      <c r="AZ190" s="545"/>
      <c r="BA190" s="545"/>
      <c r="BB190" s="545"/>
      <c r="BC190" s="545"/>
      <c r="BD190" s="545"/>
      <c r="BE190" s="545"/>
      <c r="BF190" s="545"/>
    </row>
    <row r="191" ht="12.75" hidden="1" customHeight="1" outlineLevel="1">
      <c r="A191" s="531" t="s">
        <v>756</v>
      </c>
      <c r="B191" s="532">
        <v>1.0</v>
      </c>
      <c r="C191" s="532">
        <v>1.0</v>
      </c>
      <c r="D191" s="532">
        <v>1.0</v>
      </c>
      <c r="E191" s="532">
        <v>1.0</v>
      </c>
      <c r="F191" s="532">
        <v>1.0</v>
      </c>
      <c r="G191" s="532">
        <v>1.0</v>
      </c>
      <c r="H191" s="532">
        <v>3.0</v>
      </c>
      <c r="I191" s="539"/>
      <c r="J191" s="538"/>
      <c r="K191" s="538"/>
      <c r="L191" s="527" t="str">
        <f>VLOOKUP(A191,'Кузнец'!$B$145:$J$193,9,FALSE)</f>
        <v>#N/A</v>
      </c>
      <c r="M191" s="526"/>
      <c r="N191" s="526" t="str">
        <f>VLOOKUP(A191,'Кузнец'!$B$145:$J$193,4,FALSE)</f>
        <v>#N/A</v>
      </c>
      <c r="O191" s="526"/>
      <c r="P191" s="526"/>
      <c r="Q191" s="526"/>
      <c r="R191" s="538"/>
      <c r="S191" s="454">
        <v>0.0</v>
      </c>
      <c r="T191" s="542"/>
      <c r="U191" s="542"/>
      <c r="V191" s="543"/>
      <c r="W191" s="543"/>
      <c r="X191" s="467"/>
      <c r="Y191" s="467"/>
      <c r="Z191" s="467"/>
      <c r="AA191" s="467"/>
      <c r="AB191" s="467"/>
      <c r="AC191" s="438"/>
      <c r="AD191" s="438"/>
      <c r="AE191" s="441"/>
      <c r="AF191" s="441" t="s">
        <v>814</v>
      </c>
      <c r="AG191" s="441" t="str">
        <f t="shared" ref="AG191:AL191" si="101">AG$52-AG78</f>
        <v>#REF!</v>
      </c>
      <c r="AH191" s="441" t="str">
        <f t="shared" si="101"/>
        <v>#REF!</v>
      </c>
      <c r="AI191" s="441" t="str">
        <f t="shared" si="101"/>
        <v>#REF!</v>
      </c>
      <c r="AJ191" s="441" t="str">
        <f t="shared" si="101"/>
        <v>#REF!</v>
      </c>
      <c r="AK191" s="441" t="str">
        <f t="shared" si="101"/>
        <v>#REF!</v>
      </c>
      <c r="AL191" s="441" t="str">
        <f t="shared" si="101"/>
        <v>#REF!</v>
      </c>
      <c r="AM191" s="545"/>
      <c r="AN191" s="545"/>
      <c r="AO191" s="545"/>
      <c r="AP191" s="545"/>
      <c r="AQ191" s="545"/>
      <c r="AR191" s="545"/>
      <c r="AS191" s="545"/>
      <c r="AT191" s="545"/>
      <c r="AU191" s="545"/>
      <c r="AV191" s="545"/>
      <c r="AW191" s="545"/>
      <c r="AX191" s="545"/>
      <c r="AY191" s="545"/>
      <c r="AZ191" s="545"/>
      <c r="BA191" s="545"/>
      <c r="BB191" s="545"/>
      <c r="BC191" s="545"/>
      <c r="BD191" s="545"/>
      <c r="BE191" s="545"/>
      <c r="BF191" s="545"/>
    </row>
    <row r="192" ht="12.75" hidden="1" customHeight="1" outlineLevel="1">
      <c r="A192" s="531" t="s">
        <v>757</v>
      </c>
      <c r="B192" s="532">
        <v>8.0</v>
      </c>
      <c r="C192" s="532">
        <v>8.0</v>
      </c>
      <c r="D192" s="532">
        <v>10.0</v>
      </c>
      <c r="E192" s="532">
        <v>10.0</v>
      </c>
      <c r="F192" s="532">
        <v>12.0</v>
      </c>
      <c r="G192" s="532">
        <v>12.0</v>
      </c>
      <c r="H192" s="532">
        <v>18.0</v>
      </c>
      <c r="I192" s="539"/>
      <c r="J192" s="538"/>
      <c r="K192" s="538"/>
      <c r="L192" s="527" t="str">
        <f>VLOOKUP(A192,'Кузнец'!$B$145:$J$193,9,FALSE)</f>
        <v>#N/A</v>
      </c>
      <c r="M192" s="526"/>
      <c r="N192" s="526" t="str">
        <f>VLOOKUP(A192,'Кузнец'!$B$145:$J$193,4,FALSE)</f>
        <v>#N/A</v>
      </c>
      <c r="O192" s="526"/>
      <c r="P192" s="526"/>
      <c r="Q192" s="526"/>
      <c r="R192" s="538"/>
      <c r="S192" s="454">
        <v>0.0</v>
      </c>
      <c r="T192" s="542"/>
      <c r="U192" s="542"/>
      <c r="V192" s="543"/>
      <c r="W192" s="543"/>
      <c r="X192" s="467"/>
      <c r="Y192" s="467"/>
      <c r="Z192" s="467"/>
      <c r="AA192" s="467"/>
      <c r="AB192" s="467"/>
      <c r="AC192" s="438"/>
      <c r="AD192" s="438"/>
      <c r="AE192" s="441"/>
      <c r="AF192" s="441" t="s">
        <v>814</v>
      </c>
      <c r="AG192" s="441" t="str">
        <f t="shared" ref="AG192:AL192" si="102">AG$52-AG79</f>
        <v>#REF!</v>
      </c>
      <c r="AH192" s="441" t="str">
        <f t="shared" si="102"/>
        <v>#REF!</v>
      </c>
      <c r="AI192" s="441" t="str">
        <f t="shared" si="102"/>
        <v>#REF!</v>
      </c>
      <c r="AJ192" s="441" t="str">
        <f t="shared" si="102"/>
        <v>#REF!</v>
      </c>
      <c r="AK192" s="441" t="str">
        <f t="shared" si="102"/>
        <v>#REF!</v>
      </c>
      <c r="AL192" s="441" t="str">
        <f t="shared" si="102"/>
        <v>#REF!</v>
      </c>
      <c r="AM192" s="545"/>
      <c r="AN192" s="545"/>
      <c r="AO192" s="545"/>
      <c r="AP192" s="545"/>
      <c r="AQ192" s="545"/>
      <c r="AR192" s="545"/>
      <c r="AS192" s="545"/>
      <c r="AT192" s="545"/>
      <c r="AU192" s="545"/>
      <c r="AV192" s="545"/>
      <c r="AW192" s="545"/>
      <c r="AX192" s="545"/>
      <c r="AY192" s="545"/>
      <c r="AZ192" s="545"/>
      <c r="BA192" s="545"/>
      <c r="BB192" s="545"/>
      <c r="BC192" s="545"/>
      <c r="BD192" s="545"/>
      <c r="BE192" s="545"/>
      <c r="BF192" s="545"/>
    </row>
    <row r="193" ht="12.75" hidden="1" customHeight="1" outlineLevel="1">
      <c r="A193" s="531" t="s">
        <v>758</v>
      </c>
      <c r="B193" s="532">
        <v>1.0</v>
      </c>
      <c r="C193" s="532">
        <v>4.0</v>
      </c>
      <c r="D193" s="532">
        <v>6.0</v>
      </c>
      <c r="E193" s="532">
        <v>10.0</v>
      </c>
      <c r="F193" s="532">
        <v>13.0</v>
      </c>
      <c r="G193" s="532">
        <v>18.0</v>
      </c>
      <c r="H193" s="532">
        <v>19.0</v>
      </c>
      <c r="I193" s="539"/>
      <c r="J193" s="538"/>
      <c r="K193" s="538"/>
      <c r="L193" s="527" t="str">
        <f>VLOOKUP(A193,'Кузнец'!$B$145:$J$193,9,FALSE)</f>
        <v>#N/A</v>
      </c>
      <c r="M193" s="526"/>
      <c r="N193" s="526" t="str">
        <f>VLOOKUP(A193,'Кузнец'!$B$145:$J$193,4,FALSE)</f>
        <v>#N/A</v>
      </c>
      <c r="O193" s="526"/>
      <c r="P193" s="526"/>
      <c r="Q193" s="526"/>
      <c r="R193" s="538"/>
      <c r="S193" s="454">
        <v>0.0</v>
      </c>
      <c r="T193" s="542"/>
      <c r="U193" s="542"/>
      <c r="V193" s="543"/>
      <c r="W193" s="543"/>
      <c r="X193" s="467"/>
      <c r="Y193" s="467"/>
      <c r="Z193" s="467"/>
      <c r="AA193" s="467"/>
      <c r="AB193" s="467"/>
      <c r="AC193" s="438"/>
      <c r="AD193" s="438"/>
      <c r="AE193" s="441"/>
      <c r="AF193" s="441" t="s">
        <v>814</v>
      </c>
      <c r="AG193" s="441" t="str">
        <f t="shared" ref="AG193:AL193" si="103">AG$52-AG80</f>
        <v>#REF!</v>
      </c>
      <c r="AH193" s="441" t="str">
        <f t="shared" si="103"/>
        <v>#REF!</v>
      </c>
      <c r="AI193" s="441" t="str">
        <f t="shared" si="103"/>
        <v>#REF!</v>
      </c>
      <c r="AJ193" s="441" t="str">
        <f t="shared" si="103"/>
        <v>#REF!</v>
      </c>
      <c r="AK193" s="441" t="str">
        <f t="shared" si="103"/>
        <v>#REF!</v>
      </c>
      <c r="AL193" s="441" t="str">
        <f t="shared" si="103"/>
        <v>#REF!</v>
      </c>
      <c r="AM193" s="545"/>
      <c r="AN193" s="545"/>
      <c r="AO193" s="545"/>
      <c r="AP193" s="545"/>
      <c r="AQ193" s="545"/>
      <c r="AR193" s="545"/>
      <c r="AS193" s="545"/>
      <c r="AT193" s="545"/>
      <c r="AU193" s="545"/>
      <c r="AV193" s="545"/>
      <c r="AW193" s="545"/>
      <c r="AX193" s="545"/>
      <c r="AY193" s="545"/>
      <c r="AZ193" s="545"/>
      <c r="BA193" s="545"/>
      <c r="BB193" s="545"/>
      <c r="BC193" s="545"/>
      <c r="BD193" s="545"/>
      <c r="BE193" s="545"/>
      <c r="BF193" s="545"/>
    </row>
    <row r="194" ht="12.75" hidden="1" customHeight="1" outlineLevel="1">
      <c r="A194" s="531" t="s">
        <v>759</v>
      </c>
      <c r="B194" s="532">
        <f t="shared" ref="B194:H194" si="104">(B191+B192)/2+B193</f>
        <v>5.5</v>
      </c>
      <c r="C194" s="532">
        <f t="shared" si="104"/>
        <v>8.5</v>
      </c>
      <c r="D194" s="532">
        <f t="shared" si="104"/>
        <v>11.5</v>
      </c>
      <c r="E194" s="532">
        <f t="shared" si="104"/>
        <v>15.5</v>
      </c>
      <c r="F194" s="532">
        <f t="shared" si="104"/>
        <v>19.5</v>
      </c>
      <c r="G194" s="532">
        <f t="shared" si="104"/>
        <v>24.5</v>
      </c>
      <c r="H194" s="532">
        <f t="shared" si="104"/>
        <v>29.5</v>
      </c>
      <c r="I194" s="539"/>
      <c r="J194" s="538"/>
      <c r="K194" s="538"/>
      <c r="L194" s="527" t="str">
        <f>VLOOKUP(A194,'Кузнец'!$B$145:$J$193,9,FALSE)</f>
        <v>#N/A</v>
      </c>
      <c r="M194" s="526"/>
      <c r="N194" s="526" t="str">
        <f>VLOOKUP(A194,'Кузнец'!$B$145:$J$193,4,FALSE)</f>
        <v>#N/A</v>
      </c>
      <c r="O194" s="526"/>
      <c r="P194" s="526"/>
      <c r="Q194" s="526"/>
      <c r="R194" s="538"/>
      <c r="S194" s="454">
        <v>0.0</v>
      </c>
      <c r="T194" s="542"/>
      <c r="U194" s="542"/>
      <c r="V194" s="543"/>
      <c r="W194" s="543"/>
      <c r="X194" s="467"/>
      <c r="Y194" s="467"/>
      <c r="Z194" s="467"/>
      <c r="AA194" s="467"/>
      <c r="AB194" s="467"/>
      <c r="AC194" s="438"/>
      <c r="AD194" s="438"/>
      <c r="AE194" s="441"/>
      <c r="AF194" s="441" t="s">
        <v>814</v>
      </c>
      <c r="AG194" s="441" t="str">
        <f t="shared" ref="AG194:AL194" si="105">AG$52-AG81</f>
        <v>#REF!</v>
      </c>
      <c r="AH194" s="441" t="str">
        <f t="shared" si="105"/>
        <v>#REF!</v>
      </c>
      <c r="AI194" s="441" t="str">
        <f t="shared" si="105"/>
        <v>#REF!</v>
      </c>
      <c r="AJ194" s="441" t="str">
        <f t="shared" si="105"/>
        <v>#REF!</v>
      </c>
      <c r="AK194" s="441" t="str">
        <f t="shared" si="105"/>
        <v>#REF!</v>
      </c>
      <c r="AL194" s="441" t="str">
        <f t="shared" si="105"/>
        <v>#REF!</v>
      </c>
      <c r="AM194" s="545"/>
      <c r="AN194" s="545"/>
      <c r="AO194" s="545"/>
      <c r="AP194" s="545"/>
      <c r="AQ194" s="545"/>
      <c r="AR194" s="545"/>
      <c r="AS194" s="545"/>
      <c r="AT194" s="545"/>
      <c r="AU194" s="545"/>
      <c r="AV194" s="545"/>
      <c r="AW194" s="545"/>
      <c r="AX194" s="545"/>
      <c r="AY194" s="545"/>
      <c r="AZ194" s="545"/>
      <c r="BA194" s="545"/>
      <c r="BB194" s="545"/>
      <c r="BC194" s="545"/>
      <c r="BD194" s="545"/>
      <c r="BE194" s="545"/>
      <c r="BF194" s="545"/>
    </row>
    <row r="195" ht="12.75" hidden="1" customHeight="1" outlineLevel="1">
      <c r="A195" s="531" t="s">
        <v>760</v>
      </c>
      <c r="B195" s="535"/>
      <c r="C195" s="535">
        <f t="shared" ref="C195:H195" si="106">C194/B194-1</f>
        <v>0.5454545455</v>
      </c>
      <c r="D195" s="535">
        <f t="shared" si="106"/>
        <v>0.3529411765</v>
      </c>
      <c r="E195" s="535">
        <f t="shared" si="106"/>
        <v>0.347826087</v>
      </c>
      <c r="F195" s="535">
        <f t="shared" si="106"/>
        <v>0.2580645161</v>
      </c>
      <c r="G195" s="535">
        <f t="shared" si="106"/>
        <v>0.2564102564</v>
      </c>
      <c r="H195" s="535">
        <f t="shared" si="106"/>
        <v>0.2040816327</v>
      </c>
      <c r="I195" s="539"/>
      <c r="J195" s="538"/>
      <c r="K195" s="538"/>
      <c r="L195" s="527" t="str">
        <f>VLOOKUP(A195,'Кузнец'!$B$145:$J$193,9,FALSE)</f>
        <v>#N/A</v>
      </c>
      <c r="M195" s="526"/>
      <c r="N195" s="526" t="str">
        <f>VLOOKUP(A195,'Кузнец'!$B$145:$J$193,4,FALSE)</f>
        <v>#N/A</v>
      </c>
      <c r="O195" s="526"/>
      <c r="P195" s="526"/>
      <c r="Q195" s="526"/>
      <c r="R195" s="538"/>
      <c r="S195" s="454">
        <v>0.0</v>
      </c>
      <c r="T195" s="542"/>
      <c r="U195" s="542"/>
      <c r="V195" s="543"/>
      <c r="W195" s="543"/>
      <c r="X195" s="467"/>
      <c r="Y195" s="467"/>
      <c r="Z195" s="467"/>
      <c r="AA195" s="467"/>
      <c r="AB195" s="467"/>
      <c r="AC195" s="438"/>
      <c r="AD195" s="438"/>
      <c r="AE195" s="441"/>
      <c r="AF195" s="441" t="s">
        <v>814</v>
      </c>
      <c r="AG195" s="441" t="str">
        <f t="shared" ref="AG195:AL195" si="107">AG$52-AG82</f>
        <v>#REF!</v>
      </c>
      <c r="AH195" s="441" t="str">
        <f t="shared" si="107"/>
        <v>#REF!</v>
      </c>
      <c r="AI195" s="441" t="str">
        <f t="shared" si="107"/>
        <v>#REF!</v>
      </c>
      <c r="AJ195" s="441" t="str">
        <f t="shared" si="107"/>
        <v>#REF!</v>
      </c>
      <c r="AK195" s="441" t="str">
        <f t="shared" si="107"/>
        <v>#REF!</v>
      </c>
      <c r="AL195" s="441" t="str">
        <f t="shared" si="107"/>
        <v>#REF!</v>
      </c>
      <c r="AM195" s="545"/>
      <c r="AN195" s="545"/>
      <c r="AO195" s="545"/>
      <c r="AP195" s="545"/>
      <c r="AQ195" s="545"/>
      <c r="AR195" s="545"/>
      <c r="AS195" s="545"/>
      <c r="AT195" s="545"/>
      <c r="AU195" s="545"/>
      <c r="AV195" s="545"/>
      <c r="AW195" s="545"/>
      <c r="AX195" s="545"/>
      <c r="AY195" s="545"/>
      <c r="AZ195" s="545"/>
      <c r="BA195" s="545"/>
      <c r="BB195" s="545"/>
      <c r="BC195" s="545"/>
      <c r="BD195" s="545"/>
      <c r="BE195" s="545"/>
      <c r="BF195" s="545"/>
    </row>
    <row r="196" ht="12.75" hidden="1" customHeight="1" outlineLevel="1">
      <c r="A196" s="531" t="s">
        <v>761</v>
      </c>
      <c r="B196" s="532">
        <f>$K190</f>
        <v>3</v>
      </c>
      <c r="C196" s="532"/>
      <c r="D196" s="535"/>
      <c r="E196" s="535"/>
      <c r="F196" s="535"/>
      <c r="G196" s="535"/>
      <c r="H196" s="535"/>
      <c r="I196" s="539"/>
      <c r="J196" s="538"/>
      <c r="K196" s="538"/>
      <c r="L196" s="527" t="str">
        <f>VLOOKUP(A196,'Кузнец'!$B$145:$J$193,9,FALSE)</f>
        <v>#N/A</v>
      </c>
      <c r="M196" s="526"/>
      <c r="N196" s="526" t="str">
        <f>VLOOKUP(A196,'Кузнец'!$B$145:$J$193,4,FALSE)</f>
        <v>#N/A</v>
      </c>
      <c r="O196" s="526"/>
      <c r="P196" s="526"/>
      <c r="Q196" s="526"/>
      <c r="R196" s="538"/>
      <c r="S196" s="454">
        <v>0.0</v>
      </c>
      <c r="T196" s="542"/>
      <c r="U196" s="542"/>
      <c r="V196" s="543"/>
      <c r="W196" s="543"/>
      <c r="X196" s="467"/>
      <c r="Y196" s="467"/>
      <c r="Z196" s="467"/>
      <c r="AA196" s="467"/>
      <c r="AB196" s="467"/>
      <c r="AC196" s="438"/>
      <c r="AD196" s="438"/>
      <c r="AE196" s="441"/>
      <c r="AF196" s="441" t="s">
        <v>814</v>
      </c>
      <c r="AG196" s="441" t="str">
        <f t="shared" ref="AG196:AL196" si="108">AG$52-AG83</f>
        <v>#REF!</v>
      </c>
      <c r="AH196" s="441" t="str">
        <f t="shared" si="108"/>
        <v>#REF!</v>
      </c>
      <c r="AI196" s="441" t="str">
        <f t="shared" si="108"/>
        <v>#REF!</v>
      </c>
      <c r="AJ196" s="441" t="str">
        <f t="shared" si="108"/>
        <v>#REF!</v>
      </c>
      <c r="AK196" s="441" t="str">
        <f t="shared" si="108"/>
        <v>#REF!</v>
      </c>
      <c r="AL196" s="441" t="str">
        <f t="shared" si="108"/>
        <v>#REF!</v>
      </c>
      <c r="AM196" s="545"/>
      <c r="AN196" s="545"/>
      <c r="AO196" s="545"/>
      <c r="AP196" s="545"/>
      <c r="AQ196" s="545"/>
      <c r="AR196" s="545"/>
      <c r="AS196" s="545"/>
      <c r="AT196" s="545"/>
      <c r="AU196" s="545"/>
      <c r="AV196" s="545"/>
      <c r="AW196" s="545"/>
      <c r="AX196" s="545"/>
      <c r="AY196" s="545"/>
      <c r="AZ196" s="545"/>
      <c r="BA196" s="545"/>
      <c r="BB196" s="545"/>
      <c r="BC196" s="545"/>
      <c r="BD196" s="545"/>
      <c r="BE196" s="545"/>
      <c r="BF196" s="545"/>
    </row>
    <row r="197" ht="12.75" hidden="1" customHeight="1" outlineLevel="1">
      <c r="A197" s="531" t="s">
        <v>762</v>
      </c>
      <c r="B197" s="540">
        <f t="shared" ref="B197:H197" si="109">B194/$B196</f>
        <v>1.833333333</v>
      </c>
      <c r="C197" s="540">
        <f t="shared" si="109"/>
        <v>2.833333333</v>
      </c>
      <c r="D197" s="540">
        <f t="shared" si="109"/>
        <v>3.833333333</v>
      </c>
      <c r="E197" s="540">
        <f t="shared" si="109"/>
        <v>5.166666667</v>
      </c>
      <c r="F197" s="540">
        <f t="shared" si="109"/>
        <v>6.5</v>
      </c>
      <c r="G197" s="540">
        <f t="shared" si="109"/>
        <v>8.166666667</v>
      </c>
      <c r="H197" s="540">
        <f t="shared" si="109"/>
        <v>9.833333333</v>
      </c>
      <c r="I197" s="539"/>
      <c r="J197" s="538"/>
      <c r="K197" s="538"/>
      <c r="L197" s="527" t="str">
        <f>VLOOKUP(A197,'Кузнец'!$B$145:$J$193,9,FALSE)</f>
        <v>#N/A</v>
      </c>
      <c r="M197" s="526"/>
      <c r="N197" s="526" t="str">
        <f>VLOOKUP(A197,'Кузнец'!$B$145:$J$193,4,FALSE)</f>
        <v>#N/A</v>
      </c>
      <c r="O197" s="526"/>
      <c r="P197" s="526"/>
      <c r="Q197" s="526"/>
      <c r="R197" s="538"/>
      <c r="S197" s="454">
        <v>0.0</v>
      </c>
      <c r="T197" s="542"/>
      <c r="U197" s="542"/>
      <c r="V197" s="543"/>
      <c r="W197" s="543"/>
      <c r="X197" s="467"/>
      <c r="Y197" s="467"/>
      <c r="Z197" s="467"/>
      <c r="AA197" s="467"/>
      <c r="AB197" s="467"/>
      <c r="AC197" s="438"/>
      <c r="AD197" s="438"/>
      <c r="AE197" s="441"/>
      <c r="AF197" s="441" t="s">
        <v>814</v>
      </c>
      <c r="AG197" s="441" t="str">
        <f t="shared" ref="AG197:AL197" si="110">AG$52-AG84</f>
        <v>#REF!</v>
      </c>
      <c r="AH197" s="441" t="str">
        <f t="shared" si="110"/>
        <v>#REF!</v>
      </c>
      <c r="AI197" s="441" t="str">
        <f t="shared" si="110"/>
        <v>#REF!</v>
      </c>
      <c r="AJ197" s="441" t="str">
        <f t="shared" si="110"/>
        <v>#REF!</v>
      </c>
      <c r="AK197" s="441" t="str">
        <f t="shared" si="110"/>
        <v>#REF!</v>
      </c>
      <c r="AL197" s="441" t="str">
        <f t="shared" si="110"/>
        <v>#REF!</v>
      </c>
      <c r="AM197" s="545"/>
      <c r="AN197" s="545"/>
      <c r="AO197" s="545"/>
      <c r="AP197" s="545"/>
      <c r="AQ197" s="545"/>
      <c r="AR197" s="545"/>
      <c r="AS197" s="545"/>
      <c r="AT197" s="545"/>
      <c r="AU197" s="545"/>
      <c r="AV197" s="545"/>
      <c r="AW197" s="545"/>
      <c r="AX197" s="545"/>
      <c r="AY197" s="545"/>
      <c r="AZ197" s="545"/>
      <c r="BA197" s="545"/>
      <c r="BB197" s="545"/>
      <c r="BC197" s="545"/>
      <c r="BD197" s="545"/>
      <c r="BE197" s="545"/>
      <c r="BF197" s="545"/>
    </row>
    <row r="198" collapsed="1">
      <c r="A198" s="522" t="s">
        <v>933</v>
      </c>
      <c r="B198" s="538" t="s">
        <v>916</v>
      </c>
      <c r="C198" s="538" t="s">
        <v>934</v>
      </c>
      <c r="D198" s="538" t="s">
        <v>935</v>
      </c>
      <c r="E198" s="538" t="s">
        <v>936</v>
      </c>
      <c r="F198" s="538" t="s">
        <v>937</v>
      </c>
      <c r="G198" s="538" t="s">
        <v>938</v>
      </c>
      <c r="H198" s="538" t="s">
        <v>939</v>
      </c>
      <c r="I198" s="525" t="s">
        <v>754</v>
      </c>
      <c r="J198" s="538">
        <v>0.0</v>
      </c>
      <c r="K198" s="526">
        <v>3.0</v>
      </c>
      <c r="L198" s="527">
        <f>VLOOKUP(A198,'Кузнец'!$B$145:$J$193,9,FALSE)</f>
        <v>3.6</v>
      </c>
      <c r="M198" s="528" t="s">
        <v>929</v>
      </c>
      <c r="N198" s="526">
        <f>VLOOKUP(A198,'Кузнец'!$B$145:$J$193,4,FALSE)</f>
        <v>14</v>
      </c>
      <c r="O198" s="526">
        <v>23.0</v>
      </c>
      <c r="P198" s="528" t="s">
        <v>804</v>
      </c>
      <c r="Q198" s="526"/>
      <c r="R198" s="526"/>
      <c r="S198" s="454">
        <v>0.0</v>
      </c>
      <c r="T198" s="467"/>
      <c r="U198" s="467"/>
      <c r="V198" s="438"/>
      <c r="W198" s="438"/>
      <c r="X198" s="440">
        <v>0.0</v>
      </c>
      <c r="Y198" s="440">
        <v>0.0</v>
      </c>
      <c r="Z198" s="440">
        <v>0.0</v>
      </c>
      <c r="AA198" s="440">
        <v>0.0</v>
      </c>
      <c r="AB198" s="440">
        <v>0.0</v>
      </c>
      <c r="AC198" s="440">
        <v>0.0</v>
      </c>
      <c r="AD198" s="440">
        <v>0.0</v>
      </c>
      <c r="AE198" s="441"/>
      <c r="AF198" s="441" t="s">
        <v>828</v>
      </c>
      <c r="AG198" s="441">
        <f t="shared" ref="AG198:AL198" si="111">AG$52-AG85</f>
        <v>-22</v>
      </c>
      <c r="AH198" s="441">
        <f t="shared" si="111"/>
        <v>-28</v>
      </c>
      <c r="AI198" s="441">
        <f t="shared" si="111"/>
        <v>-34</v>
      </c>
      <c r="AJ198" s="441">
        <f t="shared" si="111"/>
        <v>-33</v>
      </c>
      <c r="AK198" s="441">
        <f t="shared" si="111"/>
        <v>-32</v>
      </c>
      <c r="AL198" s="441">
        <f t="shared" si="111"/>
        <v>-31</v>
      </c>
      <c r="AM198" s="441"/>
      <c r="AN198" s="441"/>
      <c r="AO198" s="441"/>
      <c r="AP198" s="441"/>
      <c r="AQ198" s="441"/>
      <c r="AR198" s="441"/>
      <c r="AS198" s="441"/>
      <c r="AT198" s="441"/>
      <c r="AU198" s="441"/>
      <c r="AV198" s="441"/>
      <c r="AW198" s="441"/>
      <c r="AX198" s="441"/>
      <c r="AY198" s="441"/>
      <c r="AZ198" s="441"/>
      <c r="BA198" s="441"/>
      <c r="BB198" s="441"/>
      <c r="BC198" s="441"/>
      <c r="BD198" s="441"/>
      <c r="BE198" s="441"/>
      <c r="BF198" s="441"/>
    </row>
    <row r="199" hidden="1" outlineLevel="1">
      <c r="A199" s="531" t="s">
        <v>756</v>
      </c>
      <c r="B199" s="532">
        <v>1.0</v>
      </c>
      <c r="C199" s="532">
        <v>1.0</v>
      </c>
      <c r="D199" s="532">
        <v>1.0</v>
      </c>
      <c r="E199" s="532">
        <v>1.0</v>
      </c>
      <c r="F199" s="532">
        <v>1.0</v>
      </c>
      <c r="G199" s="532">
        <v>1.0</v>
      </c>
      <c r="H199" s="532">
        <v>1.0</v>
      </c>
      <c r="I199" s="539"/>
      <c r="J199" s="538"/>
      <c r="K199" s="538"/>
      <c r="L199" s="527" t="str">
        <f>VLOOKUP(A199,'Кузнец'!$B$145:$J$193,9,FALSE)</f>
        <v>#N/A</v>
      </c>
      <c r="M199" s="526"/>
      <c r="N199" s="526" t="str">
        <f>VLOOKUP(A199,'Кузнец'!$B$145:$J$193,4,FALSE)</f>
        <v>#N/A</v>
      </c>
      <c r="O199" s="526"/>
      <c r="P199" s="526"/>
      <c r="Q199" s="526"/>
      <c r="R199" s="526"/>
      <c r="S199" s="454">
        <v>0.0</v>
      </c>
      <c r="T199" s="467"/>
      <c r="U199" s="467"/>
      <c r="V199" s="438"/>
      <c r="W199" s="438"/>
      <c r="X199" s="440">
        <v>0.0</v>
      </c>
      <c r="Y199" s="440">
        <v>0.0</v>
      </c>
      <c r="Z199" s="440">
        <v>0.0</v>
      </c>
      <c r="AA199" s="440">
        <v>0.0</v>
      </c>
      <c r="AB199" s="440">
        <v>0.0</v>
      </c>
      <c r="AC199" s="440">
        <v>0.0</v>
      </c>
      <c r="AD199" s="440">
        <v>0.0</v>
      </c>
      <c r="AE199" s="441"/>
      <c r="AF199" s="441"/>
      <c r="AG199" s="441"/>
      <c r="AH199" s="441"/>
      <c r="AI199" s="441"/>
      <c r="AJ199" s="441"/>
      <c r="AK199" s="441"/>
      <c r="AL199" s="441"/>
      <c r="AM199" s="441"/>
      <c r="AN199" s="441"/>
      <c r="AO199" s="441"/>
      <c r="AP199" s="441"/>
      <c r="AQ199" s="441"/>
      <c r="AR199" s="441"/>
      <c r="AS199" s="441"/>
      <c r="AT199" s="441"/>
      <c r="AU199" s="441"/>
      <c r="AV199" s="441"/>
      <c r="AW199" s="441"/>
      <c r="AX199" s="441"/>
      <c r="AY199" s="441"/>
      <c r="AZ199" s="441"/>
      <c r="BA199" s="441"/>
      <c r="BB199" s="441"/>
      <c r="BC199" s="441"/>
      <c r="BD199" s="441"/>
      <c r="BE199" s="441"/>
      <c r="BF199" s="441"/>
    </row>
    <row r="200" hidden="1" outlineLevel="1">
      <c r="A200" s="531" t="s">
        <v>757</v>
      </c>
      <c r="B200" s="532">
        <v>6.0</v>
      </c>
      <c r="C200" s="532">
        <v>6.0</v>
      </c>
      <c r="D200" s="532">
        <v>8.0</v>
      </c>
      <c r="E200" s="532">
        <v>8.0</v>
      </c>
      <c r="F200" s="532">
        <v>10.0</v>
      </c>
      <c r="G200" s="532">
        <v>10.0</v>
      </c>
      <c r="H200" s="532">
        <v>12.0</v>
      </c>
      <c r="I200" s="539"/>
      <c r="J200" s="538"/>
      <c r="K200" s="538"/>
      <c r="L200" s="527" t="str">
        <f>VLOOKUP(A200,'Кузнец'!$B$145:$J$193,9,FALSE)</f>
        <v>#N/A</v>
      </c>
      <c r="M200" s="526"/>
      <c r="N200" s="526" t="str">
        <f>VLOOKUP(A200,'Кузнец'!$B$145:$J$193,4,FALSE)</f>
        <v>#N/A</v>
      </c>
      <c r="O200" s="526"/>
      <c r="P200" s="526"/>
      <c r="Q200" s="526"/>
      <c r="R200" s="526"/>
      <c r="S200" s="454">
        <v>0.0</v>
      </c>
      <c r="T200" s="467"/>
      <c r="U200" s="467"/>
      <c r="V200" s="438"/>
      <c r="W200" s="438"/>
      <c r="X200" s="440">
        <v>0.0</v>
      </c>
      <c r="Y200" s="440">
        <v>0.0</v>
      </c>
      <c r="Z200" s="440">
        <v>0.0</v>
      </c>
      <c r="AA200" s="440">
        <v>0.0</v>
      </c>
      <c r="AB200" s="440">
        <v>0.0</v>
      </c>
      <c r="AC200" s="440">
        <v>0.0</v>
      </c>
      <c r="AD200" s="440">
        <v>0.0</v>
      </c>
      <c r="AE200" s="441"/>
      <c r="AF200" s="441"/>
      <c r="AG200" s="441"/>
      <c r="AH200" s="441"/>
      <c r="AI200" s="441"/>
      <c r="AJ200" s="441"/>
      <c r="AK200" s="441"/>
      <c r="AL200" s="441"/>
      <c r="AM200" s="441"/>
      <c r="AN200" s="441"/>
      <c r="AO200" s="441"/>
      <c r="AP200" s="441"/>
      <c r="AQ200" s="441"/>
      <c r="AR200" s="441"/>
      <c r="AS200" s="441"/>
      <c r="AT200" s="441"/>
      <c r="AU200" s="441"/>
      <c r="AV200" s="441"/>
      <c r="AW200" s="441"/>
      <c r="AX200" s="441"/>
      <c r="AY200" s="441"/>
      <c r="AZ200" s="441"/>
      <c r="BA200" s="441"/>
      <c r="BB200" s="441"/>
      <c r="BC200" s="441"/>
      <c r="BD200" s="441"/>
      <c r="BE200" s="441"/>
      <c r="BF200" s="441"/>
    </row>
    <row r="201" hidden="1" outlineLevel="1">
      <c r="A201" s="531" t="s">
        <v>758</v>
      </c>
      <c r="B201" s="532">
        <v>4.0</v>
      </c>
      <c r="C201" s="532">
        <v>7.0</v>
      </c>
      <c r="D201" s="532">
        <v>9.0</v>
      </c>
      <c r="E201" s="532">
        <v>13.0</v>
      </c>
      <c r="F201" s="532">
        <v>16.0</v>
      </c>
      <c r="G201" s="532">
        <v>21.0</v>
      </c>
      <c r="H201" s="532">
        <v>27.0</v>
      </c>
      <c r="I201" s="539"/>
      <c r="J201" s="538"/>
      <c r="K201" s="538"/>
      <c r="L201" s="527" t="str">
        <f>VLOOKUP(A201,'Кузнец'!$B$145:$J$193,9,FALSE)</f>
        <v>#N/A</v>
      </c>
      <c r="M201" s="526"/>
      <c r="N201" s="526" t="str">
        <f>VLOOKUP(A201,'Кузнец'!$B$145:$J$193,4,FALSE)</f>
        <v>#N/A</v>
      </c>
      <c r="O201" s="526"/>
      <c r="P201" s="526"/>
      <c r="Q201" s="526"/>
      <c r="R201" s="526"/>
      <c r="S201" s="454">
        <v>0.0</v>
      </c>
      <c r="T201" s="467"/>
      <c r="U201" s="467"/>
      <c r="V201" s="438"/>
      <c r="W201" s="438"/>
      <c r="X201" s="440">
        <v>0.0</v>
      </c>
      <c r="Y201" s="440">
        <v>0.0</v>
      </c>
      <c r="Z201" s="440">
        <v>0.0</v>
      </c>
      <c r="AA201" s="440">
        <v>0.0</v>
      </c>
      <c r="AB201" s="440">
        <v>0.0</v>
      </c>
      <c r="AC201" s="440">
        <v>0.0</v>
      </c>
      <c r="AD201" s="440">
        <v>0.0</v>
      </c>
      <c r="AE201" s="441"/>
      <c r="AF201" s="441"/>
      <c r="AG201" s="441"/>
      <c r="AH201" s="441"/>
      <c r="AI201" s="441"/>
      <c r="AJ201" s="441"/>
      <c r="AK201" s="441"/>
      <c r="AL201" s="441"/>
      <c r="AM201" s="441"/>
      <c r="AN201" s="441"/>
      <c r="AO201" s="441"/>
      <c r="AP201" s="441"/>
      <c r="AQ201" s="441"/>
      <c r="AR201" s="441"/>
      <c r="AS201" s="441"/>
      <c r="AT201" s="441"/>
      <c r="AU201" s="441"/>
      <c r="AV201" s="441"/>
      <c r="AW201" s="441"/>
      <c r="AX201" s="441"/>
      <c r="AY201" s="441"/>
      <c r="AZ201" s="441"/>
      <c r="BA201" s="441"/>
      <c r="BB201" s="441"/>
      <c r="BC201" s="441"/>
      <c r="BD201" s="441"/>
      <c r="BE201" s="441"/>
      <c r="BF201" s="441"/>
    </row>
    <row r="202" hidden="1" outlineLevel="1">
      <c r="A202" s="531" t="s">
        <v>759</v>
      </c>
      <c r="B202" s="532">
        <f t="shared" ref="B202:H202" si="112">(B199+B200)/2+B201</f>
        <v>7.5</v>
      </c>
      <c r="C202" s="532">
        <f t="shared" si="112"/>
        <v>10.5</v>
      </c>
      <c r="D202" s="532">
        <f t="shared" si="112"/>
        <v>13.5</v>
      </c>
      <c r="E202" s="532">
        <f t="shared" si="112"/>
        <v>17.5</v>
      </c>
      <c r="F202" s="532">
        <f t="shared" si="112"/>
        <v>21.5</v>
      </c>
      <c r="G202" s="532">
        <f t="shared" si="112"/>
        <v>26.5</v>
      </c>
      <c r="H202" s="532">
        <f t="shared" si="112"/>
        <v>33.5</v>
      </c>
      <c r="I202" s="539"/>
      <c r="J202" s="538"/>
      <c r="K202" s="538"/>
      <c r="L202" s="527" t="str">
        <f>VLOOKUP(A202,'Кузнец'!$B$145:$J$193,9,FALSE)</f>
        <v>#N/A</v>
      </c>
      <c r="M202" s="526"/>
      <c r="N202" s="526" t="str">
        <f>VLOOKUP(A202,'Кузнец'!$B$145:$J$193,4,FALSE)</f>
        <v>#N/A</v>
      </c>
      <c r="O202" s="526"/>
      <c r="P202" s="526"/>
      <c r="Q202" s="526"/>
      <c r="R202" s="526"/>
      <c r="S202" s="454">
        <v>0.0</v>
      </c>
      <c r="T202" s="467"/>
      <c r="U202" s="467"/>
      <c r="V202" s="438"/>
      <c r="W202" s="438"/>
      <c r="X202" s="440">
        <v>0.0</v>
      </c>
      <c r="Y202" s="440">
        <v>0.0</v>
      </c>
      <c r="Z202" s="440">
        <v>0.0</v>
      </c>
      <c r="AA202" s="440">
        <v>0.0</v>
      </c>
      <c r="AB202" s="440">
        <v>0.0</v>
      </c>
      <c r="AC202" s="440">
        <v>0.0</v>
      </c>
      <c r="AD202" s="440">
        <v>0.0</v>
      </c>
      <c r="AE202" s="441"/>
      <c r="AF202" s="441"/>
      <c r="AG202" s="441"/>
      <c r="AH202" s="441"/>
      <c r="AI202" s="441"/>
      <c r="AJ202" s="441"/>
      <c r="AK202" s="441"/>
      <c r="AL202" s="441"/>
      <c r="AM202" s="441"/>
      <c r="AN202" s="441"/>
      <c r="AO202" s="441"/>
      <c r="AP202" s="441"/>
      <c r="AQ202" s="441"/>
      <c r="AR202" s="441"/>
      <c r="AS202" s="441"/>
      <c r="AT202" s="441"/>
      <c r="AU202" s="441"/>
      <c r="AV202" s="441"/>
      <c r="AW202" s="441"/>
      <c r="AX202" s="441"/>
      <c r="AY202" s="441"/>
      <c r="AZ202" s="441"/>
      <c r="BA202" s="441"/>
      <c r="BB202" s="441"/>
      <c r="BC202" s="441"/>
      <c r="BD202" s="441"/>
      <c r="BE202" s="441"/>
      <c r="BF202" s="441"/>
    </row>
    <row r="203" hidden="1" outlineLevel="1">
      <c r="A203" s="531" t="s">
        <v>760</v>
      </c>
      <c r="B203" s="535"/>
      <c r="C203" s="535">
        <f t="shared" ref="C203:H203" si="113">C202/B202-1</f>
        <v>0.4</v>
      </c>
      <c r="D203" s="535">
        <f t="shared" si="113"/>
        <v>0.2857142857</v>
      </c>
      <c r="E203" s="535">
        <f t="shared" si="113"/>
        <v>0.2962962963</v>
      </c>
      <c r="F203" s="535">
        <f t="shared" si="113"/>
        <v>0.2285714286</v>
      </c>
      <c r="G203" s="535">
        <f t="shared" si="113"/>
        <v>0.2325581395</v>
      </c>
      <c r="H203" s="535">
        <f t="shared" si="113"/>
        <v>0.2641509434</v>
      </c>
      <c r="I203" s="539"/>
      <c r="J203" s="538"/>
      <c r="K203" s="538"/>
      <c r="L203" s="527" t="str">
        <f>VLOOKUP(A203,'Кузнец'!$B$145:$J$193,9,FALSE)</f>
        <v>#N/A</v>
      </c>
      <c r="M203" s="526"/>
      <c r="N203" s="526" t="str">
        <f>VLOOKUP(A203,'Кузнец'!$B$145:$J$193,4,FALSE)</f>
        <v>#N/A</v>
      </c>
      <c r="O203" s="526"/>
      <c r="P203" s="526"/>
      <c r="Q203" s="526"/>
      <c r="R203" s="526"/>
      <c r="S203" s="454">
        <v>0.0</v>
      </c>
      <c r="T203" s="467"/>
      <c r="U203" s="467"/>
      <c r="V203" s="438"/>
      <c r="W203" s="438"/>
      <c r="X203" s="440">
        <v>0.0</v>
      </c>
      <c r="Y203" s="440">
        <v>0.0</v>
      </c>
      <c r="Z203" s="440">
        <v>0.0</v>
      </c>
      <c r="AA203" s="440">
        <v>0.0</v>
      </c>
      <c r="AB203" s="440">
        <v>0.0</v>
      </c>
      <c r="AC203" s="440">
        <v>0.0</v>
      </c>
      <c r="AD203" s="440">
        <v>0.0</v>
      </c>
      <c r="AE203" s="441"/>
      <c r="AF203" s="441"/>
      <c r="AG203" s="441"/>
      <c r="AH203" s="441"/>
      <c r="AI203" s="441"/>
      <c r="AJ203" s="441"/>
      <c r="AK203" s="441"/>
      <c r="AL203" s="441"/>
      <c r="AM203" s="441"/>
      <c r="AN203" s="441"/>
      <c r="AO203" s="441"/>
      <c r="AP203" s="441"/>
      <c r="AQ203" s="441"/>
      <c r="AR203" s="441"/>
      <c r="AS203" s="441"/>
      <c r="AT203" s="441"/>
      <c r="AU203" s="441"/>
      <c r="AV203" s="441"/>
      <c r="AW203" s="441"/>
      <c r="AX203" s="441"/>
      <c r="AY203" s="441"/>
      <c r="AZ203" s="441"/>
      <c r="BA203" s="441"/>
      <c r="BB203" s="441"/>
      <c r="BC203" s="441"/>
      <c r="BD203" s="441"/>
      <c r="BE203" s="441"/>
      <c r="BF203" s="441"/>
    </row>
    <row r="204" hidden="1" outlineLevel="1">
      <c r="A204" s="531" t="s">
        <v>761</v>
      </c>
      <c r="B204" s="532">
        <f>$K198</f>
        <v>3</v>
      </c>
      <c r="C204" s="532"/>
      <c r="D204" s="535"/>
      <c r="E204" s="535"/>
      <c r="F204" s="535"/>
      <c r="G204" s="535"/>
      <c r="H204" s="535"/>
      <c r="I204" s="539"/>
      <c r="J204" s="538"/>
      <c r="K204" s="538"/>
      <c r="L204" s="527" t="str">
        <f>VLOOKUP(A204,'Кузнец'!$B$145:$J$193,9,FALSE)</f>
        <v>#N/A</v>
      </c>
      <c r="M204" s="526"/>
      <c r="N204" s="526" t="str">
        <f>VLOOKUP(A204,'Кузнец'!$B$145:$J$193,4,FALSE)</f>
        <v>#N/A</v>
      </c>
      <c r="O204" s="526"/>
      <c r="P204" s="526"/>
      <c r="Q204" s="526"/>
      <c r="R204" s="526"/>
      <c r="S204" s="454">
        <v>0.0</v>
      </c>
      <c r="T204" s="467"/>
      <c r="U204" s="467"/>
      <c r="V204" s="438"/>
      <c r="W204" s="438"/>
      <c r="X204" s="440">
        <v>0.0</v>
      </c>
      <c r="Y204" s="440">
        <v>0.0</v>
      </c>
      <c r="Z204" s="440">
        <v>0.0</v>
      </c>
      <c r="AA204" s="440">
        <v>0.0</v>
      </c>
      <c r="AB204" s="440">
        <v>0.0</v>
      </c>
      <c r="AC204" s="440">
        <v>0.0</v>
      </c>
      <c r="AD204" s="440">
        <v>0.0</v>
      </c>
      <c r="AE204" s="441"/>
      <c r="AF204" s="441"/>
      <c r="AG204" s="441"/>
      <c r="AH204" s="441"/>
      <c r="AI204" s="441"/>
      <c r="AJ204" s="441"/>
      <c r="AK204" s="441"/>
      <c r="AL204" s="441"/>
      <c r="AM204" s="441"/>
      <c r="AN204" s="441"/>
      <c r="AO204" s="441"/>
      <c r="AP204" s="441"/>
      <c r="AQ204" s="441"/>
      <c r="AR204" s="441"/>
      <c r="AS204" s="441"/>
      <c r="AT204" s="441"/>
      <c r="AU204" s="441"/>
      <c r="AV204" s="441"/>
      <c r="AW204" s="441"/>
      <c r="AX204" s="441"/>
      <c r="AY204" s="441"/>
      <c r="AZ204" s="441"/>
      <c r="BA204" s="441"/>
      <c r="BB204" s="441"/>
      <c r="BC204" s="441"/>
      <c r="BD204" s="441"/>
      <c r="BE204" s="441"/>
      <c r="BF204" s="441"/>
    </row>
    <row r="205" hidden="1" outlineLevel="1">
      <c r="A205" s="531" t="s">
        <v>762</v>
      </c>
      <c r="B205" s="540">
        <f t="shared" ref="B205:H205" si="114">B202/$B204</f>
        <v>2.5</v>
      </c>
      <c r="C205" s="540">
        <f t="shared" si="114"/>
        <v>3.5</v>
      </c>
      <c r="D205" s="540">
        <f t="shared" si="114"/>
        <v>4.5</v>
      </c>
      <c r="E205" s="540">
        <f t="shared" si="114"/>
        <v>5.833333333</v>
      </c>
      <c r="F205" s="540">
        <f t="shared" si="114"/>
        <v>7.166666667</v>
      </c>
      <c r="G205" s="540">
        <f t="shared" si="114"/>
        <v>8.833333333</v>
      </c>
      <c r="H205" s="540">
        <f t="shared" si="114"/>
        <v>11.16666667</v>
      </c>
      <c r="I205" s="539"/>
      <c r="J205" s="538"/>
      <c r="K205" s="538"/>
      <c r="L205" s="527" t="str">
        <f>VLOOKUP(A205,'Кузнец'!$B$145:$J$193,9,FALSE)</f>
        <v>#N/A</v>
      </c>
      <c r="M205" s="526"/>
      <c r="N205" s="526" t="str">
        <f>VLOOKUP(A205,'Кузнец'!$B$145:$J$193,4,FALSE)</f>
        <v>#N/A</v>
      </c>
      <c r="O205" s="526"/>
      <c r="P205" s="526"/>
      <c r="Q205" s="526"/>
      <c r="R205" s="526"/>
      <c r="S205" s="454">
        <v>0.0</v>
      </c>
      <c r="T205" s="467"/>
      <c r="U205" s="467"/>
      <c r="V205" s="438"/>
      <c r="W205" s="438"/>
      <c r="X205" s="440">
        <v>0.0</v>
      </c>
      <c r="Y205" s="440">
        <v>0.0</v>
      </c>
      <c r="Z205" s="440">
        <v>0.0</v>
      </c>
      <c r="AA205" s="440">
        <v>0.0</v>
      </c>
      <c r="AB205" s="440">
        <v>0.0</v>
      </c>
      <c r="AC205" s="440">
        <v>0.0</v>
      </c>
      <c r="AD205" s="440">
        <v>0.0</v>
      </c>
      <c r="AE205" s="441"/>
      <c r="AF205" s="441"/>
      <c r="AG205" s="441"/>
      <c r="AH205" s="441"/>
      <c r="AI205" s="441"/>
      <c r="AJ205" s="441"/>
      <c r="AK205" s="441"/>
      <c r="AL205" s="441"/>
      <c r="AM205" s="441"/>
      <c r="AN205" s="441"/>
      <c r="AO205" s="441"/>
      <c r="AP205" s="441"/>
      <c r="AQ205" s="441"/>
      <c r="AR205" s="441"/>
      <c r="AS205" s="441"/>
      <c r="AT205" s="441"/>
      <c r="AU205" s="441"/>
      <c r="AV205" s="441"/>
      <c r="AW205" s="441"/>
      <c r="AX205" s="441"/>
      <c r="AY205" s="441"/>
      <c r="AZ205" s="441"/>
      <c r="BA205" s="441"/>
      <c r="BB205" s="441"/>
      <c r="BC205" s="441"/>
      <c r="BD205" s="441"/>
      <c r="BE205" s="441"/>
      <c r="BF205" s="441"/>
    </row>
    <row r="206" collapsed="1">
      <c r="A206" s="522" t="s">
        <v>940</v>
      </c>
      <c r="B206" s="526" t="s">
        <v>751</v>
      </c>
      <c r="C206" s="526" t="s">
        <v>808</v>
      </c>
      <c r="D206" s="526" t="s">
        <v>800</v>
      </c>
      <c r="E206" s="526" t="s">
        <v>937</v>
      </c>
      <c r="F206" s="526" t="s">
        <v>941</v>
      </c>
      <c r="G206" s="526" t="s">
        <v>942</v>
      </c>
      <c r="H206" s="526" t="s">
        <v>943</v>
      </c>
      <c r="I206" s="525" t="s">
        <v>754</v>
      </c>
      <c r="J206" s="526">
        <v>0.0</v>
      </c>
      <c r="K206" s="526">
        <v>4.0</v>
      </c>
      <c r="L206" s="527">
        <f>VLOOKUP(A206,'Кузнец'!$B$145:$J$193,9,FALSE)</f>
        <v>4.32</v>
      </c>
      <c r="M206" s="528" t="s">
        <v>944</v>
      </c>
      <c r="N206" s="526">
        <f>VLOOKUP(A206,'Кузнец'!$B$145:$J$193,4,FALSE)</f>
        <v>17</v>
      </c>
      <c r="O206" s="526">
        <v>23.0</v>
      </c>
      <c r="P206" s="528" t="s">
        <v>804</v>
      </c>
      <c r="Q206" s="526"/>
      <c r="R206" s="528" t="s">
        <v>945</v>
      </c>
      <c r="S206" s="454">
        <v>0.0</v>
      </c>
      <c r="T206" s="467"/>
      <c r="U206" s="467"/>
      <c r="V206" s="438"/>
      <c r="W206" s="438"/>
      <c r="X206" s="440">
        <v>0.0</v>
      </c>
      <c r="Y206" s="440">
        <v>0.0</v>
      </c>
      <c r="Z206" s="440">
        <v>0.0</v>
      </c>
      <c r="AA206" s="440">
        <v>0.0</v>
      </c>
      <c r="AB206" s="440">
        <v>0.0</v>
      </c>
      <c r="AC206" s="440">
        <v>0.0</v>
      </c>
      <c r="AD206" s="440">
        <v>0.0</v>
      </c>
      <c r="AE206" s="441"/>
      <c r="AF206" s="441"/>
      <c r="AG206" s="441"/>
      <c r="AH206" s="441"/>
      <c r="AI206" s="441"/>
      <c r="AJ206" s="441"/>
      <c r="AK206" s="441"/>
      <c r="AL206" s="441"/>
      <c r="AM206" s="441"/>
      <c r="AN206" s="441"/>
      <c r="AO206" s="441"/>
      <c r="AP206" s="441"/>
      <c r="AQ206" s="441"/>
      <c r="AR206" s="441"/>
      <c r="AS206" s="441"/>
      <c r="AT206" s="441"/>
      <c r="AU206" s="441"/>
      <c r="AV206" s="441"/>
      <c r="AW206" s="441"/>
      <c r="AX206" s="441"/>
      <c r="AY206" s="441"/>
      <c r="AZ206" s="441"/>
      <c r="BA206" s="441"/>
      <c r="BB206" s="441"/>
      <c r="BC206" s="441"/>
      <c r="BD206" s="441"/>
      <c r="BE206" s="441"/>
      <c r="BF206" s="441"/>
    </row>
    <row r="207" hidden="1" outlineLevel="1">
      <c r="A207" s="531" t="s">
        <v>756</v>
      </c>
      <c r="B207" s="532">
        <v>1.0</v>
      </c>
      <c r="C207" s="532">
        <v>1.0</v>
      </c>
      <c r="D207" s="532">
        <v>1.0</v>
      </c>
      <c r="E207" s="532">
        <v>1.0</v>
      </c>
      <c r="F207" s="532">
        <v>1.0</v>
      </c>
      <c r="G207" s="532">
        <v>1.0</v>
      </c>
      <c r="H207" s="532">
        <v>2.0</v>
      </c>
      <c r="I207" s="525"/>
      <c r="J207" s="526"/>
      <c r="K207" s="526"/>
      <c r="L207" s="527" t="str">
        <f>VLOOKUP(A207,'Кузнец'!$B$145:$J$193,9,FALSE)</f>
        <v>#N/A</v>
      </c>
      <c r="M207" s="526"/>
      <c r="N207" s="526" t="str">
        <f>VLOOKUP(A207,'Кузнец'!$B$145:$J$193,4,FALSE)</f>
        <v>#N/A</v>
      </c>
      <c r="O207" s="526"/>
      <c r="P207" s="526"/>
      <c r="Q207" s="526"/>
      <c r="R207" s="526"/>
      <c r="S207" s="454">
        <v>0.0</v>
      </c>
      <c r="T207" s="467"/>
      <c r="U207" s="467"/>
      <c r="V207" s="438"/>
      <c r="W207" s="438"/>
      <c r="X207" s="440">
        <v>0.0</v>
      </c>
      <c r="Y207" s="440">
        <v>0.0</v>
      </c>
      <c r="Z207" s="440">
        <v>0.0</v>
      </c>
      <c r="AA207" s="440">
        <v>0.0</v>
      </c>
      <c r="AB207" s="440">
        <v>0.0</v>
      </c>
      <c r="AC207" s="440">
        <v>0.0</v>
      </c>
      <c r="AD207" s="440">
        <v>0.0</v>
      </c>
      <c r="AE207" s="441"/>
      <c r="AF207" s="441"/>
      <c r="AG207" s="441"/>
      <c r="AH207" s="441"/>
      <c r="AI207" s="441"/>
      <c r="AJ207" s="441"/>
      <c r="AK207" s="441"/>
      <c r="AL207" s="441"/>
      <c r="AM207" s="441"/>
      <c r="AN207" s="441"/>
      <c r="AO207" s="441"/>
      <c r="AP207" s="441"/>
      <c r="AQ207" s="441"/>
      <c r="AR207" s="441"/>
      <c r="AS207" s="441"/>
      <c r="AT207" s="441"/>
      <c r="AU207" s="441"/>
      <c r="AV207" s="441"/>
      <c r="AW207" s="441"/>
      <c r="AX207" s="441"/>
      <c r="AY207" s="441"/>
      <c r="AZ207" s="441"/>
      <c r="BA207" s="441"/>
      <c r="BB207" s="441"/>
      <c r="BC207" s="441"/>
      <c r="BD207" s="441"/>
      <c r="BE207" s="441"/>
      <c r="BF207" s="441"/>
    </row>
    <row r="208" hidden="1" outlineLevel="1">
      <c r="A208" s="531" t="s">
        <v>757</v>
      </c>
      <c r="B208" s="532">
        <v>8.0</v>
      </c>
      <c r="C208" s="532">
        <v>8.0</v>
      </c>
      <c r="D208" s="532">
        <v>10.0</v>
      </c>
      <c r="E208" s="532">
        <v>10.0</v>
      </c>
      <c r="F208" s="532">
        <v>12.0</v>
      </c>
      <c r="G208" s="532">
        <v>12.0</v>
      </c>
      <c r="H208" s="532">
        <v>16.0</v>
      </c>
      <c r="I208" s="525"/>
      <c r="J208" s="526"/>
      <c r="K208" s="526"/>
      <c r="L208" s="527" t="str">
        <f>VLOOKUP(A208,'Кузнец'!$B$145:$J$193,9,FALSE)</f>
        <v>#N/A</v>
      </c>
      <c r="M208" s="526"/>
      <c r="N208" s="526" t="str">
        <f>VLOOKUP(A208,'Кузнец'!$B$145:$J$193,4,FALSE)</f>
        <v>#N/A</v>
      </c>
      <c r="O208" s="526"/>
      <c r="P208" s="526"/>
      <c r="Q208" s="526"/>
      <c r="R208" s="526"/>
      <c r="S208" s="454">
        <v>0.0</v>
      </c>
      <c r="T208" s="467"/>
      <c r="U208" s="467"/>
      <c r="V208" s="438"/>
      <c r="W208" s="438"/>
      <c r="X208" s="440">
        <v>0.0</v>
      </c>
      <c r="Y208" s="440">
        <v>0.0</v>
      </c>
      <c r="Z208" s="440">
        <v>0.0</v>
      </c>
      <c r="AA208" s="440">
        <v>0.0</v>
      </c>
      <c r="AB208" s="440">
        <v>0.0</v>
      </c>
      <c r="AC208" s="440">
        <v>0.0</v>
      </c>
      <c r="AD208" s="440">
        <v>0.0</v>
      </c>
      <c r="AE208" s="441"/>
      <c r="AF208" s="441"/>
      <c r="AG208" s="441"/>
      <c r="AH208" s="441"/>
      <c r="AI208" s="441"/>
      <c r="AJ208" s="441"/>
      <c r="AK208" s="441"/>
      <c r="AL208" s="441"/>
      <c r="AM208" s="441"/>
      <c r="AN208" s="441"/>
      <c r="AO208" s="441"/>
      <c r="AP208" s="441"/>
      <c r="AQ208" s="441"/>
      <c r="AR208" s="441"/>
      <c r="AS208" s="441"/>
      <c r="AT208" s="441"/>
      <c r="AU208" s="441"/>
      <c r="AV208" s="441"/>
      <c r="AW208" s="441"/>
      <c r="AX208" s="441"/>
      <c r="AY208" s="441"/>
      <c r="AZ208" s="441"/>
      <c r="BA208" s="441"/>
      <c r="BB208" s="441"/>
      <c r="BC208" s="441"/>
      <c r="BD208" s="441"/>
      <c r="BE208" s="441"/>
      <c r="BF208" s="441"/>
    </row>
    <row r="209" hidden="1" outlineLevel="1">
      <c r="A209" s="531" t="s">
        <v>758</v>
      </c>
      <c r="B209" s="532">
        <v>4.0</v>
      </c>
      <c r="C209" s="532">
        <v>8.0</v>
      </c>
      <c r="D209" s="532">
        <v>11.0</v>
      </c>
      <c r="E209" s="532">
        <v>16.0</v>
      </c>
      <c r="F209" s="532">
        <v>20.0</v>
      </c>
      <c r="G209" s="532">
        <v>26.0</v>
      </c>
      <c r="H209" s="532">
        <v>29.0</v>
      </c>
      <c r="I209" s="525"/>
      <c r="J209" s="526"/>
      <c r="K209" s="526"/>
      <c r="L209" s="527" t="str">
        <f>VLOOKUP(A209,'Кузнец'!$B$145:$J$193,9,FALSE)</f>
        <v>#N/A</v>
      </c>
      <c r="M209" s="526"/>
      <c r="N209" s="526" t="str">
        <f>VLOOKUP(A209,'Кузнец'!$B$145:$J$193,4,FALSE)</f>
        <v>#N/A</v>
      </c>
      <c r="O209" s="526"/>
      <c r="P209" s="526"/>
      <c r="Q209" s="526"/>
      <c r="R209" s="526"/>
      <c r="S209" s="454">
        <v>0.0</v>
      </c>
      <c r="T209" s="467"/>
      <c r="U209" s="467"/>
      <c r="V209" s="438"/>
      <c r="W209" s="438"/>
      <c r="X209" s="440">
        <v>0.0</v>
      </c>
      <c r="Y209" s="440">
        <v>0.0</v>
      </c>
      <c r="Z209" s="440">
        <v>0.0</v>
      </c>
      <c r="AA209" s="440">
        <v>0.0</v>
      </c>
      <c r="AB209" s="440">
        <v>0.0</v>
      </c>
      <c r="AC209" s="440">
        <v>0.0</v>
      </c>
      <c r="AD209" s="440">
        <v>0.0</v>
      </c>
      <c r="AE209" s="441"/>
      <c r="AF209" s="441"/>
      <c r="AG209" s="441"/>
      <c r="AH209" s="441"/>
      <c r="AI209" s="441"/>
      <c r="AJ209" s="441"/>
      <c r="AK209" s="441"/>
      <c r="AL209" s="441"/>
      <c r="AM209" s="441"/>
      <c r="AN209" s="441"/>
      <c r="AO209" s="441"/>
      <c r="AP209" s="441"/>
      <c r="AQ209" s="441"/>
      <c r="AR209" s="441"/>
      <c r="AS209" s="441"/>
      <c r="AT209" s="441"/>
      <c r="AU209" s="441"/>
      <c r="AV209" s="441"/>
      <c r="AW209" s="441"/>
      <c r="AX209" s="441"/>
      <c r="AY209" s="441"/>
      <c r="AZ209" s="441"/>
      <c r="BA209" s="441"/>
      <c r="BB209" s="441"/>
      <c r="BC209" s="441"/>
      <c r="BD209" s="441"/>
      <c r="BE209" s="441"/>
      <c r="BF209" s="441"/>
    </row>
    <row r="210" hidden="1" outlineLevel="1">
      <c r="A210" s="531" t="s">
        <v>759</v>
      </c>
      <c r="B210" s="532">
        <f t="shared" ref="B210:H210" si="115">(B207+B208)/2+B209</f>
        <v>8.5</v>
      </c>
      <c r="C210" s="532">
        <f t="shared" si="115"/>
        <v>12.5</v>
      </c>
      <c r="D210" s="532">
        <f t="shared" si="115"/>
        <v>16.5</v>
      </c>
      <c r="E210" s="532">
        <f t="shared" si="115"/>
        <v>21.5</v>
      </c>
      <c r="F210" s="532">
        <f t="shared" si="115"/>
        <v>26.5</v>
      </c>
      <c r="G210" s="532">
        <f t="shared" si="115"/>
        <v>32.5</v>
      </c>
      <c r="H210" s="532">
        <f t="shared" si="115"/>
        <v>38</v>
      </c>
      <c r="I210" s="525"/>
      <c r="J210" s="526"/>
      <c r="K210" s="526"/>
      <c r="L210" s="527" t="str">
        <f>VLOOKUP(A210,'Кузнец'!$B$145:$J$193,9,FALSE)</f>
        <v>#N/A</v>
      </c>
      <c r="M210" s="526"/>
      <c r="N210" s="526" t="str">
        <f>VLOOKUP(A210,'Кузнец'!$B$145:$J$193,4,FALSE)</f>
        <v>#N/A</v>
      </c>
      <c r="O210" s="526"/>
      <c r="P210" s="526"/>
      <c r="Q210" s="526"/>
      <c r="R210" s="526"/>
      <c r="S210" s="454">
        <v>0.0</v>
      </c>
      <c r="T210" s="467"/>
      <c r="U210" s="467"/>
      <c r="V210" s="438"/>
      <c r="W210" s="438"/>
      <c r="X210" s="440">
        <v>0.0</v>
      </c>
      <c r="Y210" s="440">
        <v>0.0</v>
      </c>
      <c r="Z210" s="440">
        <v>0.0</v>
      </c>
      <c r="AA210" s="440">
        <v>0.0</v>
      </c>
      <c r="AB210" s="440">
        <v>0.0</v>
      </c>
      <c r="AC210" s="440">
        <v>0.0</v>
      </c>
      <c r="AD210" s="440">
        <v>0.0</v>
      </c>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441"/>
      <c r="AZ210" s="441"/>
      <c r="BA210" s="441"/>
      <c r="BB210" s="441"/>
      <c r="BC210" s="441"/>
      <c r="BD210" s="441"/>
      <c r="BE210" s="441"/>
      <c r="BF210" s="441"/>
    </row>
    <row r="211" hidden="1" outlineLevel="1">
      <c r="A211" s="531" t="s">
        <v>760</v>
      </c>
      <c r="B211" s="535"/>
      <c r="C211" s="535">
        <f t="shared" ref="C211:H211" si="116">C210/B210-1</f>
        <v>0.4705882353</v>
      </c>
      <c r="D211" s="535">
        <f t="shared" si="116"/>
        <v>0.32</v>
      </c>
      <c r="E211" s="535">
        <f t="shared" si="116"/>
        <v>0.303030303</v>
      </c>
      <c r="F211" s="535">
        <f t="shared" si="116"/>
        <v>0.2325581395</v>
      </c>
      <c r="G211" s="535">
        <f t="shared" si="116"/>
        <v>0.2264150943</v>
      </c>
      <c r="H211" s="535">
        <f t="shared" si="116"/>
        <v>0.1692307692</v>
      </c>
      <c r="I211" s="525"/>
      <c r="J211" s="526"/>
      <c r="K211" s="526"/>
      <c r="L211" s="527" t="str">
        <f>VLOOKUP(A211,'Кузнец'!$B$145:$J$193,9,FALSE)</f>
        <v>#N/A</v>
      </c>
      <c r="M211" s="526"/>
      <c r="N211" s="526" t="str">
        <f>VLOOKUP(A211,'Кузнец'!$B$145:$J$193,4,FALSE)</f>
        <v>#N/A</v>
      </c>
      <c r="O211" s="526"/>
      <c r="P211" s="526"/>
      <c r="Q211" s="526"/>
      <c r="R211" s="526"/>
      <c r="S211" s="454">
        <v>0.0</v>
      </c>
      <c r="T211" s="467"/>
      <c r="U211" s="467"/>
      <c r="V211" s="438"/>
      <c r="W211" s="438"/>
      <c r="X211" s="440">
        <v>0.0</v>
      </c>
      <c r="Y211" s="440">
        <v>0.0</v>
      </c>
      <c r="Z211" s="440">
        <v>0.0</v>
      </c>
      <c r="AA211" s="440">
        <v>0.0</v>
      </c>
      <c r="AB211" s="440">
        <v>0.0</v>
      </c>
      <c r="AC211" s="440">
        <v>0.0</v>
      </c>
      <c r="AD211" s="440">
        <v>0.0</v>
      </c>
      <c r="AE211" s="441"/>
      <c r="AF211" s="441"/>
      <c r="AG211" s="441"/>
      <c r="AH211" s="441"/>
      <c r="AI211" s="441"/>
      <c r="AJ211" s="441"/>
      <c r="AK211" s="441"/>
      <c r="AL211" s="441"/>
      <c r="AM211" s="441"/>
      <c r="AN211" s="441"/>
      <c r="AO211" s="441"/>
      <c r="AP211" s="441"/>
      <c r="AQ211" s="441"/>
      <c r="AR211" s="441"/>
      <c r="AS211" s="441"/>
      <c r="AT211" s="441"/>
      <c r="AU211" s="441"/>
      <c r="AV211" s="441"/>
      <c r="AW211" s="441"/>
      <c r="AX211" s="441"/>
      <c r="AY211" s="441"/>
      <c r="AZ211" s="441"/>
      <c r="BA211" s="441"/>
      <c r="BB211" s="441"/>
      <c r="BC211" s="441"/>
      <c r="BD211" s="441"/>
      <c r="BE211" s="441"/>
      <c r="BF211" s="441"/>
    </row>
    <row r="212" hidden="1" outlineLevel="1">
      <c r="A212" s="531" t="s">
        <v>761</v>
      </c>
      <c r="B212" s="532">
        <f>$K206</f>
        <v>4</v>
      </c>
      <c r="C212" s="532"/>
      <c r="D212" s="535"/>
      <c r="E212" s="535"/>
      <c r="F212" s="535"/>
      <c r="G212" s="535"/>
      <c r="H212" s="535"/>
      <c r="I212" s="525"/>
      <c r="J212" s="526"/>
      <c r="K212" s="526"/>
      <c r="L212" s="527" t="str">
        <f>VLOOKUP(A212,'Кузнец'!$B$145:$J$193,9,FALSE)</f>
        <v>#N/A</v>
      </c>
      <c r="M212" s="526"/>
      <c r="N212" s="526" t="str">
        <f>VLOOKUP(A212,'Кузнец'!$B$145:$J$193,4,FALSE)</f>
        <v>#N/A</v>
      </c>
      <c r="O212" s="526"/>
      <c r="P212" s="526"/>
      <c r="Q212" s="526"/>
      <c r="R212" s="526"/>
      <c r="S212" s="454">
        <v>0.0</v>
      </c>
      <c r="T212" s="467"/>
      <c r="U212" s="467"/>
      <c r="V212" s="438"/>
      <c r="W212" s="438"/>
      <c r="X212" s="440">
        <v>0.0</v>
      </c>
      <c r="Y212" s="440">
        <v>0.0</v>
      </c>
      <c r="Z212" s="440">
        <v>0.0</v>
      </c>
      <c r="AA212" s="440">
        <v>0.0</v>
      </c>
      <c r="AB212" s="440">
        <v>0.0</v>
      </c>
      <c r="AC212" s="440">
        <v>0.0</v>
      </c>
      <c r="AD212" s="440">
        <v>0.0</v>
      </c>
      <c r="AE212" s="441"/>
      <c r="AF212" s="441"/>
      <c r="AG212" s="441"/>
      <c r="AH212" s="441"/>
      <c r="AI212" s="441"/>
      <c r="AJ212" s="441"/>
      <c r="AK212" s="441"/>
      <c r="AL212" s="441"/>
      <c r="AM212" s="441"/>
      <c r="AN212" s="441"/>
      <c r="AO212" s="441"/>
      <c r="AP212" s="441"/>
      <c r="AQ212" s="441"/>
      <c r="AR212" s="441"/>
      <c r="AS212" s="441"/>
      <c r="AT212" s="441"/>
      <c r="AU212" s="441"/>
      <c r="AV212" s="441"/>
      <c r="AW212" s="441"/>
      <c r="AX212" s="441"/>
      <c r="AY212" s="441"/>
      <c r="AZ212" s="441"/>
      <c r="BA212" s="441"/>
      <c r="BB212" s="441"/>
      <c r="BC212" s="441"/>
      <c r="BD212" s="441"/>
      <c r="BE212" s="441"/>
      <c r="BF212" s="441"/>
    </row>
    <row r="213" hidden="1" outlineLevel="1">
      <c r="A213" s="531" t="s">
        <v>762</v>
      </c>
      <c r="B213" s="540">
        <f t="shared" ref="B213:H213" si="117">B210/$B212</f>
        <v>2.125</v>
      </c>
      <c r="C213" s="540">
        <f t="shared" si="117"/>
        <v>3.125</v>
      </c>
      <c r="D213" s="540">
        <f t="shared" si="117"/>
        <v>4.125</v>
      </c>
      <c r="E213" s="540">
        <f t="shared" si="117"/>
        <v>5.375</v>
      </c>
      <c r="F213" s="540">
        <f t="shared" si="117"/>
        <v>6.625</v>
      </c>
      <c r="G213" s="540">
        <f t="shared" si="117"/>
        <v>8.125</v>
      </c>
      <c r="H213" s="540">
        <f t="shared" si="117"/>
        <v>9.5</v>
      </c>
      <c r="I213" s="525"/>
      <c r="J213" s="526"/>
      <c r="K213" s="526"/>
      <c r="L213" s="527" t="str">
        <f>VLOOKUP(A213,'Кузнец'!$B$145:$J$193,9,FALSE)</f>
        <v>#N/A</v>
      </c>
      <c r="M213" s="526"/>
      <c r="N213" s="526" t="str">
        <f>VLOOKUP(A213,'Кузнец'!$B$145:$J$193,4,FALSE)</f>
        <v>#N/A</v>
      </c>
      <c r="O213" s="526"/>
      <c r="P213" s="526"/>
      <c r="Q213" s="526"/>
      <c r="R213" s="526"/>
      <c r="S213" s="454">
        <v>0.0</v>
      </c>
      <c r="T213" s="467"/>
      <c r="U213" s="467"/>
      <c r="V213" s="438"/>
      <c r="W213" s="438"/>
      <c r="X213" s="440">
        <v>0.0</v>
      </c>
      <c r="Y213" s="440">
        <v>0.0</v>
      </c>
      <c r="Z213" s="440">
        <v>0.0</v>
      </c>
      <c r="AA213" s="440">
        <v>0.0</v>
      </c>
      <c r="AB213" s="440">
        <v>0.0</v>
      </c>
      <c r="AC213" s="440">
        <v>0.0</v>
      </c>
      <c r="AD213" s="440">
        <v>0.0</v>
      </c>
      <c r="AE213" s="441"/>
      <c r="AF213" s="441"/>
      <c r="AG213" s="441"/>
      <c r="AH213" s="441"/>
      <c r="AI213" s="441"/>
      <c r="AJ213" s="441"/>
      <c r="AK213" s="441"/>
      <c r="AL213" s="441"/>
      <c r="AM213" s="441"/>
      <c r="AN213" s="441"/>
      <c r="AO213" s="441"/>
      <c r="AP213" s="441"/>
      <c r="AQ213" s="441"/>
      <c r="AR213" s="441"/>
      <c r="AS213" s="441"/>
      <c r="AT213" s="441"/>
      <c r="AU213" s="441"/>
      <c r="AV213" s="441"/>
      <c r="AW213" s="441"/>
      <c r="AX213" s="441"/>
      <c r="AY213" s="441"/>
      <c r="AZ213" s="441"/>
      <c r="BA213" s="441"/>
      <c r="BB213" s="441"/>
      <c r="BC213" s="441"/>
      <c r="BD213" s="441"/>
      <c r="BE213" s="441"/>
      <c r="BF213" s="441"/>
    </row>
    <row r="214" collapsed="1">
      <c r="A214" s="522" t="s">
        <v>946</v>
      </c>
      <c r="B214" s="526" t="s">
        <v>751</v>
      </c>
      <c r="C214" s="526" t="s">
        <v>808</v>
      </c>
      <c r="D214" s="526" t="s">
        <v>800</v>
      </c>
      <c r="E214" s="526" t="s">
        <v>937</v>
      </c>
      <c r="F214" s="526" t="s">
        <v>941</v>
      </c>
      <c r="G214" s="526" t="s">
        <v>942</v>
      </c>
      <c r="H214" s="526" t="s">
        <v>943</v>
      </c>
      <c r="I214" s="525" t="s">
        <v>770</v>
      </c>
      <c r="J214" s="538">
        <v>0.0</v>
      </c>
      <c r="K214" s="526">
        <v>4.0</v>
      </c>
      <c r="L214" s="527">
        <f>VLOOKUP(A214,'Кузнец'!$B$145:$J$193,9,FALSE)</f>
        <v>4.32</v>
      </c>
      <c r="M214" s="528" t="s">
        <v>929</v>
      </c>
      <c r="N214" s="526">
        <f>VLOOKUP(A214,'Кузнец'!$B$145:$J$193,4,FALSE)</f>
        <v>16</v>
      </c>
      <c r="O214" s="526">
        <v>25.0</v>
      </c>
      <c r="P214" s="528" t="s">
        <v>804</v>
      </c>
      <c r="Q214" s="526"/>
      <c r="R214" s="541" t="s">
        <v>947</v>
      </c>
      <c r="S214" s="454">
        <v>0.0</v>
      </c>
      <c r="T214" s="467"/>
      <c r="U214" s="467"/>
      <c r="V214" s="463">
        <v>2.0</v>
      </c>
      <c r="W214" s="438"/>
      <c r="X214" s="544">
        <v>0.0</v>
      </c>
      <c r="Y214" s="544">
        <v>0.0</v>
      </c>
      <c r="Z214" s="544">
        <v>0.0</v>
      </c>
      <c r="AA214" s="544">
        <v>0.0</v>
      </c>
      <c r="AB214" s="544">
        <v>0.0</v>
      </c>
      <c r="AC214" s="544">
        <v>0.0</v>
      </c>
      <c r="AD214" s="544">
        <v>0.0</v>
      </c>
      <c r="AE214" s="441"/>
      <c r="AF214" s="441" t="s">
        <v>948</v>
      </c>
      <c r="AG214" s="441">
        <f t="shared" ref="AG214:AL214" si="118">$AG$304+AG247*$AH$304+AG255*$AI$304</f>
        <v>68</v>
      </c>
      <c r="AH214" s="441">
        <f t="shared" si="118"/>
        <v>79</v>
      </c>
      <c r="AI214" s="441">
        <f t="shared" si="118"/>
        <v>95</v>
      </c>
      <c r="AJ214" s="441">
        <f t="shared" si="118"/>
        <v>106</v>
      </c>
      <c r="AK214" s="441">
        <f t="shared" si="118"/>
        <v>117</v>
      </c>
      <c r="AL214" s="441">
        <f t="shared" si="118"/>
        <v>123</v>
      </c>
      <c r="AM214" s="441"/>
      <c r="AN214" s="441"/>
      <c r="AO214" s="441"/>
      <c r="AP214" s="441"/>
      <c r="AQ214" s="441"/>
      <c r="AR214" s="441"/>
      <c r="AS214" s="441"/>
      <c r="AT214" s="441"/>
      <c r="AU214" s="441"/>
      <c r="AV214" s="441"/>
      <c r="AW214" s="441"/>
      <c r="AX214" s="441"/>
      <c r="AY214" s="441"/>
      <c r="AZ214" s="441"/>
      <c r="BA214" s="441"/>
      <c r="BB214" s="441"/>
      <c r="BC214" s="441"/>
      <c r="BD214" s="441"/>
      <c r="BE214" s="441"/>
      <c r="BF214" s="441"/>
    </row>
    <row r="215" ht="15.0" hidden="1" customHeight="1" outlineLevel="1">
      <c r="A215" s="531" t="s">
        <v>756</v>
      </c>
      <c r="B215" s="532">
        <v>1.0</v>
      </c>
      <c r="C215" s="532">
        <v>1.0</v>
      </c>
      <c r="D215" s="532">
        <v>1.0</v>
      </c>
      <c r="E215" s="532">
        <v>1.0</v>
      </c>
      <c r="F215" s="532">
        <v>1.0</v>
      </c>
      <c r="G215" s="532">
        <v>1.0</v>
      </c>
      <c r="H215" s="532">
        <v>2.0</v>
      </c>
      <c r="I215" s="539"/>
      <c r="J215" s="538"/>
      <c r="K215" s="538"/>
      <c r="L215" s="527" t="str">
        <f>VLOOKUP(A215,'Кузнец'!$B$145:$J$193,9,FALSE)</f>
        <v>#N/A</v>
      </c>
      <c r="M215" s="526"/>
      <c r="N215" s="526" t="str">
        <f>VLOOKUP(A215,'Кузнец'!$B$145:$J$193,4,FALSE)</f>
        <v>#N/A</v>
      </c>
      <c r="O215" s="526"/>
      <c r="P215" s="526"/>
      <c r="Q215" s="526"/>
      <c r="R215" s="526"/>
      <c r="S215" s="454">
        <v>0.0</v>
      </c>
      <c r="T215" s="467"/>
      <c r="U215" s="467"/>
      <c r="V215" s="438"/>
      <c r="W215" s="438"/>
      <c r="X215" s="440">
        <v>0.0</v>
      </c>
      <c r="Y215" s="440">
        <v>0.0</v>
      </c>
      <c r="Z215" s="440">
        <v>0.0</v>
      </c>
      <c r="AA215" s="440">
        <v>0.0</v>
      </c>
      <c r="AB215" s="440">
        <v>0.0</v>
      </c>
      <c r="AC215" s="440">
        <v>0.0</v>
      </c>
      <c r="AD215" s="440">
        <v>0.0</v>
      </c>
      <c r="AE215" s="441"/>
      <c r="AF215" s="441"/>
      <c r="AG215" s="441"/>
      <c r="AH215" s="441"/>
      <c r="AI215" s="441"/>
      <c r="AJ215" s="441"/>
      <c r="AK215" s="441"/>
      <c r="AL215" s="441"/>
      <c r="AM215" s="441"/>
      <c r="AN215" s="441"/>
      <c r="AO215" s="441"/>
      <c r="AP215" s="441"/>
      <c r="AQ215" s="441"/>
      <c r="AR215" s="441"/>
      <c r="AS215" s="441"/>
      <c r="AT215" s="441"/>
      <c r="AU215" s="441"/>
      <c r="AV215" s="441"/>
      <c r="AW215" s="441"/>
      <c r="AX215" s="441"/>
      <c r="AY215" s="441"/>
      <c r="AZ215" s="441"/>
      <c r="BA215" s="441"/>
      <c r="BB215" s="441"/>
      <c r="BC215" s="441"/>
      <c r="BD215" s="441"/>
      <c r="BE215" s="441"/>
      <c r="BF215" s="441"/>
    </row>
    <row r="216" ht="15.0" hidden="1" customHeight="1" outlineLevel="1">
      <c r="A216" s="531" t="s">
        <v>757</v>
      </c>
      <c r="B216" s="532">
        <v>8.0</v>
      </c>
      <c r="C216" s="532">
        <v>8.0</v>
      </c>
      <c r="D216" s="532">
        <v>10.0</v>
      </c>
      <c r="E216" s="532">
        <v>10.0</v>
      </c>
      <c r="F216" s="532">
        <v>12.0</v>
      </c>
      <c r="G216" s="532">
        <v>12.0</v>
      </c>
      <c r="H216" s="532">
        <v>16.0</v>
      </c>
      <c r="I216" s="539"/>
      <c r="J216" s="538"/>
      <c r="K216" s="538"/>
      <c r="L216" s="527" t="str">
        <f>VLOOKUP(A216,'Кузнец'!$B$145:$J$193,9,FALSE)</f>
        <v>#N/A</v>
      </c>
      <c r="M216" s="526"/>
      <c r="N216" s="526" t="str">
        <f>VLOOKUP(A216,'Кузнец'!$B$145:$J$193,4,FALSE)</f>
        <v>#N/A</v>
      </c>
      <c r="O216" s="526"/>
      <c r="P216" s="526"/>
      <c r="Q216" s="526"/>
      <c r="R216" s="526"/>
      <c r="S216" s="454">
        <v>0.0</v>
      </c>
      <c r="T216" s="467"/>
      <c r="U216" s="467"/>
      <c r="V216" s="438"/>
      <c r="W216" s="438"/>
      <c r="X216" s="440">
        <v>0.0</v>
      </c>
      <c r="Y216" s="440">
        <v>0.0</v>
      </c>
      <c r="Z216" s="440">
        <v>0.0</v>
      </c>
      <c r="AA216" s="440">
        <v>0.0</v>
      </c>
      <c r="AB216" s="440">
        <v>0.0</v>
      </c>
      <c r="AC216" s="440">
        <v>0.0</v>
      </c>
      <c r="AD216" s="440">
        <v>0.0</v>
      </c>
      <c r="AE216" s="441"/>
      <c r="AF216" s="441"/>
      <c r="AG216" s="441"/>
      <c r="AH216" s="441"/>
      <c r="AI216" s="441"/>
      <c r="AJ216" s="441"/>
      <c r="AK216" s="441"/>
      <c r="AL216" s="441"/>
      <c r="AM216" s="441"/>
      <c r="AN216" s="441"/>
      <c r="AO216" s="441"/>
      <c r="AP216" s="441"/>
      <c r="AQ216" s="441"/>
      <c r="AR216" s="441"/>
      <c r="AS216" s="441"/>
      <c r="AT216" s="441"/>
      <c r="AU216" s="441"/>
      <c r="AV216" s="441"/>
      <c r="AW216" s="441"/>
      <c r="AX216" s="441"/>
      <c r="AY216" s="441"/>
      <c r="AZ216" s="441"/>
      <c r="BA216" s="441"/>
      <c r="BB216" s="441"/>
      <c r="BC216" s="441"/>
      <c r="BD216" s="441"/>
      <c r="BE216" s="441"/>
      <c r="BF216" s="441"/>
    </row>
    <row r="217" ht="15.0" hidden="1" customHeight="1" outlineLevel="1">
      <c r="A217" s="531" t="s">
        <v>758</v>
      </c>
      <c r="B217" s="532">
        <v>4.0</v>
      </c>
      <c r="C217" s="532">
        <v>8.0</v>
      </c>
      <c r="D217" s="532">
        <v>11.0</v>
      </c>
      <c r="E217" s="532">
        <v>16.0</v>
      </c>
      <c r="F217" s="532">
        <v>20.0</v>
      </c>
      <c r="G217" s="532">
        <v>26.0</v>
      </c>
      <c r="H217" s="532">
        <v>29.0</v>
      </c>
      <c r="I217" s="539"/>
      <c r="J217" s="538"/>
      <c r="K217" s="538"/>
      <c r="L217" s="527" t="str">
        <f>VLOOKUP(A217,'Кузнец'!$B$145:$J$193,9,FALSE)</f>
        <v>#N/A</v>
      </c>
      <c r="M217" s="526"/>
      <c r="N217" s="526" t="str">
        <f>VLOOKUP(A217,'Кузнец'!$B$145:$J$193,4,FALSE)</f>
        <v>#N/A</v>
      </c>
      <c r="O217" s="526"/>
      <c r="P217" s="526"/>
      <c r="Q217" s="526"/>
      <c r="R217" s="526"/>
      <c r="S217" s="454">
        <v>0.0</v>
      </c>
      <c r="T217" s="467"/>
      <c r="U217" s="467"/>
      <c r="V217" s="438"/>
      <c r="W217" s="438"/>
      <c r="X217" s="440">
        <v>0.0</v>
      </c>
      <c r="Y217" s="440">
        <v>0.0</v>
      </c>
      <c r="Z217" s="440">
        <v>0.0</v>
      </c>
      <c r="AA217" s="440">
        <v>0.0</v>
      </c>
      <c r="AB217" s="440">
        <v>0.0</v>
      </c>
      <c r="AC217" s="440">
        <v>0.0</v>
      </c>
      <c r="AD217" s="440">
        <v>0.0</v>
      </c>
      <c r="AE217" s="441"/>
      <c r="AF217" s="441"/>
      <c r="AG217" s="441"/>
      <c r="AH217" s="441"/>
      <c r="AI217" s="441"/>
      <c r="AJ217" s="441"/>
      <c r="AK217" s="441"/>
      <c r="AL217" s="441"/>
      <c r="AM217" s="441"/>
      <c r="AN217" s="441"/>
      <c r="AO217" s="441"/>
      <c r="AP217" s="441"/>
      <c r="AQ217" s="441"/>
      <c r="AR217" s="441"/>
      <c r="AS217" s="441"/>
      <c r="AT217" s="441"/>
      <c r="AU217" s="441"/>
      <c r="AV217" s="441"/>
      <c r="AW217" s="441"/>
      <c r="AX217" s="441"/>
      <c r="AY217" s="441"/>
      <c r="AZ217" s="441"/>
      <c r="BA217" s="441"/>
      <c r="BB217" s="441"/>
      <c r="BC217" s="441"/>
      <c r="BD217" s="441"/>
      <c r="BE217" s="441"/>
      <c r="BF217" s="441"/>
    </row>
    <row r="218" ht="15.0" hidden="1" customHeight="1" outlineLevel="1">
      <c r="A218" s="531" t="s">
        <v>759</v>
      </c>
      <c r="B218" s="532">
        <f t="shared" ref="B218:H218" si="119">(B215+B216)/2+B217</f>
        <v>8.5</v>
      </c>
      <c r="C218" s="532">
        <f t="shared" si="119"/>
        <v>12.5</v>
      </c>
      <c r="D218" s="532">
        <f t="shared" si="119"/>
        <v>16.5</v>
      </c>
      <c r="E218" s="532">
        <f t="shared" si="119"/>
        <v>21.5</v>
      </c>
      <c r="F218" s="532">
        <f t="shared" si="119"/>
        <v>26.5</v>
      </c>
      <c r="G218" s="532">
        <f t="shared" si="119"/>
        <v>32.5</v>
      </c>
      <c r="H218" s="532">
        <f t="shared" si="119"/>
        <v>38</v>
      </c>
      <c r="I218" s="539"/>
      <c r="J218" s="538"/>
      <c r="K218" s="538"/>
      <c r="L218" s="527" t="str">
        <f>VLOOKUP(A218,'Кузнец'!$B$145:$J$193,9,FALSE)</f>
        <v>#N/A</v>
      </c>
      <c r="M218" s="526"/>
      <c r="N218" s="526" t="str">
        <f>VLOOKUP(A218,'Кузнец'!$B$145:$J$193,4,FALSE)</f>
        <v>#N/A</v>
      </c>
      <c r="O218" s="526"/>
      <c r="P218" s="526"/>
      <c r="Q218" s="526"/>
      <c r="R218" s="526"/>
      <c r="S218" s="454">
        <v>0.0</v>
      </c>
      <c r="T218" s="467"/>
      <c r="U218" s="467"/>
      <c r="V218" s="438"/>
      <c r="W218" s="438"/>
      <c r="X218" s="440">
        <v>0.0</v>
      </c>
      <c r="Y218" s="440">
        <v>0.0</v>
      </c>
      <c r="Z218" s="440">
        <v>0.0</v>
      </c>
      <c r="AA218" s="440">
        <v>0.0</v>
      </c>
      <c r="AB218" s="440">
        <v>0.0</v>
      </c>
      <c r="AC218" s="440">
        <v>0.0</v>
      </c>
      <c r="AD218" s="440">
        <v>0.0</v>
      </c>
      <c r="AE218" s="441"/>
      <c r="AF218" s="441"/>
      <c r="AG218" s="441"/>
      <c r="AH218" s="441"/>
      <c r="AI218" s="441"/>
      <c r="AJ218" s="441"/>
      <c r="AK218" s="441"/>
      <c r="AL218" s="441"/>
      <c r="AM218" s="441"/>
      <c r="AN218" s="441"/>
      <c r="AO218" s="441"/>
      <c r="AP218" s="441"/>
      <c r="AQ218" s="441"/>
      <c r="AR218" s="441"/>
      <c r="AS218" s="441"/>
      <c r="AT218" s="441"/>
      <c r="AU218" s="441"/>
      <c r="AV218" s="441"/>
      <c r="AW218" s="441"/>
      <c r="AX218" s="441"/>
      <c r="AY218" s="441"/>
      <c r="AZ218" s="441"/>
      <c r="BA218" s="441"/>
      <c r="BB218" s="441"/>
      <c r="BC218" s="441"/>
      <c r="BD218" s="441"/>
      <c r="BE218" s="441"/>
      <c r="BF218" s="441"/>
    </row>
    <row r="219" ht="15.0" hidden="1" customHeight="1" outlineLevel="1">
      <c r="A219" s="531" t="s">
        <v>760</v>
      </c>
      <c r="B219" s="535"/>
      <c r="C219" s="535">
        <f t="shared" ref="C219:H219" si="120">C218/B218-1</f>
        <v>0.4705882353</v>
      </c>
      <c r="D219" s="535">
        <f t="shared" si="120"/>
        <v>0.32</v>
      </c>
      <c r="E219" s="535">
        <f t="shared" si="120"/>
        <v>0.303030303</v>
      </c>
      <c r="F219" s="535">
        <f t="shared" si="120"/>
        <v>0.2325581395</v>
      </c>
      <c r="G219" s="535">
        <f t="shared" si="120"/>
        <v>0.2264150943</v>
      </c>
      <c r="H219" s="535">
        <f t="shared" si="120"/>
        <v>0.1692307692</v>
      </c>
      <c r="I219" s="539"/>
      <c r="J219" s="538"/>
      <c r="K219" s="538"/>
      <c r="L219" s="527" t="str">
        <f>VLOOKUP(A219,'Кузнец'!$B$145:$J$193,9,FALSE)</f>
        <v>#N/A</v>
      </c>
      <c r="M219" s="526"/>
      <c r="N219" s="526" t="str">
        <f>VLOOKUP(A219,'Кузнец'!$B$145:$J$193,4,FALSE)</f>
        <v>#N/A</v>
      </c>
      <c r="O219" s="526"/>
      <c r="P219" s="526"/>
      <c r="Q219" s="526"/>
      <c r="R219" s="526"/>
      <c r="S219" s="454">
        <v>0.0</v>
      </c>
      <c r="T219" s="467"/>
      <c r="U219" s="467"/>
      <c r="V219" s="438"/>
      <c r="W219" s="438"/>
      <c r="X219" s="440">
        <v>0.0</v>
      </c>
      <c r="Y219" s="440">
        <v>0.0</v>
      </c>
      <c r="Z219" s="440">
        <v>0.0</v>
      </c>
      <c r="AA219" s="440">
        <v>0.0</v>
      </c>
      <c r="AB219" s="440">
        <v>0.0</v>
      </c>
      <c r="AC219" s="440">
        <v>0.0</v>
      </c>
      <c r="AD219" s="440">
        <v>0.0</v>
      </c>
      <c r="AE219" s="441"/>
      <c r="AF219" s="441"/>
      <c r="AG219" s="441"/>
      <c r="AH219" s="441"/>
      <c r="AI219" s="441"/>
      <c r="AJ219" s="441"/>
      <c r="AK219" s="441"/>
      <c r="AL219" s="441"/>
      <c r="AM219" s="441"/>
      <c r="AN219" s="441"/>
      <c r="AO219" s="441"/>
      <c r="AP219" s="441"/>
      <c r="AQ219" s="441"/>
      <c r="AR219" s="441"/>
      <c r="AS219" s="441"/>
      <c r="AT219" s="441"/>
      <c r="AU219" s="441"/>
      <c r="AV219" s="441"/>
      <c r="AW219" s="441"/>
      <c r="AX219" s="441"/>
      <c r="AY219" s="441"/>
      <c r="AZ219" s="441"/>
      <c r="BA219" s="441"/>
      <c r="BB219" s="441"/>
      <c r="BC219" s="441"/>
      <c r="BD219" s="441"/>
      <c r="BE219" s="441"/>
      <c r="BF219" s="441"/>
    </row>
    <row r="220" ht="15.0" hidden="1" customHeight="1" outlineLevel="1">
      <c r="A220" s="531" t="s">
        <v>761</v>
      </c>
      <c r="B220" s="532">
        <f>$K214</f>
        <v>4</v>
      </c>
      <c r="C220" s="532"/>
      <c r="D220" s="535"/>
      <c r="E220" s="535"/>
      <c r="F220" s="535"/>
      <c r="G220" s="535"/>
      <c r="H220" s="535"/>
      <c r="I220" s="539"/>
      <c r="J220" s="538"/>
      <c r="K220" s="538"/>
      <c r="L220" s="527" t="str">
        <f>VLOOKUP(A220,'Кузнец'!$B$145:$J$193,9,FALSE)</f>
        <v>#N/A</v>
      </c>
      <c r="M220" s="526"/>
      <c r="N220" s="526" t="str">
        <f>VLOOKUP(A220,'Кузнец'!$B$145:$J$193,4,FALSE)</f>
        <v>#N/A</v>
      </c>
      <c r="O220" s="526"/>
      <c r="P220" s="526"/>
      <c r="Q220" s="526"/>
      <c r="R220" s="526"/>
      <c r="S220" s="454">
        <v>0.0</v>
      </c>
      <c r="T220" s="467"/>
      <c r="U220" s="467"/>
      <c r="V220" s="438"/>
      <c r="W220" s="438"/>
      <c r="X220" s="440">
        <v>0.0</v>
      </c>
      <c r="Y220" s="440">
        <v>0.0</v>
      </c>
      <c r="Z220" s="440">
        <v>0.0</v>
      </c>
      <c r="AA220" s="440">
        <v>0.0</v>
      </c>
      <c r="AB220" s="440">
        <v>0.0</v>
      </c>
      <c r="AC220" s="440">
        <v>0.0</v>
      </c>
      <c r="AD220" s="440">
        <v>0.0</v>
      </c>
      <c r="AE220" s="441"/>
      <c r="AF220" s="441"/>
      <c r="AG220" s="441"/>
      <c r="AH220" s="441"/>
      <c r="AI220" s="441"/>
      <c r="AJ220" s="441"/>
      <c r="AK220" s="441"/>
      <c r="AL220" s="441"/>
      <c r="AM220" s="441"/>
      <c r="AN220" s="441"/>
      <c r="AO220" s="441"/>
      <c r="AP220" s="441"/>
      <c r="AQ220" s="441"/>
      <c r="AR220" s="441"/>
      <c r="AS220" s="441"/>
      <c r="AT220" s="441"/>
      <c r="AU220" s="441"/>
      <c r="AV220" s="441"/>
      <c r="AW220" s="441"/>
      <c r="AX220" s="441"/>
      <c r="AY220" s="441"/>
      <c r="AZ220" s="441"/>
      <c r="BA220" s="441"/>
      <c r="BB220" s="441"/>
      <c r="BC220" s="441"/>
      <c r="BD220" s="441"/>
      <c r="BE220" s="441"/>
      <c r="BF220" s="441"/>
    </row>
    <row r="221" ht="15.0" hidden="1" customHeight="1" outlineLevel="1">
      <c r="A221" s="531" t="s">
        <v>762</v>
      </c>
      <c r="B221" s="540">
        <f t="shared" ref="B221:H221" si="121">B218/$B220</f>
        <v>2.125</v>
      </c>
      <c r="C221" s="540">
        <f t="shared" si="121"/>
        <v>3.125</v>
      </c>
      <c r="D221" s="540">
        <f t="shared" si="121"/>
        <v>4.125</v>
      </c>
      <c r="E221" s="540">
        <f t="shared" si="121"/>
        <v>5.375</v>
      </c>
      <c r="F221" s="540">
        <f t="shared" si="121"/>
        <v>6.625</v>
      </c>
      <c r="G221" s="540">
        <f t="shared" si="121"/>
        <v>8.125</v>
      </c>
      <c r="H221" s="540">
        <f t="shared" si="121"/>
        <v>9.5</v>
      </c>
      <c r="I221" s="539"/>
      <c r="J221" s="538"/>
      <c r="K221" s="538"/>
      <c r="L221" s="527" t="str">
        <f>VLOOKUP(A221,'Кузнец'!$B$145:$J$193,9,FALSE)</f>
        <v>#N/A</v>
      </c>
      <c r="M221" s="526"/>
      <c r="N221" s="526" t="str">
        <f>VLOOKUP(A221,'Кузнец'!$B$145:$J$193,4,FALSE)</f>
        <v>#N/A</v>
      </c>
      <c r="O221" s="526"/>
      <c r="P221" s="526"/>
      <c r="Q221" s="526"/>
      <c r="R221" s="526"/>
      <c r="S221" s="454">
        <v>0.0</v>
      </c>
      <c r="T221" s="467"/>
      <c r="U221" s="467"/>
      <c r="V221" s="438"/>
      <c r="W221" s="438"/>
      <c r="X221" s="440">
        <v>0.0</v>
      </c>
      <c r="Y221" s="440">
        <v>0.0</v>
      </c>
      <c r="Z221" s="440">
        <v>0.0</v>
      </c>
      <c r="AA221" s="440">
        <v>0.0</v>
      </c>
      <c r="AB221" s="440">
        <v>0.0</v>
      </c>
      <c r="AC221" s="440">
        <v>0.0</v>
      </c>
      <c r="AD221" s="440">
        <v>0.0</v>
      </c>
      <c r="AE221" s="441"/>
      <c r="AF221" s="441"/>
      <c r="AG221" s="441"/>
      <c r="AH221" s="441"/>
      <c r="AI221" s="441"/>
      <c r="AJ221" s="441"/>
      <c r="AK221" s="441"/>
      <c r="AL221" s="441"/>
      <c r="AM221" s="441"/>
      <c r="AN221" s="441"/>
      <c r="AO221" s="441"/>
      <c r="AP221" s="441"/>
      <c r="AQ221" s="441"/>
      <c r="AR221" s="441"/>
      <c r="AS221" s="441"/>
      <c r="AT221" s="441"/>
      <c r="AU221" s="441"/>
      <c r="AV221" s="441"/>
      <c r="AW221" s="441"/>
      <c r="AX221" s="441"/>
      <c r="AY221" s="441"/>
      <c r="AZ221" s="441"/>
      <c r="BA221" s="441"/>
      <c r="BB221" s="441"/>
      <c r="BC221" s="441"/>
      <c r="BD221" s="441"/>
      <c r="BE221" s="441"/>
      <c r="BF221" s="441"/>
    </row>
    <row r="222" ht="15.0" customHeight="1" collapsed="1">
      <c r="A222" s="522" t="s">
        <v>949</v>
      </c>
      <c r="B222" s="538" t="s">
        <v>891</v>
      </c>
      <c r="C222" s="526" t="s">
        <v>800</v>
      </c>
      <c r="D222" s="526" t="s">
        <v>778</v>
      </c>
      <c r="E222" s="526" t="s">
        <v>950</v>
      </c>
      <c r="F222" s="526" t="s">
        <v>951</v>
      </c>
      <c r="G222" s="526" t="s">
        <v>952</v>
      </c>
      <c r="H222" s="526" t="s">
        <v>953</v>
      </c>
      <c r="I222" s="539" t="s">
        <v>779</v>
      </c>
      <c r="J222" s="526">
        <v>-1.0</v>
      </c>
      <c r="K222" s="526">
        <v>5.0</v>
      </c>
      <c r="L222" s="527">
        <f>VLOOKUP(A222,'Кузнец'!$B$145:$J$193,9,FALSE)</f>
        <v>5.6</v>
      </c>
      <c r="M222" s="528" t="s">
        <v>954</v>
      </c>
      <c r="N222" s="526">
        <f>VLOOKUP(A222,'Кузнец'!$B$145:$J$193,4,FALSE)</f>
        <v>24</v>
      </c>
      <c r="O222" s="526">
        <v>30.0</v>
      </c>
      <c r="P222" s="528" t="s">
        <v>859</v>
      </c>
      <c r="Q222" s="529"/>
      <c r="R222" s="528" t="s">
        <v>955</v>
      </c>
      <c r="S222" s="454">
        <v>0.0</v>
      </c>
      <c r="T222" s="467"/>
      <c r="U222" s="467"/>
      <c r="V222" s="438"/>
      <c r="W222" s="438"/>
      <c r="X222" s="440">
        <v>0.0</v>
      </c>
      <c r="Y222" s="440">
        <v>0.0</v>
      </c>
      <c r="Z222" s="440">
        <v>0.0</v>
      </c>
      <c r="AA222" s="440">
        <v>0.0</v>
      </c>
      <c r="AB222" s="440">
        <v>0.0</v>
      </c>
      <c r="AC222" s="440">
        <v>0.0</v>
      </c>
      <c r="AD222" s="440">
        <v>0.0</v>
      </c>
      <c r="AE222" s="441"/>
      <c r="AF222" s="497" t="s">
        <v>956</v>
      </c>
      <c r="AG222" s="497">
        <f t="shared" ref="AG222:AL222" si="122">$AG$303+AG247*$AH$303+AG255*$AI$303</f>
        <v>66</v>
      </c>
      <c r="AH222" s="497">
        <f t="shared" si="122"/>
        <v>77</v>
      </c>
      <c r="AI222" s="497">
        <f t="shared" si="122"/>
        <v>93</v>
      </c>
      <c r="AJ222" s="497">
        <f t="shared" si="122"/>
        <v>104</v>
      </c>
      <c r="AK222" s="497">
        <f t="shared" si="122"/>
        <v>115</v>
      </c>
      <c r="AL222" s="497">
        <f t="shared" si="122"/>
        <v>121</v>
      </c>
      <c r="AM222" s="441"/>
      <c r="AN222" s="441"/>
      <c r="AO222" s="441"/>
      <c r="AP222" s="441"/>
      <c r="AQ222" s="441"/>
      <c r="AR222" s="441"/>
      <c r="AS222" s="441"/>
      <c r="AT222" s="441"/>
      <c r="AU222" s="441"/>
      <c r="AV222" s="441"/>
      <c r="AW222" s="441"/>
      <c r="AX222" s="441"/>
      <c r="AY222" s="441"/>
      <c r="AZ222" s="441"/>
      <c r="BA222" s="441"/>
      <c r="BB222" s="441"/>
      <c r="BC222" s="441"/>
      <c r="BD222" s="441"/>
      <c r="BE222" s="441"/>
      <c r="BF222" s="441"/>
    </row>
    <row r="223" ht="15.0" hidden="1" customHeight="1" outlineLevel="1">
      <c r="A223" s="531" t="s">
        <v>756</v>
      </c>
      <c r="B223" s="532">
        <v>1.0</v>
      </c>
      <c r="C223" s="532">
        <v>1.0</v>
      </c>
      <c r="D223" s="532">
        <v>1.0</v>
      </c>
      <c r="E223" s="532">
        <v>1.0</v>
      </c>
      <c r="F223" s="532">
        <v>2.0</v>
      </c>
      <c r="G223" s="532">
        <v>2.0</v>
      </c>
      <c r="H223" s="532">
        <v>2.0</v>
      </c>
      <c r="I223" s="525"/>
      <c r="J223" s="526"/>
      <c r="K223" s="526"/>
      <c r="L223" s="527" t="str">
        <f>VLOOKUP(A223,'Кузнец'!$B$145:$J$193,9,FALSE)</f>
        <v>#N/A</v>
      </c>
      <c r="M223" s="526"/>
      <c r="N223" s="526" t="str">
        <f>VLOOKUP(A223,'Кузнец'!$B$145:$J$193,4,FALSE)</f>
        <v>#N/A</v>
      </c>
      <c r="O223" s="526"/>
      <c r="P223" s="526"/>
      <c r="Q223" s="529"/>
      <c r="R223" s="526"/>
      <c r="S223" s="454">
        <v>0.0</v>
      </c>
      <c r="T223" s="467"/>
      <c r="U223" s="467"/>
      <c r="V223" s="438"/>
      <c r="W223" s="438"/>
      <c r="X223" s="467"/>
      <c r="Y223" s="467"/>
      <c r="Z223" s="467"/>
      <c r="AA223" s="467"/>
      <c r="AB223" s="467"/>
      <c r="AC223" s="438"/>
      <c r="AD223" s="438"/>
      <c r="AE223" s="441"/>
      <c r="AF223" s="441"/>
      <c r="AG223" s="441"/>
      <c r="AH223" s="441"/>
      <c r="AI223" s="441"/>
      <c r="AJ223" s="441"/>
      <c r="AK223" s="441"/>
      <c r="AL223" s="441"/>
      <c r="AM223" s="441"/>
      <c r="AN223" s="441"/>
      <c r="AO223" s="441"/>
      <c r="AP223" s="441"/>
      <c r="AQ223" s="441"/>
      <c r="AR223" s="441"/>
      <c r="AS223" s="441"/>
      <c r="AT223" s="441"/>
      <c r="AU223" s="441"/>
      <c r="AV223" s="441"/>
      <c r="AW223" s="441"/>
      <c r="AX223" s="441"/>
      <c r="AY223" s="441"/>
      <c r="AZ223" s="441"/>
      <c r="BA223" s="441"/>
      <c r="BB223" s="441"/>
      <c r="BC223" s="441"/>
      <c r="BD223" s="441"/>
      <c r="BE223" s="441"/>
      <c r="BF223" s="441"/>
    </row>
    <row r="224" ht="15.0" hidden="1" customHeight="1" outlineLevel="1">
      <c r="A224" s="531" t="s">
        <v>757</v>
      </c>
      <c r="B224" s="532">
        <v>10.0</v>
      </c>
      <c r="C224" s="532">
        <v>10.0</v>
      </c>
      <c r="D224" s="532">
        <v>12.0</v>
      </c>
      <c r="E224" s="532">
        <v>12.0</v>
      </c>
      <c r="F224" s="532">
        <v>16.0</v>
      </c>
      <c r="G224" s="532">
        <v>16.0</v>
      </c>
      <c r="H224" s="532">
        <v>20.0</v>
      </c>
      <c r="I224" s="525"/>
      <c r="J224" s="526"/>
      <c r="K224" s="526"/>
      <c r="L224" s="527" t="str">
        <f>VLOOKUP(A224,'Кузнец'!$B$145:$J$193,9,FALSE)</f>
        <v>#N/A</v>
      </c>
      <c r="M224" s="526"/>
      <c r="N224" s="526" t="str">
        <f>VLOOKUP(A224,'Кузнец'!$B$145:$J$193,4,FALSE)</f>
        <v>#N/A</v>
      </c>
      <c r="O224" s="526"/>
      <c r="P224" s="526"/>
      <c r="Q224" s="529"/>
      <c r="R224" s="526"/>
      <c r="S224" s="454">
        <v>0.0</v>
      </c>
      <c r="T224" s="467"/>
      <c r="U224" s="467"/>
      <c r="V224" s="438"/>
      <c r="W224" s="438"/>
      <c r="X224" s="467"/>
      <c r="Y224" s="467"/>
      <c r="Z224" s="467"/>
      <c r="AA224" s="467"/>
      <c r="AB224" s="467"/>
      <c r="AC224" s="438"/>
      <c r="AD224" s="438"/>
      <c r="AE224" s="441"/>
      <c r="AF224" s="441"/>
      <c r="AG224" s="441"/>
      <c r="AH224" s="441"/>
      <c r="AI224" s="441"/>
      <c r="AJ224" s="441"/>
      <c r="AK224" s="441"/>
      <c r="AL224" s="441"/>
      <c r="AM224" s="441"/>
      <c r="AN224" s="441"/>
      <c r="AO224" s="441"/>
      <c r="AP224" s="441"/>
      <c r="AQ224" s="441"/>
      <c r="AR224" s="441"/>
      <c r="AS224" s="441"/>
      <c r="AT224" s="441"/>
      <c r="AU224" s="441"/>
      <c r="AV224" s="441"/>
      <c r="AW224" s="441"/>
      <c r="AX224" s="441"/>
      <c r="AY224" s="441"/>
      <c r="AZ224" s="441"/>
      <c r="BA224" s="441"/>
      <c r="BB224" s="441"/>
      <c r="BC224" s="441"/>
      <c r="BD224" s="441"/>
      <c r="BE224" s="441"/>
      <c r="BF224" s="441"/>
    </row>
    <row r="225" ht="15.0" hidden="1" customHeight="1" outlineLevel="1">
      <c r="A225" s="531" t="s">
        <v>758</v>
      </c>
      <c r="B225" s="532">
        <v>5.0</v>
      </c>
      <c r="C225" s="532">
        <v>10.0</v>
      </c>
      <c r="D225" s="532">
        <v>14.0</v>
      </c>
      <c r="E225" s="532">
        <v>20.0</v>
      </c>
      <c r="F225" s="532">
        <v>24.0</v>
      </c>
      <c r="G225" s="532">
        <v>31.0</v>
      </c>
      <c r="H225" s="532">
        <v>36.0</v>
      </c>
      <c r="I225" s="525"/>
      <c r="J225" s="526"/>
      <c r="K225" s="526"/>
      <c r="L225" s="527" t="str">
        <f>VLOOKUP(A225,'Кузнец'!$B$145:$J$193,9,FALSE)</f>
        <v>#N/A</v>
      </c>
      <c r="M225" s="526"/>
      <c r="N225" s="526" t="str">
        <f>VLOOKUP(A225,'Кузнец'!$B$145:$J$193,4,FALSE)</f>
        <v>#N/A</v>
      </c>
      <c r="O225" s="526"/>
      <c r="P225" s="526"/>
      <c r="Q225" s="529"/>
      <c r="R225" s="526"/>
      <c r="S225" s="454">
        <v>0.0</v>
      </c>
      <c r="T225" s="467"/>
      <c r="U225" s="467"/>
      <c r="V225" s="438"/>
      <c r="W225" s="438"/>
      <c r="X225" s="467"/>
      <c r="Y225" s="467"/>
      <c r="Z225" s="467"/>
      <c r="AA225" s="467"/>
      <c r="AB225" s="467"/>
      <c r="AC225" s="438"/>
      <c r="AD225" s="438"/>
      <c r="AE225" s="441"/>
      <c r="AF225" s="441"/>
      <c r="AG225" s="441"/>
      <c r="AH225" s="441"/>
      <c r="AI225" s="441"/>
      <c r="AJ225" s="441"/>
      <c r="AK225" s="441"/>
      <c r="AL225" s="441"/>
      <c r="AM225" s="441"/>
      <c r="AN225" s="441"/>
      <c r="AO225" s="441"/>
      <c r="AP225" s="441"/>
      <c r="AQ225" s="441"/>
      <c r="AR225" s="441"/>
      <c r="AS225" s="441"/>
      <c r="AT225" s="441"/>
      <c r="AU225" s="441"/>
      <c r="AV225" s="441"/>
      <c r="AW225" s="441"/>
      <c r="AX225" s="441"/>
      <c r="AY225" s="441"/>
      <c r="AZ225" s="441"/>
      <c r="BA225" s="441"/>
      <c r="BB225" s="441"/>
      <c r="BC225" s="441"/>
      <c r="BD225" s="441"/>
      <c r="BE225" s="441"/>
      <c r="BF225" s="441"/>
    </row>
    <row r="226" ht="15.0" hidden="1" customHeight="1" outlineLevel="1">
      <c r="A226" s="531" t="s">
        <v>759</v>
      </c>
      <c r="B226" s="532">
        <f t="shared" ref="B226:H226" si="123">(B223+B224)/2+B225</f>
        <v>10.5</v>
      </c>
      <c r="C226" s="532">
        <f t="shared" si="123"/>
        <v>15.5</v>
      </c>
      <c r="D226" s="532">
        <f t="shared" si="123"/>
        <v>20.5</v>
      </c>
      <c r="E226" s="532">
        <f t="shared" si="123"/>
        <v>26.5</v>
      </c>
      <c r="F226" s="532">
        <f t="shared" si="123"/>
        <v>33</v>
      </c>
      <c r="G226" s="532">
        <f t="shared" si="123"/>
        <v>40</v>
      </c>
      <c r="H226" s="532">
        <f t="shared" si="123"/>
        <v>47</v>
      </c>
      <c r="I226" s="525"/>
      <c r="J226" s="526"/>
      <c r="K226" s="526"/>
      <c r="L226" s="527" t="str">
        <f>VLOOKUP(A226,'Кузнец'!$B$145:$J$193,9,FALSE)</f>
        <v>#N/A</v>
      </c>
      <c r="M226" s="526"/>
      <c r="N226" s="526" t="str">
        <f>VLOOKUP(A226,'Кузнец'!$B$145:$J$193,4,FALSE)</f>
        <v>#N/A</v>
      </c>
      <c r="O226" s="526"/>
      <c r="P226" s="526"/>
      <c r="Q226" s="529"/>
      <c r="R226" s="526"/>
      <c r="S226" s="454">
        <v>0.0</v>
      </c>
      <c r="T226" s="467"/>
      <c r="U226" s="467"/>
      <c r="V226" s="438"/>
      <c r="W226" s="438"/>
      <c r="X226" s="467"/>
      <c r="Y226" s="467"/>
      <c r="Z226" s="467"/>
      <c r="AA226" s="467"/>
      <c r="AB226" s="467"/>
      <c r="AC226" s="438"/>
      <c r="AD226" s="438"/>
      <c r="AE226" s="441"/>
      <c r="AF226" s="441"/>
      <c r="AG226" s="441"/>
      <c r="AH226" s="441"/>
      <c r="AI226" s="441"/>
      <c r="AJ226" s="441"/>
      <c r="AK226" s="441"/>
      <c r="AL226" s="441"/>
      <c r="AM226" s="441"/>
      <c r="AN226" s="441"/>
      <c r="AO226" s="441"/>
      <c r="AP226" s="441"/>
      <c r="AQ226" s="441"/>
      <c r="AR226" s="441"/>
      <c r="AS226" s="441"/>
      <c r="AT226" s="441"/>
      <c r="AU226" s="441"/>
      <c r="AV226" s="441"/>
      <c r="AW226" s="441"/>
      <c r="AX226" s="441"/>
      <c r="AY226" s="441"/>
      <c r="AZ226" s="441"/>
      <c r="BA226" s="441"/>
      <c r="BB226" s="441"/>
      <c r="BC226" s="441"/>
      <c r="BD226" s="441"/>
      <c r="BE226" s="441"/>
      <c r="BF226" s="441"/>
    </row>
    <row r="227" ht="15.0" hidden="1" customHeight="1" outlineLevel="1">
      <c r="A227" s="531" t="s">
        <v>760</v>
      </c>
      <c r="B227" s="535"/>
      <c r="C227" s="535">
        <f t="shared" ref="C227:H227" si="124">C226/B226-1</f>
        <v>0.4761904762</v>
      </c>
      <c r="D227" s="535">
        <f t="shared" si="124"/>
        <v>0.3225806452</v>
      </c>
      <c r="E227" s="535">
        <f t="shared" si="124"/>
        <v>0.2926829268</v>
      </c>
      <c r="F227" s="535">
        <f t="shared" si="124"/>
        <v>0.2452830189</v>
      </c>
      <c r="G227" s="535">
        <f t="shared" si="124"/>
        <v>0.2121212121</v>
      </c>
      <c r="H227" s="535">
        <f t="shared" si="124"/>
        <v>0.175</v>
      </c>
      <c r="I227" s="525"/>
      <c r="J227" s="526"/>
      <c r="K227" s="526"/>
      <c r="L227" s="527" t="str">
        <f>VLOOKUP(A227,'Кузнец'!$B$145:$J$193,9,FALSE)</f>
        <v>#N/A</v>
      </c>
      <c r="M227" s="526"/>
      <c r="N227" s="526" t="str">
        <f>VLOOKUP(A227,'Кузнец'!$B$145:$J$193,4,FALSE)</f>
        <v>#N/A</v>
      </c>
      <c r="O227" s="526"/>
      <c r="P227" s="526"/>
      <c r="Q227" s="529"/>
      <c r="R227" s="526"/>
      <c r="S227" s="454">
        <v>0.0</v>
      </c>
      <c r="T227" s="467"/>
      <c r="U227" s="467"/>
      <c r="V227" s="438"/>
      <c r="W227" s="438"/>
      <c r="X227" s="467"/>
      <c r="Y227" s="467"/>
      <c r="Z227" s="467"/>
      <c r="AA227" s="467"/>
      <c r="AB227" s="467"/>
      <c r="AC227" s="438"/>
      <c r="AD227" s="438"/>
      <c r="AE227" s="441"/>
      <c r="AF227" s="441"/>
      <c r="AG227" s="441"/>
      <c r="AH227" s="441"/>
      <c r="AI227" s="441"/>
      <c r="AJ227" s="441"/>
      <c r="AK227" s="441"/>
      <c r="AL227" s="441"/>
      <c r="AM227" s="441"/>
      <c r="AN227" s="441"/>
      <c r="AO227" s="441"/>
      <c r="AP227" s="441"/>
      <c r="AQ227" s="441"/>
      <c r="AR227" s="441"/>
      <c r="AS227" s="441"/>
      <c r="AT227" s="441"/>
      <c r="AU227" s="441"/>
      <c r="AV227" s="441"/>
      <c r="AW227" s="441"/>
      <c r="AX227" s="441"/>
      <c r="AY227" s="441"/>
      <c r="AZ227" s="441"/>
      <c r="BA227" s="441"/>
      <c r="BB227" s="441"/>
      <c r="BC227" s="441"/>
      <c r="BD227" s="441"/>
      <c r="BE227" s="441"/>
      <c r="BF227" s="441"/>
    </row>
    <row r="228" ht="15.0" hidden="1" customHeight="1" outlineLevel="1">
      <c r="A228" s="531" t="s">
        <v>761</v>
      </c>
      <c r="B228" s="532">
        <f>$K222</f>
        <v>5</v>
      </c>
      <c r="C228" s="532"/>
      <c r="D228" s="535"/>
      <c r="E228" s="535"/>
      <c r="F228" s="535"/>
      <c r="G228" s="535"/>
      <c r="H228" s="535"/>
      <c r="I228" s="525"/>
      <c r="J228" s="526"/>
      <c r="K228" s="526"/>
      <c r="L228" s="527" t="str">
        <f>VLOOKUP(A228,'Кузнец'!$B$145:$J$193,9,FALSE)</f>
        <v>#N/A</v>
      </c>
      <c r="M228" s="526"/>
      <c r="N228" s="526" t="str">
        <f>VLOOKUP(A228,'Кузнец'!$B$145:$J$193,4,FALSE)</f>
        <v>#N/A</v>
      </c>
      <c r="O228" s="526"/>
      <c r="P228" s="526"/>
      <c r="Q228" s="529"/>
      <c r="R228" s="526"/>
      <c r="S228" s="454">
        <v>0.0</v>
      </c>
      <c r="T228" s="467"/>
      <c r="U228" s="467"/>
      <c r="V228" s="438"/>
      <c r="W228" s="438"/>
      <c r="X228" s="467"/>
      <c r="Y228" s="467"/>
      <c r="Z228" s="467"/>
      <c r="AA228" s="467"/>
      <c r="AB228" s="467"/>
      <c r="AC228" s="438"/>
      <c r="AD228" s="438"/>
      <c r="AE228" s="441"/>
      <c r="AF228" s="441"/>
      <c r="AG228" s="441"/>
      <c r="AH228" s="441"/>
      <c r="AI228" s="441"/>
      <c r="AJ228" s="441"/>
      <c r="AK228" s="441"/>
      <c r="AL228" s="441"/>
      <c r="AM228" s="441"/>
      <c r="AN228" s="441"/>
      <c r="AO228" s="441"/>
      <c r="AP228" s="441"/>
      <c r="AQ228" s="441"/>
      <c r="AR228" s="441"/>
      <c r="AS228" s="441"/>
      <c r="AT228" s="441"/>
      <c r="AU228" s="441"/>
      <c r="AV228" s="441"/>
      <c r="AW228" s="441"/>
      <c r="AX228" s="441"/>
      <c r="AY228" s="441"/>
      <c r="AZ228" s="441"/>
      <c r="BA228" s="441"/>
      <c r="BB228" s="441"/>
      <c r="BC228" s="441"/>
      <c r="BD228" s="441"/>
      <c r="BE228" s="441"/>
      <c r="BF228" s="441"/>
    </row>
    <row r="229" ht="15.0" hidden="1" customHeight="1" outlineLevel="1">
      <c r="A229" s="531" t="s">
        <v>762</v>
      </c>
      <c r="B229" s="540">
        <f t="shared" ref="B229:H229" si="125">B226/$B228</f>
        <v>2.1</v>
      </c>
      <c r="C229" s="540">
        <f t="shared" si="125"/>
        <v>3.1</v>
      </c>
      <c r="D229" s="540">
        <f t="shared" si="125"/>
        <v>4.1</v>
      </c>
      <c r="E229" s="540">
        <f t="shared" si="125"/>
        <v>5.3</v>
      </c>
      <c r="F229" s="540">
        <f t="shared" si="125"/>
        <v>6.6</v>
      </c>
      <c r="G229" s="540">
        <f t="shared" si="125"/>
        <v>8</v>
      </c>
      <c r="H229" s="540">
        <f t="shared" si="125"/>
        <v>9.4</v>
      </c>
      <c r="I229" s="525"/>
      <c r="J229" s="526"/>
      <c r="K229" s="526"/>
      <c r="L229" s="527" t="str">
        <f>VLOOKUP(A229,'Кузнец'!$B$145:$J$193,9,FALSE)</f>
        <v>#N/A</v>
      </c>
      <c r="M229" s="526"/>
      <c r="N229" s="526" t="str">
        <f>VLOOKUP(A229,'Кузнец'!$B$145:$J$193,4,FALSE)</f>
        <v>#N/A</v>
      </c>
      <c r="O229" s="526"/>
      <c r="P229" s="526"/>
      <c r="Q229" s="529"/>
      <c r="R229" s="526"/>
      <c r="S229" s="454">
        <v>0.0</v>
      </c>
      <c r="T229" s="467"/>
      <c r="U229" s="467"/>
      <c r="V229" s="438"/>
      <c r="W229" s="438"/>
      <c r="X229" s="467"/>
      <c r="Y229" s="467"/>
      <c r="Z229" s="467"/>
      <c r="AA229" s="467"/>
      <c r="AB229" s="467"/>
      <c r="AC229" s="438"/>
      <c r="AD229" s="438"/>
      <c r="AE229" s="441"/>
      <c r="AF229" s="441"/>
      <c r="AG229" s="441"/>
      <c r="AH229" s="441"/>
      <c r="AI229" s="441"/>
      <c r="AJ229" s="441"/>
      <c r="AK229" s="441"/>
      <c r="AL229" s="441"/>
      <c r="AM229" s="441"/>
      <c r="AN229" s="441"/>
      <c r="AO229" s="441"/>
      <c r="AP229" s="441"/>
      <c r="AQ229" s="441"/>
      <c r="AR229" s="441"/>
      <c r="AS229" s="441"/>
      <c r="AT229" s="441"/>
      <c r="AU229" s="441"/>
      <c r="AV229" s="441"/>
      <c r="AW229" s="441"/>
      <c r="AX229" s="441"/>
      <c r="AY229" s="441"/>
      <c r="AZ229" s="441"/>
      <c r="BA229" s="441"/>
      <c r="BB229" s="441"/>
      <c r="BC229" s="441"/>
      <c r="BD229" s="441"/>
      <c r="BE229" s="441"/>
      <c r="BF229" s="441"/>
    </row>
    <row r="230" ht="15.0" customHeight="1" collapsed="1">
      <c r="A230" s="537" t="s">
        <v>957</v>
      </c>
      <c r="B230" s="526" t="s">
        <v>935</v>
      </c>
      <c r="C230" s="526" t="s">
        <v>958</v>
      </c>
      <c r="D230" s="526" t="s">
        <v>906</v>
      </c>
      <c r="E230" s="526" t="s">
        <v>959</v>
      </c>
      <c r="F230" s="526" t="s">
        <v>960</v>
      </c>
      <c r="G230" s="526" t="s">
        <v>961</v>
      </c>
      <c r="H230" s="526" t="s">
        <v>962</v>
      </c>
      <c r="I230" s="525" t="s">
        <v>770</v>
      </c>
      <c r="J230" s="526">
        <v>-1.0</v>
      </c>
      <c r="K230" s="526">
        <v>5.0</v>
      </c>
      <c r="L230" s="527">
        <f>VLOOKUP(A230,'Кузнец'!$B$145:$J$193,9,FALSE)</f>
        <v>5.68</v>
      </c>
      <c r="M230" s="528" t="s">
        <v>963</v>
      </c>
      <c r="N230" s="526">
        <f>VLOOKUP(A230,'Кузнец'!$B$145:$J$193,4,FALSE)</f>
        <v>23</v>
      </c>
      <c r="O230" s="526">
        <v>29.0</v>
      </c>
      <c r="P230" s="528" t="s">
        <v>859</v>
      </c>
      <c r="Q230" s="529"/>
      <c r="R230" s="526"/>
      <c r="S230" s="454">
        <v>0.0</v>
      </c>
      <c r="T230" s="467"/>
      <c r="U230" s="467"/>
      <c r="V230" s="438"/>
      <c r="W230" s="438"/>
      <c r="X230" s="440">
        <v>0.0</v>
      </c>
      <c r="Y230" s="440">
        <v>0.0</v>
      </c>
      <c r="Z230" s="440">
        <v>0.0</v>
      </c>
      <c r="AA230" s="440">
        <v>0.0</v>
      </c>
      <c r="AB230" s="440">
        <v>0.0</v>
      </c>
      <c r="AC230" s="440">
        <v>0.0</v>
      </c>
      <c r="AD230" s="440">
        <v>0.0</v>
      </c>
      <c r="AE230" s="441"/>
      <c r="AF230" s="497" t="s">
        <v>964</v>
      </c>
      <c r="AG230" s="497">
        <f t="shared" ref="AG230:AL230" si="126">$AG$295+AG247*$AH$295+AG255*$AI$295</f>
        <v>64</v>
      </c>
      <c r="AH230" s="497">
        <f t="shared" si="126"/>
        <v>74</v>
      </c>
      <c r="AI230" s="497">
        <f t="shared" si="126"/>
        <v>88</v>
      </c>
      <c r="AJ230" s="497">
        <f t="shared" si="126"/>
        <v>98</v>
      </c>
      <c r="AK230" s="497">
        <f t="shared" si="126"/>
        <v>108</v>
      </c>
      <c r="AL230" s="497">
        <f t="shared" si="126"/>
        <v>114</v>
      </c>
      <c r="AM230" s="441"/>
      <c r="AN230" s="441"/>
      <c r="AO230" s="441"/>
      <c r="AP230" s="441"/>
      <c r="AQ230" s="441"/>
      <c r="AR230" s="441"/>
      <c r="AS230" s="441"/>
      <c r="AT230" s="441"/>
      <c r="AU230" s="441"/>
      <c r="AV230" s="441"/>
      <c r="AW230" s="441"/>
      <c r="AX230" s="441"/>
      <c r="AY230" s="441"/>
      <c r="AZ230" s="441"/>
      <c r="BA230" s="441"/>
      <c r="BB230" s="441"/>
      <c r="BC230" s="441"/>
      <c r="BD230" s="441"/>
      <c r="BE230" s="441"/>
      <c r="BF230" s="441"/>
    </row>
    <row r="231" hidden="1" outlineLevel="1">
      <c r="A231" s="546" t="s">
        <v>756</v>
      </c>
      <c r="B231" s="547">
        <v>1.0</v>
      </c>
      <c r="C231" s="547">
        <v>1.0</v>
      </c>
      <c r="D231" s="547">
        <v>1.0</v>
      </c>
      <c r="E231" s="547">
        <v>1.0</v>
      </c>
      <c r="F231" s="547">
        <v>1.0</v>
      </c>
      <c r="G231" s="547">
        <v>1.0</v>
      </c>
      <c r="H231" s="547">
        <v>2.0</v>
      </c>
      <c r="I231" s="548"/>
      <c r="J231" s="549"/>
      <c r="K231" s="549"/>
      <c r="L231" s="550"/>
      <c r="M231" s="549"/>
      <c r="N231" s="526" t="str">
        <f t="shared" ref="N231:N237" si="127">VLOOKUP(A231,'Weapon crafting'!$B$11:$H$103,4,FALSE)</f>
        <v>#REF!</v>
      </c>
      <c r="O231" s="526"/>
      <c r="P231" s="526"/>
      <c r="Q231" s="529"/>
      <c r="R231" s="526"/>
      <c r="S231" s="551"/>
      <c r="T231" s="552"/>
      <c r="U231" s="552"/>
      <c r="V231" s="438"/>
      <c r="W231" s="438"/>
      <c r="X231" s="467"/>
      <c r="Y231" s="467"/>
      <c r="Z231" s="467"/>
      <c r="AA231" s="467"/>
      <c r="AB231" s="467"/>
      <c r="AC231" s="438"/>
      <c r="AD231" s="438"/>
      <c r="AE231" s="441"/>
      <c r="AF231" s="441"/>
      <c r="AG231" s="441"/>
      <c r="AH231" s="441"/>
      <c r="AI231" s="441"/>
      <c r="AJ231" s="441"/>
      <c r="AK231" s="441"/>
      <c r="AL231" s="441"/>
      <c r="AM231" s="441"/>
      <c r="AN231" s="441"/>
      <c r="AO231" s="441"/>
      <c r="AP231" s="441"/>
      <c r="AQ231" s="441"/>
      <c r="AR231" s="441"/>
      <c r="AS231" s="441"/>
      <c r="AT231" s="441"/>
      <c r="AU231" s="441"/>
      <c r="AV231" s="441"/>
      <c r="AW231" s="441"/>
      <c r="AX231" s="441"/>
      <c r="AY231" s="441"/>
      <c r="AZ231" s="441"/>
      <c r="BA231" s="441"/>
      <c r="BB231" s="441"/>
      <c r="BC231" s="441"/>
      <c r="BD231" s="441"/>
      <c r="BE231" s="441"/>
      <c r="BF231" s="441"/>
    </row>
    <row r="232" hidden="1" outlineLevel="1">
      <c r="A232" s="546" t="s">
        <v>757</v>
      </c>
      <c r="B232" s="547">
        <v>8.0</v>
      </c>
      <c r="C232" s="547">
        <v>8.0</v>
      </c>
      <c r="D232" s="547">
        <v>10.0</v>
      </c>
      <c r="E232" s="547">
        <v>10.0</v>
      </c>
      <c r="F232" s="547">
        <v>12.0</v>
      </c>
      <c r="G232" s="547">
        <v>12.0</v>
      </c>
      <c r="H232" s="547">
        <v>16.0</v>
      </c>
      <c r="I232" s="548"/>
      <c r="J232" s="549"/>
      <c r="K232" s="549"/>
      <c r="L232" s="550"/>
      <c r="M232" s="549"/>
      <c r="N232" s="526" t="str">
        <f t="shared" si="127"/>
        <v>#REF!</v>
      </c>
      <c r="O232" s="526"/>
      <c r="P232" s="526"/>
      <c r="Q232" s="529"/>
      <c r="R232" s="526"/>
      <c r="S232" s="553"/>
      <c r="T232" s="554"/>
      <c r="U232" s="554"/>
      <c r="V232" s="438"/>
      <c r="W232" s="438"/>
      <c r="X232" s="467"/>
      <c r="Y232" s="467"/>
      <c r="Z232" s="467"/>
      <c r="AA232" s="467"/>
      <c r="AB232" s="467"/>
      <c r="AC232" s="438"/>
      <c r="AD232" s="438"/>
      <c r="AE232" s="441"/>
      <c r="AF232" s="441"/>
      <c r="AG232" s="441"/>
      <c r="AH232" s="441"/>
      <c r="AI232" s="441"/>
      <c r="AJ232" s="441"/>
      <c r="AK232" s="441"/>
      <c r="AL232" s="441"/>
      <c r="AM232" s="441"/>
      <c r="AN232" s="441"/>
      <c r="AO232" s="441"/>
      <c r="AP232" s="441"/>
      <c r="AQ232" s="441"/>
      <c r="AR232" s="441"/>
      <c r="AS232" s="441"/>
      <c r="AT232" s="441"/>
      <c r="AU232" s="441"/>
      <c r="AV232" s="441"/>
      <c r="AW232" s="441"/>
      <c r="AX232" s="441"/>
      <c r="AY232" s="441"/>
      <c r="AZ232" s="441"/>
      <c r="BA232" s="441"/>
      <c r="BB232" s="441"/>
      <c r="BC232" s="441"/>
      <c r="BD232" s="441"/>
      <c r="BE232" s="441"/>
      <c r="BF232" s="441"/>
    </row>
    <row r="233" hidden="1" outlineLevel="1">
      <c r="A233" s="546" t="s">
        <v>758</v>
      </c>
      <c r="B233" s="547">
        <v>9.0</v>
      </c>
      <c r="C233" s="547">
        <v>14.0</v>
      </c>
      <c r="D233" s="547">
        <v>18.0</v>
      </c>
      <c r="E233" s="547">
        <v>24.0</v>
      </c>
      <c r="F233" s="547">
        <v>29.0</v>
      </c>
      <c r="G233" s="547">
        <v>36.0</v>
      </c>
      <c r="H233" s="547">
        <v>41.0</v>
      </c>
      <c r="I233" s="548"/>
      <c r="J233" s="549"/>
      <c r="K233" s="549"/>
      <c r="L233" s="550"/>
      <c r="M233" s="549"/>
      <c r="N233" s="526" t="str">
        <f t="shared" si="127"/>
        <v>#REF!</v>
      </c>
      <c r="O233" s="526"/>
      <c r="P233" s="526"/>
      <c r="Q233" s="529"/>
      <c r="R233" s="526"/>
      <c r="S233" s="553"/>
      <c r="T233" s="554"/>
      <c r="U233" s="554"/>
      <c r="V233" s="438"/>
      <c r="W233" s="438"/>
      <c r="X233" s="467"/>
      <c r="Y233" s="467"/>
      <c r="Z233" s="467"/>
      <c r="AA233" s="467"/>
      <c r="AB233" s="467"/>
      <c r="AC233" s="438"/>
      <c r="AD233" s="438"/>
      <c r="AE233" s="441"/>
      <c r="AF233" s="441"/>
      <c r="AG233" s="441"/>
      <c r="AH233" s="441"/>
      <c r="AI233" s="441"/>
      <c r="AJ233" s="441"/>
      <c r="AK233" s="441"/>
      <c r="AL233" s="441"/>
      <c r="AM233" s="441"/>
      <c r="AN233" s="441"/>
      <c r="AO233" s="441"/>
      <c r="AP233" s="441"/>
      <c r="AQ233" s="441"/>
      <c r="AR233" s="441"/>
      <c r="AS233" s="441"/>
      <c r="AT233" s="441"/>
      <c r="AU233" s="441"/>
      <c r="AV233" s="441"/>
      <c r="AW233" s="441"/>
      <c r="AX233" s="441"/>
      <c r="AY233" s="441"/>
      <c r="AZ233" s="441"/>
      <c r="BA233" s="441"/>
      <c r="BB233" s="441"/>
      <c r="BC233" s="441"/>
      <c r="BD233" s="441"/>
      <c r="BE233" s="441"/>
      <c r="BF233" s="441"/>
    </row>
    <row r="234" hidden="1" outlineLevel="1">
      <c r="A234" s="546" t="s">
        <v>759</v>
      </c>
      <c r="B234" s="547">
        <f t="shared" ref="B234:H234" si="128">(B231+B232)/2+B233</f>
        <v>13.5</v>
      </c>
      <c r="C234" s="547">
        <f t="shared" si="128"/>
        <v>18.5</v>
      </c>
      <c r="D234" s="547">
        <f t="shared" si="128"/>
        <v>23.5</v>
      </c>
      <c r="E234" s="547">
        <f t="shared" si="128"/>
        <v>29.5</v>
      </c>
      <c r="F234" s="547">
        <f t="shared" si="128"/>
        <v>35.5</v>
      </c>
      <c r="G234" s="547">
        <f t="shared" si="128"/>
        <v>42.5</v>
      </c>
      <c r="H234" s="547">
        <f t="shared" si="128"/>
        <v>50</v>
      </c>
      <c r="I234" s="548"/>
      <c r="J234" s="549"/>
      <c r="K234" s="549"/>
      <c r="L234" s="550"/>
      <c r="M234" s="549"/>
      <c r="N234" s="526" t="str">
        <f t="shared" si="127"/>
        <v>#REF!</v>
      </c>
      <c r="O234" s="526"/>
      <c r="P234" s="526"/>
      <c r="Q234" s="529"/>
      <c r="R234" s="526"/>
      <c r="S234" s="553"/>
      <c r="T234" s="554"/>
      <c r="U234" s="554"/>
      <c r="V234" s="438"/>
      <c r="W234" s="438"/>
      <c r="X234" s="467"/>
      <c r="Y234" s="467"/>
      <c r="Z234" s="467"/>
      <c r="AA234" s="467"/>
      <c r="AB234" s="467"/>
      <c r="AC234" s="438"/>
      <c r="AD234" s="438"/>
      <c r="AE234" s="441"/>
      <c r="AF234" s="441"/>
      <c r="AG234" s="441"/>
      <c r="AH234" s="441"/>
      <c r="AI234" s="441"/>
      <c r="AJ234" s="441"/>
      <c r="AK234" s="441"/>
      <c r="AL234" s="441"/>
      <c r="AM234" s="441"/>
      <c r="AN234" s="441"/>
      <c r="AO234" s="441"/>
      <c r="AP234" s="441"/>
      <c r="AQ234" s="441"/>
      <c r="AR234" s="441"/>
      <c r="AS234" s="441"/>
      <c r="AT234" s="441"/>
      <c r="AU234" s="441"/>
      <c r="AV234" s="441"/>
      <c r="AW234" s="441"/>
      <c r="AX234" s="441"/>
      <c r="AY234" s="441"/>
      <c r="AZ234" s="441"/>
      <c r="BA234" s="441"/>
      <c r="BB234" s="441"/>
      <c r="BC234" s="441"/>
      <c r="BD234" s="441"/>
      <c r="BE234" s="441"/>
      <c r="BF234" s="441"/>
    </row>
    <row r="235" hidden="1" outlineLevel="1">
      <c r="A235" s="546" t="s">
        <v>760</v>
      </c>
      <c r="B235" s="555"/>
      <c r="C235" s="555">
        <f t="shared" ref="C235:H235" si="129">C234/B234-1</f>
        <v>0.3703703704</v>
      </c>
      <c r="D235" s="555">
        <f t="shared" si="129"/>
        <v>0.2702702703</v>
      </c>
      <c r="E235" s="555">
        <f t="shared" si="129"/>
        <v>0.2553191489</v>
      </c>
      <c r="F235" s="555">
        <f t="shared" si="129"/>
        <v>0.2033898305</v>
      </c>
      <c r="G235" s="555">
        <f t="shared" si="129"/>
        <v>0.1971830986</v>
      </c>
      <c r="H235" s="555">
        <f t="shared" si="129"/>
        <v>0.1764705882</v>
      </c>
      <c r="I235" s="548"/>
      <c r="J235" s="549"/>
      <c r="K235" s="549"/>
      <c r="L235" s="550"/>
      <c r="M235" s="549"/>
      <c r="N235" s="526" t="str">
        <f t="shared" si="127"/>
        <v>#REF!</v>
      </c>
      <c r="O235" s="526"/>
      <c r="P235" s="526"/>
      <c r="Q235" s="529"/>
      <c r="R235" s="526"/>
      <c r="S235" s="553"/>
      <c r="T235" s="554"/>
      <c r="U235" s="554"/>
      <c r="V235" s="438"/>
      <c r="W235" s="438"/>
      <c r="X235" s="467"/>
      <c r="Y235" s="467"/>
      <c r="Z235" s="467"/>
      <c r="AA235" s="467"/>
      <c r="AB235" s="467"/>
      <c r="AC235" s="438"/>
      <c r="AD235" s="438"/>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1"/>
      <c r="AZ235" s="441"/>
      <c r="BA235" s="441"/>
      <c r="BB235" s="441"/>
      <c r="BC235" s="441"/>
      <c r="BD235" s="441"/>
      <c r="BE235" s="441"/>
      <c r="BF235" s="441"/>
    </row>
    <row r="236" hidden="1" outlineLevel="1">
      <c r="A236" s="546" t="s">
        <v>761</v>
      </c>
      <c r="B236" s="547">
        <f>$K230</f>
        <v>5</v>
      </c>
      <c r="C236" s="547"/>
      <c r="D236" s="555"/>
      <c r="E236" s="555"/>
      <c r="F236" s="555"/>
      <c r="G236" s="555"/>
      <c r="H236" s="555"/>
      <c r="I236" s="548"/>
      <c r="J236" s="549"/>
      <c r="K236" s="549"/>
      <c r="L236" s="550"/>
      <c r="M236" s="549"/>
      <c r="N236" s="526" t="str">
        <f t="shared" si="127"/>
        <v>#REF!</v>
      </c>
      <c r="O236" s="526"/>
      <c r="P236" s="526"/>
      <c r="Q236" s="529"/>
      <c r="R236" s="526"/>
      <c r="S236" s="553"/>
      <c r="T236" s="554"/>
      <c r="U236" s="554"/>
      <c r="V236" s="438"/>
      <c r="W236" s="438"/>
      <c r="X236" s="467"/>
      <c r="Y236" s="467"/>
      <c r="Z236" s="467"/>
      <c r="AA236" s="467"/>
      <c r="AB236" s="467"/>
      <c r="AC236" s="438"/>
      <c r="AD236" s="438"/>
      <c r="AE236" s="441"/>
      <c r="AF236" s="441"/>
      <c r="AG236" s="441"/>
      <c r="AH236" s="441"/>
      <c r="AI236" s="441"/>
      <c r="AJ236" s="441"/>
      <c r="AK236" s="441"/>
      <c r="AL236" s="441"/>
      <c r="AM236" s="441"/>
      <c r="AN236" s="441"/>
      <c r="AO236" s="441"/>
      <c r="AP236" s="441"/>
      <c r="AQ236" s="441"/>
      <c r="AR236" s="441"/>
      <c r="AS236" s="441"/>
      <c r="AT236" s="441"/>
      <c r="AU236" s="441"/>
      <c r="AV236" s="441"/>
      <c r="AW236" s="441"/>
      <c r="AX236" s="441"/>
      <c r="AY236" s="441"/>
      <c r="AZ236" s="441"/>
      <c r="BA236" s="441"/>
      <c r="BB236" s="441"/>
      <c r="BC236" s="441"/>
      <c r="BD236" s="441"/>
      <c r="BE236" s="441"/>
      <c r="BF236" s="441"/>
    </row>
    <row r="237" hidden="1" outlineLevel="1">
      <c r="A237" s="546" t="s">
        <v>762</v>
      </c>
      <c r="B237" s="556">
        <f t="shared" ref="B237:H237" si="130">B234/$B236</f>
        <v>2.7</v>
      </c>
      <c r="C237" s="556">
        <f t="shared" si="130"/>
        <v>3.7</v>
      </c>
      <c r="D237" s="556">
        <f t="shared" si="130"/>
        <v>4.7</v>
      </c>
      <c r="E237" s="556">
        <f t="shared" si="130"/>
        <v>5.9</v>
      </c>
      <c r="F237" s="556">
        <f t="shared" si="130"/>
        <v>7.1</v>
      </c>
      <c r="G237" s="556">
        <f t="shared" si="130"/>
        <v>8.5</v>
      </c>
      <c r="H237" s="556">
        <f t="shared" si="130"/>
        <v>10</v>
      </c>
      <c r="I237" s="548"/>
      <c r="J237" s="549"/>
      <c r="K237" s="549"/>
      <c r="L237" s="550"/>
      <c r="M237" s="549"/>
      <c r="N237" s="526" t="str">
        <f t="shared" si="127"/>
        <v>#REF!</v>
      </c>
      <c r="O237" s="526"/>
      <c r="P237" s="526"/>
      <c r="Q237" s="529"/>
      <c r="R237" s="526"/>
      <c r="S237" s="557"/>
      <c r="T237" s="558"/>
      <c r="U237" s="558"/>
      <c r="V237" s="438"/>
      <c r="W237" s="438"/>
      <c r="X237" s="467"/>
      <c r="Y237" s="467"/>
      <c r="Z237" s="467"/>
      <c r="AA237" s="467"/>
      <c r="AB237" s="467"/>
      <c r="AC237" s="438"/>
      <c r="AD237" s="438"/>
      <c r="AE237" s="441"/>
      <c r="AF237" s="441"/>
      <c r="AG237" s="441"/>
      <c r="AH237" s="441"/>
      <c r="AI237" s="441"/>
      <c r="AJ237" s="441"/>
      <c r="AK237" s="441"/>
      <c r="AL237" s="441"/>
      <c r="AM237" s="441"/>
      <c r="AN237" s="441"/>
      <c r="AO237" s="441"/>
      <c r="AP237" s="441"/>
      <c r="AQ237" s="441"/>
      <c r="AR237" s="441"/>
      <c r="AS237" s="441"/>
      <c r="AT237" s="441"/>
      <c r="AU237" s="441"/>
      <c r="AV237" s="441"/>
      <c r="AW237" s="441"/>
      <c r="AX237" s="441"/>
      <c r="AY237" s="441"/>
      <c r="AZ237" s="441"/>
      <c r="BA237" s="441"/>
      <c r="BB237" s="441"/>
      <c r="BC237" s="441"/>
      <c r="BD237" s="441"/>
      <c r="BE237" s="441"/>
      <c r="BF237" s="441"/>
    </row>
    <row r="238" ht="15.75" customHeight="1" collapsed="1">
      <c r="A238" s="559"/>
      <c r="B238" s="560"/>
      <c r="C238" s="560"/>
      <c r="D238" s="560"/>
      <c r="E238" s="560"/>
      <c r="F238" s="560"/>
      <c r="G238" s="560"/>
      <c r="H238" s="561" t="s">
        <v>965</v>
      </c>
      <c r="I238" s="560"/>
      <c r="J238" s="560"/>
      <c r="K238" s="560"/>
      <c r="L238" s="560"/>
      <c r="M238" s="560"/>
      <c r="N238" s="560"/>
      <c r="O238" s="560"/>
      <c r="P238" s="560"/>
      <c r="Q238" s="560"/>
      <c r="R238" s="562"/>
      <c r="S238" s="436"/>
      <c r="T238" s="467"/>
      <c r="U238" s="467"/>
      <c r="V238" s="438"/>
      <c r="W238" s="438"/>
      <c r="X238" s="467"/>
      <c r="Y238" s="467"/>
      <c r="Z238" s="467"/>
      <c r="AA238" s="467"/>
      <c r="AB238" s="467"/>
      <c r="AC238" s="438"/>
      <c r="AD238" s="438"/>
      <c r="AE238" s="441"/>
      <c r="AF238" s="497" t="s">
        <v>966</v>
      </c>
      <c r="AG238" s="497">
        <f t="shared" ref="AG238:AL238" si="131">$AG$287+AG247*$AH$287+AG255*$AI$287</f>
        <v>59</v>
      </c>
      <c r="AH238" s="497">
        <f t="shared" si="131"/>
        <v>68</v>
      </c>
      <c r="AI238" s="497">
        <f t="shared" si="131"/>
        <v>80</v>
      </c>
      <c r="AJ238" s="497">
        <f t="shared" si="131"/>
        <v>89</v>
      </c>
      <c r="AK238" s="497">
        <f t="shared" si="131"/>
        <v>98</v>
      </c>
      <c r="AL238" s="497">
        <f t="shared" si="131"/>
        <v>104</v>
      </c>
      <c r="AM238" s="441"/>
      <c r="AN238" s="441"/>
      <c r="AO238" s="441"/>
      <c r="AP238" s="441"/>
      <c r="AQ238" s="441"/>
      <c r="AR238" s="441"/>
      <c r="AS238" s="441"/>
      <c r="AT238" s="441"/>
      <c r="AU238" s="441"/>
      <c r="AV238" s="441"/>
      <c r="AW238" s="441"/>
      <c r="AX238" s="441"/>
      <c r="AY238" s="441"/>
      <c r="AZ238" s="441"/>
      <c r="BA238" s="441"/>
      <c r="BB238" s="441"/>
      <c r="BC238" s="441"/>
      <c r="BD238" s="441"/>
      <c r="BE238" s="441"/>
      <c r="BF238" s="441"/>
    </row>
    <row r="239" ht="15.75" customHeight="1">
      <c r="A239" s="563" t="s">
        <v>967</v>
      </c>
      <c r="B239" s="564" t="s">
        <v>748</v>
      </c>
      <c r="C239" s="565" t="s">
        <v>773</v>
      </c>
      <c r="D239" s="565" t="s">
        <v>889</v>
      </c>
      <c r="E239" s="565" t="s">
        <v>797</v>
      </c>
      <c r="F239" s="565" t="s">
        <v>890</v>
      </c>
      <c r="G239" s="565" t="s">
        <v>891</v>
      </c>
      <c r="H239" s="565" t="s">
        <v>892</v>
      </c>
      <c r="I239" s="566" t="s">
        <v>754</v>
      </c>
      <c r="J239" s="567">
        <v>0.0</v>
      </c>
      <c r="K239" s="567">
        <v>2.0</v>
      </c>
      <c r="L239" s="568">
        <f>VLOOKUP(A239,'Плотник'!B172:G177,6,FALSE)</f>
        <v>0.3</v>
      </c>
      <c r="M239" s="569" t="s">
        <v>968</v>
      </c>
      <c r="N239" s="565">
        <f>VLOOKUP(A239,'Плотник'!B172:G177,4,FALSE)</f>
        <v>5</v>
      </c>
      <c r="O239" s="569">
        <v>5.0</v>
      </c>
      <c r="P239" s="569" t="s">
        <v>804</v>
      </c>
      <c r="Q239" s="570"/>
      <c r="R239" s="569" t="s">
        <v>969</v>
      </c>
      <c r="S239" s="454">
        <v>0.0</v>
      </c>
      <c r="T239" s="467"/>
      <c r="U239" s="467"/>
      <c r="V239" s="438"/>
      <c r="W239" s="438"/>
      <c r="X239" s="440">
        <v>28.0</v>
      </c>
      <c r="Y239" s="440">
        <v>30.0</v>
      </c>
      <c r="Z239" s="440">
        <v>32.0</v>
      </c>
      <c r="AA239" s="440">
        <v>34.0</v>
      </c>
      <c r="AB239" s="440">
        <v>36.0</v>
      </c>
      <c r="AC239" s="440">
        <v>38.0</v>
      </c>
      <c r="AD239" s="440">
        <v>40.0</v>
      </c>
      <c r="AE239" s="441"/>
      <c r="AF239" s="497" t="s">
        <v>970</v>
      </c>
      <c r="AG239" s="497">
        <f t="shared" ref="AG239:AL239" si="132">$AG$279+AG255*$AI$279+AG247*$AH$279</f>
        <v>48</v>
      </c>
      <c r="AH239" s="497">
        <f t="shared" si="132"/>
        <v>56</v>
      </c>
      <c r="AI239" s="497">
        <f t="shared" si="132"/>
        <v>66</v>
      </c>
      <c r="AJ239" s="497">
        <f t="shared" si="132"/>
        <v>74</v>
      </c>
      <c r="AK239" s="497">
        <f t="shared" si="132"/>
        <v>82</v>
      </c>
      <c r="AL239" s="497">
        <f t="shared" si="132"/>
        <v>88</v>
      </c>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row>
    <row r="240" ht="15.75" hidden="1" customHeight="1" outlineLevel="1">
      <c r="A240" s="571" t="s">
        <v>756</v>
      </c>
      <c r="B240" s="572">
        <v>1.0</v>
      </c>
      <c r="C240" s="572">
        <v>1.0</v>
      </c>
      <c r="D240" s="572">
        <v>1.0</v>
      </c>
      <c r="E240" s="572">
        <v>1.0</v>
      </c>
      <c r="F240" s="572">
        <v>1.0</v>
      </c>
      <c r="G240" s="572">
        <v>1.0</v>
      </c>
      <c r="H240" s="572">
        <v>1.0</v>
      </c>
      <c r="I240" s="566"/>
      <c r="J240" s="567"/>
      <c r="K240" s="567"/>
      <c r="L240" s="568" t="str">
        <f>VLOOKUP(A240,'Кузнец'!$B$145:$J$193,9,FALSE)</f>
        <v>#N/A</v>
      </c>
      <c r="M240" s="565"/>
      <c r="N240" s="565" t="str">
        <f>VLOOKUP(A240,'Кузнец'!$B$145:$J$193,4,FALSE)</f>
        <v>#N/A</v>
      </c>
      <c r="O240" s="565"/>
      <c r="P240" s="565"/>
      <c r="Q240" s="570"/>
      <c r="R240" s="565"/>
      <c r="S240" s="454">
        <v>0.0</v>
      </c>
      <c r="T240" s="467"/>
      <c r="U240" s="467"/>
      <c r="V240" s="438"/>
      <c r="W240" s="438"/>
      <c r="X240" s="467"/>
      <c r="Y240" s="467"/>
      <c r="Z240" s="467"/>
      <c r="AA240" s="467"/>
      <c r="AB240" s="467"/>
      <c r="AC240" s="438"/>
      <c r="AD240" s="438"/>
      <c r="AE240" s="441"/>
      <c r="AF240" s="441"/>
      <c r="AG240" s="499"/>
      <c r="AH240" s="499"/>
      <c r="AI240" s="499"/>
      <c r="AJ240" s="499"/>
      <c r="AK240" s="499"/>
      <c r="AL240" s="499"/>
      <c r="AM240" s="441"/>
      <c r="AN240" s="441"/>
      <c r="AO240" s="441"/>
      <c r="AP240" s="441"/>
      <c r="AQ240" s="441"/>
      <c r="AR240" s="441"/>
      <c r="AS240" s="441"/>
      <c r="AT240" s="441"/>
      <c r="AU240" s="441"/>
      <c r="AV240" s="441"/>
      <c r="AW240" s="441"/>
      <c r="AX240" s="441"/>
      <c r="AY240" s="441"/>
      <c r="AZ240" s="441"/>
      <c r="BA240" s="441"/>
      <c r="BB240" s="441"/>
      <c r="BC240" s="441"/>
      <c r="BD240" s="441"/>
      <c r="BE240" s="441"/>
      <c r="BF240" s="441"/>
    </row>
    <row r="241" ht="15.75" hidden="1" customHeight="1" outlineLevel="1">
      <c r="A241" s="571" t="s">
        <v>757</v>
      </c>
      <c r="B241" s="573">
        <v>4.0</v>
      </c>
      <c r="C241" s="572">
        <v>6.0</v>
      </c>
      <c r="D241" s="572">
        <v>8.0</v>
      </c>
      <c r="E241" s="572">
        <v>8.0</v>
      </c>
      <c r="F241" s="572">
        <v>10.0</v>
      </c>
      <c r="G241" s="572">
        <v>10.0</v>
      </c>
      <c r="H241" s="572">
        <v>12.0</v>
      </c>
      <c r="I241" s="566"/>
      <c r="J241" s="567"/>
      <c r="K241" s="567"/>
      <c r="L241" s="568" t="str">
        <f>VLOOKUP(A241,'Кузнец'!$B$145:$J$193,9,FALSE)</f>
        <v>#N/A</v>
      </c>
      <c r="M241" s="565"/>
      <c r="N241" s="565" t="str">
        <f>VLOOKUP(A241,'Кузнец'!$B$145:$J$193,4,FALSE)</f>
        <v>#N/A</v>
      </c>
      <c r="O241" s="565"/>
      <c r="P241" s="565"/>
      <c r="Q241" s="570"/>
      <c r="R241" s="565"/>
      <c r="S241" s="454">
        <v>0.0</v>
      </c>
      <c r="T241" s="467"/>
      <c r="U241" s="467"/>
      <c r="V241" s="438"/>
      <c r="W241" s="438"/>
      <c r="X241" s="467"/>
      <c r="Y241" s="467"/>
      <c r="Z241" s="467"/>
      <c r="AA241" s="467"/>
      <c r="AB241" s="467"/>
      <c r="AC241" s="438"/>
      <c r="AD241" s="438"/>
      <c r="AE241" s="441"/>
      <c r="AF241" s="441"/>
      <c r="AG241" s="499"/>
      <c r="AH241" s="499"/>
      <c r="AI241" s="499"/>
      <c r="AJ241" s="499"/>
      <c r="AK241" s="499"/>
      <c r="AL241" s="499"/>
      <c r="AM241" s="441"/>
      <c r="AN241" s="441"/>
      <c r="AO241" s="441"/>
      <c r="AP241" s="441"/>
      <c r="AQ241" s="441"/>
      <c r="AR241" s="441"/>
      <c r="AS241" s="441"/>
      <c r="AT241" s="441"/>
      <c r="AU241" s="441"/>
      <c r="AV241" s="441"/>
      <c r="AW241" s="441"/>
      <c r="AX241" s="441"/>
      <c r="AY241" s="441"/>
      <c r="AZ241" s="441"/>
      <c r="BA241" s="441"/>
      <c r="BB241" s="441"/>
      <c r="BC241" s="441"/>
      <c r="BD241" s="441"/>
      <c r="BE241" s="441"/>
      <c r="BF241" s="441"/>
    </row>
    <row r="242" ht="15.75" hidden="1" customHeight="1" outlineLevel="1">
      <c r="A242" s="571" t="s">
        <v>758</v>
      </c>
      <c r="B242" s="572">
        <v>0.0</v>
      </c>
      <c r="C242" s="573">
        <v>0.0</v>
      </c>
      <c r="D242" s="573">
        <v>0.0</v>
      </c>
      <c r="E242" s="573">
        <v>2.0</v>
      </c>
      <c r="F242" s="573">
        <v>3.0</v>
      </c>
      <c r="G242" s="573">
        <v>6.0</v>
      </c>
      <c r="H242" s="573">
        <v>8.0</v>
      </c>
      <c r="I242" s="566"/>
      <c r="J242" s="567"/>
      <c r="K242" s="567"/>
      <c r="L242" s="568" t="str">
        <f>VLOOKUP(A242,'Кузнец'!$B$145:$J$193,9,FALSE)</f>
        <v>#N/A</v>
      </c>
      <c r="M242" s="565"/>
      <c r="N242" s="565" t="str">
        <f>VLOOKUP(A242,'Кузнец'!$B$145:$J$193,4,FALSE)</f>
        <v>#N/A</v>
      </c>
      <c r="O242" s="565"/>
      <c r="P242" s="565"/>
      <c r="Q242" s="570"/>
      <c r="R242" s="565"/>
      <c r="S242" s="454">
        <v>0.0</v>
      </c>
      <c r="T242" s="467"/>
      <c r="U242" s="467"/>
      <c r="V242" s="438"/>
      <c r="W242" s="438"/>
      <c r="X242" s="467"/>
      <c r="Y242" s="467"/>
      <c r="Z242" s="467"/>
      <c r="AA242" s="467"/>
      <c r="AB242" s="467"/>
      <c r="AC242" s="438"/>
      <c r="AD242" s="438"/>
      <c r="AE242" s="441"/>
      <c r="AF242" s="441"/>
      <c r="AG242" s="499"/>
      <c r="AH242" s="499"/>
      <c r="AI242" s="499"/>
      <c r="AJ242" s="499"/>
      <c r="AK242" s="499"/>
      <c r="AL242" s="499"/>
      <c r="AM242" s="441"/>
      <c r="AN242" s="441"/>
      <c r="AO242" s="441"/>
      <c r="AP242" s="441"/>
      <c r="AQ242" s="441"/>
      <c r="AR242" s="441"/>
      <c r="AS242" s="441"/>
      <c r="AT242" s="441"/>
      <c r="AU242" s="441"/>
      <c r="AV242" s="441"/>
      <c r="AW242" s="441"/>
      <c r="AX242" s="441"/>
      <c r="AY242" s="441"/>
      <c r="AZ242" s="441"/>
      <c r="BA242" s="441"/>
      <c r="BB242" s="441"/>
      <c r="BC242" s="441"/>
      <c r="BD242" s="441"/>
      <c r="BE242" s="441"/>
      <c r="BF242" s="441"/>
    </row>
    <row r="243" ht="15.75" hidden="1" customHeight="1" outlineLevel="1">
      <c r="A243" s="571" t="s">
        <v>759</v>
      </c>
      <c r="B243" s="572">
        <f t="shared" ref="B243:H243" si="133">(B240+B241)/2+B242</f>
        <v>2.5</v>
      </c>
      <c r="C243" s="572">
        <f t="shared" si="133"/>
        <v>3.5</v>
      </c>
      <c r="D243" s="572">
        <f t="shared" si="133"/>
        <v>4.5</v>
      </c>
      <c r="E243" s="572">
        <f t="shared" si="133"/>
        <v>6.5</v>
      </c>
      <c r="F243" s="572">
        <f t="shared" si="133"/>
        <v>8.5</v>
      </c>
      <c r="G243" s="572">
        <f t="shared" si="133"/>
        <v>11.5</v>
      </c>
      <c r="H243" s="572">
        <f t="shared" si="133"/>
        <v>14.5</v>
      </c>
      <c r="I243" s="566"/>
      <c r="J243" s="567"/>
      <c r="K243" s="567"/>
      <c r="L243" s="568" t="str">
        <f>VLOOKUP(A243,'Кузнец'!$B$145:$J$193,9,FALSE)</f>
        <v>#N/A</v>
      </c>
      <c r="M243" s="565"/>
      <c r="N243" s="565" t="str">
        <f>VLOOKUP(A243,'Кузнец'!$B$145:$J$193,4,FALSE)</f>
        <v>#N/A</v>
      </c>
      <c r="O243" s="565"/>
      <c r="P243" s="565"/>
      <c r="Q243" s="570"/>
      <c r="R243" s="565"/>
      <c r="S243" s="454">
        <v>0.0</v>
      </c>
      <c r="T243" s="467"/>
      <c r="U243" s="467"/>
      <c r="V243" s="438"/>
      <c r="W243" s="438"/>
      <c r="X243" s="467"/>
      <c r="Y243" s="467"/>
      <c r="Z243" s="467"/>
      <c r="AA243" s="467"/>
      <c r="AB243" s="467"/>
      <c r="AC243" s="438"/>
      <c r="AD243" s="438"/>
      <c r="AE243" s="441"/>
      <c r="AF243" s="441"/>
      <c r="AG243" s="499"/>
      <c r="AH243" s="499"/>
      <c r="AI243" s="499"/>
      <c r="AJ243" s="499"/>
      <c r="AK243" s="499"/>
      <c r="AL243" s="499"/>
      <c r="AM243" s="441"/>
      <c r="AN243" s="441"/>
      <c r="AO243" s="441"/>
      <c r="AP243" s="441"/>
      <c r="AQ243" s="441"/>
      <c r="AR243" s="441"/>
      <c r="AS243" s="441"/>
      <c r="AT243" s="441"/>
      <c r="AU243" s="441"/>
      <c r="AV243" s="441"/>
      <c r="AW243" s="441"/>
      <c r="AX243" s="441"/>
      <c r="AY243" s="441"/>
      <c r="AZ243" s="441"/>
      <c r="BA243" s="441"/>
      <c r="BB243" s="441"/>
      <c r="BC243" s="441"/>
      <c r="BD243" s="441"/>
      <c r="BE243" s="441"/>
      <c r="BF243" s="441"/>
    </row>
    <row r="244" ht="15.75" hidden="1" customHeight="1" outlineLevel="1">
      <c r="A244" s="571" t="s">
        <v>760</v>
      </c>
      <c r="B244" s="574"/>
      <c r="C244" s="574">
        <f t="shared" ref="C244:H244" si="134">C243/B243-1</f>
        <v>0.4</v>
      </c>
      <c r="D244" s="574">
        <f t="shared" si="134"/>
        <v>0.2857142857</v>
      </c>
      <c r="E244" s="574">
        <f t="shared" si="134"/>
        <v>0.4444444444</v>
      </c>
      <c r="F244" s="574">
        <f t="shared" si="134"/>
        <v>0.3076923077</v>
      </c>
      <c r="G244" s="574">
        <f t="shared" si="134"/>
        <v>0.3529411765</v>
      </c>
      <c r="H244" s="574">
        <f t="shared" si="134"/>
        <v>0.2608695652</v>
      </c>
      <c r="I244" s="566"/>
      <c r="J244" s="567"/>
      <c r="K244" s="567"/>
      <c r="L244" s="568" t="str">
        <f>VLOOKUP(A244,'Кузнец'!$B$145:$J$193,9,FALSE)</f>
        <v>#N/A</v>
      </c>
      <c r="M244" s="565"/>
      <c r="N244" s="565" t="str">
        <f>VLOOKUP(A244,'Кузнец'!$B$145:$J$193,4,FALSE)</f>
        <v>#N/A</v>
      </c>
      <c r="O244" s="565"/>
      <c r="P244" s="565"/>
      <c r="Q244" s="570"/>
      <c r="R244" s="565"/>
      <c r="S244" s="454">
        <v>0.0</v>
      </c>
      <c r="T244" s="467"/>
      <c r="U244" s="467"/>
      <c r="V244" s="438"/>
      <c r="W244" s="438"/>
      <c r="X244" s="467"/>
      <c r="Y244" s="467"/>
      <c r="Z244" s="467"/>
      <c r="AA244" s="467"/>
      <c r="AB244" s="467"/>
      <c r="AC244" s="438"/>
      <c r="AD244" s="438"/>
      <c r="AE244" s="441"/>
      <c r="AF244" s="441"/>
      <c r="AG244" s="499"/>
      <c r="AH244" s="499"/>
      <c r="AI244" s="499"/>
      <c r="AJ244" s="499"/>
      <c r="AK244" s="499"/>
      <c r="AL244" s="499"/>
      <c r="AM244" s="441"/>
      <c r="AN244" s="441"/>
      <c r="AO244" s="441"/>
      <c r="AP244" s="441"/>
      <c r="AQ244" s="441"/>
      <c r="AR244" s="441"/>
      <c r="AS244" s="441"/>
      <c r="AT244" s="441"/>
      <c r="AU244" s="441"/>
      <c r="AV244" s="441"/>
      <c r="AW244" s="441"/>
      <c r="AX244" s="441"/>
      <c r="AY244" s="441"/>
      <c r="AZ244" s="441"/>
      <c r="BA244" s="441"/>
      <c r="BB244" s="441"/>
      <c r="BC244" s="441"/>
      <c r="BD244" s="441"/>
      <c r="BE244" s="441"/>
      <c r="BF244" s="441"/>
    </row>
    <row r="245" ht="15.75" hidden="1" customHeight="1" outlineLevel="1">
      <c r="A245" s="571" t="s">
        <v>761</v>
      </c>
      <c r="B245" s="572">
        <v>2.0</v>
      </c>
      <c r="C245" s="572"/>
      <c r="D245" s="574"/>
      <c r="E245" s="574"/>
      <c r="F245" s="574"/>
      <c r="G245" s="574"/>
      <c r="H245" s="574"/>
      <c r="I245" s="566"/>
      <c r="J245" s="567"/>
      <c r="K245" s="567"/>
      <c r="L245" s="568" t="str">
        <f>VLOOKUP(A245,'Кузнец'!$B$145:$J$193,9,FALSE)</f>
        <v>#N/A</v>
      </c>
      <c r="M245" s="565"/>
      <c r="N245" s="565" t="str">
        <f>VLOOKUP(A245,'Кузнец'!$B$145:$J$193,4,FALSE)</f>
        <v>#N/A</v>
      </c>
      <c r="O245" s="565"/>
      <c r="P245" s="565"/>
      <c r="Q245" s="570"/>
      <c r="R245" s="565"/>
      <c r="S245" s="454">
        <v>0.0</v>
      </c>
      <c r="T245" s="467"/>
      <c r="U245" s="467"/>
      <c r="V245" s="438"/>
      <c r="W245" s="438"/>
      <c r="X245" s="467"/>
      <c r="Y245" s="467"/>
      <c r="Z245" s="467"/>
      <c r="AA245" s="467"/>
      <c r="AB245" s="467"/>
      <c r="AC245" s="438"/>
      <c r="AD245" s="438"/>
      <c r="AE245" s="441"/>
      <c r="AF245" s="441"/>
      <c r="AG245" s="499"/>
      <c r="AH245" s="499"/>
      <c r="AI245" s="499"/>
      <c r="AJ245" s="499"/>
      <c r="AK245" s="499"/>
      <c r="AL245" s="499"/>
      <c r="AM245" s="441"/>
      <c r="AN245" s="441"/>
      <c r="AO245" s="441"/>
      <c r="AP245" s="441"/>
      <c r="AQ245" s="441"/>
      <c r="AR245" s="441"/>
      <c r="AS245" s="441"/>
      <c r="AT245" s="441"/>
      <c r="AU245" s="441"/>
      <c r="AV245" s="441"/>
      <c r="AW245" s="441"/>
      <c r="AX245" s="441"/>
      <c r="AY245" s="441"/>
      <c r="AZ245" s="441"/>
      <c r="BA245" s="441"/>
      <c r="BB245" s="441"/>
      <c r="BC245" s="441"/>
      <c r="BD245" s="441"/>
      <c r="BE245" s="441"/>
      <c r="BF245" s="441"/>
    </row>
    <row r="246" ht="15.75" hidden="1" customHeight="1" outlineLevel="1">
      <c r="A246" s="571" t="s">
        <v>762</v>
      </c>
      <c r="B246" s="572">
        <f t="shared" ref="B246:H246" si="135">B243/$B245</f>
        <v>1.25</v>
      </c>
      <c r="C246" s="572">
        <f t="shared" si="135"/>
        <v>1.75</v>
      </c>
      <c r="D246" s="572">
        <f t="shared" si="135"/>
        <v>2.25</v>
      </c>
      <c r="E246" s="572">
        <f t="shared" si="135"/>
        <v>3.25</v>
      </c>
      <c r="F246" s="572">
        <f t="shared" si="135"/>
        <v>4.25</v>
      </c>
      <c r="G246" s="572">
        <f t="shared" si="135"/>
        <v>5.75</v>
      </c>
      <c r="H246" s="572">
        <f t="shared" si="135"/>
        <v>7.25</v>
      </c>
      <c r="I246" s="566"/>
      <c r="J246" s="567"/>
      <c r="K246" s="567"/>
      <c r="L246" s="568" t="str">
        <f>VLOOKUP(A246,'Кузнец'!$B$145:$J$193,9,FALSE)</f>
        <v>#N/A</v>
      </c>
      <c r="M246" s="565"/>
      <c r="N246" s="565" t="str">
        <f>VLOOKUP(A246,'Кузнец'!$B$145:$J$193,4,FALSE)</f>
        <v>#N/A</v>
      </c>
      <c r="O246" s="565"/>
      <c r="P246" s="565"/>
      <c r="Q246" s="570"/>
      <c r="R246" s="565"/>
      <c r="S246" s="454">
        <v>0.0</v>
      </c>
      <c r="T246" s="467"/>
      <c r="U246" s="467"/>
      <c r="V246" s="438"/>
      <c r="W246" s="438"/>
      <c r="X246" s="467"/>
      <c r="Y246" s="467"/>
      <c r="Z246" s="467"/>
      <c r="AA246" s="467"/>
      <c r="AB246" s="467"/>
      <c r="AC246" s="438"/>
      <c r="AD246" s="438"/>
      <c r="AE246" s="441"/>
      <c r="AF246" s="441"/>
      <c r="AG246" s="499"/>
      <c r="AH246" s="499"/>
      <c r="AI246" s="499"/>
      <c r="AJ246" s="499"/>
      <c r="AK246" s="499"/>
      <c r="AL246" s="499"/>
      <c r="AM246" s="441"/>
      <c r="AN246" s="441"/>
      <c r="AO246" s="441"/>
      <c r="AP246" s="441"/>
      <c r="AQ246" s="441"/>
      <c r="AR246" s="441"/>
      <c r="AS246" s="441"/>
      <c r="AT246" s="441"/>
      <c r="AU246" s="441"/>
      <c r="AV246" s="441"/>
      <c r="AW246" s="441"/>
      <c r="AX246" s="441"/>
      <c r="AY246" s="441"/>
      <c r="AZ246" s="441"/>
      <c r="BA246" s="441"/>
      <c r="BB246" s="441"/>
      <c r="BC246" s="441"/>
      <c r="BD246" s="441"/>
      <c r="BE246" s="441"/>
      <c r="BF246" s="441"/>
    </row>
    <row r="247" collapsed="1">
      <c r="A247" s="575" t="s">
        <v>971</v>
      </c>
      <c r="B247" s="569" t="s">
        <v>773</v>
      </c>
      <c r="C247" s="565" t="s">
        <v>924</v>
      </c>
      <c r="D247" s="565" t="s">
        <v>972</v>
      </c>
      <c r="E247" s="565" t="s">
        <v>973</v>
      </c>
      <c r="F247" s="565" t="s">
        <v>871</v>
      </c>
      <c r="G247" s="565" t="s">
        <v>974</v>
      </c>
      <c r="H247" s="565" t="s">
        <v>975</v>
      </c>
      <c r="I247" s="566" t="s">
        <v>754</v>
      </c>
      <c r="J247" s="565">
        <v>1.0</v>
      </c>
      <c r="K247" s="565">
        <v>2.0</v>
      </c>
      <c r="L247" s="568">
        <f>VLOOKUP(A247,'Кузнец'!$B$145:$J$193,9,FALSE)</f>
        <v>0.67</v>
      </c>
      <c r="M247" s="569" t="s">
        <v>976</v>
      </c>
      <c r="N247" s="565">
        <f>VLOOKUP(A247,'Кузнец'!$B$145:$J$193,4,FALSE)</f>
        <v>4</v>
      </c>
      <c r="O247" s="565">
        <v>14.0</v>
      </c>
      <c r="P247" s="569" t="s">
        <v>804</v>
      </c>
      <c r="Q247" s="565"/>
      <c r="R247" s="569" t="s">
        <v>977</v>
      </c>
      <c r="S247" s="454">
        <v>0.0</v>
      </c>
      <c r="T247" s="467"/>
      <c r="U247" s="467"/>
      <c r="V247" s="463">
        <v>1.0</v>
      </c>
      <c r="W247" s="438"/>
      <c r="X247" s="440">
        <v>22.0</v>
      </c>
      <c r="Y247" s="440">
        <v>24.0</v>
      </c>
      <c r="Z247" s="440">
        <v>26.0</v>
      </c>
      <c r="AA247" s="440">
        <v>28.0</v>
      </c>
      <c r="AB247" s="440">
        <v>30.0</v>
      </c>
      <c r="AC247" s="440">
        <v>32.0</v>
      </c>
      <c r="AD247" s="440">
        <v>34.0</v>
      </c>
      <c r="AE247" s="441"/>
      <c r="AF247" s="498" t="s">
        <v>49</v>
      </c>
      <c r="AG247" s="499">
        <v>4.0</v>
      </c>
      <c r="AH247" s="499">
        <v>5.0</v>
      </c>
      <c r="AI247" s="499">
        <v>6.0</v>
      </c>
      <c r="AJ247" s="499">
        <v>7.0</v>
      </c>
      <c r="AK247" s="499">
        <v>8.0</v>
      </c>
      <c r="AL247" s="499">
        <v>9.0</v>
      </c>
      <c r="AM247" s="441"/>
      <c r="AN247" s="441"/>
      <c r="AO247" s="441"/>
      <c r="AP247" s="441"/>
      <c r="AQ247" s="441"/>
      <c r="AR247" s="441"/>
      <c r="AS247" s="441"/>
      <c r="AT247" s="441"/>
      <c r="AU247" s="441"/>
      <c r="AV247" s="441"/>
      <c r="AW247" s="441"/>
      <c r="AX247" s="441"/>
      <c r="AY247" s="441"/>
      <c r="AZ247" s="441"/>
      <c r="BA247" s="441"/>
      <c r="BB247" s="441"/>
      <c r="BC247" s="441"/>
      <c r="BD247" s="441"/>
      <c r="BE247" s="441"/>
      <c r="BF247" s="441"/>
    </row>
    <row r="248" hidden="1" outlineLevel="1">
      <c r="A248" s="571" t="s">
        <v>756</v>
      </c>
      <c r="B248" s="572">
        <v>1.0</v>
      </c>
      <c r="C248" s="572">
        <v>1.0</v>
      </c>
      <c r="D248" s="572">
        <v>1.0</v>
      </c>
      <c r="E248" s="572">
        <v>1.0</v>
      </c>
      <c r="F248" s="572">
        <v>2.0</v>
      </c>
      <c r="G248" s="572">
        <v>2.0</v>
      </c>
      <c r="H248" s="572">
        <v>2.0</v>
      </c>
      <c r="I248" s="566"/>
      <c r="J248" s="565"/>
      <c r="K248" s="565"/>
      <c r="L248" s="568" t="str">
        <f>VLOOKUP(A248,'Кузнец'!$B$145:$J$193,9,FALSE)</f>
        <v>#N/A</v>
      </c>
      <c r="M248" s="565"/>
      <c r="N248" s="565" t="str">
        <f>VLOOKUP(A248,'Кузнец'!$B$145:$J$193,4,FALSE)</f>
        <v>#N/A</v>
      </c>
      <c r="O248" s="565"/>
      <c r="P248" s="565"/>
      <c r="Q248" s="565"/>
      <c r="R248" s="565"/>
      <c r="S248" s="454">
        <v>0.0</v>
      </c>
      <c r="T248" s="467"/>
      <c r="U248" s="467"/>
      <c r="V248" s="438"/>
      <c r="W248" s="438"/>
      <c r="X248" s="440"/>
      <c r="Y248" s="440"/>
      <c r="Z248" s="440"/>
      <c r="AA248" s="440"/>
      <c r="AB248" s="440"/>
      <c r="AC248" s="440"/>
      <c r="AD248" s="440"/>
      <c r="AE248" s="441"/>
      <c r="AF248" s="441"/>
      <c r="AG248" s="441"/>
      <c r="AH248" s="441"/>
      <c r="AI248" s="441"/>
      <c r="AJ248" s="441"/>
      <c r="AK248" s="441"/>
      <c r="AL248" s="441"/>
      <c r="AM248" s="441"/>
      <c r="AN248" s="441"/>
      <c r="AO248" s="441"/>
      <c r="AP248" s="441"/>
      <c r="AQ248" s="441"/>
      <c r="AR248" s="441"/>
      <c r="AS248" s="441"/>
      <c r="AT248" s="441"/>
      <c r="AU248" s="441"/>
      <c r="AV248" s="441"/>
      <c r="AW248" s="441"/>
      <c r="AX248" s="441"/>
      <c r="AY248" s="441"/>
      <c r="AZ248" s="441"/>
      <c r="BA248" s="441"/>
      <c r="BB248" s="441"/>
      <c r="BC248" s="441"/>
      <c r="BD248" s="441"/>
      <c r="BE248" s="441"/>
      <c r="BF248" s="441"/>
    </row>
    <row r="249" hidden="1" outlineLevel="1">
      <c r="A249" s="571" t="s">
        <v>757</v>
      </c>
      <c r="B249" s="572">
        <v>6.0</v>
      </c>
      <c r="C249" s="572">
        <v>8.0</v>
      </c>
      <c r="D249" s="572">
        <v>10.0</v>
      </c>
      <c r="E249" s="572">
        <v>12.0</v>
      </c>
      <c r="F249" s="572">
        <v>16.0</v>
      </c>
      <c r="G249" s="572">
        <v>20.0</v>
      </c>
      <c r="H249" s="572">
        <v>24.0</v>
      </c>
      <c r="I249" s="566"/>
      <c r="J249" s="565"/>
      <c r="K249" s="565"/>
      <c r="L249" s="568" t="str">
        <f>VLOOKUP(A249,'Кузнец'!$B$145:$J$193,9,FALSE)</f>
        <v>#N/A</v>
      </c>
      <c r="M249" s="565"/>
      <c r="N249" s="565" t="str">
        <f>VLOOKUP(A249,'Кузнец'!$B$145:$J$193,4,FALSE)</f>
        <v>#N/A</v>
      </c>
      <c r="O249" s="565"/>
      <c r="P249" s="565"/>
      <c r="Q249" s="565"/>
      <c r="R249" s="565"/>
      <c r="S249" s="454">
        <v>0.0</v>
      </c>
      <c r="T249" s="467"/>
      <c r="U249" s="467"/>
      <c r="V249" s="438"/>
      <c r="W249" s="438"/>
      <c r="X249" s="440"/>
      <c r="Y249" s="440"/>
      <c r="Z249" s="440"/>
      <c r="AA249" s="440"/>
      <c r="AB249" s="440"/>
      <c r="AC249" s="440"/>
      <c r="AD249" s="440"/>
      <c r="AE249" s="441"/>
      <c r="AF249" s="441"/>
      <c r="AG249" s="441"/>
      <c r="AH249" s="441"/>
      <c r="AI249" s="441"/>
      <c r="AJ249" s="441"/>
      <c r="AK249" s="441"/>
      <c r="AL249" s="441"/>
      <c r="AM249" s="441"/>
      <c r="AN249" s="441"/>
      <c r="AO249" s="441"/>
      <c r="AP249" s="441"/>
      <c r="AQ249" s="441"/>
      <c r="AR249" s="441"/>
      <c r="AS249" s="441"/>
      <c r="AT249" s="441"/>
      <c r="AU249" s="441"/>
      <c r="AV249" s="441"/>
      <c r="AW249" s="441"/>
      <c r="AX249" s="441"/>
      <c r="AY249" s="441"/>
      <c r="AZ249" s="441"/>
      <c r="BA249" s="441"/>
      <c r="BB249" s="441"/>
      <c r="BC249" s="441"/>
      <c r="BD249" s="441"/>
      <c r="BE249" s="441"/>
      <c r="BF249" s="441"/>
    </row>
    <row r="250" hidden="1" outlineLevel="1">
      <c r="A250" s="571" t="s">
        <v>758</v>
      </c>
      <c r="B250" s="572">
        <v>0.0</v>
      </c>
      <c r="C250" s="572">
        <v>1.0</v>
      </c>
      <c r="D250" s="572">
        <v>2.0</v>
      </c>
      <c r="E250" s="572">
        <v>4.0</v>
      </c>
      <c r="F250" s="572">
        <v>5.0</v>
      </c>
      <c r="G250" s="572">
        <v>7.0</v>
      </c>
      <c r="H250" s="572">
        <v>9.0</v>
      </c>
      <c r="I250" s="566"/>
      <c r="J250" s="565"/>
      <c r="K250" s="565"/>
      <c r="L250" s="568" t="str">
        <f>VLOOKUP(A250,'Кузнец'!$B$145:$J$193,9,FALSE)</f>
        <v>#N/A</v>
      </c>
      <c r="M250" s="565"/>
      <c r="N250" s="565" t="str">
        <f>VLOOKUP(A250,'Кузнец'!$B$145:$J$193,4,FALSE)</f>
        <v>#N/A</v>
      </c>
      <c r="O250" s="565"/>
      <c r="P250" s="565"/>
      <c r="Q250" s="565"/>
      <c r="R250" s="565"/>
      <c r="S250" s="454">
        <v>0.0</v>
      </c>
      <c r="T250" s="467"/>
      <c r="U250" s="467"/>
      <c r="V250" s="438"/>
      <c r="W250" s="438"/>
      <c r="X250" s="440"/>
      <c r="Y250" s="440"/>
      <c r="Z250" s="440"/>
      <c r="AA250" s="440"/>
      <c r="AB250" s="440"/>
      <c r="AC250" s="440"/>
      <c r="AD250" s="440"/>
      <c r="AE250" s="441"/>
      <c r="AF250" s="441"/>
      <c r="AG250" s="441"/>
      <c r="AH250" s="441"/>
      <c r="AI250" s="441"/>
      <c r="AJ250" s="441"/>
      <c r="AK250" s="441"/>
      <c r="AL250" s="441"/>
      <c r="AM250" s="441"/>
      <c r="AN250" s="441"/>
      <c r="AO250" s="441"/>
      <c r="AP250" s="441"/>
      <c r="AQ250" s="441"/>
      <c r="AR250" s="441"/>
      <c r="AS250" s="441"/>
      <c r="AT250" s="441"/>
      <c r="AU250" s="441"/>
      <c r="AV250" s="441"/>
      <c r="AW250" s="441"/>
      <c r="AX250" s="441"/>
      <c r="AY250" s="441"/>
      <c r="AZ250" s="441"/>
      <c r="BA250" s="441"/>
      <c r="BB250" s="441"/>
      <c r="BC250" s="441"/>
      <c r="BD250" s="441"/>
      <c r="BE250" s="441"/>
      <c r="BF250" s="441"/>
    </row>
    <row r="251" hidden="1" outlineLevel="1">
      <c r="A251" s="571" t="s">
        <v>759</v>
      </c>
      <c r="B251" s="572">
        <f t="shared" ref="B251:H251" si="136">(B248+B249)/2+B250</f>
        <v>3.5</v>
      </c>
      <c r="C251" s="572">
        <f t="shared" si="136"/>
        <v>5.5</v>
      </c>
      <c r="D251" s="572">
        <f t="shared" si="136"/>
        <v>7.5</v>
      </c>
      <c r="E251" s="572">
        <f t="shared" si="136"/>
        <v>10.5</v>
      </c>
      <c r="F251" s="572">
        <f t="shared" si="136"/>
        <v>14</v>
      </c>
      <c r="G251" s="572">
        <f t="shared" si="136"/>
        <v>18</v>
      </c>
      <c r="H251" s="572">
        <f t="shared" si="136"/>
        <v>22</v>
      </c>
      <c r="I251" s="566"/>
      <c r="J251" s="565"/>
      <c r="K251" s="565"/>
      <c r="L251" s="568" t="str">
        <f>VLOOKUP(A251,'Кузнец'!$B$145:$J$193,9,FALSE)</f>
        <v>#N/A</v>
      </c>
      <c r="M251" s="565"/>
      <c r="N251" s="565" t="str">
        <f>VLOOKUP(A251,'Кузнец'!$B$145:$J$193,4,FALSE)</f>
        <v>#N/A</v>
      </c>
      <c r="O251" s="565"/>
      <c r="P251" s="565"/>
      <c r="Q251" s="565"/>
      <c r="R251" s="565"/>
      <c r="S251" s="454">
        <v>0.0</v>
      </c>
      <c r="T251" s="467"/>
      <c r="U251" s="467"/>
      <c r="V251" s="438"/>
      <c r="W251" s="438"/>
      <c r="X251" s="440"/>
      <c r="Y251" s="440"/>
      <c r="Z251" s="440"/>
      <c r="AA251" s="440"/>
      <c r="AB251" s="440"/>
      <c r="AC251" s="440"/>
      <c r="AD251" s="440"/>
      <c r="AE251" s="441"/>
      <c r="AF251" s="441"/>
      <c r="AG251" s="441"/>
      <c r="AH251" s="441"/>
      <c r="AI251" s="441"/>
      <c r="AJ251" s="441"/>
      <c r="AK251" s="441"/>
      <c r="AL251" s="441"/>
      <c r="AM251" s="441"/>
      <c r="AN251" s="441"/>
      <c r="AO251" s="441"/>
      <c r="AP251" s="441"/>
      <c r="AQ251" s="441"/>
      <c r="AR251" s="441"/>
      <c r="AS251" s="441"/>
      <c r="AT251" s="441"/>
      <c r="AU251" s="441"/>
      <c r="AV251" s="441"/>
      <c r="AW251" s="441"/>
      <c r="AX251" s="441"/>
      <c r="AY251" s="441"/>
      <c r="AZ251" s="441"/>
      <c r="BA251" s="441"/>
      <c r="BB251" s="441"/>
      <c r="BC251" s="441"/>
      <c r="BD251" s="441"/>
      <c r="BE251" s="441"/>
      <c r="BF251" s="441"/>
    </row>
    <row r="252" hidden="1" outlineLevel="1">
      <c r="A252" s="571" t="s">
        <v>760</v>
      </c>
      <c r="B252" s="574"/>
      <c r="C252" s="574">
        <f t="shared" ref="C252:H252" si="137">C251/B251-1</f>
        <v>0.5714285714</v>
      </c>
      <c r="D252" s="574">
        <f t="shared" si="137"/>
        <v>0.3636363636</v>
      </c>
      <c r="E252" s="574">
        <f t="shared" si="137"/>
        <v>0.4</v>
      </c>
      <c r="F252" s="574">
        <f t="shared" si="137"/>
        <v>0.3333333333</v>
      </c>
      <c r="G252" s="574">
        <f t="shared" si="137"/>
        <v>0.2857142857</v>
      </c>
      <c r="H252" s="574">
        <f t="shared" si="137"/>
        <v>0.2222222222</v>
      </c>
      <c r="I252" s="566"/>
      <c r="J252" s="565"/>
      <c r="K252" s="565"/>
      <c r="L252" s="568" t="str">
        <f>VLOOKUP(A252,'Кузнец'!$B$145:$J$193,9,FALSE)</f>
        <v>#N/A</v>
      </c>
      <c r="M252" s="565"/>
      <c r="N252" s="565" t="str">
        <f>VLOOKUP(A252,'Кузнец'!$B$145:$J$193,4,FALSE)</f>
        <v>#N/A</v>
      </c>
      <c r="O252" s="565"/>
      <c r="P252" s="565"/>
      <c r="Q252" s="565"/>
      <c r="R252" s="565"/>
      <c r="S252" s="454">
        <v>0.0</v>
      </c>
      <c r="T252" s="467"/>
      <c r="U252" s="467"/>
      <c r="V252" s="438"/>
      <c r="W252" s="438"/>
      <c r="X252" s="440"/>
      <c r="Y252" s="440"/>
      <c r="Z252" s="440"/>
      <c r="AA252" s="440"/>
      <c r="AB252" s="440"/>
      <c r="AC252" s="440"/>
      <c r="AD252" s="440"/>
      <c r="AE252" s="441"/>
      <c r="AF252" s="441"/>
      <c r="AG252" s="441"/>
      <c r="AH252" s="441"/>
      <c r="AI252" s="441"/>
      <c r="AJ252" s="441"/>
      <c r="AK252" s="441"/>
      <c r="AL252" s="441"/>
      <c r="AM252" s="441"/>
      <c r="AN252" s="441"/>
      <c r="AO252" s="441"/>
      <c r="AP252" s="441"/>
      <c r="AQ252" s="441"/>
      <c r="AR252" s="441"/>
      <c r="AS252" s="441"/>
      <c r="AT252" s="441"/>
      <c r="AU252" s="441"/>
      <c r="AV252" s="441"/>
      <c r="AW252" s="441"/>
      <c r="AX252" s="441"/>
      <c r="AY252" s="441"/>
      <c r="AZ252" s="441"/>
      <c r="BA252" s="441"/>
      <c r="BB252" s="441"/>
      <c r="BC252" s="441"/>
      <c r="BD252" s="441"/>
      <c r="BE252" s="441"/>
      <c r="BF252" s="441"/>
    </row>
    <row r="253" hidden="1" outlineLevel="1">
      <c r="A253" s="571" t="s">
        <v>761</v>
      </c>
      <c r="B253" s="572">
        <v>2.0</v>
      </c>
      <c r="C253" s="572"/>
      <c r="D253" s="574"/>
      <c r="E253" s="574"/>
      <c r="F253" s="574"/>
      <c r="G253" s="574"/>
      <c r="H253" s="574"/>
      <c r="I253" s="566"/>
      <c r="J253" s="565"/>
      <c r="K253" s="565"/>
      <c r="L253" s="568" t="str">
        <f>VLOOKUP(A253,'Кузнец'!$B$145:$J$193,9,FALSE)</f>
        <v>#N/A</v>
      </c>
      <c r="M253" s="565"/>
      <c r="N253" s="565" t="str">
        <f>VLOOKUP(A253,'Кузнец'!$B$145:$J$193,4,FALSE)</f>
        <v>#N/A</v>
      </c>
      <c r="O253" s="565"/>
      <c r="P253" s="565"/>
      <c r="Q253" s="565"/>
      <c r="R253" s="565"/>
      <c r="S253" s="454">
        <v>0.0</v>
      </c>
      <c r="T253" s="467"/>
      <c r="U253" s="467"/>
      <c r="V253" s="438"/>
      <c r="W253" s="438"/>
      <c r="X253" s="440"/>
      <c r="Y253" s="440"/>
      <c r="Z253" s="440"/>
      <c r="AA253" s="440"/>
      <c r="AB253" s="440"/>
      <c r="AC253" s="440"/>
      <c r="AD253" s="440"/>
      <c r="AE253" s="441"/>
      <c r="AF253" s="441"/>
      <c r="AG253" s="441"/>
      <c r="AH253" s="441"/>
      <c r="AI253" s="441"/>
      <c r="AJ253" s="441"/>
      <c r="AK253" s="441"/>
      <c r="AL253" s="441"/>
      <c r="AM253" s="441"/>
      <c r="AN253" s="441"/>
      <c r="AO253" s="441"/>
      <c r="AP253" s="441"/>
      <c r="AQ253" s="441"/>
      <c r="AR253" s="441"/>
      <c r="AS253" s="441"/>
      <c r="AT253" s="441"/>
      <c r="AU253" s="441"/>
      <c r="AV253" s="441"/>
      <c r="AW253" s="441"/>
      <c r="AX253" s="441"/>
      <c r="AY253" s="441"/>
      <c r="AZ253" s="441"/>
      <c r="BA253" s="441"/>
      <c r="BB253" s="441"/>
      <c r="BC253" s="441"/>
      <c r="BD253" s="441"/>
      <c r="BE253" s="441"/>
      <c r="BF253" s="441"/>
    </row>
    <row r="254" hidden="1" outlineLevel="1">
      <c r="A254" s="571" t="s">
        <v>762</v>
      </c>
      <c r="B254" s="572">
        <f t="shared" ref="B254:H254" si="138">B251/$B253</f>
        <v>1.75</v>
      </c>
      <c r="C254" s="572">
        <f t="shared" si="138"/>
        <v>2.75</v>
      </c>
      <c r="D254" s="572">
        <f t="shared" si="138"/>
        <v>3.75</v>
      </c>
      <c r="E254" s="572">
        <f t="shared" si="138"/>
        <v>5.25</v>
      </c>
      <c r="F254" s="572">
        <f t="shared" si="138"/>
        <v>7</v>
      </c>
      <c r="G254" s="572">
        <f t="shared" si="138"/>
        <v>9</v>
      </c>
      <c r="H254" s="572">
        <f t="shared" si="138"/>
        <v>11</v>
      </c>
      <c r="I254" s="566"/>
      <c r="J254" s="565"/>
      <c r="K254" s="565"/>
      <c r="L254" s="568" t="str">
        <f>VLOOKUP(A254,'Кузнец'!$B$145:$J$193,9,FALSE)</f>
        <v>#N/A</v>
      </c>
      <c r="M254" s="565"/>
      <c r="N254" s="565" t="str">
        <f>VLOOKUP(A254,'Кузнец'!$B$145:$J$193,4,FALSE)</f>
        <v>#N/A</v>
      </c>
      <c r="O254" s="565"/>
      <c r="P254" s="565"/>
      <c r="Q254" s="565"/>
      <c r="R254" s="565"/>
      <c r="S254" s="454">
        <v>0.0</v>
      </c>
      <c r="T254" s="467"/>
      <c r="U254" s="467"/>
      <c r="V254" s="438"/>
      <c r="W254" s="438"/>
      <c r="X254" s="440"/>
      <c r="Y254" s="440"/>
      <c r="Z254" s="440"/>
      <c r="AA254" s="440"/>
      <c r="AB254" s="440"/>
      <c r="AC254" s="440"/>
      <c r="AD254" s="440"/>
      <c r="AE254" s="441"/>
      <c r="AF254" s="441"/>
      <c r="AG254" s="441"/>
      <c r="AH254" s="441"/>
      <c r="AI254" s="441"/>
      <c r="AJ254" s="441"/>
      <c r="AK254" s="441"/>
      <c r="AL254" s="441"/>
      <c r="AM254" s="441"/>
      <c r="AN254" s="441"/>
      <c r="AO254" s="441"/>
      <c r="AP254" s="441"/>
      <c r="AQ254" s="441"/>
      <c r="AR254" s="441"/>
      <c r="AS254" s="441"/>
      <c r="AT254" s="441"/>
      <c r="AU254" s="441"/>
      <c r="AV254" s="441"/>
      <c r="AW254" s="441"/>
      <c r="AX254" s="441"/>
      <c r="AY254" s="441"/>
      <c r="AZ254" s="441"/>
      <c r="BA254" s="441"/>
      <c r="BB254" s="441"/>
      <c r="BC254" s="441"/>
      <c r="BD254" s="441"/>
      <c r="BE254" s="441"/>
      <c r="BF254" s="441"/>
    </row>
    <row r="255" ht="17.25" customHeight="1" collapsed="1">
      <c r="A255" s="563" t="s">
        <v>978</v>
      </c>
      <c r="B255" s="567" t="s">
        <v>797</v>
      </c>
      <c r="C255" s="567" t="s">
        <v>798</v>
      </c>
      <c r="D255" s="567" t="s">
        <v>799</v>
      </c>
      <c r="E255" s="567" t="s">
        <v>800</v>
      </c>
      <c r="F255" s="567" t="s">
        <v>801</v>
      </c>
      <c r="G255" s="567" t="s">
        <v>802</v>
      </c>
      <c r="H255" s="567" t="s">
        <v>803</v>
      </c>
      <c r="I255" s="566" t="s">
        <v>754</v>
      </c>
      <c r="J255" s="567">
        <v>0.0</v>
      </c>
      <c r="K255" s="567">
        <v>3.0</v>
      </c>
      <c r="L255" s="568">
        <f>VLOOKUP(A255,'Кузнец'!$B$145:$J$193,9,FALSE)</f>
        <v>2.07</v>
      </c>
      <c r="M255" s="569" t="s">
        <v>979</v>
      </c>
      <c r="N255" s="565">
        <f>VLOOKUP(A255,'Кузнец'!$B$145:$J$193,4,FALSE)</f>
        <v>7</v>
      </c>
      <c r="O255" s="565">
        <v>15.0</v>
      </c>
      <c r="P255" s="569" t="s">
        <v>804</v>
      </c>
      <c r="Q255" s="565"/>
      <c r="R255" s="569" t="s">
        <v>980</v>
      </c>
      <c r="S255" s="454">
        <v>0.0</v>
      </c>
      <c r="T255" s="467"/>
      <c r="U255" s="467"/>
      <c r="V255" s="438"/>
      <c r="W255" s="438"/>
      <c r="X255" s="440">
        <v>29.0</v>
      </c>
      <c r="Y255" s="440">
        <v>32.0</v>
      </c>
      <c r="Z255" s="440">
        <v>35.0</v>
      </c>
      <c r="AA255" s="440">
        <v>38.0</v>
      </c>
      <c r="AB255" s="440">
        <v>41.0</v>
      </c>
      <c r="AC255" s="440">
        <v>44.0</v>
      </c>
      <c r="AD255" s="440">
        <v>47.0</v>
      </c>
      <c r="AE255" s="441"/>
      <c r="AF255" s="499" t="s">
        <v>841</v>
      </c>
      <c r="AG255" s="499">
        <v>0.0</v>
      </c>
      <c r="AH255" s="499">
        <v>1.0</v>
      </c>
      <c r="AI255" s="499">
        <v>3.0</v>
      </c>
      <c r="AJ255" s="499">
        <v>4.0</v>
      </c>
      <c r="AK255" s="499">
        <v>5.0</v>
      </c>
      <c r="AL255" s="499">
        <v>5.0</v>
      </c>
      <c r="AM255" s="441"/>
      <c r="AN255" s="441"/>
      <c r="AO255" s="441"/>
      <c r="AP255" s="441"/>
      <c r="AQ255" s="441"/>
      <c r="AR255" s="441"/>
      <c r="AS255" s="441"/>
      <c r="AT255" s="441"/>
      <c r="AU255" s="441"/>
      <c r="AV255" s="441"/>
      <c r="AW255" s="441"/>
      <c r="AX255" s="441"/>
      <c r="AY255" s="441"/>
      <c r="AZ255" s="441"/>
      <c r="BA255" s="441"/>
      <c r="BB255" s="441"/>
      <c r="BC255" s="441"/>
      <c r="BD255" s="441"/>
      <c r="BE255" s="441"/>
      <c r="BF255" s="441"/>
    </row>
    <row r="256" ht="15.0" hidden="1" customHeight="1" outlineLevel="1">
      <c r="A256" s="571" t="s">
        <v>756</v>
      </c>
      <c r="B256" s="576">
        <v>1.0</v>
      </c>
      <c r="C256" s="576">
        <v>1.0</v>
      </c>
      <c r="D256" s="576">
        <v>1.0</v>
      </c>
      <c r="E256" s="576">
        <v>1.0</v>
      </c>
      <c r="F256" s="576">
        <v>1.0</v>
      </c>
      <c r="G256" s="576">
        <v>1.0</v>
      </c>
      <c r="H256" s="576">
        <v>3.0</v>
      </c>
      <c r="I256" s="566"/>
      <c r="J256" s="567"/>
      <c r="K256" s="567"/>
      <c r="L256" s="568" t="str">
        <f>VLOOKUP(A256,'Кузнец'!$B$145:$J$193,9,FALSE)</f>
        <v>#N/A</v>
      </c>
      <c r="M256" s="565"/>
      <c r="N256" s="565" t="str">
        <f>VLOOKUP(A256,'Кузнец'!$B$145:$J$193,4,FALSE)</f>
        <v>#N/A</v>
      </c>
      <c r="O256" s="565"/>
      <c r="P256" s="565"/>
      <c r="Q256" s="565"/>
      <c r="R256" s="565"/>
      <c r="S256" s="454">
        <v>0.0</v>
      </c>
      <c r="T256" s="467"/>
      <c r="U256" s="467"/>
      <c r="V256" s="438"/>
      <c r="W256" s="438"/>
      <c r="X256" s="440"/>
      <c r="Y256" s="440"/>
      <c r="Z256" s="440"/>
      <c r="AA256" s="440"/>
      <c r="AB256" s="440"/>
      <c r="AC256" s="440"/>
      <c r="AD256" s="440"/>
      <c r="AE256" s="441"/>
      <c r="AF256" s="441"/>
      <c r="AG256" s="441"/>
      <c r="AH256" s="441"/>
      <c r="AI256" s="441"/>
      <c r="AJ256" s="441"/>
      <c r="AK256" s="441"/>
      <c r="AL256" s="441"/>
      <c r="AM256" s="441"/>
      <c r="AN256" s="441"/>
      <c r="AO256" s="441"/>
      <c r="AP256" s="441"/>
      <c r="AQ256" s="441"/>
      <c r="AR256" s="441"/>
      <c r="AS256" s="441"/>
      <c r="AT256" s="441"/>
      <c r="AU256" s="441"/>
      <c r="AV256" s="441"/>
      <c r="AW256" s="441"/>
      <c r="AX256" s="441"/>
      <c r="AY256" s="441"/>
      <c r="AZ256" s="441"/>
      <c r="BA256" s="441"/>
      <c r="BB256" s="441"/>
      <c r="BC256" s="441"/>
      <c r="BD256" s="441"/>
      <c r="BE256" s="441"/>
      <c r="BF256" s="441"/>
    </row>
    <row r="257" ht="15.0" hidden="1" customHeight="1" outlineLevel="1">
      <c r="A257" s="571" t="s">
        <v>757</v>
      </c>
      <c r="B257" s="576">
        <v>8.0</v>
      </c>
      <c r="C257" s="576">
        <v>8.0</v>
      </c>
      <c r="D257" s="576">
        <v>10.0</v>
      </c>
      <c r="E257" s="576">
        <v>10.0</v>
      </c>
      <c r="F257" s="576">
        <v>12.0</v>
      </c>
      <c r="G257" s="576">
        <v>12.0</v>
      </c>
      <c r="H257" s="576">
        <v>18.0</v>
      </c>
      <c r="I257" s="566"/>
      <c r="J257" s="567"/>
      <c r="K257" s="567"/>
      <c r="L257" s="568" t="str">
        <f>VLOOKUP(A257,'Кузнец'!$B$145:$J$193,9,FALSE)</f>
        <v>#N/A</v>
      </c>
      <c r="M257" s="565"/>
      <c r="N257" s="565" t="str">
        <f>VLOOKUP(A257,'Кузнец'!$B$145:$J$193,4,FALSE)</f>
        <v>#N/A</v>
      </c>
      <c r="O257" s="565"/>
      <c r="P257" s="565"/>
      <c r="Q257" s="565"/>
      <c r="R257" s="565"/>
      <c r="S257" s="454">
        <v>0.0</v>
      </c>
      <c r="T257" s="467"/>
      <c r="U257" s="467"/>
      <c r="V257" s="438"/>
      <c r="W257" s="438"/>
      <c r="X257" s="440"/>
      <c r="Y257" s="440"/>
      <c r="Z257" s="440"/>
      <c r="AA257" s="440"/>
      <c r="AB257" s="440"/>
      <c r="AC257" s="440"/>
      <c r="AD257" s="440"/>
      <c r="AE257" s="441"/>
      <c r="AF257" s="441"/>
      <c r="AG257" s="441"/>
      <c r="AH257" s="441"/>
      <c r="AI257" s="441"/>
      <c r="AJ257" s="441"/>
      <c r="AK257" s="441"/>
      <c r="AL257" s="441"/>
      <c r="AM257" s="441"/>
      <c r="AN257" s="441"/>
      <c r="AO257" s="441"/>
      <c r="AP257" s="441"/>
      <c r="AQ257" s="441"/>
      <c r="AR257" s="441"/>
      <c r="AS257" s="441"/>
      <c r="AT257" s="441"/>
      <c r="AU257" s="441"/>
      <c r="AV257" s="441"/>
      <c r="AW257" s="441"/>
      <c r="AX257" s="441"/>
      <c r="AY257" s="441"/>
      <c r="AZ257" s="441"/>
      <c r="BA257" s="441"/>
      <c r="BB257" s="441"/>
      <c r="BC257" s="441"/>
      <c r="BD257" s="441"/>
      <c r="BE257" s="441"/>
      <c r="BF257" s="441"/>
    </row>
    <row r="258" ht="15.0" hidden="1" customHeight="1" outlineLevel="1">
      <c r="A258" s="571" t="s">
        <v>758</v>
      </c>
      <c r="B258" s="576">
        <v>2.0</v>
      </c>
      <c r="C258" s="576">
        <v>5.0</v>
      </c>
      <c r="D258" s="576">
        <v>7.0</v>
      </c>
      <c r="E258" s="576">
        <v>11.0</v>
      </c>
      <c r="F258" s="576">
        <v>14.0</v>
      </c>
      <c r="G258" s="576">
        <v>19.0</v>
      </c>
      <c r="H258" s="576">
        <v>21.0</v>
      </c>
      <c r="I258" s="566"/>
      <c r="J258" s="567"/>
      <c r="K258" s="567"/>
      <c r="L258" s="568" t="str">
        <f>VLOOKUP(A258,'Кузнец'!$B$145:$J$193,9,FALSE)</f>
        <v>#N/A</v>
      </c>
      <c r="M258" s="565"/>
      <c r="N258" s="565" t="str">
        <f>VLOOKUP(A258,'Кузнец'!$B$145:$J$193,4,FALSE)</f>
        <v>#N/A</v>
      </c>
      <c r="O258" s="565"/>
      <c r="P258" s="565"/>
      <c r="Q258" s="565"/>
      <c r="R258" s="565"/>
      <c r="S258" s="454">
        <v>0.0</v>
      </c>
      <c r="T258" s="467"/>
      <c r="U258" s="467"/>
      <c r="V258" s="438"/>
      <c r="W258" s="438"/>
      <c r="X258" s="440"/>
      <c r="Y258" s="440"/>
      <c r="Z258" s="440"/>
      <c r="AA258" s="440"/>
      <c r="AB258" s="440"/>
      <c r="AC258" s="440"/>
      <c r="AD258" s="440"/>
      <c r="AE258" s="441"/>
      <c r="AF258" s="441"/>
      <c r="AG258" s="441"/>
      <c r="AH258" s="441"/>
      <c r="AI258" s="441"/>
      <c r="AJ258" s="441"/>
      <c r="AK258" s="441"/>
      <c r="AL258" s="441"/>
      <c r="AM258" s="441"/>
      <c r="AN258" s="441"/>
      <c r="AO258" s="441"/>
      <c r="AP258" s="441"/>
      <c r="AQ258" s="441"/>
      <c r="AR258" s="441"/>
      <c r="AS258" s="441"/>
      <c r="AT258" s="441"/>
      <c r="AU258" s="441"/>
      <c r="AV258" s="441"/>
      <c r="AW258" s="441"/>
      <c r="AX258" s="441"/>
      <c r="AY258" s="441"/>
      <c r="AZ258" s="441"/>
      <c r="BA258" s="441"/>
      <c r="BB258" s="441"/>
      <c r="BC258" s="441"/>
      <c r="BD258" s="441"/>
      <c r="BE258" s="441"/>
      <c r="BF258" s="441"/>
    </row>
    <row r="259" ht="15.0" hidden="1" customHeight="1" outlineLevel="1">
      <c r="A259" s="571" t="s">
        <v>759</v>
      </c>
      <c r="B259" s="576">
        <f t="shared" ref="B259:H259" si="139">(B256+B257)/2+B258</f>
        <v>6.5</v>
      </c>
      <c r="C259" s="576">
        <f t="shared" si="139"/>
        <v>9.5</v>
      </c>
      <c r="D259" s="576">
        <f t="shared" si="139"/>
        <v>12.5</v>
      </c>
      <c r="E259" s="576">
        <f t="shared" si="139"/>
        <v>16.5</v>
      </c>
      <c r="F259" s="576">
        <f t="shared" si="139"/>
        <v>20.5</v>
      </c>
      <c r="G259" s="576">
        <f t="shared" si="139"/>
        <v>25.5</v>
      </c>
      <c r="H259" s="576">
        <f t="shared" si="139"/>
        <v>31.5</v>
      </c>
      <c r="I259" s="566"/>
      <c r="J259" s="567"/>
      <c r="K259" s="567"/>
      <c r="L259" s="568" t="str">
        <f>VLOOKUP(A259,'Кузнец'!$B$145:$J$193,9,FALSE)</f>
        <v>#N/A</v>
      </c>
      <c r="M259" s="565"/>
      <c r="N259" s="565" t="str">
        <f>VLOOKUP(A259,'Кузнец'!$B$145:$J$193,4,FALSE)</f>
        <v>#N/A</v>
      </c>
      <c r="O259" s="565"/>
      <c r="P259" s="565"/>
      <c r="Q259" s="565"/>
      <c r="R259" s="565"/>
      <c r="S259" s="454">
        <v>0.0</v>
      </c>
      <c r="T259" s="467"/>
      <c r="U259" s="467"/>
      <c r="V259" s="438"/>
      <c r="W259" s="438"/>
      <c r="X259" s="440"/>
      <c r="Y259" s="440"/>
      <c r="Z259" s="440"/>
      <c r="AA259" s="440"/>
      <c r="AB259" s="440"/>
      <c r="AC259" s="440"/>
      <c r="AD259" s="440"/>
      <c r="AE259" s="441"/>
      <c r="AF259" s="441"/>
      <c r="AG259" s="441"/>
      <c r="AH259" s="441"/>
      <c r="AI259" s="441"/>
      <c r="AJ259" s="441"/>
      <c r="AK259" s="441"/>
      <c r="AL259" s="441"/>
      <c r="AM259" s="441"/>
      <c r="AN259" s="441"/>
      <c r="AO259" s="441"/>
      <c r="AP259" s="441"/>
      <c r="AQ259" s="441"/>
      <c r="AR259" s="441"/>
      <c r="AS259" s="441"/>
      <c r="AT259" s="441"/>
      <c r="AU259" s="441"/>
      <c r="AV259" s="441"/>
      <c r="AW259" s="441"/>
      <c r="AX259" s="441"/>
      <c r="AY259" s="441"/>
      <c r="AZ259" s="441"/>
      <c r="BA259" s="441"/>
      <c r="BB259" s="441"/>
      <c r="BC259" s="441"/>
      <c r="BD259" s="441"/>
      <c r="BE259" s="441"/>
      <c r="BF259" s="441"/>
    </row>
    <row r="260" ht="15.0" hidden="1" customHeight="1" outlineLevel="1">
      <c r="A260" s="571" t="s">
        <v>760</v>
      </c>
      <c r="B260" s="577"/>
      <c r="C260" s="577">
        <f t="shared" ref="C260:H260" si="140">C259/B259-1</f>
        <v>0.4615384615</v>
      </c>
      <c r="D260" s="577">
        <f t="shared" si="140"/>
        <v>0.3157894737</v>
      </c>
      <c r="E260" s="577">
        <f t="shared" si="140"/>
        <v>0.32</v>
      </c>
      <c r="F260" s="577">
        <f t="shared" si="140"/>
        <v>0.2424242424</v>
      </c>
      <c r="G260" s="577">
        <f t="shared" si="140"/>
        <v>0.243902439</v>
      </c>
      <c r="H260" s="577">
        <f t="shared" si="140"/>
        <v>0.2352941176</v>
      </c>
      <c r="I260" s="566"/>
      <c r="J260" s="567"/>
      <c r="K260" s="567"/>
      <c r="L260" s="568" t="str">
        <f>VLOOKUP(A260,'Кузнец'!$B$145:$J$193,9,FALSE)</f>
        <v>#N/A</v>
      </c>
      <c r="M260" s="565"/>
      <c r="N260" s="565" t="str">
        <f>VLOOKUP(A260,'Кузнец'!$B$145:$J$193,4,FALSE)</f>
        <v>#N/A</v>
      </c>
      <c r="O260" s="565"/>
      <c r="P260" s="565"/>
      <c r="Q260" s="565"/>
      <c r="R260" s="565"/>
      <c r="S260" s="454">
        <v>0.0</v>
      </c>
      <c r="T260" s="467"/>
      <c r="U260" s="467"/>
      <c r="V260" s="438"/>
      <c r="W260" s="438"/>
      <c r="X260" s="440"/>
      <c r="Y260" s="440"/>
      <c r="Z260" s="440"/>
      <c r="AA260" s="440"/>
      <c r="AB260" s="440"/>
      <c r="AC260" s="440"/>
      <c r="AD260" s="440"/>
      <c r="AE260" s="441"/>
      <c r="AF260" s="441"/>
      <c r="AG260" s="441"/>
      <c r="AH260" s="441"/>
      <c r="AI260" s="441"/>
      <c r="AJ260" s="441"/>
      <c r="AK260" s="441"/>
      <c r="AL260" s="441"/>
      <c r="AM260" s="441"/>
      <c r="AN260" s="441"/>
      <c r="AO260" s="441"/>
      <c r="AP260" s="441"/>
      <c r="AQ260" s="441"/>
      <c r="AR260" s="441"/>
      <c r="AS260" s="441"/>
      <c r="AT260" s="441"/>
      <c r="AU260" s="441"/>
      <c r="AV260" s="441"/>
      <c r="AW260" s="441"/>
      <c r="AX260" s="441"/>
      <c r="AY260" s="441"/>
      <c r="AZ260" s="441"/>
      <c r="BA260" s="441"/>
      <c r="BB260" s="441"/>
      <c r="BC260" s="441"/>
      <c r="BD260" s="441"/>
      <c r="BE260" s="441"/>
      <c r="BF260" s="441"/>
    </row>
    <row r="261" ht="15.0" hidden="1" customHeight="1" outlineLevel="1">
      <c r="A261" s="571" t="s">
        <v>761</v>
      </c>
      <c r="B261" s="576">
        <f>$K255</f>
        <v>3</v>
      </c>
      <c r="C261" s="576"/>
      <c r="D261" s="577"/>
      <c r="E261" s="577"/>
      <c r="F261" s="577"/>
      <c r="G261" s="577"/>
      <c r="H261" s="577"/>
      <c r="I261" s="566"/>
      <c r="J261" s="567"/>
      <c r="K261" s="567"/>
      <c r="L261" s="568" t="str">
        <f>VLOOKUP(A261,'Кузнец'!$B$145:$J$193,9,FALSE)</f>
        <v>#N/A</v>
      </c>
      <c r="M261" s="565"/>
      <c r="N261" s="565" t="str">
        <f>VLOOKUP(A261,'Кузнец'!$B$145:$J$193,4,FALSE)</f>
        <v>#N/A</v>
      </c>
      <c r="O261" s="565"/>
      <c r="P261" s="565"/>
      <c r="Q261" s="565"/>
      <c r="R261" s="565"/>
      <c r="S261" s="454">
        <v>0.0</v>
      </c>
      <c r="T261" s="467"/>
      <c r="U261" s="467"/>
      <c r="V261" s="438"/>
      <c r="W261" s="438"/>
      <c r="X261" s="440"/>
      <c r="Y261" s="440"/>
      <c r="Z261" s="440"/>
      <c r="AA261" s="440"/>
      <c r="AB261" s="440"/>
      <c r="AC261" s="440"/>
      <c r="AD261" s="440"/>
      <c r="AE261" s="441"/>
      <c r="AF261" s="441"/>
      <c r="AG261" s="441"/>
      <c r="AH261" s="441"/>
      <c r="AI261" s="441"/>
      <c r="AJ261" s="441"/>
      <c r="AK261" s="441"/>
      <c r="AL261" s="441"/>
      <c r="AM261" s="441"/>
      <c r="AN261" s="441"/>
      <c r="AO261" s="441"/>
      <c r="AP261" s="441"/>
      <c r="AQ261" s="441"/>
      <c r="AR261" s="441"/>
      <c r="AS261" s="441"/>
      <c r="AT261" s="441"/>
      <c r="AU261" s="441"/>
      <c r="AV261" s="441"/>
      <c r="AW261" s="441"/>
      <c r="AX261" s="441"/>
      <c r="AY261" s="441"/>
      <c r="AZ261" s="441"/>
      <c r="BA261" s="441"/>
      <c r="BB261" s="441"/>
      <c r="BC261" s="441"/>
      <c r="BD261" s="441"/>
      <c r="BE261" s="441"/>
      <c r="BF261" s="441"/>
    </row>
    <row r="262" ht="15.0" hidden="1" customHeight="1" outlineLevel="1">
      <c r="A262" s="571" t="s">
        <v>762</v>
      </c>
      <c r="B262" s="578">
        <f t="shared" ref="B262:H262" si="141">B259/$B261</f>
        <v>2.166666667</v>
      </c>
      <c r="C262" s="578">
        <f t="shared" si="141"/>
        <v>3.166666667</v>
      </c>
      <c r="D262" s="578">
        <f t="shared" si="141"/>
        <v>4.166666667</v>
      </c>
      <c r="E262" s="578">
        <f t="shared" si="141"/>
        <v>5.5</v>
      </c>
      <c r="F262" s="578">
        <f t="shared" si="141"/>
        <v>6.833333333</v>
      </c>
      <c r="G262" s="578">
        <f t="shared" si="141"/>
        <v>8.5</v>
      </c>
      <c r="H262" s="578">
        <f t="shared" si="141"/>
        <v>10.5</v>
      </c>
      <c r="I262" s="566"/>
      <c r="J262" s="567"/>
      <c r="K262" s="567"/>
      <c r="L262" s="568" t="str">
        <f>VLOOKUP(A262,'Кузнец'!$B$145:$J$193,9,FALSE)</f>
        <v>#N/A</v>
      </c>
      <c r="M262" s="565"/>
      <c r="N262" s="565" t="str">
        <f>VLOOKUP(A262,'Кузнец'!$B$145:$J$193,4,FALSE)</f>
        <v>#N/A</v>
      </c>
      <c r="O262" s="565"/>
      <c r="P262" s="565"/>
      <c r="Q262" s="565"/>
      <c r="R262" s="565"/>
      <c r="S262" s="454">
        <v>0.0</v>
      </c>
      <c r="T262" s="467"/>
      <c r="U262" s="467"/>
      <c r="V262" s="438"/>
      <c r="W262" s="438"/>
      <c r="X262" s="440"/>
      <c r="Y262" s="440"/>
      <c r="Z262" s="440"/>
      <c r="AA262" s="440"/>
      <c r="AB262" s="440"/>
      <c r="AC262" s="440"/>
      <c r="AD262" s="440"/>
      <c r="AE262" s="441"/>
      <c r="AF262" s="441"/>
      <c r="AG262" s="441"/>
      <c r="AH262" s="441"/>
      <c r="AI262" s="441"/>
      <c r="AJ262" s="441"/>
      <c r="AK262" s="441"/>
      <c r="AL262" s="441"/>
      <c r="AM262" s="441"/>
      <c r="AN262" s="441"/>
      <c r="AO262" s="441"/>
      <c r="AP262" s="441"/>
      <c r="AQ262" s="441"/>
      <c r="AR262" s="441"/>
      <c r="AS262" s="441"/>
      <c r="AT262" s="441"/>
      <c r="AU262" s="441"/>
      <c r="AV262" s="441"/>
      <c r="AW262" s="441"/>
      <c r="AX262" s="441"/>
      <c r="AY262" s="441"/>
      <c r="AZ262" s="441"/>
      <c r="BA262" s="441"/>
      <c r="BB262" s="441"/>
      <c r="BC262" s="441"/>
      <c r="BD262" s="441"/>
      <c r="BE262" s="441"/>
      <c r="BF262" s="441"/>
    </row>
    <row r="263" collapsed="1">
      <c r="A263" s="563" t="s">
        <v>981</v>
      </c>
      <c r="B263" s="567" t="s">
        <v>982</v>
      </c>
      <c r="C263" s="567" t="s">
        <v>851</v>
      </c>
      <c r="D263" s="567" t="s">
        <v>983</v>
      </c>
      <c r="E263" s="567" t="s">
        <v>853</v>
      </c>
      <c r="F263" s="567" t="s">
        <v>984</v>
      </c>
      <c r="G263" s="567" t="s">
        <v>836</v>
      </c>
      <c r="H263" s="567" t="s">
        <v>985</v>
      </c>
      <c r="I263" s="579" t="s">
        <v>770</v>
      </c>
      <c r="J263" s="567">
        <v>1.0</v>
      </c>
      <c r="K263" s="567">
        <v>3.0</v>
      </c>
      <c r="L263" s="568">
        <f>VLOOKUP(A263,'Кузнец'!$B$145:$J$193,9,FALSE)</f>
        <v>2.8</v>
      </c>
      <c r="M263" s="569" t="s">
        <v>986</v>
      </c>
      <c r="N263" s="565">
        <f>VLOOKUP(A263,'Кузнец'!$B$145:$J$193,4,FALSE)</f>
        <v>10</v>
      </c>
      <c r="O263" s="565">
        <v>20.0</v>
      </c>
      <c r="P263" s="569" t="s">
        <v>859</v>
      </c>
      <c r="Q263" s="570"/>
      <c r="R263" s="569" t="s">
        <v>987</v>
      </c>
      <c r="S263" s="454">
        <v>0.0</v>
      </c>
      <c r="T263" s="467"/>
      <c r="U263" s="467"/>
      <c r="V263" s="463">
        <v>1.0</v>
      </c>
      <c r="W263" s="438"/>
      <c r="X263" s="440">
        <v>33.0</v>
      </c>
      <c r="Y263" s="440">
        <v>36.0</v>
      </c>
      <c r="Z263" s="440">
        <v>39.0</v>
      </c>
      <c r="AA263" s="440">
        <v>42.0</v>
      </c>
      <c r="AB263" s="440">
        <v>45.0</v>
      </c>
      <c r="AC263" s="440">
        <v>48.0</v>
      </c>
      <c r="AD263" s="440">
        <v>51.0</v>
      </c>
      <c r="AE263" s="441"/>
      <c r="AF263" s="441"/>
      <c r="AG263" s="441"/>
      <c r="AH263" s="441"/>
      <c r="AI263" s="441"/>
      <c r="AJ263" s="441"/>
      <c r="AK263" s="441"/>
      <c r="AL263" s="441"/>
      <c r="AM263" s="441"/>
      <c r="AN263" s="441"/>
      <c r="AO263" s="441"/>
      <c r="AP263" s="441"/>
      <c r="AQ263" s="441"/>
      <c r="AR263" s="441"/>
      <c r="AS263" s="441"/>
      <c r="AT263" s="441"/>
      <c r="AU263" s="441"/>
      <c r="AV263" s="441"/>
      <c r="AW263" s="441"/>
      <c r="AX263" s="441"/>
      <c r="AY263" s="441"/>
      <c r="AZ263" s="441"/>
      <c r="BA263" s="441"/>
      <c r="BB263" s="441"/>
      <c r="BC263" s="441"/>
      <c r="BD263" s="441"/>
      <c r="BE263" s="441"/>
      <c r="BF263" s="441"/>
    </row>
    <row r="264" ht="15.0" hidden="1" customHeight="1" outlineLevel="1">
      <c r="A264" s="571" t="s">
        <v>756</v>
      </c>
      <c r="B264" s="572">
        <v>1.0</v>
      </c>
      <c r="C264" s="572">
        <v>1.0</v>
      </c>
      <c r="D264" s="572">
        <v>2.0</v>
      </c>
      <c r="E264" s="572">
        <v>2.0</v>
      </c>
      <c r="F264" s="572">
        <v>2.0</v>
      </c>
      <c r="G264" s="572">
        <v>2.0</v>
      </c>
      <c r="H264" s="572">
        <v>2.0</v>
      </c>
      <c r="I264" s="566"/>
      <c r="J264" s="567"/>
      <c r="K264" s="567"/>
      <c r="L264" s="568" t="str">
        <f>VLOOKUP(A264,'Кузнец'!$B$145:$J$193,9,FALSE)</f>
        <v>#N/A</v>
      </c>
      <c r="M264" s="565"/>
      <c r="N264" s="565" t="str">
        <f>VLOOKUP(A264,'Кузнец'!$B$145:$J$193,4,FALSE)</f>
        <v>#N/A</v>
      </c>
      <c r="O264" s="565"/>
      <c r="P264" s="565" t="s">
        <v>988</v>
      </c>
      <c r="Q264" s="570"/>
      <c r="R264" s="565"/>
      <c r="S264" s="454">
        <v>0.0</v>
      </c>
      <c r="T264" s="467"/>
      <c r="U264" s="467"/>
      <c r="V264" s="438"/>
      <c r="W264" s="438"/>
      <c r="X264" s="440"/>
      <c r="Y264" s="440"/>
      <c r="Z264" s="440"/>
      <c r="AA264" s="440"/>
      <c r="AB264" s="440"/>
      <c r="AC264" s="440"/>
      <c r="AD264" s="440"/>
      <c r="AE264" s="441"/>
      <c r="AF264" s="441"/>
      <c r="AG264" s="441"/>
      <c r="AH264" s="441"/>
      <c r="AI264" s="441"/>
      <c r="AJ264" s="441"/>
      <c r="AK264" s="441"/>
      <c r="AL264" s="441"/>
      <c r="AM264" s="441"/>
      <c r="AN264" s="441"/>
      <c r="AO264" s="441"/>
      <c r="AP264" s="441"/>
      <c r="AQ264" s="441"/>
      <c r="AR264" s="441"/>
      <c r="AS264" s="441"/>
      <c r="AT264" s="441"/>
      <c r="AU264" s="441"/>
      <c r="AV264" s="441"/>
      <c r="AW264" s="441"/>
      <c r="AX264" s="441"/>
      <c r="AY264" s="441"/>
      <c r="AZ264" s="441"/>
      <c r="BA264" s="441"/>
      <c r="BB264" s="441"/>
      <c r="BC264" s="441"/>
      <c r="BD264" s="441"/>
      <c r="BE264" s="441"/>
      <c r="BF264" s="441"/>
    </row>
    <row r="265" ht="15.0" hidden="1" customHeight="1" outlineLevel="1">
      <c r="A265" s="571" t="s">
        <v>757</v>
      </c>
      <c r="B265" s="572">
        <v>12.0</v>
      </c>
      <c r="C265" s="572">
        <v>12.0</v>
      </c>
      <c r="D265" s="572">
        <v>16.0</v>
      </c>
      <c r="E265" s="572">
        <v>16.0</v>
      </c>
      <c r="F265" s="572">
        <v>20.0</v>
      </c>
      <c r="G265" s="572">
        <v>20.0</v>
      </c>
      <c r="H265" s="572">
        <v>24.0</v>
      </c>
      <c r="I265" s="566"/>
      <c r="J265" s="567"/>
      <c r="K265" s="567"/>
      <c r="L265" s="568" t="str">
        <f>VLOOKUP(A265,'Кузнец'!$B$145:$J$193,9,FALSE)</f>
        <v>#N/A</v>
      </c>
      <c r="M265" s="565"/>
      <c r="N265" s="565" t="str">
        <f>VLOOKUP(A265,'Кузнец'!$B$145:$J$193,4,FALSE)</f>
        <v>#N/A</v>
      </c>
      <c r="O265" s="565"/>
      <c r="P265" s="565" t="s">
        <v>988</v>
      </c>
      <c r="Q265" s="570"/>
      <c r="R265" s="565"/>
      <c r="S265" s="454">
        <v>0.0</v>
      </c>
      <c r="T265" s="467"/>
      <c r="U265" s="467"/>
      <c r="V265" s="438"/>
      <c r="W265" s="438"/>
      <c r="X265" s="440"/>
      <c r="Y265" s="440"/>
      <c r="Z265" s="440"/>
      <c r="AA265" s="440"/>
      <c r="AB265" s="440"/>
      <c r="AC265" s="440"/>
      <c r="AD265" s="440"/>
      <c r="AE265" s="441"/>
      <c r="AF265" s="441"/>
      <c r="AG265" s="441"/>
      <c r="AH265" s="441"/>
      <c r="AI265" s="441"/>
      <c r="AJ265" s="441"/>
      <c r="AK265" s="441"/>
      <c r="AL265" s="441"/>
      <c r="AM265" s="441"/>
      <c r="AN265" s="441"/>
      <c r="AO265" s="441"/>
      <c r="AP265" s="441"/>
      <c r="AQ265" s="441"/>
      <c r="AR265" s="441"/>
      <c r="AS265" s="441"/>
      <c r="AT265" s="441"/>
      <c r="AU265" s="441"/>
      <c r="AV265" s="441"/>
      <c r="AW265" s="441"/>
      <c r="AX265" s="441"/>
      <c r="AY265" s="441"/>
      <c r="AZ265" s="441"/>
      <c r="BA265" s="441"/>
      <c r="BB265" s="441"/>
      <c r="BC265" s="441"/>
      <c r="BD265" s="441"/>
      <c r="BE265" s="441"/>
      <c r="BF265" s="441"/>
    </row>
    <row r="266" ht="15.0" hidden="1" customHeight="1" outlineLevel="1">
      <c r="A266" s="571" t="s">
        <v>758</v>
      </c>
      <c r="B266" s="572">
        <v>0.0</v>
      </c>
      <c r="C266" s="572">
        <v>3.0</v>
      </c>
      <c r="D266" s="572">
        <v>4.0</v>
      </c>
      <c r="E266" s="572">
        <v>8.0</v>
      </c>
      <c r="F266" s="572">
        <v>10.0</v>
      </c>
      <c r="G266" s="572">
        <v>15.0</v>
      </c>
      <c r="H266" s="572">
        <v>18.0</v>
      </c>
      <c r="I266" s="566"/>
      <c r="J266" s="567"/>
      <c r="K266" s="567"/>
      <c r="L266" s="568" t="str">
        <f>VLOOKUP(A266,'Кузнец'!$B$145:$J$193,9,FALSE)</f>
        <v>#N/A</v>
      </c>
      <c r="M266" s="565"/>
      <c r="N266" s="565" t="str">
        <f>VLOOKUP(A266,'Кузнец'!$B$145:$J$193,4,FALSE)</f>
        <v>#N/A</v>
      </c>
      <c r="O266" s="565"/>
      <c r="P266" s="565" t="s">
        <v>988</v>
      </c>
      <c r="Q266" s="570"/>
      <c r="R266" s="565"/>
      <c r="S266" s="454">
        <v>0.0</v>
      </c>
      <c r="T266" s="467"/>
      <c r="U266" s="467"/>
      <c r="V266" s="438"/>
      <c r="W266" s="438"/>
      <c r="X266" s="440"/>
      <c r="Y266" s="440"/>
      <c r="Z266" s="440"/>
      <c r="AA266" s="440"/>
      <c r="AB266" s="440"/>
      <c r="AC266" s="440"/>
      <c r="AD266" s="440"/>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441"/>
      <c r="BC266" s="441"/>
      <c r="BD266" s="441"/>
      <c r="BE266" s="441"/>
      <c r="BF266" s="441"/>
    </row>
    <row r="267" ht="15.0" hidden="1" customHeight="1" outlineLevel="1">
      <c r="A267" s="571" t="s">
        <v>759</v>
      </c>
      <c r="B267" s="572">
        <f t="shared" ref="B267:H267" si="142">(B264+B265)/2+B266</f>
        <v>6.5</v>
      </c>
      <c r="C267" s="572">
        <f t="shared" si="142"/>
        <v>9.5</v>
      </c>
      <c r="D267" s="572">
        <f t="shared" si="142"/>
        <v>13</v>
      </c>
      <c r="E267" s="572">
        <f t="shared" si="142"/>
        <v>17</v>
      </c>
      <c r="F267" s="572">
        <f t="shared" si="142"/>
        <v>21</v>
      </c>
      <c r="G267" s="572">
        <f t="shared" si="142"/>
        <v>26</v>
      </c>
      <c r="H267" s="572">
        <f t="shared" si="142"/>
        <v>31</v>
      </c>
      <c r="I267" s="566"/>
      <c r="J267" s="567"/>
      <c r="K267" s="567"/>
      <c r="L267" s="568" t="str">
        <f>VLOOKUP(A267,'Кузнец'!$B$145:$J$193,9,FALSE)</f>
        <v>#N/A</v>
      </c>
      <c r="M267" s="565"/>
      <c r="N267" s="565" t="str">
        <f>VLOOKUP(A267,'Кузнец'!$B$145:$J$193,4,FALSE)</f>
        <v>#N/A</v>
      </c>
      <c r="O267" s="565"/>
      <c r="P267" s="565" t="s">
        <v>988</v>
      </c>
      <c r="Q267" s="570"/>
      <c r="R267" s="565"/>
      <c r="S267" s="454">
        <v>0.0</v>
      </c>
      <c r="T267" s="467"/>
      <c r="U267" s="467"/>
      <c r="V267" s="438"/>
      <c r="W267" s="438"/>
      <c r="X267" s="440"/>
      <c r="Y267" s="440"/>
      <c r="Z267" s="440"/>
      <c r="AA267" s="440"/>
      <c r="AB267" s="440"/>
      <c r="AC267" s="440"/>
      <c r="AD267" s="440"/>
      <c r="AE267" s="441"/>
      <c r="AF267" s="441"/>
      <c r="AG267" s="441"/>
      <c r="AH267" s="441"/>
      <c r="AI267" s="441"/>
      <c r="AJ267" s="441"/>
      <c r="AK267" s="441"/>
      <c r="AL267" s="441"/>
      <c r="AM267" s="441"/>
      <c r="AN267" s="441"/>
      <c r="AO267" s="441"/>
      <c r="AP267" s="441"/>
      <c r="AQ267" s="441"/>
      <c r="AR267" s="441"/>
      <c r="AS267" s="441"/>
      <c r="AT267" s="441"/>
      <c r="AU267" s="441"/>
      <c r="AV267" s="441"/>
      <c r="AW267" s="441"/>
      <c r="AX267" s="441"/>
      <c r="AY267" s="441"/>
      <c r="AZ267" s="441"/>
      <c r="BA267" s="441"/>
      <c r="BB267" s="441"/>
      <c r="BC267" s="441"/>
      <c r="BD267" s="441"/>
      <c r="BE267" s="441"/>
      <c r="BF267" s="441"/>
    </row>
    <row r="268" ht="15.0" hidden="1" customHeight="1" outlineLevel="1">
      <c r="A268" s="571" t="s">
        <v>760</v>
      </c>
      <c r="B268" s="574"/>
      <c r="C268" s="574">
        <f t="shared" ref="C268:H268" si="143">C267/B267-1</f>
        <v>0.4615384615</v>
      </c>
      <c r="D268" s="574">
        <f t="shared" si="143"/>
        <v>0.3684210526</v>
      </c>
      <c r="E268" s="574">
        <f t="shared" si="143"/>
        <v>0.3076923077</v>
      </c>
      <c r="F268" s="574">
        <f t="shared" si="143"/>
        <v>0.2352941176</v>
      </c>
      <c r="G268" s="574">
        <f t="shared" si="143"/>
        <v>0.2380952381</v>
      </c>
      <c r="H268" s="574">
        <f t="shared" si="143"/>
        <v>0.1923076923</v>
      </c>
      <c r="I268" s="566"/>
      <c r="J268" s="567"/>
      <c r="K268" s="567"/>
      <c r="L268" s="568" t="str">
        <f>VLOOKUP(A268,'Кузнец'!$B$145:$J$193,9,FALSE)</f>
        <v>#N/A</v>
      </c>
      <c r="M268" s="565"/>
      <c r="N268" s="565" t="str">
        <f>VLOOKUP(A268,'Кузнец'!$B$145:$J$193,4,FALSE)</f>
        <v>#N/A</v>
      </c>
      <c r="O268" s="565"/>
      <c r="P268" s="565" t="s">
        <v>988</v>
      </c>
      <c r="Q268" s="570"/>
      <c r="R268" s="565"/>
      <c r="S268" s="454">
        <v>0.0</v>
      </c>
      <c r="T268" s="467"/>
      <c r="U268" s="467"/>
      <c r="V268" s="438"/>
      <c r="W268" s="438"/>
      <c r="X268" s="440"/>
      <c r="Y268" s="440"/>
      <c r="Z268" s="440"/>
      <c r="AA268" s="440"/>
      <c r="AB268" s="440"/>
      <c r="AC268" s="440"/>
      <c r="AD268" s="440"/>
      <c r="AE268" s="441"/>
      <c r="AF268" s="441"/>
      <c r="AG268" s="441"/>
      <c r="AH268" s="441"/>
      <c r="AI268" s="441"/>
      <c r="AJ268" s="441"/>
      <c r="AK268" s="441"/>
      <c r="AL268" s="441"/>
      <c r="AM268" s="441"/>
      <c r="AN268" s="441"/>
      <c r="AO268" s="441"/>
      <c r="AP268" s="441"/>
      <c r="AQ268" s="441"/>
      <c r="AR268" s="441"/>
      <c r="AS268" s="441"/>
      <c r="AT268" s="441"/>
      <c r="AU268" s="441"/>
      <c r="AV268" s="441"/>
      <c r="AW268" s="441"/>
      <c r="AX268" s="441"/>
      <c r="AY268" s="441"/>
      <c r="AZ268" s="441"/>
      <c r="BA268" s="441"/>
      <c r="BB268" s="441"/>
      <c r="BC268" s="441"/>
      <c r="BD268" s="441"/>
      <c r="BE268" s="441"/>
      <c r="BF268" s="441"/>
    </row>
    <row r="269" ht="15.0" hidden="1" customHeight="1" outlineLevel="1">
      <c r="A269" s="571" t="s">
        <v>761</v>
      </c>
      <c r="B269" s="572">
        <v>3.0</v>
      </c>
      <c r="C269" s="572"/>
      <c r="D269" s="574"/>
      <c r="E269" s="574"/>
      <c r="F269" s="574"/>
      <c r="G269" s="574"/>
      <c r="H269" s="574"/>
      <c r="I269" s="566"/>
      <c r="J269" s="567"/>
      <c r="K269" s="567"/>
      <c r="L269" s="568" t="str">
        <f>VLOOKUP(A269,'Кузнец'!$B$145:$J$193,9,FALSE)</f>
        <v>#N/A</v>
      </c>
      <c r="M269" s="565"/>
      <c r="N269" s="565" t="str">
        <f>VLOOKUP(A269,'Кузнец'!$B$145:$J$193,4,FALSE)</f>
        <v>#N/A</v>
      </c>
      <c r="O269" s="565"/>
      <c r="P269" s="565" t="s">
        <v>988</v>
      </c>
      <c r="Q269" s="570"/>
      <c r="R269" s="565"/>
      <c r="S269" s="454">
        <v>0.0</v>
      </c>
      <c r="T269" s="467"/>
      <c r="U269" s="467"/>
      <c r="V269" s="438"/>
      <c r="W269" s="438"/>
      <c r="X269" s="440"/>
      <c r="Y269" s="440"/>
      <c r="Z269" s="440"/>
      <c r="AA269" s="440"/>
      <c r="AB269" s="440"/>
      <c r="AC269" s="440"/>
      <c r="AD269" s="440"/>
      <c r="AE269" s="441"/>
      <c r="AF269" s="441"/>
      <c r="AG269" s="441"/>
      <c r="AH269" s="441"/>
      <c r="AI269" s="441"/>
      <c r="AJ269" s="441"/>
      <c r="AK269" s="441"/>
      <c r="AL269" s="441"/>
      <c r="AM269" s="441"/>
      <c r="AN269" s="441"/>
      <c r="AO269" s="441"/>
      <c r="AP269" s="441"/>
      <c r="AQ269" s="441"/>
      <c r="AR269" s="441"/>
      <c r="AS269" s="441"/>
      <c r="AT269" s="441"/>
      <c r="AU269" s="441"/>
      <c r="AV269" s="441"/>
      <c r="AW269" s="441"/>
      <c r="AX269" s="441"/>
      <c r="AY269" s="441"/>
      <c r="AZ269" s="441"/>
      <c r="BA269" s="441"/>
      <c r="BB269" s="441"/>
      <c r="BC269" s="441"/>
      <c r="BD269" s="441"/>
      <c r="BE269" s="441"/>
      <c r="BF269" s="441"/>
    </row>
    <row r="270" ht="15.0" hidden="1" customHeight="1" outlineLevel="1">
      <c r="A270" s="571" t="s">
        <v>762</v>
      </c>
      <c r="B270" s="580">
        <f t="shared" ref="B270:H270" si="144">B267/$B269</f>
        <v>2.166666667</v>
      </c>
      <c r="C270" s="580">
        <f t="shared" si="144"/>
        <v>3.166666667</v>
      </c>
      <c r="D270" s="580">
        <f t="shared" si="144"/>
        <v>4.333333333</v>
      </c>
      <c r="E270" s="580">
        <f t="shared" si="144"/>
        <v>5.666666667</v>
      </c>
      <c r="F270" s="580">
        <f t="shared" si="144"/>
        <v>7</v>
      </c>
      <c r="G270" s="580">
        <f t="shared" si="144"/>
        <v>8.666666667</v>
      </c>
      <c r="H270" s="580">
        <f t="shared" si="144"/>
        <v>10.33333333</v>
      </c>
      <c r="I270" s="566"/>
      <c r="J270" s="567"/>
      <c r="K270" s="567"/>
      <c r="L270" s="568" t="str">
        <f>VLOOKUP(A270,'Кузнец'!$B$145:$J$193,9,FALSE)</f>
        <v>#N/A</v>
      </c>
      <c r="M270" s="565"/>
      <c r="N270" s="565" t="str">
        <f>VLOOKUP(A270,'Кузнец'!$B$145:$J$193,4,FALSE)</f>
        <v>#N/A</v>
      </c>
      <c r="O270" s="565"/>
      <c r="P270" s="565" t="s">
        <v>988</v>
      </c>
      <c r="Q270" s="570"/>
      <c r="R270" s="565"/>
      <c r="S270" s="454">
        <v>0.0</v>
      </c>
      <c r="T270" s="467"/>
      <c r="U270" s="467"/>
      <c r="V270" s="438"/>
      <c r="W270" s="438"/>
      <c r="X270" s="440"/>
      <c r="Y270" s="440"/>
      <c r="Z270" s="440"/>
      <c r="AA270" s="440"/>
      <c r="AB270" s="440"/>
      <c r="AC270" s="440"/>
      <c r="AD270" s="440"/>
      <c r="AE270" s="441"/>
      <c r="AF270" s="441"/>
      <c r="AG270" s="441"/>
      <c r="AH270" s="441"/>
      <c r="AI270" s="441"/>
      <c r="AJ270" s="441"/>
      <c r="AK270" s="441"/>
      <c r="AL270" s="441"/>
      <c r="AM270" s="441"/>
      <c r="AN270" s="441"/>
      <c r="AO270" s="441"/>
      <c r="AP270" s="441"/>
      <c r="AQ270" s="441"/>
      <c r="AR270" s="441"/>
      <c r="AS270" s="441"/>
      <c r="AT270" s="441"/>
      <c r="AU270" s="441"/>
      <c r="AV270" s="441"/>
      <c r="AW270" s="441"/>
      <c r="AX270" s="441"/>
      <c r="AY270" s="441"/>
      <c r="AZ270" s="441"/>
      <c r="BA270" s="441"/>
      <c r="BB270" s="441"/>
      <c r="BC270" s="441"/>
      <c r="BD270" s="441"/>
      <c r="BE270" s="441"/>
      <c r="BF270" s="441"/>
    </row>
    <row r="271" collapsed="1">
      <c r="A271" s="563" t="s">
        <v>989</v>
      </c>
      <c r="B271" s="567" t="s">
        <v>890</v>
      </c>
      <c r="C271" s="567" t="s">
        <v>799</v>
      </c>
      <c r="D271" s="567" t="s">
        <v>819</v>
      </c>
      <c r="E271" s="567" t="s">
        <v>778</v>
      </c>
      <c r="F271" s="567" t="s">
        <v>990</v>
      </c>
      <c r="G271" s="567" t="s">
        <v>991</v>
      </c>
      <c r="H271" s="567" t="s">
        <v>992</v>
      </c>
      <c r="I271" s="566" t="s">
        <v>754</v>
      </c>
      <c r="J271" s="567">
        <v>0.0</v>
      </c>
      <c r="K271" s="567">
        <v>4.0</v>
      </c>
      <c r="L271" s="568">
        <f>VLOOKUP(A271,'Кузнец'!$B$145:$J$193,9,FALSE)</f>
        <v>4.26</v>
      </c>
      <c r="M271" s="569" t="s">
        <v>993</v>
      </c>
      <c r="N271" s="565">
        <f>VLOOKUP(A271,'Кузнец'!$B$145:$J$193,4,FALSE)</f>
        <v>16</v>
      </c>
      <c r="O271" s="565">
        <v>25.0</v>
      </c>
      <c r="P271" s="569" t="s">
        <v>859</v>
      </c>
      <c r="Q271" s="570"/>
      <c r="R271" s="569" t="s">
        <v>994</v>
      </c>
      <c r="S271" s="454">
        <v>0.0</v>
      </c>
      <c r="T271" s="467"/>
      <c r="U271" s="467"/>
      <c r="V271" s="438"/>
      <c r="W271" s="438"/>
      <c r="X271" s="440">
        <v>38.0</v>
      </c>
      <c r="Y271" s="440">
        <v>42.0</v>
      </c>
      <c r="Z271" s="440">
        <v>46.0</v>
      </c>
      <c r="AA271" s="440">
        <v>50.0</v>
      </c>
      <c r="AB271" s="440">
        <v>54.0</v>
      </c>
      <c r="AC271" s="440">
        <v>58.0</v>
      </c>
      <c r="AD271" s="440">
        <v>62.0</v>
      </c>
      <c r="AE271" s="441"/>
      <c r="AF271" s="441"/>
      <c r="AG271" s="581" t="s">
        <v>109</v>
      </c>
      <c r="AH271" s="517" t="s">
        <v>995</v>
      </c>
      <c r="AI271" s="517" t="s">
        <v>883</v>
      </c>
      <c r="AJ271" s="441"/>
      <c r="AK271" s="441"/>
      <c r="AL271" s="441"/>
      <c r="AM271" s="441"/>
      <c r="AN271" s="441"/>
      <c r="AO271" s="441"/>
      <c r="AP271" s="441"/>
      <c r="AQ271" s="441"/>
      <c r="AR271" s="441"/>
      <c r="AS271" s="441"/>
      <c r="AT271" s="441"/>
      <c r="AU271" s="441"/>
      <c r="AV271" s="441"/>
      <c r="AW271" s="441"/>
      <c r="AX271" s="441"/>
      <c r="AY271" s="441"/>
      <c r="AZ271" s="441"/>
      <c r="BA271" s="441"/>
      <c r="BB271" s="441"/>
      <c r="BC271" s="441"/>
      <c r="BD271" s="441"/>
      <c r="BE271" s="441"/>
      <c r="BF271" s="441"/>
    </row>
    <row r="272" ht="15.0" hidden="1" customHeight="1" outlineLevel="1">
      <c r="A272" s="571" t="s">
        <v>756</v>
      </c>
      <c r="B272" s="572">
        <v>1.0</v>
      </c>
      <c r="C272" s="572">
        <v>1.0</v>
      </c>
      <c r="D272" s="572">
        <v>1.0</v>
      </c>
      <c r="E272" s="572">
        <v>1.0</v>
      </c>
      <c r="F272" s="572">
        <v>2.0</v>
      </c>
      <c r="G272" s="572">
        <v>2.0</v>
      </c>
      <c r="H272" s="572">
        <v>2.0</v>
      </c>
      <c r="I272" s="579"/>
      <c r="J272" s="567"/>
      <c r="K272" s="567"/>
      <c r="L272" s="568" t="str">
        <f>VLOOKUP(A272,'Кузнец'!$B$145:$J$193,9,FALSE)</f>
        <v>#N/A</v>
      </c>
      <c r="M272" s="565"/>
      <c r="N272" s="565" t="str">
        <f>VLOOKUP(A272,'Кузнец'!$B$145:$J$193,4,FALSE)</f>
        <v>#N/A</v>
      </c>
      <c r="O272" s="565"/>
      <c r="P272" s="565" t="s">
        <v>988</v>
      </c>
      <c r="Q272" s="570"/>
      <c r="R272" s="565"/>
      <c r="S272" s="454">
        <v>0.0</v>
      </c>
      <c r="T272" s="467"/>
      <c r="U272" s="467"/>
      <c r="V272" s="438"/>
      <c r="W272" s="438"/>
      <c r="X272" s="440"/>
      <c r="Y272" s="440"/>
      <c r="Z272" s="440"/>
      <c r="AA272" s="440"/>
      <c r="AB272" s="440"/>
      <c r="AC272" s="440"/>
      <c r="AD272" s="440"/>
      <c r="AE272" s="441"/>
      <c r="AF272" s="441"/>
      <c r="AG272" s="441"/>
      <c r="AH272" s="441"/>
      <c r="AI272" s="441"/>
      <c r="AJ272" s="441"/>
      <c r="AK272" s="441"/>
      <c r="AL272" s="441"/>
      <c r="AM272" s="441"/>
      <c r="AN272" s="441"/>
      <c r="AO272" s="441"/>
      <c r="AP272" s="441"/>
      <c r="AQ272" s="441"/>
      <c r="AR272" s="441"/>
      <c r="AS272" s="441"/>
      <c r="AT272" s="441"/>
      <c r="AU272" s="441"/>
      <c r="AV272" s="441"/>
      <c r="AW272" s="441"/>
      <c r="AX272" s="441"/>
      <c r="AY272" s="441"/>
      <c r="AZ272" s="441"/>
      <c r="BA272" s="441"/>
      <c r="BB272" s="441"/>
      <c r="BC272" s="441"/>
      <c r="BD272" s="441"/>
      <c r="BE272" s="441"/>
      <c r="BF272" s="441"/>
    </row>
    <row r="273" ht="15.0" hidden="1" customHeight="1" outlineLevel="1">
      <c r="A273" s="571" t="s">
        <v>757</v>
      </c>
      <c r="B273" s="572">
        <v>10.0</v>
      </c>
      <c r="C273" s="572">
        <v>10.0</v>
      </c>
      <c r="D273" s="572">
        <v>12.0</v>
      </c>
      <c r="E273" s="572">
        <v>12.0</v>
      </c>
      <c r="F273" s="572">
        <v>16.0</v>
      </c>
      <c r="G273" s="572">
        <v>16.0</v>
      </c>
      <c r="H273" s="572">
        <v>20.0</v>
      </c>
      <c r="I273" s="579"/>
      <c r="J273" s="567"/>
      <c r="K273" s="567"/>
      <c r="L273" s="568" t="str">
        <f>VLOOKUP(A273,'Кузнец'!$B$145:$J$193,9,FALSE)</f>
        <v>#N/A</v>
      </c>
      <c r="M273" s="565"/>
      <c r="N273" s="565" t="str">
        <f>VLOOKUP(A273,'Кузнец'!$B$145:$J$193,4,FALSE)</f>
        <v>#N/A</v>
      </c>
      <c r="O273" s="565"/>
      <c r="P273" s="565" t="s">
        <v>988</v>
      </c>
      <c r="Q273" s="570"/>
      <c r="R273" s="565"/>
      <c r="S273" s="454">
        <v>0.0</v>
      </c>
      <c r="T273" s="467"/>
      <c r="U273" s="467"/>
      <c r="V273" s="438"/>
      <c r="W273" s="438"/>
      <c r="X273" s="440"/>
      <c r="Y273" s="440"/>
      <c r="Z273" s="440"/>
      <c r="AA273" s="440"/>
      <c r="AB273" s="440"/>
      <c r="AC273" s="440"/>
      <c r="AD273" s="440"/>
      <c r="AE273" s="441"/>
      <c r="AF273" s="441"/>
      <c r="AG273" s="441"/>
      <c r="AH273" s="441"/>
      <c r="AI273" s="441"/>
      <c r="AJ273" s="441"/>
      <c r="AK273" s="441"/>
      <c r="AL273" s="441"/>
      <c r="AM273" s="441"/>
      <c r="AN273" s="441"/>
      <c r="AO273" s="441"/>
      <c r="AP273" s="441"/>
      <c r="AQ273" s="441"/>
      <c r="AR273" s="441"/>
      <c r="AS273" s="441"/>
      <c r="AT273" s="441"/>
      <c r="AU273" s="441"/>
      <c r="AV273" s="441"/>
      <c r="AW273" s="441"/>
      <c r="AX273" s="441"/>
      <c r="AY273" s="441"/>
      <c r="AZ273" s="441"/>
      <c r="BA273" s="441"/>
      <c r="BB273" s="441"/>
      <c r="BC273" s="441"/>
      <c r="BD273" s="441"/>
      <c r="BE273" s="441"/>
      <c r="BF273" s="441"/>
    </row>
    <row r="274" ht="15.0" hidden="1" customHeight="1" outlineLevel="1">
      <c r="A274" s="571" t="s">
        <v>758</v>
      </c>
      <c r="B274" s="572">
        <v>3.0</v>
      </c>
      <c r="C274" s="572">
        <v>7.0</v>
      </c>
      <c r="D274" s="572">
        <v>10.0</v>
      </c>
      <c r="E274" s="572">
        <v>15.0</v>
      </c>
      <c r="F274" s="572">
        <v>18.0</v>
      </c>
      <c r="G274" s="572">
        <v>24.0</v>
      </c>
      <c r="H274" s="572">
        <v>27.0</v>
      </c>
      <c r="I274" s="579"/>
      <c r="J274" s="567"/>
      <c r="K274" s="567"/>
      <c r="L274" s="568" t="str">
        <f>VLOOKUP(A274,'Кузнец'!$B$145:$J$193,9,FALSE)</f>
        <v>#N/A</v>
      </c>
      <c r="M274" s="565"/>
      <c r="N274" s="565" t="str">
        <f>VLOOKUP(A274,'Кузнец'!$B$145:$J$193,4,FALSE)</f>
        <v>#N/A</v>
      </c>
      <c r="O274" s="565"/>
      <c r="P274" s="565" t="s">
        <v>988</v>
      </c>
      <c r="Q274" s="570"/>
      <c r="R274" s="565"/>
      <c r="S274" s="454">
        <v>0.0</v>
      </c>
      <c r="T274" s="467"/>
      <c r="U274" s="467"/>
      <c r="V274" s="438"/>
      <c r="W274" s="438"/>
      <c r="X274" s="440"/>
      <c r="Y274" s="440"/>
      <c r="Z274" s="440"/>
      <c r="AA274" s="440"/>
      <c r="AB274" s="440"/>
      <c r="AC274" s="440"/>
      <c r="AD274" s="440"/>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c r="BB274" s="441"/>
      <c r="BC274" s="441"/>
      <c r="BD274" s="441"/>
      <c r="BE274" s="441"/>
      <c r="BF274" s="441"/>
    </row>
    <row r="275" ht="15.0" hidden="1" customHeight="1" outlineLevel="1">
      <c r="A275" s="571" t="s">
        <v>759</v>
      </c>
      <c r="B275" s="572">
        <f t="shared" ref="B275:H275" si="145">(B272+B273)/2+B274</f>
        <v>8.5</v>
      </c>
      <c r="C275" s="572">
        <f t="shared" si="145"/>
        <v>12.5</v>
      </c>
      <c r="D275" s="572">
        <f t="shared" si="145"/>
        <v>16.5</v>
      </c>
      <c r="E275" s="572">
        <f t="shared" si="145"/>
        <v>21.5</v>
      </c>
      <c r="F275" s="572">
        <f t="shared" si="145"/>
        <v>27</v>
      </c>
      <c r="G275" s="572">
        <f t="shared" si="145"/>
        <v>33</v>
      </c>
      <c r="H275" s="572">
        <f t="shared" si="145"/>
        <v>38</v>
      </c>
      <c r="I275" s="579"/>
      <c r="J275" s="567"/>
      <c r="K275" s="567"/>
      <c r="L275" s="568" t="str">
        <f>VLOOKUP(A275,'Кузнец'!$B$145:$J$193,9,FALSE)</f>
        <v>#N/A</v>
      </c>
      <c r="M275" s="565"/>
      <c r="N275" s="565" t="str">
        <f>VLOOKUP(A275,'Кузнец'!$B$145:$J$193,4,FALSE)</f>
        <v>#N/A</v>
      </c>
      <c r="O275" s="565"/>
      <c r="P275" s="565" t="s">
        <v>988</v>
      </c>
      <c r="Q275" s="570"/>
      <c r="R275" s="565"/>
      <c r="S275" s="454">
        <v>0.0</v>
      </c>
      <c r="T275" s="467"/>
      <c r="U275" s="467"/>
      <c r="V275" s="438"/>
      <c r="W275" s="438"/>
      <c r="X275" s="440"/>
      <c r="Y275" s="440"/>
      <c r="Z275" s="440"/>
      <c r="AA275" s="440"/>
      <c r="AB275" s="440"/>
      <c r="AC275" s="440"/>
      <c r="AD275" s="440"/>
      <c r="AE275" s="441"/>
      <c r="AF275" s="441"/>
      <c r="AG275" s="441"/>
      <c r="AH275" s="441"/>
      <c r="AI275" s="441"/>
      <c r="AJ275" s="441"/>
      <c r="AK275" s="441"/>
      <c r="AL275" s="441"/>
      <c r="AM275" s="441"/>
      <c r="AN275" s="441"/>
      <c r="AO275" s="441"/>
      <c r="AP275" s="441"/>
      <c r="AQ275" s="441"/>
      <c r="AR275" s="441"/>
      <c r="AS275" s="441"/>
      <c r="AT275" s="441"/>
      <c r="AU275" s="441"/>
      <c r="AV275" s="441"/>
      <c r="AW275" s="441"/>
      <c r="AX275" s="441"/>
      <c r="AY275" s="441"/>
      <c r="AZ275" s="441"/>
      <c r="BA275" s="441"/>
      <c r="BB275" s="441"/>
      <c r="BC275" s="441"/>
      <c r="BD275" s="441"/>
      <c r="BE275" s="441"/>
      <c r="BF275" s="441"/>
    </row>
    <row r="276" ht="15.0" hidden="1" customHeight="1" outlineLevel="1">
      <c r="A276" s="571" t="s">
        <v>760</v>
      </c>
      <c r="B276" s="574"/>
      <c r="C276" s="574">
        <f t="shared" ref="C276:H276" si="146">C275/B275-1</f>
        <v>0.4705882353</v>
      </c>
      <c r="D276" s="574">
        <f t="shared" si="146"/>
        <v>0.32</v>
      </c>
      <c r="E276" s="574">
        <f t="shared" si="146"/>
        <v>0.303030303</v>
      </c>
      <c r="F276" s="574">
        <f t="shared" si="146"/>
        <v>0.2558139535</v>
      </c>
      <c r="G276" s="574">
        <f t="shared" si="146"/>
        <v>0.2222222222</v>
      </c>
      <c r="H276" s="574">
        <f t="shared" si="146"/>
        <v>0.1515151515</v>
      </c>
      <c r="I276" s="579"/>
      <c r="J276" s="567"/>
      <c r="K276" s="567"/>
      <c r="L276" s="568" t="str">
        <f>VLOOKUP(A276,'Кузнец'!$B$145:$J$193,9,FALSE)</f>
        <v>#N/A</v>
      </c>
      <c r="M276" s="565"/>
      <c r="N276" s="565" t="str">
        <f>VLOOKUP(A276,'Кузнец'!$B$145:$J$193,4,FALSE)</f>
        <v>#N/A</v>
      </c>
      <c r="O276" s="565"/>
      <c r="P276" s="565" t="s">
        <v>988</v>
      </c>
      <c r="Q276" s="570"/>
      <c r="R276" s="565"/>
      <c r="S276" s="454">
        <v>0.0</v>
      </c>
      <c r="T276" s="467"/>
      <c r="U276" s="467"/>
      <c r="V276" s="438"/>
      <c r="W276" s="438"/>
      <c r="X276" s="440"/>
      <c r="Y276" s="440"/>
      <c r="Z276" s="440"/>
      <c r="AA276" s="440"/>
      <c r="AB276" s="440"/>
      <c r="AC276" s="440"/>
      <c r="AD276" s="440"/>
      <c r="AE276" s="441"/>
      <c r="AF276" s="441"/>
      <c r="AG276" s="441"/>
      <c r="AH276" s="441"/>
      <c r="AI276" s="441"/>
      <c r="AJ276" s="441"/>
      <c r="AK276" s="441"/>
      <c r="AL276" s="441"/>
      <c r="AM276" s="441"/>
      <c r="AN276" s="441"/>
      <c r="AO276" s="441"/>
      <c r="AP276" s="441"/>
      <c r="AQ276" s="441"/>
      <c r="AR276" s="441"/>
      <c r="AS276" s="441"/>
      <c r="AT276" s="441"/>
      <c r="AU276" s="441"/>
      <c r="AV276" s="441"/>
      <c r="AW276" s="441"/>
      <c r="AX276" s="441"/>
      <c r="AY276" s="441"/>
      <c r="AZ276" s="441"/>
      <c r="BA276" s="441"/>
      <c r="BB276" s="441"/>
      <c r="BC276" s="441"/>
      <c r="BD276" s="441"/>
      <c r="BE276" s="441"/>
      <c r="BF276" s="441"/>
    </row>
    <row r="277" ht="15.0" hidden="1" customHeight="1" outlineLevel="1">
      <c r="A277" s="571" t="s">
        <v>761</v>
      </c>
      <c r="B277" s="572">
        <f>$K271</f>
        <v>4</v>
      </c>
      <c r="C277" s="572"/>
      <c r="D277" s="574"/>
      <c r="E277" s="574"/>
      <c r="F277" s="574"/>
      <c r="G277" s="574"/>
      <c r="H277" s="574"/>
      <c r="I277" s="579"/>
      <c r="J277" s="567"/>
      <c r="K277" s="567"/>
      <c r="L277" s="568" t="str">
        <f>VLOOKUP(A277,'Кузнец'!$B$145:$J$193,9,FALSE)</f>
        <v>#N/A</v>
      </c>
      <c r="M277" s="565"/>
      <c r="N277" s="565" t="str">
        <f>VLOOKUP(A277,'Кузнец'!$B$145:$J$193,4,FALSE)</f>
        <v>#N/A</v>
      </c>
      <c r="O277" s="565"/>
      <c r="P277" s="565" t="s">
        <v>988</v>
      </c>
      <c r="Q277" s="570"/>
      <c r="R277" s="565"/>
      <c r="S277" s="454">
        <v>0.0</v>
      </c>
      <c r="T277" s="467"/>
      <c r="U277" s="467"/>
      <c r="V277" s="438"/>
      <c r="W277" s="438"/>
      <c r="X277" s="440"/>
      <c r="Y277" s="440"/>
      <c r="Z277" s="440"/>
      <c r="AA277" s="440"/>
      <c r="AB277" s="440"/>
      <c r="AC277" s="440"/>
      <c r="AD277" s="440"/>
      <c r="AE277" s="441"/>
      <c r="AF277" s="441"/>
      <c r="AG277" s="441"/>
      <c r="AH277" s="441"/>
      <c r="AI277" s="441"/>
      <c r="AJ277" s="441"/>
      <c r="AK277" s="441"/>
      <c r="AL277" s="441"/>
      <c r="AM277" s="441"/>
      <c r="AN277" s="441"/>
      <c r="AO277" s="441"/>
      <c r="AP277" s="441"/>
      <c r="AQ277" s="441"/>
      <c r="AR277" s="441"/>
      <c r="AS277" s="441"/>
      <c r="AT277" s="441"/>
      <c r="AU277" s="441"/>
      <c r="AV277" s="441"/>
      <c r="AW277" s="441"/>
      <c r="AX277" s="441"/>
      <c r="AY277" s="441"/>
      <c r="AZ277" s="441"/>
      <c r="BA277" s="441"/>
      <c r="BB277" s="441"/>
      <c r="BC277" s="441"/>
      <c r="BD277" s="441"/>
      <c r="BE277" s="441"/>
      <c r="BF277" s="441"/>
    </row>
    <row r="278" ht="15.0" hidden="1" customHeight="1" outlineLevel="1">
      <c r="A278" s="571" t="s">
        <v>762</v>
      </c>
      <c r="B278" s="580">
        <f t="shared" ref="B278:H278" si="147">B275/$B277</f>
        <v>2.125</v>
      </c>
      <c r="C278" s="580">
        <f t="shared" si="147"/>
        <v>3.125</v>
      </c>
      <c r="D278" s="580">
        <f t="shared" si="147"/>
        <v>4.125</v>
      </c>
      <c r="E278" s="580">
        <f t="shared" si="147"/>
        <v>5.375</v>
      </c>
      <c r="F278" s="580">
        <f t="shared" si="147"/>
        <v>6.75</v>
      </c>
      <c r="G278" s="580">
        <f t="shared" si="147"/>
        <v>8.25</v>
      </c>
      <c r="H278" s="580">
        <f t="shared" si="147"/>
        <v>9.5</v>
      </c>
      <c r="I278" s="579"/>
      <c r="J278" s="567"/>
      <c r="K278" s="567"/>
      <c r="L278" s="568" t="str">
        <f>VLOOKUP(A278,'Кузнец'!$B$145:$J$193,9,FALSE)</f>
        <v>#N/A</v>
      </c>
      <c r="M278" s="565"/>
      <c r="N278" s="565" t="str">
        <f>VLOOKUP(A278,'Кузнец'!$B$145:$J$193,4,FALSE)</f>
        <v>#N/A</v>
      </c>
      <c r="O278" s="565"/>
      <c r="P278" s="565" t="s">
        <v>988</v>
      </c>
      <c r="Q278" s="570"/>
      <c r="R278" s="565"/>
      <c r="S278" s="454">
        <v>0.0</v>
      </c>
      <c r="T278" s="467"/>
      <c r="U278" s="467"/>
      <c r="V278" s="438"/>
      <c r="W278" s="438"/>
      <c r="X278" s="440"/>
      <c r="Y278" s="440"/>
      <c r="Z278" s="440"/>
      <c r="AA278" s="440"/>
      <c r="AB278" s="440"/>
      <c r="AC278" s="440"/>
      <c r="AD278" s="440"/>
      <c r="AE278" s="441"/>
      <c r="AF278" s="441"/>
      <c r="AG278" s="441"/>
      <c r="AH278" s="441"/>
      <c r="AI278" s="441"/>
      <c r="AJ278" s="441"/>
      <c r="AK278" s="441"/>
      <c r="AL278" s="441"/>
      <c r="AM278" s="441"/>
      <c r="AN278" s="441"/>
      <c r="AO278" s="441"/>
      <c r="AP278" s="441"/>
      <c r="AQ278" s="441"/>
      <c r="AR278" s="441"/>
      <c r="AS278" s="441"/>
      <c r="AT278" s="441"/>
      <c r="AU278" s="441"/>
      <c r="AV278" s="441"/>
      <c r="AW278" s="441"/>
      <c r="AX278" s="441"/>
      <c r="AY278" s="441"/>
      <c r="AZ278" s="441"/>
      <c r="BA278" s="441"/>
      <c r="BB278" s="441"/>
      <c r="BC278" s="441"/>
      <c r="BD278" s="441"/>
      <c r="BE278" s="441"/>
      <c r="BF278" s="441"/>
    </row>
    <row r="279" collapsed="1">
      <c r="A279" s="563" t="s">
        <v>996</v>
      </c>
      <c r="B279" s="567" t="s">
        <v>833</v>
      </c>
      <c r="C279" s="567" t="s">
        <v>818</v>
      </c>
      <c r="D279" s="567" t="s">
        <v>853</v>
      </c>
      <c r="E279" s="567" t="s">
        <v>854</v>
      </c>
      <c r="F279" s="567" t="s">
        <v>855</v>
      </c>
      <c r="G279" s="567" t="s">
        <v>856</v>
      </c>
      <c r="H279" s="567" t="s">
        <v>857</v>
      </c>
      <c r="I279" s="566" t="s">
        <v>754</v>
      </c>
      <c r="J279" s="567">
        <v>1.0</v>
      </c>
      <c r="K279" s="567">
        <v>4.0</v>
      </c>
      <c r="L279" s="568">
        <f>VLOOKUP(A279,'Кузнец'!$B$145:$J$193,9,FALSE)</f>
        <v>4.32</v>
      </c>
      <c r="M279" s="569" t="s">
        <v>997</v>
      </c>
      <c r="N279" s="565">
        <f>VLOOKUP(A279,'Кузнец'!$B$145:$J$193,4,FALSE)</f>
        <v>16</v>
      </c>
      <c r="O279" s="565">
        <v>26.0</v>
      </c>
      <c r="P279" s="569" t="s">
        <v>859</v>
      </c>
      <c r="Q279" s="570"/>
      <c r="R279" s="569" t="s">
        <v>998</v>
      </c>
      <c r="S279" s="454">
        <v>0.0</v>
      </c>
      <c r="T279" s="467"/>
      <c r="U279" s="467"/>
      <c r="V279" s="438"/>
      <c r="W279" s="438"/>
      <c r="X279" s="440">
        <v>34.0</v>
      </c>
      <c r="Y279" s="440">
        <v>38.0</v>
      </c>
      <c r="Z279" s="440">
        <v>42.0</v>
      </c>
      <c r="AA279" s="440">
        <v>46.0</v>
      </c>
      <c r="AB279" s="440">
        <v>50.0</v>
      </c>
      <c r="AC279" s="440">
        <v>54.0</v>
      </c>
      <c r="AD279" s="440">
        <v>58.0</v>
      </c>
      <c r="AE279" s="441"/>
      <c r="AF279" s="441" t="s">
        <v>999</v>
      </c>
      <c r="AG279" s="441">
        <v>24.0</v>
      </c>
      <c r="AH279" s="441">
        <v>6.0</v>
      </c>
      <c r="AI279" s="441">
        <v>2.0</v>
      </c>
      <c r="AJ279" s="441"/>
      <c r="AK279" s="441"/>
      <c r="AL279" s="441"/>
      <c r="AM279" s="441"/>
      <c r="AN279" s="441"/>
      <c r="AO279" s="441"/>
      <c r="AP279" s="441"/>
      <c r="AQ279" s="441"/>
      <c r="AR279" s="441"/>
      <c r="AS279" s="441"/>
      <c r="AT279" s="441"/>
      <c r="AU279" s="441"/>
      <c r="AV279" s="441"/>
      <c r="AW279" s="441"/>
      <c r="AX279" s="441"/>
      <c r="AY279" s="441"/>
      <c r="AZ279" s="441"/>
      <c r="BA279" s="441"/>
      <c r="BB279" s="441"/>
      <c r="BC279" s="441"/>
      <c r="BD279" s="441"/>
      <c r="BE279" s="441"/>
      <c r="BF279" s="441"/>
    </row>
    <row r="280" hidden="1" outlineLevel="1">
      <c r="A280" s="571" t="s">
        <v>756</v>
      </c>
      <c r="B280" s="572">
        <v>1.0</v>
      </c>
      <c r="C280" s="572">
        <v>1.0</v>
      </c>
      <c r="D280" s="572">
        <v>2.0</v>
      </c>
      <c r="E280" s="572">
        <v>2.0</v>
      </c>
      <c r="F280" s="572">
        <v>2.0</v>
      </c>
      <c r="G280" s="572">
        <v>2.0</v>
      </c>
      <c r="H280" s="572">
        <v>2.0</v>
      </c>
      <c r="I280" s="579"/>
      <c r="J280" s="567"/>
      <c r="K280" s="567"/>
      <c r="L280" s="568" t="str">
        <f>VLOOKUP(A280,'Кузнец'!$B$145:$J$193,9,FALSE)</f>
        <v>#N/A</v>
      </c>
      <c r="M280" s="565"/>
      <c r="N280" s="565" t="str">
        <f>VLOOKUP(A280,'Кузнец'!$B$145:$J$193,4,FALSE)</f>
        <v>#N/A</v>
      </c>
      <c r="O280" s="565"/>
      <c r="P280" s="565" t="s">
        <v>988</v>
      </c>
      <c r="Q280" s="570"/>
      <c r="R280" s="565"/>
      <c r="S280" s="454">
        <v>0.0</v>
      </c>
      <c r="T280" s="467"/>
      <c r="U280" s="467"/>
      <c r="V280" s="438"/>
      <c r="W280" s="438"/>
      <c r="X280" s="440"/>
      <c r="Y280" s="440"/>
      <c r="Z280" s="440"/>
      <c r="AA280" s="440"/>
      <c r="AB280" s="440"/>
      <c r="AC280" s="440"/>
      <c r="AD280" s="440"/>
      <c r="AE280" s="441"/>
      <c r="AF280" s="441"/>
      <c r="AG280" s="441"/>
      <c r="AH280" s="441"/>
      <c r="AI280" s="441"/>
      <c r="AJ280" s="441"/>
      <c r="AK280" s="441"/>
      <c r="AL280" s="441"/>
      <c r="AM280" s="441"/>
      <c r="AN280" s="441"/>
      <c r="AO280" s="441"/>
      <c r="AP280" s="441"/>
      <c r="AQ280" s="441"/>
      <c r="AR280" s="441"/>
      <c r="AS280" s="441"/>
      <c r="AT280" s="441"/>
      <c r="AU280" s="441"/>
      <c r="AV280" s="441"/>
      <c r="AW280" s="441"/>
      <c r="AX280" s="441"/>
      <c r="AY280" s="441"/>
      <c r="AZ280" s="441"/>
      <c r="BA280" s="441"/>
      <c r="BB280" s="441"/>
      <c r="BC280" s="441"/>
      <c r="BD280" s="441"/>
      <c r="BE280" s="441"/>
      <c r="BF280" s="441"/>
    </row>
    <row r="281" hidden="1" outlineLevel="1">
      <c r="A281" s="571" t="s">
        <v>757</v>
      </c>
      <c r="B281" s="572">
        <v>12.0</v>
      </c>
      <c r="C281" s="572">
        <v>12.0</v>
      </c>
      <c r="D281" s="572">
        <v>16.0</v>
      </c>
      <c r="E281" s="572">
        <v>16.0</v>
      </c>
      <c r="F281" s="572">
        <v>20.0</v>
      </c>
      <c r="G281" s="572">
        <v>20.0</v>
      </c>
      <c r="H281" s="572">
        <v>24.0</v>
      </c>
      <c r="I281" s="579"/>
      <c r="J281" s="567"/>
      <c r="K281" s="567"/>
      <c r="L281" s="568" t="str">
        <f>VLOOKUP(A281,'Кузнец'!$B$145:$J$193,9,FALSE)</f>
        <v>#N/A</v>
      </c>
      <c r="M281" s="565"/>
      <c r="N281" s="565" t="str">
        <f>VLOOKUP(A281,'Кузнец'!$B$145:$J$193,4,FALSE)</f>
        <v>#N/A</v>
      </c>
      <c r="O281" s="565"/>
      <c r="P281" s="565" t="s">
        <v>988</v>
      </c>
      <c r="Q281" s="570"/>
      <c r="R281" s="565"/>
      <c r="S281" s="454">
        <v>0.0</v>
      </c>
      <c r="T281" s="467"/>
      <c r="U281" s="467"/>
      <c r="V281" s="438"/>
      <c r="W281" s="438"/>
      <c r="X281" s="440"/>
      <c r="Y281" s="440"/>
      <c r="Z281" s="440"/>
      <c r="AA281" s="440"/>
      <c r="AB281" s="440"/>
      <c r="AC281" s="440"/>
      <c r="AD281" s="440"/>
      <c r="AE281" s="441"/>
      <c r="AF281" s="441"/>
      <c r="AG281" s="441"/>
      <c r="AH281" s="441"/>
      <c r="AI281" s="441"/>
      <c r="AJ281" s="441"/>
      <c r="AK281" s="441"/>
      <c r="AL281" s="441"/>
      <c r="AM281" s="441"/>
      <c r="AN281" s="441"/>
      <c r="AO281" s="441"/>
      <c r="AP281" s="441"/>
      <c r="AQ281" s="441"/>
      <c r="AR281" s="441"/>
      <c r="AS281" s="441"/>
      <c r="AT281" s="441"/>
      <c r="AU281" s="441"/>
      <c r="AV281" s="441"/>
      <c r="AW281" s="441"/>
      <c r="AX281" s="441"/>
      <c r="AY281" s="441"/>
      <c r="AZ281" s="441"/>
      <c r="BA281" s="441"/>
      <c r="BB281" s="441"/>
      <c r="BC281" s="441"/>
      <c r="BD281" s="441"/>
      <c r="BE281" s="441"/>
      <c r="BF281" s="441"/>
    </row>
    <row r="282" hidden="1" outlineLevel="1">
      <c r="A282" s="571" t="s">
        <v>758</v>
      </c>
      <c r="B282" s="572">
        <v>2.0</v>
      </c>
      <c r="C282" s="572">
        <v>6.0</v>
      </c>
      <c r="D282" s="572">
        <v>8.0</v>
      </c>
      <c r="E282" s="572">
        <v>13.0</v>
      </c>
      <c r="F282" s="572">
        <v>16.0</v>
      </c>
      <c r="G282" s="572">
        <v>22.0</v>
      </c>
      <c r="H282" s="572">
        <v>26.0</v>
      </c>
      <c r="I282" s="579"/>
      <c r="J282" s="567"/>
      <c r="K282" s="567"/>
      <c r="L282" s="568" t="str">
        <f>VLOOKUP(A282,'Кузнец'!$B$145:$J$193,9,FALSE)</f>
        <v>#N/A</v>
      </c>
      <c r="M282" s="565"/>
      <c r="N282" s="565" t="str">
        <f>VLOOKUP(A282,'Кузнец'!$B$145:$J$193,4,FALSE)</f>
        <v>#N/A</v>
      </c>
      <c r="O282" s="565"/>
      <c r="P282" s="565" t="s">
        <v>988</v>
      </c>
      <c r="Q282" s="570"/>
      <c r="R282" s="565"/>
      <c r="S282" s="454">
        <v>0.0</v>
      </c>
      <c r="T282" s="467"/>
      <c r="U282" s="467"/>
      <c r="V282" s="438"/>
      <c r="W282" s="438"/>
      <c r="X282" s="440"/>
      <c r="Y282" s="440"/>
      <c r="Z282" s="440"/>
      <c r="AA282" s="440"/>
      <c r="AB282" s="440"/>
      <c r="AC282" s="440"/>
      <c r="AD282" s="440"/>
      <c r="AE282" s="441"/>
      <c r="AF282" s="441"/>
      <c r="AG282" s="441"/>
      <c r="AH282" s="441"/>
      <c r="AI282" s="441"/>
      <c r="AJ282" s="441"/>
      <c r="AK282" s="441"/>
      <c r="AL282" s="441"/>
      <c r="AM282" s="441"/>
      <c r="AN282" s="441"/>
      <c r="AO282" s="441"/>
      <c r="AP282" s="441"/>
      <c r="AQ282" s="441"/>
      <c r="AR282" s="441"/>
      <c r="AS282" s="441"/>
      <c r="AT282" s="441"/>
      <c r="AU282" s="441"/>
      <c r="AV282" s="441"/>
      <c r="AW282" s="441"/>
      <c r="AX282" s="441"/>
      <c r="AY282" s="441"/>
      <c r="AZ282" s="441"/>
      <c r="BA282" s="441"/>
      <c r="BB282" s="441"/>
      <c r="BC282" s="441"/>
      <c r="BD282" s="441"/>
      <c r="BE282" s="441"/>
      <c r="BF282" s="441"/>
    </row>
    <row r="283" hidden="1" outlineLevel="1">
      <c r="A283" s="571" t="s">
        <v>759</v>
      </c>
      <c r="B283" s="572">
        <f t="shared" ref="B283:H283" si="148">(B280+B281)/2+B282</f>
        <v>8.5</v>
      </c>
      <c r="C283" s="572">
        <f t="shared" si="148"/>
        <v>12.5</v>
      </c>
      <c r="D283" s="572">
        <f t="shared" si="148"/>
        <v>17</v>
      </c>
      <c r="E283" s="572">
        <f t="shared" si="148"/>
        <v>22</v>
      </c>
      <c r="F283" s="572">
        <f t="shared" si="148"/>
        <v>27</v>
      </c>
      <c r="G283" s="572">
        <f t="shared" si="148"/>
        <v>33</v>
      </c>
      <c r="H283" s="572">
        <f t="shared" si="148"/>
        <v>39</v>
      </c>
      <c r="I283" s="579"/>
      <c r="J283" s="567"/>
      <c r="K283" s="567"/>
      <c r="L283" s="568" t="str">
        <f>VLOOKUP(A283,'Кузнец'!$B$145:$J$193,9,FALSE)</f>
        <v>#N/A</v>
      </c>
      <c r="M283" s="565"/>
      <c r="N283" s="565" t="str">
        <f>VLOOKUP(A283,'Кузнец'!$B$145:$J$193,4,FALSE)</f>
        <v>#N/A</v>
      </c>
      <c r="O283" s="565"/>
      <c r="P283" s="565" t="s">
        <v>988</v>
      </c>
      <c r="Q283" s="570"/>
      <c r="R283" s="565"/>
      <c r="S283" s="454">
        <v>0.0</v>
      </c>
      <c r="T283" s="467"/>
      <c r="U283" s="467"/>
      <c r="V283" s="438"/>
      <c r="W283" s="438"/>
      <c r="X283" s="440"/>
      <c r="Y283" s="440"/>
      <c r="Z283" s="440"/>
      <c r="AA283" s="440"/>
      <c r="AB283" s="440"/>
      <c r="AC283" s="440"/>
      <c r="AD283" s="440"/>
      <c r="AE283" s="441"/>
      <c r="AF283" s="441"/>
      <c r="AG283" s="441"/>
      <c r="AH283" s="441"/>
      <c r="AI283" s="441"/>
      <c r="AJ283" s="441"/>
      <c r="AK283" s="441"/>
      <c r="AL283" s="441"/>
      <c r="AM283" s="441"/>
      <c r="AN283" s="441"/>
      <c r="AO283" s="441"/>
      <c r="AP283" s="441"/>
      <c r="AQ283" s="441"/>
      <c r="AR283" s="441"/>
      <c r="AS283" s="441"/>
      <c r="AT283" s="441"/>
      <c r="AU283" s="441"/>
      <c r="AV283" s="441"/>
      <c r="AW283" s="441"/>
      <c r="AX283" s="441"/>
      <c r="AY283" s="441"/>
      <c r="AZ283" s="441"/>
      <c r="BA283" s="441"/>
      <c r="BB283" s="441"/>
      <c r="BC283" s="441"/>
      <c r="BD283" s="441"/>
      <c r="BE283" s="441"/>
      <c r="BF283" s="441"/>
    </row>
    <row r="284" hidden="1" outlineLevel="1">
      <c r="A284" s="571" t="s">
        <v>760</v>
      </c>
      <c r="B284" s="574"/>
      <c r="C284" s="574">
        <f t="shared" ref="C284:H284" si="149">C283/B283-1</f>
        <v>0.4705882353</v>
      </c>
      <c r="D284" s="574">
        <f t="shared" si="149"/>
        <v>0.36</v>
      </c>
      <c r="E284" s="574">
        <f t="shared" si="149"/>
        <v>0.2941176471</v>
      </c>
      <c r="F284" s="574">
        <f t="shared" si="149"/>
        <v>0.2272727273</v>
      </c>
      <c r="G284" s="574">
        <f t="shared" si="149"/>
        <v>0.2222222222</v>
      </c>
      <c r="H284" s="574">
        <f t="shared" si="149"/>
        <v>0.1818181818</v>
      </c>
      <c r="I284" s="579"/>
      <c r="J284" s="567"/>
      <c r="K284" s="567"/>
      <c r="L284" s="568" t="str">
        <f>VLOOKUP(A284,'Кузнец'!$B$145:$J$193,9,FALSE)</f>
        <v>#N/A</v>
      </c>
      <c r="M284" s="565"/>
      <c r="N284" s="565" t="str">
        <f>VLOOKUP(A284,'Кузнец'!$B$145:$J$193,4,FALSE)</f>
        <v>#N/A</v>
      </c>
      <c r="O284" s="565"/>
      <c r="P284" s="565" t="s">
        <v>988</v>
      </c>
      <c r="Q284" s="570"/>
      <c r="R284" s="565"/>
      <c r="S284" s="454">
        <v>0.0</v>
      </c>
      <c r="T284" s="467"/>
      <c r="U284" s="467"/>
      <c r="V284" s="438"/>
      <c r="W284" s="438"/>
      <c r="X284" s="440"/>
      <c r="Y284" s="440"/>
      <c r="Z284" s="440"/>
      <c r="AA284" s="440"/>
      <c r="AB284" s="440"/>
      <c r="AC284" s="440"/>
      <c r="AD284" s="440"/>
      <c r="AE284" s="441"/>
      <c r="AF284" s="441"/>
      <c r="AG284" s="441"/>
      <c r="AH284" s="441"/>
      <c r="AI284" s="441"/>
      <c r="AJ284" s="441"/>
      <c r="AK284" s="441"/>
      <c r="AL284" s="441"/>
      <c r="AM284" s="441"/>
      <c r="AN284" s="441"/>
      <c r="AO284" s="441"/>
      <c r="AP284" s="441"/>
      <c r="AQ284" s="441"/>
      <c r="AR284" s="441"/>
      <c r="AS284" s="441"/>
      <c r="AT284" s="441"/>
      <c r="AU284" s="441"/>
      <c r="AV284" s="441"/>
      <c r="AW284" s="441"/>
      <c r="AX284" s="441"/>
      <c r="AY284" s="441"/>
      <c r="AZ284" s="441"/>
      <c r="BA284" s="441"/>
      <c r="BB284" s="441"/>
      <c r="BC284" s="441"/>
      <c r="BD284" s="441"/>
      <c r="BE284" s="441"/>
      <c r="BF284" s="441"/>
    </row>
    <row r="285" hidden="1" outlineLevel="1">
      <c r="A285" s="571" t="s">
        <v>761</v>
      </c>
      <c r="B285" s="572">
        <f>$K279</f>
        <v>4</v>
      </c>
      <c r="C285" s="572"/>
      <c r="D285" s="574"/>
      <c r="E285" s="574"/>
      <c r="F285" s="574"/>
      <c r="G285" s="574"/>
      <c r="H285" s="574"/>
      <c r="I285" s="579"/>
      <c r="J285" s="567"/>
      <c r="K285" s="567"/>
      <c r="L285" s="568" t="str">
        <f>VLOOKUP(A285,'Кузнец'!$B$145:$J$193,9,FALSE)</f>
        <v>#N/A</v>
      </c>
      <c r="M285" s="565"/>
      <c r="N285" s="565" t="str">
        <f>VLOOKUP(A285,'Кузнец'!$B$145:$J$193,4,FALSE)</f>
        <v>#N/A</v>
      </c>
      <c r="O285" s="565"/>
      <c r="P285" s="565" t="s">
        <v>988</v>
      </c>
      <c r="Q285" s="570"/>
      <c r="R285" s="565"/>
      <c r="S285" s="454">
        <v>0.0</v>
      </c>
      <c r="T285" s="467"/>
      <c r="U285" s="467"/>
      <c r="V285" s="438"/>
      <c r="W285" s="438"/>
      <c r="X285" s="440"/>
      <c r="Y285" s="440"/>
      <c r="Z285" s="440"/>
      <c r="AA285" s="440"/>
      <c r="AB285" s="440"/>
      <c r="AC285" s="440"/>
      <c r="AD285" s="440"/>
      <c r="AE285" s="441"/>
      <c r="AF285" s="441"/>
      <c r="AG285" s="441"/>
      <c r="AH285" s="441"/>
      <c r="AI285" s="441"/>
      <c r="AJ285" s="441"/>
      <c r="AK285" s="441"/>
      <c r="AL285" s="441"/>
      <c r="AM285" s="441"/>
      <c r="AN285" s="441"/>
      <c r="AO285" s="441"/>
      <c r="AP285" s="441"/>
      <c r="AQ285" s="441"/>
      <c r="AR285" s="441"/>
      <c r="AS285" s="441"/>
      <c r="AT285" s="441"/>
      <c r="AU285" s="441"/>
      <c r="AV285" s="441"/>
      <c r="AW285" s="441"/>
      <c r="AX285" s="441"/>
      <c r="AY285" s="441"/>
      <c r="AZ285" s="441"/>
      <c r="BA285" s="441"/>
      <c r="BB285" s="441"/>
      <c r="BC285" s="441"/>
      <c r="BD285" s="441"/>
      <c r="BE285" s="441"/>
      <c r="BF285" s="441"/>
    </row>
    <row r="286" hidden="1" outlineLevel="1">
      <c r="A286" s="571" t="s">
        <v>762</v>
      </c>
      <c r="B286" s="580">
        <f t="shared" ref="B286:H286" si="150">B283/$B285</f>
        <v>2.125</v>
      </c>
      <c r="C286" s="580">
        <f t="shared" si="150"/>
        <v>3.125</v>
      </c>
      <c r="D286" s="580">
        <f t="shared" si="150"/>
        <v>4.25</v>
      </c>
      <c r="E286" s="580">
        <f t="shared" si="150"/>
        <v>5.5</v>
      </c>
      <c r="F286" s="580">
        <f t="shared" si="150"/>
        <v>6.75</v>
      </c>
      <c r="G286" s="580">
        <f t="shared" si="150"/>
        <v>8.25</v>
      </c>
      <c r="H286" s="580">
        <f t="shared" si="150"/>
        <v>9.75</v>
      </c>
      <c r="I286" s="579"/>
      <c r="J286" s="567"/>
      <c r="K286" s="567"/>
      <c r="L286" s="568" t="str">
        <f>VLOOKUP(A286,'Кузнец'!$B$145:$J$193,9,FALSE)</f>
        <v>#N/A</v>
      </c>
      <c r="M286" s="565"/>
      <c r="N286" s="565" t="str">
        <f>VLOOKUP(A286,'Кузнец'!$B$145:$J$193,4,FALSE)</f>
        <v>#N/A</v>
      </c>
      <c r="O286" s="565"/>
      <c r="P286" s="565" t="s">
        <v>988</v>
      </c>
      <c r="Q286" s="570"/>
      <c r="R286" s="565"/>
      <c r="S286" s="454">
        <v>0.0</v>
      </c>
      <c r="T286" s="467"/>
      <c r="U286" s="467"/>
      <c r="V286" s="438"/>
      <c r="W286" s="438"/>
      <c r="X286" s="440"/>
      <c r="Y286" s="440"/>
      <c r="Z286" s="440"/>
      <c r="AA286" s="440"/>
      <c r="AB286" s="440"/>
      <c r="AC286" s="440"/>
      <c r="AD286" s="440"/>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c r="BB286" s="441"/>
      <c r="BC286" s="441"/>
      <c r="BD286" s="441"/>
      <c r="BE286" s="441"/>
      <c r="BF286" s="441"/>
    </row>
    <row r="287" collapsed="1">
      <c r="A287" s="563" t="s">
        <v>1000</v>
      </c>
      <c r="B287" s="567" t="s">
        <v>1001</v>
      </c>
      <c r="C287" s="567" t="s">
        <v>1002</v>
      </c>
      <c r="D287" s="567" t="s">
        <v>853</v>
      </c>
      <c r="E287" s="567" t="s">
        <v>854</v>
      </c>
      <c r="F287" s="567" t="s">
        <v>855</v>
      </c>
      <c r="G287" s="567" t="s">
        <v>856</v>
      </c>
      <c r="H287" s="567" t="s">
        <v>857</v>
      </c>
      <c r="I287" s="579" t="s">
        <v>770</v>
      </c>
      <c r="J287" s="567">
        <v>0.0</v>
      </c>
      <c r="K287" s="567">
        <v>4.0</v>
      </c>
      <c r="L287" s="568">
        <f>VLOOKUP(A287,'Кузнец'!$B$145:$J$193,9,FALSE)</f>
        <v>4.32</v>
      </c>
      <c r="M287" s="569" t="s">
        <v>997</v>
      </c>
      <c r="N287" s="565">
        <f>VLOOKUP(A287,'Кузнец'!$B$145:$J$193,4,FALSE)</f>
        <v>16</v>
      </c>
      <c r="O287" s="565">
        <v>26.0</v>
      </c>
      <c r="P287" s="569" t="s">
        <v>859</v>
      </c>
      <c r="Q287" s="570"/>
      <c r="R287" s="569" t="s">
        <v>998</v>
      </c>
      <c r="S287" s="454">
        <v>0.0</v>
      </c>
      <c r="T287" s="467"/>
      <c r="U287" s="467"/>
      <c r="V287" s="438"/>
      <c r="W287" s="438"/>
      <c r="X287" s="440">
        <v>34.0</v>
      </c>
      <c r="Y287" s="440">
        <v>38.0</v>
      </c>
      <c r="Z287" s="440">
        <v>42.0</v>
      </c>
      <c r="AA287" s="440">
        <v>46.0</v>
      </c>
      <c r="AB287" s="440">
        <v>50.0</v>
      </c>
      <c r="AC287" s="440">
        <v>54.0</v>
      </c>
      <c r="AD287" s="440">
        <v>58.0</v>
      </c>
      <c r="AE287" s="441"/>
      <c r="AF287" s="441" t="s">
        <v>1003</v>
      </c>
      <c r="AG287" s="441">
        <v>35.0</v>
      </c>
      <c r="AH287" s="441">
        <v>6.0</v>
      </c>
      <c r="AI287" s="441">
        <v>3.0</v>
      </c>
      <c r="AJ287" s="441"/>
      <c r="AK287" s="441"/>
      <c r="AL287" s="441"/>
      <c r="AM287" s="441"/>
      <c r="AN287" s="441"/>
      <c r="AO287" s="441"/>
      <c r="AP287" s="441"/>
      <c r="AQ287" s="441"/>
      <c r="AR287" s="441"/>
      <c r="AS287" s="441"/>
      <c r="AT287" s="441"/>
      <c r="AU287" s="441"/>
      <c r="AV287" s="441"/>
      <c r="AW287" s="441"/>
      <c r="AX287" s="441"/>
      <c r="AY287" s="441"/>
      <c r="AZ287" s="441"/>
      <c r="BA287" s="441"/>
      <c r="BB287" s="441"/>
      <c r="BC287" s="441"/>
      <c r="BD287" s="441"/>
      <c r="BE287" s="441"/>
      <c r="BF287" s="441"/>
    </row>
    <row r="288" hidden="1" outlineLevel="1">
      <c r="A288" s="571" t="s">
        <v>756</v>
      </c>
      <c r="B288" s="572">
        <v>2.0</v>
      </c>
      <c r="C288" s="572">
        <v>2.0</v>
      </c>
      <c r="D288" s="572">
        <v>2.0</v>
      </c>
      <c r="E288" s="572">
        <v>2.0</v>
      </c>
      <c r="F288" s="572">
        <v>2.0</v>
      </c>
      <c r="G288" s="572">
        <v>2.0</v>
      </c>
      <c r="H288" s="572">
        <v>2.0</v>
      </c>
      <c r="I288" s="579"/>
      <c r="J288" s="567"/>
      <c r="K288" s="567"/>
      <c r="L288" s="568" t="str">
        <f>VLOOKUP(A288,'Кузнец'!$B$145:$J$193,9,FALSE)</f>
        <v>#N/A</v>
      </c>
      <c r="M288" s="565"/>
      <c r="N288" s="565" t="str">
        <f>VLOOKUP(A288,'Кузнец'!$B$145:$J$193,4,FALSE)</f>
        <v>#N/A</v>
      </c>
      <c r="O288" s="565"/>
      <c r="P288" s="565" t="s">
        <v>988</v>
      </c>
      <c r="Q288" s="570"/>
      <c r="R288" s="565"/>
      <c r="S288" s="454">
        <v>0.0</v>
      </c>
      <c r="T288" s="467"/>
      <c r="U288" s="467"/>
      <c r="V288" s="438"/>
      <c r="W288" s="438"/>
      <c r="X288" s="440"/>
      <c r="Y288" s="440"/>
      <c r="Z288" s="440"/>
      <c r="AA288" s="440"/>
      <c r="AB288" s="440"/>
      <c r="AC288" s="440"/>
      <c r="AD288" s="440"/>
      <c r="AE288" s="441"/>
      <c r="AF288" s="441"/>
      <c r="AG288" s="441"/>
      <c r="AH288" s="441"/>
      <c r="AI288" s="441"/>
      <c r="AJ288" s="441"/>
      <c r="AK288" s="441"/>
      <c r="AL288" s="441"/>
      <c r="AM288" s="441"/>
      <c r="AN288" s="441"/>
      <c r="AO288" s="441"/>
      <c r="AP288" s="441"/>
      <c r="AQ288" s="441"/>
      <c r="AR288" s="441"/>
      <c r="AS288" s="441"/>
      <c r="AT288" s="441"/>
      <c r="AU288" s="441"/>
      <c r="AV288" s="441"/>
      <c r="AW288" s="441"/>
      <c r="AX288" s="441"/>
      <c r="AY288" s="441"/>
      <c r="AZ288" s="441"/>
      <c r="BA288" s="441"/>
      <c r="BB288" s="441"/>
      <c r="BC288" s="441"/>
      <c r="BD288" s="441"/>
      <c r="BE288" s="441"/>
      <c r="BF288" s="441"/>
    </row>
    <row r="289" hidden="1" outlineLevel="1">
      <c r="A289" s="571" t="s">
        <v>757</v>
      </c>
      <c r="B289" s="572">
        <v>12.0</v>
      </c>
      <c r="C289" s="572">
        <v>12.0</v>
      </c>
      <c r="D289" s="572">
        <v>16.0</v>
      </c>
      <c r="E289" s="572">
        <v>16.0</v>
      </c>
      <c r="F289" s="572">
        <v>20.0</v>
      </c>
      <c r="G289" s="572">
        <v>20.0</v>
      </c>
      <c r="H289" s="572">
        <v>24.0</v>
      </c>
      <c r="I289" s="579"/>
      <c r="J289" s="567"/>
      <c r="K289" s="567"/>
      <c r="L289" s="568" t="str">
        <f>VLOOKUP(A289,'Кузнец'!$B$145:$J$193,9,FALSE)</f>
        <v>#N/A</v>
      </c>
      <c r="M289" s="565"/>
      <c r="N289" s="565" t="str">
        <f>VLOOKUP(A289,'Кузнец'!$B$145:$J$193,4,FALSE)</f>
        <v>#N/A</v>
      </c>
      <c r="O289" s="565"/>
      <c r="P289" s="565" t="s">
        <v>988</v>
      </c>
      <c r="Q289" s="570"/>
      <c r="R289" s="565"/>
      <c r="S289" s="454">
        <v>0.0</v>
      </c>
      <c r="T289" s="467"/>
      <c r="U289" s="467"/>
      <c r="V289" s="438"/>
      <c r="W289" s="438"/>
      <c r="X289" s="440"/>
      <c r="Y289" s="440"/>
      <c r="Z289" s="440"/>
      <c r="AA289" s="440"/>
      <c r="AB289" s="440"/>
      <c r="AC289" s="440"/>
      <c r="AD289" s="440"/>
      <c r="AE289" s="441"/>
      <c r="AF289" s="441"/>
      <c r="AG289" s="441"/>
      <c r="AH289" s="441"/>
      <c r="AI289" s="441"/>
      <c r="AJ289" s="441"/>
      <c r="AK289" s="441"/>
      <c r="AL289" s="441"/>
      <c r="AM289" s="441"/>
      <c r="AN289" s="441"/>
      <c r="AO289" s="441"/>
      <c r="AP289" s="441"/>
      <c r="AQ289" s="441"/>
      <c r="AR289" s="441"/>
      <c r="AS289" s="441"/>
      <c r="AT289" s="441"/>
      <c r="AU289" s="441"/>
      <c r="AV289" s="441"/>
      <c r="AW289" s="441"/>
      <c r="AX289" s="441"/>
      <c r="AY289" s="441"/>
      <c r="AZ289" s="441"/>
      <c r="BA289" s="441"/>
      <c r="BB289" s="441"/>
      <c r="BC289" s="441"/>
      <c r="BD289" s="441"/>
      <c r="BE289" s="441"/>
      <c r="BF289" s="441"/>
    </row>
    <row r="290" hidden="1" outlineLevel="1">
      <c r="A290" s="571" t="s">
        <v>758</v>
      </c>
      <c r="B290" s="572">
        <v>2.0</v>
      </c>
      <c r="C290" s="572">
        <v>6.0</v>
      </c>
      <c r="D290" s="572">
        <v>8.0</v>
      </c>
      <c r="E290" s="572">
        <v>13.0</v>
      </c>
      <c r="F290" s="572">
        <v>16.0</v>
      </c>
      <c r="G290" s="572">
        <v>22.0</v>
      </c>
      <c r="H290" s="572">
        <v>26.0</v>
      </c>
      <c r="I290" s="579"/>
      <c r="J290" s="567"/>
      <c r="K290" s="567"/>
      <c r="L290" s="568" t="str">
        <f>VLOOKUP(A290,'Кузнец'!$B$145:$J$193,9,FALSE)</f>
        <v>#N/A</v>
      </c>
      <c r="M290" s="565"/>
      <c r="N290" s="565" t="str">
        <f>VLOOKUP(A290,'Кузнец'!$B$145:$J$193,4,FALSE)</f>
        <v>#N/A</v>
      </c>
      <c r="O290" s="565"/>
      <c r="P290" s="565" t="s">
        <v>988</v>
      </c>
      <c r="Q290" s="570"/>
      <c r="R290" s="565"/>
      <c r="S290" s="454">
        <v>0.0</v>
      </c>
      <c r="T290" s="467"/>
      <c r="U290" s="467"/>
      <c r="V290" s="438"/>
      <c r="W290" s="438"/>
      <c r="X290" s="440"/>
      <c r="Y290" s="440"/>
      <c r="Z290" s="440"/>
      <c r="AA290" s="440"/>
      <c r="AB290" s="440"/>
      <c r="AC290" s="440"/>
      <c r="AD290" s="440"/>
      <c r="AE290" s="441"/>
      <c r="AF290" s="441"/>
      <c r="AG290" s="441"/>
      <c r="AH290" s="441"/>
      <c r="AI290" s="441"/>
      <c r="AJ290" s="441"/>
      <c r="AK290" s="441"/>
      <c r="AL290" s="441"/>
      <c r="AM290" s="441"/>
      <c r="AN290" s="441"/>
      <c r="AO290" s="441"/>
      <c r="AP290" s="441"/>
      <c r="AQ290" s="441"/>
      <c r="AR290" s="441"/>
      <c r="AS290" s="441"/>
      <c r="AT290" s="441"/>
      <c r="AU290" s="441"/>
      <c r="AV290" s="441"/>
      <c r="AW290" s="441"/>
      <c r="AX290" s="441"/>
      <c r="AY290" s="441"/>
      <c r="AZ290" s="441"/>
      <c r="BA290" s="441"/>
      <c r="BB290" s="441"/>
      <c r="BC290" s="441"/>
      <c r="BD290" s="441"/>
      <c r="BE290" s="441"/>
      <c r="BF290" s="441"/>
    </row>
    <row r="291" hidden="1" outlineLevel="1">
      <c r="A291" s="571" t="s">
        <v>759</v>
      </c>
      <c r="B291" s="572">
        <f t="shared" ref="B291:H291" si="151">(B288+B289)/2+B290</f>
        <v>9</v>
      </c>
      <c r="C291" s="572">
        <f t="shared" si="151"/>
        <v>13</v>
      </c>
      <c r="D291" s="572">
        <f t="shared" si="151"/>
        <v>17</v>
      </c>
      <c r="E291" s="572">
        <f t="shared" si="151"/>
        <v>22</v>
      </c>
      <c r="F291" s="572">
        <f t="shared" si="151"/>
        <v>27</v>
      </c>
      <c r="G291" s="572">
        <f t="shared" si="151"/>
        <v>33</v>
      </c>
      <c r="H291" s="572">
        <f t="shared" si="151"/>
        <v>39</v>
      </c>
      <c r="I291" s="579"/>
      <c r="J291" s="567"/>
      <c r="K291" s="567"/>
      <c r="L291" s="568" t="str">
        <f>VLOOKUP(A291,'Кузнец'!$B$145:$J$193,9,FALSE)</f>
        <v>#N/A</v>
      </c>
      <c r="M291" s="565"/>
      <c r="N291" s="565" t="str">
        <f>VLOOKUP(A291,'Кузнец'!$B$145:$J$193,4,FALSE)</f>
        <v>#N/A</v>
      </c>
      <c r="O291" s="565"/>
      <c r="P291" s="565" t="s">
        <v>988</v>
      </c>
      <c r="Q291" s="570"/>
      <c r="R291" s="565"/>
      <c r="S291" s="454">
        <v>0.0</v>
      </c>
      <c r="T291" s="467"/>
      <c r="U291" s="467"/>
      <c r="V291" s="438"/>
      <c r="W291" s="438"/>
      <c r="X291" s="440"/>
      <c r="Y291" s="440"/>
      <c r="Z291" s="440"/>
      <c r="AA291" s="440"/>
      <c r="AB291" s="440"/>
      <c r="AC291" s="440"/>
      <c r="AD291" s="440"/>
      <c r="AE291" s="441"/>
      <c r="AF291" s="441"/>
      <c r="AG291" s="441"/>
      <c r="AH291" s="441"/>
      <c r="AI291" s="441"/>
      <c r="AJ291" s="441"/>
      <c r="AK291" s="441"/>
      <c r="AL291" s="441"/>
      <c r="AM291" s="441"/>
      <c r="AN291" s="441"/>
      <c r="AO291" s="441"/>
      <c r="AP291" s="441"/>
      <c r="AQ291" s="441"/>
      <c r="AR291" s="441"/>
      <c r="AS291" s="441"/>
      <c r="AT291" s="441"/>
      <c r="AU291" s="441"/>
      <c r="AV291" s="441"/>
      <c r="AW291" s="441"/>
      <c r="AX291" s="441"/>
      <c r="AY291" s="441"/>
      <c r="AZ291" s="441"/>
      <c r="BA291" s="441"/>
      <c r="BB291" s="441"/>
      <c r="BC291" s="441"/>
      <c r="BD291" s="441"/>
      <c r="BE291" s="441"/>
      <c r="BF291" s="441"/>
    </row>
    <row r="292" hidden="1" outlineLevel="1">
      <c r="A292" s="571" t="s">
        <v>760</v>
      </c>
      <c r="B292" s="574"/>
      <c r="C292" s="574">
        <f t="shared" ref="C292:H292" si="152">C291/B291-1</f>
        <v>0.4444444444</v>
      </c>
      <c r="D292" s="574">
        <f t="shared" si="152"/>
        <v>0.3076923077</v>
      </c>
      <c r="E292" s="574">
        <f t="shared" si="152"/>
        <v>0.2941176471</v>
      </c>
      <c r="F292" s="574">
        <f t="shared" si="152"/>
        <v>0.2272727273</v>
      </c>
      <c r="G292" s="574">
        <f t="shared" si="152"/>
        <v>0.2222222222</v>
      </c>
      <c r="H292" s="574">
        <f t="shared" si="152"/>
        <v>0.1818181818</v>
      </c>
      <c r="I292" s="579"/>
      <c r="J292" s="567"/>
      <c r="K292" s="567"/>
      <c r="L292" s="568" t="str">
        <f>VLOOKUP(A292,'Кузнец'!$B$145:$J$193,9,FALSE)</f>
        <v>#N/A</v>
      </c>
      <c r="M292" s="565"/>
      <c r="N292" s="565" t="str">
        <f>VLOOKUP(A292,'Кузнец'!$B$145:$J$193,4,FALSE)</f>
        <v>#N/A</v>
      </c>
      <c r="O292" s="565"/>
      <c r="P292" s="565" t="s">
        <v>988</v>
      </c>
      <c r="Q292" s="570"/>
      <c r="R292" s="565"/>
      <c r="S292" s="454">
        <v>0.0</v>
      </c>
      <c r="T292" s="467"/>
      <c r="U292" s="467"/>
      <c r="V292" s="438"/>
      <c r="W292" s="438"/>
      <c r="X292" s="440"/>
      <c r="Y292" s="440"/>
      <c r="Z292" s="440"/>
      <c r="AA292" s="440"/>
      <c r="AB292" s="440"/>
      <c r="AC292" s="440"/>
      <c r="AD292" s="440"/>
      <c r="AE292" s="441"/>
      <c r="AF292" s="441"/>
      <c r="AG292" s="441"/>
      <c r="AH292" s="441"/>
      <c r="AI292" s="441"/>
      <c r="AJ292" s="441"/>
      <c r="AK292" s="441"/>
      <c r="AL292" s="441"/>
      <c r="AM292" s="441"/>
      <c r="AN292" s="441"/>
      <c r="AO292" s="441"/>
      <c r="AP292" s="441"/>
      <c r="AQ292" s="441"/>
      <c r="AR292" s="441"/>
      <c r="AS292" s="441"/>
      <c r="AT292" s="441"/>
      <c r="AU292" s="441"/>
      <c r="AV292" s="441"/>
      <c r="AW292" s="441"/>
      <c r="AX292" s="441"/>
      <c r="AY292" s="441"/>
      <c r="AZ292" s="441"/>
      <c r="BA292" s="441"/>
      <c r="BB292" s="441"/>
      <c r="BC292" s="441"/>
      <c r="BD292" s="441"/>
      <c r="BE292" s="441"/>
      <c r="BF292" s="441"/>
    </row>
    <row r="293" ht="15.0" hidden="1" customHeight="1" outlineLevel="1">
      <c r="A293" s="571" t="s">
        <v>761</v>
      </c>
      <c r="B293" s="572">
        <f>$K287</f>
        <v>4</v>
      </c>
      <c r="C293" s="572"/>
      <c r="D293" s="574"/>
      <c r="E293" s="574"/>
      <c r="F293" s="574"/>
      <c r="G293" s="574"/>
      <c r="H293" s="574"/>
      <c r="I293" s="579"/>
      <c r="J293" s="567"/>
      <c r="K293" s="567"/>
      <c r="L293" s="568" t="str">
        <f>VLOOKUP(A293,'Кузнец'!$B$145:$J$193,9,FALSE)</f>
        <v>#N/A</v>
      </c>
      <c r="M293" s="565"/>
      <c r="N293" s="565" t="str">
        <f>VLOOKUP(A293,'Кузнец'!$B$145:$J$193,4,FALSE)</f>
        <v>#N/A</v>
      </c>
      <c r="O293" s="565"/>
      <c r="P293" s="565" t="s">
        <v>988</v>
      </c>
      <c r="Q293" s="570"/>
      <c r="R293" s="565"/>
      <c r="S293" s="454">
        <v>0.0</v>
      </c>
      <c r="T293" s="467"/>
      <c r="U293" s="467"/>
      <c r="V293" s="438"/>
      <c r="W293" s="438"/>
      <c r="X293" s="440"/>
      <c r="Y293" s="440"/>
      <c r="Z293" s="440"/>
      <c r="AA293" s="440"/>
      <c r="AB293" s="440"/>
      <c r="AC293" s="440"/>
      <c r="AD293" s="440"/>
      <c r="AE293" s="441"/>
      <c r="AF293" s="441"/>
      <c r="AG293" s="441"/>
      <c r="AH293" s="441"/>
      <c r="AI293" s="441"/>
      <c r="AJ293" s="441"/>
      <c r="AK293" s="441"/>
      <c r="AL293" s="441"/>
      <c r="AM293" s="441"/>
      <c r="AN293" s="441"/>
      <c r="AO293" s="441"/>
      <c r="AP293" s="441"/>
      <c r="AQ293" s="441"/>
      <c r="AR293" s="441"/>
      <c r="AS293" s="441"/>
      <c r="AT293" s="441"/>
      <c r="AU293" s="441"/>
      <c r="AV293" s="441"/>
      <c r="AW293" s="441"/>
      <c r="AX293" s="441"/>
      <c r="AY293" s="441"/>
      <c r="AZ293" s="441"/>
      <c r="BA293" s="441"/>
      <c r="BB293" s="441"/>
      <c r="BC293" s="441"/>
      <c r="BD293" s="441"/>
      <c r="BE293" s="441"/>
      <c r="BF293" s="441"/>
    </row>
    <row r="294" hidden="1" outlineLevel="1">
      <c r="A294" s="571" t="s">
        <v>762</v>
      </c>
      <c r="B294" s="580">
        <f t="shared" ref="B294:H294" si="153">B291/$B293</f>
        <v>2.25</v>
      </c>
      <c r="C294" s="580">
        <f t="shared" si="153"/>
        <v>3.25</v>
      </c>
      <c r="D294" s="580">
        <f t="shared" si="153"/>
        <v>4.25</v>
      </c>
      <c r="E294" s="580">
        <f t="shared" si="153"/>
        <v>5.5</v>
      </c>
      <c r="F294" s="580">
        <f t="shared" si="153"/>
        <v>6.75</v>
      </c>
      <c r="G294" s="580">
        <f t="shared" si="153"/>
        <v>8.25</v>
      </c>
      <c r="H294" s="580">
        <f t="shared" si="153"/>
        <v>9.75</v>
      </c>
      <c r="I294" s="579"/>
      <c r="J294" s="567"/>
      <c r="K294" s="567"/>
      <c r="L294" s="568" t="str">
        <f>VLOOKUP(A294,'Кузнец'!$B$145:$J$193,9,FALSE)</f>
        <v>#N/A</v>
      </c>
      <c r="M294" s="565"/>
      <c r="N294" s="565" t="str">
        <f>VLOOKUP(A294,'Кузнец'!$B$145:$J$193,4,FALSE)</f>
        <v>#N/A</v>
      </c>
      <c r="O294" s="565"/>
      <c r="P294" s="565" t="s">
        <v>988</v>
      </c>
      <c r="Q294" s="570"/>
      <c r="R294" s="565"/>
      <c r="S294" s="454">
        <v>0.0</v>
      </c>
      <c r="T294" s="467"/>
      <c r="U294" s="467"/>
      <c r="V294" s="438"/>
      <c r="W294" s="438"/>
      <c r="X294" s="440"/>
      <c r="Y294" s="440"/>
      <c r="Z294" s="440"/>
      <c r="AA294" s="440"/>
      <c r="AB294" s="440"/>
      <c r="AC294" s="440"/>
      <c r="AD294" s="440"/>
      <c r="AE294" s="441"/>
      <c r="AF294" s="441"/>
      <c r="AG294" s="441"/>
      <c r="AH294" s="441"/>
      <c r="AI294" s="441"/>
      <c r="AJ294" s="441"/>
      <c r="AK294" s="441"/>
      <c r="AL294" s="441"/>
      <c r="AM294" s="441"/>
      <c r="AN294" s="441"/>
      <c r="AO294" s="441"/>
      <c r="AP294" s="441"/>
      <c r="AQ294" s="441"/>
      <c r="AR294" s="441"/>
      <c r="AS294" s="441"/>
      <c r="AT294" s="441"/>
      <c r="AU294" s="441"/>
      <c r="AV294" s="441"/>
      <c r="AW294" s="441"/>
      <c r="AX294" s="441"/>
      <c r="AY294" s="441"/>
      <c r="AZ294" s="441"/>
      <c r="BA294" s="441"/>
      <c r="BB294" s="441"/>
      <c r="BC294" s="441"/>
      <c r="BD294" s="441"/>
      <c r="BE294" s="441"/>
      <c r="BF294" s="441"/>
    </row>
    <row r="295" collapsed="1">
      <c r="A295" s="575" t="s">
        <v>1004</v>
      </c>
      <c r="B295" s="565" t="s">
        <v>1005</v>
      </c>
      <c r="C295" s="565" t="s">
        <v>834</v>
      </c>
      <c r="D295" s="565" t="s">
        <v>984</v>
      </c>
      <c r="E295" s="565" t="s">
        <v>855</v>
      </c>
      <c r="F295" s="565" t="s">
        <v>1006</v>
      </c>
      <c r="G295" s="565" t="s">
        <v>1007</v>
      </c>
      <c r="H295" s="565" t="s">
        <v>1008</v>
      </c>
      <c r="I295" s="566" t="s">
        <v>754</v>
      </c>
      <c r="J295" s="565">
        <v>0.0</v>
      </c>
      <c r="K295" s="565">
        <v>5.0</v>
      </c>
      <c r="L295" s="568">
        <f>VLOOKUP(A295,'Кузнец'!$B$145:$J$193,9,FALSE)</f>
        <v>5.76</v>
      </c>
      <c r="M295" s="569" t="s">
        <v>1009</v>
      </c>
      <c r="N295" s="565">
        <f>VLOOKUP(A295,'Кузнец'!$B$145:$J$193,4,FALSE)</f>
        <v>23</v>
      </c>
      <c r="O295" s="565">
        <v>27.0</v>
      </c>
      <c r="P295" s="569" t="s">
        <v>859</v>
      </c>
      <c r="Q295" s="570"/>
      <c r="R295" s="569" t="s">
        <v>1010</v>
      </c>
      <c r="S295" s="454">
        <v>0.0</v>
      </c>
      <c r="T295" s="467"/>
      <c r="U295" s="467"/>
      <c r="V295" s="438"/>
      <c r="W295" s="438"/>
      <c r="X295" s="440">
        <v>40.0</v>
      </c>
      <c r="Y295" s="440">
        <v>44.0</v>
      </c>
      <c r="Z295" s="440">
        <v>48.0</v>
      </c>
      <c r="AA295" s="440">
        <v>52.0</v>
      </c>
      <c r="AB295" s="440">
        <v>56.0</v>
      </c>
      <c r="AC295" s="440">
        <v>60.0</v>
      </c>
      <c r="AD295" s="440">
        <v>64.0</v>
      </c>
      <c r="AE295" s="441"/>
      <c r="AF295" s="441" t="s">
        <v>1011</v>
      </c>
      <c r="AG295" s="441">
        <v>40.0</v>
      </c>
      <c r="AH295" s="441">
        <v>6.0</v>
      </c>
      <c r="AI295" s="441">
        <v>4.0</v>
      </c>
      <c r="AJ295" s="441"/>
      <c r="AK295" s="441"/>
      <c r="AL295" s="441"/>
      <c r="AM295" s="441"/>
      <c r="AN295" s="441"/>
      <c r="AO295" s="441"/>
      <c r="AP295" s="441"/>
      <c r="AQ295" s="441"/>
      <c r="AR295" s="441"/>
      <c r="AS295" s="441"/>
      <c r="AT295" s="441"/>
      <c r="AU295" s="441"/>
      <c r="AV295" s="441"/>
      <c r="AW295" s="441"/>
      <c r="AX295" s="441"/>
      <c r="AY295" s="441"/>
      <c r="AZ295" s="441"/>
      <c r="BA295" s="441"/>
      <c r="BB295" s="441"/>
      <c r="BC295" s="441"/>
      <c r="BD295" s="441"/>
      <c r="BE295" s="441"/>
      <c r="BF295" s="441"/>
    </row>
    <row r="296" ht="15.0" hidden="1" customHeight="1" outlineLevel="1">
      <c r="A296" s="571" t="s">
        <v>756</v>
      </c>
      <c r="B296" s="572">
        <v>2.0</v>
      </c>
      <c r="C296" s="572">
        <v>2.0</v>
      </c>
      <c r="D296" s="572">
        <v>2.0</v>
      </c>
      <c r="E296" s="572">
        <v>2.0</v>
      </c>
      <c r="F296" s="572">
        <v>2.0</v>
      </c>
      <c r="G296" s="572">
        <v>2.0</v>
      </c>
      <c r="H296" s="572">
        <v>3.0</v>
      </c>
      <c r="I296" s="582"/>
      <c r="J296" s="565"/>
      <c r="K296" s="565"/>
      <c r="L296" s="583"/>
      <c r="M296" s="565"/>
      <c r="N296" s="565"/>
      <c r="O296" s="565"/>
      <c r="P296" s="565"/>
      <c r="Q296" s="570"/>
      <c r="R296" s="565"/>
      <c r="S296" s="436"/>
      <c r="T296" s="467"/>
      <c r="U296" s="467"/>
      <c r="V296" s="438"/>
      <c r="W296" s="438"/>
      <c r="X296" s="467"/>
      <c r="Y296" s="467"/>
      <c r="Z296" s="467"/>
      <c r="AA296" s="467"/>
      <c r="AB296" s="467"/>
      <c r="AC296" s="438"/>
      <c r="AD296" s="438"/>
      <c r="AE296" s="441"/>
      <c r="AF296" s="441"/>
      <c r="AG296" s="441"/>
      <c r="AH296" s="441"/>
      <c r="AI296" s="441"/>
      <c r="AJ296" s="441"/>
      <c r="AK296" s="441"/>
      <c r="AL296" s="441"/>
      <c r="AM296" s="441"/>
      <c r="AN296" s="441"/>
      <c r="AO296" s="441"/>
      <c r="AP296" s="441"/>
      <c r="AQ296" s="441"/>
      <c r="AR296" s="441"/>
      <c r="AS296" s="441"/>
      <c r="AT296" s="441"/>
      <c r="AU296" s="441"/>
      <c r="AV296" s="441"/>
      <c r="AW296" s="441"/>
      <c r="AX296" s="441"/>
      <c r="AY296" s="441"/>
      <c r="AZ296" s="441"/>
      <c r="BA296" s="441"/>
      <c r="BB296" s="441"/>
      <c r="BC296" s="441"/>
      <c r="BD296" s="441"/>
      <c r="BE296" s="441"/>
      <c r="BF296" s="441"/>
    </row>
    <row r="297" ht="15.0" hidden="1" customHeight="1" outlineLevel="1">
      <c r="A297" s="571" t="s">
        <v>757</v>
      </c>
      <c r="B297" s="572">
        <v>16.0</v>
      </c>
      <c r="C297" s="572">
        <v>16.0</v>
      </c>
      <c r="D297" s="572">
        <v>20.0</v>
      </c>
      <c r="E297" s="572">
        <v>20.0</v>
      </c>
      <c r="F297" s="572">
        <v>24.0</v>
      </c>
      <c r="G297" s="572">
        <v>24.0</v>
      </c>
      <c r="H297" s="572">
        <v>30.0</v>
      </c>
      <c r="I297" s="582"/>
      <c r="J297" s="565"/>
      <c r="K297" s="565"/>
      <c r="L297" s="583"/>
      <c r="M297" s="565"/>
      <c r="N297" s="565"/>
      <c r="O297" s="565"/>
      <c r="P297" s="565"/>
      <c r="Q297" s="570"/>
      <c r="R297" s="565"/>
      <c r="S297" s="436"/>
      <c r="T297" s="467"/>
      <c r="U297" s="467"/>
      <c r="V297" s="438"/>
      <c r="W297" s="438"/>
      <c r="X297" s="467"/>
      <c r="Y297" s="467"/>
      <c r="Z297" s="467"/>
      <c r="AA297" s="467"/>
      <c r="AB297" s="467"/>
      <c r="AC297" s="438"/>
      <c r="AD297" s="438"/>
      <c r="AE297" s="441"/>
      <c r="AF297" s="441"/>
      <c r="AG297" s="441"/>
      <c r="AH297" s="441"/>
      <c r="AI297" s="441"/>
      <c r="AJ297" s="441"/>
      <c r="AK297" s="441"/>
      <c r="AL297" s="441"/>
      <c r="AM297" s="441"/>
      <c r="AN297" s="441"/>
      <c r="AO297" s="441"/>
      <c r="AP297" s="441"/>
      <c r="AQ297" s="441"/>
      <c r="AR297" s="441"/>
      <c r="AS297" s="441"/>
      <c r="AT297" s="441"/>
      <c r="AU297" s="441"/>
      <c r="AV297" s="441"/>
      <c r="AW297" s="441"/>
      <c r="AX297" s="441"/>
      <c r="AY297" s="441"/>
      <c r="AZ297" s="441"/>
      <c r="BA297" s="441"/>
      <c r="BB297" s="441"/>
      <c r="BC297" s="441"/>
      <c r="BD297" s="441"/>
      <c r="BE297" s="441"/>
      <c r="BF297" s="441"/>
    </row>
    <row r="298" ht="15.0" hidden="1" customHeight="1" outlineLevel="1">
      <c r="A298" s="571" t="s">
        <v>758</v>
      </c>
      <c r="B298" s="572">
        <v>2.0</v>
      </c>
      <c r="C298" s="572">
        <v>7.0</v>
      </c>
      <c r="D298" s="572">
        <v>10.0</v>
      </c>
      <c r="E298" s="572">
        <v>16.0</v>
      </c>
      <c r="F298" s="572">
        <v>20.0</v>
      </c>
      <c r="G298" s="572">
        <v>27.0</v>
      </c>
      <c r="H298" s="572">
        <v>31.0</v>
      </c>
      <c r="I298" s="582"/>
      <c r="J298" s="565"/>
      <c r="K298" s="565"/>
      <c r="L298" s="583"/>
      <c r="M298" s="565"/>
      <c r="N298" s="565"/>
      <c r="O298" s="565"/>
      <c r="P298" s="565"/>
      <c r="Q298" s="570"/>
      <c r="R298" s="565"/>
      <c r="S298" s="436"/>
      <c r="T298" s="467"/>
      <c r="U298" s="467"/>
      <c r="V298" s="438"/>
      <c r="W298" s="438"/>
      <c r="X298" s="467"/>
      <c r="Y298" s="467"/>
      <c r="Z298" s="467"/>
      <c r="AA298" s="467"/>
      <c r="AB298" s="467"/>
      <c r="AC298" s="438"/>
      <c r="AD298" s="438"/>
      <c r="AE298" s="441"/>
      <c r="AF298" s="441"/>
      <c r="AG298" s="441"/>
      <c r="AH298" s="441"/>
      <c r="AI298" s="441"/>
      <c r="AJ298" s="441"/>
      <c r="AK298" s="441"/>
      <c r="AL298" s="441"/>
      <c r="AM298" s="441"/>
      <c r="AN298" s="441"/>
      <c r="AO298" s="441"/>
      <c r="AP298" s="441"/>
      <c r="AQ298" s="441"/>
      <c r="AR298" s="441"/>
      <c r="AS298" s="441"/>
      <c r="AT298" s="441"/>
      <c r="AU298" s="441"/>
      <c r="AV298" s="441"/>
      <c r="AW298" s="441"/>
      <c r="AX298" s="441"/>
      <c r="AY298" s="441"/>
      <c r="AZ298" s="441"/>
      <c r="BA298" s="441"/>
      <c r="BB298" s="441"/>
      <c r="BC298" s="441"/>
      <c r="BD298" s="441"/>
      <c r="BE298" s="441"/>
      <c r="BF298" s="441"/>
    </row>
    <row r="299" ht="15.0" hidden="1" customHeight="1" outlineLevel="1">
      <c r="A299" s="571" t="s">
        <v>759</v>
      </c>
      <c r="B299" s="572">
        <f t="shared" ref="B299:H299" si="154">(B296+B297)/2+B298</f>
        <v>11</v>
      </c>
      <c r="C299" s="572">
        <f t="shared" si="154"/>
        <v>16</v>
      </c>
      <c r="D299" s="572">
        <f t="shared" si="154"/>
        <v>21</v>
      </c>
      <c r="E299" s="572">
        <f t="shared" si="154"/>
        <v>27</v>
      </c>
      <c r="F299" s="572">
        <f t="shared" si="154"/>
        <v>33</v>
      </c>
      <c r="G299" s="572">
        <f t="shared" si="154"/>
        <v>40</v>
      </c>
      <c r="H299" s="572">
        <f t="shared" si="154"/>
        <v>47.5</v>
      </c>
      <c r="I299" s="582"/>
      <c r="J299" s="565"/>
      <c r="K299" s="565"/>
      <c r="L299" s="583"/>
      <c r="M299" s="565"/>
      <c r="N299" s="565"/>
      <c r="O299" s="565"/>
      <c r="P299" s="565"/>
      <c r="Q299" s="570"/>
      <c r="R299" s="565"/>
      <c r="S299" s="436"/>
      <c r="T299" s="467"/>
      <c r="U299" s="467"/>
      <c r="V299" s="438"/>
      <c r="W299" s="438"/>
      <c r="X299" s="467"/>
      <c r="Y299" s="467"/>
      <c r="Z299" s="467"/>
      <c r="AA299" s="467"/>
      <c r="AB299" s="467"/>
      <c r="AC299" s="438"/>
      <c r="AD299" s="438"/>
      <c r="AE299" s="441"/>
      <c r="AF299" s="441"/>
      <c r="AG299" s="441"/>
      <c r="AH299" s="441"/>
      <c r="AI299" s="441"/>
      <c r="AJ299" s="441"/>
      <c r="AK299" s="441"/>
      <c r="AL299" s="441"/>
      <c r="AM299" s="441"/>
      <c r="AN299" s="441"/>
      <c r="AO299" s="441"/>
      <c r="AP299" s="441"/>
      <c r="AQ299" s="441"/>
      <c r="AR299" s="441"/>
      <c r="AS299" s="441"/>
      <c r="AT299" s="441"/>
      <c r="AU299" s="441"/>
      <c r="AV299" s="441"/>
      <c r="AW299" s="441"/>
      <c r="AX299" s="441"/>
      <c r="AY299" s="441"/>
      <c r="AZ299" s="441"/>
      <c r="BA299" s="441"/>
      <c r="BB299" s="441"/>
      <c r="BC299" s="441"/>
      <c r="BD299" s="441"/>
      <c r="BE299" s="441"/>
      <c r="BF299" s="441"/>
    </row>
    <row r="300" ht="15.0" hidden="1" customHeight="1" outlineLevel="1">
      <c r="A300" s="571" t="s">
        <v>760</v>
      </c>
      <c r="B300" s="574"/>
      <c r="C300" s="574">
        <f t="shared" ref="C300:H300" si="155">C299/B299-1</f>
        <v>0.4545454545</v>
      </c>
      <c r="D300" s="574">
        <f t="shared" si="155"/>
        <v>0.3125</v>
      </c>
      <c r="E300" s="574">
        <f t="shared" si="155"/>
        <v>0.2857142857</v>
      </c>
      <c r="F300" s="574">
        <f t="shared" si="155"/>
        <v>0.2222222222</v>
      </c>
      <c r="G300" s="574">
        <f t="shared" si="155"/>
        <v>0.2121212121</v>
      </c>
      <c r="H300" s="574">
        <f t="shared" si="155"/>
        <v>0.1875</v>
      </c>
      <c r="I300" s="582"/>
      <c r="J300" s="565"/>
      <c r="K300" s="565"/>
      <c r="L300" s="583"/>
      <c r="M300" s="565"/>
      <c r="N300" s="565"/>
      <c r="O300" s="565"/>
      <c r="P300" s="565"/>
      <c r="Q300" s="570"/>
      <c r="R300" s="565"/>
      <c r="S300" s="436"/>
      <c r="T300" s="467"/>
      <c r="U300" s="467"/>
      <c r="V300" s="438"/>
      <c r="W300" s="438"/>
      <c r="X300" s="467"/>
      <c r="Y300" s="467"/>
      <c r="Z300" s="467"/>
      <c r="AA300" s="467"/>
      <c r="AB300" s="467"/>
      <c r="AC300" s="438"/>
      <c r="AD300" s="438"/>
      <c r="AE300" s="441"/>
      <c r="AF300" s="441"/>
      <c r="AG300" s="441"/>
      <c r="AH300" s="441"/>
      <c r="AI300" s="441"/>
      <c r="AJ300" s="441"/>
      <c r="AK300" s="441"/>
      <c r="AL300" s="441"/>
      <c r="AM300" s="441"/>
      <c r="AN300" s="441"/>
      <c r="AO300" s="441"/>
      <c r="AP300" s="441"/>
      <c r="AQ300" s="441"/>
      <c r="AR300" s="441"/>
      <c r="AS300" s="441"/>
      <c r="AT300" s="441"/>
      <c r="AU300" s="441"/>
      <c r="AV300" s="441"/>
      <c r="AW300" s="441"/>
      <c r="AX300" s="441"/>
      <c r="AY300" s="441"/>
      <c r="AZ300" s="441"/>
      <c r="BA300" s="441"/>
      <c r="BB300" s="441"/>
      <c r="BC300" s="441"/>
      <c r="BD300" s="441"/>
      <c r="BE300" s="441"/>
      <c r="BF300" s="441"/>
    </row>
    <row r="301" ht="15.0" hidden="1" customHeight="1" outlineLevel="1">
      <c r="A301" s="571" t="s">
        <v>761</v>
      </c>
      <c r="B301" s="572">
        <f>$K295</f>
        <v>5</v>
      </c>
      <c r="C301" s="572"/>
      <c r="D301" s="574"/>
      <c r="E301" s="574"/>
      <c r="F301" s="574"/>
      <c r="G301" s="574"/>
      <c r="H301" s="574"/>
      <c r="I301" s="582"/>
      <c r="J301" s="565"/>
      <c r="K301" s="565"/>
      <c r="L301" s="583"/>
      <c r="M301" s="565"/>
      <c r="N301" s="565"/>
      <c r="O301" s="565"/>
      <c r="P301" s="565"/>
      <c r="Q301" s="570"/>
      <c r="R301" s="565"/>
      <c r="S301" s="436"/>
      <c r="T301" s="467"/>
      <c r="U301" s="467"/>
      <c r="V301" s="438"/>
      <c r="W301" s="438"/>
      <c r="X301" s="467"/>
      <c r="Y301" s="467"/>
      <c r="Z301" s="467"/>
      <c r="AA301" s="467"/>
      <c r="AB301" s="467"/>
      <c r="AC301" s="438"/>
      <c r="AD301" s="438"/>
      <c r="AE301" s="441"/>
      <c r="AF301" s="441"/>
      <c r="AG301" s="441"/>
      <c r="AH301" s="441"/>
      <c r="AI301" s="441"/>
      <c r="AJ301" s="441"/>
      <c r="AK301" s="441"/>
      <c r="AL301" s="441"/>
      <c r="AM301" s="441"/>
      <c r="AN301" s="441"/>
      <c r="AO301" s="441"/>
      <c r="AP301" s="441"/>
      <c r="AQ301" s="441"/>
      <c r="AR301" s="441"/>
      <c r="AS301" s="441"/>
      <c r="AT301" s="441"/>
      <c r="AU301" s="441"/>
      <c r="AV301" s="441"/>
      <c r="AW301" s="441"/>
      <c r="AX301" s="441"/>
      <c r="AY301" s="441"/>
      <c r="AZ301" s="441"/>
      <c r="BA301" s="441"/>
      <c r="BB301" s="441"/>
      <c r="BC301" s="441"/>
      <c r="BD301" s="441"/>
      <c r="BE301" s="441"/>
      <c r="BF301" s="441"/>
    </row>
    <row r="302" ht="15.0" hidden="1" customHeight="1" outlineLevel="1">
      <c r="A302" s="571" t="s">
        <v>762</v>
      </c>
      <c r="B302" s="572">
        <f t="shared" ref="B302:H302" si="156">B299/$B301</f>
        <v>2.2</v>
      </c>
      <c r="C302" s="572">
        <f t="shared" si="156"/>
        <v>3.2</v>
      </c>
      <c r="D302" s="572">
        <f t="shared" si="156"/>
        <v>4.2</v>
      </c>
      <c r="E302" s="572">
        <f t="shared" si="156"/>
        <v>5.4</v>
      </c>
      <c r="F302" s="572">
        <f t="shared" si="156"/>
        <v>6.6</v>
      </c>
      <c r="G302" s="572">
        <f t="shared" si="156"/>
        <v>8</v>
      </c>
      <c r="H302" s="572">
        <f t="shared" si="156"/>
        <v>9.5</v>
      </c>
      <c r="I302" s="582"/>
      <c r="J302" s="565"/>
      <c r="K302" s="565"/>
      <c r="L302" s="583"/>
      <c r="M302" s="565"/>
      <c r="N302" s="565"/>
      <c r="O302" s="565"/>
      <c r="P302" s="565"/>
      <c r="Q302" s="570"/>
      <c r="R302" s="565"/>
      <c r="S302" s="436"/>
      <c r="T302" s="467"/>
      <c r="U302" s="467"/>
      <c r="V302" s="438"/>
      <c r="W302" s="438"/>
      <c r="X302" s="467"/>
      <c r="Y302" s="467"/>
      <c r="Z302" s="467"/>
      <c r="AA302" s="467"/>
      <c r="AB302" s="467"/>
      <c r="AC302" s="438"/>
      <c r="AD302" s="438"/>
      <c r="AE302" s="441"/>
      <c r="AF302" s="441"/>
      <c r="AG302" s="441"/>
      <c r="AH302" s="441"/>
      <c r="AI302" s="441"/>
      <c r="AJ302" s="441"/>
      <c r="AK302" s="441"/>
      <c r="AL302" s="441"/>
      <c r="AM302" s="441"/>
      <c r="AN302" s="441"/>
      <c r="AO302" s="441"/>
      <c r="AP302" s="441"/>
      <c r="AQ302" s="441"/>
      <c r="AR302" s="441"/>
      <c r="AS302" s="441"/>
      <c r="AT302" s="441"/>
      <c r="AU302" s="441"/>
      <c r="AV302" s="441"/>
      <c r="AW302" s="441"/>
      <c r="AX302" s="441"/>
      <c r="AY302" s="441"/>
      <c r="AZ302" s="441"/>
      <c r="BA302" s="441"/>
      <c r="BB302" s="441"/>
      <c r="BC302" s="441"/>
      <c r="BD302" s="441"/>
      <c r="BE302" s="441"/>
      <c r="BF302" s="441"/>
    </row>
    <row r="303" ht="15.0" customHeight="1" collapsed="1">
      <c r="A303" s="584"/>
      <c r="B303" s="585"/>
      <c r="C303" s="585"/>
      <c r="D303" s="585"/>
      <c r="E303" s="585"/>
      <c r="F303" s="585"/>
      <c r="G303" s="585"/>
      <c r="H303" s="586" t="s">
        <v>1012</v>
      </c>
      <c r="I303" s="585"/>
      <c r="J303" s="585"/>
      <c r="K303" s="585"/>
      <c r="L303" s="585"/>
      <c r="M303" s="585"/>
      <c r="N303" s="585"/>
      <c r="O303" s="585"/>
      <c r="P303" s="585"/>
      <c r="Q303" s="585"/>
      <c r="R303" s="587"/>
      <c r="S303" s="436"/>
      <c r="T303" s="467"/>
      <c r="U303" s="467"/>
      <c r="V303" s="438"/>
      <c r="W303" s="438"/>
      <c r="X303" s="467"/>
      <c r="Y303" s="467"/>
      <c r="Z303" s="467"/>
      <c r="AA303" s="467"/>
      <c r="AB303" s="467"/>
      <c r="AC303" s="438"/>
      <c r="AD303" s="438"/>
      <c r="AE303" s="441"/>
      <c r="AF303" s="441" t="s">
        <v>1013</v>
      </c>
      <c r="AG303" s="441">
        <v>42.0</v>
      </c>
      <c r="AH303" s="441">
        <v>6.0</v>
      </c>
      <c r="AI303" s="441">
        <v>5.0</v>
      </c>
      <c r="AJ303" s="441"/>
      <c r="AK303" s="441"/>
      <c r="AL303" s="441"/>
      <c r="AM303" s="441"/>
      <c r="AN303" s="441"/>
      <c r="AO303" s="441"/>
      <c r="AP303" s="441"/>
      <c r="AQ303" s="441"/>
      <c r="AR303" s="441"/>
      <c r="AS303" s="441"/>
      <c r="AT303" s="441"/>
      <c r="AU303" s="441"/>
      <c r="AV303" s="441"/>
      <c r="AW303" s="441"/>
      <c r="AX303" s="441"/>
      <c r="AY303" s="441"/>
      <c r="AZ303" s="441"/>
      <c r="BA303" s="441"/>
      <c r="BB303" s="441"/>
      <c r="BC303" s="441"/>
      <c r="BD303" s="441"/>
      <c r="BE303" s="441"/>
      <c r="BF303" s="441"/>
    </row>
    <row r="304" ht="15.0" customHeight="1">
      <c r="A304" s="588" t="s">
        <v>1014</v>
      </c>
      <c r="B304" s="589" t="s">
        <v>748</v>
      </c>
      <c r="C304" s="590" t="s">
        <v>749</v>
      </c>
      <c r="D304" s="590" t="s">
        <v>750</v>
      </c>
      <c r="E304" s="590" t="s">
        <v>121</v>
      </c>
      <c r="F304" s="590" t="s">
        <v>751</v>
      </c>
      <c r="G304" s="590" t="s">
        <v>752</v>
      </c>
      <c r="H304" s="590" t="s">
        <v>753</v>
      </c>
      <c r="I304" s="591" t="s">
        <v>754</v>
      </c>
      <c r="J304" s="590">
        <v>1.0</v>
      </c>
      <c r="K304" s="590">
        <v>1.0</v>
      </c>
      <c r="L304" s="592">
        <f>VLOOKUP(A304,'Кузнец'!$B$145:$J$193,9,FALSE)</f>
        <v>1.44</v>
      </c>
      <c r="M304" s="589" t="s">
        <v>979</v>
      </c>
      <c r="N304" s="590">
        <f>VLOOKUP(A304,'Кузнец'!$B$145:$J$193,4,FALSE)</f>
        <v>4</v>
      </c>
      <c r="O304" s="590">
        <v>6.0</v>
      </c>
      <c r="P304" s="589" t="s">
        <v>755</v>
      </c>
      <c r="Q304" s="593"/>
      <c r="R304" s="589" t="s">
        <v>1015</v>
      </c>
      <c r="S304" s="454">
        <v>0.0</v>
      </c>
      <c r="T304" s="467"/>
      <c r="U304" s="467"/>
      <c r="V304" s="438"/>
      <c r="W304" s="438"/>
      <c r="X304" s="440">
        <v>0.0</v>
      </c>
      <c r="Y304" s="440">
        <v>0.0</v>
      </c>
      <c r="Z304" s="440">
        <v>0.0</v>
      </c>
      <c r="AA304" s="440">
        <v>0.0</v>
      </c>
      <c r="AB304" s="440">
        <v>0.0</v>
      </c>
      <c r="AC304" s="440">
        <v>0.0</v>
      </c>
      <c r="AD304" s="440">
        <v>0.0</v>
      </c>
      <c r="AE304" s="441"/>
      <c r="AF304" s="441" t="s">
        <v>1016</v>
      </c>
      <c r="AG304" s="441">
        <v>44.0</v>
      </c>
      <c r="AH304" s="441">
        <v>6.0</v>
      </c>
      <c r="AI304" s="441">
        <v>5.0</v>
      </c>
      <c r="AJ304" s="441"/>
      <c r="AK304" s="441"/>
      <c r="AL304" s="441"/>
      <c r="AM304" s="441"/>
      <c r="AN304" s="441"/>
      <c r="AO304" s="441"/>
      <c r="AP304" s="441"/>
      <c r="AQ304" s="441"/>
      <c r="AR304" s="441"/>
      <c r="AS304" s="441"/>
      <c r="AT304" s="441"/>
      <c r="AU304" s="441"/>
      <c r="AV304" s="441"/>
      <c r="AW304" s="441"/>
      <c r="AX304" s="441"/>
      <c r="AY304" s="441"/>
      <c r="AZ304" s="441"/>
      <c r="BA304" s="441"/>
      <c r="BB304" s="441"/>
      <c r="BC304" s="441"/>
      <c r="BD304" s="441"/>
      <c r="BE304" s="441"/>
      <c r="BF304" s="441"/>
    </row>
    <row r="305" ht="15.0" hidden="1" customHeight="1" outlineLevel="1">
      <c r="A305" s="594" t="s">
        <v>756</v>
      </c>
      <c r="B305" s="595">
        <v>1.0</v>
      </c>
      <c r="C305" s="595">
        <v>1.0</v>
      </c>
      <c r="D305" s="595">
        <v>1.0</v>
      </c>
      <c r="E305" s="595">
        <v>1.0</v>
      </c>
      <c r="F305" s="595">
        <v>1.0</v>
      </c>
      <c r="G305" s="595">
        <v>1.0</v>
      </c>
      <c r="H305" s="595">
        <v>1.0</v>
      </c>
      <c r="I305" s="591"/>
      <c r="J305" s="590"/>
      <c r="K305" s="590"/>
      <c r="L305" s="592" t="str">
        <f>VLOOKUP(A305,'Кузнец'!$B$145:$J$193,9,FALSE)</f>
        <v>#N/A</v>
      </c>
      <c r="M305" s="590"/>
      <c r="N305" s="590" t="str">
        <f>VLOOKUP(A305,'Кузнец'!$B$145:$J$193,4,FALSE)</f>
        <v>#N/A</v>
      </c>
      <c r="O305" s="590"/>
      <c r="P305" s="590"/>
      <c r="Q305" s="593"/>
      <c r="R305" s="590"/>
      <c r="S305" s="454">
        <v>0.0</v>
      </c>
      <c r="T305" s="467"/>
      <c r="U305" s="467"/>
      <c r="V305" s="438"/>
      <c r="W305" s="438"/>
      <c r="X305" s="440">
        <v>0.0</v>
      </c>
      <c r="Y305" s="440">
        <v>0.0</v>
      </c>
      <c r="Z305" s="440">
        <v>0.0</v>
      </c>
      <c r="AA305" s="440">
        <v>0.0</v>
      </c>
      <c r="AB305" s="440">
        <v>0.0</v>
      </c>
      <c r="AC305" s="440">
        <v>0.0</v>
      </c>
      <c r="AD305" s="440">
        <v>0.0</v>
      </c>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441"/>
      <c r="AZ305" s="441"/>
      <c r="BA305" s="441"/>
      <c r="BB305" s="441"/>
      <c r="BC305" s="441"/>
      <c r="BD305" s="441"/>
      <c r="BE305" s="441"/>
      <c r="BF305" s="441"/>
    </row>
    <row r="306" ht="15.0" hidden="1" customHeight="1" outlineLevel="1">
      <c r="A306" s="594" t="s">
        <v>757</v>
      </c>
      <c r="B306" s="595">
        <v>4.0</v>
      </c>
      <c r="C306" s="595">
        <v>4.0</v>
      </c>
      <c r="D306" s="595">
        <v>6.0</v>
      </c>
      <c r="E306" s="595">
        <v>6.0</v>
      </c>
      <c r="F306" s="595">
        <v>8.0</v>
      </c>
      <c r="G306" s="595">
        <v>8.0</v>
      </c>
      <c r="H306" s="595">
        <v>10.0</v>
      </c>
      <c r="I306" s="591"/>
      <c r="J306" s="590"/>
      <c r="K306" s="590"/>
      <c r="L306" s="592" t="str">
        <f>VLOOKUP(A306,'Кузнец'!$B$145:$J$193,9,FALSE)</f>
        <v>#N/A</v>
      </c>
      <c r="M306" s="590"/>
      <c r="N306" s="590" t="str">
        <f>VLOOKUP(A306,'Кузнец'!$B$145:$J$193,4,FALSE)</f>
        <v>#N/A</v>
      </c>
      <c r="O306" s="590"/>
      <c r="P306" s="590"/>
      <c r="Q306" s="593"/>
      <c r="R306" s="590"/>
      <c r="S306" s="454">
        <v>0.0</v>
      </c>
      <c r="T306" s="467"/>
      <c r="U306" s="467"/>
      <c r="V306" s="438"/>
      <c r="W306" s="438"/>
      <c r="X306" s="440">
        <v>0.0</v>
      </c>
      <c r="Y306" s="440">
        <v>0.0</v>
      </c>
      <c r="Z306" s="440">
        <v>0.0</v>
      </c>
      <c r="AA306" s="440">
        <v>0.0</v>
      </c>
      <c r="AB306" s="440">
        <v>0.0</v>
      </c>
      <c r="AC306" s="440">
        <v>0.0</v>
      </c>
      <c r="AD306" s="440">
        <v>0.0</v>
      </c>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441"/>
      <c r="AZ306" s="441"/>
      <c r="BA306" s="441"/>
      <c r="BB306" s="441"/>
      <c r="BC306" s="441"/>
      <c r="BD306" s="441"/>
      <c r="BE306" s="441"/>
      <c r="BF306" s="441"/>
    </row>
    <row r="307" ht="15.0" hidden="1" customHeight="1" outlineLevel="1">
      <c r="A307" s="594" t="s">
        <v>758</v>
      </c>
      <c r="B307" s="595">
        <v>0.0</v>
      </c>
      <c r="C307" s="595">
        <v>1.0</v>
      </c>
      <c r="D307" s="595">
        <v>1.0</v>
      </c>
      <c r="E307" s="595">
        <v>3.0</v>
      </c>
      <c r="F307" s="595">
        <v>4.0</v>
      </c>
      <c r="G307" s="595">
        <v>7.0</v>
      </c>
      <c r="H307" s="595">
        <v>9.0</v>
      </c>
      <c r="I307" s="591"/>
      <c r="J307" s="590"/>
      <c r="K307" s="590"/>
      <c r="L307" s="592" t="str">
        <f>VLOOKUP(A307,'Кузнец'!$B$145:$J$193,9,FALSE)</f>
        <v>#N/A</v>
      </c>
      <c r="M307" s="590"/>
      <c r="N307" s="590" t="str">
        <f>VLOOKUP(A307,'Кузнец'!$B$145:$J$193,4,FALSE)</f>
        <v>#N/A</v>
      </c>
      <c r="O307" s="590"/>
      <c r="P307" s="590"/>
      <c r="Q307" s="593"/>
      <c r="R307" s="590"/>
      <c r="S307" s="454">
        <v>0.0</v>
      </c>
      <c r="T307" s="467"/>
      <c r="U307" s="467"/>
      <c r="V307" s="438"/>
      <c r="W307" s="438"/>
      <c r="X307" s="440">
        <v>0.0</v>
      </c>
      <c r="Y307" s="440">
        <v>0.0</v>
      </c>
      <c r="Z307" s="440">
        <v>0.0</v>
      </c>
      <c r="AA307" s="440">
        <v>0.0</v>
      </c>
      <c r="AB307" s="440">
        <v>0.0</v>
      </c>
      <c r="AC307" s="440">
        <v>0.0</v>
      </c>
      <c r="AD307" s="440">
        <v>0.0</v>
      </c>
      <c r="AE307" s="441"/>
      <c r="AF307" s="441"/>
      <c r="AG307" s="441"/>
      <c r="AH307" s="441"/>
      <c r="AI307" s="441"/>
      <c r="AJ307" s="441"/>
      <c r="AK307" s="441"/>
      <c r="AL307" s="441"/>
      <c r="AM307" s="441"/>
      <c r="AN307" s="441"/>
      <c r="AO307" s="441"/>
      <c r="AP307" s="441"/>
      <c r="AQ307" s="441"/>
      <c r="AR307" s="441"/>
      <c r="AS307" s="441"/>
      <c r="AT307" s="441"/>
      <c r="AU307" s="441"/>
      <c r="AV307" s="441"/>
      <c r="AW307" s="441"/>
      <c r="AX307" s="441"/>
      <c r="AY307" s="441"/>
      <c r="AZ307" s="441"/>
      <c r="BA307" s="441"/>
      <c r="BB307" s="441"/>
      <c r="BC307" s="441"/>
      <c r="BD307" s="441"/>
      <c r="BE307" s="441"/>
      <c r="BF307" s="441"/>
    </row>
    <row r="308" ht="15.0" hidden="1" customHeight="1" outlineLevel="1">
      <c r="A308" s="594" t="s">
        <v>759</v>
      </c>
      <c r="B308" s="595">
        <f t="shared" ref="B308:H308" si="157">(B305+B306)/2+B307</f>
        <v>2.5</v>
      </c>
      <c r="C308" s="595">
        <f t="shared" si="157"/>
        <v>3.5</v>
      </c>
      <c r="D308" s="595">
        <f t="shared" si="157"/>
        <v>4.5</v>
      </c>
      <c r="E308" s="595">
        <f t="shared" si="157"/>
        <v>6.5</v>
      </c>
      <c r="F308" s="595">
        <f t="shared" si="157"/>
        <v>8.5</v>
      </c>
      <c r="G308" s="595">
        <f t="shared" si="157"/>
        <v>11.5</v>
      </c>
      <c r="H308" s="595">
        <f t="shared" si="157"/>
        <v>14.5</v>
      </c>
      <c r="I308" s="591"/>
      <c r="J308" s="590"/>
      <c r="K308" s="590"/>
      <c r="L308" s="592" t="str">
        <f>VLOOKUP(A308,'Кузнец'!$B$145:$J$193,9,FALSE)</f>
        <v>#N/A</v>
      </c>
      <c r="M308" s="590"/>
      <c r="N308" s="590" t="str">
        <f>VLOOKUP(A308,'Кузнец'!$B$145:$J$193,4,FALSE)</f>
        <v>#N/A</v>
      </c>
      <c r="O308" s="590"/>
      <c r="P308" s="590"/>
      <c r="Q308" s="593"/>
      <c r="R308" s="590"/>
      <c r="S308" s="454">
        <v>0.0</v>
      </c>
      <c r="T308" s="467"/>
      <c r="U308" s="467"/>
      <c r="V308" s="438"/>
      <c r="W308" s="438"/>
      <c r="X308" s="440">
        <v>0.0</v>
      </c>
      <c r="Y308" s="440">
        <v>0.0</v>
      </c>
      <c r="Z308" s="440">
        <v>0.0</v>
      </c>
      <c r="AA308" s="440">
        <v>0.0</v>
      </c>
      <c r="AB308" s="440">
        <v>0.0</v>
      </c>
      <c r="AC308" s="440">
        <v>0.0</v>
      </c>
      <c r="AD308" s="440">
        <v>0.0</v>
      </c>
      <c r="AE308" s="441"/>
      <c r="AF308" s="441"/>
      <c r="AG308" s="441"/>
      <c r="AH308" s="441"/>
      <c r="AI308" s="441"/>
      <c r="AJ308" s="441"/>
      <c r="AK308" s="441"/>
      <c r="AL308" s="441"/>
      <c r="AM308" s="441"/>
      <c r="AN308" s="441"/>
      <c r="AO308" s="441"/>
      <c r="AP308" s="441"/>
      <c r="AQ308" s="441"/>
      <c r="AR308" s="441"/>
      <c r="AS308" s="441"/>
      <c r="AT308" s="441"/>
      <c r="AU308" s="441"/>
      <c r="AV308" s="441"/>
      <c r="AW308" s="441"/>
      <c r="AX308" s="441"/>
      <c r="AY308" s="441"/>
      <c r="AZ308" s="441"/>
      <c r="BA308" s="441"/>
      <c r="BB308" s="441"/>
      <c r="BC308" s="441"/>
      <c r="BD308" s="441"/>
      <c r="BE308" s="441"/>
      <c r="BF308" s="441"/>
    </row>
    <row r="309" ht="15.0" hidden="1" customHeight="1" outlineLevel="1">
      <c r="A309" s="594" t="s">
        <v>760</v>
      </c>
      <c r="B309" s="596"/>
      <c r="C309" s="596">
        <f t="shared" ref="C309:H309" si="158">C308/B308-1</f>
        <v>0.4</v>
      </c>
      <c r="D309" s="596">
        <f t="shared" si="158"/>
        <v>0.2857142857</v>
      </c>
      <c r="E309" s="596">
        <f t="shared" si="158"/>
        <v>0.4444444444</v>
      </c>
      <c r="F309" s="596">
        <f t="shared" si="158"/>
        <v>0.3076923077</v>
      </c>
      <c r="G309" s="596">
        <f t="shared" si="158"/>
        <v>0.3529411765</v>
      </c>
      <c r="H309" s="596">
        <f t="shared" si="158"/>
        <v>0.2608695652</v>
      </c>
      <c r="I309" s="591"/>
      <c r="J309" s="590"/>
      <c r="K309" s="590"/>
      <c r="L309" s="592" t="str">
        <f>VLOOKUP(A309,'Кузнец'!$B$145:$J$193,9,FALSE)</f>
        <v>#N/A</v>
      </c>
      <c r="M309" s="590"/>
      <c r="N309" s="590" t="str">
        <f>VLOOKUP(A309,'Кузнец'!$B$145:$J$193,4,FALSE)</f>
        <v>#N/A</v>
      </c>
      <c r="O309" s="590"/>
      <c r="P309" s="590"/>
      <c r="Q309" s="593"/>
      <c r="R309" s="590"/>
      <c r="S309" s="454">
        <v>0.0</v>
      </c>
      <c r="T309" s="467"/>
      <c r="U309" s="467"/>
      <c r="V309" s="438"/>
      <c r="W309" s="438"/>
      <c r="X309" s="440">
        <v>0.0</v>
      </c>
      <c r="Y309" s="440">
        <v>0.0</v>
      </c>
      <c r="Z309" s="440">
        <v>0.0</v>
      </c>
      <c r="AA309" s="440">
        <v>0.0</v>
      </c>
      <c r="AB309" s="440">
        <v>0.0</v>
      </c>
      <c r="AC309" s="440">
        <v>0.0</v>
      </c>
      <c r="AD309" s="440">
        <v>0.0</v>
      </c>
      <c r="AE309" s="441"/>
      <c r="AF309" s="441"/>
      <c r="AG309" s="441"/>
      <c r="AH309" s="441"/>
      <c r="AI309" s="441"/>
      <c r="AJ309" s="441"/>
      <c r="AK309" s="441"/>
      <c r="AL309" s="441"/>
      <c r="AM309" s="441"/>
      <c r="AN309" s="441"/>
      <c r="AO309" s="441"/>
      <c r="AP309" s="441"/>
      <c r="AQ309" s="441"/>
      <c r="AR309" s="441"/>
      <c r="AS309" s="441"/>
      <c r="AT309" s="441"/>
      <c r="AU309" s="441"/>
      <c r="AV309" s="441"/>
      <c r="AW309" s="441"/>
      <c r="AX309" s="441"/>
      <c r="AY309" s="441"/>
      <c r="AZ309" s="441"/>
      <c r="BA309" s="441"/>
      <c r="BB309" s="441"/>
      <c r="BC309" s="441"/>
      <c r="BD309" s="441"/>
      <c r="BE309" s="441"/>
      <c r="BF309" s="441"/>
    </row>
    <row r="310" ht="15.0" hidden="1" customHeight="1" outlineLevel="1">
      <c r="A310" s="594" t="s">
        <v>761</v>
      </c>
      <c r="B310" s="595">
        <f>$K304</f>
        <v>1</v>
      </c>
      <c r="C310" s="595"/>
      <c r="D310" s="596"/>
      <c r="E310" s="596"/>
      <c r="F310" s="596"/>
      <c r="G310" s="596"/>
      <c r="H310" s="596"/>
      <c r="I310" s="591"/>
      <c r="J310" s="590"/>
      <c r="K310" s="590"/>
      <c r="L310" s="592" t="str">
        <f>VLOOKUP(A310,'Кузнец'!$B$145:$J$193,9,FALSE)</f>
        <v>#N/A</v>
      </c>
      <c r="M310" s="590"/>
      <c r="N310" s="590" t="str">
        <f>VLOOKUP(A310,'Кузнец'!$B$145:$J$193,4,FALSE)</f>
        <v>#N/A</v>
      </c>
      <c r="O310" s="590"/>
      <c r="P310" s="590"/>
      <c r="Q310" s="593"/>
      <c r="R310" s="590"/>
      <c r="S310" s="454">
        <v>0.0</v>
      </c>
      <c r="T310" s="467"/>
      <c r="U310" s="467"/>
      <c r="V310" s="438"/>
      <c r="W310" s="438"/>
      <c r="X310" s="440">
        <v>0.0</v>
      </c>
      <c r="Y310" s="440">
        <v>0.0</v>
      </c>
      <c r="Z310" s="440">
        <v>0.0</v>
      </c>
      <c r="AA310" s="440">
        <v>0.0</v>
      </c>
      <c r="AB310" s="440">
        <v>0.0</v>
      </c>
      <c r="AC310" s="440">
        <v>0.0</v>
      </c>
      <c r="AD310" s="440">
        <v>0.0</v>
      </c>
      <c r="AE310" s="441"/>
      <c r="AF310" s="441"/>
      <c r="AG310" s="441"/>
      <c r="AH310" s="441"/>
      <c r="AI310" s="441"/>
      <c r="AJ310" s="441"/>
      <c r="AK310" s="441"/>
      <c r="AL310" s="441"/>
      <c r="AM310" s="441"/>
      <c r="AN310" s="441"/>
      <c r="AO310" s="441"/>
      <c r="AP310" s="441"/>
      <c r="AQ310" s="441"/>
      <c r="AR310" s="441"/>
      <c r="AS310" s="441"/>
      <c r="AT310" s="441"/>
      <c r="AU310" s="441"/>
      <c r="AV310" s="441"/>
      <c r="AW310" s="441"/>
      <c r="AX310" s="441"/>
      <c r="AY310" s="441"/>
      <c r="AZ310" s="441"/>
      <c r="BA310" s="441"/>
      <c r="BB310" s="441"/>
      <c r="BC310" s="441"/>
      <c r="BD310" s="441"/>
      <c r="BE310" s="441"/>
      <c r="BF310" s="441"/>
    </row>
    <row r="311" ht="15.0" hidden="1" customHeight="1" outlineLevel="1">
      <c r="A311" s="594" t="s">
        <v>762</v>
      </c>
      <c r="B311" s="595">
        <f t="shared" ref="B311:H311" si="159">B308/$B310</f>
        <v>2.5</v>
      </c>
      <c r="C311" s="595">
        <f t="shared" si="159"/>
        <v>3.5</v>
      </c>
      <c r="D311" s="595">
        <f t="shared" si="159"/>
        <v>4.5</v>
      </c>
      <c r="E311" s="595">
        <f t="shared" si="159"/>
        <v>6.5</v>
      </c>
      <c r="F311" s="595">
        <f t="shared" si="159"/>
        <v>8.5</v>
      </c>
      <c r="G311" s="595">
        <f t="shared" si="159"/>
        <v>11.5</v>
      </c>
      <c r="H311" s="595">
        <f t="shared" si="159"/>
        <v>14.5</v>
      </c>
      <c r="I311" s="591"/>
      <c r="J311" s="590"/>
      <c r="K311" s="590"/>
      <c r="L311" s="592" t="str">
        <f>VLOOKUP(A311,'Кузнец'!$B$145:$J$193,9,FALSE)</f>
        <v>#N/A</v>
      </c>
      <c r="M311" s="590"/>
      <c r="N311" s="590" t="str">
        <f>VLOOKUP(A311,'Кузнец'!$B$145:$J$193,4,FALSE)</f>
        <v>#N/A</v>
      </c>
      <c r="O311" s="590"/>
      <c r="P311" s="590"/>
      <c r="Q311" s="593"/>
      <c r="R311" s="590"/>
      <c r="S311" s="454">
        <v>0.0</v>
      </c>
      <c r="T311" s="467"/>
      <c r="U311" s="467"/>
      <c r="V311" s="438"/>
      <c r="W311" s="438"/>
      <c r="X311" s="440">
        <v>0.0</v>
      </c>
      <c r="Y311" s="440">
        <v>0.0</v>
      </c>
      <c r="Z311" s="440">
        <v>0.0</v>
      </c>
      <c r="AA311" s="440">
        <v>0.0</v>
      </c>
      <c r="AB311" s="440">
        <v>0.0</v>
      </c>
      <c r="AC311" s="440">
        <v>0.0</v>
      </c>
      <c r="AD311" s="440">
        <v>0.0</v>
      </c>
      <c r="AE311" s="441"/>
      <c r="AF311" s="441"/>
      <c r="AG311" s="441"/>
      <c r="AH311" s="441"/>
      <c r="AI311" s="441"/>
      <c r="AJ311" s="441"/>
      <c r="AK311" s="441"/>
      <c r="AL311" s="441"/>
      <c r="AM311" s="441"/>
      <c r="AN311" s="441"/>
      <c r="AO311" s="441"/>
      <c r="AP311" s="441"/>
      <c r="AQ311" s="441"/>
      <c r="AR311" s="441"/>
      <c r="AS311" s="441"/>
      <c r="AT311" s="441"/>
      <c r="AU311" s="441"/>
      <c r="AV311" s="441"/>
      <c r="AW311" s="441"/>
      <c r="AX311" s="441"/>
      <c r="AY311" s="441"/>
      <c r="AZ311" s="441"/>
      <c r="BA311" s="441"/>
      <c r="BB311" s="441"/>
      <c r="BC311" s="441"/>
      <c r="BD311" s="441"/>
      <c r="BE311" s="441"/>
      <c r="BF311" s="441"/>
    </row>
    <row r="312" ht="15.0" customHeight="1" collapsed="1">
      <c r="A312" s="588" t="s">
        <v>1017</v>
      </c>
      <c r="B312" s="589" t="s">
        <v>773</v>
      </c>
      <c r="C312" s="590" t="s">
        <v>750</v>
      </c>
      <c r="D312" s="590" t="s">
        <v>924</v>
      </c>
      <c r="E312" s="590" t="s">
        <v>774</v>
      </c>
      <c r="F312" s="590" t="s">
        <v>817</v>
      </c>
      <c r="G312" s="589" t="s">
        <v>925</v>
      </c>
      <c r="H312" s="589" t="s">
        <v>926</v>
      </c>
      <c r="I312" s="591" t="s">
        <v>754</v>
      </c>
      <c r="J312" s="590">
        <v>1.0</v>
      </c>
      <c r="K312" s="590">
        <v>1.0</v>
      </c>
      <c r="L312" s="592">
        <f>VLOOKUP(A312,'Кузнец'!$B$145:$J$193,9,FALSE)</f>
        <v>1.48</v>
      </c>
      <c r="M312" s="589" t="s">
        <v>976</v>
      </c>
      <c r="N312" s="590">
        <f>VLOOKUP(A312,'Кузнец'!$B$145:$J$193,4,FALSE)</f>
        <v>5</v>
      </c>
      <c r="O312" s="590">
        <v>7.0</v>
      </c>
      <c r="P312" s="589" t="s">
        <v>755</v>
      </c>
      <c r="Q312" s="593"/>
      <c r="R312" s="590"/>
      <c r="S312" s="454">
        <v>0.0</v>
      </c>
      <c r="T312" s="467"/>
      <c r="U312" s="467"/>
      <c r="V312" s="438"/>
      <c r="W312" s="438"/>
      <c r="X312" s="440">
        <v>0.0</v>
      </c>
      <c r="Y312" s="440">
        <v>0.0</v>
      </c>
      <c r="Z312" s="440">
        <v>0.0</v>
      </c>
      <c r="AA312" s="440">
        <v>0.0</v>
      </c>
      <c r="AB312" s="440">
        <v>0.0</v>
      </c>
      <c r="AC312" s="440">
        <v>0.0</v>
      </c>
      <c r="AD312" s="440">
        <v>0.0</v>
      </c>
      <c r="AE312" s="441"/>
      <c r="AF312" s="441"/>
      <c r="AG312" s="441"/>
      <c r="AH312" s="441"/>
      <c r="AI312" s="441"/>
      <c r="AJ312" s="441"/>
      <c r="AK312" s="441"/>
      <c r="AL312" s="441"/>
      <c r="AM312" s="441"/>
      <c r="AN312" s="441"/>
      <c r="AO312" s="441"/>
      <c r="AP312" s="441"/>
      <c r="AQ312" s="441"/>
      <c r="AR312" s="441"/>
      <c r="AS312" s="441"/>
      <c r="AT312" s="441"/>
      <c r="AU312" s="441"/>
      <c r="AV312" s="441"/>
      <c r="AW312" s="441"/>
      <c r="AX312" s="441"/>
      <c r="AY312" s="441"/>
      <c r="AZ312" s="441"/>
      <c r="BA312" s="441"/>
      <c r="BB312" s="441"/>
      <c r="BC312" s="441"/>
      <c r="BD312" s="441"/>
      <c r="BE312" s="441"/>
      <c r="BF312" s="441"/>
    </row>
    <row r="313" ht="15.0" hidden="1" customHeight="1" outlineLevel="1">
      <c r="A313" s="594" t="s">
        <v>756</v>
      </c>
      <c r="B313" s="595">
        <v>1.0</v>
      </c>
      <c r="C313" s="595">
        <v>1.0</v>
      </c>
      <c r="D313" s="595">
        <v>1.0</v>
      </c>
      <c r="E313" s="595">
        <v>1.0</v>
      </c>
      <c r="F313" s="595">
        <v>1.0</v>
      </c>
      <c r="G313" s="595">
        <v>1.0</v>
      </c>
      <c r="H313" s="595">
        <v>1.0</v>
      </c>
      <c r="I313" s="591"/>
      <c r="J313" s="590"/>
      <c r="K313" s="590"/>
      <c r="L313" s="592" t="str">
        <f>VLOOKUP(A313,'Кузнец'!$B$145:$J$193,9,FALSE)</f>
        <v>#N/A</v>
      </c>
      <c r="M313" s="590"/>
      <c r="N313" s="590" t="str">
        <f>VLOOKUP(A313,'Кузнец'!$B$145:$J$193,4,FALSE)</f>
        <v>#N/A</v>
      </c>
      <c r="O313" s="590"/>
      <c r="P313" s="590"/>
      <c r="Q313" s="593"/>
      <c r="R313" s="590"/>
      <c r="S313" s="454">
        <v>0.0</v>
      </c>
      <c r="T313" s="467"/>
      <c r="U313" s="467"/>
      <c r="V313" s="438"/>
      <c r="W313" s="438"/>
      <c r="X313" s="440">
        <v>0.0</v>
      </c>
      <c r="Y313" s="440">
        <v>0.0</v>
      </c>
      <c r="Z313" s="440">
        <v>0.0</v>
      </c>
      <c r="AA313" s="440">
        <v>0.0</v>
      </c>
      <c r="AB313" s="440">
        <v>0.0</v>
      </c>
      <c r="AC313" s="440">
        <v>0.0</v>
      </c>
      <c r="AD313" s="440">
        <v>0.0</v>
      </c>
      <c r="AE313" s="441"/>
      <c r="AF313" s="441"/>
      <c r="AG313" s="441"/>
      <c r="AH313" s="441"/>
      <c r="AI313" s="441"/>
      <c r="AJ313" s="441"/>
      <c r="AK313" s="441"/>
      <c r="AL313" s="441"/>
      <c r="AM313" s="441"/>
      <c r="AN313" s="441"/>
      <c r="AO313" s="441"/>
      <c r="AP313" s="441"/>
      <c r="AQ313" s="441"/>
      <c r="AR313" s="441"/>
      <c r="AS313" s="441"/>
      <c r="AT313" s="441"/>
      <c r="AU313" s="441"/>
      <c r="AV313" s="441"/>
      <c r="AW313" s="441"/>
      <c r="AX313" s="441"/>
      <c r="AY313" s="441"/>
      <c r="AZ313" s="441"/>
      <c r="BA313" s="441"/>
      <c r="BB313" s="441"/>
      <c r="BC313" s="441"/>
      <c r="BD313" s="441"/>
      <c r="BE313" s="441"/>
      <c r="BF313" s="441"/>
    </row>
    <row r="314" ht="15.0" hidden="1" customHeight="1" outlineLevel="1">
      <c r="A314" s="594" t="s">
        <v>757</v>
      </c>
      <c r="B314" s="595">
        <v>6.0</v>
      </c>
      <c r="C314" s="595">
        <v>6.0</v>
      </c>
      <c r="D314" s="595">
        <v>8.0</v>
      </c>
      <c r="E314" s="595">
        <v>8.0</v>
      </c>
      <c r="F314" s="595">
        <v>10.0</v>
      </c>
      <c r="G314" s="595">
        <v>10.0</v>
      </c>
      <c r="H314" s="595">
        <v>12.0</v>
      </c>
      <c r="I314" s="591"/>
      <c r="J314" s="590"/>
      <c r="K314" s="590"/>
      <c r="L314" s="592" t="str">
        <f>VLOOKUP(A314,'Кузнец'!$B$145:$J$193,9,FALSE)</f>
        <v>#N/A</v>
      </c>
      <c r="M314" s="590"/>
      <c r="N314" s="590" t="str">
        <f>VLOOKUP(A314,'Кузнец'!$B$145:$J$193,4,FALSE)</f>
        <v>#N/A</v>
      </c>
      <c r="O314" s="590"/>
      <c r="P314" s="590"/>
      <c r="Q314" s="593"/>
      <c r="R314" s="590"/>
      <c r="S314" s="454">
        <v>0.0</v>
      </c>
      <c r="T314" s="467"/>
      <c r="U314" s="467"/>
      <c r="V314" s="438"/>
      <c r="W314" s="438"/>
      <c r="X314" s="440">
        <v>0.0</v>
      </c>
      <c r="Y314" s="440">
        <v>0.0</v>
      </c>
      <c r="Z314" s="440">
        <v>0.0</v>
      </c>
      <c r="AA314" s="440">
        <v>0.0</v>
      </c>
      <c r="AB314" s="440">
        <v>0.0</v>
      </c>
      <c r="AC314" s="440">
        <v>0.0</v>
      </c>
      <c r="AD314" s="440">
        <v>0.0</v>
      </c>
      <c r="AE314" s="441"/>
      <c r="AF314" s="441"/>
      <c r="AG314" s="441"/>
      <c r="AH314" s="441"/>
      <c r="AI314" s="441"/>
      <c r="AJ314" s="441"/>
      <c r="AK314" s="441"/>
      <c r="AL314" s="441"/>
      <c r="AM314" s="441"/>
      <c r="AN314" s="441"/>
      <c r="AO314" s="441"/>
      <c r="AP314" s="441"/>
      <c r="AQ314" s="441"/>
      <c r="AR314" s="441"/>
      <c r="AS314" s="441"/>
      <c r="AT314" s="441"/>
      <c r="AU314" s="441"/>
      <c r="AV314" s="441"/>
      <c r="AW314" s="441"/>
      <c r="AX314" s="441"/>
      <c r="AY314" s="441"/>
      <c r="AZ314" s="441"/>
      <c r="BA314" s="441"/>
      <c r="BB314" s="441"/>
      <c r="BC314" s="441"/>
      <c r="BD314" s="441"/>
      <c r="BE314" s="441"/>
      <c r="BF314" s="441"/>
    </row>
    <row r="315" ht="15.0" hidden="1" customHeight="1" outlineLevel="1">
      <c r="A315" s="594" t="s">
        <v>758</v>
      </c>
      <c r="B315" s="595">
        <v>0.0</v>
      </c>
      <c r="C315" s="595">
        <v>1.0</v>
      </c>
      <c r="D315" s="595">
        <v>1.0</v>
      </c>
      <c r="E315" s="595">
        <v>3.0</v>
      </c>
      <c r="F315" s="595">
        <v>4.0</v>
      </c>
      <c r="G315" s="595">
        <v>7.0</v>
      </c>
      <c r="H315" s="595">
        <v>9.0</v>
      </c>
      <c r="I315" s="591"/>
      <c r="J315" s="590"/>
      <c r="K315" s="590"/>
      <c r="L315" s="592" t="str">
        <f>VLOOKUP(A315,'Кузнец'!$B$145:$J$193,9,FALSE)</f>
        <v>#N/A</v>
      </c>
      <c r="M315" s="590"/>
      <c r="N315" s="590" t="str">
        <f>VLOOKUP(A315,'Кузнец'!$B$145:$J$193,4,FALSE)</f>
        <v>#N/A</v>
      </c>
      <c r="O315" s="590"/>
      <c r="P315" s="590"/>
      <c r="Q315" s="593"/>
      <c r="R315" s="590"/>
      <c r="S315" s="454">
        <v>0.0</v>
      </c>
      <c r="T315" s="467"/>
      <c r="U315" s="467"/>
      <c r="V315" s="438"/>
      <c r="W315" s="438"/>
      <c r="X315" s="440">
        <v>0.0</v>
      </c>
      <c r="Y315" s="440">
        <v>0.0</v>
      </c>
      <c r="Z315" s="440">
        <v>0.0</v>
      </c>
      <c r="AA315" s="440">
        <v>0.0</v>
      </c>
      <c r="AB315" s="440">
        <v>0.0</v>
      </c>
      <c r="AC315" s="440">
        <v>0.0</v>
      </c>
      <c r="AD315" s="440">
        <v>0.0</v>
      </c>
      <c r="AE315" s="441"/>
      <c r="AF315" s="441"/>
      <c r="AG315" s="441"/>
      <c r="AH315" s="441"/>
      <c r="AI315" s="441"/>
      <c r="AJ315" s="441"/>
      <c r="AK315" s="441"/>
      <c r="AL315" s="441"/>
      <c r="AM315" s="441"/>
      <c r="AN315" s="441"/>
      <c r="AO315" s="441"/>
      <c r="AP315" s="441"/>
      <c r="AQ315" s="441"/>
      <c r="AR315" s="441"/>
      <c r="AS315" s="441"/>
      <c r="AT315" s="441"/>
      <c r="AU315" s="441"/>
      <c r="AV315" s="441"/>
      <c r="AW315" s="441"/>
      <c r="AX315" s="441"/>
      <c r="AY315" s="441"/>
      <c r="AZ315" s="441"/>
      <c r="BA315" s="441"/>
      <c r="BB315" s="441"/>
      <c r="BC315" s="441"/>
      <c r="BD315" s="441"/>
      <c r="BE315" s="441"/>
      <c r="BF315" s="441"/>
    </row>
    <row r="316" ht="15.0" hidden="1" customHeight="1" outlineLevel="1">
      <c r="A316" s="594" t="s">
        <v>759</v>
      </c>
      <c r="B316" s="595">
        <f t="shared" ref="B316:H316" si="160">(B313+B314)/2+B315</f>
        <v>3.5</v>
      </c>
      <c r="C316" s="595">
        <f t="shared" si="160"/>
        <v>4.5</v>
      </c>
      <c r="D316" s="595">
        <f t="shared" si="160"/>
        <v>5.5</v>
      </c>
      <c r="E316" s="595">
        <f t="shared" si="160"/>
        <v>7.5</v>
      </c>
      <c r="F316" s="595">
        <f t="shared" si="160"/>
        <v>9.5</v>
      </c>
      <c r="G316" s="595">
        <f t="shared" si="160"/>
        <v>12.5</v>
      </c>
      <c r="H316" s="595">
        <f t="shared" si="160"/>
        <v>15.5</v>
      </c>
      <c r="I316" s="591"/>
      <c r="J316" s="590"/>
      <c r="K316" s="590"/>
      <c r="L316" s="592" t="str">
        <f>VLOOKUP(A316,'Кузнец'!$B$145:$J$193,9,FALSE)</f>
        <v>#N/A</v>
      </c>
      <c r="M316" s="590"/>
      <c r="N316" s="590" t="str">
        <f>VLOOKUP(A316,'Кузнец'!$B$145:$J$193,4,FALSE)</f>
        <v>#N/A</v>
      </c>
      <c r="O316" s="590"/>
      <c r="P316" s="590"/>
      <c r="Q316" s="593"/>
      <c r="R316" s="590"/>
      <c r="S316" s="454">
        <v>0.0</v>
      </c>
      <c r="T316" s="467"/>
      <c r="U316" s="467"/>
      <c r="V316" s="438"/>
      <c r="W316" s="438"/>
      <c r="X316" s="440">
        <v>0.0</v>
      </c>
      <c r="Y316" s="440">
        <v>0.0</v>
      </c>
      <c r="Z316" s="440">
        <v>0.0</v>
      </c>
      <c r="AA316" s="440">
        <v>0.0</v>
      </c>
      <c r="AB316" s="440">
        <v>0.0</v>
      </c>
      <c r="AC316" s="440">
        <v>0.0</v>
      </c>
      <c r="AD316" s="440">
        <v>0.0</v>
      </c>
      <c r="AE316" s="441"/>
      <c r="AF316" s="441"/>
      <c r="AG316" s="441"/>
      <c r="AH316" s="441"/>
      <c r="AI316" s="441"/>
      <c r="AJ316" s="441"/>
      <c r="AK316" s="441"/>
      <c r="AL316" s="441"/>
      <c r="AM316" s="441"/>
      <c r="AN316" s="441"/>
      <c r="AO316" s="441"/>
      <c r="AP316" s="441"/>
      <c r="AQ316" s="441"/>
      <c r="AR316" s="441"/>
      <c r="AS316" s="441"/>
      <c r="AT316" s="441"/>
      <c r="AU316" s="441"/>
      <c r="AV316" s="441"/>
      <c r="AW316" s="441"/>
      <c r="AX316" s="441"/>
      <c r="AY316" s="441"/>
      <c r="AZ316" s="441"/>
      <c r="BA316" s="441"/>
      <c r="BB316" s="441"/>
      <c r="BC316" s="441"/>
      <c r="BD316" s="441"/>
      <c r="BE316" s="441"/>
      <c r="BF316" s="441"/>
    </row>
    <row r="317" ht="15.0" hidden="1" customHeight="1" outlineLevel="1">
      <c r="A317" s="594" t="s">
        <v>760</v>
      </c>
      <c r="B317" s="596"/>
      <c r="C317" s="596">
        <f t="shared" ref="C317:H317" si="161">C316/B316-1</f>
        <v>0.2857142857</v>
      </c>
      <c r="D317" s="596">
        <f t="shared" si="161"/>
        <v>0.2222222222</v>
      </c>
      <c r="E317" s="596">
        <f t="shared" si="161"/>
        <v>0.3636363636</v>
      </c>
      <c r="F317" s="596">
        <f t="shared" si="161"/>
        <v>0.2666666667</v>
      </c>
      <c r="G317" s="596">
        <f t="shared" si="161"/>
        <v>0.3157894737</v>
      </c>
      <c r="H317" s="596">
        <f t="shared" si="161"/>
        <v>0.24</v>
      </c>
      <c r="I317" s="591"/>
      <c r="J317" s="590"/>
      <c r="K317" s="590"/>
      <c r="L317" s="592" t="str">
        <f>VLOOKUP(A317,'Кузнец'!$B$145:$J$193,9,FALSE)</f>
        <v>#N/A</v>
      </c>
      <c r="M317" s="590"/>
      <c r="N317" s="590" t="str">
        <f>VLOOKUP(A317,'Кузнец'!$B$145:$J$193,4,FALSE)</f>
        <v>#N/A</v>
      </c>
      <c r="O317" s="590"/>
      <c r="P317" s="590"/>
      <c r="Q317" s="593"/>
      <c r="R317" s="590"/>
      <c r="S317" s="454">
        <v>0.0</v>
      </c>
      <c r="T317" s="467"/>
      <c r="U317" s="467"/>
      <c r="V317" s="438"/>
      <c r="W317" s="438"/>
      <c r="X317" s="440">
        <v>0.0</v>
      </c>
      <c r="Y317" s="440">
        <v>0.0</v>
      </c>
      <c r="Z317" s="440">
        <v>0.0</v>
      </c>
      <c r="AA317" s="440">
        <v>0.0</v>
      </c>
      <c r="AB317" s="440">
        <v>0.0</v>
      </c>
      <c r="AC317" s="440">
        <v>0.0</v>
      </c>
      <c r="AD317" s="440">
        <v>0.0</v>
      </c>
      <c r="AE317" s="441"/>
      <c r="AF317" s="441"/>
      <c r="AG317" s="441"/>
      <c r="AH317" s="441"/>
      <c r="AI317" s="441"/>
      <c r="AJ317" s="441"/>
      <c r="AK317" s="441"/>
      <c r="AL317" s="441"/>
      <c r="AM317" s="441"/>
      <c r="AN317" s="441"/>
      <c r="AO317" s="441"/>
      <c r="AP317" s="441"/>
      <c r="AQ317" s="441"/>
      <c r="AR317" s="441"/>
      <c r="AS317" s="441"/>
      <c r="AT317" s="441"/>
      <c r="AU317" s="441"/>
      <c r="AV317" s="441"/>
      <c r="AW317" s="441"/>
      <c r="AX317" s="441"/>
      <c r="AY317" s="441"/>
      <c r="AZ317" s="441"/>
      <c r="BA317" s="441"/>
      <c r="BB317" s="441"/>
      <c r="BC317" s="441"/>
      <c r="BD317" s="441"/>
      <c r="BE317" s="441"/>
      <c r="BF317" s="441"/>
    </row>
    <row r="318" ht="15.0" hidden="1" customHeight="1" outlineLevel="1">
      <c r="A318" s="594" t="s">
        <v>761</v>
      </c>
      <c r="B318" s="595">
        <f>$K312</f>
        <v>1</v>
      </c>
      <c r="C318" s="595"/>
      <c r="D318" s="596"/>
      <c r="E318" s="596"/>
      <c r="F318" s="596"/>
      <c r="G318" s="596"/>
      <c r="H318" s="596"/>
      <c r="I318" s="591"/>
      <c r="J318" s="590"/>
      <c r="K318" s="590"/>
      <c r="L318" s="592" t="str">
        <f>VLOOKUP(A318,'Кузнец'!$B$145:$J$193,9,FALSE)</f>
        <v>#N/A</v>
      </c>
      <c r="M318" s="590"/>
      <c r="N318" s="590" t="str">
        <f>VLOOKUP(A318,'Кузнец'!$B$145:$J$193,4,FALSE)</f>
        <v>#N/A</v>
      </c>
      <c r="O318" s="590"/>
      <c r="P318" s="590"/>
      <c r="Q318" s="593"/>
      <c r="R318" s="590"/>
      <c r="S318" s="454">
        <v>0.0</v>
      </c>
      <c r="T318" s="467"/>
      <c r="U318" s="467"/>
      <c r="V318" s="438"/>
      <c r="W318" s="438"/>
      <c r="X318" s="440">
        <v>0.0</v>
      </c>
      <c r="Y318" s="440">
        <v>0.0</v>
      </c>
      <c r="Z318" s="440">
        <v>0.0</v>
      </c>
      <c r="AA318" s="440">
        <v>0.0</v>
      </c>
      <c r="AB318" s="440">
        <v>0.0</v>
      </c>
      <c r="AC318" s="440">
        <v>0.0</v>
      </c>
      <c r="AD318" s="440">
        <v>0.0</v>
      </c>
      <c r="AE318" s="441"/>
      <c r="AF318" s="441"/>
      <c r="AG318" s="441"/>
      <c r="AH318" s="441"/>
      <c r="AI318" s="441"/>
      <c r="AJ318" s="441"/>
      <c r="AK318" s="441"/>
      <c r="AL318" s="441"/>
      <c r="AM318" s="441"/>
      <c r="AN318" s="441"/>
      <c r="AO318" s="441"/>
      <c r="AP318" s="441"/>
      <c r="AQ318" s="441"/>
      <c r="AR318" s="441"/>
      <c r="AS318" s="441"/>
      <c r="AT318" s="441"/>
      <c r="AU318" s="441"/>
      <c r="AV318" s="441"/>
      <c r="AW318" s="441"/>
      <c r="AX318" s="441"/>
      <c r="AY318" s="441"/>
      <c r="AZ318" s="441"/>
      <c r="BA318" s="441"/>
      <c r="BB318" s="441"/>
      <c r="BC318" s="441"/>
      <c r="BD318" s="441"/>
      <c r="BE318" s="441"/>
      <c r="BF318" s="441"/>
    </row>
    <row r="319" ht="15.0" hidden="1" customHeight="1" outlineLevel="1">
      <c r="A319" s="594" t="s">
        <v>762</v>
      </c>
      <c r="B319" s="595">
        <f t="shared" ref="B319:H319" si="162">B316/$B318</f>
        <v>3.5</v>
      </c>
      <c r="C319" s="595">
        <f t="shared" si="162"/>
        <v>4.5</v>
      </c>
      <c r="D319" s="595">
        <f t="shared" si="162"/>
        <v>5.5</v>
      </c>
      <c r="E319" s="595">
        <f t="shared" si="162"/>
        <v>7.5</v>
      </c>
      <c r="F319" s="595">
        <f t="shared" si="162"/>
        <v>9.5</v>
      </c>
      <c r="G319" s="595">
        <f t="shared" si="162"/>
        <v>12.5</v>
      </c>
      <c r="H319" s="595">
        <f t="shared" si="162"/>
        <v>15.5</v>
      </c>
      <c r="I319" s="591"/>
      <c r="J319" s="590"/>
      <c r="K319" s="590"/>
      <c r="L319" s="592" t="str">
        <f>VLOOKUP(A319,'Кузнец'!$B$145:$J$193,9,FALSE)</f>
        <v>#N/A</v>
      </c>
      <c r="M319" s="590"/>
      <c r="N319" s="590" t="str">
        <f>VLOOKUP(A319,'Кузнец'!$B$145:$J$193,4,FALSE)</f>
        <v>#N/A</v>
      </c>
      <c r="O319" s="590"/>
      <c r="P319" s="590"/>
      <c r="Q319" s="593"/>
      <c r="R319" s="590"/>
      <c r="S319" s="454">
        <v>0.0</v>
      </c>
      <c r="T319" s="467"/>
      <c r="U319" s="467"/>
      <c r="V319" s="438"/>
      <c r="W319" s="438"/>
      <c r="X319" s="440">
        <v>0.0</v>
      </c>
      <c r="Y319" s="440">
        <v>0.0</v>
      </c>
      <c r="Z319" s="440">
        <v>0.0</v>
      </c>
      <c r="AA319" s="440">
        <v>0.0</v>
      </c>
      <c r="AB319" s="440">
        <v>0.0</v>
      </c>
      <c r="AC319" s="440">
        <v>0.0</v>
      </c>
      <c r="AD319" s="440">
        <v>0.0</v>
      </c>
      <c r="AE319" s="441"/>
      <c r="AF319" s="441"/>
      <c r="AG319" s="441"/>
      <c r="AH319" s="441"/>
      <c r="AI319" s="441"/>
      <c r="AJ319" s="441"/>
      <c r="AK319" s="441"/>
      <c r="AL319" s="441"/>
      <c r="AM319" s="441"/>
      <c r="AN319" s="441"/>
      <c r="AO319" s="441"/>
      <c r="AP319" s="441"/>
      <c r="AQ319" s="441"/>
      <c r="AR319" s="441"/>
      <c r="AS319" s="441"/>
      <c r="AT319" s="441"/>
      <c r="AU319" s="441"/>
      <c r="AV319" s="441"/>
      <c r="AW319" s="441"/>
      <c r="AX319" s="441"/>
      <c r="AY319" s="441"/>
      <c r="AZ319" s="441"/>
      <c r="BA319" s="441"/>
      <c r="BB319" s="441"/>
      <c r="BC319" s="441"/>
      <c r="BD319" s="441"/>
      <c r="BE319" s="441"/>
      <c r="BF319" s="441"/>
    </row>
    <row r="320" ht="15.0" customHeight="1" collapsed="1">
      <c r="A320" s="588" t="s">
        <v>1018</v>
      </c>
      <c r="B320" s="589" t="s">
        <v>773</v>
      </c>
      <c r="C320" s="590" t="s">
        <v>750</v>
      </c>
      <c r="D320" s="590" t="s">
        <v>924</v>
      </c>
      <c r="E320" s="590" t="s">
        <v>774</v>
      </c>
      <c r="F320" s="590" t="s">
        <v>817</v>
      </c>
      <c r="G320" s="590" t="s">
        <v>799</v>
      </c>
      <c r="H320" s="590" t="s">
        <v>1019</v>
      </c>
      <c r="I320" s="591" t="s">
        <v>754</v>
      </c>
      <c r="J320" s="590">
        <v>1.0</v>
      </c>
      <c r="K320" s="590">
        <v>2.0</v>
      </c>
      <c r="L320" s="592">
        <f>VLOOKUP(A320,'Кузнец'!$B$145:$J$193,9,FALSE)</f>
        <v>1.5</v>
      </c>
      <c r="M320" s="589" t="s">
        <v>789</v>
      </c>
      <c r="N320" s="590">
        <f>VLOOKUP(A320,'Кузнец'!$B$145:$J$193,4,FALSE)</f>
        <v>6</v>
      </c>
      <c r="O320" s="590">
        <v>8.0</v>
      </c>
      <c r="P320" s="589" t="s">
        <v>755</v>
      </c>
      <c r="Q320" s="593"/>
      <c r="R320" s="589" t="s">
        <v>1015</v>
      </c>
      <c r="S320" s="454">
        <v>0.0</v>
      </c>
      <c r="T320" s="467"/>
      <c r="U320" s="467"/>
      <c r="V320" s="438"/>
      <c r="W320" s="438"/>
      <c r="X320" s="440">
        <v>0.0</v>
      </c>
      <c r="Y320" s="440">
        <v>0.0</v>
      </c>
      <c r="Z320" s="440">
        <v>0.0</v>
      </c>
      <c r="AA320" s="440">
        <v>0.0</v>
      </c>
      <c r="AB320" s="440">
        <v>0.0</v>
      </c>
      <c r="AC320" s="440">
        <v>0.0</v>
      </c>
      <c r="AD320" s="440">
        <v>0.0</v>
      </c>
      <c r="AE320" s="441"/>
      <c r="AF320" s="441"/>
      <c r="AG320" s="441"/>
      <c r="AH320" s="441"/>
      <c r="AI320" s="441"/>
      <c r="AJ320" s="441"/>
      <c r="AK320" s="441"/>
      <c r="AL320" s="441"/>
      <c r="AM320" s="441"/>
      <c r="AN320" s="441"/>
      <c r="AO320" s="441"/>
      <c r="AP320" s="441"/>
      <c r="AQ320" s="441"/>
      <c r="AR320" s="441"/>
      <c r="AS320" s="441"/>
      <c r="AT320" s="441"/>
      <c r="AU320" s="441"/>
      <c r="AV320" s="441"/>
      <c r="AW320" s="441"/>
      <c r="AX320" s="441"/>
      <c r="AY320" s="441"/>
      <c r="AZ320" s="441"/>
      <c r="BA320" s="441"/>
      <c r="BB320" s="441"/>
      <c r="BC320" s="441"/>
      <c r="BD320" s="441"/>
      <c r="BE320" s="441"/>
      <c r="BF320" s="441"/>
    </row>
    <row r="321" ht="15.0" hidden="1" customHeight="1" outlineLevel="1">
      <c r="A321" s="594" t="s">
        <v>756</v>
      </c>
      <c r="B321" s="595">
        <v>1.0</v>
      </c>
      <c r="C321" s="595">
        <v>1.0</v>
      </c>
      <c r="D321" s="595">
        <v>1.0</v>
      </c>
      <c r="E321" s="595">
        <v>1.0</v>
      </c>
      <c r="F321" s="595">
        <v>1.0</v>
      </c>
      <c r="G321" s="595">
        <v>1.0</v>
      </c>
      <c r="H321" s="595">
        <v>1.0</v>
      </c>
      <c r="I321" s="591"/>
      <c r="J321" s="590"/>
      <c r="K321" s="590"/>
      <c r="L321" s="592" t="str">
        <f>VLOOKUP(A321,'Кузнец'!$B$145:$J$193,9,FALSE)</f>
        <v>#N/A</v>
      </c>
      <c r="M321" s="590"/>
      <c r="N321" s="590" t="str">
        <f>VLOOKUP(A321,'Кузнец'!$B$145:$J$193,4,FALSE)</f>
        <v>#N/A</v>
      </c>
      <c r="O321" s="590"/>
      <c r="P321" s="590"/>
      <c r="Q321" s="593"/>
      <c r="R321" s="590"/>
      <c r="S321" s="454">
        <v>0.0</v>
      </c>
      <c r="T321" s="467"/>
      <c r="U321" s="467"/>
      <c r="V321" s="438"/>
      <c r="W321" s="438"/>
      <c r="X321" s="440">
        <v>0.0</v>
      </c>
      <c r="Y321" s="440">
        <v>0.0</v>
      </c>
      <c r="Z321" s="440">
        <v>0.0</v>
      </c>
      <c r="AA321" s="440">
        <v>0.0</v>
      </c>
      <c r="AB321" s="440">
        <v>0.0</v>
      </c>
      <c r="AC321" s="440">
        <v>0.0</v>
      </c>
      <c r="AD321" s="440">
        <v>0.0</v>
      </c>
      <c r="AE321" s="441"/>
      <c r="AF321" s="441"/>
      <c r="AG321" s="441"/>
      <c r="AH321" s="441"/>
      <c r="AI321" s="441"/>
      <c r="AJ321" s="441"/>
      <c r="AK321" s="441"/>
      <c r="AL321" s="441"/>
      <c r="AM321" s="441"/>
      <c r="AN321" s="441"/>
      <c r="AO321" s="441"/>
      <c r="AP321" s="441"/>
      <c r="AQ321" s="441"/>
      <c r="AR321" s="441"/>
      <c r="AS321" s="441"/>
      <c r="AT321" s="441"/>
      <c r="AU321" s="441"/>
      <c r="AV321" s="441"/>
      <c r="AW321" s="441"/>
      <c r="AX321" s="441"/>
      <c r="AY321" s="441"/>
      <c r="AZ321" s="441"/>
      <c r="BA321" s="441"/>
      <c r="BB321" s="441"/>
      <c r="BC321" s="441"/>
      <c r="BD321" s="441"/>
      <c r="BE321" s="441"/>
      <c r="BF321" s="441"/>
    </row>
    <row r="322" ht="15.0" hidden="1" customHeight="1" outlineLevel="1">
      <c r="A322" s="594" t="s">
        <v>757</v>
      </c>
      <c r="B322" s="595">
        <v>6.0</v>
      </c>
      <c r="C322" s="595">
        <v>6.0</v>
      </c>
      <c r="D322" s="595">
        <v>8.0</v>
      </c>
      <c r="E322" s="595">
        <v>8.0</v>
      </c>
      <c r="F322" s="595">
        <v>10.0</v>
      </c>
      <c r="G322" s="595">
        <v>10.0</v>
      </c>
      <c r="H322" s="595">
        <v>12.0</v>
      </c>
      <c r="I322" s="591"/>
      <c r="J322" s="590"/>
      <c r="K322" s="590"/>
      <c r="L322" s="592" t="str">
        <f>VLOOKUP(A322,'Кузнец'!$B$145:$J$193,9,FALSE)</f>
        <v>#N/A</v>
      </c>
      <c r="M322" s="590"/>
      <c r="N322" s="590" t="str">
        <f>VLOOKUP(A322,'Кузнец'!$B$145:$J$193,4,FALSE)</f>
        <v>#N/A</v>
      </c>
      <c r="O322" s="590"/>
      <c r="P322" s="590"/>
      <c r="Q322" s="593"/>
      <c r="R322" s="590"/>
      <c r="S322" s="454">
        <v>0.0</v>
      </c>
      <c r="T322" s="467"/>
      <c r="U322" s="467"/>
      <c r="V322" s="438"/>
      <c r="W322" s="438"/>
      <c r="X322" s="440">
        <v>0.0</v>
      </c>
      <c r="Y322" s="440">
        <v>0.0</v>
      </c>
      <c r="Z322" s="440">
        <v>0.0</v>
      </c>
      <c r="AA322" s="440">
        <v>0.0</v>
      </c>
      <c r="AB322" s="440">
        <v>0.0</v>
      </c>
      <c r="AC322" s="440">
        <v>0.0</v>
      </c>
      <c r="AD322" s="440">
        <v>0.0</v>
      </c>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441"/>
      <c r="AZ322" s="441"/>
      <c r="BA322" s="441"/>
      <c r="BB322" s="441"/>
      <c r="BC322" s="441"/>
      <c r="BD322" s="441"/>
      <c r="BE322" s="441"/>
      <c r="BF322" s="441"/>
    </row>
    <row r="323" ht="15.0" hidden="1" customHeight="1" outlineLevel="1">
      <c r="A323" s="594" t="s">
        <v>758</v>
      </c>
      <c r="B323" s="595">
        <v>0.0</v>
      </c>
      <c r="C323" s="595">
        <v>1.0</v>
      </c>
      <c r="D323" s="595">
        <v>1.0</v>
      </c>
      <c r="E323" s="595">
        <v>3.0</v>
      </c>
      <c r="F323" s="595">
        <v>4.0</v>
      </c>
      <c r="G323" s="595">
        <v>7.0</v>
      </c>
      <c r="H323" s="595">
        <v>9.0</v>
      </c>
      <c r="I323" s="591"/>
      <c r="J323" s="590"/>
      <c r="K323" s="590"/>
      <c r="L323" s="592" t="str">
        <f>VLOOKUP(A323,'Кузнец'!$B$145:$J$193,9,FALSE)</f>
        <v>#N/A</v>
      </c>
      <c r="M323" s="590"/>
      <c r="N323" s="590" t="str">
        <f>VLOOKUP(A323,'Кузнец'!$B$145:$J$193,4,FALSE)</f>
        <v>#N/A</v>
      </c>
      <c r="O323" s="590"/>
      <c r="P323" s="590"/>
      <c r="Q323" s="593"/>
      <c r="R323" s="590"/>
      <c r="S323" s="454">
        <v>0.0</v>
      </c>
      <c r="T323" s="467"/>
      <c r="U323" s="467"/>
      <c r="V323" s="438"/>
      <c r="W323" s="438"/>
      <c r="X323" s="440">
        <v>0.0</v>
      </c>
      <c r="Y323" s="440">
        <v>0.0</v>
      </c>
      <c r="Z323" s="440">
        <v>0.0</v>
      </c>
      <c r="AA323" s="440">
        <v>0.0</v>
      </c>
      <c r="AB323" s="440">
        <v>0.0</v>
      </c>
      <c r="AC323" s="440">
        <v>0.0</v>
      </c>
      <c r="AD323" s="440">
        <v>0.0</v>
      </c>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441"/>
      <c r="AZ323" s="441"/>
      <c r="BA323" s="441"/>
      <c r="BB323" s="441"/>
      <c r="BC323" s="441"/>
      <c r="BD323" s="441"/>
      <c r="BE323" s="441"/>
      <c r="BF323" s="441"/>
    </row>
    <row r="324" ht="15.0" hidden="1" customHeight="1" outlineLevel="1">
      <c r="A324" s="594" t="s">
        <v>759</v>
      </c>
      <c r="B324" s="595">
        <f t="shared" ref="B324:H324" si="163">(B321+B322)/2+B323</f>
        <v>3.5</v>
      </c>
      <c r="C324" s="595">
        <f t="shared" si="163"/>
        <v>4.5</v>
      </c>
      <c r="D324" s="595">
        <f t="shared" si="163"/>
        <v>5.5</v>
      </c>
      <c r="E324" s="595">
        <f t="shared" si="163"/>
        <v>7.5</v>
      </c>
      <c r="F324" s="595">
        <f t="shared" si="163"/>
        <v>9.5</v>
      </c>
      <c r="G324" s="595">
        <f t="shared" si="163"/>
        <v>12.5</v>
      </c>
      <c r="H324" s="595">
        <f t="shared" si="163"/>
        <v>15.5</v>
      </c>
      <c r="I324" s="591"/>
      <c r="J324" s="590"/>
      <c r="K324" s="590"/>
      <c r="L324" s="592" t="str">
        <f>VLOOKUP(A324,'Кузнец'!$B$145:$J$193,9,FALSE)</f>
        <v>#N/A</v>
      </c>
      <c r="M324" s="590"/>
      <c r="N324" s="590" t="str">
        <f>VLOOKUP(A324,'Кузнец'!$B$145:$J$193,4,FALSE)</f>
        <v>#N/A</v>
      </c>
      <c r="O324" s="590"/>
      <c r="P324" s="590"/>
      <c r="Q324" s="593"/>
      <c r="R324" s="590"/>
      <c r="S324" s="454">
        <v>0.0</v>
      </c>
      <c r="T324" s="467"/>
      <c r="U324" s="467"/>
      <c r="V324" s="438"/>
      <c r="W324" s="438"/>
      <c r="X324" s="440">
        <v>0.0</v>
      </c>
      <c r="Y324" s="440">
        <v>0.0</v>
      </c>
      <c r="Z324" s="440">
        <v>0.0</v>
      </c>
      <c r="AA324" s="440">
        <v>0.0</v>
      </c>
      <c r="AB324" s="440">
        <v>0.0</v>
      </c>
      <c r="AC324" s="440">
        <v>0.0</v>
      </c>
      <c r="AD324" s="440">
        <v>0.0</v>
      </c>
      <c r="AE324" s="441"/>
      <c r="AF324" s="441"/>
      <c r="AG324" s="441"/>
      <c r="AH324" s="441"/>
      <c r="AI324" s="441"/>
      <c r="AJ324" s="441"/>
      <c r="AK324" s="441"/>
      <c r="AL324" s="441"/>
      <c r="AM324" s="441"/>
      <c r="AN324" s="441"/>
      <c r="AO324" s="441"/>
      <c r="AP324" s="441"/>
      <c r="AQ324" s="441"/>
      <c r="AR324" s="441"/>
      <c r="AS324" s="441"/>
      <c r="AT324" s="441"/>
      <c r="AU324" s="441"/>
      <c r="AV324" s="441"/>
      <c r="AW324" s="441"/>
      <c r="AX324" s="441"/>
      <c r="AY324" s="441"/>
      <c r="AZ324" s="441"/>
      <c r="BA324" s="441"/>
      <c r="BB324" s="441"/>
      <c r="BC324" s="441"/>
      <c r="BD324" s="441"/>
      <c r="BE324" s="441"/>
      <c r="BF324" s="441"/>
    </row>
    <row r="325" ht="15.0" hidden="1" customHeight="1" outlineLevel="1">
      <c r="A325" s="594" t="s">
        <v>760</v>
      </c>
      <c r="B325" s="596"/>
      <c r="C325" s="596">
        <f t="shared" ref="C325:H325" si="164">C324/B324-1</f>
        <v>0.2857142857</v>
      </c>
      <c r="D325" s="596">
        <f t="shared" si="164"/>
        <v>0.2222222222</v>
      </c>
      <c r="E325" s="596">
        <f t="shared" si="164"/>
        <v>0.3636363636</v>
      </c>
      <c r="F325" s="596">
        <f t="shared" si="164"/>
        <v>0.2666666667</v>
      </c>
      <c r="G325" s="596">
        <f t="shared" si="164"/>
        <v>0.3157894737</v>
      </c>
      <c r="H325" s="596">
        <f t="shared" si="164"/>
        <v>0.24</v>
      </c>
      <c r="I325" s="591"/>
      <c r="J325" s="590"/>
      <c r="K325" s="590"/>
      <c r="L325" s="592" t="str">
        <f>VLOOKUP(A325,'Кузнец'!$B$145:$J$193,9,FALSE)</f>
        <v>#N/A</v>
      </c>
      <c r="M325" s="590"/>
      <c r="N325" s="590" t="str">
        <f>VLOOKUP(A325,'Кузнец'!$B$145:$J$193,4,FALSE)</f>
        <v>#N/A</v>
      </c>
      <c r="O325" s="590"/>
      <c r="P325" s="590"/>
      <c r="Q325" s="593"/>
      <c r="R325" s="590"/>
      <c r="S325" s="454">
        <v>0.0</v>
      </c>
      <c r="T325" s="467"/>
      <c r="U325" s="467"/>
      <c r="V325" s="438"/>
      <c r="W325" s="438"/>
      <c r="X325" s="440">
        <v>0.0</v>
      </c>
      <c r="Y325" s="440">
        <v>0.0</v>
      </c>
      <c r="Z325" s="440">
        <v>0.0</v>
      </c>
      <c r="AA325" s="440">
        <v>0.0</v>
      </c>
      <c r="AB325" s="440">
        <v>0.0</v>
      </c>
      <c r="AC325" s="440">
        <v>0.0</v>
      </c>
      <c r="AD325" s="440">
        <v>0.0</v>
      </c>
      <c r="AE325" s="441"/>
      <c r="AF325" s="441"/>
      <c r="AG325" s="441"/>
      <c r="AH325" s="441"/>
      <c r="AI325" s="441"/>
      <c r="AJ325" s="441"/>
      <c r="AK325" s="441"/>
      <c r="AL325" s="441"/>
      <c r="AM325" s="441"/>
      <c r="AN325" s="441"/>
      <c r="AO325" s="441"/>
      <c r="AP325" s="441"/>
      <c r="AQ325" s="441"/>
      <c r="AR325" s="441"/>
      <c r="AS325" s="441"/>
      <c r="AT325" s="441"/>
      <c r="AU325" s="441"/>
      <c r="AV325" s="441"/>
      <c r="AW325" s="441"/>
      <c r="AX325" s="441"/>
      <c r="AY325" s="441"/>
      <c r="AZ325" s="441"/>
      <c r="BA325" s="441"/>
      <c r="BB325" s="441"/>
      <c r="BC325" s="441"/>
      <c r="BD325" s="441"/>
      <c r="BE325" s="441"/>
      <c r="BF325" s="441"/>
    </row>
    <row r="326" ht="15.0" hidden="1" customHeight="1" outlineLevel="1">
      <c r="A326" s="594" t="s">
        <v>761</v>
      </c>
      <c r="B326" s="595">
        <f>$K320</f>
        <v>2</v>
      </c>
      <c r="C326" s="595"/>
      <c r="D326" s="596"/>
      <c r="E326" s="596"/>
      <c r="F326" s="596"/>
      <c r="G326" s="596"/>
      <c r="H326" s="596"/>
      <c r="I326" s="591"/>
      <c r="J326" s="590"/>
      <c r="K326" s="590"/>
      <c r="L326" s="592" t="str">
        <f>VLOOKUP(A326,'Кузнец'!$B$145:$J$193,9,FALSE)</f>
        <v>#N/A</v>
      </c>
      <c r="M326" s="590"/>
      <c r="N326" s="590" t="str">
        <f>VLOOKUP(A326,'Кузнец'!$B$145:$J$193,4,FALSE)</f>
        <v>#N/A</v>
      </c>
      <c r="O326" s="590"/>
      <c r="P326" s="590"/>
      <c r="Q326" s="593"/>
      <c r="R326" s="590"/>
      <c r="S326" s="454">
        <v>0.0</v>
      </c>
      <c r="T326" s="467"/>
      <c r="U326" s="467"/>
      <c r="V326" s="438"/>
      <c r="W326" s="438"/>
      <c r="X326" s="440">
        <v>0.0</v>
      </c>
      <c r="Y326" s="440">
        <v>0.0</v>
      </c>
      <c r="Z326" s="440">
        <v>0.0</v>
      </c>
      <c r="AA326" s="440">
        <v>0.0</v>
      </c>
      <c r="AB326" s="440">
        <v>0.0</v>
      </c>
      <c r="AC326" s="440">
        <v>0.0</v>
      </c>
      <c r="AD326" s="440">
        <v>0.0</v>
      </c>
      <c r="AE326" s="441"/>
      <c r="AF326" s="441"/>
      <c r="AG326" s="441"/>
      <c r="AH326" s="441"/>
      <c r="AI326" s="441"/>
      <c r="AJ326" s="441"/>
      <c r="AK326" s="441"/>
      <c r="AL326" s="441"/>
      <c r="AM326" s="441"/>
      <c r="AN326" s="441"/>
      <c r="AO326" s="441"/>
      <c r="AP326" s="441"/>
      <c r="AQ326" s="441"/>
      <c r="AR326" s="441"/>
      <c r="AS326" s="441"/>
      <c r="AT326" s="441"/>
      <c r="AU326" s="441"/>
      <c r="AV326" s="441"/>
      <c r="AW326" s="441"/>
      <c r="AX326" s="441"/>
      <c r="AY326" s="441"/>
      <c r="AZ326" s="441"/>
      <c r="BA326" s="441"/>
      <c r="BB326" s="441"/>
      <c r="BC326" s="441"/>
      <c r="BD326" s="441"/>
      <c r="BE326" s="441"/>
      <c r="BF326" s="441"/>
    </row>
    <row r="327" ht="15.0" hidden="1" customHeight="1" outlineLevel="1">
      <c r="A327" s="594" t="s">
        <v>762</v>
      </c>
      <c r="B327" s="595">
        <f t="shared" ref="B327:H327" si="165">B324/$B326</f>
        <v>1.75</v>
      </c>
      <c r="C327" s="595">
        <f t="shared" si="165"/>
        <v>2.25</v>
      </c>
      <c r="D327" s="595">
        <f t="shared" si="165"/>
        <v>2.75</v>
      </c>
      <c r="E327" s="595">
        <f t="shared" si="165"/>
        <v>3.75</v>
      </c>
      <c r="F327" s="595">
        <f t="shared" si="165"/>
        <v>4.75</v>
      </c>
      <c r="G327" s="595">
        <f t="shared" si="165"/>
        <v>6.25</v>
      </c>
      <c r="H327" s="595">
        <f t="shared" si="165"/>
        <v>7.75</v>
      </c>
      <c r="I327" s="591"/>
      <c r="J327" s="590"/>
      <c r="K327" s="590"/>
      <c r="L327" s="592" t="str">
        <f>VLOOKUP(A327,'Кузнец'!$B$145:$J$193,9,FALSE)</f>
        <v>#N/A</v>
      </c>
      <c r="M327" s="590"/>
      <c r="N327" s="590" t="str">
        <f>VLOOKUP(A327,'Кузнец'!$B$145:$J$193,4,FALSE)</f>
        <v>#N/A</v>
      </c>
      <c r="O327" s="590"/>
      <c r="P327" s="590"/>
      <c r="Q327" s="593"/>
      <c r="R327" s="590"/>
      <c r="S327" s="454">
        <v>0.0</v>
      </c>
      <c r="T327" s="467"/>
      <c r="U327" s="467"/>
      <c r="V327" s="438"/>
      <c r="W327" s="438"/>
      <c r="X327" s="440">
        <v>0.0</v>
      </c>
      <c r="Y327" s="440">
        <v>0.0</v>
      </c>
      <c r="Z327" s="440">
        <v>0.0</v>
      </c>
      <c r="AA327" s="440">
        <v>0.0</v>
      </c>
      <c r="AB327" s="440">
        <v>0.0</v>
      </c>
      <c r="AC327" s="440">
        <v>0.0</v>
      </c>
      <c r="AD327" s="440">
        <v>0.0</v>
      </c>
      <c r="AE327" s="441"/>
      <c r="AF327" s="441"/>
      <c r="AG327" s="441"/>
      <c r="AH327" s="441"/>
      <c r="AI327" s="441"/>
      <c r="AJ327" s="441"/>
      <c r="AK327" s="441"/>
      <c r="AL327" s="441"/>
      <c r="AM327" s="441"/>
      <c r="AN327" s="441"/>
      <c r="AO327" s="441"/>
      <c r="AP327" s="441"/>
      <c r="AQ327" s="441"/>
      <c r="AR327" s="441"/>
      <c r="AS327" s="441"/>
      <c r="AT327" s="441"/>
      <c r="AU327" s="441"/>
      <c r="AV327" s="441"/>
      <c r="AW327" s="441"/>
      <c r="AX327" s="441"/>
      <c r="AY327" s="441"/>
      <c r="AZ327" s="441"/>
      <c r="BA327" s="441"/>
      <c r="BB327" s="441"/>
      <c r="BC327" s="441"/>
      <c r="BD327" s="441"/>
      <c r="BE327" s="441"/>
      <c r="BF327" s="441"/>
    </row>
    <row r="328" ht="15.0" customHeight="1" collapsed="1">
      <c r="A328" s="588" t="s">
        <v>1020</v>
      </c>
      <c r="B328" s="589" t="s">
        <v>889</v>
      </c>
      <c r="C328" s="590" t="s">
        <v>797</v>
      </c>
      <c r="D328" s="590" t="s">
        <v>890</v>
      </c>
      <c r="E328" s="590" t="s">
        <v>891</v>
      </c>
      <c r="F328" s="590" t="s">
        <v>892</v>
      </c>
      <c r="G328" s="590" t="s">
        <v>1021</v>
      </c>
      <c r="H328" s="590" t="s">
        <v>1022</v>
      </c>
      <c r="I328" s="597" t="s">
        <v>770</v>
      </c>
      <c r="J328" s="590">
        <v>0.0</v>
      </c>
      <c r="K328" s="590">
        <v>2.0</v>
      </c>
      <c r="L328" s="592">
        <f>VLOOKUP(A328,'Кузнец'!$B$145:$J$193,9,FALSE)</f>
        <v>2.22</v>
      </c>
      <c r="M328" s="589" t="s">
        <v>1023</v>
      </c>
      <c r="N328" s="590">
        <f>VLOOKUP(A328,'Кузнец'!$B$145:$J$193,4,FALSE)</f>
        <v>8</v>
      </c>
      <c r="O328" s="590">
        <v>9.0</v>
      </c>
      <c r="P328" s="589" t="s">
        <v>755</v>
      </c>
      <c r="Q328" s="593"/>
      <c r="R328" s="598" t="s">
        <v>1024</v>
      </c>
      <c r="S328" s="454">
        <v>0.0</v>
      </c>
      <c r="T328" s="460"/>
      <c r="U328" s="460">
        <v>0.05</v>
      </c>
      <c r="V328" s="438"/>
      <c r="W328" s="438"/>
      <c r="X328" s="440">
        <v>0.0</v>
      </c>
      <c r="Y328" s="440">
        <v>0.0</v>
      </c>
      <c r="Z328" s="440">
        <v>0.0</v>
      </c>
      <c r="AA328" s="440">
        <v>0.0</v>
      </c>
      <c r="AB328" s="440">
        <v>0.0</v>
      </c>
      <c r="AC328" s="440">
        <v>0.0</v>
      </c>
      <c r="AD328" s="440">
        <v>0.0</v>
      </c>
      <c r="AE328" s="441"/>
      <c r="AF328" s="441"/>
      <c r="AG328" s="441"/>
      <c r="AH328" s="441"/>
      <c r="AI328" s="441"/>
      <c r="AJ328" s="441"/>
      <c r="AK328" s="441"/>
      <c r="AL328" s="441"/>
      <c r="AM328" s="441"/>
      <c r="AN328" s="441"/>
      <c r="AO328" s="441"/>
      <c r="AP328" s="441"/>
      <c r="AQ328" s="441"/>
      <c r="AR328" s="441"/>
      <c r="AS328" s="441"/>
      <c r="AT328" s="441"/>
      <c r="AU328" s="441"/>
      <c r="AV328" s="441"/>
      <c r="AW328" s="441"/>
      <c r="AX328" s="441"/>
      <c r="AY328" s="441"/>
      <c r="AZ328" s="441"/>
      <c r="BA328" s="441"/>
      <c r="BB328" s="441"/>
      <c r="BC328" s="441"/>
      <c r="BD328" s="441"/>
      <c r="BE328" s="441"/>
      <c r="BF328" s="441"/>
    </row>
    <row r="329" ht="15.0" hidden="1" customHeight="1" outlineLevel="1">
      <c r="A329" s="594" t="s">
        <v>756</v>
      </c>
      <c r="B329" s="595">
        <v>1.0</v>
      </c>
      <c r="C329" s="595">
        <v>1.0</v>
      </c>
      <c r="D329" s="595">
        <v>1.0</v>
      </c>
      <c r="E329" s="595">
        <v>1.0</v>
      </c>
      <c r="F329" s="595">
        <v>1.0</v>
      </c>
      <c r="G329" s="595">
        <v>1.0</v>
      </c>
      <c r="H329" s="595">
        <v>2.0</v>
      </c>
      <c r="I329" s="597"/>
      <c r="J329" s="590"/>
      <c r="K329" s="590"/>
      <c r="L329" s="592" t="str">
        <f>VLOOKUP(A329,'Кузнец'!$B$145:$J$193,9,FALSE)</f>
        <v>#N/A</v>
      </c>
      <c r="M329" s="590"/>
      <c r="N329" s="590" t="str">
        <f>VLOOKUP(A329,'Кузнец'!$B$145:$J$193,4,FALSE)</f>
        <v>#N/A</v>
      </c>
      <c r="O329" s="590"/>
      <c r="P329" s="590"/>
      <c r="Q329" s="593"/>
      <c r="R329" s="591"/>
      <c r="S329" s="454">
        <v>0.0</v>
      </c>
      <c r="T329" s="467"/>
      <c r="U329" s="467"/>
      <c r="V329" s="438"/>
      <c r="W329" s="438"/>
      <c r="X329" s="467"/>
      <c r="Y329" s="467"/>
      <c r="Z329" s="467"/>
      <c r="AA329" s="467"/>
      <c r="AB329" s="467"/>
      <c r="AC329" s="438"/>
      <c r="AD329" s="438"/>
      <c r="AE329" s="441"/>
      <c r="AF329" s="441"/>
      <c r="AG329" s="441"/>
      <c r="AH329" s="441"/>
      <c r="AI329" s="441"/>
      <c r="AJ329" s="441"/>
      <c r="AK329" s="441"/>
      <c r="AL329" s="441"/>
      <c r="AM329" s="441"/>
      <c r="AN329" s="441"/>
      <c r="AO329" s="441"/>
      <c r="AP329" s="441"/>
      <c r="AQ329" s="441"/>
      <c r="AR329" s="441"/>
      <c r="AS329" s="441"/>
      <c r="AT329" s="441"/>
      <c r="AU329" s="441"/>
      <c r="AV329" s="441"/>
      <c r="AW329" s="441"/>
      <c r="AX329" s="441"/>
      <c r="AY329" s="441"/>
      <c r="AZ329" s="441"/>
      <c r="BA329" s="441"/>
      <c r="BB329" s="441"/>
      <c r="BC329" s="441"/>
      <c r="BD329" s="441"/>
      <c r="BE329" s="441"/>
      <c r="BF329" s="441"/>
    </row>
    <row r="330" ht="15.0" hidden="1" customHeight="1" outlineLevel="1">
      <c r="A330" s="594" t="s">
        <v>757</v>
      </c>
      <c r="B330" s="595">
        <v>8.0</v>
      </c>
      <c r="C330" s="595">
        <v>8.0</v>
      </c>
      <c r="D330" s="595">
        <v>10.0</v>
      </c>
      <c r="E330" s="595">
        <v>10.0</v>
      </c>
      <c r="F330" s="595">
        <v>12.0</v>
      </c>
      <c r="G330" s="595">
        <v>12.0</v>
      </c>
      <c r="H330" s="595">
        <v>16.0</v>
      </c>
      <c r="I330" s="597"/>
      <c r="J330" s="590"/>
      <c r="K330" s="590"/>
      <c r="L330" s="592" t="str">
        <f>VLOOKUP(A330,'Кузнец'!$B$145:$J$193,9,FALSE)</f>
        <v>#N/A</v>
      </c>
      <c r="M330" s="590"/>
      <c r="N330" s="590" t="str">
        <f>VLOOKUP(A330,'Кузнец'!$B$145:$J$193,4,FALSE)</f>
        <v>#N/A</v>
      </c>
      <c r="O330" s="590"/>
      <c r="P330" s="590"/>
      <c r="Q330" s="593"/>
      <c r="R330" s="591"/>
      <c r="S330" s="454">
        <v>0.0</v>
      </c>
      <c r="T330" s="467"/>
      <c r="U330" s="467"/>
      <c r="V330" s="438"/>
      <c r="W330" s="438"/>
      <c r="X330" s="467"/>
      <c r="Y330" s="467"/>
      <c r="Z330" s="467"/>
      <c r="AA330" s="467"/>
      <c r="AB330" s="467"/>
      <c r="AC330" s="438"/>
      <c r="AD330" s="438"/>
      <c r="AE330" s="441"/>
      <c r="AF330" s="441"/>
      <c r="AG330" s="441"/>
      <c r="AH330" s="441"/>
      <c r="AI330" s="441"/>
      <c r="AJ330" s="441"/>
      <c r="AK330" s="441"/>
      <c r="AL330" s="441"/>
      <c r="AM330" s="441"/>
      <c r="AN330" s="441"/>
      <c r="AO330" s="441"/>
      <c r="AP330" s="441"/>
      <c r="AQ330" s="441"/>
      <c r="AR330" s="441"/>
      <c r="AS330" s="441"/>
      <c r="AT330" s="441"/>
      <c r="AU330" s="441"/>
      <c r="AV330" s="441"/>
      <c r="AW330" s="441"/>
      <c r="AX330" s="441"/>
      <c r="AY330" s="441"/>
      <c r="AZ330" s="441"/>
      <c r="BA330" s="441"/>
      <c r="BB330" s="441"/>
      <c r="BC330" s="441"/>
      <c r="BD330" s="441"/>
      <c r="BE330" s="441"/>
      <c r="BF330" s="441"/>
    </row>
    <row r="331" ht="15.0" hidden="1" customHeight="1" outlineLevel="1">
      <c r="A331" s="594" t="s">
        <v>758</v>
      </c>
      <c r="B331" s="595">
        <v>0.0</v>
      </c>
      <c r="C331" s="595">
        <v>2.0</v>
      </c>
      <c r="D331" s="595">
        <v>3.0</v>
      </c>
      <c r="E331" s="595">
        <v>6.0</v>
      </c>
      <c r="F331" s="595">
        <v>8.0</v>
      </c>
      <c r="G331" s="595">
        <v>12.0</v>
      </c>
      <c r="H331" s="595">
        <v>14.0</v>
      </c>
      <c r="I331" s="597"/>
      <c r="J331" s="590"/>
      <c r="K331" s="590"/>
      <c r="L331" s="592" t="str">
        <f>VLOOKUP(A331,'Кузнец'!$B$145:$J$193,9,FALSE)</f>
        <v>#N/A</v>
      </c>
      <c r="M331" s="590"/>
      <c r="N331" s="590" t="str">
        <f>VLOOKUP(A331,'Кузнец'!$B$145:$J$193,4,FALSE)</f>
        <v>#N/A</v>
      </c>
      <c r="O331" s="590"/>
      <c r="P331" s="590"/>
      <c r="Q331" s="593"/>
      <c r="R331" s="591"/>
      <c r="S331" s="454">
        <v>0.0</v>
      </c>
      <c r="T331" s="467"/>
      <c r="U331" s="467"/>
      <c r="V331" s="438"/>
      <c r="W331" s="438"/>
      <c r="X331" s="467"/>
      <c r="Y331" s="467"/>
      <c r="Z331" s="467"/>
      <c r="AA331" s="467"/>
      <c r="AB331" s="467"/>
      <c r="AC331" s="438"/>
      <c r="AD331" s="438"/>
      <c r="AE331" s="441"/>
      <c r="AF331" s="441"/>
      <c r="AG331" s="441"/>
      <c r="AH331" s="441"/>
      <c r="AI331" s="441"/>
      <c r="AJ331" s="441"/>
      <c r="AK331" s="441"/>
      <c r="AL331" s="441"/>
      <c r="AM331" s="441"/>
      <c r="AN331" s="441"/>
      <c r="AO331" s="441"/>
      <c r="AP331" s="441"/>
      <c r="AQ331" s="441"/>
      <c r="AR331" s="441"/>
      <c r="AS331" s="441"/>
      <c r="AT331" s="441"/>
      <c r="AU331" s="441"/>
      <c r="AV331" s="441"/>
      <c r="AW331" s="441"/>
      <c r="AX331" s="441"/>
      <c r="AY331" s="441"/>
      <c r="AZ331" s="441"/>
      <c r="BA331" s="441"/>
      <c r="BB331" s="441"/>
      <c r="BC331" s="441"/>
      <c r="BD331" s="441"/>
      <c r="BE331" s="441"/>
      <c r="BF331" s="441"/>
    </row>
    <row r="332" ht="15.0" hidden="1" customHeight="1" outlineLevel="1">
      <c r="A332" s="594" t="s">
        <v>759</v>
      </c>
      <c r="B332" s="595">
        <f t="shared" ref="B332:H332" si="166">(B329+B330)/2+B331</f>
        <v>4.5</v>
      </c>
      <c r="C332" s="595">
        <f t="shared" si="166"/>
        <v>6.5</v>
      </c>
      <c r="D332" s="595">
        <f t="shared" si="166"/>
        <v>8.5</v>
      </c>
      <c r="E332" s="595">
        <f t="shared" si="166"/>
        <v>11.5</v>
      </c>
      <c r="F332" s="595">
        <f t="shared" si="166"/>
        <v>14.5</v>
      </c>
      <c r="G332" s="595">
        <f t="shared" si="166"/>
        <v>18.5</v>
      </c>
      <c r="H332" s="595">
        <f t="shared" si="166"/>
        <v>23</v>
      </c>
      <c r="I332" s="597"/>
      <c r="J332" s="590"/>
      <c r="K332" s="590"/>
      <c r="L332" s="592" t="str">
        <f>VLOOKUP(A332,'Кузнец'!$B$145:$J$193,9,FALSE)</f>
        <v>#N/A</v>
      </c>
      <c r="M332" s="590"/>
      <c r="N332" s="590" t="str">
        <f>VLOOKUP(A332,'Кузнец'!$B$145:$J$193,4,FALSE)</f>
        <v>#N/A</v>
      </c>
      <c r="O332" s="590"/>
      <c r="P332" s="590"/>
      <c r="Q332" s="593"/>
      <c r="R332" s="591"/>
      <c r="S332" s="454">
        <v>0.0</v>
      </c>
      <c r="T332" s="467"/>
      <c r="U332" s="467"/>
      <c r="V332" s="438"/>
      <c r="W332" s="438"/>
      <c r="X332" s="467"/>
      <c r="Y332" s="467"/>
      <c r="Z332" s="467"/>
      <c r="AA332" s="467"/>
      <c r="AB332" s="467"/>
      <c r="AC332" s="438"/>
      <c r="AD332" s="438"/>
      <c r="AE332" s="441"/>
      <c r="AF332" s="441"/>
      <c r="AG332" s="441"/>
      <c r="AH332" s="441"/>
      <c r="AI332" s="441"/>
      <c r="AJ332" s="441"/>
      <c r="AK332" s="441"/>
      <c r="AL332" s="441"/>
      <c r="AM332" s="441"/>
      <c r="AN332" s="441"/>
      <c r="AO332" s="441"/>
      <c r="AP332" s="441"/>
      <c r="AQ332" s="441"/>
      <c r="AR332" s="441"/>
      <c r="AS332" s="441"/>
      <c r="AT332" s="441"/>
      <c r="AU332" s="441"/>
      <c r="AV332" s="441"/>
      <c r="AW332" s="441"/>
      <c r="AX332" s="441"/>
      <c r="AY332" s="441"/>
      <c r="AZ332" s="441"/>
      <c r="BA332" s="441"/>
      <c r="BB332" s="441"/>
      <c r="BC332" s="441"/>
      <c r="BD332" s="441"/>
      <c r="BE332" s="441"/>
      <c r="BF332" s="441"/>
    </row>
    <row r="333" ht="15.0" hidden="1" customHeight="1" outlineLevel="1">
      <c r="A333" s="594" t="s">
        <v>760</v>
      </c>
      <c r="B333" s="596"/>
      <c r="C333" s="596">
        <f t="shared" ref="C333:H333" si="167">C332/B332-1</f>
        <v>0.4444444444</v>
      </c>
      <c r="D333" s="596">
        <f t="shared" si="167"/>
        <v>0.3076923077</v>
      </c>
      <c r="E333" s="596">
        <f t="shared" si="167"/>
        <v>0.3529411765</v>
      </c>
      <c r="F333" s="596">
        <f t="shared" si="167"/>
        <v>0.2608695652</v>
      </c>
      <c r="G333" s="596">
        <f t="shared" si="167"/>
        <v>0.275862069</v>
      </c>
      <c r="H333" s="596">
        <f t="shared" si="167"/>
        <v>0.2432432432</v>
      </c>
      <c r="I333" s="597"/>
      <c r="J333" s="590"/>
      <c r="K333" s="590"/>
      <c r="L333" s="592" t="str">
        <f>VLOOKUP(A333,'Кузнец'!$B$145:$J$193,9,FALSE)</f>
        <v>#N/A</v>
      </c>
      <c r="M333" s="590"/>
      <c r="N333" s="590" t="str">
        <f>VLOOKUP(A333,'Кузнец'!$B$145:$J$193,4,FALSE)</f>
        <v>#N/A</v>
      </c>
      <c r="O333" s="590"/>
      <c r="P333" s="590"/>
      <c r="Q333" s="593"/>
      <c r="R333" s="591"/>
      <c r="S333" s="454">
        <v>0.0</v>
      </c>
      <c r="T333" s="467"/>
      <c r="U333" s="467"/>
      <c r="V333" s="438"/>
      <c r="W333" s="438"/>
      <c r="X333" s="467"/>
      <c r="Y333" s="467"/>
      <c r="Z333" s="467"/>
      <c r="AA333" s="467"/>
      <c r="AB333" s="467"/>
      <c r="AC333" s="438"/>
      <c r="AD333" s="438"/>
      <c r="AE333" s="441"/>
      <c r="AF333" s="441"/>
      <c r="AG333" s="441"/>
      <c r="AH333" s="441"/>
      <c r="AI333" s="441"/>
      <c r="AJ333" s="441"/>
      <c r="AK333" s="441"/>
      <c r="AL333" s="441"/>
      <c r="AM333" s="441"/>
      <c r="AN333" s="441"/>
      <c r="AO333" s="441"/>
      <c r="AP333" s="441"/>
      <c r="AQ333" s="441"/>
      <c r="AR333" s="441"/>
      <c r="AS333" s="441"/>
      <c r="AT333" s="441"/>
      <c r="AU333" s="441"/>
      <c r="AV333" s="441"/>
      <c r="AW333" s="441"/>
      <c r="AX333" s="441"/>
      <c r="AY333" s="441"/>
      <c r="AZ333" s="441"/>
      <c r="BA333" s="441"/>
      <c r="BB333" s="441"/>
      <c r="BC333" s="441"/>
      <c r="BD333" s="441"/>
      <c r="BE333" s="441"/>
      <c r="BF333" s="441"/>
    </row>
    <row r="334" ht="15.0" hidden="1" customHeight="1" outlineLevel="1">
      <c r="A334" s="594" t="s">
        <v>761</v>
      </c>
      <c r="B334" s="595">
        <f>$K328</f>
        <v>2</v>
      </c>
      <c r="C334" s="595"/>
      <c r="D334" s="596"/>
      <c r="E334" s="596"/>
      <c r="F334" s="596"/>
      <c r="G334" s="596"/>
      <c r="H334" s="596"/>
      <c r="I334" s="597"/>
      <c r="J334" s="590"/>
      <c r="K334" s="590"/>
      <c r="L334" s="592" t="str">
        <f>VLOOKUP(A334,'Кузнец'!$B$145:$J$193,9,FALSE)</f>
        <v>#N/A</v>
      </c>
      <c r="M334" s="590"/>
      <c r="N334" s="590" t="str">
        <f>VLOOKUP(A334,'Кузнец'!$B$145:$J$193,4,FALSE)</f>
        <v>#N/A</v>
      </c>
      <c r="O334" s="590"/>
      <c r="P334" s="590"/>
      <c r="Q334" s="593"/>
      <c r="R334" s="591"/>
      <c r="S334" s="454">
        <v>0.0</v>
      </c>
      <c r="T334" s="467"/>
      <c r="U334" s="467"/>
      <c r="V334" s="438"/>
      <c r="W334" s="438"/>
      <c r="X334" s="467"/>
      <c r="Y334" s="467"/>
      <c r="Z334" s="467"/>
      <c r="AA334" s="467"/>
      <c r="AB334" s="467"/>
      <c r="AC334" s="438"/>
      <c r="AD334" s="438"/>
      <c r="AE334" s="441"/>
      <c r="AF334" s="441"/>
      <c r="AG334" s="441"/>
      <c r="AH334" s="441"/>
      <c r="AI334" s="441"/>
      <c r="AJ334" s="441"/>
      <c r="AK334" s="441"/>
      <c r="AL334" s="441"/>
      <c r="AM334" s="441"/>
      <c r="AN334" s="441"/>
      <c r="AO334" s="441"/>
      <c r="AP334" s="441"/>
      <c r="AQ334" s="441"/>
      <c r="AR334" s="441"/>
      <c r="AS334" s="441"/>
      <c r="AT334" s="441"/>
      <c r="AU334" s="441"/>
      <c r="AV334" s="441"/>
      <c r="AW334" s="441"/>
      <c r="AX334" s="441"/>
      <c r="AY334" s="441"/>
      <c r="AZ334" s="441"/>
      <c r="BA334" s="441"/>
      <c r="BB334" s="441"/>
      <c r="BC334" s="441"/>
      <c r="BD334" s="441"/>
      <c r="BE334" s="441"/>
      <c r="BF334" s="441"/>
    </row>
    <row r="335" ht="15.0" hidden="1" customHeight="1" outlineLevel="1">
      <c r="A335" s="594" t="s">
        <v>762</v>
      </c>
      <c r="B335" s="595">
        <f t="shared" ref="B335:H335" si="168">B332/$B334</f>
        <v>2.25</v>
      </c>
      <c r="C335" s="595">
        <f t="shared" si="168"/>
        <v>3.25</v>
      </c>
      <c r="D335" s="595">
        <f t="shared" si="168"/>
        <v>4.25</v>
      </c>
      <c r="E335" s="595">
        <f t="shared" si="168"/>
        <v>5.75</v>
      </c>
      <c r="F335" s="595">
        <f t="shared" si="168"/>
        <v>7.25</v>
      </c>
      <c r="G335" s="595">
        <f t="shared" si="168"/>
        <v>9.25</v>
      </c>
      <c r="H335" s="595">
        <f t="shared" si="168"/>
        <v>11.5</v>
      </c>
      <c r="I335" s="597"/>
      <c r="J335" s="590"/>
      <c r="K335" s="590"/>
      <c r="L335" s="592" t="str">
        <f>VLOOKUP(A335,'Кузнец'!$B$145:$J$193,9,FALSE)</f>
        <v>#N/A</v>
      </c>
      <c r="M335" s="590"/>
      <c r="N335" s="590" t="str">
        <f>VLOOKUP(A335,'Кузнец'!$B$145:$J$193,4,FALSE)</f>
        <v>#N/A</v>
      </c>
      <c r="O335" s="590"/>
      <c r="P335" s="590"/>
      <c r="Q335" s="593"/>
      <c r="R335" s="591"/>
      <c r="S335" s="454">
        <v>0.0</v>
      </c>
      <c r="T335" s="467"/>
      <c r="U335" s="467"/>
      <c r="V335" s="438"/>
      <c r="W335" s="438"/>
      <c r="X335" s="467"/>
      <c r="Y335" s="467"/>
      <c r="Z335" s="467"/>
      <c r="AA335" s="467"/>
      <c r="AB335" s="467"/>
      <c r="AC335" s="438"/>
      <c r="AD335" s="438"/>
      <c r="AE335" s="441"/>
      <c r="AF335" s="441"/>
      <c r="AG335" s="441"/>
      <c r="AH335" s="441"/>
      <c r="AI335" s="441"/>
      <c r="AJ335" s="441"/>
      <c r="AK335" s="441"/>
      <c r="AL335" s="441"/>
      <c r="AM335" s="441"/>
      <c r="AN335" s="441"/>
      <c r="AO335" s="441"/>
      <c r="AP335" s="441"/>
      <c r="AQ335" s="441"/>
      <c r="AR335" s="441"/>
      <c r="AS335" s="441"/>
      <c r="AT335" s="441"/>
      <c r="AU335" s="441"/>
      <c r="AV335" s="441"/>
      <c r="AW335" s="441"/>
      <c r="AX335" s="441"/>
      <c r="AY335" s="441"/>
      <c r="AZ335" s="441"/>
      <c r="BA335" s="441"/>
      <c r="BB335" s="441"/>
      <c r="BC335" s="441"/>
      <c r="BD335" s="441"/>
      <c r="BE335" s="441"/>
      <c r="BF335" s="441"/>
    </row>
    <row r="336" ht="15.0" customHeight="1" collapsed="1">
      <c r="A336" s="599" t="s">
        <v>1025</v>
      </c>
      <c r="B336" s="589" t="s">
        <v>889</v>
      </c>
      <c r="C336" s="590" t="s">
        <v>797</v>
      </c>
      <c r="D336" s="590" t="s">
        <v>890</v>
      </c>
      <c r="E336" s="590" t="s">
        <v>891</v>
      </c>
      <c r="F336" s="590" t="s">
        <v>892</v>
      </c>
      <c r="G336" s="590" t="s">
        <v>1021</v>
      </c>
      <c r="H336" s="590" t="s">
        <v>1022</v>
      </c>
      <c r="I336" s="597" t="s">
        <v>770</v>
      </c>
      <c r="J336" s="600">
        <v>1.0</v>
      </c>
      <c r="K336" s="601">
        <v>2.0</v>
      </c>
      <c r="L336" s="592">
        <f>VLOOKUP(A336,'Кузнец'!$B$145:$J$193,9,FALSE)</f>
        <v>2.22</v>
      </c>
      <c r="M336" s="589" t="s">
        <v>1026</v>
      </c>
      <c r="N336" s="590">
        <f>VLOOKUP(A336,'Кузнец'!$B$145:$J$193,4,FALSE)</f>
        <v>6</v>
      </c>
      <c r="O336" s="590">
        <v>14.0</v>
      </c>
      <c r="P336" s="589" t="s">
        <v>755</v>
      </c>
      <c r="Q336" s="593"/>
      <c r="R336" s="589" t="s">
        <v>1027</v>
      </c>
      <c r="S336" s="454">
        <v>0.0</v>
      </c>
      <c r="T336" s="467"/>
      <c r="U336" s="467"/>
      <c r="V336" s="438"/>
      <c r="W336" s="438"/>
      <c r="X336" s="440">
        <v>26.0</v>
      </c>
      <c r="Y336" s="440">
        <v>28.0</v>
      </c>
      <c r="Z336" s="440">
        <v>30.0</v>
      </c>
      <c r="AA336" s="440">
        <v>32.0</v>
      </c>
      <c r="AB336" s="440">
        <v>34.0</v>
      </c>
      <c r="AC336" s="440">
        <v>36.0</v>
      </c>
      <c r="AD336" s="440">
        <v>38.0</v>
      </c>
      <c r="AE336" s="441"/>
      <c r="AF336" s="441"/>
      <c r="AG336" s="441"/>
      <c r="AH336" s="441"/>
      <c r="AI336" s="441"/>
      <c r="AJ336" s="441"/>
      <c r="AK336" s="441"/>
      <c r="AL336" s="441"/>
      <c r="AM336" s="441"/>
      <c r="AN336" s="441"/>
      <c r="AO336" s="441"/>
      <c r="AP336" s="441"/>
      <c r="AQ336" s="441"/>
      <c r="AR336" s="441"/>
      <c r="AS336" s="441"/>
      <c r="AT336" s="441"/>
      <c r="AU336" s="441"/>
      <c r="AV336" s="441"/>
      <c r="AW336" s="441"/>
      <c r="AX336" s="441"/>
      <c r="AY336" s="441"/>
      <c r="AZ336" s="441"/>
      <c r="BA336" s="441"/>
      <c r="BB336" s="441"/>
      <c r="BC336" s="441"/>
      <c r="BD336" s="441"/>
      <c r="BE336" s="441"/>
      <c r="BF336" s="441"/>
    </row>
    <row r="337" ht="15.0" hidden="1" customHeight="1" outlineLevel="1">
      <c r="A337" s="594" t="s">
        <v>756</v>
      </c>
      <c r="B337" s="595">
        <v>1.0</v>
      </c>
      <c r="C337" s="595">
        <v>1.0</v>
      </c>
      <c r="D337" s="595">
        <v>1.0</v>
      </c>
      <c r="E337" s="595">
        <v>1.0</v>
      </c>
      <c r="F337" s="595">
        <v>1.0</v>
      </c>
      <c r="G337" s="595">
        <v>1.0</v>
      </c>
      <c r="H337" s="602">
        <v>2.0</v>
      </c>
      <c r="I337" s="591"/>
      <c r="J337" s="590"/>
      <c r="K337" s="590"/>
      <c r="L337" s="592" t="str">
        <f>VLOOKUP(A337,'Кузнец'!$B$145:$J$193,9,FALSE)</f>
        <v>#N/A</v>
      </c>
      <c r="M337" s="590"/>
      <c r="N337" s="590" t="str">
        <f>VLOOKUP(A337,'Кузнец'!$B$145:$J$193,4,FALSE)</f>
        <v>#N/A</v>
      </c>
      <c r="O337" s="590"/>
      <c r="P337" s="590"/>
      <c r="Q337" s="593"/>
      <c r="R337" s="600"/>
      <c r="S337" s="454">
        <v>0.0</v>
      </c>
      <c r="T337" s="467"/>
      <c r="U337" s="467"/>
      <c r="V337" s="438"/>
      <c r="W337" s="438"/>
      <c r="X337" s="467"/>
      <c r="Y337" s="467"/>
      <c r="Z337" s="467"/>
      <c r="AA337" s="467"/>
      <c r="AB337" s="467"/>
      <c r="AC337" s="438"/>
      <c r="AD337" s="438"/>
      <c r="AE337" s="441"/>
      <c r="AF337" s="441"/>
      <c r="AG337" s="441"/>
      <c r="AH337" s="441"/>
      <c r="AI337" s="441"/>
      <c r="AJ337" s="441"/>
      <c r="AK337" s="441"/>
      <c r="AL337" s="441"/>
      <c r="AM337" s="441"/>
      <c r="AN337" s="441"/>
      <c r="AO337" s="441"/>
      <c r="AP337" s="441"/>
      <c r="AQ337" s="441"/>
      <c r="AR337" s="441"/>
      <c r="AS337" s="441"/>
      <c r="AT337" s="441"/>
      <c r="AU337" s="441"/>
      <c r="AV337" s="441"/>
      <c r="AW337" s="441"/>
      <c r="AX337" s="441"/>
      <c r="AY337" s="441"/>
      <c r="AZ337" s="441"/>
      <c r="BA337" s="441"/>
      <c r="BB337" s="441"/>
      <c r="BC337" s="441"/>
      <c r="BD337" s="441"/>
      <c r="BE337" s="441"/>
      <c r="BF337" s="441"/>
    </row>
    <row r="338" ht="15.0" hidden="1" customHeight="1" outlineLevel="1">
      <c r="A338" s="594" t="s">
        <v>757</v>
      </c>
      <c r="B338" s="602">
        <v>8.0</v>
      </c>
      <c r="C338" s="602">
        <v>8.0</v>
      </c>
      <c r="D338" s="602">
        <v>10.0</v>
      </c>
      <c r="E338" s="602">
        <v>10.0</v>
      </c>
      <c r="F338" s="602">
        <v>12.0</v>
      </c>
      <c r="G338" s="602">
        <v>12.0</v>
      </c>
      <c r="H338" s="602">
        <v>16.0</v>
      </c>
      <c r="I338" s="591"/>
      <c r="J338" s="590"/>
      <c r="K338" s="590"/>
      <c r="L338" s="592" t="str">
        <f>VLOOKUP(A338,'Кузнец'!$B$145:$J$193,9,FALSE)</f>
        <v>#N/A</v>
      </c>
      <c r="M338" s="590"/>
      <c r="N338" s="590" t="str">
        <f>VLOOKUP(A338,'Кузнец'!$B$145:$J$193,4,FALSE)</f>
        <v>#N/A</v>
      </c>
      <c r="O338" s="590"/>
      <c r="P338" s="590"/>
      <c r="Q338" s="593"/>
      <c r="R338" s="600"/>
      <c r="S338" s="454">
        <v>0.0</v>
      </c>
      <c r="T338" s="467"/>
      <c r="U338" s="467"/>
      <c r="V338" s="438"/>
      <c r="W338" s="438"/>
      <c r="X338" s="467"/>
      <c r="Y338" s="467"/>
      <c r="Z338" s="467"/>
      <c r="AA338" s="467"/>
      <c r="AB338" s="467"/>
      <c r="AC338" s="438"/>
      <c r="AD338" s="438"/>
      <c r="AE338" s="441"/>
      <c r="AF338" s="441"/>
      <c r="AG338" s="441"/>
      <c r="AH338" s="441"/>
      <c r="AI338" s="441"/>
      <c r="AJ338" s="441"/>
      <c r="AK338" s="441"/>
      <c r="AL338" s="441"/>
      <c r="AM338" s="441"/>
      <c r="AN338" s="441"/>
      <c r="AO338" s="441"/>
      <c r="AP338" s="441"/>
      <c r="AQ338" s="441"/>
      <c r="AR338" s="441"/>
      <c r="AS338" s="441"/>
      <c r="AT338" s="441"/>
      <c r="AU338" s="441"/>
      <c r="AV338" s="441"/>
      <c r="AW338" s="441"/>
      <c r="AX338" s="441"/>
      <c r="AY338" s="441"/>
      <c r="AZ338" s="441"/>
      <c r="BA338" s="441"/>
      <c r="BB338" s="441"/>
      <c r="BC338" s="441"/>
      <c r="BD338" s="441"/>
      <c r="BE338" s="441"/>
      <c r="BF338" s="441"/>
    </row>
    <row r="339" ht="15.0" hidden="1" customHeight="1" outlineLevel="1">
      <c r="A339" s="594" t="s">
        <v>758</v>
      </c>
      <c r="B339" s="595">
        <v>0.0</v>
      </c>
      <c r="C339" s="595">
        <v>2.0</v>
      </c>
      <c r="D339" s="595">
        <v>3.0</v>
      </c>
      <c r="E339" s="595">
        <v>6.0</v>
      </c>
      <c r="F339" s="595">
        <v>8.0</v>
      </c>
      <c r="G339" s="595">
        <v>12.0</v>
      </c>
      <c r="H339" s="595">
        <v>15.0</v>
      </c>
      <c r="I339" s="591"/>
      <c r="J339" s="590"/>
      <c r="K339" s="590"/>
      <c r="L339" s="592" t="str">
        <f>VLOOKUP(A339,'Кузнец'!$B$145:$J$193,9,FALSE)</f>
        <v>#N/A</v>
      </c>
      <c r="M339" s="590"/>
      <c r="N339" s="590" t="str">
        <f>VLOOKUP(A339,'Кузнец'!$B$145:$J$193,4,FALSE)</f>
        <v>#N/A</v>
      </c>
      <c r="O339" s="590"/>
      <c r="P339" s="590"/>
      <c r="Q339" s="593"/>
      <c r="R339" s="600"/>
      <c r="S339" s="454">
        <v>0.0</v>
      </c>
      <c r="T339" s="467"/>
      <c r="U339" s="467"/>
      <c r="V339" s="438"/>
      <c r="W339" s="438"/>
      <c r="X339" s="467"/>
      <c r="Y339" s="467"/>
      <c r="Z339" s="467"/>
      <c r="AA339" s="467"/>
      <c r="AB339" s="467"/>
      <c r="AC339" s="438"/>
      <c r="AD339" s="438"/>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441"/>
      <c r="AZ339" s="441"/>
      <c r="BA339" s="441"/>
      <c r="BB339" s="441"/>
      <c r="BC339" s="441"/>
      <c r="BD339" s="441"/>
      <c r="BE339" s="441"/>
      <c r="BF339" s="441"/>
    </row>
    <row r="340" ht="15.0" hidden="1" customHeight="1" outlineLevel="1">
      <c r="A340" s="594" t="s">
        <v>759</v>
      </c>
      <c r="B340" s="595">
        <f t="shared" ref="B340:H340" si="169">(B337+B338)/2+B339</f>
        <v>4.5</v>
      </c>
      <c r="C340" s="595">
        <f t="shared" si="169"/>
        <v>6.5</v>
      </c>
      <c r="D340" s="595">
        <f t="shared" si="169"/>
        <v>8.5</v>
      </c>
      <c r="E340" s="595">
        <f t="shared" si="169"/>
        <v>11.5</v>
      </c>
      <c r="F340" s="595">
        <f t="shared" si="169"/>
        <v>14.5</v>
      </c>
      <c r="G340" s="595">
        <f t="shared" si="169"/>
        <v>18.5</v>
      </c>
      <c r="H340" s="595">
        <f t="shared" si="169"/>
        <v>24</v>
      </c>
      <c r="I340" s="591"/>
      <c r="J340" s="590"/>
      <c r="K340" s="590"/>
      <c r="L340" s="592" t="str">
        <f>VLOOKUP(A340,'Кузнец'!$B$145:$J$193,9,FALSE)</f>
        <v>#N/A</v>
      </c>
      <c r="M340" s="590"/>
      <c r="N340" s="590" t="str">
        <f>VLOOKUP(A340,'Кузнец'!$B$145:$J$193,4,FALSE)</f>
        <v>#N/A</v>
      </c>
      <c r="O340" s="590"/>
      <c r="P340" s="590"/>
      <c r="Q340" s="593"/>
      <c r="R340" s="600"/>
      <c r="S340" s="454">
        <v>0.0</v>
      </c>
      <c r="T340" s="467"/>
      <c r="U340" s="467"/>
      <c r="V340" s="438"/>
      <c r="W340" s="438"/>
      <c r="X340" s="467"/>
      <c r="Y340" s="467"/>
      <c r="Z340" s="467"/>
      <c r="AA340" s="467"/>
      <c r="AB340" s="467"/>
      <c r="AC340" s="438"/>
      <c r="AD340" s="438"/>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441"/>
      <c r="AZ340" s="441"/>
      <c r="BA340" s="441"/>
      <c r="BB340" s="441"/>
      <c r="BC340" s="441"/>
      <c r="BD340" s="441"/>
      <c r="BE340" s="441"/>
      <c r="BF340" s="441"/>
    </row>
    <row r="341" ht="15.0" hidden="1" customHeight="1" outlineLevel="1">
      <c r="A341" s="594" t="s">
        <v>760</v>
      </c>
      <c r="B341" s="596"/>
      <c r="C341" s="596">
        <f t="shared" ref="C341:H341" si="170">C340/B340-1</f>
        <v>0.4444444444</v>
      </c>
      <c r="D341" s="596">
        <f t="shared" si="170"/>
        <v>0.3076923077</v>
      </c>
      <c r="E341" s="596">
        <f t="shared" si="170"/>
        <v>0.3529411765</v>
      </c>
      <c r="F341" s="596">
        <f t="shared" si="170"/>
        <v>0.2608695652</v>
      </c>
      <c r="G341" s="596">
        <f t="shared" si="170"/>
        <v>0.275862069</v>
      </c>
      <c r="H341" s="596">
        <f t="shared" si="170"/>
        <v>0.2972972973</v>
      </c>
      <c r="I341" s="591"/>
      <c r="J341" s="590"/>
      <c r="K341" s="590"/>
      <c r="L341" s="592" t="str">
        <f>VLOOKUP(A341,'Кузнец'!$B$145:$J$193,9,FALSE)</f>
        <v>#N/A</v>
      </c>
      <c r="M341" s="590"/>
      <c r="N341" s="590" t="str">
        <f>VLOOKUP(A341,'Кузнец'!$B$145:$J$193,4,FALSE)</f>
        <v>#N/A</v>
      </c>
      <c r="O341" s="590"/>
      <c r="P341" s="590"/>
      <c r="Q341" s="593"/>
      <c r="R341" s="600"/>
      <c r="S341" s="454">
        <v>0.0</v>
      </c>
      <c r="T341" s="467"/>
      <c r="U341" s="467"/>
      <c r="V341" s="438"/>
      <c r="W341" s="438"/>
      <c r="X341" s="467"/>
      <c r="Y341" s="467"/>
      <c r="Z341" s="467"/>
      <c r="AA341" s="467"/>
      <c r="AB341" s="467"/>
      <c r="AC341" s="438"/>
      <c r="AD341" s="438"/>
      <c r="AE341" s="441"/>
      <c r="AF341" s="441"/>
      <c r="AG341" s="441"/>
      <c r="AH341" s="441"/>
      <c r="AI341" s="441"/>
      <c r="AJ341" s="441"/>
      <c r="AK341" s="441"/>
      <c r="AL341" s="441"/>
      <c r="AM341" s="441"/>
      <c r="AN341" s="441"/>
      <c r="AO341" s="441"/>
      <c r="AP341" s="441"/>
      <c r="AQ341" s="441"/>
      <c r="AR341" s="441"/>
      <c r="AS341" s="441"/>
      <c r="AT341" s="441"/>
      <c r="AU341" s="441"/>
      <c r="AV341" s="441"/>
      <c r="AW341" s="441"/>
      <c r="AX341" s="441"/>
      <c r="AY341" s="441"/>
      <c r="AZ341" s="441"/>
      <c r="BA341" s="441"/>
      <c r="BB341" s="441"/>
      <c r="BC341" s="441"/>
      <c r="BD341" s="441"/>
      <c r="BE341" s="441"/>
      <c r="BF341" s="441"/>
    </row>
    <row r="342" ht="15.0" hidden="1" customHeight="1" outlineLevel="1">
      <c r="A342" s="594" t="s">
        <v>761</v>
      </c>
      <c r="B342" s="595">
        <v>2.0</v>
      </c>
      <c r="C342" s="595"/>
      <c r="D342" s="596"/>
      <c r="E342" s="596"/>
      <c r="F342" s="596"/>
      <c r="G342" s="596"/>
      <c r="H342" s="596"/>
      <c r="I342" s="591"/>
      <c r="J342" s="590"/>
      <c r="K342" s="590"/>
      <c r="L342" s="592" t="str">
        <f>VLOOKUP(A342,'Кузнец'!$B$145:$J$193,9,FALSE)</f>
        <v>#N/A</v>
      </c>
      <c r="M342" s="590"/>
      <c r="N342" s="590" t="str">
        <f>VLOOKUP(A342,'Кузнец'!$B$145:$J$193,4,FALSE)</f>
        <v>#N/A</v>
      </c>
      <c r="O342" s="590"/>
      <c r="P342" s="590"/>
      <c r="Q342" s="593"/>
      <c r="R342" s="600"/>
      <c r="S342" s="454">
        <v>0.0</v>
      </c>
      <c r="T342" s="467"/>
      <c r="U342" s="467"/>
      <c r="V342" s="438"/>
      <c r="W342" s="438"/>
      <c r="X342" s="467"/>
      <c r="Y342" s="467"/>
      <c r="Z342" s="467"/>
      <c r="AA342" s="467"/>
      <c r="AB342" s="467"/>
      <c r="AC342" s="438"/>
      <c r="AD342" s="438"/>
      <c r="AE342" s="441"/>
      <c r="AF342" s="441"/>
      <c r="AG342" s="441"/>
      <c r="AH342" s="441"/>
      <c r="AI342" s="441"/>
      <c r="AJ342" s="441"/>
      <c r="AK342" s="441"/>
      <c r="AL342" s="441"/>
      <c r="AM342" s="441"/>
      <c r="AN342" s="441"/>
      <c r="AO342" s="441"/>
      <c r="AP342" s="441"/>
      <c r="AQ342" s="441"/>
      <c r="AR342" s="441"/>
      <c r="AS342" s="441"/>
      <c r="AT342" s="441"/>
      <c r="AU342" s="441"/>
      <c r="AV342" s="441"/>
      <c r="AW342" s="441"/>
      <c r="AX342" s="441"/>
      <c r="AY342" s="441"/>
      <c r="AZ342" s="441"/>
      <c r="BA342" s="441"/>
      <c r="BB342" s="441"/>
      <c r="BC342" s="441"/>
      <c r="BD342" s="441"/>
      <c r="BE342" s="441"/>
      <c r="BF342" s="441"/>
    </row>
    <row r="343" ht="15.0" hidden="1" customHeight="1" outlineLevel="1">
      <c r="A343" s="594" t="s">
        <v>762</v>
      </c>
      <c r="B343" s="595">
        <f t="shared" ref="B343:H343" si="171">B340/$B342</f>
        <v>2.25</v>
      </c>
      <c r="C343" s="595">
        <f t="shared" si="171"/>
        <v>3.25</v>
      </c>
      <c r="D343" s="595">
        <f t="shared" si="171"/>
        <v>4.25</v>
      </c>
      <c r="E343" s="595">
        <f t="shared" si="171"/>
        <v>5.75</v>
      </c>
      <c r="F343" s="595">
        <f t="shared" si="171"/>
        <v>7.25</v>
      </c>
      <c r="G343" s="595">
        <f t="shared" si="171"/>
        <v>9.25</v>
      </c>
      <c r="H343" s="595">
        <f t="shared" si="171"/>
        <v>12</v>
      </c>
      <c r="I343" s="591"/>
      <c r="J343" s="590"/>
      <c r="K343" s="590"/>
      <c r="L343" s="592" t="str">
        <f>VLOOKUP(A343,'Кузнец'!$B$145:$J$193,9,FALSE)</f>
        <v>#N/A</v>
      </c>
      <c r="M343" s="590"/>
      <c r="N343" s="590" t="str">
        <f>VLOOKUP(A343,'Кузнец'!$B$145:$J$193,4,FALSE)</f>
        <v>#N/A</v>
      </c>
      <c r="O343" s="590"/>
      <c r="P343" s="590"/>
      <c r="Q343" s="593"/>
      <c r="R343" s="600"/>
      <c r="S343" s="454">
        <v>0.0</v>
      </c>
      <c r="T343" s="467"/>
      <c r="U343" s="467"/>
      <c r="V343" s="438"/>
      <c r="W343" s="438"/>
      <c r="X343" s="467"/>
      <c r="Y343" s="467"/>
      <c r="Z343" s="467"/>
      <c r="AA343" s="467"/>
      <c r="AB343" s="467"/>
      <c r="AC343" s="438"/>
      <c r="AD343" s="438"/>
      <c r="AE343" s="441"/>
      <c r="AF343" s="441"/>
      <c r="AG343" s="441"/>
      <c r="AH343" s="441"/>
      <c r="AI343" s="441"/>
      <c r="AJ343" s="441"/>
      <c r="AK343" s="441"/>
      <c r="AL343" s="441"/>
      <c r="AM343" s="441"/>
      <c r="AN343" s="441"/>
      <c r="AO343" s="441"/>
      <c r="AP343" s="441"/>
      <c r="AQ343" s="441"/>
      <c r="AR343" s="441"/>
      <c r="AS343" s="441"/>
      <c r="AT343" s="441"/>
      <c r="AU343" s="441"/>
      <c r="AV343" s="441"/>
      <c r="AW343" s="441"/>
      <c r="AX343" s="441"/>
      <c r="AY343" s="441"/>
      <c r="AZ343" s="441"/>
      <c r="BA343" s="441"/>
      <c r="BB343" s="441"/>
      <c r="BC343" s="441"/>
      <c r="BD343" s="441"/>
      <c r="BE343" s="441"/>
      <c r="BF343" s="441"/>
    </row>
    <row r="344" collapsed="1">
      <c r="A344" s="588" t="s">
        <v>1028</v>
      </c>
      <c r="B344" s="601" t="s">
        <v>924</v>
      </c>
      <c r="C344" s="600" t="s">
        <v>774</v>
      </c>
      <c r="D344" s="600" t="s">
        <v>1029</v>
      </c>
      <c r="E344" s="600" t="s">
        <v>783</v>
      </c>
      <c r="F344" s="600" t="s">
        <v>1021</v>
      </c>
      <c r="G344" s="600" t="s">
        <v>1030</v>
      </c>
      <c r="H344" s="600" t="s">
        <v>1031</v>
      </c>
      <c r="I344" s="591" t="s">
        <v>754</v>
      </c>
      <c r="J344" s="590">
        <v>0.0</v>
      </c>
      <c r="K344" s="590">
        <v>3.0</v>
      </c>
      <c r="L344" s="592">
        <f>VLOOKUP(A344,'Кузнец'!$B$145:$J$193,9,FALSE)</f>
        <v>3.8</v>
      </c>
      <c r="M344" s="589" t="s">
        <v>986</v>
      </c>
      <c r="N344" s="590">
        <f>VLOOKUP(A344,'Кузнец'!$B$145:$J$193,4,FALSE)</f>
        <v>15</v>
      </c>
      <c r="O344" s="590">
        <v>15.0</v>
      </c>
      <c r="P344" s="589" t="s">
        <v>804</v>
      </c>
      <c r="Q344" s="590"/>
      <c r="R344" s="601" t="s">
        <v>1032</v>
      </c>
      <c r="S344" s="454">
        <v>0.0</v>
      </c>
      <c r="T344" s="460"/>
      <c r="U344" s="460">
        <v>0.05</v>
      </c>
      <c r="V344" s="543"/>
      <c r="W344" s="543"/>
      <c r="X344" s="440">
        <v>0.0</v>
      </c>
      <c r="Y344" s="440">
        <v>0.0</v>
      </c>
      <c r="Z344" s="440">
        <v>0.0</v>
      </c>
      <c r="AA344" s="440">
        <v>0.0</v>
      </c>
      <c r="AB344" s="440">
        <v>0.0</v>
      </c>
      <c r="AC344" s="440">
        <v>0.0</v>
      </c>
      <c r="AD344" s="440">
        <v>0.0</v>
      </c>
      <c r="AE344" s="441"/>
      <c r="AF344" s="545"/>
      <c r="AG344" s="545"/>
      <c r="AH344" s="545"/>
      <c r="AI344" s="545"/>
      <c r="AJ344" s="545"/>
      <c r="AK344" s="545"/>
      <c r="AL344" s="545"/>
      <c r="AM344" s="545"/>
      <c r="AN344" s="545"/>
      <c r="AO344" s="545"/>
      <c r="AP344" s="545"/>
      <c r="AQ344" s="545"/>
      <c r="AR344" s="545"/>
      <c r="AS344" s="545"/>
      <c r="AT344" s="545"/>
      <c r="AU344" s="545"/>
      <c r="AV344" s="545"/>
      <c r="AW344" s="545"/>
      <c r="AX344" s="545"/>
      <c r="AY344" s="545"/>
      <c r="AZ344" s="545"/>
      <c r="BA344" s="545"/>
      <c r="BB344" s="545"/>
      <c r="BC344" s="545"/>
      <c r="BD344" s="545"/>
      <c r="BE344" s="545"/>
      <c r="BF344" s="545"/>
    </row>
    <row r="345" hidden="1" outlineLevel="1">
      <c r="A345" s="594" t="s">
        <v>756</v>
      </c>
      <c r="B345" s="602">
        <v>2.0</v>
      </c>
      <c r="C345" s="595">
        <v>1.0</v>
      </c>
      <c r="D345" s="595">
        <v>1.0</v>
      </c>
      <c r="E345" s="595">
        <v>1.0</v>
      </c>
      <c r="F345" s="595">
        <v>1.0</v>
      </c>
      <c r="G345" s="595">
        <v>1.0</v>
      </c>
      <c r="H345" s="595">
        <v>2.0</v>
      </c>
      <c r="I345" s="591"/>
      <c r="J345" s="590"/>
      <c r="K345" s="590"/>
      <c r="L345" s="592" t="str">
        <f>VLOOKUP(A345,'Кузнец'!$B$145:$J$193,9,FALSE)</f>
        <v>#N/A</v>
      </c>
      <c r="M345" s="590"/>
      <c r="N345" s="590" t="str">
        <f>VLOOKUP(A345,'Кузнец'!$B$145:$J$193,4,FALSE)</f>
        <v>#N/A</v>
      </c>
      <c r="O345" s="590"/>
      <c r="P345" s="590"/>
      <c r="Q345" s="590"/>
      <c r="R345" s="600"/>
      <c r="S345" s="454">
        <v>0.0</v>
      </c>
      <c r="T345" s="542"/>
      <c r="U345" s="542"/>
      <c r="V345" s="543"/>
      <c r="W345" s="543"/>
      <c r="X345" s="467"/>
      <c r="Y345" s="467"/>
      <c r="Z345" s="467"/>
      <c r="AA345" s="467"/>
      <c r="AB345" s="467"/>
      <c r="AC345" s="438"/>
      <c r="AD345" s="438"/>
      <c r="AE345" s="441"/>
      <c r="AF345" s="545"/>
      <c r="AG345" s="545"/>
      <c r="AH345" s="545"/>
      <c r="AI345" s="545"/>
      <c r="AJ345" s="545"/>
      <c r="AK345" s="545"/>
      <c r="AL345" s="545"/>
      <c r="AM345" s="545"/>
      <c r="AN345" s="545"/>
      <c r="AO345" s="545"/>
      <c r="AP345" s="545"/>
      <c r="AQ345" s="545"/>
      <c r="AR345" s="545"/>
      <c r="AS345" s="545"/>
      <c r="AT345" s="545"/>
      <c r="AU345" s="545"/>
      <c r="AV345" s="545"/>
      <c r="AW345" s="545"/>
      <c r="AX345" s="545"/>
      <c r="AY345" s="545"/>
      <c r="AZ345" s="545"/>
      <c r="BA345" s="545"/>
      <c r="BB345" s="545"/>
      <c r="BC345" s="545"/>
      <c r="BD345" s="545"/>
      <c r="BE345" s="545"/>
      <c r="BF345" s="545"/>
    </row>
    <row r="346" hidden="1" outlineLevel="1">
      <c r="A346" s="594" t="s">
        <v>757</v>
      </c>
      <c r="B346" s="602">
        <v>9.0</v>
      </c>
      <c r="C346" s="595">
        <v>8.0</v>
      </c>
      <c r="D346" s="595">
        <v>10.0</v>
      </c>
      <c r="E346" s="595">
        <v>10.0</v>
      </c>
      <c r="F346" s="595">
        <v>12.0</v>
      </c>
      <c r="G346" s="595">
        <v>12.0</v>
      </c>
      <c r="H346" s="595">
        <v>16.0</v>
      </c>
      <c r="I346" s="591"/>
      <c r="J346" s="590"/>
      <c r="K346" s="590"/>
      <c r="L346" s="592" t="str">
        <f>VLOOKUP(A346,'Кузнец'!$B$145:$J$193,9,FALSE)</f>
        <v>#N/A</v>
      </c>
      <c r="M346" s="590"/>
      <c r="N346" s="590" t="str">
        <f>VLOOKUP(A346,'Кузнец'!$B$145:$J$193,4,FALSE)</f>
        <v>#N/A</v>
      </c>
      <c r="O346" s="590"/>
      <c r="P346" s="590"/>
      <c r="Q346" s="590"/>
      <c r="R346" s="600"/>
      <c r="S346" s="454">
        <v>0.0</v>
      </c>
      <c r="T346" s="542"/>
      <c r="U346" s="542"/>
      <c r="V346" s="543"/>
      <c r="W346" s="543"/>
      <c r="X346" s="467"/>
      <c r="Y346" s="467"/>
      <c r="Z346" s="467"/>
      <c r="AA346" s="467"/>
      <c r="AB346" s="467"/>
      <c r="AC346" s="438"/>
      <c r="AD346" s="438"/>
      <c r="AE346" s="441"/>
      <c r="AF346" s="545"/>
      <c r="AG346" s="545"/>
      <c r="AH346" s="545"/>
      <c r="AI346" s="545"/>
      <c r="AJ346" s="545"/>
      <c r="AK346" s="545"/>
      <c r="AL346" s="545"/>
      <c r="AM346" s="545"/>
      <c r="AN346" s="545"/>
      <c r="AO346" s="545"/>
      <c r="AP346" s="545"/>
      <c r="AQ346" s="545"/>
      <c r="AR346" s="545"/>
      <c r="AS346" s="545"/>
      <c r="AT346" s="545"/>
      <c r="AU346" s="545"/>
      <c r="AV346" s="545"/>
      <c r="AW346" s="545"/>
      <c r="AX346" s="545"/>
      <c r="AY346" s="545"/>
      <c r="AZ346" s="545"/>
      <c r="BA346" s="545"/>
      <c r="BB346" s="545"/>
      <c r="BC346" s="545"/>
      <c r="BD346" s="545"/>
      <c r="BE346" s="545"/>
      <c r="BF346" s="545"/>
    </row>
    <row r="347" hidden="1" outlineLevel="1">
      <c r="A347" s="594" t="s">
        <v>758</v>
      </c>
      <c r="B347" s="595">
        <v>0.0</v>
      </c>
      <c r="C347" s="595">
        <v>3.0</v>
      </c>
      <c r="D347" s="595">
        <v>5.0</v>
      </c>
      <c r="E347" s="595">
        <v>9.0</v>
      </c>
      <c r="F347" s="595">
        <v>12.0</v>
      </c>
      <c r="G347" s="595">
        <v>17.0</v>
      </c>
      <c r="H347" s="595">
        <v>20.0</v>
      </c>
      <c r="I347" s="591"/>
      <c r="J347" s="590"/>
      <c r="K347" s="590"/>
      <c r="L347" s="592" t="str">
        <f>VLOOKUP(A347,'Кузнец'!$B$145:$J$193,9,FALSE)</f>
        <v>#N/A</v>
      </c>
      <c r="M347" s="590"/>
      <c r="N347" s="590" t="str">
        <f>VLOOKUP(A347,'Кузнец'!$B$145:$J$193,4,FALSE)</f>
        <v>#N/A</v>
      </c>
      <c r="O347" s="590"/>
      <c r="P347" s="590"/>
      <c r="Q347" s="590"/>
      <c r="R347" s="600"/>
      <c r="S347" s="454">
        <v>0.0</v>
      </c>
      <c r="T347" s="542"/>
      <c r="U347" s="542"/>
      <c r="V347" s="543"/>
      <c r="W347" s="543"/>
      <c r="X347" s="467"/>
      <c r="Y347" s="467"/>
      <c r="Z347" s="467"/>
      <c r="AA347" s="467"/>
      <c r="AB347" s="467"/>
      <c r="AC347" s="438"/>
      <c r="AD347" s="438"/>
      <c r="AE347" s="441"/>
      <c r="AF347" s="545"/>
      <c r="AG347" s="545"/>
      <c r="AH347" s="545"/>
      <c r="AI347" s="545"/>
      <c r="AJ347" s="545"/>
      <c r="AK347" s="545"/>
      <c r="AL347" s="545"/>
      <c r="AM347" s="545"/>
      <c r="AN347" s="545"/>
      <c r="AO347" s="545"/>
      <c r="AP347" s="545"/>
      <c r="AQ347" s="545"/>
      <c r="AR347" s="545"/>
      <c r="AS347" s="545"/>
      <c r="AT347" s="545"/>
      <c r="AU347" s="545"/>
      <c r="AV347" s="545"/>
      <c r="AW347" s="545"/>
      <c r="AX347" s="545"/>
      <c r="AY347" s="545"/>
      <c r="AZ347" s="545"/>
      <c r="BA347" s="545"/>
      <c r="BB347" s="545"/>
      <c r="BC347" s="545"/>
      <c r="BD347" s="545"/>
      <c r="BE347" s="545"/>
      <c r="BF347" s="545"/>
    </row>
    <row r="348" hidden="1" outlineLevel="1">
      <c r="A348" s="594" t="s">
        <v>759</v>
      </c>
      <c r="B348" s="595">
        <f t="shared" ref="B348:H348" si="172">(B345+B346)/2+B347</f>
        <v>5.5</v>
      </c>
      <c r="C348" s="595">
        <f t="shared" si="172"/>
        <v>7.5</v>
      </c>
      <c r="D348" s="595">
        <f t="shared" si="172"/>
        <v>10.5</v>
      </c>
      <c r="E348" s="595">
        <f t="shared" si="172"/>
        <v>14.5</v>
      </c>
      <c r="F348" s="595">
        <f t="shared" si="172"/>
        <v>18.5</v>
      </c>
      <c r="G348" s="595">
        <f t="shared" si="172"/>
        <v>23.5</v>
      </c>
      <c r="H348" s="595">
        <f t="shared" si="172"/>
        <v>29</v>
      </c>
      <c r="I348" s="591"/>
      <c r="J348" s="590"/>
      <c r="K348" s="590"/>
      <c r="L348" s="592" t="str">
        <f>VLOOKUP(A348,'Кузнец'!$B$145:$J$193,9,FALSE)</f>
        <v>#N/A</v>
      </c>
      <c r="M348" s="590"/>
      <c r="N348" s="590" t="str">
        <f>VLOOKUP(A348,'Кузнец'!$B$145:$J$193,4,FALSE)</f>
        <v>#N/A</v>
      </c>
      <c r="O348" s="590"/>
      <c r="P348" s="590"/>
      <c r="Q348" s="590"/>
      <c r="R348" s="600"/>
      <c r="S348" s="454">
        <v>0.0</v>
      </c>
      <c r="T348" s="542"/>
      <c r="U348" s="542"/>
      <c r="V348" s="543"/>
      <c r="W348" s="543"/>
      <c r="X348" s="467"/>
      <c r="Y348" s="467"/>
      <c r="Z348" s="467"/>
      <c r="AA348" s="467"/>
      <c r="AB348" s="467"/>
      <c r="AC348" s="438"/>
      <c r="AD348" s="438"/>
      <c r="AE348" s="441"/>
      <c r="AF348" s="545"/>
      <c r="AG348" s="545"/>
      <c r="AH348" s="545"/>
      <c r="AI348" s="545"/>
      <c r="AJ348" s="545"/>
      <c r="AK348" s="545"/>
      <c r="AL348" s="545"/>
      <c r="AM348" s="545"/>
      <c r="AN348" s="545"/>
      <c r="AO348" s="545"/>
      <c r="AP348" s="545"/>
      <c r="AQ348" s="545"/>
      <c r="AR348" s="545"/>
      <c r="AS348" s="545"/>
      <c r="AT348" s="545"/>
      <c r="AU348" s="545"/>
      <c r="AV348" s="545"/>
      <c r="AW348" s="545"/>
      <c r="AX348" s="545"/>
      <c r="AY348" s="545"/>
      <c r="AZ348" s="545"/>
      <c r="BA348" s="545"/>
      <c r="BB348" s="545"/>
      <c r="BC348" s="545"/>
      <c r="BD348" s="545"/>
      <c r="BE348" s="545"/>
      <c r="BF348" s="545"/>
    </row>
    <row r="349" hidden="1" outlineLevel="1">
      <c r="A349" s="594" t="s">
        <v>760</v>
      </c>
      <c r="B349" s="596"/>
      <c r="C349" s="596">
        <f t="shared" ref="C349:H349" si="173">C348/B348-1</f>
        <v>0.3636363636</v>
      </c>
      <c r="D349" s="596">
        <f t="shared" si="173"/>
        <v>0.4</v>
      </c>
      <c r="E349" s="596">
        <f t="shared" si="173"/>
        <v>0.380952381</v>
      </c>
      <c r="F349" s="596">
        <f t="shared" si="173"/>
        <v>0.275862069</v>
      </c>
      <c r="G349" s="596">
        <f t="shared" si="173"/>
        <v>0.2702702703</v>
      </c>
      <c r="H349" s="596">
        <f t="shared" si="173"/>
        <v>0.2340425532</v>
      </c>
      <c r="I349" s="591"/>
      <c r="J349" s="590"/>
      <c r="K349" s="590"/>
      <c r="L349" s="592" t="str">
        <f>VLOOKUP(A349,'Кузнец'!$B$145:$J$193,9,FALSE)</f>
        <v>#N/A</v>
      </c>
      <c r="M349" s="590"/>
      <c r="N349" s="590" t="str">
        <f>VLOOKUP(A349,'Кузнец'!$B$145:$J$193,4,FALSE)</f>
        <v>#N/A</v>
      </c>
      <c r="O349" s="590"/>
      <c r="P349" s="590"/>
      <c r="Q349" s="590"/>
      <c r="R349" s="600"/>
      <c r="S349" s="454">
        <v>0.0</v>
      </c>
      <c r="T349" s="542"/>
      <c r="U349" s="542"/>
      <c r="V349" s="543"/>
      <c r="W349" s="543"/>
      <c r="X349" s="467"/>
      <c r="Y349" s="467"/>
      <c r="Z349" s="467"/>
      <c r="AA349" s="467"/>
      <c r="AB349" s="467"/>
      <c r="AC349" s="438"/>
      <c r="AD349" s="438"/>
      <c r="AE349" s="441"/>
      <c r="AF349" s="545"/>
      <c r="AG349" s="545"/>
      <c r="AH349" s="545"/>
      <c r="AI349" s="545"/>
      <c r="AJ349" s="545"/>
      <c r="AK349" s="545"/>
      <c r="AL349" s="545"/>
      <c r="AM349" s="545"/>
      <c r="AN349" s="545"/>
      <c r="AO349" s="545"/>
      <c r="AP349" s="545"/>
      <c r="AQ349" s="545"/>
      <c r="AR349" s="545"/>
      <c r="AS349" s="545"/>
      <c r="AT349" s="545"/>
      <c r="AU349" s="545"/>
      <c r="AV349" s="545"/>
      <c r="AW349" s="545"/>
      <c r="AX349" s="545"/>
      <c r="AY349" s="545"/>
      <c r="AZ349" s="545"/>
      <c r="BA349" s="545"/>
      <c r="BB349" s="545"/>
      <c r="BC349" s="545"/>
      <c r="BD349" s="545"/>
      <c r="BE349" s="545"/>
      <c r="BF349" s="545"/>
    </row>
    <row r="350" hidden="1" outlineLevel="1">
      <c r="A350" s="594" t="s">
        <v>761</v>
      </c>
      <c r="B350" s="595">
        <f>$K344</f>
        <v>3</v>
      </c>
      <c r="C350" s="595"/>
      <c r="D350" s="596"/>
      <c r="E350" s="596"/>
      <c r="F350" s="596"/>
      <c r="G350" s="596"/>
      <c r="H350" s="596"/>
      <c r="I350" s="591"/>
      <c r="J350" s="590"/>
      <c r="K350" s="590"/>
      <c r="L350" s="592" t="str">
        <f>VLOOKUP(A350,'Кузнец'!$B$145:$J$193,9,FALSE)</f>
        <v>#N/A</v>
      </c>
      <c r="M350" s="590"/>
      <c r="N350" s="590" t="str">
        <f>VLOOKUP(A350,'Кузнец'!$B$145:$J$193,4,FALSE)</f>
        <v>#N/A</v>
      </c>
      <c r="O350" s="590"/>
      <c r="P350" s="590"/>
      <c r="Q350" s="590"/>
      <c r="R350" s="600"/>
      <c r="S350" s="454">
        <v>0.0</v>
      </c>
      <c r="T350" s="542"/>
      <c r="U350" s="542"/>
      <c r="V350" s="543"/>
      <c r="W350" s="543"/>
      <c r="X350" s="467"/>
      <c r="Y350" s="467"/>
      <c r="Z350" s="467"/>
      <c r="AA350" s="467"/>
      <c r="AB350" s="467"/>
      <c r="AC350" s="438"/>
      <c r="AD350" s="438"/>
      <c r="AE350" s="441"/>
      <c r="AF350" s="545"/>
      <c r="AG350" s="545"/>
      <c r="AH350" s="545"/>
      <c r="AI350" s="545"/>
      <c r="AJ350" s="545"/>
      <c r="AK350" s="545"/>
      <c r="AL350" s="545"/>
      <c r="AM350" s="545"/>
      <c r="AN350" s="545"/>
      <c r="AO350" s="545"/>
      <c r="AP350" s="545"/>
      <c r="AQ350" s="545"/>
      <c r="AR350" s="545"/>
      <c r="AS350" s="545"/>
      <c r="AT350" s="545"/>
      <c r="AU350" s="545"/>
      <c r="AV350" s="545"/>
      <c r="AW350" s="545"/>
      <c r="AX350" s="545"/>
      <c r="AY350" s="545"/>
      <c r="AZ350" s="545"/>
      <c r="BA350" s="545"/>
      <c r="BB350" s="545"/>
      <c r="BC350" s="545"/>
      <c r="BD350" s="545"/>
      <c r="BE350" s="545"/>
      <c r="BF350" s="545"/>
    </row>
    <row r="351" hidden="1" outlineLevel="1">
      <c r="A351" s="594" t="s">
        <v>762</v>
      </c>
      <c r="B351" s="603">
        <f t="shared" ref="B351:H351" si="174">B348/$B350</f>
        <v>1.833333333</v>
      </c>
      <c r="C351" s="603">
        <f t="shared" si="174"/>
        <v>2.5</v>
      </c>
      <c r="D351" s="603">
        <f t="shared" si="174"/>
        <v>3.5</v>
      </c>
      <c r="E351" s="603">
        <f t="shared" si="174"/>
        <v>4.833333333</v>
      </c>
      <c r="F351" s="603">
        <f t="shared" si="174"/>
        <v>6.166666667</v>
      </c>
      <c r="G351" s="603">
        <f t="shared" si="174"/>
        <v>7.833333333</v>
      </c>
      <c r="H351" s="603">
        <f t="shared" si="174"/>
        <v>9.666666667</v>
      </c>
      <c r="I351" s="591"/>
      <c r="J351" s="590"/>
      <c r="K351" s="590"/>
      <c r="L351" s="592" t="str">
        <f>VLOOKUP(A351,'Кузнец'!$B$145:$J$193,9,FALSE)</f>
        <v>#N/A</v>
      </c>
      <c r="M351" s="590"/>
      <c r="N351" s="590" t="str">
        <f>VLOOKUP(A351,'Кузнец'!$B$145:$J$193,4,FALSE)</f>
        <v>#N/A</v>
      </c>
      <c r="O351" s="590"/>
      <c r="P351" s="590"/>
      <c r="Q351" s="590"/>
      <c r="R351" s="600"/>
      <c r="S351" s="454">
        <v>0.0</v>
      </c>
      <c r="T351" s="542"/>
      <c r="U351" s="542"/>
      <c r="V351" s="543"/>
      <c r="W351" s="543"/>
      <c r="X351" s="467"/>
      <c r="Y351" s="467"/>
      <c r="Z351" s="467"/>
      <c r="AA351" s="467"/>
      <c r="AB351" s="467"/>
      <c r="AC351" s="438"/>
      <c r="AD351" s="438"/>
      <c r="AE351" s="441"/>
      <c r="AF351" s="545"/>
      <c r="AG351" s="545"/>
      <c r="AH351" s="545"/>
      <c r="AI351" s="545"/>
      <c r="AJ351" s="545"/>
      <c r="AK351" s="545"/>
      <c r="AL351" s="545"/>
      <c r="AM351" s="545"/>
      <c r="AN351" s="545"/>
      <c r="AO351" s="545"/>
      <c r="AP351" s="545"/>
      <c r="AQ351" s="545"/>
      <c r="AR351" s="545"/>
      <c r="AS351" s="545"/>
      <c r="AT351" s="545"/>
      <c r="AU351" s="545"/>
      <c r="AV351" s="545"/>
      <c r="AW351" s="545"/>
      <c r="AX351" s="545"/>
      <c r="AY351" s="545"/>
      <c r="AZ351" s="545"/>
      <c r="BA351" s="545"/>
      <c r="BB351" s="545"/>
      <c r="BC351" s="545"/>
      <c r="BD351" s="545"/>
      <c r="BE351" s="545"/>
      <c r="BF351" s="545"/>
    </row>
    <row r="352" ht="15.0" customHeight="1" collapsed="1">
      <c r="A352" s="599" t="s">
        <v>1033</v>
      </c>
      <c r="B352" s="604" t="s">
        <v>797</v>
      </c>
      <c r="C352" s="604" t="s">
        <v>798</v>
      </c>
      <c r="D352" s="604" t="s">
        <v>799</v>
      </c>
      <c r="E352" s="604" t="s">
        <v>800</v>
      </c>
      <c r="F352" s="604" t="s">
        <v>801</v>
      </c>
      <c r="G352" s="604" t="s">
        <v>802</v>
      </c>
      <c r="H352" s="604" t="s">
        <v>803</v>
      </c>
      <c r="I352" s="597" t="s">
        <v>770</v>
      </c>
      <c r="J352" s="600">
        <v>1.0</v>
      </c>
      <c r="K352" s="600">
        <v>3.0</v>
      </c>
      <c r="L352" s="592">
        <f>VLOOKUP(A352,'Кузнец'!$B$145:$J$193,9,FALSE)</f>
        <v>2.25</v>
      </c>
      <c r="M352" s="589" t="s">
        <v>830</v>
      </c>
      <c r="N352" s="590">
        <f>VLOOKUP(A352,'Кузнец'!$B$145:$J$193,4,FALSE)</f>
        <v>7</v>
      </c>
      <c r="O352" s="590">
        <v>14.0</v>
      </c>
      <c r="P352" s="589" t="s">
        <v>804</v>
      </c>
      <c r="Q352" s="593"/>
      <c r="R352" s="589" t="s">
        <v>1034</v>
      </c>
      <c r="S352" s="454">
        <v>0.0</v>
      </c>
      <c r="T352" s="542"/>
      <c r="U352" s="542"/>
      <c r="V352" s="463">
        <v>1.0</v>
      </c>
      <c r="W352" s="543"/>
      <c r="X352" s="440">
        <v>33.0</v>
      </c>
      <c r="Y352" s="440">
        <v>36.0</v>
      </c>
      <c r="Z352" s="440">
        <v>39.0</v>
      </c>
      <c r="AA352" s="440">
        <v>42.0</v>
      </c>
      <c r="AB352" s="440">
        <v>45.0</v>
      </c>
      <c r="AC352" s="440">
        <v>48.0</v>
      </c>
      <c r="AD352" s="440">
        <v>51.0</v>
      </c>
      <c r="AE352" s="441"/>
      <c r="AF352" s="545"/>
      <c r="AG352" s="545"/>
      <c r="AH352" s="545"/>
      <c r="AI352" s="545"/>
      <c r="AJ352" s="545"/>
      <c r="AK352" s="545"/>
      <c r="AL352" s="545"/>
      <c r="AM352" s="545"/>
      <c r="AN352" s="545"/>
      <c r="AO352" s="545"/>
      <c r="AP352" s="545"/>
      <c r="AQ352" s="545"/>
      <c r="AR352" s="545"/>
      <c r="AS352" s="545"/>
      <c r="AT352" s="545"/>
      <c r="AU352" s="545"/>
      <c r="AV352" s="545"/>
      <c r="AW352" s="545"/>
      <c r="AX352" s="545"/>
      <c r="AY352" s="545"/>
      <c r="AZ352" s="545"/>
      <c r="BA352" s="545"/>
      <c r="BB352" s="545"/>
      <c r="BC352" s="545"/>
      <c r="BD352" s="545"/>
      <c r="BE352" s="545"/>
      <c r="BF352" s="545"/>
    </row>
    <row r="353" ht="15.0" hidden="1" customHeight="1" outlineLevel="1">
      <c r="A353" s="594" t="s">
        <v>756</v>
      </c>
      <c r="B353" s="595">
        <v>1.0</v>
      </c>
      <c r="C353" s="595">
        <v>1.0</v>
      </c>
      <c r="D353" s="595">
        <v>1.0</v>
      </c>
      <c r="E353" s="595">
        <v>1.0</v>
      </c>
      <c r="F353" s="595">
        <v>1.0</v>
      </c>
      <c r="G353" s="595">
        <v>1.0</v>
      </c>
      <c r="H353" s="595">
        <v>3.0</v>
      </c>
      <c r="I353" s="591"/>
      <c r="J353" s="590"/>
      <c r="K353" s="590"/>
      <c r="L353" s="592" t="str">
        <f>VLOOKUP(A353,'Кузнец'!$B$145:$J$193,9,FALSE)</f>
        <v>#N/A</v>
      </c>
      <c r="M353" s="590"/>
      <c r="N353" s="590" t="str">
        <f>VLOOKUP(A353,'Кузнец'!$B$145:$J$193,4,FALSE)</f>
        <v>#N/A</v>
      </c>
      <c r="O353" s="590"/>
      <c r="P353" s="590"/>
      <c r="Q353" s="590"/>
      <c r="R353" s="600"/>
      <c r="S353" s="454">
        <v>0.0</v>
      </c>
      <c r="T353" s="542"/>
      <c r="U353" s="542"/>
      <c r="V353" s="543"/>
      <c r="W353" s="543"/>
      <c r="X353" s="467"/>
      <c r="Y353" s="467"/>
      <c r="Z353" s="467"/>
      <c r="AA353" s="467"/>
      <c r="AB353" s="467"/>
      <c r="AC353" s="438"/>
      <c r="AD353" s="438"/>
      <c r="AE353" s="441"/>
      <c r="AF353" s="545"/>
      <c r="AG353" s="545"/>
      <c r="AH353" s="545"/>
      <c r="AI353" s="545"/>
      <c r="AJ353" s="545"/>
      <c r="AK353" s="545"/>
      <c r="AL353" s="545"/>
      <c r="AM353" s="545"/>
      <c r="AN353" s="545"/>
      <c r="AO353" s="545"/>
      <c r="AP353" s="545"/>
      <c r="AQ353" s="545"/>
      <c r="AR353" s="545"/>
      <c r="AS353" s="545"/>
      <c r="AT353" s="545"/>
      <c r="AU353" s="545"/>
      <c r="AV353" s="545"/>
      <c r="AW353" s="545"/>
      <c r="AX353" s="545"/>
      <c r="AY353" s="545"/>
      <c r="AZ353" s="545"/>
      <c r="BA353" s="545"/>
      <c r="BB353" s="545"/>
      <c r="BC353" s="545"/>
      <c r="BD353" s="545"/>
      <c r="BE353" s="545"/>
      <c r="BF353" s="545"/>
    </row>
    <row r="354" ht="15.0" hidden="1" customHeight="1" outlineLevel="1">
      <c r="A354" s="594" t="s">
        <v>757</v>
      </c>
      <c r="B354" s="595">
        <v>8.0</v>
      </c>
      <c r="C354" s="595">
        <v>8.0</v>
      </c>
      <c r="D354" s="595">
        <v>10.0</v>
      </c>
      <c r="E354" s="595">
        <v>10.0</v>
      </c>
      <c r="F354" s="595">
        <v>12.0</v>
      </c>
      <c r="G354" s="595">
        <v>12.0</v>
      </c>
      <c r="H354" s="595">
        <v>18.0</v>
      </c>
      <c r="I354" s="591"/>
      <c r="J354" s="590"/>
      <c r="K354" s="590"/>
      <c r="L354" s="592" t="str">
        <f>VLOOKUP(A354,'Кузнец'!$B$145:$J$193,9,FALSE)</f>
        <v>#N/A</v>
      </c>
      <c r="M354" s="590"/>
      <c r="N354" s="590" t="str">
        <f>VLOOKUP(A354,'Кузнец'!$B$145:$J$193,4,FALSE)</f>
        <v>#N/A</v>
      </c>
      <c r="O354" s="590"/>
      <c r="P354" s="590"/>
      <c r="Q354" s="590"/>
      <c r="R354" s="600"/>
      <c r="S354" s="454">
        <v>0.0</v>
      </c>
      <c r="T354" s="542"/>
      <c r="U354" s="542"/>
      <c r="V354" s="543"/>
      <c r="W354" s="543"/>
      <c r="X354" s="467"/>
      <c r="Y354" s="467"/>
      <c r="Z354" s="467"/>
      <c r="AA354" s="467"/>
      <c r="AB354" s="467"/>
      <c r="AC354" s="438"/>
      <c r="AD354" s="438"/>
      <c r="AE354" s="441"/>
      <c r="AF354" s="545"/>
      <c r="AG354" s="545"/>
      <c r="AH354" s="545"/>
      <c r="AI354" s="545"/>
      <c r="AJ354" s="545"/>
      <c r="AK354" s="545"/>
      <c r="AL354" s="545"/>
      <c r="AM354" s="545"/>
      <c r="AN354" s="545"/>
      <c r="AO354" s="545"/>
      <c r="AP354" s="545"/>
      <c r="AQ354" s="545"/>
      <c r="AR354" s="545"/>
      <c r="AS354" s="545"/>
      <c r="AT354" s="545"/>
      <c r="AU354" s="545"/>
      <c r="AV354" s="545"/>
      <c r="AW354" s="545"/>
      <c r="AX354" s="545"/>
      <c r="AY354" s="545"/>
      <c r="AZ354" s="545"/>
      <c r="BA354" s="545"/>
      <c r="BB354" s="545"/>
      <c r="BC354" s="545"/>
      <c r="BD354" s="545"/>
      <c r="BE354" s="545"/>
      <c r="BF354" s="545"/>
    </row>
    <row r="355" ht="15.0" hidden="1" customHeight="1" outlineLevel="1">
      <c r="A355" s="594" t="s">
        <v>758</v>
      </c>
      <c r="B355" s="595">
        <v>2.0</v>
      </c>
      <c r="C355" s="595">
        <v>5.0</v>
      </c>
      <c r="D355" s="595">
        <v>7.0</v>
      </c>
      <c r="E355" s="595">
        <v>11.0</v>
      </c>
      <c r="F355" s="595">
        <v>14.0</v>
      </c>
      <c r="G355" s="595">
        <v>19.0</v>
      </c>
      <c r="H355" s="595">
        <v>21.0</v>
      </c>
      <c r="I355" s="591"/>
      <c r="J355" s="590"/>
      <c r="K355" s="590"/>
      <c r="L355" s="592" t="str">
        <f>VLOOKUP(A355,'Кузнец'!$B$145:$J$193,9,FALSE)</f>
        <v>#N/A</v>
      </c>
      <c r="M355" s="590"/>
      <c r="N355" s="590" t="str">
        <f>VLOOKUP(A355,'Кузнец'!$B$145:$J$193,4,FALSE)</f>
        <v>#N/A</v>
      </c>
      <c r="O355" s="590"/>
      <c r="P355" s="590"/>
      <c r="Q355" s="590"/>
      <c r="R355" s="600"/>
      <c r="S355" s="454">
        <v>0.0</v>
      </c>
      <c r="T355" s="542"/>
      <c r="U355" s="542"/>
      <c r="V355" s="543"/>
      <c r="W355" s="543"/>
      <c r="X355" s="467"/>
      <c r="Y355" s="467"/>
      <c r="Z355" s="467"/>
      <c r="AA355" s="467"/>
      <c r="AB355" s="467"/>
      <c r="AC355" s="438"/>
      <c r="AD355" s="438"/>
      <c r="AE355" s="441"/>
      <c r="AF355" s="545"/>
      <c r="AG355" s="545"/>
      <c r="AH355" s="545"/>
      <c r="AI355" s="545"/>
      <c r="AJ355" s="545"/>
      <c r="AK355" s="545"/>
      <c r="AL355" s="545"/>
      <c r="AM355" s="545"/>
      <c r="AN355" s="545"/>
      <c r="AO355" s="545"/>
      <c r="AP355" s="545"/>
      <c r="AQ355" s="545"/>
      <c r="AR355" s="545"/>
      <c r="AS355" s="545"/>
      <c r="AT355" s="545"/>
      <c r="AU355" s="545"/>
      <c r="AV355" s="545"/>
      <c r="AW355" s="545"/>
      <c r="AX355" s="545"/>
      <c r="AY355" s="545"/>
      <c r="AZ355" s="545"/>
      <c r="BA355" s="545"/>
      <c r="BB355" s="545"/>
      <c r="BC355" s="545"/>
      <c r="BD355" s="545"/>
      <c r="BE355" s="545"/>
      <c r="BF355" s="545"/>
    </row>
    <row r="356" ht="15.0" hidden="1" customHeight="1" outlineLevel="1">
      <c r="A356" s="594" t="s">
        <v>759</v>
      </c>
      <c r="B356" s="595">
        <f t="shared" ref="B356:H356" si="175">(B353+B354)/2+B355</f>
        <v>6.5</v>
      </c>
      <c r="C356" s="595">
        <f t="shared" si="175"/>
        <v>9.5</v>
      </c>
      <c r="D356" s="595">
        <f t="shared" si="175"/>
        <v>12.5</v>
      </c>
      <c r="E356" s="595">
        <f t="shared" si="175"/>
        <v>16.5</v>
      </c>
      <c r="F356" s="595">
        <f t="shared" si="175"/>
        <v>20.5</v>
      </c>
      <c r="G356" s="595">
        <f t="shared" si="175"/>
        <v>25.5</v>
      </c>
      <c r="H356" s="595">
        <f t="shared" si="175"/>
        <v>31.5</v>
      </c>
      <c r="I356" s="591"/>
      <c r="J356" s="590"/>
      <c r="K356" s="590"/>
      <c r="L356" s="592" t="str">
        <f>VLOOKUP(A356,'Кузнец'!$B$145:$J$193,9,FALSE)</f>
        <v>#N/A</v>
      </c>
      <c r="M356" s="590"/>
      <c r="N356" s="590" t="str">
        <f>VLOOKUP(A356,'Кузнец'!$B$145:$J$193,4,FALSE)</f>
        <v>#N/A</v>
      </c>
      <c r="O356" s="590"/>
      <c r="P356" s="590"/>
      <c r="Q356" s="590"/>
      <c r="R356" s="600"/>
      <c r="S356" s="454">
        <v>0.0</v>
      </c>
      <c r="T356" s="542"/>
      <c r="U356" s="542"/>
      <c r="V356" s="543"/>
      <c r="W356" s="543"/>
      <c r="X356" s="467"/>
      <c r="Y356" s="467"/>
      <c r="Z356" s="467"/>
      <c r="AA356" s="467"/>
      <c r="AB356" s="467"/>
      <c r="AC356" s="438"/>
      <c r="AD356" s="438"/>
      <c r="AE356" s="441"/>
      <c r="AF356" s="545"/>
      <c r="AG356" s="545"/>
      <c r="AH356" s="545"/>
      <c r="AI356" s="545"/>
      <c r="AJ356" s="545"/>
      <c r="AK356" s="545"/>
      <c r="AL356" s="545"/>
      <c r="AM356" s="545"/>
      <c r="AN356" s="545"/>
      <c r="AO356" s="545"/>
      <c r="AP356" s="545"/>
      <c r="AQ356" s="545"/>
      <c r="AR356" s="545"/>
      <c r="AS356" s="545"/>
      <c r="AT356" s="545"/>
      <c r="AU356" s="545"/>
      <c r="AV356" s="545"/>
      <c r="AW356" s="545"/>
      <c r="AX356" s="545"/>
      <c r="AY356" s="545"/>
      <c r="AZ356" s="545"/>
      <c r="BA356" s="545"/>
      <c r="BB356" s="545"/>
      <c r="BC356" s="545"/>
      <c r="BD356" s="545"/>
      <c r="BE356" s="545"/>
      <c r="BF356" s="545"/>
    </row>
    <row r="357" ht="15.0" hidden="1" customHeight="1" outlineLevel="1">
      <c r="A357" s="594" t="s">
        <v>760</v>
      </c>
      <c r="B357" s="596"/>
      <c r="C357" s="596">
        <f t="shared" ref="C357:H357" si="176">C356/B356-1</f>
        <v>0.4615384615</v>
      </c>
      <c r="D357" s="596">
        <f t="shared" si="176"/>
        <v>0.3157894737</v>
      </c>
      <c r="E357" s="596">
        <f t="shared" si="176"/>
        <v>0.32</v>
      </c>
      <c r="F357" s="596">
        <f t="shared" si="176"/>
        <v>0.2424242424</v>
      </c>
      <c r="G357" s="596">
        <f t="shared" si="176"/>
        <v>0.243902439</v>
      </c>
      <c r="H357" s="596">
        <f t="shared" si="176"/>
        <v>0.2352941176</v>
      </c>
      <c r="I357" s="591"/>
      <c r="J357" s="590"/>
      <c r="K357" s="590"/>
      <c r="L357" s="592" t="str">
        <f>VLOOKUP(A357,'Кузнец'!$B$145:$J$193,9,FALSE)</f>
        <v>#N/A</v>
      </c>
      <c r="M357" s="590"/>
      <c r="N357" s="590" t="str">
        <f>VLOOKUP(A357,'Кузнец'!$B$145:$J$193,4,FALSE)</f>
        <v>#N/A</v>
      </c>
      <c r="O357" s="590"/>
      <c r="P357" s="590"/>
      <c r="Q357" s="590"/>
      <c r="R357" s="600"/>
      <c r="S357" s="454">
        <v>0.0</v>
      </c>
      <c r="T357" s="542"/>
      <c r="U357" s="542"/>
      <c r="V357" s="543"/>
      <c r="W357" s="543"/>
      <c r="X357" s="467"/>
      <c r="Y357" s="467"/>
      <c r="Z357" s="467"/>
      <c r="AA357" s="467"/>
      <c r="AB357" s="467"/>
      <c r="AC357" s="438"/>
      <c r="AD357" s="438"/>
      <c r="AE357" s="441"/>
      <c r="AF357" s="545"/>
      <c r="AG357" s="545"/>
      <c r="AH357" s="545"/>
      <c r="AI357" s="545"/>
      <c r="AJ357" s="545"/>
      <c r="AK357" s="545"/>
      <c r="AL357" s="545"/>
      <c r="AM357" s="545"/>
      <c r="AN357" s="545"/>
      <c r="AO357" s="545"/>
      <c r="AP357" s="545"/>
      <c r="AQ357" s="545"/>
      <c r="AR357" s="545"/>
      <c r="AS357" s="545"/>
      <c r="AT357" s="545"/>
      <c r="AU357" s="545"/>
      <c r="AV357" s="545"/>
      <c r="AW357" s="545"/>
      <c r="AX357" s="545"/>
      <c r="AY357" s="545"/>
      <c r="AZ357" s="545"/>
      <c r="BA357" s="545"/>
      <c r="BB357" s="545"/>
      <c r="BC357" s="545"/>
      <c r="BD357" s="545"/>
      <c r="BE357" s="545"/>
      <c r="BF357" s="545"/>
    </row>
    <row r="358" ht="15.0" hidden="1" customHeight="1" outlineLevel="1">
      <c r="A358" s="594" t="s">
        <v>761</v>
      </c>
      <c r="B358" s="595">
        <f>$K352</f>
        <v>3</v>
      </c>
      <c r="C358" s="595"/>
      <c r="D358" s="596"/>
      <c r="E358" s="596"/>
      <c r="F358" s="596"/>
      <c r="G358" s="596"/>
      <c r="H358" s="596"/>
      <c r="I358" s="591"/>
      <c r="J358" s="590"/>
      <c r="K358" s="590"/>
      <c r="L358" s="592" t="str">
        <f>VLOOKUP(A358,'Кузнец'!$B$145:$J$193,9,FALSE)</f>
        <v>#N/A</v>
      </c>
      <c r="M358" s="590"/>
      <c r="N358" s="590" t="str">
        <f>VLOOKUP(A358,'Кузнец'!$B$145:$J$193,4,FALSE)</f>
        <v>#N/A</v>
      </c>
      <c r="O358" s="590"/>
      <c r="P358" s="590"/>
      <c r="Q358" s="590"/>
      <c r="R358" s="600"/>
      <c r="S358" s="454">
        <v>0.0</v>
      </c>
      <c r="T358" s="542"/>
      <c r="U358" s="542"/>
      <c r="V358" s="543"/>
      <c r="W358" s="543"/>
      <c r="X358" s="467"/>
      <c r="Y358" s="467"/>
      <c r="Z358" s="467"/>
      <c r="AA358" s="467"/>
      <c r="AB358" s="467"/>
      <c r="AC358" s="438"/>
      <c r="AD358" s="438"/>
      <c r="AE358" s="441"/>
      <c r="AF358" s="545"/>
      <c r="AG358" s="545"/>
      <c r="AH358" s="545"/>
      <c r="AI358" s="545"/>
      <c r="AJ358" s="545"/>
      <c r="AK358" s="545"/>
      <c r="AL358" s="545"/>
      <c r="AM358" s="545"/>
      <c r="AN358" s="545"/>
      <c r="AO358" s="545"/>
      <c r="AP358" s="545"/>
      <c r="AQ358" s="545"/>
      <c r="AR358" s="545"/>
      <c r="AS358" s="545"/>
      <c r="AT358" s="545"/>
      <c r="AU358" s="545"/>
      <c r="AV358" s="545"/>
      <c r="AW358" s="545"/>
      <c r="AX358" s="545"/>
      <c r="AY358" s="545"/>
      <c r="AZ358" s="545"/>
      <c r="BA358" s="545"/>
      <c r="BB358" s="545"/>
      <c r="BC358" s="545"/>
      <c r="BD358" s="545"/>
      <c r="BE358" s="545"/>
      <c r="BF358" s="545"/>
    </row>
    <row r="359" ht="15.0" hidden="1" customHeight="1" outlineLevel="1">
      <c r="A359" s="594" t="s">
        <v>762</v>
      </c>
      <c r="B359" s="603">
        <f t="shared" ref="B359:H359" si="177">B356/$B358</f>
        <v>2.166666667</v>
      </c>
      <c r="C359" s="603">
        <f t="shared" si="177"/>
        <v>3.166666667</v>
      </c>
      <c r="D359" s="603">
        <f t="shared" si="177"/>
        <v>4.166666667</v>
      </c>
      <c r="E359" s="603">
        <f t="shared" si="177"/>
        <v>5.5</v>
      </c>
      <c r="F359" s="603">
        <f t="shared" si="177"/>
        <v>6.833333333</v>
      </c>
      <c r="G359" s="603">
        <f t="shared" si="177"/>
        <v>8.5</v>
      </c>
      <c r="H359" s="603">
        <f t="shared" si="177"/>
        <v>10.5</v>
      </c>
      <c r="I359" s="591"/>
      <c r="J359" s="590"/>
      <c r="K359" s="590"/>
      <c r="L359" s="592" t="str">
        <f>VLOOKUP(A359,'Кузнец'!$B$145:$J$193,9,FALSE)</f>
        <v>#N/A</v>
      </c>
      <c r="M359" s="590"/>
      <c r="N359" s="590" t="str">
        <f>VLOOKUP(A359,'Кузнец'!$B$145:$J$193,4,FALSE)</f>
        <v>#N/A</v>
      </c>
      <c r="O359" s="590"/>
      <c r="P359" s="590"/>
      <c r="Q359" s="590"/>
      <c r="R359" s="600"/>
      <c r="S359" s="454">
        <v>0.0</v>
      </c>
      <c r="T359" s="542"/>
      <c r="U359" s="542"/>
      <c r="V359" s="543"/>
      <c r="W359" s="543"/>
      <c r="X359" s="467"/>
      <c r="Y359" s="467"/>
      <c r="Z359" s="467"/>
      <c r="AA359" s="467"/>
      <c r="AB359" s="467"/>
      <c r="AC359" s="438"/>
      <c r="AD359" s="438"/>
      <c r="AE359" s="441"/>
      <c r="AF359" s="545"/>
      <c r="AG359" s="545"/>
      <c r="AH359" s="545"/>
      <c r="AI359" s="545"/>
      <c r="AJ359" s="545"/>
      <c r="AK359" s="545"/>
      <c r="AL359" s="545"/>
      <c r="AM359" s="545"/>
      <c r="AN359" s="545"/>
      <c r="AO359" s="545"/>
      <c r="AP359" s="545"/>
      <c r="AQ359" s="545"/>
      <c r="AR359" s="545"/>
      <c r="AS359" s="545"/>
      <c r="AT359" s="545"/>
      <c r="AU359" s="545"/>
      <c r="AV359" s="545"/>
      <c r="AW359" s="545"/>
      <c r="AX359" s="545"/>
      <c r="AY359" s="545"/>
      <c r="AZ359" s="545"/>
      <c r="BA359" s="545"/>
      <c r="BB359" s="545"/>
      <c r="BC359" s="545"/>
      <c r="BD359" s="545"/>
      <c r="BE359" s="545"/>
      <c r="BF359" s="545"/>
    </row>
    <row r="360" ht="15.0" customHeight="1" collapsed="1">
      <c r="A360" s="588" t="s">
        <v>850</v>
      </c>
      <c r="B360" s="604" t="s">
        <v>851</v>
      </c>
      <c r="C360" s="604" t="s">
        <v>852</v>
      </c>
      <c r="D360" s="604" t="s">
        <v>853</v>
      </c>
      <c r="E360" s="604" t="s">
        <v>854</v>
      </c>
      <c r="F360" s="604" t="s">
        <v>855</v>
      </c>
      <c r="G360" s="604" t="s">
        <v>856</v>
      </c>
      <c r="H360" s="604" t="s">
        <v>857</v>
      </c>
      <c r="I360" s="597" t="s">
        <v>770</v>
      </c>
      <c r="J360" s="600">
        <v>0.0</v>
      </c>
      <c r="K360" s="600">
        <v>4.0</v>
      </c>
      <c r="L360" s="592">
        <f>VLOOKUP(A360,'Кузнец'!$B$145:$J$193,9,FALSE)</f>
        <v>4.32</v>
      </c>
      <c r="M360" s="589" t="s">
        <v>858</v>
      </c>
      <c r="N360" s="590">
        <f>VLOOKUP(A360,'Кузнец'!$B$145:$J$193,4,FALSE)</f>
        <v>18</v>
      </c>
      <c r="O360" s="590">
        <v>23.0</v>
      </c>
      <c r="P360" s="589" t="s">
        <v>804</v>
      </c>
      <c r="Q360" s="590"/>
      <c r="R360" s="589" t="s">
        <v>860</v>
      </c>
      <c r="S360" s="454">
        <v>0.0</v>
      </c>
      <c r="T360" s="467"/>
      <c r="U360" s="467"/>
      <c r="V360" s="438"/>
      <c r="W360" s="438"/>
      <c r="X360" s="440">
        <v>36.0</v>
      </c>
      <c r="Y360" s="440">
        <v>40.0</v>
      </c>
      <c r="Z360" s="440">
        <v>44.0</v>
      </c>
      <c r="AA360" s="440">
        <v>48.0</v>
      </c>
      <c r="AB360" s="440">
        <v>52.0</v>
      </c>
      <c r="AC360" s="440">
        <v>56.0</v>
      </c>
      <c r="AD360" s="440">
        <v>60.0</v>
      </c>
      <c r="AE360" s="441"/>
      <c r="AF360" s="441"/>
      <c r="AG360" s="441"/>
      <c r="AH360" s="441"/>
      <c r="AI360" s="441"/>
      <c r="AJ360" s="441"/>
      <c r="AK360" s="441"/>
      <c r="AL360" s="441"/>
      <c r="AM360" s="441"/>
      <c r="AN360" s="441"/>
      <c r="AO360" s="441"/>
      <c r="AP360" s="441"/>
      <c r="AQ360" s="441"/>
      <c r="AR360" s="441"/>
      <c r="AS360" s="441"/>
      <c r="AT360" s="441"/>
      <c r="AU360" s="441"/>
      <c r="AV360" s="441"/>
      <c r="AW360" s="441"/>
      <c r="AX360" s="441"/>
      <c r="AY360" s="441"/>
      <c r="AZ360" s="441"/>
      <c r="BA360" s="441"/>
      <c r="BB360" s="441"/>
      <c r="BC360" s="441"/>
      <c r="BD360" s="441"/>
      <c r="BE360" s="441"/>
      <c r="BF360" s="441"/>
    </row>
    <row r="361" ht="15.0" hidden="1" customHeight="1" outlineLevel="1">
      <c r="A361" s="594" t="s">
        <v>756</v>
      </c>
      <c r="B361" s="605">
        <v>1.0</v>
      </c>
      <c r="C361" s="605">
        <v>1.0</v>
      </c>
      <c r="D361" s="605">
        <v>2.0</v>
      </c>
      <c r="E361" s="605">
        <v>2.0</v>
      </c>
      <c r="F361" s="605">
        <v>2.0</v>
      </c>
      <c r="G361" s="605">
        <v>2.0</v>
      </c>
      <c r="H361" s="605">
        <v>2.0</v>
      </c>
      <c r="I361" s="597"/>
      <c r="J361" s="600"/>
      <c r="K361" s="600"/>
      <c r="L361" s="606"/>
      <c r="M361" s="590"/>
      <c r="N361" s="590"/>
      <c r="O361" s="590"/>
      <c r="P361" s="590"/>
      <c r="Q361" s="590"/>
      <c r="R361" s="590"/>
      <c r="S361" s="607"/>
      <c r="T361" s="517"/>
      <c r="U361" s="517"/>
      <c r="V361" s="441"/>
      <c r="W361" s="441"/>
      <c r="X361" s="517"/>
      <c r="Y361" s="517"/>
      <c r="Z361" s="517"/>
      <c r="AA361" s="517"/>
      <c r="AB361" s="517"/>
      <c r="AC361" s="441"/>
      <c r="AD361" s="441"/>
      <c r="AE361" s="441"/>
      <c r="AF361" s="441"/>
      <c r="AG361" s="441"/>
      <c r="AH361" s="441"/>
      <c r="AI361" s="441"/>
      <c r="AJ361" s="441"/>
      <c r="AK361" s="441"/>
      <c r="AL361" s="441"/>
      <c r="AM361" s="441"/>
      <c r="AN361" s="441"/>
      <c r="AO361" s="441"/>
      <c r="AP361" s="441"/>
      <c r="AQ361" s="441"/>
      <c r="AR361" s="441"/>
      <c r="AS361" s="441"/>
      <c r="AT361" s="441"/>
      <c r="AU361" s="441"/>
      <c r="AV361" s="441"/>
      <c r="AW361" s="441"/>
      <c r="AX361" s="441"/>
      <c r="AY361" s="441"/>
      <c r="AZ361" s="441"/>
      <c r="BA361" s="441"/>
      <c r="BB361" s="441"/>
      <c r="BC361" s="441"/>
      <c r="BD361" s="441"/>
      <c r="BE361" s="441"/>
      <c r="BF361" s="441"/>
    </row>
    <row r="362" ht="15.0" hidden="1" customHeight="1" outlineLevel="1">
      <c r="A362" s="594" t="s">
        <v>757</v>
      </c>
      <c r="B362" s="605">
        <v>12.0</v>
      </c>
      <c r="C362" s="605">
        <v>12.0</v>
      </c>
      <c r="D362" s="605">
        <v>16.0</v>
      </c>
      <c r="E362" s="605">
        <v>16.0</v>
      </c>
      <c r="F362" s="605">
        <v>20.0</v>
      </c>
      <c r="G362" s="605">
        <v>20.0</v>
      </c>
      <c r="H362" s="605">
        <v>24.0</v>
      </c>
      <c r="I362" s="597"/>
      <c r="J362" s="600"/>
      <c r="K362" s="600"/>
      <c r="L362" s="606"/>
      <c r="M362" s="590"/>
      <c r="N362" s="590"/>
      <c r="O362" s="590"/>
      <c r="P362" s="590"/>
      <c r="Q362" s="590"/>
      <c r="R362" s="590"/>
      <c r="S362" s="607"/>
      <c r="T362" s="517"/>
      <c r="U362" s="517"/>
      <c r="V362" s="441"/>
      <c r="W362" s="441"/>
      <c r="X362" s="517"/>
      <c r="Y362" s="517"/>
      <c r="Z362" s="517"/>
      <c r="AA362" s="517"/>
      <c r="AB362" s="517"/>
      <c r="AC362" s="441"/>
      <c r="AD362" s="441"/>
      <c r="AE362" s="441"/>
      <c r="AF362" s="441"/>
      <c r="AG362" s="441"/>
      <c r="AH362" s="441"/>
      <c r="AI362" s="441"/>
      <c r="AJ362" s="441"/>
      <c r="AK362" s="441"/>
      <c r="AL362" s="441"/>
      <c r="AM362" s="441"/>
      <c r="AN362" s="441"/>
      <c r="AO362" s="441"/>
      <c r="AP362" s="441"/>
      <c r="AQ362" s="441"/>
      <c r="AR362" s="441"/>
      <c r="AS362" s="441"/>
      <c r="AT362" s="441"/>
      <c r="AU362" s="441"/>
      <c r="AV362" s="441"/>
      <c r="AW362" s="441"/>
      <c r="AX362" s="441"/>
      <c r="AY362" s="441"/>
      <c r="AZ362" s="441"/>
      <c r="BA362" s="441"/>
      <c r="BB362" s="441"/>
      <c r="BC362" s="441"/>
      <c r="BD362" s="441"/>
      <c r="BE362" s="441"/>
      <c r="BF362" s="441"/>
    </row>
    <row r="363" ht="15.0" hidden="1" customHeight="1" outlineLevel="1">
      <c r="A363" s="594" t="s">
        <v>758</v>
      </c>
      <c r="B363" s="605">
        <v>3.0</v>
      </c>
      <c r="C363" s="605">
        <v>7.0</v>
      </c>
      <c r="D363" s="605">
        <v>8.0</v>
      </c>
      <c r="E363" s="605">
        <v>13.0</v>
      </c>
      <c r="F363" s="605">
        <v>16.0</v>
      </c>
      <c r="G363" s="605">
        <v>22.0</v>
      </c>
      <c r="H363" s="605">
        <v>26.0</v>
      </c>
      <c r="I363" s="597"/>
      <c r="J363" s="600"/>
      <c r="K363" s="600"/>
      <c r="L363" s="606"/>
      <c r="M363" s="590"/>
      <c r="N363" s="590"/>
      <c r="O363" s="590"/>
      <c r="P363" s="590"/>
      <c r="Q363" s="590"/>
      <c r="R363" s="590"/>
      <c r="S363" s="607"/>
      <c r="T363" s="517"/>
      <c r="U363" s="517"/>
      <c r="V363" s="441"/>
      <c r="W363" s="441"/>
      <c r="X363" s="517"/>
      <c r="Y363" s="517"/>
      <c r="Z363" s="517"/>
      <c r="AA363" s="517"/>
      <c r="AB363" s="517"/>
      <c r="AC363" s="441"/>
      <c r="AD363" s="441"/>
      <c r="AE363" s="441"/>
      <c r="AF363" s="441"/>
      <c r="AG363" s="441"/>
      <c r="AH363" s="441"/>
      <c r="AI363" s="441"/>
      <c r="AJ363" s="441"/>
      <c r="AK363" s="441"/>
      <c r="AL363" s="441"/>
      <c r="AM363" s="441"/>
      <c r="AN363" s="441"/>
      <c r="AO363" s="441"/>
      <c r="AP363" s="441"/>
      <c r="AQ363" s="441"/>
      <c r="AR363" s="441"/>
      <c r="AS363" s="441"/>
      <c r="AT363" s="441"/>
      <c r="AU363" s="441"/>
      <c r="AV363" s="441"/>
      <c r="AW363" s="441"/>
      <c r="AX363" s="441"/>
      <c r="AY363" s="441"/>
      <c r="AZ363" s="441"/>
      <c r="BA363" s="441"/>
      <c r="BB363" s="441"/>
      <c r="BC363" s="441"/>
      <c r="BD363" s="441"/>
      <c r="BE363" s="441"/>
      <c r="BF363" s="441"/>
    </row>
    <row r="364" ht="15.0" hidden="1" customHeight="1" outlineLevel="1">
      <c r="A364" s="594" t="s">
        <v>759</v>
      </c>
      <c r="B364" s="605">
        <f t="shared" ref="B364:H364" si="178">(B361+B362)/2+B363</f>
        <v>9.5</v>
      </c>
      <c r="C364" s="605">
        <f t="shared" si="178"/>
        <v>13.5</v>
      </c>
      <c r="D364" s="605">
        <f t="shared" si="178"/>
        <v>17</v>
      </c>
      <c r="E364" s="605">
        <f t="shared" si="178"/>
        <v>22</v>
      </c>
      <c r="F364" s="605">
        <f t="shared" si="178"/>
        <v>27</v>
      </c>
      <c r="G364" s="605">
        <f t="shared" si="178"/>
        <v>33</v>
      </c>
      <c r="H364" s="605">
        <f t="shared" si="178"/>
        <v>39</v>
      </c>
      <c r="I364" s="597"/>
      <c r="J364" s="600"/>
      <c r="K364" s="600"/>
      <c r="L364" s="606"/>
      <c r="M364" s="590"/>
      <c r="N364" s="590"/>
      <c r="O364" s="590"/>
      <c r="P364" s="590"/>
      <c r="Q364" s="590"/>
      <c r="R364" s="590"/>
      <c r="S364" s="607"/>
      <c r="T364" s="517"/>
      <c r="U364" s="517"/>
      <c r="V364" s="441"/>
      <c r="W364" s="441"/>
      <c r="X364" s="517"/>
      <c r="Y364" s="517"/>
      <c r="Z364" s="517"/>
      <c r="AA364" s="517"/>
      <c r="AB364" s="517"/>
      <c r="AC364" s="441"/>
      <c r="AD364" s="441"/>
      <c r="AE364" s="441"/>
      <c r="AF364" s="441"/>
      <c r="AG364" s="441"/>
      <c r="AH364" s="441"/>
      <c r="AI364" s="441"/>
      <c r="AJ364" s="441"/>
      <c r="AK364" s="441"/>
      <c r="AL364" s="441"/>
      <c r="AM364" s="441"/>
      <c r="AN364" s="441"/>
      <c r="AO364" s="441"/>
      <c r="AP364" s="441"/>
      <c r="AQ364" s="441"/>
      <c r="AR364" s="441"/>
      <c r="AS364" s="441"/>
      <c r="AT364" s="441"/>
      <c r="AU364" s="441"/>
      <c r="AV364" s="441"/>
      <c r="AW364" s="441"/>
      <c r="AX364" s="441"/>
      <c r="AY364" s="441"/>
      <c r="AZ364" s="441"/>
      <c r="BA364" s="441"/>
      <c r="BB364" s="441"/>
      <c r="BC364" s="441"/>
      <c r="BD364" s="441"/>
      <c r="BE364" s="441"/>
      <c r="BF364" s="441"/>
    </row>
    <row r="365" ht="15.0" hidden="1" customHeight="1" outlineLevel="1">
      <c r="A365" s="594" t="s">
        <v>760</v>
      </c>
      <c r="B365" s="608"/>
      <c r="C365" s="608">
        <f t="shared" ref="C365:H365" si="179">C364/B364-1</f>
        <v>0.4210526316</v>
      </c>
      <c r="D365" s="608">
        <f t="shared" si="179"/>
        <v>0.2592592593</v>
      </c>
      <c r="E365" s="608">
        <f t="shared" si="179"/>
        <v>0.2941176471</v>
      </c>
      <c r="F365" s="608">
        <f t="shared" si="179"/>
        <v>0.2272727273</v>
      </c>
      <c r="G365" s="608">
        <f t="shared" si="179"/>
        <v>0.2222222222</v>
      </c>
      <c r="H365" s="608">
        <f t="shared" si="179"/>
        <v>0.1818181818</v>
      </c>
      <c r="I365" s="597"/>
      <c r="J365" s="600"/>
      <c r="K365" s="600"/>
      <c r="L365" s="606"/>
      <c r="M365" s="590"/>
      <c r="N365" s="590"/>
      <c r="O365" s="590"/>
      <c r="P365" s="590"/>
      <c r="Q365" s="590"/>
      <c r="R365" s="590"/>
      <c r="S365" s="607"/>
      <c r="T365" s="517"/>
      <c r="U365" s="517"/>
      <c r="V365" s="441"/>
      <c r="W365" s="441"/>
      <c r="X365" s="517"/>
      <c r="Y365" s="517"/>
      <c r="Z365" s="517"/>
      <c r="AA365" s="517"/>
      <c r="AB365" s="517"/>
      <c r="AC365" s="441"/>
      <c r="AD365" s="441"/>
      <c r="AE365" s="441"/>
      <c r="AF365" s="441"/>
      <c r="AG365" s="441"/>
      <c r="AH365" s="441"/>
      <c r="AI365" s="441"/>
      <c r="AJ365" s="441"/>
      <c r="AK365" s="441"/>
      <c r="AL365" s="441"/>
      <c r="AM365" s="441"/>
      <c r="AN365" s="441"/>
      <c r="AO365" s="441"/>
      <c r="AP365" s="441"/>
      <c r="AQ365" s="441"/>
      <c r="AR365" s="441"/>
      <c r="AS365" s="441"/>
      <c r="AT365" s="441"/>
      <c r="AU365" s="441"/>
      <c r="AV365" s="441"/>
      <c r="AW365" s="441"/>
      <c r="AX365" s="441"/>
      <c r="AY365" s="441"/>
      <c r="AZ365" s="441"/>
      <c r="BA365" s="441"/>
      <c r="BB365" s="441"/>
      <c r="BC365" s="441"/>
      <c r="BD365" s="441"/>
      <c r="BE365" s="441"/>
      <c r="BF365" s="441"/>
    </row>
    <row r="366" ht="15.0" hidden="1" customHeight="1" outlineLevel="1">
      <c r="A366" s="594" t="s">
        <v>761</v>
      </c>
      <c r="B366" s="605">
        <f>$K360</f>
        <v>4</v>
      </c>
      <c r="C366" s="605"/>
      <c r="D366" s="608"/>
      <c r="E366" s="608"/>
      <c r="F366" s="608"/>
      <c r="G366" s="608"/>
      <c r="H366" s="608"/>
      <c r="I366" s="597"/>
      <c r="J366" s="600"/>
      <c r="K366" s="600"/>
      <c r="L366" s="606"/>
      <c r="M366" s="590"/>
      <c r="N366" s="590"/>
      <c r="O366" s="590"/>
      <c r="P366" s="590"/>
      <c r="Q366" s="590"/>
      <c r="R366" s="590"/>
      <c r="S366" s="607"/>
      <c r="T366" s="517"/>
      <c r="U366" s="517"/>
      <c r="V366" s="441"/>
      <c r="W366" s="441"/>
      <c r="X366" s="517"/>
      <c r="Y366" s="517"/>
      <c r="Z366" s="517"/>
      <c r="AA366" s="517"/>
      <c r="AB366" s="517"/>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c r="BB366" s="441"/>
      <c r="BC366" s="441"/>
      <c r="BD366" s="441"/>
      <c r="BE366" s="441"/>
      <c r="BF366" s="441"/>
    </row>
    <row r="367" ht="15.0" hidden="1" customHeight="1" outlineLevel="1">
      <c r="A367" s="594" t="s">
        <v>762</v>
      </c>
      <c r="B367" s="609">
        <f t="shared" ref="B367:H367" si="180">B364/$B366</f>
        <v>2.375</v>
      </c>
      <c r="C367" s="609">
        <f t="shared" si="180"/>
        <v>3.375</v>
      </c>
      <c r="D367" s="609">
        <f t="shared" si="180"/>
        <v>4.25</v>
      </c>
      <c r="E367" s="609">
        <f t="shared" si="180"/>
        <v>5.5</v>
      </c>
      <c r="F367" s="609">
        <f t="shared" si="180"/>
        <v>6.75</v>
      </c>
      <c r="G367" s="609">
        <f t="shared" si="180"/>
        <v>8.25</v>
      </c>
      <c r="H367" s="609">
        <f t="shared" si="180"/>
        <v>9.75</v>
      </c>
      <c r="I367" s="597"/>
      <c r="J367" s="600"/>
      <c r="K367" s="600"/>
      <c r="L367" s="606"/>
      <c r="M367" s="590"/>
      <c r="N367" s="590"/>
      <c r="O367" s="590"/>
      <c r="P367" s="590"/>
      <c r="Q367" s="590"/>
      <c r="R367" s="590"/>
      <c r="S367" s="607"/>
      <c r="T367" s="517"/>
      <c r="U367" s="517"/>
      <c r="V367" s="441"/>
      <c r="W367" s="441"/>
      <c r="X367" s="517"/>
      <c r="Y367" s="517"/>
      <c r="Z367" s="517"/>
      <c r="AA367" s="517"/>
      <c r="AB367" s="517"/>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row>
    <row r="368" ht="15.75" customHeight="1" collapsed="1">
      <c r="A368" s="610"/>
      <c r="B368" s="611"/>
      <c r="C368" s="611"/>
      <c r="D368" s="611"/>
      <c r="E368" s="611"/>
      <c r="F368" s="611"/>
      <c r="G368" s="611"/>
      <c r="H368" s="612" t="s">
        <v>1035</v>
      </c>
      <c r="I368" s="611"/>
      <c r="J368" s="611"/>
      <c r="K368" s="611"/>
      <c r="L368" s="611"/>
      <c r="M368" s="611"/>
      <c r="N368" s="611"/>
      <c r="O368" s="611"/>
      <c r="P368" s="611"/>
      <c r="Q368" s="611"/>
      <c r="R368" s="611"/>
      <c r="S368" s="613"/>
      <c r="T368" s="614"/>
      <c r="U368" s="517"/>
      <c r="V368" s="441"/>
      <c r="W368" s="441"/>
      <c r="X368" s="517"/>
      <c r="Y368" s="517"/>
      <c r="Z368" s="517"/>
      <c r="AA368" s="517"/>
      <c r="AB368" s="517"/>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c r="BB368" s="441"/>
      <c r="BC368" s="441"/>
      <c r="BD368" s="441"/>
      <c r="BE368" s="441"/>
      <c r="BF368" s="441"/>
    </row>
    <row r="369">
      <c r="A369" s="615" t="s">
        <v>1036</v>
      </c>
      <c r="B369" s="616" t="s">
        <v>843</v>
      </c>
      <c r="C369" s="616" t="s">
        <v>1037</v>
      </c>
      <c r="D369" s="616" t="s">
        <v>854</v>
      </c>
      <c r="E369" s="616" t="s">
        <v>30</v>
      </c>
      <c r="F369" s="616" t="s">
        <v>1038</v>
      </c>
      <c r="G369" s="616" t="s">
        <v>1039</v>
      </c>
      <c r="H369" s="616" t="s">
        <v>1040</v>
      </c>
      <c r="I369" s="617" t="s">
        <v>754</v>
      </c>
      <c r="J369" s="616">
        <v>-5.0</v>
      </c>
      <c r="K369" s="616">
        <v>90.0</v>
      </c>
      <c r="L369" s="618">
        <f>VLOOKUP(A369,'Механик'!$B$156:$H$163,6,FALSE)</f>
        <v>0.84</v>
      </c>
      <c r="M369" s="619" t="s">
        <v>1041</v>
      </c>
      <c r="N369" s="620">
        <f>VLOOKUP(A369,'Механик'!$B$156:$H$163,4,FALSE)</f>
        <v>18</v>
      </c>
      <c r="O369" s="620">
        <v>12.0</v>
      </c>
      <c r="P369" s="619" t="s">
        <v>859</v>
      </c>
      <c r="Q369" s="621"/>
      <c r="R369" s="622" t="s">
        <v>1042</v>
      </c>
      <c r="S369" s="622" t="s">
        <v>1043</v>
      </c>
      <c r="T369" s="623">
        <v>4.0</v>
      </c>
      <c r="U369" s="517"/>
      <c r="V369" s="463"/>
      <c r="W369" s="463" t="s">
        <v>1044</v>
      </c>
      <c r="X369" s="440">
        <v>0.0</v>
      </c>
      <c r="Y369" s="440">
        <v>0.0</v>
      </c>
      <c r="Z369" s="440">
        <v>0.0</v>
      </c>
      <c r="AA369" s="440">
        <v>0.0</v>
      </c>
      <c r="AB369" s="440">
        <v>0.0</v>
      </c>
      <c r="AC369" s="440">
        <v>0.0</v>
      </c>
      <c r="AD369" s="440">
        <v>0.0</v>
      </c>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c r="BB369" s="441"/>
      <c r="BC369" s="441"/>
      <c r="BD369" s="441"/>
      <c r="BE369" s="441"/>
      <c r="BF369" s="441"/>
    </row>
    <row r="370" hidden="1" outlineLevel="1">
      <c r="A370" s="624" t="s">
        <v>756</v>
      </c>
      <c r="B370" s="625">
        <v>2.0</v>
      </c>
      <c r="C370" s="625">
        <v>2.0</v>
      </c>
      <c r="D370" s="625">
        <v>2.0</v>
      </c>
      <c r="E370" s="625"/>
      <c r="F370" s="625">
        <v>2.0</v>
      </c>
      <c r="G370" s="625">
        <v>2.0</v>
      </c>
      <c r="H370" s="625">
        <v>2.0</v>
      </c>
      <c r="I370" s="617"/>
      <c r="J370" s="616"/>
      <c r="K370" s="616"/>
      <c r="L370" s="618" t="str">
        <f>VLOOKUP(A370,'Механик'!$B$156:$H$163,6,FALSE)</f>
        <v>#N/A</v>
      </c>
      <c r="M370" s="620"/>
      <c r="N370" s="620" t="str">
        <f>VLOOKUP(A370,'Механик'!$B$156:$H$163,4,FALSE)</f>
        <v>#N/A</v>
      </c>
      <c r="O370" s="620"/>
      <c r="P370" s="620"/>
      <c r="Q370" s="621"/>
      <c r="R370" s="617"/>
      <c r="S370" s="617"/>
      <c r="T370" s="617"/>
      <c r="U370" s="517"/>
      <c r="V370" s="438"/>
      <c r="W370" s="438"/>
      <c r="X370" s="440">
        <v>0.0</v>
      </c>
      <c r="Y370" s="440">
        <v>0.0</v>
      </c>
      <c r="Z370" s="440">
        <v>0.0</v>
      </c>
      <c r="AA370" s="440">
        <v>0.0</v>
      </c>
      <c r="AB370" s="440">
        <v>0.0</v>
      </c>
      <c r="AC370" s="440">
        <v>0.0</v>
      </c>
      <c r="AD370" s="440">
        <v>0.0</v>
      </c>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row>
    <row r="371" hidden="1" outlineLevel="1">
      <c r="A371" s="624" t="s">
        <v>757</v>
      </c>
      <c r="B371" s="625">
        <v>12.0</v>
      </c>
      <c r="C371" s="625">
        <v>12.0</v>
      </c>
      <c r="D371" s="625">
        <v>16.0</v>
      </c>
      <c r="E371" s="625"/>
      <c r="F371" s="625">
        <v>20.0</v>
      </c>
      <c r="G371" s="625">
        <v>20.0</v>
      </c>
      <c r="H371" s="625">
        <v>24.0</v>
      </c>
      <c r="I371" s="617"/>
      <c r="J371" s="616"/>
      <c r="K371" s="616"/>
      <c r="L371" s="618" t="str">
        <f>VLOOKUP(A371,'Механик'!$B$156:$H$163,6,FALSE)</f>
        <v>#N/A</v>
      </c>
      <c r="M371" s="620"/>
      <c r="N371" s="620" t="str">
        <f>VLOOKUP(A371,'Механик'!$B$156:$H$163,4,FALSE)</f>
        <v>#N/A</v>
      </c>
      <c r="O371" s="620"/>
      <c r="P371" s="620"/>
      <c r="Q371" s="621"/>
      <c r="R371" s="617"/>
      <c r="S371" s="617"/>
      <c r="T371" s="617"/>
      <c r="U371" s="517"/>
      <c r="V371" s="438"/>
      <c r="W371" s="438"/>
      <c r="X371" s="440">
        <v>0.0</v>
      </c>
      <c r="Y371" s="440">
        <v>0.0</v>
      </c>
      <c r="Z371" s="440">
        <v>0.0</v>
      </c>
      <c r="AA371" s="440">
        <v>0.0</v>
      </c>
      <c r="AB371" s="440">
        <v>0.0</v>
      </c>
      <c r="AC371" s="440">
        <v>0.0</v>
      </c>
      <c r="AD371" s="440">
        <v>0.0</v>
      </c>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row>
    <row r="372" hidden="1" outlineLevel="1">
      <c r="A372" s="624" t="s">
        <v>758</v>
      </c>
      <c r="B372" s="626">
        <v>1.0</v>
      </c>
      <c r="C372" s="626">
        <v>8.0</v>
      </c>
      <c r="D372" s="626">
        <v>13.0</v>
      </c>
      <c r="E372" s="625"/>
      <c r="F372" s="626">
        <v>27.0</v>
      </c>
      <c r="G372" s="626">
        <v>36.0</v>
      </c>
      <c r="H372" s="626">
        <v>43.0</v>
      </c>
      <c r="I372" s="617"/>
      <c r="J372" s="616"/>
      <c r="K372" s="616"/>
      <c r="L372" s="618" t="str">
        <f>VLOOKUP(A372,'Механик'!$B$156:$H$163,6,FALSE)</f>
        <v>#N/A</v>
      </c>
      <c r="M372" s="620"/>
      <c r="N372" s="620" t="str">
        <f>VLOOKUP(A372,'Механик'!$B$156:$H$163,4,FALSE)</f>
        <v>#N/A</v>
      </c>
      <c r="O372" s="620"/>
      <c r="P372" s="620"/>
      <c r="Q372" s="621"/>
      <c r="R372" s="617"/>
      <c r="S372" s="617"/>
      <c r="T372" s="617"/>
      <c r="U372" s="517"/>
      <c r="V372" s="438"/>
      <c r="W372" s="438"/>
      <c r="X372" s="440">
        <v>0.0</v>
      </c>
      <c r="Y372" s="440">
        <v>0.0</v>
      </c>
      <c r="Z372" s="440">
        <v>0.0</v>
      </c>
      <c r="AA372" s="440">
        <v>0.0</v>
      </c>
      <c r="AB372" s="440">
        <v>0.0</v>
      </c>
      <c r="AC372" s="440">
        <v>0.0</v>
      </c>
      <c r="AD372" s="440">
        <v>0.0</v>
      </c>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c r="BB372" s="441"/>
      <c r="BC372" s="441"/>
      <c r="BD372" s="441"/>
      <c r="BE372" s="441"/>
      <c r="BF372" s="441"/>
    </row>
    <row r="373" hidden="1" outlineLevel="1">
      <c r="A373" s="624" t="s">
        <v>759</v>
      </c>
      <c r="B373" s="625">
        <f t="shared" ref="B373:D373" si="181">(B370+B371)/2+B372</f>
        <v>8</v>
      </c>
      <c r="C373" s="625">
        <f t="shared" si="181"/>
        <v>15</v>
      </c>
      <c r="D373" s="625">
        <f t="shared" si="181"/>
        <v>22</v>
      </c>
      <c r="E373" s="625"/>
      <c r="F373" s="625">
        <f t="shared" ref="F373:H373" si="182">(F370+F371)/2+F372</f>
        <v>38</v>
      </c>
      <c r="G373" s="625">
        <f t="shared" si="182"/>
        <v>47</v>
      </c>
      <c r="H373" s="625">
        <f t="shared" si="182"/>
        <v>56</v>
      </c>
      <c r="I373" s="617"/>
      <c r="J373" s="616"/>
      <c r="K373" s="616"/>
      <c r="L373" s="618" t="str">
        <f>VLOOKUP(A373,'Механик'!$B$156:$H$163,6,FALSE)</f>
        <v>#N/A</v>
      </c>
      <c r="M373" s="620"/>
      <c r="N373" s="620" t="str">
        <f>VLOOKUP(A373,'Механик'!$B$156:$H$163,4,FALSE)</f>
        <v>#N/A</v>
      </c>
      <c r="O373" s="620"/>
      <c r="P373" s="620"/>
      <c r="Q373" s="621"/>
      <c r="R373" s="617"/>
      <c r="S373" s="617"/>
      <c r="T373" s="617"/>
      <c r="U373" s="517"/>
      <c r="V373" s="438"/>
      <c r="W373" s="438"/>
      <c r="X373" s="440">
        <v>0.0</v>
      </c>
      <c r="Y373" s="440">
        <v>0.0</v>
      </c>
      <c r="Z373" s="440">
        <v>0.0</v>
      </c>
      <c r="AA373" s="440">
        <v>0.0</v>
      </c>
      <c r="AB373" s="440">
        <v>0.0</v>
      </c>
      <c r="AC373" s="440">
        <v>0.0</v>
      </c>
      <c r="AD373" s="440">
        <v>0.0</v>
      </c>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c r="BB373" s="441"/>
      <c r="BC373" s="441"/>
      <c r="BD373" s="441"/>
      <c r="BE373" s="441"/>
      <c r="BF373" s="441"/>
    </row>
    <row r="374" hidden="1" outlineLevel="1">
      <c r="A374" s="624" t="s">
        <v>760</v>
      </c>
      <c r="B374" s="627"/>
      <c r="C374" s="627">
        <f t="shared" ref="C374:D374" si="183">C373/B373-1</f>
        <v>0.875</v>
      </c>
      <c r="D374" s="627">
        <f t="shared" si="183"/>
        <v>0.4666666667</v>
      </c>
      <c r="E374" s="627"/>
      <c r="F374" s="627">
        <f>F373/D373-1</f>
        <v>0.7272727273</v>
      </c>
      <c r="G374" s="627">
        <f t="shared" ref="G374:H374" si="184">G373/F373-1</f>
        <v>0.2368421053</v>
      </c>
      <c r="H374" s="627">
        <f t="shared" si="184"/>
        <v>0.1914893617</v>
      </c>
      <c r="I374" s="617"/>
      <c r="J374" s="616"/>
      <c r="K374" s="616"/>
      <c r="L374" s="618" t="str">
        <f>VLOOKUP(A374,'Механик'!$B$156:$H$163,6,FALSE)</f>
        <v>#N/A</v>
      </c>
      <c r="M374" s="620"/>
      <c r="N374" s="620" t="str">
        <f>VLOOKUP(A374,'Механик'!$B$156:$H$163,4,FALSE)</f>
        <v>#N/A</v>
      </c>
      <c r="O374" s="620"/>
      <c r="P374" s="620"/>
      <c r="Q374" s="621"/>
      <c r="R374" s="617"/>
      <c r="S374" s="617"/>
      <c r="T374" s="617"/>
      <c r="U374" s="517"/>
      <c r="V374" s="438"/>
      <c r="W374" s="438"/>
      <c r="X374" s="440">
        <v>0.0</v>
      </c>
      <c r="Y374" s="440">
        <v>0.0</v>
      </c>
      <c r="Z374" s="440">
        <v>0.0</v>
      </c>
      <c r="AA374" s="440">
        <v>0.0</v>
      </c>
      <c r="AB374" s="440">
        <v>0.0</v>
      </c>
      <c r="AC374" s="440">
        <v>0.0</v>
      </c>
      <c r="AD374" s="440">
        <v>0.0</v>
      </c>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c r="BB374" s="441"/>
      <c r="BC374" s="441"/>
      <c r="BD374" s="441"/>
      <c r="BE374" s="441"/>
      <c r="BF374" s="441"/>
    </row>
    <row r="375" hidden="1" outlineLevel="1">
      <c r="A375" s="624" t="s">
        <v>761</v>
      </c>
      <c r="B375" s="625">
        <v>90.0</v>
      </c>
      <c r="C375" s="625"/>
      <c r="D375" s="627"/>
      <c r="E375" s="627"/>
      <c r="F375" s="627"/>
      <c r="G375" s="627"/>
      <c r="H375" s="627"/>
      <c r="I375" s="617"/>
      <c r="J375" s="616"/>
      <c r="K375" s="616"/>
      <c r="L375" s="618" t="str">
        <f>VLOOKUP(A375,'Механик'!$B$156:$H$163,6,FALSE)</f>
        <v>#N/A</v>
      </c>
      <c r="M375" s="620"/>
      <c r="N375" s="620" t="str">
        <f>VLOOKUP(A375,'Механик'!$B$156:$H$163,4,FALSE)</f>
        <v>#N/A</v>
      </c>
      <c r="O375" s="620"/>
      <c r="P375" s="620"/>
      <c r="Q375" s="621"/>
      <c r="R375" s="617"/>
      <c r="S375" s="617"/>
      <c r="T375" s="617"/>
      <c r="U375" s="517"/>
      <c r="V375" s="438"/>
      <c r="W375" s="438"/>
      <c r="X375" s="440">
        <v>0.0</v>
      </c>
      <c r="Y375" s="440">
        <v>0.0</v>
      </c>
      <c r="Z375" s="440">
        <v>0.0</v>
      </c>
      <c r="AA375" s="440">
        <v>0.0</v>
      </c>
      <c r="AB375" s="440">
        <v>0.0</v>
      </c>
      <c r="AC375" s="440">
        <v>0.0</v>
      </c>
      <c r="AD375" s="440">
        <v>0.0</v>
      </c>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c r="BB375" s="441"/>
      <c r="BC375" s="441"/>
      <c r="BD375" s="441"/>
      <c r="BE375" s="441"/>
      <c r="BF375" s="441"/>
    </row>
    <row r="376" hidden="1" outlineLevel="1">
      <c r="A376" s="624" t="s">
        <v>762</v>
      </c>
      <c r="B376" s="628">
        <f t="shared" ref="B376:D376" si="185">B373/$B375</f>
        <v>0.08888888889</v>
      </c>
      <c r="C376" s="628">
        <f t="shared" si="185"/>
        <v>0.1666666667</v>
      </c>
      <c r="D376" s="628">
        <f t="shared" si="185"/>
        <v>0.2444444444</v>
      </c>
      <c r="E376" s="628"/>
      <c r="F376" s="628">
        <f t="shared" ref="F376:H376" si="186">F373/$B375</f>
        <v>0.4222222222</v>
      </c>
      <c r="G376" s="628">
        <f t="shared" si="186"/>
        <v>0.5222222222</v>
      </c>
      <c r="H376" s="628">
        <f t="shared" si="186"/>
        <v>0.6222222222</v>
      </c>
      <c r="I376" s="617"/>
      <c r="J376" s="616"/>
      <c r="K376" s="616"/>
      <c r="L376" s="618" t="str">
        <f>VLOOKUP(A376,'Механик'!$B$156:$H$163,6,FALSE)</f>
        <v>#N/A</v>
      </c>
      <c r="M376" s="620"/>
      <c r="N376" s="620" t="str">
        <f>VLOOKUP(A376,'Механик'!$B$156:$H$163,4,FALSE)</f>
        <v>#N/A</v>
      </c>
      <c r="O376" s="620"/>
      <c r="P376" s="620"/>
      <c r="Q376" s="621"/>
      <c r="R376" s="617"/>
      <c r="S376" s="617"/>
      <c r="T376" s="617"/>
      <c r="U376" s="517"/>
      <c r="V376" s="438"/>
      <c r="W376" s="438"/>
      <c r="X376" s="440">
        <v>0.0</v>
      </c>
      <c r="Y376" s="440">
        <v>0.0</v>
      </c>
      <c r="Z376" s="440">
        <v>0.0</v>
      </c>
      <c r="AA376" s="440">
        <v>0.0</v>
      </c>
      <c r="AB376" s="440">
        <v>0.0</v>
      </c>
      <c r="AC376" s="440">
        <v>0.0</v>
      </c>
      <c r="AD376" s="440">
        <v>0.0</v>
      </c>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row>
    <row r="377" collapsed="1">
      <c r="A377" s="615" t="s">
        <v>1045</v>
      </c>
      <c r="B377" s="616" t="s">
        <v>843</v>
      </c>
      <c r="C377" s="616" t="s">
        <v>1037</v>
      </c>
      <c r="D377" s="616" t="s">
        <v>854</v>
      </c>
      <c r="E377" s="616" t="s">
        <v>30</v>
      </c>
      <c r="F377" s="616" t="s">
        <v>1038</v>
      </c>
      <c r="G377" s="616" t="s">
        <v>1039</v>
      </c>
      <c r="H377" s="616" t="s">
        <v>1040</v>
      </c>
      <c r="I377" s="617" t="s">
        <v>754</v>
      </c>
      <c r="J377" s="616">
        <v>-3.0</v>
      </c>
      <c r="K377" s="616">
        <v>50.0</v>
      </c>
      <c r="L377" s="618">
        <f>VLOOKUP(A377,'Механик'!$B$156:$H$163,6,FALSE)</f>
        <v>0.42</v>
      </c>
      <c r="M377" s="619" t="s">
        <v>1046</v>
      </c>
      <c r="N377" s="620">
        <f>VLOOKUP(A377,'Механик'!$B$156:$H$163,4,FALSE)</f>
        <v>7</v>
      </c>
      <c r="O377" s="620">
        <v>8.0</v>
      </c>
      <c r="P377" s="619" t="s">
        <v>1047</v>
      </c>
      <c r="Q377" s="621"/>
      <c r="R377" s="622" t="s">
        <v>1048</v>
      </c>
      <c r="S377" s="622" t="s">
        <v>1049</v>
      </c>
      <c r="T377" s="622">
        <v>6.0</v>
      </c>
      <c r="U377" s="517"/>
      <c r="V377" s="463"/>
      <c r="W377" s="463" t="s">
        <v>1044</v>
      </c>
      <c r="X377" s="440">
        <v>0.0</v>
      </c>
      <c r="Y377" s="440">
        <v>0.0</v>
      </c>
      <c r="Z377" s="440">
        <v>0.0</v>
      </c>
      <c r="AA377" s="440">
        <v>0.0</v>
      </c>
      <c r="AB377" s="440">
        <v>0.0</v>
      </c>
      <c r="AC377" s="440">
        <v>0.0</v>
      </c>
      <c r="AD377" s="440">
        <v>0.0</v>
      </c>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row>
    <row r="378" hidden="1" outlineLevel="1">
      <c r="A378" s="624" t="s">
        <v>756</v>
      </c>
      <c r="B378" s="625">
        <v>2.0</v>
      </c>
      <c r="C378" s="625">
        <v>2.0</v>
      </c>
      <c r="D378" s="625">
        <v>2.0</v>
      </c>
      <c r="E378" s="616" t="s">
        <v>30</v>
      </c>
      <c r="F378" s="625">
        <v>2.0</v>
      </c>
      <c r="G378" s="625">
        <v>2.0</v>
      </c>
      <c r="H378" s="625">
        <v>2.0</v>
      </c>
      <c r="I378" s="617"/>
      <c r="J378" s="616"/>
      <c r="K378" s="616"/>
      <c r="L378" s="618" t="str">
        <f>VLOOKUP(A378,'Механик'!$B$156:$H$163,6,FALSE)</f>
        <v>#N/A</v>
      </c>
      <c r="M378" s="620"/>
      <c r="N378" s="620" t="str">
        <f>VLOOKUP(A378,'Механик'!$B$156:$H$163,4,FALSE)</f>
        <v>#N/A</v>
      </c>
      <c r="O378" s="620"/>
      <c r="P378" s="620"/>
      <c r="Q378" s="621"/>
      <c r="R378" s="617"/>
      <c r="S378" s="617"/>
      <c r="T378" s="617"/>
      <c r="U378" s="517"/>
      <c r="V378" s="463"/>
      <c r="W378" s="463" t="s">
        <v>1050</v>
      </c>
      <c r="X378" s="440">
        <v>0.0</v>
      </c>
      <c r="Y378" s="440">
        <v>0.0</v>
      </c>
      <c r="Z378" s="440">
        <v>0.0</v>
      </c>
      <c r="AA378" s="440">
        <v>0.0</v>
      </c>
      <c r="AB378" s="440">
        <v>0.0</v>
      </c>
      <c r="AC378" s="440">
        <v>0.0</v>
      </c>
      <c r="AD378" s="440">
        <v>0.0</v>
      </c>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c r="BB378" s="441"/>
      <c r="BC378" s="441"/>
      <c r="BD378" s="441"/>
      <c r="BE378" s="441"/>
      <c r="BF378" s="441"/>
    </row>
    <row r="379" hidden="1" outlineLevel="1">
      <c r="A379" s="624" t="s">
        <v>757</v>
      </c>
      <c r="B379" s="625">
        <v>12.0</v>
      </c>
      <c r="C379" s="625">
        <v>12.0</v>
      </c>
      <c r="D379" s="625">
        <v>16.0</v>
      </c>
      <c r="E379" s="616" t="s">
        <v>30</v>
      </c>
      <c r="F379" s="625">
        <v>20.0</v>
      </c>
      <c r="G379" s="625">
        <v>20.0</v>
      </c>
      <c r="H379" s="625">
        <v>24.0</v>
      </c>
      <c r="I379" s="617"/>
      <c r="J379" s="616"/>
      <c r="K379" s="616"/>
      <c r="L379" s="618" t="str">
        <f>VLOOKUP(A379,'Механик'!$B$156:$H$163,6,FALSE)</f>
        <v>#N/A</v>
      </c>
      <c r="M379" s="620"/>
      <c r="N379" s="620" t="str">
        <f>VLOOKUP(A379,'Механик'!$B$156:$H$163,4,FALSE)</f>
        <v>#N/A</v>
      </c>
      <c r="O379" s="620"/>
      <c r="P379" s="620"/>
      <c r="Q379" s="621"/>
      <c r="R379" s="617"/>
      <c r="S379" s="617"/>
      <c r="T379" s="617"/>
      <c r="U379" s="517"/>
      <c r="V379" s="463"/>
      <c r="W379" s="463" t="s">
        <v>1050</v>
      </c>
      <c r="X379" s="440">
        <v>0.0</v>
      </c>
      <c r="Y379" s="440">
        <v>0.0</v>
      </c>
      <c r="Z379" s="440">
        <v>0.0</v>
      </c>
      <c r="AA379" s="440">
        <v>0.0</v>
      </c>
      <c r="AB379" s="440">
        <v>0.0</v>
      </c>
      <c r="AC379" s="440">
        <v>0.0</v>
      </c>
      <c r="AD379" s="440">
        <v>0.0</v>
      </c>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c r="BB379" s="441"/>
      <c r="BC379" s="441"/>
      <c r="BD379" s="441"/>
      <c r="BE379" s="441"/>
      <c r="BF379" s="441"/>
    </row>
    <row r="380" hidden="1" outlineLevel="1">
      <c r="A380" s="624" t="s">
        <v>758</v>
      </c>
      <c r="B380" s="625">
        <v>1.0</v>
      </c>
      <c r="C380" s="625">
        <v>8.0</v>
      </c>
      <c r="D380" s="625">
        <v>13.0</v>
      </c>
      <c r="E380" s="616" t="s">
        <v>30</v>
      </c>
      <c r="F380" s="625">
        <v>27.0</v>
      </c>
      <c r="G380" s="625">
        <v>36.0</v>
      </c>
      <c r="H380" s="625">
        <v>43.0</v>
      </c>
      <c r="I380" s="617"/>
      <c r="J380" s="616"/>
      <c r="K380" s="616"/>
      <c r="L380" s="618" t="str">
        <f>VLOOKUP(A380,'Механик'!$B$156:$H$163,6,FALSE)</f>
        <v>#N/A</v>
      </c>
      <c r="M380" s="620"/>
      <c r="N380" s="620" t="str">
        <f>VLOOKUP(A380,'Механик'!$B$156:$H$163,4,FALSE)</f>
        <v>#N/A</v>
      </c>
      <c r="O380" s="620"/>
      <c r="P380" s="620"/>
      <c r="Q380" s="621"/>
      <c r="R380" s="617"/>
      <c r="S380" s="617"/>
      <c r="T380" s="617"/>
      <c r="U380" s="517"/>
      <c r="V380" s="463"/>
      <c r="W380" s="463" t="s">
        <v>1050</v>
      </c>
      <c r="X380" s="440">
        <v>0.0</v>
      </c>
      <c r="Y380" s="440">
        <v>0.0</v>
      </c>
      <c r="Z380" s="440">
        <v>0.0</v>
      </c>
      <c r="AA380" s="440">
        <v>0.0</v>
      </c>
      <c r="AB380" s="440">
        <v>0.0</v>
      </c>
      <c r="AC380" s="440">
        <v>0.0</v>
      </c>
      <c r="AD380" s="440">
        <v>0.0</v>
      </c>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c r="BB380" s="441"/>
      <c r="BC380" s="441"/>
      <c r="BD380" s="441"/>
      <c r="BE380" s="441"/>
      <c r="BF380" s="441"/>
    </row>
    <row r="381" hidden="1" outlineLevel="1">
      <c r="A381" s="624" t="s">
        <v>759</v>
      </c>
      <c r="B381" s="625">
        <f t="shared" ref="B381:D381" si="187">(B378+B379)/2+B380</f>
        <v>8</v>
      </c>
      <c r="C381" s="625">
        <f t="shared" si="187"/>
        <v>15</v>
      </c>
      <c r="D381" s="625">
        <f t="shared" si="187"/>
        <v>22</v>
      </c>
      <c r="E381" s="616" t="s">
        <v>30</v>
      </c>
      <c r="F381" s="625">
        <f t="shared" ref="F381:H381" si="188">(F378+F379)/2+F380</f>
        <v>38</v>
      </c>
      <c r="G381" s="625">
        <f t="shared" si="188"/>
        <v>47</v>
      </c>
      <c r="H381" s="625">
        <f t="shared" si="188"/>
        <v>56</v>
      </c>
      <c r="I381" s="617"/>
      <c r="J381" s="616"/>
      <c r="K381" s="616"/>
      <c r="L381" s="618" t="str">
        <f>VLOOKUP(A381,'Механик'!$B$156:$H$163,6,FALSE)</f>
        <v>#N/A</v>
      </c>
      <c r="M381" s="620"/>
      <c r="N381" s="620" t="str">
        <f>VLOOKUP(A381,'Механик'!$B$156:$H$163,4,FALSE)</f>
        <v>#N/A</v>
      </c>
      <c r="O381" s="620"/>
      <c r="P381" s="620"/>
      <c r="Q381" s="621"/>
      <c r="R381" s="617"/>
      <c r="S381" s="617"/>
      <c r="T381" s="617"/>
      <c r="U381" s="517"/>
      <c r="V381" s="463"/>
      <c r="W381" s="463" t="s">
        <v>1050</v>
      </c>
      <c r="X381" s="440">
        <v>0.0</v>
      </c>
      <c r="Y381" s="440">
        <v>0.0</v>
      </c>
      <c r="Z381" s="440">
        <v>0.0</v>
      </c>
      <c r="AA381" s="440">
        <v>0.0</v>
      </c>
      <c r="AB381" s="440">
        <v>0.0</v>
      </c>
      <c r="AC381" s="440">
        <v>0.0</v>
      </c>
      <c r="AD381" s="440">
        <v>0.0</v>
      </c>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c r="BB381" s="441"/>
      <c r="BC381" s="441"/>
      <c r="BD381" s="441"/>
      <c r="BE381" s="441"/>
      <c r="BF381" s="441"/>
    </row>
    <row r="382" hidden="1" outlineLevel="1">
      <c r="A382" s="624" t="s">
        <v>760</v>
      </c>
      <c r="B382" s="627"/>
      <c r="C382" s="627">
        <f t="shared" ref="C382:D382" si="189">C381/B381-1</f>
        <v>0.875</v>
      </c>
      <c r="D382" s="627">
        <f t="shared" si="189"/>
        <v>0.4666666667</v>
      </c>
      <c r="E382" s="616" t="s">
        <v>30</v>
      </c>
      <c r="F382" s="627">
        <f>F381/D381-1</f>
        <v>0.7272727273</v>
      </c>
      <c r="G382" s="627">
        <f t="shared" ref="G382:H382" si="190">G381/F381-1</f>
        <v>0.2368421053</v>
      </c>
      <c r="H382" s="627">
        <f t="shared" si="190"/>
        <v>0.1914893617</v>
      </c>
      <c r="I382" s="617"/>
      <c r="J382" s="616"/>
      <c r="K382" s="616"/>
      <c r="L382" s="618" t="str">
        <f>VLOOKUP(A382,'Механик'!$B$156:$H$163,6,FALSE)</f>
        <v>#N/A</v>
      </c>
      <c r="M382" s="620"/>
      <c r="N382" s="620" t="str">
        <f>VLOOKUP(A382,'Механик'!$B$156:$H$163,4,FALSE)</f>
        <v>#N/A</v>
      </c>
      <c r="O382" s="620"/>
      <c r="P382" s="620"/>
      <c r="Q382" s="621"/>
      <c r="R382" s="617"/>
      <c r="S382" s="617"/>
      <c r="T382" s="617"/>
      <c r="U382" s="517"/>
      <c r="V382" s="463"/>
      <c r="W382" s="463" t="s">
        <v>1050</v>
      </c>
      <c r="X382" s="440">
        <v>0.0</v>
      </c>
      <c r="Y382" s="440">
        <v>0.0</v>
      </c>
      <c r="Z382" s="440">
        <v>0.0</v>
      </c>
      <c r="AA382" s="440">
        <v>0.0</v>
      </c>
      <c r="AB382" s="440">
        <v>0.0</v>
      </c>
      <c r="AC382" s="440">
        <v>0.0</v>
      </c>
      <c r="AD382" s="440">
        <v>0.0</v>
      </c>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c r="BB382" s="441"/>
      <c r="BC382" s="441"/>
      <c r="BD382" s="441"/>
      <c r="BE382" s="441"/>
      <c r="BF382" s="441"/>
    </row>
    <row r="383" hidden="1" outlineLevel="1">
      <c r="A383" s="624" t="s">
        <v>761</v>
      </c>
      <c r="B383" s="625">
        <v>50.0</v>
      </c>
      <c r="C383" s="625"/>
      <c r="D383" s="627"/>
      <c r="E383" s="616" t="s">
        <v>30</v>
      </c>
      <c r="F383" s="627"/>
      <c r="G383" s="627"/>
      <c r="H383" s="627"/>
      <c r="I383" s="617"/>
      <c r="J383" s="616"/>
      <c r="K383" s="616"/>
      <c r="L383" s="618" t="str">
        <f>VLOOKUP(A383,'Механик'!$B$156:$H$163,6,FALSE)</f>
        <v>#N/A</v>
      </c>
      <c r="M383" s="620"/>
      <c r="N383" s="620" t="str">
        <f>VLOOKUP(A383,'Механик'!$B$156:$H$163,4,FALSE)</f>
        <v>#N/A</v>
      </c>
      <c r="O383" s="620"/>
      <c r="P383" s="620"/>
      <c r="Q383" s="621"/>
      <c r="R383" s="617"/>
      <c r="S383" s="617"/>
      <c r="T383" s="617"/>
      <c r="U383" s="517"/>
      <c r="V383" s="463"/>
      <c r="W383" s="463" t="s">
        <v>1050</v>
      </c>
      <c r="X383" s="440">
        <v>0.0</v>
      </c>
      <c r="Y383" s="440">
        <v>0.0</v>
      </c>
      <c r="Z383" s="440">
        <v>0.0</v>
      </c>
      <c r="AA383" s="440">
        <v>0.0</v>
      </c>
      <c r="AB383" s="440">
        <v>0.0</v>
      </c>
      <c r="AC383" s="440">
        <v>0.0</v>
      </c>
      <c r="AD383" s="440">
        <v>0.0</v>
      </c>
      <c r="AE383" s="441"/>
      <c r="AF383" s="441"/>
      <c r="AG383" s="441"/>
      <c r="AH383" s="441"/>
      <c r="AI383" s="441"/>
      <c r="AJ383" s="441"/>
      <c r="AK383" s="441"/>
      <c r="AL383" s="441"/>
      <c r="AM383" s="441"/>
      <c r="AN383" s="441"/>
      <c r="AO383" s="441"/>
      <c r="AP383" s="441"/>
      <c r="AQ383" s="441"/>
      <c r="AR383" s="441"/>
      <c r="AS383" s="441"/>
      <c r="AT383" s="441"/>
      <c r="AU383" s="441"/>
      <c r="AV383" s="441"/>
      <c r="AW383" s="441"/>
      <c r="AX383" s="441"/>
      <c r="AY383" s="441"/>
      <c r="AZ383" s="441"/>
      <c r="BA383" s="441"/>
      <c r="BB383" s="441"/>
      <c r="BC383" s="441"/>
      <c r="BD383" s="441"/>
      <c r="BE383" s="441"/>
      <c r="BF383" s="441"/>
    </row>
    <row r="384" hidden="1" outlineLevel="1">
      <c r="A384" s="624" t="s">
        <v>762</v>
      </c>
      <c r="B384" s="628">
        <f t="shared" ref="B384:D384" si="191">B381/$B383</f>
        <v>0.16</v>
      </c>
      <c r="C384" s="628">
        <f t="shared" si="191"/>
        <v>0.3</v>
      </c>
      <c r="D384" s="628">
        <f t="shared" si="191"/>
        <v>0.44</v>
      </c>
      <c r="E384" s="616" t="s">
        <v>30</v>
      </c>
      <c r="F384" s="628">
        <f t="shared" ref="F384:H384" si="192">F381/$B383</f>
        <v>0.76</v>
      </c>
      <c r="G384" s="628">
        <f t="shared" si="192"/>
        <v>0.94</v>
      </c>
      <c r="H384" s="628">
        <f t="shared" si="192"/>
        <v>1.12</v>
      </c>
      <c r="I384" s="617"/>
      <c r="J384" s="616"/>
      <c r="K384" s="616"/>
      <c r="L384" s="618" t="str">
        <f>VLOOKUP(A384,'Механик'!$B$156:$H$163,6,FALSE)</f>
        <v>#N/A</v>
      </c>
      <c r="M384" s="620"/>
      <c r="N384" s="620" t="str">
        <f>VLOOKUP(A384,'Механик'!$B$156:$H$163,4,FALSE)</f>
        <v>#N/A</v>
      </c>
      <c r="O384" s="620"/>
      <c r="P384" s="620"/>
      <c r="Q384" s="621"/>
      <c r="R384" s="617"/>
      <c r="S384" s="617"/>
      <c r="T384" s="617"/>
      <c r="U384" s="517"/>
      <c r="V384" s="463"/>
      <c r="W384" s="463" t="s">
        <v>1050</v>
      </c>
      <c r="X384" s="440">
        <v>0.0</v>
      </c>
      <c r="Y384" s="440">
        <v>0.0</v>
      </c>
      <c r="Z384" s="440">
        <v>0.0</v>
      </c>
      <c r="AA384" s="440">
        <v>0.0</v>
      </c>
      <c r="AB384" s="440">
        <v>0.0</v>
      </c>
      <c r="AC384" s="440">
        <v>0.0</v>
      </c>
      <c r="AD384" s="440">
        <v>0.0</v>
      </c>
      <c r="AE384" s="441"/>
      <c r="AF384" s="441"/>
      <c r="AG384" s="441"/>
      <c r="AH384" s="441"/>
      <c r="AI384" s="441"/>
      <c r="AJ384" s="441"/>
      <c r="AK384" s="441"/>
      <c r="AL384" s="441"/>
      <c r="AM384" s="441"/>
      <c r="AN384" s="441"/>
      <c r="AO384" s="441"/>
      <c r="AP384" s="441"/>
      <c r="AQ384" s="441"/>
      <c r="AR384" s="441"/>
      <c r="AS384" s="441"/>
      <c r="AT384" s="441"/>
      <c r="AU384" s="441"/>
      <c r="AV384" s="441"/>
      <c r="AW384" s="441"/>
      <c r="AX384" s="441"/>
      <c r="AY384" s="441"/>
      <c r="AZ384" s="441"/>
      <c r="BA384" s="441"/>
      <c r="BB384" s="441"/>
      <c r="BC384" s="441"/>
      <c r="BD384" s="441"/>
      <c r="BE384" s="441"/>
      <c r="BF384" s="441"/>
    </row>
    <row r="385" collapsed="1">
      <c r="A385" s="615" t="s">
        <v>1051</v>
      </c>
      <c r="B385" s="616" t="s">
        <v>1052</v>
      </c>
      <c r="C385" s="616" t="s">
        <v>820</v>
      </c>
      <c r="D385" s="616" t="s">
        <v>1053</v>
      </c>
      <c r="E385" s="616" t="s">
        <v>30</v>
      </c>
      <c r="F385" s="616" t="s">
        <v>1054</v>
      </c>
      <c r="G385" s="616" t="s">
        <v>1055</v>
      </c>
      <c r="H385" s="616" t="s">
        <v>1056</v>
      </c>
      <c r="I385" s="617" t="s">
        <v>754</v>
      </c>
      <c r="J385" s="616">
        <v>-2.0</v>
      </c>
      <c r="K385" s="616">
        <v>60.0</v>
      </c>
      <c r="L385" s="618">
        <f>VLOOKUP(A385,'Механик'!$B$156:$H$163,6,FALSE)</f>
        <v>0.7</v>
      </c>
      <c r="M385" s="619" t="s">
        <v>1046</v>
      </c>
      <c r="N385" s="620">
        <f>VLOOKUP(A385,'Механик'!$B$156:$H$163,4,FALSE)</f>
        <v>14</v>
      </c>
      <c r="O385" s="620">
        <v>14.0</v>
      </c>
      <c r="P385" s="619" t="s">
        <v>859</v>
      </c>
      <c r="Q385" s="621"/>
      <c r="R385" s="622" t="s">
        <v>1042</v>
      </c>
      <c r="S385" s="622" t="s">
        <v>1057</v>
      </c>
      <c r="T385" s="622">
        <v>16.0</v>
      </c>
      <c r="U385" s="517"/>
      <c r="V385" s="463"/>
      <c r="W385" s="463" t="s">
        <v>1044</v>
      </c>
      <c r="X385" s="440">
        <v>0.0</v>
      </c>
      <c r="Y385" s="440">
        <v>0.0</v>
      </c>
      <c r="Z385" s="440">
        <v>0.0</v>
      </c>
      <c r="AA385" s="440">
        <v>0.0</v>
      </c>
      <c r="AB385" s="440">
        <v>0.0</v>
      </c>
      <c r="AC385" s="440">
        <v>0.0</v>
      </c>
      <c r="AD385" s="440">
        <v>0.0</v>
      </c>
      <c r="AE385" s="441"/>
      <c r="AF385" s="441"/>
      <c r="AG385" s="441"/>
      <c r="AH385" s="441"/>
      <c r="AI385" s="441"/>
      <c r="AJ385" s="441"/>
      <c r="AK385" s="441"/>
      <c r="AL385" s="441"/>
      <c r="AM385" s="441"/>
      <c r="AN385" s="441"/>
      <c r="AO385" s="441"/>
      <c r="AP385" s="441"/>
      <c r="AQ385" s="441"/>
      <c r="AR385" s="441"/>
      <c r="AS385" s="441"/>
      <c r="AT385" s="441"/>
      <c r="AU385" s="441"/>
      <c r="AV385" s="441"/>
      <c r="AW385" s="441"/>
      <c r="AX385" s="441"/>
      <c r="AY385" s="441"/>
      <c r="AZ385" s="441"/>
      <c r="BA385" s="441"/>
      <c r="BB385" s="441"/>
      <c r="BC385" s="441"/>
      <c r="BD385" s="441"/>
      <c r="BE385" s="441"/>
      <c r="BF385" s="441"/>
    </row>
    <row r="386" hidden="1" outlineLevel="1">
      <c r="A386" s="624" t="s">
        <v>756</v>
      </c>
      <c r="B386" s="625">
        <v>3.0</v>
      </c>
      <c r="C386" s="625">
        <v>3.0</v>
      </c>
      <c r="D386" s="625">
        <v>3.0</v>
      </c>
      <c r="E386" s="616" t="s">
        <v>30</v>
      </c>
      <c r="F386" s="625">
        <v>3.0</v>
      </c>
      <c r="G386" s="625">
        <v>3.0</v>
      </c>
      <c r="H386" s="625">
        <v>3.0</v>
      </c>
      <c r="I386" s="629"/>
      <c r="J386" s="616"/>
      <c r="K386" s="616"/>
      <c r="L386" s="618" t="str">
        <f>VLOOKUP(A386,'Механик'!$B$156:$H$163,6,FALSE)</f>
        <v>#N/A</v>
      </c>
      <c r="M386" s="620"/>
      <c r="N386" s="620" t="str">
        <f>VLOOKUP(A386,'Механик'!$B$156:$H$163,4,FALSE)</f>
        <v>#N/A</v>
      </c>
      <c r="O386" s="620"/>
      <c r="P386" s="620" t="s">
        <v>988</v>
      </c>
      <c r="Q386" s="621"/>
      <c r="R386" s="617"/>
      <c r="S386" s="617"/>
      <c r="T386" s="617"/>
      <c r="U386" s="517"/>
      <c r="V386" s="463"/>
      <c r="W386" s="463" t="s">
        <v>1050</v>
      </c>
      <c r="X386" s="440">
        <v>0.0</v>
      </c>
      <c r="Y386" s="440">
        <v>0.0</v>
      </c>
      <c r="Z386" s="440">
        <v>0.0</v>
      </c>
      <c r="AA386" s="440">
        <v>0.0</v>
      </c>
      <c r="AB386" s="440">
        <v>0.0</v>
      </c>
      <c r="AC386" s="440">
        <v>0.0</v>
      </c>
      <c r="AD386" s="440">
        <v>0.0</v>
      </c>
      <c r="AE386" s="441"/>
      <c r="AF386" s="441"/>
      <c r="AG386" s="441"/>
      <c r="AH386" s="441"/>
      <c r="AI386" s="441"/>
      <c r="AJ386" s="441"/>
      <c r="AK386" s="441"/>
      <c r="AL386" s="441"/>
      <c r="AM386" s="441"/>
      <c r="AN386" s="441"/>
      <c r="AO386" s="441"/>
      <c r="AP386" s="441"/>
      <c r="AQ386" s="441"/>
      <c r="AR386" s="441"/>
      <c r="AS386" s="441"/>
      <c r="AT386" s="441"/>
      <c r="AU386" s="441"/>
      <c r="AV386" s="441"/>
      <c r="AW386" s="441"/>
      <c r="AX386" s="441"/>
      <c r="AY386" s="441"/>
      <c r="AZ386" s="441"/>
      <c r="BA386" s="441"/>
      <c r="BB386" s="441"/>
      <c r="BC386" s="441"/>
      <c r="BD386" s="441"/>
      <c r="BE386" s="441"/>
      <c r="BF386" s="441"/>
    </row>
    <row r="387" hidden="1" outlineLevel="1">
      <c r="A387" s="624" t="s">
        <v>757</v>
      </c>
      <c r="B387" s="625">
        <v>18.0</v>
      </c>
      <c r="C387" s="625">
        <v>18.0</v>
      </c>
      <c r="D387" s="625">
        <v>24.0</v>
      </c>
      <c r="E387" s="616" t="s">
        <v>30</v>
      </c>
      <c r="F387" s="625">
        <v>30.0</v>
      </c>
      <c r="G387" s="625">
        <v>30.0</v>
      </c>
      <c r="H387" s="625">
        <v>36.0</v>
      </c>
      <c r="I387" s="629"/>
      <c r="J387" s="616"/>
      <c r="K387" s="616"/>
      <c r="L387" s="618" t="str">
        <f>VLOOKUP(A387,'Механик'!$B$156:$H$163,6,FALSE)</f>
        <v>#N/A</v>
      </c>
      <c r="M387" s="620"/>
      <c r="N387" s="620" t="str">
        <f>VLOOKUP(A387,'Механик'!$B$156:$H$163,4,FALSE)</f>
        <v>#N/A</v>
      </c>
      <c r="O387" s="620"/>
      <c r="P387" s="620" t="s">
        <v>988</v>
      </c>
      <c r="Q387" s="621"/>
      <c r="R387" s="617"/>
      <c r="S387" s="617"/>
      <c r="T387" s="617"/>
      <c r="U387" s="517"/>
      <c r="V387" s="463"/>
      <c r="W387" s="463" t="s">
        <v>1050</v>
      </c>
      <c r="X387" s="440">
        <v>0.0</v>
      </c>
      <c r="Y387" s="440">
        <v>0.0</v>
      </c>
      <c r="Z387" s="440">
        <v>0.0</v>
      </c>
      <c r="AA387" s="440">
        <v>0.0</v>
      </c>
      <c r="AB387" s="440">
        <v>0.0</v>
      </c>
      <c r="AC387" s="440">
        <v>0.0</v>
      </c>
      <c r="AD387" s="440">
        <v>0.0</v>
      </c>
      <c r="AE387" s="441"/>
      <c r="AF387" s="441"/>
      <c r="AG387" s="441"/>
      <c r="AH387" s="441"/>
      <c r="AI387" s="441"/>
      <c r="AJ387" s="441"/>
      <c r="AK387" s="441"/>
      <c r="AL387" s="441"/>
      <c r="AM387" s="441"/>
      <c r="AN387" s="441"/>
      <c r="AO387" s="441"/>
      <c r="AP387" s="441"/>
      <c r="AQ387" s="441"/>
      <c r="AR387" s="441"/>
      <c r="AS387" s="441"/>
      <c r="AT387" s="441"/>
      <c r="AU387" s="441"/>
      <c r="AV387" s="441"/>
      <c r="AW387" s="441"/>
      <c r="AX387" s="441"/>
      <c r="AY387" s="441"/>
      <c r="AZ387" s="441"/>
      <c r="BA387" s="441"/>
      <c r="BB387" s="441"/>
      <c r="BC387" s="441"/>
      <c r="BD387" s="441"/>
      <c r="BE387" s="441"/>
      <c r="BF387" s="441"/>
    </row>
    <row r="388" hidden="1" outlineLevel="1">
      <c r="A388" s="624" t="s">
        <v>758</v>
      </c>
      <c r="B388" s="625">
        <v>2.0</v>
      </c>
      <c r="C388" s="625">
        <v>10.0</v>
      </c>
      <c r="D388" s="625">
        <v>15.0</v>
      </c>
      <c r="E388" s="616" t="s">
        <v>30</v>
      </c>
      <c r="F388" s="625">
        <v>30.0</v>
      </c>
      <c r="G388" s="625">
        <v>40.0</v>
      </c>
      <c r="H388" s="625">
        <v>47.0</v>
      </c>
      <c r="I388" s="629"/>
      <c r="J388" s="616"/>
      <c r="K388" s="616"/>
      <c r="L388" s="618" t="str">
        <f>VLOOKUP(A388,'Механик'!$B$156:$H$163,6,FALSE)</f>
        <v>#N/A</v>
      </c>
      <c r="M388" s="620"/>
      <c r="N388" s="620" t="str">
        <f>VLOOKUP(A388,'Механик'!$B$156:$H$163,4,FALSE)</f>
        <v>#N/A</v>
      </c>
      <c r="O388" s="620"/>
      <c r="P388" s="620" t="s">
        <v>988</v>
      </c>
      <c r="Q388" s="621"/>
      <c r="R388" s="617"/>
      <c r="S388" s="617"/>
      <c r="T388" s="617"/>
      <c r="U388" s="517"/>
      <c r="V388" s="463"/>
      <c r="W388" s="463" t="s">
        <v>1050</v>
      </c>
      <c r="X388" s="440">
        <v>0.0</v>
      </c>
      <c r="Y388" s="440">
        <v>0.0</v>
      </c>
      <c r="Z388" s="440">
        <v>0.0</v>
      </c>
      <c r="AA388" s="440">
        <v>0.0</v>
      </c>
      <c r="AB388" s="440">
        <v>0.0</v>
      </c>
      <c r="AC388" s="440">
        <v>0.0</v>
      </c>
      <c r="AD388" s="440">
        <v>0.0</v>
      </c>
      <c r="AE388" s="441"/>
      <c r="AF388" s="441"/>
      <c r="AG388" s="441"/>
      <c r="AH388" s="441"/>
      <c r="AI388" s="441"/>
      <c r="AJ388" s="441"/>
      <c r="AK388" s="441"/>
      <c r="AL388" s="441"/>
      <c r="AM388" s="441"/>
      <c r="AN388" s="441"/>
      <c r="AO388" s="441"/>
      <c r="AP388" s="441"/>
      <c r="AQ388" s="441"/>
      <c r="AR388" s="441"/>
      <c r="AS388" s="441"/>
      <c r="AT388" s="441"/>
      <c r="AU388" s="441"/>
      <c r="AV388" s="441"/>
      <c r="AW388" s="441"/>
      <c r="AX388" s="441"/>
      <c r="AY388" s="441"/>
      <c r="AZ388" s="441"/>
      <c r="BA388" s="441"/>
      <c r="BB388" s="441"/>
      <c r="BC388" s="441"/>
      <c r="BD388" s="441"/>
      <c r="BE388" s="441"/>
      <c r="BF388" s="441"/>
    </row>
    <row r="389" hidden="1" outlineLevel="1">
      <c r="A389" s="624" t="s">
        <v>759</v>
      </c>
      <c r="B389" s="625">
        <f t="shared" ref="B389:D389" si="193">(B386+B387)/2+B388</f>
        <v>12.5</v>
      </c>
      <c r="C389" s="625">
        <f t="shared" si="193"/>
        <v>20.5</v>
      </c>
      <c r="D389" s="625">
        <f t="shared" si="193"/>
        <v>28.5</v>
      </c>
      <c r="E389" s="616" t="s">
        <v>30</v>
      </c>
      <c r="F389" s="625">
        <f t="shared" ref="F389:H389" si="194">(F386+F387)/2+F388</f>
        <v>46.5</v>
      </c>
      <c r="G389" s="625">
        <f t="shared" si="194"/>
        <v>56.5</v>
      </c>
      <c r="H389" s="625">
        <f t="shared" si="194"/>
        <v>66.5</v>
      </c>
      <c r="I389" s="629"/>
      <c r="J389" s="616"/>
      <c r="K389" s="616"/>
      <c r="L389" s="618" t="str">
        <f>VLOOKUP(A389,'Механик'!$B$156:$H$163,6,FALSE)</f>
        <v>#N/A</v>
      </c>
      <c r="M389" s="620"/>
      <c r="N389" s="620" t="str">
        <f>VLOOKUP(A389,'Механик'!$B$156:$H$163,4,FALSE)</f>
        <v>#N/A</v>
      </c>
      <c r="O389" s="620"/>
      <c r="P389" s="620" t="s">
        <v>988</v>
      </c>
      <c r="Q389" s="621"/>
      <c r="R389" s="617"/>
      <c r="S389" s="617"/>
      <c r="T389" s="617"/>
      <c r="U389" s="517"/>
      <c r="V389" s="463"/>
      <c r="W389" s="463" t="s">
        <v>1050</v>
      </c>
      <c r="X389" s="440">
        <v>0.0</v>
      </c>
      <c r="Y389" s="440">
        <v>0.0</v>
      </c>
      <c r="Z389" s="440">
        <v>0.0</v>
      </c>
      <c r="AA389" s="440">
        <v>0.0</v>
      </c>
      <c r="AB389" s="440">
        <v>0.0</v>
      </c>
      <c r="AC389" s="440">
        <v>0.0</v>
      </c>
      <c r="AD389" s="440">
        <v>0.0</v>
      </c>
      <c r="AE389" s="441"/>
      <c r="AF389" s="441"/>
      <c r="AG389" s="441"/>
      <c r="AH389" s="441"/>
      <c r="AI389" s="441"/>
      <c r="AJ389" s="441"/>
      <c r="AK389" s="441"/>
      <c r="AL389" s="441"/>
      <c r="AM389" s="441"/>
      <c r="AN389" s="441"/>
      <c r="AO389" s="441"/>
      <c r="AP389" s="441"/>
      <c r="AQ389" s="441"/>
      <c r="AR389" s="441"/>
      <c r="AS389" s="441"/>
      <c r="AT389" s="441"/>
      <c r="AU389" s="441"/>
      <c r="AV389" s="441"/>
      <c r="AW389" s="441"/>
      <c r="AX389" s="441"/>
      <c r="AY389" s="441"/>
      <c r="AZ389" s="441"/>
      <c r="BA389" s="441"/>
      <c r="BB389" s="441"/>
      <c r="BC389" s="441"/>
      <c r="BD389" s="441"/>
      <c r="BE389" s="441"/>
      <c r="BF389" s="441"/>
    </row>
    <row r="390" ht="15.0" hidden="1" customHeight="1" outlineLevel="1">
      <c r="A390" s="624" t="s">
        <v>760</v>
      </c>
      <c r="B390" s="627"/>
      <c r="C390" s="627">
        <f t="shared" ref="C390:D390" si="195">C389/B389-1</f>
        <v>0.64</v>
      </c>
      <c r="D390" s="627">
        <f t="shared" si="195"/>
        <v>0.3902439024</v>
      </c>
      <c r="E390" s="616" t="s">
        <v>30</v>
      </c>
      <c r="F390" s="627">
        <f>F389/D389-1</f>
        <v>0.6315789474</v>
      </c>
      <c r="G390" s="627">
        <f t="shared" ref="G390:H390" si="196">G389/F389-1</f>
        <v>0.2150537634</v>
      </c>
      <c r="H390" s="627">
        <f t="shared" si="196"/>
        <v>0.1769911504</v>
      </c>
      <c r="I390" s="629"/>
      <c r="J390" s="616"/>
      <c r="K390" s="616"/>
      <c r="L390" s="618" t="str">
        <f>VLOOKUP(A390,'Механик'!$B$156:$H$163,6,FALSE)</f>
        <v>#N/A</v>
      </c>
      <c r="M390" s="620"/>
      <c r="N390" s="620" t="str">
        <f>VLOOKUP(A390,'Механик'!$B$156:$H$163,4,FALSE)</f>
        <v>#N/A</v>
      </c>
      <c r="O390" s="620"/>
      <c r="P390" s="620" t="s">
        <v>988</v>
      </c>
      <c r="Q390" s="621"/>
      <c r="R390" s="617"/>
      <c r="S390" s="617"/>
      <c r="T390" s="617"/>
      <c r="U390" s="517"/>
      <c r="V390" s="463"/>
      <c r="W390" s="463" t="s">
        <v>1050</v>
      </c>
      <c r="X390" s="440">
        <v>0.0</v>
      </c>
      <c r="Y390" s="440">
        <v>0.0</v>
      </c>
      <c r="Z390" s="440">
        <v>0.0</v>
      </c>
      <c r="AA390" s="440">
        <v>0.0</v>
      </c>
      <c r="AB390" s="440">
        <v>0.0</v>
      </c>
      <c r="AC390" s="440">
        <v>0.0</v>
      </c>
      <c r="AD390" s="440">
        <v>0.0</v>
      </c>
      <c r="AE390" s="441"/>
      <c r="AF390" s="441"/>
      <c r="AG390" s="441"/>
      <c r="AH390" s="441"/>
      <c r="AI390" s="441"/>
      <c r="AJ390" s="441"/>
      <c r="AK390" s="441"/>
      <c r="AL390" s="441"/>
      <c r="AM390" s="441"/>
      <c r="AN390" s="441"/>
      <c r="AO390" s="441"/>
      <c r="AP390" s="441"/>
      <c r="AQ390" s="441"/>
      <c r="AR390" s="441"/>
      <c r="AS390" s="441"/>
      <c r="AT390" s="441"/>
      <c r="AU390" s="441"/>
      <c r="AV390" s="441"/>
      <c r="AW390" s="441"/>
      <c r="AX390" s="441"/>
      <c r="AY390" s="441"/>
      <c r="AZ390" s="441"/>
      <c r="BA390" s="441"/>
      <c r="BB390" s="441"/>
      <c r="BC390" s="441"/>
      <c r="BD390" s="441"/>
      <c r="BE390" s="441"/>
      <c r="BF390" s="441"/>
    </row>
    <row r="391" hidden="1" outlineLevel="1">
      <c r="A391" s="624" t="s">
        <v>761</v>
      </c>
      <c r="B391" s="625">
        <v>60.0</v>
      </c>
      <c r="C391" s="625"/>
      <c r="D391" s="627"/>
      <c r="E391" s="616" t="s">
        <v>30</v>
      </c>
      <c r="F391" s="627"/>
      <c r="G391" s="627"/>
      <c r="H391" s="627"/>
      <c r="I391" s="629"/>
      <c r="J391" s="616"/>
      <c r="K391" s="616"/>
      <c r="L391" s="618" t="str">
        <f>VLOOKUP(A391,'Механик'!$B$156:$H$163,6,FALSE)</f>
        <v>#N/A</v>
      </c>
      <c r="M391" s="620"/>
      <c r="N391" s="620" t="str">
        <f>VLOOKUP(A391,'Механик'!$B$156:$H$163,4,FALSE)</f>
        <v>#N/A</v>
      </c>
      <c r="O391" s="620"/>
      <c r="P391" s="620" t="s">
        <v>988</v>
      </c>
      <c r="Q391" s="621"/>
      <c r="R391" s="617"/>
      <c r="S391" s="617"/>
      <c r="T391" s="617"/>
      <c r="U391" s="517"/>
      <c r="V391" s="463"/>
      <c r="W391" s="463" t="s">
        <v>1050</v>
      </c>
      <c r="X391" s="440">
        <v>0.0</v>
      </c>
      <c r="Y391" s="440">
        <v>0.0</v>
      </c>
      <c r="Z391" s="440">
        <v>0.0</v>
      </c>
      <c r="AA391" s="440">
        <v>0.0</v>
      </c>
      <c r="AB391" s="440">
        <v>0.0</v>
      </c>
      <c r="AC391" s="440">
        <v>0.0</v>
      </c>
      <c r="AD391" s="440">
        <v>0.0</v>
      </c>
      <c r="AE391" s="441"/>
      <c r="AF391" s="441"/>
      <c r="AG391" s="441"/>
      <c r="AH391" s="441"/>
      <c r="AI391" s="441"/>
      <c r="AJ391" s="441"/>
      <c r="AK391" s="441"/>
      <c r="AL391" s="441"/>
      <c r="AM391" s="441"/>
      <c r="AN391" s="441"/>
      <c r="AO391" s="441"/>
      <c r="AP391" s="441"/>
      <c r="AQ391" s="441"/>
      <c r="AR391" s="441"/>
      <c r="AS391" s="441"/>
      <c r="AT391" s="441"/>
      <c r="AU391" s="441"/>
      <c r="AV391" s="441"/>
      <c r="AW391" s="441"/>
      <c r="AX391" s="441"/>
      <c r="AY391" s="441"/>
      <c r="AZ391" s="441"/>
      <c r="BA391" s="441"/>
      <c r="BB391" s="441"/>
      <c r="BC391" s="441"/>
      <c r="BD391" s="441"/>
      <c r="BE391" s="441"/>
      <c r="BF391" s="441"/>
    </row>
    <row r="392" hidden="1" outlineLevel="1">
      <c r="A392" s="624" t="s">
        <v>762</v>
      </c>
      <c r="B392" s="628">
        <f t="shared" ref="B392:D392" si="197">B389/$B391</f>
        <v>0.2083333333</v>
      </c>
      <c r="C392" s="628">
        <f t="shared" si="197"/>
        <v>0.3416666667</v>
      </c>
      <c r="D392" s="628">
        <f t="shared" si="197"/>
        <v>0.475</v>
      </c>
      <c r="E392" s="616" t="s">
        <v>30</v>
      </c>
      <c r="F392" s="628">
        <f t="shared" ref="F392:H392" si="198">F389/$B391</f>
        <v>0.775</v>
      </c>
      <c r="G392" s="628">
        <f t="shared" si="198"/>
        <v>0.9416666667</v>
      </c>
      <c r="H392" s="628">
        <f t="shared" si="198"/>
        <v>1.108333333</v>
      </c>
      <c r="I392" s="629"/>
      <c r="J392" s="616"/>
      <c r="K392" s="616"/>
      <c r="L392" s="618" t="str">
        <f>VLOOKUP(A392,'Механик'!$B$156:$H$163,6,FALSE)</f>
        <v>#N/A</v>
      </c>
      <c r="M392" s="620"/>
      <c r="N392" s="620" t="str">
        <f>VLOOKUP(A392,'Механик'!$B$156:$H$163,4,FALSE)</f>
        <v>#N/A</v>
      </c>
      <c r="O392" s="620"/>
      <c r="P392" s="620" t="s">
        <v>988</v>
      </c>
      <c r="Q392" s="621"/>
      <c r="R392" s="617"/>
      <c r="S392" s="617"/>
      <c r="T392" s="617"/>
      <c r="U392" s="517"/>
      <c r="V392" s="463"/>
      <c r="W392" s="463" t="s">
        <v>1050</v>
      </c>
      <c r="X392" s="440">
        <v>0.0</v>
      </c>
      <c r="Y392" s="440">
        <v>0.0</v>
      </c>
      <c r="Z392" s="440">
        <v>0.0</v>
      </c>
      <c r="AA392" s="440">
        <v>0.0</v>
      </c>
      <c r="AB392" s="440">
        <v>0.0</v>
      </c>
      <c r="AC392" s="440">
        <v>0.0</v>
      </c>
      <c r="AD392" s="440">
        <v>0.0</v>
      </c>
      <c r="AE392" s="441"/>
      <c r="AF392" s="441"/>
      <c r="AG392" s="441"/>
      <c r="AH392" s="441"/>
      <c r="AI392" s="441"/>
      <c r="AJ392" s="441"/>
      <c r="AK392" s="441"/>
      <c r="AL392" s="441"/>
      <c r="AM392" s="441"/>
      <c r="AN392" s="441"/>
      <c r="AO392" s="441"/>
      <c r="AP392" s="441"/>
      <c r="AQ392" s="441"/>
      <c r="AR392" s="441"/>
      <c r="AS392" s="441"/>
      <c r="AT392" s="441"/>
      <c r="AU392" s="441"/>
      <c r="AV392" s="441"/>
      <c r="AW392" s="441"/>
      <c r="AX392" s="441"/>
      <c r="AY392" s="441"/>
      <c r="AZ392" s="441"/>
      <c r="BA392" s="441"/>
      <c r="BB392" s="441"/>
      <c r="BC392" s="441"/>
      <c r="BD392" s="441"/>
      <c r="BE392" s="441"/>
      <c r="BF392" s="441"/>
    </row>
    <row r="393" collapsed="1">
      <c r="A393" s="630" t="s">
        <v>1058</v>
      </c>
      <c r="B393" s="616" t="s">
        <v>843</v>
      </c>
      <c r="C393" s="616" t="s">
        <v>1037</v>
      </c>
      <c r="D393" s="616" t="s">
        <v>854</v>
      </c>
      <c r="E393" s="616" t="s">
        <v>30</v>
      </c>
      <c r="F393" s="616" t="s">
        <v>1038</v>
      </c>
      <c r="G393" s="616" t="s">
        <v>1039</v>
      </c>
      <c r="H393" s="616" t="s">
        <v>1040</v>
      </c>
      <c r="I393" s="617" t="s">
        <v>770</v>
      </c>
      <c r="J393" s="616">
        <v>-3.0</v>
      </c>
      <c r="K393" s="616">
        <v>30.0</v>
      </c>
      <c r="L393" s="618">
        <f>VLOOKUP(A393,'Механик'!$B$156:$H$163,6,FALSE)</f>
        <v>0.42</v>
      </c>
      <c r="M393" s="619" t="s">
        <v>1059</v>
      </c>
      <c r="N393" s="620">
        <f>VLOOKUP(A393,'Механик'!$B$156:$H$163,4,FALSE)</f>
        <v>7</v>
      </c>
      <c r="O393" s="620">
        <v>8.0</v>
      </c>
      <c r="P393" s="619" t="s">
        <v>1047</v>
      </c>
      <c r="Q393" s="621"/>
      <c r="R393" s="631" t="s">
        <v>1060</v>
      </c>
      <c r="S393" s="622" t="s">
        <v>1049</v>
      </c>
      <c r="T393" s="622">
        <v>6.0</v>
      </c>
      <c r="U393" s="517"/>
      <c r="V393" s="463"/>
      <c r="W393" s="463" t="s">
        <v>1044</v>
      </c>
      <c r="X393" s="440">
        <v>0.0</v>
      </c>
      <c r="Y393" s="440">
        <v>0.0</v>
      </c>
      <c r="Z393" s="440">
        <v>0.0</v>
      </c>
      <c r="AA393" s="440">
        <v>0.0</v>
      </c>
      <c r="AB393" s="440">
        <v>0.0</v>
      </c>
      <c r="AC393" s="440">
        <v>0.0</v>
      </c>
      <c r="AD393" s="440">
        <v>0.0</v>
      </c>
      <c r="AE393" s="441"/>
      <c r="AF393" s="441"/>
      <c r="AG393" s="441"/>
      <c r="AH393" s="441"/>
      <c r="AI393" s="441"/>
      <c r="AJ393" s="441"/>
      <c r="AK393" s="441"/>
      <c r="AL393" s="441"/>
      <c r="AM393" s="441"/>
      <c r="AN393" s="441"/>
      <c r="AO393" s="441"/>
      <c r="AP393" s="441"/>
      <c r="AQ393" s="441"/>
      <c r="AR393" s="441"/>
      <c r="AS393" s="441"/>
      <c r="AT393" s="441"/>
      <c r="AU393" s="441"/>
      <c r="AV393" s="441"/>
      <c r="AW393" s="441"/>
      <c r="AX393" s="441"/>
      <c r="AY393" s="441"/>
      <c r="AZ393" s="441"/>
      <c r="BA393" s="441"/>
      <c r="BB393" s="441"/>
      <c r="BC393" s="441"/>
      <c r="BD393" s="441"/>
      <c r="BE393" s="441"/>
      <c r="BF393" s="441"/>
    </row>
    <row r="394" ht="15.0" hidden="1" customHeight="1" outlineLevel="1">
      <c r="A394" s="624" t="s">
        <v>756</v>
      </c>
      <c r="B394" s="625">
        <v>2.0</v>
      </c>
      <c r="C394" s="625">
        <v>2.0</v>
      </c>
      <c r="D394" s="625">
        <v>2.0</v>
      </c>
      <c r="E394" s="616" t="s">
        <v>30</v>
      </c>
      <c r="F394" s="625">
        <v>2.0</v>
      </c>
      <c r="G394" s="625">
        <v>2.0</v>
      </c>
      <c r="H394" s="625">
        <v>2.0</v>
      </c>
      <c r="I394" s="617"/>
      <c r="J394" s="616"/>
      <c r="K394" s="616"/>
      <c r="L394" s="618" t="str">
        <f>VLOOKUP(A394,'Механик'!$B$156:$H$163,6,FALSE)</f>
        <v>#N/A</v>
      </c>
      <c r="M394" s="620"/>
      <c r="N394" s="620" t="str">
        <f>VLOOKUP(A394,'Механик'!$B$156:$H$163,4,FALSE)</f>
        <v>#N/A</v>
      </c>
      <c r="O394" s="620"/>
      <c r="P394" s="620"/>
      <c r="Q394" s="621"/>
      <c r="R394" s="629"/>
      <c r="S394" s="617"/>
      <c r="T394" s="617"/>
      <c r="U394" s="517"/>
      <c r="V394" s="463"/>
      <c r="W394" s="463" t="s">
        <v>1050</v>
      </c>
      <c r="X394" s="440">
        <v>0.0</v>
      </c>
      <c r="Y394" s="440">
        <v>0.0</v>
      </c>
      <c r="Z394" s="440">
        <v>0.0</v>
      </c>
      <c r="AA394" s="440">
        <v>0.0</v>
      </c>
      <c r="AB394" s="440">
        <v>0.0</v>
      </c>
      <c r="AC394" s="440">
        <v>0.0</v>
      </c>
      <c r="AD394" s="440">
        <v>0.0</v>
      </c>
      <c r="AE394" s="441"/>
      <c r="AF394" s="441"/>
      <c r="AG394" s="441"/>
      <c r="AH394" s="441"/>
      <c r="AI394" s="441"/>
      <c r="AJ394" s="441"/>
      <c r="AK394" s="441"/>
      <c r="AL394" s="441"/>
      <c r="AM394" s="441"/>
      <c r="AN394" s="441"/>
      <c r="AO394" s="441"/>
      <c r="AP394" s="441"/>
      <c r="AQ394" s="441"/>
      <c r="AR394" s="441"/>
      <c r="AS394" s="441"/>
      <c r="AT394" s="441"/>
      <c r="AU394" s="441"/>
      <c r="AV394" s="441"/>
      <c r="AW394" s="441"/>
      <c r="AX394" s="441"/>
      <c r="AY394" s="441"/>
      <c r="AZ394" s="441"/>
      <c r="BA394" s="441"/>
      <c r="BB394" s="441"/>
      <c r="BC394" s="441"/>
      <c r="BD394" s="441"/>
      <c r="BE394" s="441"/>
      <c r="BF394" s="441"/>
    </row>
    <row r="395" ht="15.0" hidden="1" customHeight="1" outlineLevel="1">
      <c r="A395" s="624" t="s">
        <v>757</v>
      </c>
      <c r="B395" s="625">
        <v>12.0</v>
      </c>
      <c r="C395" s="625">
        <v>12.0</v>
      </c>
      <c r="D395" s="625">
        <v>16.0</v>
      </c>
      <c r="E395" s="616" t="s">
        <v>30</v>
      </c>
      <c r="F395" s="625">
        <v>20.0</v>
      </c>
      <c r="G395" s="625">
        <v>20.0</v>
      </c>
      <c r="H395" s="625">
        <v>24.0</v>
      </c>
      <c r="I395" s="617"/>
      <c r="J395" s="616"/>
      <c r="K395" s="616"/>
      <c r="L395" s="618" t="str">
        <f>VLOOKUP(A395,'Механик'!$B$156:$H$163,6,FALSE)</f>
        <v>#N/A</v>
      </c>
      <c r="M395" s="620"/>
      <c r="N395" s="620" t="str">
        <f>VLOOKUP(A395,'Механик'!$B$156:$H$163,4,FALSE)</f>
        <v>#N/A</v>
      </c>
      <c r="O395" s="620"/>
      <c r="P395" s="620"/>
      <c r="Q395" s="621"/>
      <c r="R395" s="629"/>
      <c r="S395" s="617"/>
      <c r="T395" s="617"/>
      <c r="U395" s="517"/>
      <c r="V395" s="463"/>
      <c r="W395" s="463" t="s">
        <v>1050</v>
      </c>
      <c r="X395" s="440">
        <v>0.0</v>
      </c>
      <c r="Y395" s="440">
        <v>0.0</v>
      </c>
      <c r="Z395" s="440">
        <v>0.0</v>
      </c>
      <c r="AA395" s="440">
        <v>0.0</v>
      </c>
      <c r="AB395" s="440">
        <v>0.0</v>
      </c>
      <c r="AC395" s="440">
        <v>0.0</v>
      </c>
      <c r="AD395" s="440">
        <v>0.0</v>
      </c>
      <c r="AE395" s="441"/>
      <c r="AF395" s="441"/>
      <c r="AG395" s="441"/>
      <c r="AH395" s="441"/>
      <c r="AI395" s="441"/>
      <c r="AJ395" s="441"/>
      <c r="AK395" s="441"/>
      <c r="AL395" s="441"/>
      <c r="AM395" s="441"/>
      <c r="AN395" s="441"/>
      <c r="AO395" s="441"/>
      <c r="AP395" s="441"/>
      <c r="AQ395" s="441"/>
      <c r="AR395" s="441"/>
      <c r="AS395" s="441"/>
      <c r="AT395" s="441"/>
      <c r="AU395" s="441"/>
      <c r="AV395" s="441"/>
      <c r="AW395" s="441"/>
      <c r="AX395" s="441"/>
      <c r="AY395" s="441"/>
      <c r="AZ395" s="441"/>
      <c r="BA395" s="441"/>
      <c r="BB395" s="441"/>
      <c r="BC395" s="441"/>
      <c r="BD395" s="441"/>
      <c r="BE395" s="441"/>
      <c r="BF395" s="441"/>
    </row>
    <row r="396" ht="15.0" hidden="1" customHeight="1" outlineLevel="1">
      <c r="A396" s="624" t="s">
        <v>758</v>
      </c>
      <c r="B396" s="625">
        <v>1.0</v>
      </c>
      <c r="C396" s="625">
        <v>8.0</v>
      </c>
      <c r="D396" s="625">
        <v>13.0</v>
      </c>
      <c r="E396" s="616" t="s">
        <v>30</v>
      </c>
      <c r="F396" s="625">
        <v>27.0</v>
      </c>
      <c r="G396" s="625">
        <v>36.0</v>
      </c>
      <c r="H396" s="625">
        <v>43.0</v>
      </c>
      <c r="I396" s="617"/>
      <c r="J396" s="616"/>
      <c r="K396" s="616"/>
      <c r="L396" s="618" t="str">
        <f>VLOOKUP(A396,'Механик'!$B$156:$H$163,6,FALSE)</f>
        <v>#N/A</v>
      </c>
      <c r="M396" s="620"/>
      <c r="N396" s="620" t="str">
        <f>VLOOKUP(A396,'Механик'!$B$156:$H$163,4,FALSE)</f>
        <v>#N/A</v>
      </c>
      <c r="O396" s="620"/>
      <c r="P396" s="620"/>
      <c r="Q396" s="621"/>
      <c r="R396" s="629"/>
      <c r="S396" s="617"/>
      <c r="T396" s="617"/>
      <c r="U396" s="517"/>
      <c r="V396" s="463"/>
      <c r="W396" s="463" t="s">
        <v>1050</v>
      </c>
      <c r="X396" s="440">
        <v>0.0</v>
      </c>
      <c r="Y396" s="440">
        <v>0.0</v>
      </c>
      <c r="Z396" s="440">
        <v>0.0</v>
      </c>
      <c r="AA396" s="440">
        <v>0.0</v>
      </c>
      <c r="AB396" s="440">
        <v>0.0</v>
      </c>
      <c r="AC396" s="440">
        <v>0.0</v>
      </c>
      <c r="AD396" s="440">
        <v>0.0</v>
      </c>
      <c r="AE396" s="441"/>
      <c r="AF396" s="441"/>
      <c r="AG396" s="441"/>
      <c r="AH396" s="441"/>
      <c r="AI396" s="441"/>
      <c r="AJ396" s="441"/>
      <c r="AK396" s="441"/>
      <c r="AL396" s="441"/>
      <c r="AM396" s="441"/>
      <c r="AN396" s="441"/>
      <c r="AO396" s="441"/>
      <c r="AP396" s="441"/>
      <c r="AQ396" s="441"/>
      <c r="AR396" s="441"/>
      <c r="AS396" s="441"/>
      <c r="AT396" s="441"/>
      <c r="AU396" s="441"/>
      <c r="AV396" s="441"/>
      <c r="AW396" s="441"/>
      <c r="AX396" s="441"/>
      <c r="AY396" s="441"/>
      <c r="AZ396" s="441"/>
      <c r="BA396" s="441"/>
      <c r="BB396" s="441"/>
      <c r="BC396" s="441"/>
      <c r="BD396" s="441"/>
      <c r="BE396" s="441"/>
      <c r="BF396" s="441"/>
    </row>
    <row r="397" ht="15.0" hidden="1" customHeight="1" outlineLevel="1">
      <c r="A397" s="624" t="s">
        <v>759</v>
      </c>
      <c r="B397" s="625">
        <f t="shared" ref="B397:D397" si="199">(B394+B395)/2+B396</f>
        <v>8</v>
      </c>
      <c r="C397" s="625">
        <f t="shared" si="199"/>
        <v>15</v>
      </c>
      <c r="D397" s="625">
        <f t="shared" si="199"/>
        <v>22</v>
      </c>
      <c r="E397" s="616" t="s">
        <v>30</v>
      </c>
      <c r="F397" s="625">
        <f t="shared" ref="F397:H397" si="200">(F394+F395)/2+F396</f>
        <v>38</v>
      </c>
      <c r="G397" s="625">
        <f t="shared" si="200"/>
        <v>47</v>
      </c>
      <c r="H397" s="625">
        <f t="shared" si="200"/>
        <v>56</v>
      </c>
      <c r="I397" s="617"/>
      <c r="J397" s="616"/>
      <c r="K397" s="616"/>
      <c r="L397" s="618" t="str">
        <f>VLOOKUP(A397,'Механик'!$B$156:$H$163,6,FALSE)</f>
        <v>#N/A</v>
      </c>
      <c r="M397" s="620"/>
      <c r="N397" s="620" t="str">
        <f>VLOOKUP(A397,'Механик'!$B$156:$H$163,4,FALSE)</f>
        <v>#N/A</v>
      </c>
      <c r="O397" s="620"/>
      <c r="P397" s="620"/>
      <c r="Q397" s="621"/>
      <c r="R397" s="629"/>
      <c r="S397" s="617"/>
      <c r="T397" s="617"/>
      <c r="U397" s="517"/>
      <c r="V397" s="463"/>
      <c r="W397" s="463" t="s">
        <v>1050</v>
      </c>
      <c r="X397" s="440">
        <v>0.0</v>
      </c>
      <c r="Y397" s="440">
        <v>0.0</v>
      </c>
      <c r="Z397" s="440">
        <v>0.0</v>
      </c>
      <c r="AA397" s="440">
        <v>0.0</v>
      </c>
      <c r="AB397" s="440">
        <v>0.0</v>
      </c>
      <c r="AC397" s="440">
        <v>0.0</v>
      </c>
      <c r="AD397" s="440">
        <v>0.0</v>
      </c>
      <c r="AE397" s="441"/>
      <c r="AF397" s="441"/>
      <c r="AG397" s="441"/>
      <c r="AH397" s="441"/>
      <c r="AI397" s="441"/>
      <c r="AJ397" s="441"/>
      <c r="AK397" s="441"/>
      <c r="AL397" s="441"/>
      <c r="AM397" s="441"/>
      <c r="AN397" s="441"/>
      <c r="AO397" s="441"/>
      <c r="AP397" s="441"/>
      <c r="AQ397" s="441"/>
      <c r="AR397" s="441"/>
      <c r="AS397" s="441"/>
      <c r="AT397" s="441"/>
      <c r="AU397" s="441"/>
      <c r="AV397" s="441"/>
      <c r="AW397" s="441"/>
      <c r="AX397" s="441"/>
      <c r="AY397" s="441"/>
      <c r="AZ397" s="441"/>
      <c r="BA397" s="441"/>
      <c r="BB397" s="441"/>
      <c r="BC397" s="441"/>
      <c r="BD397" s="441"/>
      <c r="BE397" s="441"/>
      <c r="BF397" s="441"/>
    </row>
    <row r="398" ht="15.0" hidden="1" customHeight="1" outlineLevel="1">
      <c r="A398" s="624" t="s">
        <v>760</v>
      </c>
      <c r="B398" s="627"/>
      <c r="C398" s="627">
        <f t="shared" ref="C398:D398" si="201">C397/B397-1</f>
        <v>0.875</v>
      </c>
      <c r="D398" s="627">
        <f t="shared" si="201"/>
        <v>0.4666666667</v>
      </c>
      <c r="E398" s="616" t="s">
        <v>30</v>
      </c>
      <c r="F398" s="627">
        <f>F397/D397-1</f>
        <v>0.7272727273</v>
      </c>
      <c r="G398" s="627">
        <f t="shared" ref="G398:H398" si="202">G397/F397-1</f>
        <v>0.2368421053</v>
      </c>
      <c r="H398" s="627">
        <f t="shared" si="202"/>
        <v>0.1914893617</v>
      </c>
      <c r="I398" s="617"/>
      <c r="J398" s="616"/>
      <c r="K398" s="616"/>
      <c r="L398" s="618" t="str">
        <f>VLOOKUP(A398,'Механик'!$B$156:$H$163,6,FALSE)</f>
        <v>#N/A</v>
      </c>
      <c r="M398" s="620"/>
      <c r="N398" s="620" t="str">
        <f>VLOOKUP(A398,'Механик'!$B$156:$H$163,4,FALSE)</f>
        <v>#N/A</v>
      </c>
      <c r="O398" s="620"/>
      <c r="P398" s="620"/>
      <c r="Q398" s="621"/>
      <c r="R398" s="629"/>
      <c r="S398" s="617"/>
      <c r="T398" s="617"/>
      <c r="U398" s="517"/>
      <c r="V398" s="463"/>
      <c r="W398" s="463" t="s">
        <v>1050</v>
      </c>
      <c r="X398" s="440">
        <v>0.0</v>
      </c>
      <c r="Y398" s="440">
        <v>0.0</v>
      </c>
      <c r="Z398" s="440">
        <v>0.0</v>
      </c>
      <c r="AA398" s="440">
        <v>0.0</v>
      </c>
      <c r="AB398" s="440">
        <v>0.0</v>
      </c>
      <c r="AC398" s="440">
        <v>0.0</v>
      </c>
      <c r="AD398" s="440">
        <v>0.0</v>
      </c>
      <c r="AE398" s="441"/>
      <c r="AF398" s="441"/>
      <c r="AG398" s="441"/>
      <c r="AH398" s="441"/>
      <c r="AI398" s="441"/>
      <c r="AJ398" s="441"/>
      <c r="AK398" s="441"/>
      <c r="AL398" s="441"/>
      <c r="AM398" s="441"/>
      <c r="AN398" s="441"/>
      <c r="AO398" s="441"/>
      <c r="AP398" s="441"/>
      <c r="AQ398" s="441"/>
      <c r="AR398" s="441"/>
      <c r="AS398" s="441"/>
      <c r="AT398" s="441"/>
      <c r="AU398" s="441"/>
      <c r="AV398" s="441"/>
      <c r="AW398" s="441"/>
      <c r="AX398" s="441"/>
      <c r="AY398" s="441"/>
      <c r="AZ398" s="441"/>
      <c r="BA398" s="441"/>
      <c r="BB398" s="441"/>
      <c r="BC398" s="441"/>
      <c r="BD398" s="441"/>
      <c r="BE398" s="441"/>
      <c r="BF398" s="441"/>
    </row>
    <row r="399" ht="15.0" hidden="1" customHeight="1" outlineLevel="1">
      <c r="A399" s="624" t="s">
        <v>761</v>
      </c>
      <c r="B399" s="625">
        <v>30.0</v>
      </c>
      <c r="C399" s="625"/>
      <c r="D399" s="627"/>
      <c r="E399" s="616" t="s">
        <v>30</v>
      </c>
      <c r="F399" s="627"/>
      <c r="G399" s="627"/>
      <c r="H399" s="627"/>
      <c r="I399" s="617"/>
      <c r="J399" s="616"/>
      <c r="K399" s="616"/>
      <c r="L399" s="618" t="str">
        <f>VLOOKUP(A399,'Механик'!$B$156:$H$163,6,FALSE)</f>
        <v>#N/A</v>
      </c>
      <c r="M399" s="620"/>
      <c r="N399" s="620" t="str">
        <f>VLOOKUP(A399,'Механик'!$B$156:$H$163,4,FALSE)</f>
        <v>#N/A</v>
      </c>
      <c r="O399" s="620"/>
      <c r="P399" s="620"/>
      <c r="Q399" s="621"/>
      <c r="R399" s="629"/>
      <c r="S399" s="617"/>
      <c r="T399" s="617"/>
      <c r="U399" s="517"/>
      <c r="V399" s="463"/>
      <c r="W399" s="463" t="s">
        <v>1050</v>
      </c>
      <c r="X399" s="440">
        <v>0.0</v>
      </c>
      <c r="Y399" s="440">
        <v>0.0</v>
      </c>
      <c r="Z399" s="440">
        <v>0.0</v>
      </c>
      <c r="AA399" s="440">
        <v>0.0</v>
      </c>
      <c r="AB399" s="440">
        <v>0.0</v>
      </c>
      <c r="AC399" s="440">
        <v>0.0</v>
      </c>
      <c r="AD399" s="440">
        <v>0.0</v>
      </c>
      <c r="AE399" s="441"/>
      <c r="AF399" s="441"/>
      <c r="AG399" s="441"/>
      <c r="AH399" s="441"/>
      <c r="AI399" s="441"/>
      <c r="AJ399" s="441"/>
      <c r="AK399" s="441"/>
      <c r="AL399" s="441"/>
      <c r="AM399" s="441"/>
      <c r="AN399" s="441"/>
      <c r="AO399" s="441"/>
      <c r="AP399" s="441"/>
      <c r="AQ399" s="441"/>
      <c r="AR399" s="441"/>
      <c r="AS399" s="441"/>
      <c r="AT399" s="441"/>
      <c r="AU399" s="441"/>
      <c r="AV399" s="441"/>
      <c r="AW399" s="441"/>
      <c r="AX399" s="441"/>
      <c r="AY399" s="441"/>
      <c r="AZ399" s="441"/>
      <c r="BA399" s="441"/>
      <c r="BB399" s="441"/>
      <c r="BC399" s="441"/>
      <c r="BD399" s="441"/>
      <c r="BE399" s="441"/>
      <c r="BF399" s="441"/>
    </row>
    <row r="400" ht="15.0" hidden="1" customHeight="1" outlineLevel="1">
      <c r="A400" s="624" t="s">
        <v>762</v>
      </c>
      <c r="B400" s="628">
        <f t="shared" ref="B400:D400" si="203">B397/$B399</f>
        <v>0.2666666667</v>
      </c>
      <c r="C400" s="628">
        <f t="shared" si="203"/>
        <v>0.5</v>
      </c>
      <c r="D400" s="628">
        <f t="shared" si="203"/>
        <v>0.7333333333</v>
      </c>
      <c r="E400" s="616" t="s">
        <v>30</v>
      </c>
      <c r="F400" s="628">
        <f t="shared" ref="F400:H400" si="204">F397/$B399</f>
        <v>1.266666667</v>
      </c>
      <c r="G400" s="628">
        <f t="shared" si="204"/>
        <v>1.566666667</v>
      </c>
      <c r="H400" s="628">
        <f t="shared" si="204"/>
        <v>1.866666667</v>
      </c>
      <c r="I400" s="617"/>
      <c r="J400" s="616"/>
      <c r="K400" s="616"/>
      <c r="L400" s="618" t="str">
        <f>VLOOKUP(A400,'Механик'!$B$156:$H$163,6,FALSE)</f>
        <v>#N/A</v>
      </c>
      <c r="M400" s="620"/>
      <c r="N400" s="620" t="str">
        <f>VLOOKUP(A400,'Механик'!$B$156:$H$163,4,FALSE)</f>
        <v>#N/A</v>
      </c>
      <c r="O400" s="620"/>
      <c r="P400" s="620"/>
      <c r="Q400" s="621"/>
      <c r="R400" s="629"/>
      <c r="S400" s="617"/>
      <c r="T400" s="617"/>
      <c r="U400" s="517"/>
      <c r="V400" s="463"/>
      <c r="W400" s="463" t="s">
        <v>1050</v>
      </c>
      <c r="X400" s="440">
        <v>0.0</v>
      </c>
      <c r="Y400" s="440">
        <v>0.0</v>
      </c>
      <c r="Z400" s="440">
        <v>0.0</v>
      </c>
      <c r="AA400" s="440">
        <v>0.0</v>
      </c>
      <c r="AB400" s="440">
        <v>0.0</v>
      </c>
      <c r="AC400" s="440">
        <v>0.0</v>
      </c>
      <c r="AD400" s="440">
        <v>0.0</v>
      </c>
      <c r="AE400" s="441"/>
      <c r="AF400" s="441"/>
      <c r="AG400" s="441"/>
      <c r="AH400" s="441"/>
      <c r="AI400" s="441"/>
      <c r="AJ400" s="441"/>
      <c r="AK400" s="441"/>
      <c r="AL400" s="441"/>
      <c r="AM400" s="441"/>
      <c r="AN400" s="441"/>
      <c r="AO400" s="441"/>
      <c r="AP400" s="441"/>
      <c r="AQ400" s="441"/>
      <c r="AR400" s="441"/>
      <c r="AS400" s="441"/>
      <c r="AT400" s="441"/>
      <c r="AU400" s="441"/>
      <c r="AV400" s="441"/>
      <c r="AW400" s="441"/>
      <c r="AX400" s="441"/>
      <c r="AY400" s="441"/>
      <c r="AZ400" s="441"/>
      <c r="BA400" s="441"/>
      <c r="BB400" s="441"/>
      <c r="BC400" s="441"/>
      <c r="BD400" s="441"/>
      <c r="BE400" s="441"/>
      <c r="BF400" s="441"/>
    </row>
    <row r="401" collapsed="1">
      <c r="A401" s="615" t="s">
        <v>1061</v>
      </c>
      <c r="B401" s="616" t="s">
        <v>1052</v>
      </c>
      <c r="C401" s="616" t="s">
        <v>820</v>
      </c>
      <c r="D401" s="616" t="s">
        <v>1053</v>
      </c>
      <c r="E401" s="616" t="s">
        <v>30</v>
      </c>
      <c r="F401" s="616" t="s">
        <v>1054</v>
      </c>
      <c r="G401" s="616" t="s">
        <v>1055</v>
      </c>
      <c r="H401" s="616" t="s">
        <v>1056</v>
      </c>
      <c r="I401" s="617" t="s">
        <v>770</v>
      </c>
      <c r="J401" s="616">
        <v>-2.0</v>
      </c>
      <c r="K401" s="616">
        <v>40.0</v>
      </c>
      <c r="L401" s="618">
        <f>VLOOKUP(A401,'Механик'!$B$156:$H$163,6,FALSE)</f>
        <v>0.7</v>
      </c>
      <c r="M401" s="619" t="s">
        <v>1059</v>
      </c>
      <c r="N401" s="620">
        <f>VLOOKUP(A401,'Механик'!$B$156:$H$163,4,FALSE)</f>
        <v>14</v>
      </c>
      <c r="O401" s="620">
        <v>14.0</v>
      </c>
      <c r="P401" s="619" t="s">
        <v>859</v>
      </c>
      <c r="Q401" s="621"/>
      <c r="R401" s="622" t="s">
        <v>1062</v>
      </c>
      <c r="S401" s="622" t="s">
        <v>1057</v>
      </c>
      <c r="T401" s="622">
        <v>16.0</v>
      </c>
      <c r="U401" s="517"/>
      <c r="V401" s="463"/>
      <c r="W401" s="463" t="s">
        <v>1044</v>
      </c>
      <c r="X401" s="440">
        <v>0.0</v>
      </c>
      <c r="Y401" s="440">
        <v>0.0</v>
      </c>
      <c r="Z401" s="440">
        <v>0.0</v>
      </c>
      <c r="AA401" s="440">
        <v>0.0</v>
      </c>
      <c r="AB401" s="440">
        <v>0.0</v>
      </c>
      <c r="AC401" s="440">
        <v>0.0</v>
      </c>
      <c r="AD401" s="440">
        <v>0.0</v>
      </c>
      <c r="AE401" s="441"/>
      <c r="AF401" s="441"/>
      <c r="AG401" s="441"/>
      <c r="AH401" s="441"/>
      <c r="AI401" s="441"/>
      <c r="AJ401" s="441"/>
      <c r="AK401" s="441"/>
      <c r="AL401" s="441"/>
      <c r="AM401" s="441"/>
      <c r="AN401" s="441"/>
      <c r="AO401" s="441"/>
      <c r="AP401" s="441"/>
      <c r="AQ401" s="441"/>
      <c r="AR401" s="441"/>
      <c r="AS401" s="441"/>
      <c r="AT401" s="441"/>
      <c r="AU401" s="441"/>
      <c r="AV401" s="441"/>
      <c r="AW401" s="441"/>
      <c r="AX401" s="441"/>
      <c r="AY401" s="441"/>
      <c r="AZ401" s="441"/>
      <c r="BA401" s="441"/>
      <c r="BB401" s="441"/>
      <c r="BC401" s="441"/>
      <c r="BD401" s="441"/>
      <c r="BE401" s="441"/>
      <c r="BF401" s="441"/>
    </row>
    <row r="402" hidden="1" outlineLevel="1">
      <c r="A402" s="624" t="s">
        <v>756</v>
      </c>
      <c r="B402" s="625">
        <v>3.0</v>
      </c>
      <c r="C402" s="625">
        <v>3.0</v>
      </c>
      <c r="D402" s="625">
        <v>3.0</v>
      </c>
      <c r="E402" s="616" t="s">
        <v>30</v>
      </c>
      <c r="F402" s="625">
        <v>3.0</v>
      </c>
      <c r="G402" s="625">
        <v>3.0</v>
      </c>
      <c r="H402" s="625">
        <v>3.0</v>
      </c>
      <c r="I402" s="629"/>
      <c r="J402" s="616"/>
      <c r="K402" s="616"/>
      <c r="L402" s="618" t="str">
        <f>VLOOKUP(A402,'Механик'!$B$156:$H$163,6,FALSE)</f>
        <v>#N/A</v>
      </c>
      <c r="M402" s="620"/>
      <c r="N402" s="620" t="str">
        <f>VLOOKUP(A402,'Механик'!$B$156:$H$163,4,FALSE)</f>
        <v>#N/A</v>
      </c>
      <c r="O402" s="620"/>
      <c r="P402" s="620" t="s">
        <v>988</v>
      </c>
      <c r="Q402" s="621"/>
      <c r="R402" s="617"/>
      <c r="S402" s="617"/>
      <c r="T402" s="617"/>
      <c r="U402" s="517"/>
      <c r="V402" s="463"/>
      <c r="W402" s="463" t="s">
        <v>1050</v>
      </c>
      <c r="X402" s="440">
        <v>0.0</v>
      </c>
      <c r="Y402" s="440">
        <v>0.0</v>
      </c>
      <c r="Z402" s="440">
        <v>0.0</v>
      </c>
      <c r="AA402" s="440">
        <v>0.0</v>
      </c>
      <c r="AB402" s="440">
        <v>0.0</v>
      </c>
      <c r="AC402" s="440">
        <v>0.0</v>
      </c>
      <c r="AD402" s="440">
        <v>0.0</v>
      </c>
      <c r="AE402" s="441"/>
      <c r="AF402" s="441"/>
      <c r="AG402" s="441"/>
      <c r="AH402" s="441"/>
      <c r="AI402" s="441"/>
      <c r="AJ402" s="441"/>
      <c r="AK402" s="441"/>
      <c r="AL402" s="441"/>
      <c r="AM402" s="441"/>
      <c r="AN402" s="441"/>
      <c r="AO402" s="441"/>
      <c r="AP402" s="441"/>
      <c r="AQ402" s="441"/>
      <c r="AR402" s="441"/>
      <c r="AS402" s="441"/>
      <c r="AT402" s="441"/>
      <c r="AU402" s="441"/>
      <c r="AV402" s="441"/>
      <c r="AW402" s="441"/>
      <c r="AX402" s="441"/>
      <c r="AY402" s="441"/>
      <c r="AZ402" s="441"/>
      <c r="BA402" s="441"/>
      <c r="BB402" s="441"/>
      <c r="BC402" s="441"/>
      <c r="BD402" s="441"/>
      <c r="BE402" s="441"/>
      <c r="BF402" s="441"/>
    </row>
    <row r="403" hidden="1" outlineLevel="1">
      <c r="A403" s="624" t="s">
        <v>757</v>
      </c>
      <c r="B403" s="625">
        <v>18.0</v>
      </c>
      <c r="C403" s="625">
        <v>18.0</v>
      </c>
      <c r="D403" s="625">
        <v>24.0</v>
      </c>
      <c r="E403" s="616" t="s">
        <v>30</v>
      </c>
      <c r="F403" s="625">
        <v>30.0</v>
      </c>
      <c r="G403" s="625">
        <v>30.0</v>
      </c>
      <c r="H403" s="625">
        <v>36.0</v>
      </c>
      <c r="I403" s="629"/>
      <c r="J403" s="616"/>
      <c r="K403" s="616"/>
      <c r="L403" s="618" t="str">
        <f>VLOOKUP(A403,'Механик'!$B$156:$H$163,6,FALSE)</f>
        <v>#N/A</v>
      </c>
      <c r="M403" s="620"/>
      <c r="N403" s="620" t="str">
        <f>VLOOKUP(A403,'Механик'!$B$156:$H$163,4,FALSE)</f>
        <v>#N/A</v>
      </c>
      <c r="O403" s="620"/>
      <c r="P403" s="620" t="s">
        <v>988</v>
      </c>
      <c r="Q403" s="621"/>
      <c r="R403" s="617"/>
      <c r="S403" s="617"/>
      <c r="T403" s="617"/>
      <c r="U403" s="517"/>
      <c r="V403" s="463"/>
      <c r="W403" s="463" t="s">
        <v>1050</v>
      </c>
      <c r="X403" s="440">
        <v>0.0</v>
      </c>
      <c r="Y403" s="440">
        <v>0.0</v>
      </c>
      <c r="Z403" s="440">
        <v>0.0</v>
      </c>
      <c r="AA403" s="440">
        <v>0.0</v>
      </c>
      <c r="AB403" s="440">
        <v>0.0</v>
      </c>
      <c r="AC403" s="440">
        <v>0.0</v>
      </c>
      <c r="AD403" s="440">
        <v>0.0</v>
      </c>
      <c r="AE403" s="441"/>
      <c r="AF403" s="441"/>
      <c r="AG403" s="441"/>
      <c r="AH403" s="441"/>
      <c r="AI403" s="441"/>
      <c r="AJ403" s="441"/>
      <c r="AK403" s="441"/>
      <c r="AL403" s="441"/>
      <c r="AM403" s="441"/>
      <c r="AN403" s="441"/>
      <c r="AO403" s="441"/>
      <c r="AP403" s="441"/>
      <c r="AQ403" s="441"/>
      <c r="AR403" s="441"/>
      <c r="AS403" s="441"/>
      <c r="AT403" s="441"/>
      <c r="AU403" s="441"/>
      <c r="AV403" s="441"/>
      <c r="AW403" s="441"/>
      <c r="AX403" s="441"/>
      <c r="AY403" s="441"/>
      <c r="AZ403" s="441"/>
      <c r="BA403" s="441"/>
      <c r="BB403" s="441"/>
      <c r="BC403" s="441"/>
      <c r="BD403" s="441"/>
      <c r="BE403" s="441"/>
      <c r="BF403" s="441"/>
    </row>
    <row r="404" hidden="1" outlineLevel="1">
      <c r="A404" s="624" t="s">
        <v>758</v>
      </c>
      <c r="B404" s="625">
        <v>2.0</v>
      </c>
      <c r="C404" s="625">
        <v>10.0</v>
      </c>
      <c r="D404" s="625">
        <v>15.0</v>
      </c>
      <c r="E404" s="616" t="s">
        <v>30</v>
      </c>
      <c r="F404" s="625">
        <v>30.0</v>
      </c>
      <c r="G404" s="625">
        <v>40.0</v>
      </c>
      <c r="H404" s="625">
        <v>47.0</v>
      </c>
      <c r="I404" s="629"/>
      <c r="J404" s="616"/>
      <c r="K404" s="616"/>
      <c r="L404" s="618" t="str">
        <f>VLOOKUP(A404,'Механик'!$B$156:$H$163,6,FALSE)</f>
        <v>#N/A</v>
      </c>
      <c r="M404" s="620"/>
      <c r="N404" s="620" t="str">
        <f>VLOOKUP(A404,'Механик'!$B$156:$H$163,4,FALSE)</f>
        <v>#N/A</v>
      </c>
      <c r="O404" s="620"/>
      <c r="P404" s="620" t="s">
        <v>988</v>
      </c>
      <c r="Q404" s="621"/>
      <c r="R404" s="617"/>
      <c r="S404" s="617"/>
      <c r="T404" s="617"/>
      <c r="U404" s="517"/>
      <c r="V404" s="463"/>
      <c r="W404" s="463" t="s">
        <v>1050</v>
      </c>
      <c r="X404" s="440">
        <v>0.0</v>
      </c>
      <c r="Y404" s="440">
        <v>0.0</v>
      </c>
      <c r="Z404" s="440">
        <v>0.0</v>
      </c>
      <c r="AA404" s="440">
        <v>0.0</v>
      </c>
      <c r="AB404" s="440">
        <v>0.0</v>
      </c>
      <c r="AC404" s="440">
        <v>0.0</v>
      </c>
      <c r="AD404" s="440">
        <v>0.0</v>
      </c>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441"/>
      <c r="AZ404" s="441"/>
      <c r="BA404" s="441"/>
      <c r="BB404" s="441"/>
      <c r="BC404" s="441"/>
      <c r="BD404" s="441"/>
      <c r="BE404" s="441"/>
      <c r="BF404" s="441"/>
    </row>
    <row r="405" hidden="1" outlineLevel="1">
      <c r="A405" s="624" t="s">
        <v>759</v>
      </c>
      <c r="B405" s="625">
        <f t="shared" ref="B405:D405" si="205">(B402+B403)/2+B404</f>
        <v>12.5</v>
      </c>
      <c r="C405" s="625">
        <f t="shared" si="205"/>
        <v>20.5</v>
      </c>
      <c r="D405" s="625">
        <f t="shared" si="205"/>
        <v>28.5</v>
      </c>
      <c r="E405" s="616" t="s">
        <v>30</v>
      </c>
      <c r="F405" s="625">
        <f t="shared" ref="F405:H405" si="206">(F402+F403)/2+F404</f>
        <v>46.5</v>
      </c>
      <c r="G405" s="625">
        <f t="shared" si="206"/>
        <v>56.5</v>
      </c>
      <c r="H405" s="625">
        <f t="shared" si="206"/>
        <v>66.5</v>
      </c>
      <c r="I405" s="629"/>
      <c r="J405" s="616"/>
      <c r="K405" s="616"/>
      <c r="L405" s="618" t="str">
        <f>VLOOKUP(A405,'Механик'!$B$156:$H$163,6,FALSE)</f>
        <v>#N/A</v>
      </c>
      <c r="M405" s="620"/>
      <c r="N405" s="620" t="str">
        <f>VLOOKUP(A405,'Механик'!$B$156:$H$163,4,FALSE)</f>
        <v>#N/A</v>
      </c>
      <c r="O405" s="620"/>
      <c r="P405" s="620" t="s">
        <v>988</v>
      </c>
      <c r="Q405" s="621"/>
      <c r="R405" s="617"/>
      <c r="S405" s="617"/>
      <c r="T405" s="617"/>
      <c r="U405" s="517"/>
      <c r="V405" s="463"/>
      <c r="W405" s="463" t="s">
        <v>1050</v>
      </c>
      <c r="X405" s="440">
        <v>0.0</v>
      </c>
      <c r="Y405" s="440">
        <v>0.0</v>
      </c>
      <c r="Z405" s="440">
        <v>0.0</v>
      </c>
      <c r="AA405" s="440">
        <v>0.0</v>
      </c>
      <c r="AB405" s="440">
        <v>0.0</v>
      </c>
      <c r="AC405" s="440">
        <v>0.0</v>
      </c>
      <c r="AD405" s="440">
        <v>0.0</v>
      </c>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441"/>
      <c r="AZ405" s="441"/>
      <c r="BA405" s="441"/>
      <c r="BB405" s="441"/>
      <c r="BC405" s="441"/>
      <c r="BD405" s="441"/>
      <c r="BE405" s="441"/>
      <c r="BF405" s="441"/>
    </row>
    <row r="406" hidden="1" outlineLevel="1">
      <c r="A406" s="624" t="s">
        <v>760</v>
      </c>
      <c r="B406" s="627"/>
      <c r="C406" s="627">
        <f t="shared" ref="C406:D406" si="207">C405/B405-1</f>
        <v>0.64</v>
      </c>
      <c r="D406" s="627">
        <f t="shared" si="207"/>
        <v>0.3902439024</v>
      </c>
      <c r="E406" s="616" t="s">
        <v>30</v>
      </c>
      <c r="F406" s="627">
        <f>F405/D405-1</f>
        <v>0.6315789474</v>
      </c>
      <c r="G406" s="627">
        <f t="shared" ref="G406:H406" si="208">G405/F405-1</f>
        <v>0.2150537634</v>
      </c>
      <c r="H406" s="627">
        <f t="shared" si="208"/>
        <v>0.1769911504</v>
      </c>
      <c r="I406" s="629"/>
      <c r="J406" s="616"/>
      <c r="K406" s="616"/>
      <c r="L406" s="618" t="str">
        <f>VLOOKUP(A406,'Механик'!$B$156:$H$163,6,FALSE)</f>
        <v>#N/A</v>
      </c>
      <c r="M406" s="620"/>
      <c r="N406" s="620" t="str">
        <f>VLOOKUP(A406,'Механик'!$B$156:$H$163,4,FALSE)</f>
        <v>#N/A</v>
      </c>
      <c r="O406" s="620"/>
      <c r="P406" s="620" t="s">
        <v>988</v>
      </c>
      <c r="Q406" s="621"/>
      <c r="R406" s="617"/>
      <c r="S406" s="617"/>
      <c r="T406" s="617"/>
      <c r="U406" s="517"/>
      <c r="V406" s="463"/>
      <c r="W406" s="463" t="s">
        <v>1050</v>
      </c>
      <c r="X406" s="440">
        <v>0.0</v>
      </c>
      <c r="Y406" s="440">
        <v>0.0</v>
      </c>
      <c r="Z406" s="440">
        <v>0.0</v>
      </c>
      <c r="AA406" s="440">
        <v>0.0</v>
      </c>
      <c r="AB406" s="440">
        <v>0.0</v>
      </c>
      <c r="AC406" s="440">
        <v>0.0</v>
      </c>
      <c r="AD406" s="440">
        <v>0.0</v>
      </c>
      <c r="AE406" s="441"/>
      <c r="AF406" s="441"/>
      <c r="AG406" s="441"/>
      <c r="AH406" s="441"/>
      <c r="AI406" s="441"/>
      <c r="AJ406" s="441"/>
      <c r="AK406" s="441"/>
      <c r="AL406" s="441"/>
      <c r="AM406" s="441"/>
      <c r="AN406" s="441"/>
      <c r="AO406" s="441"/>
      <c r="AP406" s="441"/>
      <c r="AQ406" s="441"/>
      <c r="AR406" s="441"/>
      <c r="AS406" s="441"/>
      <c r="AT406" s="441"/>
      <c r="AU406" s="441"/>
      <c r="AV406" s="441"/>
      <c r="AW406" s="441"/>
      <c r="AX406" s="441"/>
      <c r="AY406" s="441"/>
      <c r="AZ406" s="441"/>
      <c r="BA406" s="441"/>
      <c r="BB406" s="441"/>
      <c r="BC406" s="441"/>
      <c r="BD406" s="441"/>
      <c r="BE406" s="441"/>
      <c r="BF406" s="441"/>
    </row>
    <row r="407" ht="15.0" hidden="1" customHeight="1" outlineLevel="1">
      <c r="A407" s="624" t="s">
        <v>761</v>
      </c>
      <c r="B407" s="625">
        <v>40.0</v>
      </c>
      <c r="C407" s="625"/>
      <c r="D407" s="627"/>
      <c r="E407" s="616" t="s">
        <v>30</v>
      </c>
      <c r="F407" s="627"/>
      <c r="G407" s="627"/>
      <c r="H407" s="627"/>
      <c r="I407" s="629"/>
      <c r="J407" s="616"/>
      <c r="K407" s="616"/>
      <c r="L407" s="618" t="str">
        <f>VLOOKUP(A407,'Механик'!$B$156:$H$163,6,FALSE)</f>
        <v>#N/A</v>
      </c>
      <c r="M407" s="620"/>
      <c r="N407" s="620" t="str">
        <f>VLOOKUP(A407,'Механик'!$B$156:$H$163,4,FALSE)</f>
        <v>#N/A</v>
      </c>
      <c r="O407" s="620"/>
      <c r="P407" s="620" t="s">
        <v>988</v>
      </c>
      <c r="Q407" s="621"/>
      <c r="R407" s="617"/>
      <c r="S407" s="617"/>
      <c r="T407" s="617"/>
      <c r="U407" s="517"/>
      <c r="V407" s="463"/>
      <c r="W407" s="463" t="s">
        <v>1050</v>
      </c>
      <c r="X407" s="440">
        <v>0.0</v>
      </c>
      <c r="Y407" s="440">
        <v>0.0</v>
      </c>
      <c r="Z407" s="440">
        <v>0.0</v>
      </c>
      <c r="AA407" s="440">
        <v>0.0</v>
      </c>
      <c r="AB407" s="440">
        <v>0.0</v>
      </c>
      <c r="AC407" s="440">
        <v>0.0</v>
      </c>
      <c r="AD407" s="440">
        <v>0.0</v>
      </c>
      <c r="AE407" s="441"/>
      <c r="AF407" s="441"/>
      <c r="AG407" s="441"/>
      <c r="AH407" s="441"/>
      <c r="AI407" s="441"/>
      <c r="AJ407" s="441"/>
      <c r="AK407" s="441"/>
      <c r="AL407" s="441"/>
      <c r="AM407" s="441"/>
      <c r="AN407" s="441"/>
      <c r="AO407" s="441"/>
      <c r="AP407" s="441"/>
      <c r="AQ407" s="441"/>
      <c r="AR407" s="441"/>
      <c r="AS407" s="441"/>
      <c r="AT407" s="441"/>
      <c r="AU407" s="441"/>
      <c r="AV407" s="441"/>
      <c r="AW407" s="441"/>
      <c r="AX407" s="441"/>
      <c r="AY407" s="441"/>
      <c r="AZ407" s="441"/>
      <c r="BA407" s="441"/>
      <c r="BB407" s="441"/>
      <c r="BC407" s="441"/>
      <c r="BD407" s="441"/>
      <c r="BE407" s="441"/>
      <c r="BF407" s="441"/>
    </row>
    <row r="408" hidden="1" outlineLevel="1">
      <c r="A408" s="624" t="s">
        <v>762</v>
      </c>
      <c r="B408" s="628">
        <f t="shared" ref="B408:D408" si="209">B405/$B407</f>
        <v>0.3125</v>
      </c>
      <c r="C408" s="628">
        <f t="shared" si="209"/>
        <v>0.5125</v>
      </c>
      <c r="D408" s="628">
        <f t="shared" si="209"/>
        <v>0.7125</v>
      </c>
      <c r="E408" s="616" t="s">
        <v>30</v>
      </c>
      <c r="F408" s="628">
        <f t="shared" ref="F408:H408" si="210">F405/$B407</f>
        <v>1.1625</v>
      </c>
      <c r="G408" s="628">
        <f t="shared" si="210"/>
        <v>1.4125</v>
      </c>
      <c r="H408" s="628">
        <f t="shared" si="210"/>
        <v>1.6625</v>
      </c>
      <c r="I408" s="629"/>
      <c r="J408" s="616"/>
      <c r="K408" s="616"/>
      <c r="L408" s="618" t="str">
        <f>VLOOKUP(A408,'Механик'!$B$156:$H$163,6,FALSE)</f>
        <v>#N/A</v>
      </c>
      <c r="M408" s="620"/>
      <c r="N408" s="620" t="str">
        <f>VLOOKUP(A408,'Механик'!$B$156:$H$163,4,FALSE)</f>
        <v>#N/A</v>
      </c>
      <c r="O408" s="620"/>
      <c r="P408" s="620" t="s">
        <v>988</v>
      </c>
      <c r="Q408" s="621"/>
      <c r="R408" s="617"/>
      <c r="S408" s="617"/>
      <c r="T408" s="617"/>
      <c r="U408" s="517"/>
      <c r="V408" s="463"/>
      <c r="W408" s="463" t="s">
        <v>1050</v>
      </c>
      <c r="X408" s="440">
        <v>0.0</v>
      </c>
      <c r="Y408" s="440">
        <v>0.0</v>
      </c>
      <c r="Z408" s="440">
        <v>0.0</v>
      </c>
      <c r="AA408" s="440">
        <v>0.0</v>
      </c>
      <c r="AB408" s="440">
        <v>0.0</v>
      </c>
      <c r="AC408" s="440">
        <v>0.0</v>
      </c>
      <c r="AD408" s="440">
        <v>0.0</v>
      </c>
      <c r="AE408" s="441"/>
      <c r="AF408" s="441"/>
      <c r="AG408" s="441"/>
      <c r="AH408" s="441"/>
      <c r="AI408" s="441"/>
      <c r="AJ408" s="441"/>
      <c r="AK408" s="441"/>
      <c r="AL408" s="441"/>
      <c r="AM408" s="441"/>
      <c r="AN408" s="441"/>
      <c r="AO408" s="441"/>
      <c r="AP408" s="441"/>
      <c r="AQ408" s="441"/>
      <c r="AR408" s="441"/>
      <c r="AS408" s="441"/>
      <c r="AT408" s="441"/>
      <c r="AU408" s="441"/>
      <c r="AV408" s="441"/>
      <c r="AW408" s="441"/>
      <c r="AX408" s="441"/>
      <c r="AY408" s="441"/>
      <c r="AZ408" s="441"/>
      <c r="BA408" s="441"/>
      <c r="BB408" s="441"/>
      <c r="BC408" s="441"/>
      <c r="BD408" s="441"/>
      <c r="BE408" s="441"/>
      <c r="BF408" s="441"/>
    </row>
    <row r="409" collapsed="1">
      <c r="A409" s="630" t="s">
        <v>1063</v>
      </c>
      <c r="B409" s="616" t="s">
        <v>843</v>
      </c>
      <c r="C409" s="616" t="s">
        <v>1037</v>
      </c>
      <c r="D409" s="616" t="s">
        <v>854</v>
      </c>
      <c r="E409" s="616" t="s">
        <v>30</v>
      </c>
      <c r="F409" s="616" t="s">
        <v>1038</v>
      </c>
      <c r="G409" s="616" t="s">
        <v>1039</v>
      </c>
      <c r="H409" s="616" t="s">
        <v>1040</v>
      </c>
      <c r="I409" s="617" t="s">
        <v>770</v>
      </c>
      <c r="J409" s="616">
        <v>-3.0</v>
      </c>
      <c r="K409" s="616">
        <v>12.0</v>
      </c>
      <c r="L409" s="618">
        <f>VLOOKUP(A409,'Механик'!$B$156:$H$163,6,FALSE)</f>
        <v>0.42</v>
      </c>
      <c r="M409" s="619" t="s">
        <v>1064</v>
      </c>
      <c r="N409" s="620">
        <f>VLOOKUP(A409,'Механик'!$B$156:$H$163,4,FALSE)</f>
        <v>7</v>
      </c>
      <c r="O409" s="620">
        <v>8.0</v>
      </c>
      <c r="P409" s="619" t="s">
        <v>1047</v>
      </c>
      <c r="Q409" s="621"/>
      <c r="R409" s="631" t="s">
        <v>1065</v>
      </c>
      <c r="S409" s="622" t="s">
        <v>1049</v>
      </c>
      <c r="T409" s="622">
        <v>6.0</v>
      </c>
      <c r="U409" s="517"/>
      <c r="V409" s="463"/>
      <c r="W409" s="463" t="s">
        <v>1044</v>
      </c>
      <c r="X409" s="440">
        <v>0.0</v>
      </c>
      <c r="Y409" s="440">
        <v>0.0</v>
      </c>
      <c r="Z409" s="440">
        <v>0.0</v>
      </c>
      <c r="AA409" s="440">
        <v>0.0</v>
      </c>
      <c r="AB409" s="440">
        <v>0.0</v>
      </c>
      <c r="AC409" s="440">
        <v>0.0</v>
      </c>
      <c r="AD409" s="440">
        <v>0.0</v>
      </c>
      <c r="AE409" s="441"/>
      <c r="AF409" s="441"/>
      <c r="AG409" s="441"/>
      <c r="AH409" s="441"/>
      <c r="AI409" s="441"/>
      <c r="AJ409" s="441"/>
      <c r="AK409" s="441"/>
      <c r="AL409" s="441"/>
      <c r="AM409" s="441"/>
      <c r="AN409" s="441"/>
      <c r="AO409" s="441"/>
      <c r="AP409" s="441"/>
      <c r="AQ409" s="441"/>
      <c r="AR409" s="441"/>
      <c r="AS409" s="441"/>
      <c r="AT409" s="441"/>
      <c r="AU409" s="441"/>
      <c r="AV409" s="441"/>
      <c r="AW409" s="441"/>
      <c r="AX409" s="441"/>
      <c r="AY409" s="441"/>
      <c r="AZ409" s="441"/>
      <c r="BA409" s="441"/>
      <c r="BB409" s="441"/>
      <c r="BC409" s="441"/>
      <c r="BD409" s="441"/>
      <c r="BE409" s="441"/>
      <c r="BF409" s="441"/>
    </row>
    <row r="410" ht="15.0" hidden="1" customHeight="1" outlineLevel="1">
      <c r="A410" s="624" t="s">
        <v>756</v>
      </c>
      <c r="B410" s="625">
        <v>2.0</v>
      </c>
      <c r="C410" s="625">
        <v>2.0</v>
      </c>
      <c r="D410" s="625">
        <v>2.0</v>
      </c>
      <c r="E410" s="616" t="s">
        <v>30</v>
      </c>
      <c r="F410" s="625">
        <v>2.0</v>
      </c>
      <c r="G410" s="625">
        <v>2.0</v>
      </c>
      <c r="H410" s="625">
        <v>2.0</v>
      </c>
      <c r="I410" s="617"/>
      <c r="J410" s="616"/>
      <c r="K410" s="616"/>
      <c r="L410" s="618" t="str">
        <f>VLOOKUP(A410,'Механик'!$B$156:$H$163,6,FALSE)</f>
        <v>#N/A</v>
      </c>
      <c r="M410" s="620"/>
      <c r="N410" s="620" t="str">
        <f>VLOOKUP(A410,'Механик'!$B$156:$H$163,4,FALSE)</f>
        <v>#N/A</v>
      </c>
      <c r="O410" s="620"/>
      <c r="P410" s="620"/>
      <c r="Q410" s="621"/>
      <c r="R410" s="629"/>
      <c r="S410" s="617"/>
      <c r="T410" s="617"/>
      <c r="U410" s="517"/>
      <c r="V410" s="463"/>
      <c r="W410" s="463" t="s">
        <v>1050</v>
      </c>
      <c r="X410" s="440">
        <v>0.0</v>
      </c>
      <c r="Y410" s="440">
        <v>0.0</v>
      </c>
      <c r="Z410" s="440">
        <v>0.0</v>
      </c>
      <c r="AA410" s="440">
        <v>0.0</v>
      </c>
      <c r="AB410" s="440">
        <v>0.0</v>
      </c>
      <c r="AC410" s="440">
        <v>0.0</v>
      </c>
      <c r="AD410" s="440">
        <v>0.0</v>
      </c>
      <c r="AE410" s="441"/>
      <c r="AF410" s="441"/>
      <c r="AG410" s="441"/>
      <c r="AH410" s="441"/>
      <c r="AI410" s="441"/>
      <c r="AJ410" s="441"/>
      <c r="AK410" s="441"/>
      <c r="AL410" s="441"/>
      <c r="AM410" s="441"/>
      <c r="AN410" s="441"/>
      <c r="AO410" s="441"/>
      <c r="AP410" s="441"/>
      <c r="AQ410" s="441"/>
      <c r="AR410" s="441"/>
      <c r="AS410" s="441"/>
      <c r="AT410" s="441"/>
      <c r="AU410" s="441"/>
      <c r="AV410" s="441"/>
      <c r="AW410" s="441"/>
      <c r="AX410" s="441"/>
      <c r="AY410" s="441"/>
      <c r="AZ410" s="441"/>
      <c r="BA410" s="441"/>
      <c r="BB410" s="441"/>
      <c r="BC410" s="441"/>
      <c r="BD410" s="441"/>
      <c r="BE410" s="441"/>
      <c r="BF410" s="441"/>
    </row>
    <row r="411" ht="15.0" hidden="1" customHeight="1" outlineLevel="1">
      <c r="A411" s="624" t="s">
        <v>757</v>
      </c>
      <c r="B411" s="625">
        <v>12.0</v>
      </c>
      <c r="C411" s="625">
        <v>12.0</v>
      </c>
      <c r="D411" s="625">
        <v>16.0</v>
      </c>
      <c r="E411" s="616" t="s">
        <v>30</v>
      </c>
      <c r="F411" s="625">
        <v>20.0</v>
      </c>
      <c r="G411" s="625">
        <v>20.0</v>
      </c>
      <c r="H411" s="625">
        <v>24.0</v>
      </c>
      <c r="I411" s="617"/>
      <c r="J411" s="616"/>
      <c r="K411" s="616"/>
      <c r="L411" s="618" t="str">
        <f>VLOOKUP(A411,'Механик'!$B$156:$H$163,6,FALSE)</f>
        <v>#N/A</v>
      </c>
      <c r="M411" s="620"/>
      <c r="N411" s="620" t="str">
        <f>VLOOKUP(A411,'Механик'!$B$156:$H$163,4,FALSE)</f>
        <v>#N/A</v>
      </c>
      <c r="O411" s="620"/>
      <c r="P411" s="620"/>
      <c r="Q411" s="621"/>
      <c r="R411" s="629"/>
      <c r="S411" s="617"/>
      <c r="T411" s="617"/>
      <c r="U411" s="517"/>
      <c r="V411" s="463"/>
      <c r="W411" s="463" t="s">
        <v>1050</v>
      </c>
      <c r="X411" s="440">
        <v>0.0</v>
      </c>
      <c r="Y411" s="440">
        <v>0.0</v>
      </c>
      <c r="Z411" s="440">
        <v>0.0</v>
      </c>
      <c r="AA411" s="440">
        <v>0.0</v>
      </c>
      <c r="AB411" s="440">
        <v>0.0</v>
      </c>
      <c r="AC411" s="440">
        <v>0.0</v>
      </c>
      <c r="AD411" s="440">
        <v>0.0</v>
      </c>
      <c r="AE411" s="441"/>
      <c r="AF411" s="441"/>
      <c r="AG411" s="441"/>
      <c r="AH411" s="441"/>
      <c r="AI411" s="441"/>
      <c r="AJ411" s="441"/>
      <c r="AK411" s="441"/>
      <c r="AL411" s="441"/>
      <c r="AM411" s="441"/>
      <c r="AN411" s="441"/>
      <c r="AO411" s="441"/>
      <c r="AP411" s="441"/>
      <c r="AQ411" s="441"/>
      <c r="AR411" s="441"/>
      <c r="AS411" s="441"/>
      <c r="AT411" s="441"/>
      <c r="AU411" s="441"/>
      <c r="AV411" s="441"/>
      <c r="AW411" s="441"/>
      <c r="AX411" s="441"/>
      <c r="AY411" s="441"/>
      <c r="AZ411" s="441"/>
      <c r="BA411" s="441"/>
      <c r="BB411" s="441"/>
      <c r="BC411" s="441"/>
      <c r="BD411" s="441"/>
      <c r="BE411" s="441"/>
      <c r="BF411" s="441"/>
    </row>
    <row r="412" ht="15.0" hidden="1" customHeight="1" outlineLevel="1">
      <c r="A412" s="624" t="s">
        <v>758</v>
      </c>
      <c r="B412" s="625">
        <v>1.0</v>
      </c>
      <c r="C412" s="625">
        <v>8.0</v>
      </c>
      <c r="D412" s="625">
        <v>13.0</v>
      </c>
      <c r="E412" s="616" t="s">
        <v>30</v>
      </c>
      <c r="F412" s="625">
        <v>27.0</v>
      </c>
      <c r="G412" s="625">
        <v>36.0</v>
      </c>
      <c r="H412" s="625">
        <v>43.0</v>
      </c>
      <c r="I412" s="617"/>
      <c r="J412" s="616"/>
      <c r="K412" s="616"/>
      <c r="L412" s="618" t="str">
        <f>VLOOKUP(A412,'Механик'!$B$156:$H$163,6,FALSE)</f>
        <v>#N/A</v>
      </c>
      <c r="M412" s="620"/>
      <c r="N412" s="620" t="str">
        <f>VLOOKUP(A412,'Механик'!$B$156:$H$163,4,FALSE)</f>
        <v>#N/A</v>
      </c>
      <c r="O412" s="620"/>
      <c r="P412" s="620"/>
      <c r="Q412" s="621"/>
      <c r="R412" s="629"/>
      <c r="S412" s="617"/>
      <c r="T412" s="617"/>
      <c r="U412" s="517"/>
      <c r="V412" s="463"/>
      <c r="W412" s="463" t="s">
        <v>1050</v>
      </c>
      <c r="X412" s="440">
        <v>0.0</v>
      </c>
      <c r="Y412" s="440">
        <v>0.0</v>
      </c>
      <c r="Z412" s="440">
        <v>0.0</v>
      </c>
      <c r="AA412" s="440">
        <v>0.0</v>
      </c>
      <c r="AB412" s="440">
        <v>0.0</v>
      </c>
      <c r="AC412" s="440">
        <v>0.0</v>
      </c>
      <c r="AD412" s="440">
        <v>0.0</v>
      </c>
      <c r="AE412" s="441"/>
      <c r="AF412" s="441"/>
      <c r="AG412" s="441"/>
      <c r="AH412" s="441"/>
      <c r="AI412" s="441"/>
      <c r="AJ412" s="441"/>
      <c r="AK412" s="441"/>
      <c r="AL412" s="441"/>
      <c r="AM412" s="441"/>
      <c r="AN412" s="441"/>
      <c r="AO412" s="441"/>
      <c r="AP412" s="441"/>
      <c r="AQ412" s="441"/>
      <c r="AR412" s="441"/>
      <c r="AS412" s="441"/>
      <c r="AT412" s="441"/>
      <c r="AU412" s="441"/>
      <c r="AV412" s="441"/>
      <c r="AW412" s="441"/>
      <c r="AX412" s="441"/>
      <c r="AY412" s="441"/>
      <c r="AZ412" s="441"/>
      <c r="BA412" s="441"/>
      <c r="BB412" s="441"/>
      <c r="BC412" s="441"/>
      <c r="BD412" s="441"/>
      <c r="BE412" s="441"/>
      <c r="BF412" s="441"/>
    </row>
    <row r="413" ht="15.0" hidden="1" customHeight="1" outlineLevel="1">
      <c r="A413" s="624" t="s">
        <v>759</v>
      </c>
      <c r="B413" s="625">
        <f t="shared" ref="B413:D413" si="211">(B410+B411)/2+B412</f>
        <v>8</v>
      </c>
      <c r="C413" s="625">
        <f t="shared" si="211"/>
        <v>15</v>
      </c>
      <c r="D413" s="625">
        <f t="shared" si="211"/>
        <v>22</v>
      </c>
      <c r="E413" s="616" t="s">
        <v>30</v>
      </c>
      <c r="F413" s="625">
        <f t="shared" ref="F413:H413" si="212">(F410+F411)/2+F412</f>
        <v>38</v>
      </c>
      <c r="G413" s="625">
        <f t="shared" si="212"/>
        <v>47</v>
      </c>
      <c r="H413" s="625">
        <f t="shared" si="212"/>
        <v>56</v>
      </c>
      <c r="I413" s="617"/>
      <c r="J413" s="616"/>
      <c r="K413" s="616"/>
      <c r="L413" s="618" t="str">
        <f>VLOOKUP(A413,'Механик'!$B$156:$H$163,6,FALSE)</f>
        <v>#N/A</v>
      </c>
      <c r="M413" s="620"/>
      <c r="N413" s="620" t="str">
        <f>VLOOKUP(A413,'Механик'!$B$156:$H$163,4,FALSE)</f>
        <v>#N/A</v>
      </c>
      <c r="O413" s="620"/>
      <c r="P413" s="620"/>
      <c r="Q413" s="621"/>
      <c r="R413" s="629"/>
      <c r="S413" s="617"/>
      <c r="T413" s="617"/>
      <c r="U413" s="517"/>
      <c r="V413" s="463"/>
      <c r="W413" s="463" t="s">
        <v>1050</v>
      </c>
      <c r="X413" s="440">
        <v>0.0</v>
      </c>
      <c r="Y413" s="440">
        <v>0.0</v>
      </c>
      <c r="Z413" s="440">
        <v>0.0</v>
      </c>
      <c r="AA413" s="440">
        <v>0.0</v>
      </c>
      <c r="AB413" s="440">
        <v>0.0</v>
      </c>
      <c r="AC413" s="440">
        <v>0.0</v>
      </c>
      <c r="AD413" s="440">
        <v>0.0</v>
      </c>
      <c r="AE413" s="441"/>
      <c r="AF413" s="441"/>
      <c r="AG413" s="441"/>
      <c r="AH413" s="441"/>
      <c r="AI413" s="441"/>
      <c r="AJ413" s="441"/>
      <c r="AK413" s="441"/>
      <c r="AL413" s="441"/>
      <c r="AM413" s="441"/>
      <c r="AN413" s="441"/>
      <c r="AO413" s="441"/>
      <c r="AP413" s="441"/>
      <c r="AQ413" s="441"/>
      <c r="AR413" s="441"/>
      <c r="AS413" s="441"/>
      <c r="AT413" s="441"/>
      <c r="AU413" s="441"/>
      <c r="AV413" s="441"/>
      <c r="AW413" s="441"/>
      <c r="AX413" s="441"/>
      <c r="AY413" s="441"/>
      <c r="AZ413" s="441"/>
      <c r="BA413" s="441"/>
      <c r="BB413" s="441"/>
      <c r="BC413" s="441"/>
      <c r="BD413" s="441"/>
      <c r="BE413" s="441"/>
      <c r="BF413" s="441"/>
    </row>
    <row r="414" ht="15.0" hidden="1" customHeight="1" outlineLevel="1">
      <c r="A414" s="624" t="s">
        <v>760</v>
      </c>
      <c r="B414" s="627"/>
      <c r="C414" s="627">
        <f t="shared" ref="C414:D414" si="213">C413/B413-1</f>
        <v>0.875</v>
      </c>
      <c r="D414" s="627">
        <f t="shared" si="213"/>
        <v>0.4666666667</v>
      </c>
      <c r="E414" s="616" t="s">
        <v>30</v>
      </c>
      <c r="F414" s="627">
        <f>F413/D413-1</f>
        <v>0.7272727273</v>
      </c>
      <c r="G414" s="627">
        <f t="shared" ref="G414:H414" si="214">G413/F413-1</f>
        <v>0.2368421053</v>
      </c>
      <c r="H414" s="627">
        <f t="shared" si="214"/>
        <v>0.1914893617</v>
      </c>
      <c r="I414" s="617"/>
      <c r="J414" s="616"/>
      <c r="K414" s="616"/>
      <c r="L414" s="618" t="str">
        <f>VLOOKUP(A414,'Механик'!$B$156:$H$163,6,FALSE)</f>
        <v>#N/A</v>
      </c>
      <c r="M414" s="620"/>
      <c r="N414" s="620" t="str">
        <f>VLOOKUP(A414,'Механик'!$B$156:$H$163,4,FALSE)</f>
        <v>#N/A</v>
      </c>
      <c r="O414" s="620"/>
      <c r="P414" s="620"/>
      <c r="Q414" s="621"/>
      <c r="R414" s="629"/>
      <c r="S414" s="617"/>
      <c r="T414" s="617"/>
      <c r="U414" s="517"/>
      <c r="V414" s="463"/>
      <c r="W414" s="463" t="s">
        <v>1050</v>
      </c>
      <c r="X414" s="440">
        <v>0.0</v>
      </c>
      <c r="Y414" s="440">
        <v>0.0</v>
      </c>
      <c r="Z414" s="440">
        <v>0.0</v>
      </c>
      <c r="AA414" s="440">
        <v>0.0</v>
      </c>
      <c r="AB414" s="440">
        <v>0.0</v>
      </c>
      <c r="AC414" s="440">
        <v>0.0</v>
      </c>
      <c r="AD414" s="440">
        <v>0.0</v>
      </c>
      <c r="AE414" s="441"/>
      <c r="AF414" s="441"/>
      <c r="AG414" s="441"/>
      <c r="AH414" s="441"/>
      <c r="AI414" s="441"/>
      <c r="AJ414" s="441"/>
      <c r="AK414" s="441"/>
      <c r="AL414" s="441"/>
      <c r="AM414" s="441"/>
      <c r="AN414" s="441"/>
      <c r="AO414" s="441"/>
      <c r="AP414" s="441"/>
      <c r="AQ414" s="441"/>
      <c r="AR414" s="441"/>
      <c r="AS414" s="441"/>
      <c r="AT414" s="441"/>
      <c r="AU414" s="441"/>
      <c r="AV414" s="441"/>
      <c r="AW414" s="441"/>
      <c r="AX414" s="441"/>
      <c r="AY414" s="441"/>
      <c r="AZ414" s="441"/>
      <c r="BA414" s="441"/>
      <c r="BB414" s="441"/>
      <c r="BC414" s="441"/>
      <c r="BD414" s="441"/>
      <c r="BE414" s="441"/>
      <c r="BF414" s="441"/>
    </row>
    <row r="415" ht="15.0" hidden="1" customHeight="1" outlineLevel="1">
      <c r="A415" s="624" t="s">
        <v>761</v>
      </c>
      <c r="B415" s="625">
        <v>12.0</v>
      </c>
      <c r="C415" s="625"/>
      <c r="D415" s="627"/>
      <c r="E415" s="616" t="s">
        <v>30</v>
      </c>
      <c r="F415" s="627"/>
      <c r="G415" s="627"/>
      <c r="H415" s="627"/>
      <c r="I415" s="617"/>
      <c r="J415" s="616"/>
      <c r="K415" s="616"/>
      <c r="L415" s="618" t="str">
        <f>VLOOKUP(A415,'Механик'!$B$156:$H$163,6,FALSE)</f>
        <v>#N/A</v>
      </c>
      <c r="M415" s="620"/>
      <c r="N415" s="620" t="str">
        <f>VLOOKUP(A415,'Механик'!$B$156:$H$163,4,FALSE)</f>
        <v>#N/A</v>
      </c>
      <c r="O415" s="620"/>
      <c r="P415" s="620"/>
      <c r="Q415" s="621"/>
      <c r="R415" s="629"/>
      <c r="S415" s="617"/>
      <c r="T415" s="617"/>
      <c r="U415" s="517"/>
      <c r="V415" s="463"/>
      <c r="W415" s="463" t="s">
        <v>1050</v>
      </c>
      <c r="X415" s="440">
        <v>0.0</v>
      </c>
      <c r="Y415" s="440">
        <v>0.0</v>
      </c>
      <c r="Z415" s="440">
        <v>0.0</v>
      </c>
      <c r="AA415" s="440">
        <v>0.0</v>
      </c>
      <c r="AB415" s="440">
        <v>0.0</v>
      </c>
      <c r="AC415" s="440">
        <v>0.0</v>
      </c>
      <c r="AD415" s="440">
        <v>0.0</v>
      </c>
      <c r="AE415" s="441"/>
      <c r="AF415" s="441"/>
      <c r="AG415" s="441"/>
      <c r="AH415" s="441"/>
      <c r="AI415" s="441"/>
      <c r="AJ415" s="441"/>
      <c r="AK415" s="441"/>
      <c r="AL415" s="441"/>
      <c r="AM415" s="441"/>
      <c r="AN415" s="441"/>
      <c r="AO415" s="441"/>
      <c r="AP415" s="441"/>
      <c r="AQ415" s="441"/>
      <c r="AR415" s="441"/>
      <c r="AS415" s="441"/>
      <c r="AT415" s="441"/>
      <c r="AU415" s="441"/>
      <c r="AV415" s="441"/>
      <c r="AW415" s="441"/>
      <c r="AX415" s="441"/>
      <c r="AY415" s="441"/>
      <c r="AZ415" s="441"/>
      <c r="BA415" s="441"/>
      <c r="BB415" s="441"/>
      <c r="BC415" s="441"/>
      <c r="BD415" s="441"/>
      <c r="BE415" s="441"/>
      <c r="BF415" s="441"/>
    </row>
    <row r="416" ht="15.0" hidden="1" customHeight="1" outlineLevel="1">
      <c r="A416" s="624" t="s">
        <v>762</v>
      </c>
      <c r="B416" s="628">
        <f t="shared" ref="B416:D416" si="215">B413/$B415</f>
        <v>0.6666666667</v>
      </c>
      <c r="C416" s="628">
        <f t="shared" si="215"/>
        <v>1.25</v>
      </c>
      <c r="D416" s="628">
        <f t="shared" si="215"/>
        <v>1.833333333</v>
      </c>
      <c r="E416" s="616" t="s">
        <v>30</v>
      </c>
      <c r="F416" s="628">
        <f t="shared" ref="F416:H416" si="216">F413/$B415</f>
        <v>3.166666667</v>
      </c>
      <c r="G416" s="628">
        <f t="shared" si="216"/>
        <v>3.916666667</v>
      </c>
      <c r="H416" s="628">
        <f t="shared" si="216"/>
        <v>4.666666667</v>
      </c>
      <c r="I416" s="617"/>
      <c r="J416" s="616"/>
      <c r="K416" s="616"/>
      <c r="L416" s="618" t="str">
        <f>VLOOKUP(A416,'Механик'!$B$156:$H$163,6,FALSE)</f>
        <v>#N/A</v>
      </c>
      <c r="M416" s="620"/>
      <c r="N416" s="620" t="str">
        <f>VLOOKUP(A416,'Механик'!$B$156:$H$163,4,FALSE)</f>
        <v>#N/A</v>
      </c>
      <c r="O416" s="620"/>
      <c r="P416" s="620"/>
      <c r="Q416" s="621"/>
      <c r="R416" s="629"/>
      <c r="S416" s="617"/>
      <c r="T416" s="617"/>
      <c r="U416" s="517"/>
      <c r="V416" s="463"/>
      <c r="W416" s="463" t="s">
        <v>1050</v>
      </c>
      <c r="X416" s="440">
        <v>0.0</v>
      </c>
      <c r="Y416" s="440">
        <v>0.0</v>
      </c>
      <c r="Z416" s="440">
        <v>0.0</v>
      </c>
      <c r="AA416" s="440">
        <v>0.0</v>
      </c>
      <c r="AB416" s="440">
        <v>0.0</v>
      </c>
      <c r="AC416" s="440">
        <v>0.0</v>
      </c>
      <c r="AD416" s="440">
        <v>0.0</v>
      </c>
      <c r="AE416" s="441"/>
      <c r="AF416" s="441"/>
      <c r="AG416" s="441"/>
      <c r="AH416" s="441"/>
      <c r="AI416" s="441"/>
      <c r="AJ416" s="441"/>
      <c r="AK416" s="441"/>
      <c r="AL416" s="441"/>
      <c r="AM416" s="441"/>
      <c r="AN416" s="441"/>
      <c r="AO416" s="441"/>
      <c r="AP416" s="441"/>
      <c r="AQ416" s="441"/>
      <c r="AR416" s="441"/>
      <c r="AS416" s="441"/>
      <c r="AT416" s="441"/>
      <c r="AU416" s="441"/>
      <c r="AV416" s="441"/>
      <c r="AW416" s="441"/>
      <c r="AX416" s="441"/>
      <c r="AY416" s="441"/>
      <c r="AZ416" s="441"/>
      <c r="BA416" s="441"/>
      <c r="BB416" s="441"/>
      <c r="BC416" s="441"/>
      <c r="BD416" s="441"/>
      <c r="BE416" s="441"/>
      <c r="BF416" s="441"/>
    </row>
    <row r="417" collapsed="1">
      <c r="A417" s="615" t="s">
        <v>1066</v>
      </c>
      <c r="B417" s="616" t="s">
        <v>1052</v>
      </c>
      <c r="C417" s="616" t="s">
        <v>820</v>
      </c>
      <c r="D417" s="616" t="s">
        <v>1053</v>
      </c>
      <c r="E417" s="616" t="s">
        <v>30</v>
      </c>
      <c r="F417" s="616" t="s">
        <v>1054</v>
      </c>
      <c r="G417" s="616" t="s">
        <v>1055</v>
      </c>
      <c r="H417" s="616" t="s">
        <v>1056</v>
      </c>
      <c r="I417" s="617" t="s">
        <v>770</v>
      </c>
      <c r="J417" s="616">
        <v>-2.0</v>
      </c>
      <c r="K417" s="616">
        <v>16.0</v>
      </c>
      <c r="L417" s="618">
        <f>VLOOKUP(A417,'Механик'!$B$156:$H$163,6,FALSE)</f>
        <v>0.7</v>
      </c>
      <c r="M417" s="619" t="s">
        <v>1064</v>
      </c>
      <c r="N417" s="620">
        <f>VLOOKUP(A417,'Механик'!$B$156:$H$163,4,FALSE)</f>
        <v>14</v>
      </c>
      <c r="O417" s="620">
        <v>14.0</v>
      </c>
      <c r="P417" s="619" t="s">
        <v>859</v>
      </c>
      <c r="Q417" s="621"/>
      <c r="R417" s="622" t="s">
        <v>1067</v>
      </c>
      <c r="S417" s="622" t="s">
        <v>1057</v>
      </c>
      <c r="T417" s="622">
        <v>16.0</v>
      </c>
      <c r="U417" s="517"/>
      <c r="V417" s="463"/>
      <c r="W417" s="463" t="s">
        <v>1044</v>
      </c>
      <c r="X417" s="440">
        <v>0.0</v>
      </c>
      <c r="Y417" s="440">
        <v>0.0</v>
      </c>
      <c r="Z417" s="440">
        <v>0.0</v>
      </c>
      <c r="AA417" s="440">
        <v>0.0</v>
      </c>
      <c r="AB417" s="440">
        <v>0.0</v>
      </c>
      <c r="AC417" s="440">
        <v>0.0</v>
      </c>
      <c r="AD417" s="440">
        <v>0.0</v>
      </c>
      <c r="AE417" s="441"/>
      <c r="AF417" s="441"/>
      <c r="AG417" s="441"/>
      <c r="AH417" s="441"/>
      <c r="AI417" s="441"/>
      <c r="AJ417" s="441"/>
      <c r="AK417" s="441"/>
      <c r="AL417" s="441"/>
      <c r="AM417" s="441"/>
      <c r="AN417" s="441"/>
      <c r="AO417" s="441"/>
      <c r="AP417" s="441"/>
      <c r="AQ417" s="441"/>
      <c r="AR417" s="441"/>
      <c r="AS417" s="441"/>
      <c r="AT417" s="441"/>
      <c r="AU417" s="441"/>
      <c r="AV417" s="441"/>
      <c r="AW417" s="441"/>
      <c r="AX417" s="441"/>
      <c r="AY417" s="441"/>
      <c r="AZ417" s="441"/>
      <c r="BA417" s="441"/>
      <c r="BB417" s="441"/>
      <c r="BC417" s="441"/>
      <c r="BD417" s="441"/>
      <c r="BE417" s="441"/>
      <c r="BF417" s="441"/>
    </row>
    <row r="418" hidden="1" outlineLevel="1">
      <c r="A418" s="624" t="s">
        <v>756</v>
      </c>
      <c r="B418" s="625">
        <v>3.0</v>
      </c>
      <c r="C418" s="625">
        <v>3.0</v>
      </c>
      <c r="D418" s="625">
        <v>3.0</v>
      </c>
      <c r="E418" s="616" t="s">
        <v>30</v>
      </c>
      <c r="F418" s="625">
        <v>3.0</v>
      </c>
      <c r="G418" s="625">
        <v>3.0</v>
      </c>
      <c r="H418" s="625">
        <v>3.0</v>
      </c>
      <c r="I418" s="617"/>
      <c r="J418" s="616"/>
      <c r="K418" s="616"/>
      <c r="L418" s="618"/>
      <c r="M418" s="620"/>
      <c r="N418" s="620"/>
      <c r="O418" s="620"/>
      <c r="P418" s="620"/>
      <c r="Q418" s="621"/>
      <c r="R418" s="617"/>
      <c r="S418" s="617"/>
      <c r="T418" s="617"/>
      <c r="U418" s="517"/>
      <c r="V418" s="438"/>
      <c r="W418" s="438"/>
      <c r="X418" s="467"/>
      <c r="Y418" s="467"/>
      <c r="Z418" s="467"/>
      <c r="AA418" s="467"/>
      <c r="AB418" s="467"/>
      <c r="AC418" s="438"/>
      <c r="AD418" s="438"/>
      <c r="AE418" s="441"/>
      <c r="AF418" s="441"/>
      <c r="AG418" s="441"/>
      <c r="AH418" s="441"/>
      <c r="AI418" s="441"/>
      <c r="AJ418" s="441"/>
      <c r="AK418" s="441"/>
      <c r="AL418" s="441"/>
      <c r="AM418" s="441"/>
      <c r="AN418" s="441"/>
      <c r="AO418" s="441"/>
      <c r="AP418" s="441"/>
      <c r="AQ418" s="441"/>
      <c r="AR418" s="441"/>
      <c r="AS418" s="441"/>
      <c r="AT418" s="441"/>
      <c r="AU418" s="441"/>
      <c r="AV418" s="441"/>
      <c r="AW418" s="441"/>
      <c r="AX418" s="441"/>
      <c r="AY418" s="441"/>
      <c r="AZ418" s="441"/>
      <c r="BA418" s="441"/>
      <c r="BB418" s="441"/>
      <c r="BC418" s="441"/>
      <c r="BD418" s="441"/>
      <c r="BE418" s="441"/>
      <c r="BF418" s="441"/>
    </row>
    <row r="419" hidden="1" outlineLevel="1">
      <c r="A419" s="624" t="s">
        <v>757</v>
      </c>
      <c r="B419" s="625">
        <v>18.0</v>
      </c>
      <c r="C419" s="625">
        <v>18.0</v>
      </c>
      <c r="D419" s="625">
        <v>24.0</v>
      </c>
      <c r="E419" s="616" t="s">
        <v>30</v>
      </c>
      <c r="F419" s="625">
        <v>30.0</v>
      </c>
      <c r="G419" s="625">
        <v>30.0</v>
      </c>
      <c r="H419" s="625">
        <v>36.0</v>
      </c>
      <c r="I419" s="617"/>
      <c r="J419" s="616"/>
      <c r="K419" s="616"/>
      <c r="L419" s="618"/>
      <c r="M419" s="620"/>
      <c r="N419" s="620"/>
      <c r="O419" s="620"/>
      <c r="P419" s="620"/>
      <c r="Q419" s="621"/>
      <c r="R419" s="617"/>
      <c r="S419" s="617"/>
      <c r="T419" s="617"/>
      <c r="U419" s="517"/>
      <c r="V419" s="438"/>
      <c r="W419" s="438"/>
      <c r="X419" s="467"/>
      <c r="Y419" s="467"/>
      <c r="Z419" s="467"/>
      <c r="AA419" s="467"/>
      <c r="AB419" s="467"/>
      <c r="AC419" s="438"/>
      <c r="AD419" s="438"/>
      <c r="AE419" s="441"/>
      <c r="AF419" s="441"/>
      <c r="AG419" s="441"/>
      <c r="AH419" s="441"/>
      <c r="AI419" s="441"/>
      <c r="AJ419" s="441"/>
      <c r="AK419" s="441"/>
      <c r="AL419" s="441"/>
      <c r="AM419" s="441"/>
      <c r="AN419" s="441"/>
      <c r="AO419" s="441"/>
      <c r="AP419" s="441"/>
      <c r="AQ419" s="441"/>
      <c r="AR419" s="441"/>
      <c r="AS419" s="441"/>
      <c r="AT419" s="441"/>
      <c r="AU419" s="441"/>
      <c r="AV419" s="441"/>
      <c r="AW419" s="441"/>
      <c r="AX419" s="441"/>
      <c r="AY419" s="441"/>
      <c r="AZ419" s="441"/>
      <c r="BA419" s="441"/>
      <c r="BB419" s="441"/>
      <c r="BC419" s="441"/>
      <c r="BD419" s="441"/>
      <c r="BE419" s="441"/>
      <c r="BF419" s="441"/>
    </row>
    <row r="420" hidden="1" outlineLevel="1">
      <c r="A420" s="624" t="s">
        <v>758</v>
      </c>
      <c r="B420" s="625">
        <v>2.0</v>
      </c>
      <c r="C420" s="625">
        <v>10.0</v>
      </c>
      <c r="D420" s="625">
        <v>15.0</v>
      </c>
      <c r="E420" s="616" t="s">
        <v>30</v>
      </c>
      <c r="F420" s="625">
        <v>30.0</v>
      </c>
      <c r="G420" s="625">
        <v>40.0</v>
      </c>
      <c r="H420" s="625">
        <v>47.0</v>
      </c>
      <c r="I420" s="617"/>
      <c r="J420" s="616"/>
      <c r="K420" s="616"/>
      <c r="L420" s="618"/>
      <c r="M420" s="620"/>
      <c r="N420" s="620"/>
      <c r="O420" s="620"/>
      <c r="P420" s="620"/>
      <c r="Q420" s="621"/>
      <c r="R420" s="617"/>
      <c r="S420" s="617"/>
      <c r="T420" s="617"/>
      <c r="U420" s="517"/>
      <c r="V420" s="438"/>
      <c r="W420" s="438"/>
      <c r="X420" s="467"/>
      <c r="Y420" s="467"/>
      <c r="Z420" s="467"/>
      <c r="AA420" s="467"/>
      <c r="AB420" s="467"/>
      <c r="AC420" s="438"/>
      <c r="AD420" s="438"/>
      <c r="AE420" s="441"/>
      <c r="AF420" s="441"/>
      <c r="AG420" s="441"/>
      <c r="AH420" s="441"/>
      <c r="AI420" s="441"/>
      <c r="AJ420" s="441"/>
      <c r="AK420" s="441"/>
      <c r="AL420" s="441"/>
      <c r="AM420" s="441"/>
      <c r="AN420" s="441"/>
      <c r="AO420" s="441"/>
      <c r="AP420" s="441"/>
      <c r="AQ420" s="441"/>
      <c r="AR420" s="441"/>
      <c r="AS420" s="441"/>
      <c r="AT420" s="441"/>
      <c r="AU420" s="441"/>
      <c r="AV420" s="441"/>
      <c r="AW420" s="441"/>
      <c r="AX420" s="441"/>
      <c r="AY420" s="441"/>
      <c r="AZ420" s="441"/>
      <c r="BA420" s="441"/>
      <c r="BB420" s="441"/>
      <c r="BC420" s="441"/>
      <c r="BD420" s="441"/>
      <c r="BE420" s="441"/>
      <c r="BF420" s="441"/>
    </row>
    <row r="421" hidden="1" outlineLevel="1">
      <c r="A421" s="624" t="s">
        <v>759</v>
      </c>
      <c r="B421" s="625">
        <f t="shared" ref="B421:D421" si="217">(B418+B419)/2+B420</f>
        <v>12.5</v>
      </c>
      <c r="C421" s="625">
        <f t="shared" si="217"/>
        <v>20.5</v>
      </c>
      <c r="D421" s="625">
        <f t="shared" si="217"/>
        <v>28.5</v>
      </c>
      <c r="E421" s="616" t="s">
        <v>30</v>
      </c>
      <c r="F421" s="625">
        <f t="shared" ref="F421:H421" si="218">(F418+F419)/2+F420</f>
        <v>46.5</v>
      </c>
      <c r="G421" s="625">
        <f t="shared" si="218"/>
        <v>56.5</v>
      </c>
      <c r="H421" s="625">
        <f t="shared" si="218"/>
        <v>66.5</v>
      </c>
      <c r="I421" s="617"/>
      <c r="J421" s="616"/>
      <c r="K421" s="616"/>
      <c r="L421" s="618"/>
      <c r="M421" s="620"/>
      <c r="N421" s="620"/>
      <c r="O421" s="620"/>
      <c r="P421" s="620"/>
      <c r="Q421" s="621"/>
      <c r="R421" s="617"/>
      <c r="S421" s="617"/>
      <c r="T421" s="617"/>
      <c r="U421" s="517"/>
      <c r="V421" s="438"/>
      <c r="W421" s="438"/>
      <c r="X421" s="467"/>
      <c r="Y421" s="467"/>
      <c r="Z421" s="467"/>
      <c r="AA421" s="467"/>
      <c r="AB421" s="467"/>
      <c r="AC421" s="438"/>
      <c r="AD421" s="438"/>
      <c r="AE421" s="441"/>
      <c r="AF421" s="441"/>
      <c r="AG421" s="441"/>
      <c r="AH421" s="441"/>
      <c r="AI421" s="441"/>
      <c r="AJ421" s="441"/>
      <c r="AK421" s="441"/>
      <c r="AL421" s="441"/>
      <c r="AM421" s="441"/>
      <c r="AN421" s="441"/>
      <c r="AO421" s="441"/>
      <c r="AP421" s="441"/>
      <c r="AQ421" s="441"/>
      <c r="AR421" s="441"/>
      <c r="AS421" s="441"/>
      <c r="AT421" s="441"/>
      <c r="AU421" s="441"/>
      <c r="AV421" s="441"/>
      <c r="AW421" s="441"/>
      <c r="AX421" s="441"/>
      <c r="AY421" s="441"/>
      <c r="AZ421" s="441"/>
      <c r="BA421" s="441"/>
      <c r="BB421" s="441"/>
      <c r="BC421" s="441"/>
      <c r="BD421" s="441"/>
      <c r="BE421" s="441"/>
      <c r="BF421" s="441"/>
    </row>
    <row r="422" hidden="1" outlineLevel="1">
      <c r="A422" s="624" t="s">
        <v>760</v>
      </c>
      <c r="B422" s="627"/>
      <c r="C422" s="627">
        <f t="shared" ref="C422:D422" si="219">C421/B421-1</f>
        <v>0.64</v>
      </c>
      <c r="D422" s="627">
        <f t="shared" si="219"/>
        <v>0.3902439024</v>
      </c>
      <c r="E422" s="616" t="s">
        <v>30</v>
      </c>
      <c r="F422" s="627">
        <f>F421/D421-1</f>
        <v>0.6315789474</v>
      </c>
      <c r="G422" s="627">
        <f t="shared" ref="G422:H422" si="220">G421/F421-1</f>
        <v>0.2150537634</v>
      </c>
      <c r="H422" s="627">
        <f t="shared" si="220"/>
        <v>0.1769911504</v>
      </c>
      <c r="I422" s="617"/>
      <c r="J422" s="616"/>
      <c r="K422" s="616"/>
      <c r="L422" s="618"/>
      <c r="M422" s="620"/>
      <c r="N422" s="620"/>
      <c r="O422" s="620"/>
      <c r="P422" s="620"/>
      <c r="Q422" s="621"/>
      <c r="R422" s="617"/>
      <c r="S422" s="617"/>
      <c r="T422" s="617"/>
      <c r="U422" s="517"/>
      <c r="V422" s="438"/>
      <c r="W422" s="438"/>
      <c r="X422" s="467"/>
      <c r="Y422" s="467"/>
      <c r="Z422" s="467"/>
      <c r="AA422" s="467"/>
      <c r="AB422" s="467"/>
      <c r="AC422" s="438"/>
      <c r="AD422" s="438"/>
      <c r="AE422" s="441"/>
      <c r="AF422" s="441"/>
      <c r="AG422" s="441"/>
      <c r="AH422" s="441"/>
      <c r="AI422" s="441"/>
      <c r="AJ422" s="441"/>
      <c r="AK422" s="441"/>
      <c r="AL422" s="441"/>
      <c r="AM422" s="441"/>
      <c r="AN422" s="441"/>
      <c r="AO422" s="441"/>
      <c r="AP422" s="441"/>
      <c r="AQ422" s="441"/>
      <c r="AR422" s="441"/>
      <c r="AS422" s="441"/>
      <c r="AT422" s="441"/>
      <c r="AU422" s="441"/>
      <c r="AV422" s="441"/>
      <c r="AW422" s="441"/>
      <c r="AX422" s="441"/>
      <c r="AY422" s="441"/>
      <c r="AZ422" s="441"/>
      <c r="BA422" s="441"/>
      <c r="BB422" s="441"/>
      <c r="BC422" s="441"/>
      <c r="BD422" s="441"/>
      <c r="BE422" s="441"/>
      <c r="BF422" s="441"/>
    </row>
    <row r="423" hidden="1" outlineLevel="1">
      <c r="A423" s="624" t="s">
        <v>761</v>
      </c>
      <c r="B423" s="625">
        <v>16.0</v>
      </c>
      <c r="C423" s="625"/>
      <c r="D423" s="627"/>
      <c r="E423" s="616" t="s">
        <v>30</v>
      </c>
      <c r="F423" s="627"/>
      <c r="G423" s="627"/>
      <c r="H423" s="627"/>
      <c r="I423" s="617"/>
      <c r="J423" s="616"/>
      <c r="K423" s="616"/>
      <c r="L423" s="618"/>
      <c r="M423" s="620"/>
      <c r="N423" s="620"/>
      <c r="O423" s="620"/>
      <c r="P423" s="620"/>
      <c r="Q423" s="621"/>
      <c r="R423" s="617"/>
      <c r="S423" s="617"/>
      <c r="T423" s="617"/>
      <c r="U423" s="517"/>
      <c r="V423" s="438"/>
      <c r="W423" s="438"/>
      <c r="X423" s="467"/>
      <c r="Y423" s="467"/>
      <c r="Z423" s="467"/>
      <c r="AA423" s="467"/>
      <c r="AB423" s="467"/>
      <c r="AC423" s="438"/>
      <c r="AD423" s="438"/>
      <c r="AE423" s="441"/>
      <c r="AF423" s="441"/>
      <c r="AG423" s="441"/>
      <c r="AH423" s="441"/>
      <c r="AI423" s="441"/>
      <c r="AJ423" s="441"/>
      <c r="AK423" s="441"/>
      <c r="AL423" s="441"/>
      <c r="AM423" s="441"/>
      <c r="AN423" s="441"/>
      <c r="AO423" s="441"/>
      <c r="AP423" s="441"/>
      <c r="AQ423" s="441"/>
      <c r="AR423" s="441"/>
      <c r="AS423" s="441"/>
      <c r="AT423" s="441"/>
      <c r="AU423" s="441"/>
      <c r="AV423" s="441"/>
      <c r="AW423" s="441"/>
      <c r="AX423" s="441"/>
      <c r="AY423" s="441"/>
      <c r="AZ423" s="441"/>
      <c r="BA423" s="441"/>
      <c r="BB423" s="441"/>
      <c r="BC423" s="441"/>
      <c r="BD423" s="441"/>
      <c r="BE423" s="441"/>
      <c r="BF423" s="441"/>
    </row>
    <row r="424" hidden="1" outlineLevel="1">
      <c r="A424" s="624" t="s">
        <v>762</v>
      </c>
      <c r="B424" s="628">
        <f t="shared" ref="B424:D424" si="221">B421/$B423</f>
        <v>0.78125</v>
      </c>
      <c r="C424" s="628">
        <f t="shared" si="221"/>
        <v>1.28125</v>
      </c>
      <c r="D424" s="628">
        <f t="shared" si="221"/>
        <v>1.78125</v>
      </c>
      <c r="E424" s="616" t="s">
        <v>30</v>
      </c>
      <c r="F424" s="628">
        <f t="shared" ref="F424:H424" si="222">F421/$B423</f>
        <v>2.90625</v>
      </c>
      <c r="G424" s="628">
        <f t="shared" si="222"/>
        <v>3.53125</v>
      </c>
      <c r="H424" s="628">
        <f t="shared" si="222"/>
        <v>4.15625</v>
      </c>
      <c r="I424" s="617"/>
      <c r="J424" s="616"/>
      <c r="K424" s="616"/>
      <c r="L424" s="618"/>
      <c r="M424" s="620"/>
      <c r="N424" s="620"/>
      <c r="O424" s="620"/>
      <c r="P424" s="620"/>
      <c r="Q424" s="621"/>
      <c r="R424" s="617"/>
      <c r="S424" s="617"/>
      <c r="T424" s="632"/>
      <c r="U424" s="517"/>
      <c r="V424" s="438"/>
      <c r="W424" s="438"/>
      <c r="X424" s="467"/>
      <c r="Y424" s="467"/>
      <c r="Z424" s="467"/>
      <c r="AA424" s="467"/>
      <c r="AB424" s="467"/>
      <c r="AC424" s="438"/>
      <c r="AD424" s="438"/>
      <c r="AE424" s="441"/>
      <c r="AF424" s="441"/>
      <c r="AG424" s="441"/>
      <c r="AH424" s="441"/>
      <c r="AI424" s="441"/>
      <c r="AJ424" s="441"/>
      <c r="AK424" s="441"/>
      <c r="AL424" s="441"/>
      <c r="AM424" s="441"/>
      <c r="AN424" s="441"/>
      <c r="AO424" s="441"/>
      <c r="AP424" s="441"/>
      <c r="AQ424" s="441"/>
      <c r="AR424" s="441"/>
      <c r="AS424" s="441"/>
      <c r="AT424" s="441"/>
      <c r="AU424" s="441"/>
      <c r="AV424" s="441"/>
      <c r="AW424" s="441"/>
      <c r="AX424" s="441"/>
      <c r="AY424" s="441"/>
      <c r="AZ424" s="441"/>
      <c r="BA424" s="441"/>
      <c r="BB424" s="441"/>
      <c r="BC424" s="441"/>
      <c r="BD424" s="441"/>
      <c r="BE424" s="441"/>
      <c r="BF424" s="441"/>
    </row>
    <row r="425" collapsed="1">
      <c r="A425" s="633"/>
      <c r="B425" s="634"/>
      <c r="C425" s="634"/>
      <c r="D425" s="634"/>
      <c r="E425" s="634"/>
      <c r="F425" s="634"/>
      <c r="G425" s="634"/>
      <c r="H425" s="635" t="s">
        <v>1068</v>
      </c>
      <c r="I425" s="634"/>
      <c r="J425" s="634"/>
      <c r="K425" s="634"/>
      <c r="L425" s="634"/>
      <c r="M425" s="634"/>
      <c r="N425" s="634"/>
      <c r="O425" s="634"/>
      <c r="P425" s="634"/>
      <c r="Q425" s="634"/>
      <c r="R425" s="634"/>
      <c r="S425" s="636"/>
      <c r="T425" s="637"/>
      <c r="U425" s="517"/>
      <c r="V425" s="438"/>
      <c r="W425" s="438"/>
      <c r="X425" s="467"/>
      <c r="Y425" s="467"/>
      <c r="Z425" s="467"/>
      <c r="AA425" s="467"/>
      <c r="AB425" s="467"/>
      <c r="AC425" s="438"/>
      <c r="AD425" s="438"/>
      <c r="AE425" s="441"/>
      <c r="AF425" s="441"/>
      <c r="AG425" s="441"/>
      <c r="AH425" s="441"/>
      <c r="AI425" s="441"/>
      <c r="AJ425" s="441"/>
      <c r="AK425" s="441"/>
      <c r="AL425" s="441"/>
      <c r="AM425" s="441"/>
      <c r="AN425" s="441"/>
      <c r="AO425" s="441"/>
      <c r="AP425" s="441"/>
      <c r="AQ425" s="441"/>
      <c r="AR425" s="441"/>
      <c r="AS425" s="441"/>
      <c r="AT425" s="441"/>
      <c r="AU425" s="441"/>
      <c r="AV425" s="441"/>
      <c r="AW425" s="441"/>
      <c r="AX425" s="441"/>
      <c r="AY425" s="441"/>
      <c r="AZ425" s="441"/>
      <c r="BA425" s="441"/>
      <c r="BB425" s="441"/>
      <c r="BC425" s="441"/>
      <c r="BD425" s="441"/>
      <c r="BE425" s="441"/>
      <c r="BF425" s="441"/>
    </row>
    <row r="426">
      <c r="A426" s="638" t="s">
        <v>1069</v>
      </c>
      <c r="B426" s="639" t="s">
        <v>1070</v>
      </c>
      <c r="C426" s="639" t="s">
        <v>1071</v>
      </c>
      <c r="D426" s="639" t="s">
        <v>1072</v>
      </c>
      <c r="E426" s="639" t="s">
        <v>1073</v>
      </c>
      <c r="F426" s="639" t="s">
        <v>752</v>
      </c>
      <c r="G426" s="639" t="s">
        <v>958</v>
      </c>
      <c r="H426" s="639" t="s">
        <v>1074</v>
      </c>
      <c r="I426" s="640" t="s">
        <v>754</v>
      </c>
      <c r="J426" s="639">
        <v>-3.0</v>
      </c>
      <c r="K426" s="639">
        <v>2.0</v>
      </c>
      <c r="L426" s="641">
        <f>VLOOKUP(A426,'Кузнец'!$B$145:$J$193,9,FALSE)</f>
        <v>0.7</v>
      </c>
      <c r="M426" s="642" t="s">
        <v>976</v>
      </c>
      <c r="N426" s="639">
        <f>VLOOKUP(A426,'Кузнец'!$B$145:$J$193,4,FALSE)</f>
        <v>3</v>
      </c>
      <c r="O426" s="639">
        <v>8.0</v>
      </c>
      <c r="P426" s="643" t="s">
        <v>755</v>
      </c>
      <c r="Q426" s="644"/>
      <c r="R426" s="643" t="s">
        <v>1075</v>
      </c>
      <c r="S426" s="645">
        <f>'Персонаж'!I10+3</f>
        <v>7</v>
      </c>
      <c r="T426" s="646">
        <v>6.0</v>
      </c>
      <c r="U426" s="517"/>
      <c r="V426" s="438"/>
      <c r="W426" s="438"/>
      <c r="X426" s="440">
        <v>0.0</v>
      </c>
      <c r="Y426" s="440">
        <v>0.0</v>
      </c>
      <c r="Z426" s="440">
        <v>0.0</v>
      </c>
      <c r="AA426" s="440">
        <v>0.0</v>
      </c>
      <c r="AB426" s="440">
        <v>0.0</v>
      </c>
      <c r="AC426" s="440">
        <v>0.0</v>
      </c>
      <c r="AD426" s="440">
        <v>0.0</v>
      </c>
      <c r="AE426" s="441"/>
      <c r="AF426" s="441"/>
      <c r="AG426" s="441"/>
      <c r="AH426" s="441"/>
      <c r="AI426" s="441"/>
      <c r="AJ426" s="441"/>
      <c r="AK426" s="441"/>
      <c r="AL426" s="441"/>
      <c r="AM426" s="441"/>
      <c r="AN426" s="441"/>
      <c r="AO426" s="441"/>
      <c r="AP426" s="441"/>
      <c r="AQ426" s="441"/>
      <c r="AR426" s="441"/>
      <c r="AS426" s="441"/>
      <c r="AT426" s="441"/>
      <c r="AU426" s="441"/>
      <c r="AV426" s="441"/>
      <c r="AW426" s="441"/>
      <c r="AX426" s="441"/>
      <c r="AY426" s="441"/>
      <c r="AZ426" s="441"/>
      <c r="BA426" s="441"/>
      <c r="BB426" s="441"/>
      <c r="BC426" s="441"/>
      <c r="BD426" s="441"/>
      <c r="BE426" s="441"/>
      <c r="BF426" s="441"/>
    </row>
    <row r="427" hidden="1" outlineLevel="1">
      <c r="A427" s="647" t="s">
        <v>756</v>
      </c>
      <c r="B427" s="648">
        <v>1.0</v>
      </c>
      <c r="C427" s="648">
        <v>1.0</v>
      </c>
      <c r="D427" s="648">
        <v>1.0</v>
      </c>
      <c r="E427" s="648">
        <v>1.0</v>
      </c>
      <c r="F427" s="648">
        <v>1.0</v>
      </c>
      <c r="G427" s="648">
        <v>1.0</v>
      </c>
      <c r="H427" s="648">
        <v>1.0</v>
      </c>
      <c r="I427" s="640"/>
      <c r="J427" s="639"/>
      <c r="K427" s="639"/>
      <c r="L427" s="641" t="str">
        <f>VLOOKUP(A427,'Кузнец'!$B$145:$J$193,9,FALSE)</f>
        <v>#N/A</v>
      </c>
      <c r="M427" s="649"/>
      <c r="N427" s="639" t="str">
        <f>VLOOKUP(A427,'Кузнец'!$B$145:$J$193,4,FALSE)</f>
        <v>#N/A</v>
      </c>
      <c r="O427" s="639"/>
      <c r="P427" s="639"/>
      <c r="Q427" s="644"/>
      <c r="R427" s="639"/>
      <c r="S427" s="645"/>
      <c r="T427" s="640"/>
      <c r="U427" s="517"/>
      <c r="V427" s="438"/>
      <c r="W427" s="438"/>
      <c r="X427" s="440">
        <v>0.0</v>
      </c>
      <c r="Y427" s="440">
        <v>0.0</v>
      </c>
      <c r="Z427" s="440">
        <v>0.0</v>
      </c>
      <c r="AA427" s="440">
        <v>0.0</v>
      </c>
      <c r="AB427" s="440">
        <v>0.0</v>
      </c>
      <c r="AC427" s="440">
        <v>0.0</v>
      </c>
      <c r="AD427" s="440">
        <v>0.0</v>
      </c>
      <c r="AE427" s="441"/>
      <c r="AF427" s="441"/>
      <c r="AG427" s="441"/>
      <c r="AH427" s="441"/>
      <c r="AI427" s="441"/>
      <c r="AJ427" s="441"/>
      <c r="AK427" s="441"/>
      <c r="AL427" s="441"/>
      <c r="AM427" s="441"/>
      <c r="AN427" s="441"/>
      <c r="AO427" s="441"/>
      <c r="AP427" s="441"/>
      <c r="AQ427" s="441"/>
      <c r="AR427" s="441"/>
      <c r="AS427" s="441"/>
      <c r="AT427" s="441"/>
      <c r="AU427" s="441"/>
      <c r="AV427" s="441"/>
      <c r="AW427" s="441"/>
      <c r="AX427" s="441"/>
      <c r="AY427" s="441"/>
      <c r="AZ427" s="441"/>
      <c r="BA427" s="441"/>
      <c r="BB427" s="441"/>
      <c r="BC427" s="441"/>
      <c r="BD427" s="441"/>
      <c r="BE427" s="441"/>
      <c r="BF427" s="441"/>
    </row>
    <row r="428" hidden="1" outlineLevel="1">
      <c r="A428" s="647" t="s">
        <v>757</v>
      </c>
      <c r="B428" s="648">
        <v>4.0</v>
      </c>
      <c r="C428" s="648">
        <v>4.0</v>
      </c>
      <c r="D428" s="648">
        <v>6.0</v>
      </c>
      <c r="E428" s="648">
        <v>6.0</v>
      </c>
      <c r="F428" s="648">
        <v>8.0</v>
      </c>
      <c r="G428" s="648">
        <v>8.0</v>
      </c>
      <c r="H428" s="648">
        <v>10.0</v>
      </c>
      <c r="I428" s="640"/>
      <c r="J428" s="639"/>
      <c r="K428" s="639"/>
      <c r="L428" s="641" t="str">
        <f>VLOOKUP(A428,'Кузнец'!$B$145:$J$193,9,FALSE)</f>
        <v>#N/A</v>
      </c>
      <c r="M428" s="649"/>
      <c r="N428" s="639" t="str">
        <f>VLOOKUP(A428,'Кузнец'!$B$145:$J$193,4,FALSE)</f>
        <v>#N/A</v>
      </c>
      <c r="O428" s="639"/>
      <c r="P428" s="639"/>
      <c r="Q428" s="644"/>
      <c r="R428" s="639"/>
      <c r="S428" s="645"/>
      <c r="T428" s="640"/>
      <c r="U428" s="517"/>
      <c r="V428" s="438"/>
      <c r="W428" s="438"/>
      <c r="X428" s="440">
        <v>0.0</v>
      </c>
      <c r="Y428" s="440">
        <v>0.0</v>
      </c>
      <c r="Z428" s="440">
        <v>0.0</v>
      </c>
      <c r="AA428" s="440">
        <v>0.0</v>
      </c>
      <c r="AB428" s="440">
        <v>0.0</v>
      </c>
      <c r="AC428" s="440">
        <v>0.0</v>
      </c>
      <c r="AD428" s="440">
        <v>0.0</v>
      </c>
      <c r="AE428" s="441"/>
      <c r="AF428" s="441"/>
      <c r="AG428" s="441"/>
      <c r="AH428" s="441"/>
      <c r="AI428" s="441"/>
      <c r="AJ428" s="441"/>
      <c r="AK428" s="441"/>
      <c r="AL428" s="441"/>
      <c r="AM428" s="441"/>
      <c r="AN428" s="441"/>
      <c r="AO428" s="441"/>
      <c r="AP428" s="441"/>
      <c r="AQ428" s="441"/>
      <c r="AR428" s="441"/>
      <c r="AS428" s="441"/>
      <c r="AT428" s="441"/>
      <c r="AU428" s="441"/>
      <c r="AV428" s="441"/>
      <c r="AW428" s="441"/>
      <c r="AX428" s="441"/>
      <c r="AY428" s="441"/>
      <c r="AZ428" s="441"/>
      <c r="BA428" s="441"/>
      <c r="BB428" s="441"/>
      <c r="BC428" s="441"/>
      <c r="BD428" s="441"/>
      <c r="BE428" s="441"/>
      <c r="BF428" s="441"/>
    </row>
    <row r="429" hidden="1" outlineLevel="1">
      <c r="A429" s="647" t="s">
        <v>758</v>
      </c>
      <c r="B429" s="648">
        <v>2.0</v>
      </c>
      <c r="C429" s="648">
        <v>4.0</v>
      </c>
      <c r="D429" s="648">
        <v>5.0</v>
      </c>
      <c r="E429" s="648">
        <v>8.0</v>
      </c>
      <c r="F429" s="648">
        <v>10.0</v>
      </c>
      <c r="G429" s="648">
        <v>14.0</v>
      </c>
      <c r="H429" s="648">
        <v>17.0</v>
      </c>
      <c r="I429" s="640"/>
      <c r="J429" s="639"/>
      <c r="K429" s="639"/>
      <c r="L429" s="641" t="str">
        <f>VLOOKUP(A429,'Кузнец'!$B$145:$J$193,9,FALSE)</f>
        <v>#N/A</v>
      </c>
      <c r="M429" s="649"/>
      <c r="N429" s="639" t="str">
        <f>VLOOKUP(A429,'Кузнец'!$B$145:$J$193,4,FALSE)</f>
        <v>#N/A</v>
      </c>
      <c r="O429" s="639"/>
      <c r="P429" s="639"/>
      <c r="Q429" s="644"/>
      <c r="R429" s="639"/>
      <c r="S429" s="645"/>
      <c r="T429" s="640"/>
      <c r="U429" s="517"/>
      <c r="V429" s="438"/>
      <c r="W429" s="438"/>
      <c r="X429" s="440">
        <v>0.0</v>
      </c>
      <c r="Y429" s="440">
        <v>0.0</v>
      </c>
      <c r="Z429" s="440">
        <v>0.0</v>
      </c>
      <c r="AA429" s="440">
        <v>0.0</v>
      </c>
      <c r="AB429" s="440">
        <v>0.0</v>
      </c>
      <c r="AC429" s="440">
        <v>0.0</v>
      </c>
      <c r="AD429" s="440">
        <v>0.0</v>
      </c>
      <c r="AE429" s="441"/>
      <c r="AF429" s="441"/>
      <c r="AG429" s="441"/>
      <c r="AH429" s="441"/>
      <c r="AI429" s="441"/>
      <c r="AJ429" s="441"/>
      <c r="AK429" s="441"/>
      <c r="AL429" s="441"/>
      <c r="AM429" s="441"/>
      <c r="AN429" s="441"/>
      <c r="AO429" s="441"/>
      <c r="AP429" s="441"/>
      <c r="AQ429" s="441"/>
      <c r="AR429" s="441"/>
      <c r="AS429" s="441"/>
      <c r="AT429" s="441"/>
      <c r="AU429" s="441"/>
      <c r="AV429" s="441"/>
      <c r="AW429" s="441"/>
      <c r="AX429" s="441"/>
      <c r="AY429" s="441"/>
      <c r="AZ429" s="441"/>
      <c r="BA429" s="441"/>
      <c r="BB429" s="441"/>
      <c r="BC429" s="441"/>
      <c r="BD429" s="441"/>
      <c r="BE429" s="441"/>
      <c r="BF429" s="441"/>
    </row>
    <row r="430" hidden="1" outlineLevel="1">
      <c r="A430" s="647" t="s">
        <v>759</v>
      </c>
      <c r="B430" s="648">
        <f t="shared" ref="B430:H430" si="223">(B427+B428)/2+B429</f>
        <v>4.5</v>
      </c>
      <c r="C430" s="648">
        <f t="shared" si="223"/>
        <v>6.5</v>
      </c>
      <c r="D430" s="648">
        <f t="shared" si="223"/>
        <v>8.5</v>
      </c>
      <c r="E430" s="648">
        <f t="shared" si="223"/>
        <v>11.5</v>
      </c>
      <c r="F430" s="648">
        <f t="shared" si="223"/>
        <v>14.5</v>
      </c>
      <c r="G430" s="648">
        <f t="shared" si="223"/>
        <v>18.5</v>
      </c>
      <c r="H430" s="648">
        <f t="shared" si="223"/>
        <v>22.5</v>
      </c>
      <c r="I430" s="640"/>
      <c r="J430" s="639"/>
      <c r="K430" s="639"/>
      <c r="L430" s="641" t="str">
        <f>VLOOKUP(A430,'Кузнец'!$B$145:$J$193,9,FALSE)</f>
        <v>#N/A</v>
      </c>
      <c r="M430" s="649"/>
      <c r="N430" s="639" t="str">
        <f>VLOOKUP(A430,'Кузнец'!$B$145:$J$193,4,FALSE)</f>
        <v>#N/A</v>
      </c>
      <c r="O430" s="639"/>
      <c r="P430" s="639"/>
      <c r="Q430" s="644"/>
      <c r="R430" s="639"/>
      <c r="S430" s="645"/>
      <c r="T430" s="640"/>
      <c r="U430" s="517"/>
      <c r="V430" s="438"/>
      <c r="W430" s="438"/>
      <c r="X430" s="440">
        <v>0.0</v>
      </c>
      <c r="Y430" s="440">
        <v>0.0</v>
      </c>
      <c r="Z430" s="440">
        <v>0.0</v>
      </c>
      <c r="AA430" s="440">
        <v>0.0</v>
      </c>
      <c r="AB430" s="440">
        <v>0.0</v>
      </c>
      <c r="AC430" s="440">
        <v>0.0</v>
      </c>
      <c r="AD430" s="440">
        <v>0.0</v>
      </c>
      <c r="AE430" s="441"/>
      <c r="AF430" s="441"/>
      <c r="AG430" s="441"/>
      <c r="AH430" s="441"/>
      <c r="AI430" s="441"/>
      <c r="AJ430" s="441"/>
      <c r="AK430" s="441"/>
      <c r="AL430" s="441"/>
      <c r="AM430" s="441"/>
      <c r="AN430" s="441"/>
      <c r="AO430" s="441"/>
      <c r="AP430" s="441"/>
      <c r="AQ430" s="441"/>
      <c r="AR430" s="441"/>
      <c r="AS430" s="441"/>
      <c r="AT430" s="441"/>
      <c r="AU430" s="441"/>
      <c r="AV430" s="441"/>
      <c r="AW430" s="441"/>
      <c r="AX430" s="441"/>
      <c r="AY430" s="441"/>
      <c r="AZ430" s="441"/>
      <c r="BA430" s="441"/>
      <c r="BB430" s="441"/>
      <c r="BC430" s="441"/>
      <c r="BD430" s="441"/>
      <c r="BE430" s="441"/>
      <c r="BF430" s="441"/>
    </row>
    <row r="431" hidden="1" outlineLevel="1">
      <c r="A431" s="647" t="s">
        <v>760</v>
      </c>
      <c r="B431" s="650"/>
      <c r="C431" s="650">
        <f t="shared" ref="C431:H431" si="224">C430/B430-1</f>
        <v>0.4444444444</v>
      </c>
      <c r="D431" s="650">
        <f t="shared" si="224"/>
        <v>0.3076923077</v>
      </c>
      <c r="E431" s="650">
        <f t="shared" si="224"/>
        <v>0.3529411765</v>
      </c>
      <c r="F431" s="650">
        <f t="shared" si="224"/>
        <v>0.2608695652</v>
      </c>
      <c r="G431" s="650">
        <f t="shared" si="224"/>
        <v>0.275862069</v>
      </c>
      <c r="H431" s="650">
        <f t="shared" si="224"/>
        <v>0.2162162162</v>
      </c>
      <c r="I431" s="640"/>
      <c r="J431" s="639"/>
      <c r="K431" s="639"/>
      <c r="L431" s="641" t="str">
        <f>VLOOKUP(A431,'Кузнец'!$B$145:$J$193,9,FALSE)</f>
        <v>#N/A</v>
      </c>
      <c r="M431" s="649"/>
      <c r="N431" s="639" t="str">
        <f>VLOOKUP(A431,'Кузнец'!$B$145:$J$193,4,FALSE)</f>
        <v>#N/A</v>
      </c>
      <c r="O431" s="639"/>
      <c r="P431" s="639"/>
      <c r="Q431" s="644"/>
      <c r="R431" s="639"/>
      <c r="S431" s="645"/>
      <c r="T431" s="640"/>
      <c r="U431" s="517"/>
      <c r="V431" s="438"/>
      <c r="W431" s="438"/>
      <c r="X431" s="440">
        <v>0.0</v>
      </c>
      <c r="Y431" s="440">
        <v>0.0</v>
      </c>
      <c r="Z431" s="440">
        <v>0.0</v>
      </c>
      <c r="AA431" s="440">
        <v>0.0</v>
      </c>
      <c r="AB431" s="440">
        <v>0.0</v>
      </c>
      <c r="AC431" s="440">
        <v>0.0</v>
      </c>
      <c r="AD431" s="440">
        <v>0.0</v>
      </c>
      <c r="AE431" s="441"/>
      <c r="AF431" s="441"/>
      <c r="AG431" s="441"/>
      <c r="AH431" s="441"/>
      <c r="AI431" s="441"/>
      <c r="AJ431" s="441"/>
      <c r="AK431" s="441"/>
      <c r="AL431" s="441"/>
      <c r="AM431" s="441"/>
      <c r="AN431" s="441"/>
      <c r="AO431" s="441"/>
      <c r="AP431" s="441"/>
      <c r="AQ431" s="441"/>
      <c r="AR431" s="441"/>
      <c r="AS431" s="441"/>
      <c r="AT431" s="441"/>
      <c r="AU431" s="441"/>
      <c r="AV431" s="441"/>
      <c r="AW431" s="441"/>
      <c r="AX431" s="441"/>
      <c r="AY431" s="441"/>
      <c r="AZ431" s="441"/>
      <c r="BA431" s="441"/>
      <c r="BB431" s="441"/>
      <c r="BC431" s="441"/>
      <c r="BD431" s="441"/>
      <c r="BE431" s="441"/>
      <c r="BF431" s="441"/>
    </row>
    <row r="432" hidden="1" outlineLevel="1">
      <c r="A432" s="647" t="s">
        <v>761</v>
      </c>
      <c r="B432" s="648">
        <v>2.0</v>
      </c>
      <c r="C432" s="648"/>
      <c r="D432" s="650"/>
      <c r="E432" s="650"/>
      <c r="F432" s="650"/>
      <c r="G432" s="650"/>
      <c r="H432" s="650"/>
      <c r="I432" s="640"/>
      <c r="J432" s="639"/>
      <c r="K432" s="639"/>
      <c r="L432" s="641" t="str">
        <f>VLOOKUP(A432,'Кузнец'!$B$145:$J$193,9,FALSE)</f>
        <v>#N/A</v>
      </c>
      <c r="M432" s="649"/>
      <c r="N432" s="639" t="str">
        <f>VLOOKUP(A432,'Кузнец'!$B$145:$J$193,4,FALSE)</f>
        <v>#N/A</v>
      </c>
      <c r="O432" s="639"/>
      <c r="P432" s="639"/>
      <c r="Q432" s="644"/>
      <c r="R432" s="639"/>
      <c r="S432" s="645"/>
      <c r="T432" s="640"/>
      <c r="U432" s="517"/>
      <c r="V432" s="438"/>
      <c r="W432" s="438"/>
      <c r="X432" s="440">
        <v>0.0</v>
      </c>
      <c r="Y432" s="440">
        <v>0.0</v>
      </c>
      <c r="Z432" s="440">
        <v>0.0</v>
      </c>
      <c r="AA432" s="440">
        <v>0.0</v>
      </c>
      <c r="AB432" s="440">
        <v>0.0</v>
      </c>
      <c r="AC432" s="440">
        <v>0.0</v>
      </c>
      <c r="AD432" s="440">
        <v>0.0</v>
      </c>
      <c r="AE432" s="441"/>
      <c r="AF432" s="441"/>
      <c r="AG432" s="441"/>
      <c r="AH432" s="441"/>
      <c r="AI432" s="441"/>
      <c r="AJ432" s="441"/>
      <c r="AK432" s="441"/>
      <c r="AL432" s="441"/>
      <c r="AM432" s="441"/>
      <c r="AN432" s="441"/>
      <c r="AO432" s="441"/>
      <c r="AP432" s="441"/>
      <c r="AQ432" s="441"/>
      <c r="AR432" s="441"/>
      <c r="AS432" s="441"/>
      <c r="AT432" s="441"/>
      <c r="AU432" s="441"/>
      <c r="AV432" s="441"/>
      <c r="AW432" s="441"/>
      <c r="AX432" s="441"/>
      <c r="AY432" s="441"/>
      <c r="AZ432" s="441"/>
      <c r="BA432" s="441"/>
      <c r="BB432" s="441"/>
      <c r="BC432" s="441"/>
      <c r="BD432" s="441"/>
      <c r="BE432" s="441"/>
      <c r="BF432" s="441"/>
    </row>
    <row r="433" hidden="1" outlineLevel="1">
      <c r="A433" s="647" t="s">
        <v>762</v>
      </c>
      <c r="B433" s="651">
        <f t="shared" ref="B433:H433" si="225">B430/$B432</f>
        <v>2.25</v>
      </c>
      <c r="C433" s="651">
        <f t="shared" si="225"/>
        <v>3.25</v>
      </c>
      <c r="D433" s="651">
        <f t="shared" si="225"/>
        <v>4.25</v>
      </c>
      <c r="E433" s="651">
        <f t="shared" si="225"/>
        <v>5.75</v>
      </c>
      <c r="F433" s="651">
        <f t="shared" si="225"/>
        <v>7.25</v>
      </c>
      <c r="G433" s="651">
        <f t="shared" si="225"/>
        <v>9.25</v>
      </c>
      <c r="H433" s="651">
        <f t="shared" si="225"/>
        <v>11.25</v>
      </c>
      <c r="I433" s="640"/>
      <c r="J433" s="639"/>
      <c r="K433" s="639"/>
      <c r="L433" s="641" t="str">
        <f>VLOOKUP(A433,'Кузнец'!$B$145:$J$193,9,FALSE)</f>
        <v>#N/A</v>
      </c>
      <c r="M433" s="649"/>
      <c r="N433" s="639" t="str">
        <f>VLOOKUP(A433,'Кузнец'!$B$145:$J$193,4,FALSE)</f>
        <v>#N/A</v>
      </c>
      <c r="O433" s="639"/>
      <c r="P433" s="639"/>
      <c r="Q433" s="644"/>
      <c r="R433" s="639"/>
      <c r="S433" s="645"/>
      <c r="T433" s="640"/>
      <c r="U433" s="517"/>
      <c r="V433" s="438"/>
      <c r="W433" s="438"/>
      <c r="X433" s="440">
        <v>0.0</v>
      </c>
      <c r="Y433" s="440">
        <v>0.0</v>
      </c>
      <c r="Z433" s="440">
        <v>0.0</v>
      </c>
      <c r="AA433" s="440">
        <v>0.0</v>
      </c>
      <c r="AB433" s="440">
        <v>0.0</v>
      </c>
      <c r="AC433" s="440">
        <v>0.0</v>
      </c>
      <c r="AD433" s="440">
        <v>0.0</v>
      </c>
      <c r="AE433" s="441"/>
      <c r="AF433" s="441"/>
      <c r="AG433" s="441"/>
      <c r="AH433" s="441"/>
      <c r="AI433" s="441"/>
      <c r="AJ433" s="441"/>
      <c r="AK433" s="441"/>
      <c r="AL433" s="441"/>
      <c r="AM433" s="441"/>
      <c r="AN433" s="441"/>
      <c r="AO433" s="441"/>
      <c r="AP433" s="441"/>
      <c r="AQ433" s="441"/>
      <c r="AR433" s="441"/>
      <c r="AS433" s="441"/>
      <c r="AT433" s="441"/>
      <c r="AU433" s="441"/>
      <c r="AV433" s="441"/>
      <c r="AW433" s="441"/>
      <c r="AX433" s="441"/>
      <c r="AY433" s="441"/>
      <c r="AZ433" s="441"/>
      <c r="BA433" s="441"/>
      <c r="BB433" s="441"/>
      <c r="BC433" s="441"/>
      <c r="BD433" s="441"/>
      <c r="BE433" s="441"/>
      <c r="BF433" s="441"/>
    </row>
    <row r="434" collapsed="1">
      <c r="A434" s="638" t="s">
        <v>1076</v>
      </c>
      <c r="B434" s="652" t="s">
        <v>797</v>
      </c>
      <c r="C434" s="652" t="s">
        <v>798</v>
      </c>
      <c r="D434" s="652" t="s">
        <v>799</v>
      </c>
      <c r="E434" s="652" t="s">
        <v>800</v>
      </c>
      <c r="F434" s="652" t="s">
        <v>801</v>
      </c>
      <c r="G434" s="652" t="s">
        <v>802</v>
      </c>
      <c r="H434" s="652" t="s">
        <v>1077</v>
      </c>
      <c r="I434" s="653" t="s">
        <v>779</v>
      </c>
      <c r="J434" s="652">
        <v>-3.0</v>
      </c>
      <c r="K434" s="639">
        <v>3.0</v>
      </c>
      <c r="L434" s="641">
        <f>VLOOKUP(A434,'Кузнец'!$B$145:$J$193,9,FALSE)</f>
        <v>1.4</v>
      </c>
      <c r="M434" s="642" t="s">
        <v>813</v>
      </c>
      <c r="N434" s="639">
        <f>VLOOKUP(A434,'Кузнец'!$B$145:$J$193,4,FALSE)</f>
        <v>5</v>
      </c>
      <c r="O434" s="639">
        <v>10.0</v>
      </c>
      <c r="P434" s="643" t="s">
        <v>755</v>
      </c>
      <c r="Q434" s="644"/>
      <c r="R434" s="643" t="s">
        <v>1078</v>
      </c>
      <c r="S434" s="645">
        <f>'Персонаж'!I10+6</f>
        <v>10</v>
      </c>
      <c r="T434" s="640">
        <v>10.0</v>
      </c>
      <c r="U434" s="517"/>
      <c r="V434" s="463">
        <v>1.0</v>
      </c>
      <c r="W434" s="438"/>
      <c r="X434" s="440">
        <v>0.0</v>
      </c>
      <c r="Y434" s="440">
        <v>0.0</v>
      </c>
      <c r="Z434" s="440">
        <v>0.0</v>
      </c>
      <c r="AA434" s="440">
        <v>0.0</v>
      </c>
      <c r="AB434" s="440">
        <v>0.0</v>
      </c>
      <c r="AC434" s="440">
        <v>0.0</v>
      </c>
      <c r="AD434" s="440">
        <v>0.0</v>
      </c>
      <c r="AE434" s="441"/>
      <c r="AF434" s="441"/>
      <c r="AG434" s="441"/>
      <c r="AH434" s="441"/>
      <c r="AI434" s="441"/>
      <c r="AJ434" s="441"/>
      <c r="AK434" s="441"/>
      <c r="AL434" s="441"/>
      <c r="AM434" s="441"/>
      <c r="AN434" s="441"/>
      <c r="AO434" s="441"/>
      <c r="AP434" s="441"/>
      <c r="AQ434" s="441"/>
      <c r="AR434" s="441"/>
      <c r="AS434" s="441"/>
      <c r="AT434" s="441"/>
      <c r="AU434" s="441"/>
      <c r="AV434" s="441"/>
      <c r="AW434" s="441"/>
      <c r="AX434" s="441"/>
      <c r="AY434" s="441"/>
      <c r="AZ434" s="441"/>
      <c r="BA434" s="441"/>
      <c r="BB434" s="441"/>
      <c r="BC434" s="441"/>
      <c r="BD434" s="441"/>
      <c r="BE434" s="441"/>
      <c r="BF434" s="441"/>
    </row>
    <row r="435" hidden="1" outlineLevel="1">
      <c r="A435" s="647" t="s">
        <v>756</v>
      </c>
      <c r="B435" s="648">
        <v>1.0</v>
      </c>
      <c r="C435" s="648">
        <v>1.0</v>
      </c>
      <c r="D435" s="648">
        <v>1.0</v>
      </c>
      <c r="E435" s="648">
        <v>1.0</v>
      </c>
      <c r="F435" s="648">
        <v>1.0</v>
      </c>
      <c r="G435" s="648">
        <v>1.0</v>
      </c>
      <c r="H435" s="648">
        <v>2.0</v>
      </c>
      <c r="I435" s="653"/>
      <c r="J435" s="652"/>
      <c r="K435" s="652"/>
      <c r="L435" s="641" t="str">
        <f>VLOOKUP(A435,'Кузнец'!$B$145:$J$193,9,FALSE)</f>
        <v>#N/A</v>
      </c>
      <c r="M435" s="649"/>
      <c r="N435" s="639" t="str">
        <f>VLOOKUP(A435,'Кузнец'!$B$145:$J$193,4,FALSE)</f>
        <v>#N/A</v>
      </c>
      <c r="O435" s="639"/>
      <c r="P435" s="639"/>
      <c r="Q435" s="644"/>
      <c r="R435" s="639"/>
      <c r="S435" s="645"/>
      <c r="T435" s="640"/>
      <c r="U435" s="517"/>
      <c r="V435" s="438"/>
      <c r="W435" s="438"/>
      <c r="X435" s="440">
        <v>0.0</v>
      </c>
      <c r="Y435" s="440">
        <v>0.0</v>
      </c>
      <c r="Z435" s="440">
        <v>0.0</v>
      </c>
      <c r="AA435" s="440">
        <v>0.0</v>
      </c>
      <c r="AB435" s="440">
        <v>0.0</v>
      </c>
      <c r="AC435" s="440">
        <v>0.0</v>
      </c>
      <c r="AD435" s="440">
        <v>0.0</v>
      </c>
      <c r="AE435" s="441"/>
      <c r="AF435" s="441"/>
      <c r="AG435" s="441"/>
      <c r="AH435" s="441"/>
      <c r="AI435" s="441"/>
      <c r="AJ435" s="441"/>
      <c r="AK435" s="441"/>
      <c r="AL435" s="441"/>
      <c r="AM435" s="441"/>
      <c r="AN435" s="441"/>
      <c r="AO435" s="441"/>
      <c r="AP435" s="441"/>
      <c r="AQ435" s="441"/>
      <c r="AR435" s="441"/>
      <c r="AS435" s="441"/>
      <c r="AT435" s="441"/>
      <c r="AU435" s="441"/>
      <c r="AV435" s="441"/>
      <c r="AW435" s="441"/>
      <c r="AX435" s="441"/>
      <c r="AY435" s="441"/>
      <c r="AZ435" s="441"/>
      <c r="BA435" s="441"/>
      <c r="BB435" s="441"/>
      <c r="BC435" s="441"/>
      <c r="BD435" s="441"/>
      <c r="BE435" s="441"/>
      <c r="BF435" s="441"/>
    </row>
    <row r="436" hidden="1" outlineLevel="1">
      <c r="A436" s="647" t="s">
        <v>757</v>
      </c>
      <c r="B436" s="648">
        <v>8.0</v>
      </c>
      <c r="C436" s="648">
        <v>8.0</v>
      </c>
      <c r="D436" s="648">
        <v>10.0</v>
      </c>
      <c r="E436" s="648">
        <v>10.0</v>
      </c>
      <c r="F436" s="648">
        <v>12.0</v>
      </c>
      <c r="G436" s="648">
        <v>12.0</v>
      </c>
      <c r="H436" s="648">
        <v>16.0</v>
      </c>
      <c r="I436" s="653"/>
      <c r="J436" s="652"/>
      <c r="K436" s="652"/>
      <c r="L436" s="641" t="str">
        <f>VLOOKUP(A436,'Кузнец'!$B$145:$J$193,9,FALSE)</f>
        <v>#N/A</v>
      </c>
      <c r="M436" s="649"/>
      <c r="N436" s="639" t="str">
        <f>VLOOKUP(A436,'Кузнец'!$B$145:$J$193,4,FALSE)</f>
        <v>#N/A</v>
      </c>
      <c r="O436" s="639"/>
      <c r="P436" s="639"/>
      <c r="Q436" s="644"/>
      <c r="R436" s="639"/>
      <c r="S436" s="645"/>
      <c r="T436" s="640"/>
      <c r="U436" s="517"/>
      <c r="V436" s="438"/>
      <c r="W436" s="438"/>
      <c r="X436" s="440">
        <v>0.0</v>
      </c>
      <c r="Y436" s="440">
        <v>0.0</v>
      </c>
      <c r="Z436" s="440">
        <v>0.0</v>
      </c>
      <c r="AA436" s="440">
        <v>0.0</v>
      </c>
      <c r="AB436" s="440">
        <v>0.0</v>
      </c>
      <c r="AC436" s="440">
        <v>0.0</v>
      </c>
      <c r="AD436" s="440">
        <v>0.0</v>
      </c>
      <c r="AE436" s="441"/>
      <c r="AF436" s="441"/>
      <c r="AG436" s="441"/>
      <c r="AH436" s="441"/>
      <c r="AI436" s="441"/>
      <c r="AJ436" s="441"/>
      <c r="AK436" s="441"/>
      <c r="AL436" s="441"/>
      <c r="AM436" s="441"/>
      <c r="AN436" s="441"/>
      <c r="AO436" s="441"/>
      <c r="AP436" s="441"/>
      <c r="AQ436" s="441"/>
      <c r="AR436" s="441"/>
      <c r="AS436" s="441"/>
      <c r="AT436" s="441"/>
      <c r="AU436" s="441"/>
      <c r="AV436" s="441"/>
      <c r="AW436" s="441"/>
      <c r="AX436" s="441"/>
      <c r="AY436" s="441"/>
      <c r="AZ436" s="441"/>
      <c r="BA436" s="441"/>
      <c r="BB436" s="441"/>
      <c r="BC436" s="441"/>
      <c r="BD436" s="441"/>
      <c r="BE436" s="441"/>
      <c r="BF436" s="441"/>
    </row>
    <row r="437" hidden="1" outlineLevel="1">
      <c r="A437" s="647" t="s">
        <v>758</v>
      </c>
      <c r="B437" s="648">
        <v>2.0</v>
      </c>
      <c r="C437" s="648">
        <v>5.0</v>
      </c>
      <c r="D437" s="648">
        <v>7.0</v>
      </c>
      <c r="E437" s="648">
        <v>11.0</v>
      </c>
      <c r="F437" s="648">
        <v>14.0</v>
      </c>
      <c r="G437" s="648">
        <v>19.0</v>
      </c>
      <c r="H437" s="648">
        <v>22.0</v>
      </c>
      <c r="I437" s="653"/>
      <c r="J437" s="652"/>
      <c r="K437" s="652"/>
      <c r="L437" s="641" t="str">
        <f>VLOOKUP(A437,'Кузнец'!$B$145:$J$193,9,FALSE)</f>
        <v>#N/A</v>
      </c>
      <c r="M437" s="649"/>
      <c r="N437" s="639" t="str">
        <f>VLOOKUP(A437,'Кузнец'!$B$145:$J$193,4,FALSE)</f>
        <v>#N/A</v>
      </c>
      <c r="O437" s="639"/>
      <c r="P437" s="639"/>
      <c r="Q437" s="644"/>
      <c r="R437" s="639"/>
      <c r="S437" s="645"/>
      <c r="T437" s="640"/>
      <c r="U437" s="517"/>
      <c r="V437" s="438"/>
      <c r="W437" s="438"/>
      <c r="X437" s="440">
        <v>0.0</v>
      </c>
      <c r="Y437" s="440">
        <v>0.0</v>
      </c>
      <c r="Z437" s="440">
        <v>0.0</v>
      </c>
      <c r="AA437" s="440">
        <v>0.0</v>
      </c>
      <c r="AB437" s="440">
        <v>0.0</v>
      </c>
      <c r="AC437" s="440">
        <v>0.0</v>
      </c>
      <c r="AD437" s="440">
        <v>0.0</v>
      </c>
      <c r="AE437" s="441"/>
      <c r="AF437" s="441"/>
      <c r="AG437" s="441"/>
      <c r="AH437" s="441"/>
      <c r="AI437" s="441"/>
      <c r="AJ437" s="441"/>
      <c r="AK437" s="441"/>
      <c r="AL437" s="441"/>
      <c r="AM437" s="441"/>
      <c r="AN437" s="441"/>
      <c r="AO437" s="441"/>
      <c r="AP437" s="441"/>
      <c r="AQ437" s="441"/>
      <c r="AR437" s="441"/>
      <c r="AS437" s="441"/>
      <c r="AT437" s="441"/>
      <c r="AU437" s="441"/>
      <c r="AV437" s="441"/>
      <c r="AW437" s="441"/>
      <c r="AX437" s="441"/>
      <c r="AY437" s="441"/>
      <c r="AZ437" s="441"/>
      <c r="BA437" s="441"/>
      <c r="BB437" s="441"/>
      <c r="BC437" s="441"/>
      <c r="BD437" s="441"/>
      <c r="BE437" s="441"/>
      <c r="BF437" s="441"/>
    </row>
    <row r="438" hidden="1" outlineLevel="1">
      <c r="A438" s="647" t="s">
        <v>759</v>
      </c>
      <c r="B438" s="648">
        <f t="shared" ref="B438:H438" si="226">(B435+B436)/2+B437</f>
        <v>6.5</v>
      </c>
      <c r="C438" s="648">
        <f t="shared" si="226"/>
        <v>9.5</v>
      </c>
      <c r="D438" s="648">
        <f t="shared" si="226"/>
        <v>12.5</v>
      </c>
      <c r="E438" s="648">
        <f t="shared" si="226"/>
        <v>16.5</v>
      </c>
      <c r="F438" s="648">
        <f t="shared" si="226"/>
        <v>20.5</v>
      </c>
      <c r="G438" s="648">
        <f t="shared" si="226"/>
        <v>25.5</v>
      </c>
      <c r="H438" s="648">
        <f t="shared" si="226"/>
        <v>31</v>
      </c>
      <c r="I438" s="653"/>
      <c r="J438" s="652"/>
      <c r="K438" s="652"/>
      <c r="L438" s="641" t="str">
        <f>VLOOKUP(A438,'Кузнец'!$B$145:$J$193,9,FALSE)</f>
        <v>#N/A</v>
      </c>
      <c r="M438" s="649"/>
      <c r="N438" s="639" t="str">
        <f>VLOOKUP(A438,'Кузнец'!$B$145:$J$193,4,FALSE)</f>
        <v>#N/A</v>
      </c>
      <c r="O438" s="639"/>
      <c r="P438" s="639"/>
      <c r="Q438" s="644"/>
      <c r="R438" s="639"/>
      <c r="S438" s="645"/>
      <c r="T438" s="640"/>
      <c r="U438" s="517"/>
      <c r="V438" s="438"/>
      <c r="W438" s="438"/>
      <c r="X438" s="440">
        <v>0.0</v>
      </c>
      <c r="Y438" s="440">
        <v>0.0</v>
      </c>
      <c r="Z438" s="440">
        <v>0.0</v>
      </c>
      <c r="AA438" s="440">
        <v>0.0</v>
      </c>
      <c r="AB438" s="440">
        <v>0.0</v>
      </c>
      <c r="AC438" s="440">
        <v>0.0</v>
      </c>
      <c r="AD438" s="440">
        <v>0.0</v>
      </c>
      <c r="AE438" s="441"/>
      <c r="AF438" s="441"/>
      <c r="AG438" s="441"/>
      <c r="AH438" s="441"/>
      <c r="AI438" s="441"/>
      <c r="AJ438" s="441"/>
      <c r="AK438" s="441"/>
      <c r="AL438" s="441"/>
      <c r="AM438" s="441"/>
      <c r="AN438" s="441"/>
      <c r="AO438" s="441"/>
      <c r="AP438" s="441"/>
      <c r="AQ438" s="441"/>
      <c r="AR438" s="441"/>
      <c r="AS438" s="441"/>
      <c r="AT438" s="441"/>
      <c r="AU438" s="441"/>
      <c r="AV438" s="441"/>
      <c r="AW438" s="441"/>
      <c r="AX438" s="441"/>
      <c r="AY438" s="441"/>
      <c r="AZ438" s="441"/>
      <c r="BA438" s="441"/>
      <c r="BB438" s="441"/>
      <c r="BC438" s="441"/>
      <c r="BD438" s="441"/>
      <c r="BE438" s="441"/>
      <c r="BF438" s="441"/>
    </row>
    <row r="439" hidden="1" outlineLevel="1">
      <c r="A439" s="647" t="s">
        <v>760</v>
      </c>
      <c r="B439" s="650"/>
      <c r="C439" s="650">
        <f t="shared" ref="C439:H439" si="227">C438/B438-1</f>
        <v>0.4615384615</v>
      </c>
      <c r="D439" s="650">
        <f t="shared" si="227"/>
        <v>0.3157894737</v>
      </c>
      <c r="E439" s="650">
        <f t="shared" si="227"/>
        <v>0.32</v>
      </c>
      <c r="F439" s="650">
        <f t="shared" si="227"/>
        <v>0.2424242424</v>
      </c>
      <c r="G439" s="650">
        <f t="shared" si="227"/>
        <v>0.243902439</v>
      </c>
      <c r="H439" s="650">
        <f t="shared" si="227"/>
        <v>0.2156862745</v>
      </c>
      <c r="I439" s="653"/>
      <c r="J439" s="652"/>
      <c r="K439" s="652"/>
      <c r="L439" s="641" t="str">
        <f>VLOOKUP(A439,'Кузнец'!$B$145:$J$193,9,FALSE)</f>
        <v>#N/A</v>
      </c>
      <c r="M439" s="649"/>
      <c r="N439" s="639" t="str">
        <f>VLOOKUP(A439,'Кузнец'!$B$145:$J$193,4,FALSE)</f>
        <v>#N/A</v>
      </c>
      <c r="O439" s="639"/>
      <c r="P439" s="639"/>
      <c r="Q439" s="644"/>
      <c r="R439" s="639"/>
      <c r="S439" s="645"/>
      <c r="T439" s="640"/>
      <c r="U439" s="517"/>
      <c r="V439" s="438"/>
      <c r="W439" s="438"/>
      <c r="X439" s="440">
        <v>0.0</v>
      </c>
      <c r="Y439" s="440">
        <v>0.0</v>
      </c>
      <c r="Z439" s="440">
        <v>0.0</v>
      </c>
      <c r="AA439" s="440">
        <v>0.0</v>
      </c>
      <c r="AB439" s="440">
        <v>0.0</v>
      </c>
      <c r="AC439" s="440">
        <v>0.0</v>
      </c>
      <c r="AD439" s="440">
        <v>0.0</v>
      </c>
      <c r="AE439" s="441"/>
      <c r="AF439" s="441"/>
      <c r="AG439" s="441"/>
      <c r="AH439" s="441"/>
      <c r="AI439" s="441"/>
      <c r="AJ439" s="441"/>
      <c r="AK439" s="441"/>
      <c r="AL439" s="441"/>
      <c r="AM439" s="441"/>
      <c r="AN439" s="441"/>
      <c r="AO439" s="441"/>
      <c r="AP439" s="441"/>
      <c r="AQ439" s="441"/>
      <c r="AR439" s="441"/>
      <c r="AS439" s="441"/>
      <c r="AT439" s="441"/>
      <c r="AU439" s="441"/>
      <c r="AV439" s="441"/>
      <c r="AW439" s="441"/>
      <c r="AX439" s="441"/>
      <c r="AY439" s="441"/>
      <c r="AZ439" s="441"/>
      <c r="BA439" s="441"/>
      <c r="BB439" s="441"/>
      <c r="BC439" s="441"/>
      <c r="BD439" s="441"/>
      <c r="BE439" s="441"/>
      <c r="BF439" s="441"/>
    </row>
    <row r="440" hidden="1" outlineLevel="1">
      <c r="A440" s="647" t="s">
        <v>761</v>
      </c>
      <c r="B440" s="648">
        <v>3.0</v>
      </c>
      <c r="C440" s="648"/>
      <c r="D440" s="650"/>
      <c r="E440" s="650"/>
      <c r="F440" s="650"/>
      <c r="G440" s="650"/>
      <c r="H440" s="650"/>
      <c r="I440" s="653"/>
      <c r="J440" s="652"/>
      <c r="K440" s="652"/>
      <c r="L440" s="641" t="str">
        <f>VLOOKUP(A440,'Кузнец'!$B$145:$J$193,9,FALSE)</f>
        <v>#N/A</v>
      </c>
      <c r="M440" s="649"/>
      <c r="N440" s="639" t="str">
        <f>VLOOKUP(A440,'Кузнец'!$B$145:$J$193,4,FALSE)</f>
        <v>#N/A</v>
      </c>
      <c r="O440" s="639"/>
      <c r="P440" s="639"/>
      <c r="Q440" s="644"/>
      <c r="R440" s="639"/>
      <c r="S440" s="645"/>
      <c r="T440" s="640"/>
      <c r="U440" s="517"/>
      <c r="V440" s="438"/>
      <c r="W440" s="438"/>
      <c r="X440" s="440">
        <v>0.0</v>
      </c>
      <c r="Y440" s="440">
        <v>0.0</v>
      </c>
      <c r="Z440" s="440">
        <v>0.0</v>
      </c>
      <c r="AA440" s="440">
        <v>0.0</v>
      </c>
      <c r="AB440" s="440">
        <v>0.0</v>
      </c>
      <c r="AC440" s="440">
        <v>0.0</v>
      </c>
      <c r="AD440" s="440">
        <v>0.0</v>
      </c>
      <c r="AE440" s="441"/>
      <c r="AF440" s="441"/>
      <c r="AG440" s="441"/>
      <c r="AH440" s="441"/>
      <c r="AI440" s="441"/>
      <c r="AJ440" s="441"/>
      <c r="AK440" s="441"/>
      <c r="AL440" s="441"/>
      <c r="AM440" s="441"/>
      <c r="AN440" s="441"/>
      <c r="AO440" s="441"/>
      <c r="AP440" s="441"/>
      <c r="AQ440" s="441"/>
      <c r="AR440" s="441"/>
      <c r="AS440" s="441"/>
      <c r="AT440" s="441"/>
      <c r="AU440" s="441"/>
      <c r="AV440" s="441"/>
      <c r="AW440" s="441"/>
      <c r="AX440" s="441"/>
      <c r="AY440" s="441"/>
      <c r="AZ440" s="441"/>
      <c r="BA440" s="441"/>
      <c r="BB440" s="441"/>
      <c r="BC440" s="441"/>
      <c r="BD440" s="441"/>
      <c r="BE440" s="441"/>
      <c r="BF440" s="441"/>
    </row>
    <row r="441" hidden="1" outlineLevel="1">
      <c r="A441" s="647" t="s">
        <v>762</v>
      </c>
      <c r="B441" s="651">
        <f t="shared" ref="B441:H441" si="228">B438/$B440</f>
        <v>2.166666667</v>
      </c>
      <c r="C441" s="651">
        <f t="shared" si="228"/>
        <v>3.166666667</v>
      </c>
      <c r="D441" s="651">
        <f t="shared" si="228"/>
        <v>4.166666667</v>
      </c>
      <c r="E441" s="651">
        <f t="shared" si="228"/>
        <v>5.5</v>
      </c>
      <c r="F441" s="651">
        <f t="shared" si="228"/>
        <v>6.833333333</v>
      </c>
      <c r="G441" s="651">
        <f t="shared" si="228"/>
        <v>8.5</v>
      </c>
      <c r="H441" s="651">
        <f t="shared" si="228"/>
        <v>10.33333333</v>
      </c>
      <c r="I441" s="653"/>
      <c r="J441" s="652"/>
      <c r="K441" s="652"/>
      <c r="L441" s="641" t="str">
        <f>VLOOKUP(A441,'Кузнец'!$B$145:$J$193,9,FALSE)</f>
        <v>#N/A</v>
      </c>
      <c r="M441" s="649"/>
      <c r="N441" s="639" t="str">
        <f>VLOOKUP(A441,'Кузнец'!$B$145:$J$193,4,FALSE)</f>
        <v>#N/A</v>
      </c>
      <c r="O441" s="639"/>
      <c r="P441" s="639"/>
      <c r="Q441" s="644"/>
      <c r="R441" s="639"/>
      <c r="S441" s="645"/>
      <c r="T441" s="640"/>
      <c r="U441" s="517"/>
      <c r="V441" s="438"/>
      <c r="W441" s="438"/>
      <c r="X441" s="440">
        <v>0.0</v>
      </c>
      <c r="Y441" s="440">
        <v>0.0</v>
      </c>
      <c r="Z441" s="440">
        <v>0.0</v>
      </c>
      <c r="AA441" s="440">
        <v>0.0</v>
      </c>
      <c r="AB441" s="440">
        <v>0.0</v>
      </c>
      <c r="AC441" s="440">
        <v>0.0</v>
      </c>
      <c r="AD441" s="440">
        <v>0.0</v>
      </c>
      <c r="AE441" s="441"/>
      <c r="AF441" s="441"/>
      <c r="AG441" s="441"/>
      <c r="AH441" s="441"/>
      <c r="AI441" s="441"/>
      <c r="AJ441" s="441"/>
      <c r="AK441" s="441"/>
      <c r="AL441" s="441"/>
      <c r="AM441" s="441"/>
      <c r="AN441" s="441"/>
      <c r="AO441" s="441"/>
      <c r="AP441" s="441"/>
      <c r="AQ441" s="441"/>
      <c r="AR441" s="441"/>
      <c r="AS441" s="441"/>
      <c r="AT441" s="441"/>
      <c r="AU441" s="441"/>
      <c r="AV441" s="441"/>
      <c r="AW441" s="441"/>
      <c r="AX441" s="441"/>
      <c r="AY441" s="441"/>
      <c r="AZ441" s="441"/>
      <c r="BA441" s="441"/>
      <c r="BB441" s="441"/>
      <c r="BC441" s="441"/>
      <c r="BD441" s="441"/>
      <c r="BE441" s="441"/>
      <c r="BF441" s="441"/>
    </row>
    <row r="442" collapsed="1">
      <c r="A442" s="638" t="s">
        <v>1079</v>
      </c>
      <c r="B442" s="652" t="s">
        <v>916</v>
      </c>
      <c r="C442" s="652" t="s">
        <v>934</v>
      </c>
      <c r="D442" s="652" t="s">
        <v>935</v>
      </c>
      <c r="E442" s="652" t="s">
        <v>936</v>
      </c>
      <c r="F442" s="652" t="s">
        <v>937</v>
      </c>
      <c r="G442" s="652" t="s">
        <v>938</v>
      </c>
      <c r="H442" s="652" t="s">
        <v>1080</v>
      </c>
      <c r="I442" s="640" t="s">
        <v>754</v>
      </c>
      <c r="J442" s="639">
        <v>-3.0</v>
      </c>
      <c r="K442" s="639">
        <v>3.0</v>
      </c>
      <c r="L442" s="641">
        <f>VLOOKUP(A442,'Кузнец'!$B$145:$J$193,9,FALSE)</f>
        <v>2.1</v>
      </c>
      <c r="M442" s="642" t="s">
        <v>830</v>
      </c>
      <c r="N442" s="639">
        <f>VLOOKUP(A442,'Кузнец'!$B$145:$J$193,4,FALSE)</f>
        <v>8</v>
      </c>
      <c r="O442" s="639">
        <v>15.0</v>
      </c>
      <c r="P442" s="643" t="s">
        <v>755</v>
      </c>
      <c r="Q442" s="644"/>
      <c r="R442" s="643" t="s">
        <v>1075</v>
      </c>
      <c r="S442" s="645">
        <f>'Персонаж'!I10+3</f>
        <v>7</v>
      </c>
      <c r="T442" s="640">
        <v>6.0</v>
      </c>
      <c r="U442" s="517"/>
      <c r="V442" s="438"/>
      <c r="W442" s="438"/>
      <c r="X442" s="440">
        <v>0.0</v>
      </c>
      <c r="Y442" s="440">
        <v>0.0</v>
      </c>
      <c r="Z442" s="440">
        <v>0.0</v>
      </c>
      <c r="AA442" s="440">
        <v>0.0</v>
      </c>
      <c r="AB442" s="440">
        <v>0.0</v>
      </c>
      <c r="AC442" s="440">
        <v>0.0</v>
      </c>
      <c r="AD442" s="440">
        <v>0.0</v>
      </c>
      <c r="AE442" s="441"/>
      <c r="AF442" s="441"/>
      <c r="AG442" s="441"/>
      <c r="AH442" s="441"/>
      <c r="AI442" s="441"/>
      <c r="AJ442" s="441"/>
      <c r="AK442" s="441"/>
      <c r="AL442" s="441"/>
      <c r="AM442" s="441"/>
      <c r="AN442" s="441"/>
      <c r="AO442" s="441"/>
      <c r="AP442" s="441"/>
      <c r="AQ442" s="441"/>
      <c r="AR442" s="441"/>
      <c r="AS442" s="441"/>
      <c r="AT442" s="441"/>
      <c r="AU442" s="441"/>
      <c r="AV442" s="441"/>
      <c r="AW442" s="441"/>
      <c r="AX442" s="441"/>
      <c r="AY442" s="441"/>
      <c r="AZ442" s="441"/>
      <c r="BA442" s="441"/>
      <c r="BB442" s="441"/>
      <c r="BC442" s="441"/>
      <c r="BD442" s="441"/>
      <c r="BE442" s="441"/>
      <c r="BF442" s="441"/>
    </row>
    <row r="443" hidden="1" outlineLevel="1">
      <c r="A443" s="647" t="s">
        <v>756</v>
      </c>
      <c r="B443" s="648">
        <v>1.0</v>
      </c>
      <c r="C443" s="648">
        <v>1.0</v>
      </c>
      <c r="D443" s="648">
        <v>1.0</v>
      </c>
      <c r="E443" s="648">
        <v>1.0</v>
      </c>
      <c r="F443" s="648">
        <v>1.0</v>
      </c>
      <c r="G443" s="648">
        <v>1.0</v>
      </c>
      <c r="H443" s="648">
        <v>1.0</v>
      </c>
      <c r="I443" s="640"/>
      <c r="J443" s="639"/>
      <c r="K443" s="639"/>
      <c r="L443" s="641" t="str">
        <f>VLOOKUP(A443,'Кузнец'!$B$145:$J$193,9,FALSE)</f>
        <v>#N/A</v>
      </c>
      <c r="M443" s="649"/>
      <c r="N443" s="639" t="str">
        <f>VLOOKUP(A443,'Кузнец'!$B$145:$J$193,4,FALSE)</f>
        <v>#N/A</v>
      </c>
      <c r="O443" s="639"/>
      <c r="P443" s="639"/>
      <c r="Q443" s="644"/>
      <c r="R443" s="639"/>
      <c r="S443" s="645"/>
      <c r="T443" s="640"/>
      <c r="U443" s="517"/>
      <c r="V443" s="438"/>
      <c r="W443" s="438"/>
      <c r="X443" s="440">
        <v>0.0</v>
      </c>
      <c r="Y443" s="440">
        <v>0.0</v>
      </c>
      <c r="Z443" s="440">
        <v>0.0</v>
      </c>
      <c r="AA443" s="440">
        <v>0.0</v>
      </c>
      <c r="AB443" s="440">
        <v>0.0</v>
      </c>
      <c r="AC443" s="440">
        <v>0.0</v>
      </c>
      <c r="AD443" s="440">
        <v>0.0</v>
      </c>
      <c r="AE443" s="441"/>
      <c r="AF443" s="441"/>
      <c r="AG443" s="441"/>
      <c r="AH443" s="441"/>
      <c r="AI443" s="441"/>
      <c r="AJ443" s="441"/>
      <c r="AK443" s="441"/>
      <c r="AL443" s="441"/>
      <c r="AM443" s="441"/>
      <c r="AN443" s="441"/>
      <c r="AO443" s="441"/>
      <c r="AP443" s="441"/>
      <c r="AQ443" s="441"/>
      <c r="AR443" s="441"/>
      <c r="AS443" s="441"/>
      <c r="AT443" s="441"/>
      <c r="AU443" s="441"/>
      <c r="AV443" s="441"/>
      <c r="AW443" s="441"/>
      <c r="AX443" s="441"/>
      <c r="AY443" s="441"/>
      <c r="AZ443" s="441"/>
      <c r="BA443" s="441"/>
      <c r="BB443" s="441"/>
      <c r="BC443" s="441"/>
      <c r="BD443" s="441"/>
      <c r="BE443" s="441"/>
      <c r="BF443" s="441"/>
    </row>
    <row r="444" hidden="1" outlineLevel="1">
      <c r="A444" s="647" t="s">
        <v>757</v>
      </c>
      <c r="B444" s="648">
        <v>6.0</v>
      </c>
      <c r="C444" s="648">
        <v>6.0</v>
      </c>
      <c r="D444" s="648">
        <v>8.0</v>
      </c>
      <c r="E444" s="648">
        <v>8.0</v>
      </c>
      <c r="F444" s="648">
        <v>10.0</v>
      </c>
      <c r="G444" s="648">
        <v>10.0</v>
      </c>
      <c r="H444" s="648">
        <v>12.0</v>
      </c>
      <c r="I444" s="640"/>
      <c r="J444" s="639"/>
      <c r="K444" s="639"/>
      <c r="L444" s="641" t="str">
        <f>VLOOKUP(A444,'Кузнец'!$B$145:$J$193,9,FALSE)</f>
        <v>#N/A</v>
      </c>
      <c r="M444" s="649"/>
      <c r="N444" s="639" t="str">
        <f>VLOOKUP(A444,'Кузнец'!$B$145:$J$193,4,FALSE)</f>
        <v>#N/A</v>
      </c>
      <c r="O444" s="639"/>
      <c r="P444" s="639"/>
      <c r="Q444" s="644"/>
      <c r="R444" s="639"/>
      <c r="S444" s="645"/>
      <c r="T444" s="640"/>
      <c r="U444" s="517"/>
      <c r="V444" s="438"/>
      <c r="W444" s="438"/>
      <c r="X444" s="440">
        <v>0.0</v>
      </c>
      <c r="Y444" s="440">
        <v>0.0</v>
      </c>
      <c r="Z444" s="440">
        <v>0.0</v>
      </c>
      <c r="AA444" s="440">
        <v>0.0</v>
      </c>
      <c r="AB444" s="440">
        <v>0.0</v>
      </c>
      <c r="AC444" s="440">
        <v>0.0</v>
      </c>
      <c r="AD444" s="440">
        <v>0.0</v>
      </c>
      <c r="AE444" s="441"/>
      <c r="AF444" s="441"/>
      <c r="AG444" s="441"/>
      <c r="AH444" s="441"/>
      <c r="AI444" s="441"/>
      <c r="AJ444" s="441"/>
      <c r="AK444" s="441"/>
      <c r="AL444" s="441"/>
      <c r="AM444" s="441"/>
      <c r="AN444" s="441"/>
      <c r="AO444" s="441"/>
      <c r="AP444" s="441"/>
      <c r="AQ444" s="441"/>
      <c r="AR444" s="441"/>
      <c r="AS444" s="441"/>
      <c r="AT444" s="441"/>
      <c r="AU444" s="441"/>
      <c r="AV444" s="441"/>
      <c r="AW444" s="441"/>
      <c r="AX444" s="441"/>
      <c r="AY444" s="441"/>
      <c r="AZ444" s="441"/>
      <c r="BA444" s="441"/>
      <c r="BB444" s="441"/>
      <c r="BC444" s="441"/>
      <c r="BD444" s="441"/>
      <c r="BE444" s="441"/>
      <c r="BF444" s="441"/>
    </row>
    <row r="445" hidden="1" outlineLevel="1">
      <c r="A445" s="647" t="s">
        <v>758</v>
      </c>
      <c r="B445" s="648">
        <v>4.0</v>
      </c>
      <c r="C445" s="648">
        <v>7.0</v>
      </c>
      <c r="D445" s="648">
        <v>9.0</v>
      </c>
      <c r="E445" s="648">
        <v>13.0</v>
      </c>
      <c r="F445" s="648">
        <v>16.0</v>
      </c>
      <c r="G445" s="648">
        <v>21.0</v>
      </c>
      <c r="H445" s="648">
        <v>25.0</v>
      </c>
      <c r="I445" s="640"/>
      <c r="J445" s="639"/>
      <c r="K445" s="639"/>
      <c r="L445" s="641" t="str">
        <f>VLOOKUP(A445,'Кузнец'!$B$145:$J$193,9,FALSE)</f>
        <v>#N/A</v>
      </c>
      <c r="M445" s="649"/>
      <c r="N445" s="639" t="str">
        <f>VLOOKUP(A445,'Кузнец'!$B$145:$J$193,4,FALSE)</f>
        <v>#N/A</v>
      </c>
      <c r="O445" s="639"/>
      <c r="P445" s="639"/>
      <c r="Q445" s="644"/>
      <c r="R445" s="639"/>
      <c r="S445" s="645"/>
      <c r="T445" s="640"/>
      <c r="U445" s="517"/>
      <c r="V445" s="438"/>
      <c r="W445" s="438"/>
      <c r="X445" s="440">
        <v>0.0</v>
      </c>
      <c r="Y445" s="440">
        <v>0.0</v>
      </c>
      <c r="Z445" s="440">
        <v>0.0</v>
      </c>
      <c r="AA445" s="440">
        <v>0.0</v>
      </c>
      <c r="AB445" s="440">
        <v>0.0</v>
      </c>
      <c r="AC445" s="440">
        <v>0.0</v>
      </c>
      <c r="AD445" s="440">
        <v>0.0</v>
      </c>
      <c r="AE445" s="441"/>
      <c r="AF445" s="441"/>
      <c r="AG445" s="441"/>
      <c r="AH445" s="441"/>
      <c r="AI445" s="441"/>
      <c r="AJ445" s="441"/>
      <c r="AK445" s="441"/>
      <c r="AL445" s="441"/>
      <c r="AM445" s="441"/>
      <c r="AN445" s="441"/>
      <c r="AO445" s="441"/>
      <c r="AP445" s="441"/>
      <c r="AQ445" s="441"/>
      <c r="AR445" s="441"/>
      <c r="AS445" s="441"/>
      <c r="AT445" s="441"/>
      <c r="AU445" s="441"/>
      <c r="AV445" s="441"/>
      <c r="AW445" s="441"/>
      <c r="AX445" s="441"/>
      <c r="AY445" s="441"/>
      <c r="AZ445" s="441"/>
      <c r="BA445" s="441"/>
      <c r="BB445" s="441"/>
      <c r="BC445" s="441"/>
      <c r="BD445" s="441"/>
      <c r="BE445" s="441"/>
      <c r="BF445" s="441"/>
    </row>
    <row r="446" hidden="1" outlineLevel="1">
      <c r="A446" s="647" t="s">
        <v>759</v>
      </c>
      <c r="B446" s="648">
        <f t="shared" ref="B446:H446" si="229">(B443+B444)/2+B445</f>
        <v>7.5</v>
      </c>
      <c r="C446" s="648">
        <f t="shared" si="229"/>
        <v>10.5</v>
      </c>
      <c r="D446" s="648">
        <f t="shared" si="229"/>
        <v>13.5</v>
      </c>
      <c r="E446" s="648">
        <f t="shared" si="229"/>
        <v>17.5</v>
      </c>
      <c r="F446" s="648">
        <f t="shared" si="229"/>
        <v>21.5</v>
      </c>
      <c r="G446" s="648">
        <f t="shared" si="229"/>
        <v>26.5</v>
      </c>
      <c r="H446" s="648">
        <f t="shared" si="229"/>
        <v>31.5</v>
      </c>
      <c r="I446" s="640"/>
      <c r="J446" s="639"/>
      <c r="K446" s="639"/>
      <c r="L446" s="641" t="str">
        <f>VLOOKUP(A446,'Кузнец'!$B$145:$J$193,9,FALSE)</f>
        <v>#N/A</v>
      </c>
      <c r="M446" s="649"/>
      <c r="N446" s="639" t="str">
        <f>VLOOKUP(A446,'Кузнец'!$B$145:$J$193,4,FALSE)</f>
        <v>#N/A</v>
      </c>
      <c r="O446" s="639"/>
      <c r="P446" s="639"/>
      <c r="Q446" s="644"/>
      <c r="R446" s="639"/>
      <c r="S446" s="645"/>
      <c r="T446" s="640"/>
      <c r="U446" s="517"/>
      <c r="V446" s="438"/>
      <c r="W446" s="438"/>
      <c r="X446" s="440">
        <v>0.0</v>
      </c>
      <c r="Y446" s="440">
        <v>0.0</v>
      </c>
      <c r="Z446" s="440">
        <v>0.0</v>
      </c>
      <c r="AA446" s="440">
        <v>0.0</v>
      </c>
      <c r="AB446" s="440">
        <v>0.0</v>
      </c>
      <c r="AC446" s="440">
        <v>0.0</v>
      </c>
      <c r="AD446" s="440">
        <v>0.0</v>
      </c>
      <c r="AE446" s="441"/>
      <c r="AF446" s="441"/>
      <c r="AG446" s="441"/>
      <c r="AH446" s="441"/>
      <c r="AI446" s="441"/>
      <c r="AJ446" s="441"/>
      <c r="AK446" s="441"/>
      <c r="AL446" s="441"/>
      <c r="AM446" s="441"/>
      <c r="AN446" s="441"/>
      <c r="AO446" s="441"/>
      <c r="AP446" s="441"/>
      <c r="AQ446" s="441"/>
      <c r="AR446" s="441"/>
      <c r="AS446" s="441"/>
      <c r="AT446" s="441"/>
      <c r="AU446" s="441"/>
      <c r="AV446" s="441"/>
      <c r="AW446" s="441"/>
      <c r="AX446" s="441"/>
      <c r="AY446" s="441"/>
      <c r="AZ446" s="441"/>
      <c r="BA446" s="441"/>
      <c r="BB446" s="441"/>
      <c r="BC446" s="441"/>
      <c r="BD446" s="441"/>
      <c r="BE446" s="441"/>
      <c r="BF446" s="441"/>
    </row>
    <row r="447" hidden="1" outlineLevel="1">
      <c r="A447" s="647" t="s">
        <v>760</v>
      </c>
      <c r="B447" s="650"/>
      <c r="C447" s="650">
        <f t="shared" ref="C447:H447" si="230">C446/B446-1</f>
        <v>0.4</v>
      </c>
      <c r="D447" s="650">
        <f t="shared" si="230"/>
        <v>0.2857142857</v>
      </c>
      <c r="E447" s="650">
        <f t="shared" si="230"/>
        <v>0.2962962963</v>
      </c>
      <c r="F447" s="650">
        <f t="shared" si="230"/>
        <v>0.2285714286</v>
      </c>
      <c r="G447" s="650">
        <f t="shared" si="230"/>
        <v>0.2325581395</v>
      </c>
      <c r="H447" s="650">
        <f t="shared" si="230"/>
        <v>0.1886792453</v>
      </c>
      <c r="I447" s="640"/>
      <c r="J447" s="639"/>
      <c r="K447" s="639"/>
      <c r="L447" s="641" t="str">
        <f>VLOOKUP(A447,'Кузнец'!$B$145:$J$193,9,FALSE)</f>
        <v>#N/A</v>
      </c>
      <c r="M447" s="649"/>
      <c r="N447" s="639" t="str">
        <f>VLOOKUP(A447,'Кузнец'!$B$145:$J$193,4,FALSE)</f>
        <v>#N/A</v>
      </c>
      <c r="O447" s="639"/>
      <c r="P447" s="639"/>
      <c r="Q447" s="644"/>
      <c r="R447" s="639"/>
      <c r="S447" s="645"/>
      <c r="T447" s="640"/>
      <c r="U447" s="517"/>
      <c r="V447" s="438"/>
      <c r="W447" s="438"/>
      <c r="X447" s="440">
        <v>0.0</v>
      </c>
      <c r="Y447" s="440">
        <v>0.0</v>
      </c>
      <c r="Z447" s="440">
        <v>0.0</v>
      </c>
      <c r="AA447" s="440">
        <v>0.0</v>
      </c>
      <c r="AB447" s="440">
        <v>0.0</v>
      </c>
      <c r="AC447" s="440">
        <v>0.0</v>
      </c>
      <c r="AD447" s="440">
        <v>0.0</v>
      </c>
      <c r="AE447" s="441"/>
      <c r="AF447" s="441"/>
      <c r="AG447" s="441"/>
      <c r="AH447" s="441"/>
      <c r="AI447" s="441"/>
      <c r="AJ447" s="441"/>
      <c r="AK447" s="441"/>
      <c r="AL447" s="441"/>
      <c r="AM447" s="441"/>
      <c r="AN447" s="441"/>
      <c r="AO447" s="441"/>
      <c r="AP447" s="441"/>
      <c r="AQ447" s="441"/>
      <c r="AR447" s="441"/>
      <c r="AS447" s="441"/>
      <c r="AT447" s="441"/>
      <c r="AU447" s="441"/>
      <c r="AV447" s="441"/>
      <c r="AW447" s="441"/>
      <c r="AX447" s="441"/>
      <c r="AY447" s="441"/>
      <c r="AZ447" s="441"/>
      <c r="BA447" s="441"/>
      <c r="BB447" s="441"/>
      <c r="BC447" s="441"/>
      <c r="BD447" s="441"/>
      <c r="BE447" s="441"/>
      <c r="BF447" s="441"/>
    </row>
    <row r="448" hidden="1" outlineLevel="1">
      <c r="A448" s="647" t="s">
        <v>761</v>
      </c>
      <c r="B448" s="648">
        <v>3.0</v>
      </c>
      <c r="C448" s="648"/>
      <c r="D448" s="650"/>
      <c r="E448" s="650"/>
      <c r="F448" s="650"/>
      <c r="G448" s="650"/>
      <c r="H448" s="650"/>
      <c r="I448" s="640"/>
      <c r="J448" s="639"/>
      <c r="K448" s="639"/>
      <c r="L448" s="641" t="str">
        <f>VLOOKUP(A448,'Кузнец'!$B$145:$J$193,9,FALSE)</f>
        <v>#N/A</v>
      </c>
      <c r="M448" s="649"/>
      <c r="N448" s="639" t="str">
        <f>VLOOKUP(A448,'Кузнец'!$B$145:$J$193,4,FALSE)</f>
        <v>#N/A</v>
      </c>
      <c r="O448" s="639"/>
      <c r="P448" s="639"/>
      <c r="Q448" s="644"/>
      <c r="R448" s="639"/>
      <c r="S448" s="645"/>
      <c r="T448" s="640"/>
      <c r="U448" s="517"/>
      <c r="V448" s="438"/>
      <c r="W448" s="438"/>
      <c r="X448" s="440">
        <v>0.0</v>
      </c>
      <c r="Y448" s="440">
        <v>0.0</v>
      </c>
      <c r="Z448" s="440">
        <v>0.0</v>
      </c>
      <c r="AA448" s="440">
        <v>0.0</v>
      </c>
      <c r="AB448" s="440">
        <v>0.0</v>
      </c>
      <c r="AC448" s="440">
        <v>0.0</v>
      </c>
      <c r="AD448" s="440">
        <v>0.0</v>
      </c>
      <c r="AE448" s="441"/>
      <c r="AF448" s="441"/>
      <c r="AG448" s="441"/>
      <c r="AH448" s="441"/>
      <c r="AI448" s="441"/>
      <c r="AJ448" s="441"/>
      <c r="AK448" s="441"/>
      <c r="AL448" s="441"/>
      <c r="AM448" s="441"/>
      <c r="AN448" s="441"/>
      <c r="AO448" s="441"/>
      <c r="AP448" s="441"/>
      <c r="AQ448" s="441"/>
      <c r="AR448" s="441"/>
      <c r="AS448" s="441"/>
      <c r="AT448" s="441"/>
      <c r="AU448" s="441"/>
      <c r="AV448" s="441"/>
      <c r="AW448" s="441"/>
      <c r="AX448" s="441"/>
      <c r="AY448" s="441"/>
      <c r="AZ448" s="441"/>
      <c r="BA448" s="441"/>
      <c r="BB448" s="441"/>
      <c r="BC448" s="441"/>
      <c r="BD448" s="441"/>
      <c r="BE448" s="441"/>
      <c r="BF448" s="441"/>
    </row>
    <row r="449" hidden="1" outlineLevel="1">
      <c r="A449" s="647" t="s">
        <v>762</v>
      </c>
      <c r="B449" s="651">
        <f t="shared" ref="B449:H449" si="231">B446/$B448</f>
        <v>2.5</v>
      </c>
      <c r="C449" s="651">
        <f t="shared" si="231"/>
        <v>3.5</v>
      </c>
      <c r="D449" s="651">
        <f t="shared" si="231"/>
        <v>4.5</v>
      </c>
      <c r="E449" s="651">
        <f t="shared" si="231"/>
        <v>5.833333333</v>
      </c>
      <c r="F449" s="651">
        <f t="shared" si="231"/>
        <v>7.166666667</v>
      </c>
      <c r="G449" s="651">
        <f t="shared" si="231"/>
        <v>8.833333333</v>
      </c>
      <c r="H449" s="651">
        <f t="shared" si="231"/>
        <v>10.5</v>
      </c>
      <c r="I449" s="640"/>
      <c r="J449" s="639"/>
      <c r="K449" s="639"/>
      <c r="L449" s="641" t="str">
        <f>VLOOKUP(A449,'Кузнец'!$B$145:$J$193,9,FALSE)</f>
        <v>#N/A</v>
      </c>
      <c r="M449" s="649"/>
      <c r="N449" s="639" t="str">
        <f>VLOOKUP(A449,'Кузнец'!$B$145:$J$193,4,FALSE)</f>
        <v>#N/A</v>
      </c>
      <c r="O449" s="639"/>
      <c r="P449" s="639"/>
      <c r="Q449" s="644"/>
      <c r="R449" s="639"/>
      <c r="S449" s="645"/>
      <c r="T449" s="640"/>
      <c r="U449" s="517"/>
      <c r="V449" s="438"/>
      <c r="W449" s="438"/>
      <c r="X449" s="440">
        <v>0.0</v>
      </c>
      <c r="Y449" s="440">
        <v>0.0</v>
      </c>
      <c r="Z449" s="440">
        <v>0.0</v>
      </c>
      <c r="AA449" s="440">
        <v>0.0</v>
      </c>
      <c r="AB449" s="440">
        <v>0.0</v>
      </c>
      <c r="AC449" s="440">
        <v>0.0</v>
      </c>
      <c r="AD449" s="440">
        <v>0.0</v>
      </c>
      <c r="AE449" s="441"/>
      <c r="AF449" s="441"/>
      <c r="AG449" s="441"/>
      <c r="AH449" s="441"/>
      <c r="AI449" s="441"/>
      <c r="AJ449" s="441"/>
      <c r="AK449" s="441"/>
      <c r="AL449" s="441"/>
      <c r="AM449" s="441"/>
      <c r="AN449" s="441"/>
      <c r="AO449" s="441"/>
      <c r="AP449" s="441"/>
      <c r="AQ449" s="441"/>
      <c r="AR449" s="441"/>
      <c r="AS449" s="441"/>
      <c r="AT449" s="441"/>
      <c r="AU449" s="441"/>
      <c r="AV449" s="441"/>
      <c r="AW449" s="441"/>
      <c r="AX449" s="441"/>
      <c r="AY449" s="441"/>
      <c r="AZ449" s="441"/>
      <c r="BA449" s="441"/>
      <c r="BB449" s="441"/>
      <c r="BC449" s="441"/>
      <c r="BD449" s="441"/>
      <c r="BE449" s="441"/>
      <c r="BF449" s="441"/>
    </row>
    <row r="450" collapsed="1">
      <c r="A450" s="654" t="s">
        <v>1081</v>
      </c>
      <c r="B450" s="649" t="s">
        <v>798</v>
      </c>
      <c r="C450" s="649" t="s">
        <v>935</v>
      </c>
      <c r="D450" s="649" t="s">
        <v>777</v>
      </c>
      <c r="E450" s="649" t="s">
        <v>1074</v>
      </c>
      <c r="F450" s="649" t="s">
        <v>950</v>
      </c>
      <c r="G450" s="649" t="s">
        <v>939</v>
      </c>
      <c r="H450" s="649" t="s">
        <v>1082</v>
      </c>
      <c r="I450" s="655" t="s">
        <v>754</v>
      </c>
      <c r="J450" s="656">
        <v>-3.0</v>
      </c>
      <c r="K450" s="639">
        <v>4.0</v>
      </c>
      <c r="L450" s="641">
        <f>VLOOKUP(A450,'Кузнец'!$B$145:$J$193,9,FALSE)</f>
        <v>2.8</v>
      </c>
      <c r="M450" s="642" t="s">
        <v>1083</v>
      </c>
      <c r="N450" s="639">
        <f>VLOOKUP(A450,'Кузнец'!$B$145:$J$193,4,FALSE)</f>
        <v>11</v>
      </c>
      <c r="O450" s="639">
        <v>16.0</v>
      </c>
      <c r="P450" s="643" t="s">
        <v>755</v>
      </c>
      <c r="Q450" s="644"/>
      <c r="R450" s="643" t="s">
        <v>1078</v>
      </c>
      <c r="S450" s="645">
        <f>'Персонаж'!I10+10</f>
        <v>14</v>
      </c>
      <c r="T450" s="640">
        <v>14.0</v>
      </c>
      <c r="U450" s="517"/>
      <c r="V450" s="463">
        <v>1.0</v>
      </c>
      <c r="W450" s="438"/>
      <c r="X450" s="440">
        <v>0.0</v>
      </c>
      <c r="Y450" s="440">
        <v>0.0</v>
      </c>
      <c r="Z450" s="440">
        <v>0.0</v>
      </c>
      <c r="AA450" s="440">
        <v>0.0</v>
      </c>
      <c r="AB450" s="440">
        <v>0.0</v>
      </c>
      <c r="AC450" s="440">
        <v>0.0</v>
      </c>
      <c r="AD450" s="440">
        <v>0.0</v>
      </c>
      <c r="AE450" s="441"/>
      <c r="AF450" s="441"/>
      <c r="AG450" s="441"/>
      <c r="AH450" s="441"/>
      <c r="AI450" s="441"/>
      <c r="AJ450" s="441"/>
      <c r="AK450" s="441"/>
      <c r="AL450" s="441"/>
      <c r="AM450" s="441"/>
      <c r="AN450" s="441"/>
      <c r="AO450" s="441"/>
      <c r="AP450" s="441"/>
      <c r="AQ450" s="441"/>
      <c r="AR450" s="441"/>
      <c r="AS450" s="441"/>
      <c r="AT450" s="441"/>
      <c r="AU450" s="441"/>
      <c r="AV450" s="441"/>
      <c r="AW450" s="441"/>
      <c r="AX450" s="441"/>
      <c r="AY450" s="441"/>
      <c r="AZ450" s="441"/>
      <c r="BA450" s="441"/>
      <c r="BB450" s="441"/>
      <c r="BC450" s="441"/>
      <c r="BD450" s="441"/>
      <c r="BE450" s="441"/>
      <c r="BF450" s="441"/>
    </row>
    <row r="451" hidden="1" outlineLevel="1">
      <c r="A451" s="647" t="s">
        <v>756</v>
      </c>
      <c r="B451" s="648">
        <v>1.0</v>
      </c>
      <c r="C451" s="648">
        <v>1.0</v>
      </c>
      <c r="D451" s="648">
        <v>1.0</v>
      </c>
      <c r="E451" s="648">
        <v>1.0</v>
      </c>
      <c r="F451" s="648">
        <v>1.0</v>
      </c>
      <c r="G451" s="648">
        <v>1.0</v>
      </c>
      <c r="H451" s="648">
        <v>2.0</v>
      </c>
      <c r="I451" s="655"/>
      <c r="J451" s="656"/>
      <c r="K451" s="649"/>
      <c r="L451" s="641" t="str">
        <f>VLOOKUP(A451,'Кузнец'!$B$145:$J$193,9,FALSE)</f>
        <v>#N/A</v>
      </c>
      <c r="M451" s="649"/>
      <c r="N451" s="639" t="str">
        <f t="shared" ref="N451:N457" si="232">VLOOKUP(A451,'Создание оружия'!$B$12:$H$104,4,FALSE)</f>
        <v>#REF!</v>
      </c>
      <c r="O451" s="639"/>
      <c r="P451" s="639"/>
      <c r="Q451" s="644"/>
      <c r="R451" s="639"/>
      <c r="S451" s="640"/>
      <c r="T451" s="640"/>
      <c r="U451" s="517"/>
      <c r="V451" s="438"/>
      <c r="W451" s="438"/>
      <c r="X451" s="440">
        <v>0.0</v>
      </c>
      <c r="Y451" s="440">
        <v>0.0</v>
      </c>
      <c r="Z451" s="440">
        <v>0.0</v>
      </c>
      <c r="AA451" s="440">
        <v>0.0</v>
      </c>
      <c r="AB451" s="440">
        <v>0.0</v>
      </c>
      <c r="AC451" s="440">
        <v>0.0</v>
      </c>
      <c r="AD451" s="440">
        <v>0.0</v>
      </c>
      <c r="AE451" s="441"/>
      <c r="AF451" s="441"/>
      <c r="AG451" s="441"/>
      <c r="AH451" s="441"/>
      <c r="AI451" s="441"/>
      <c r="AJ451" s="441"/>
      <c r="AK451" s="441"/>
      <c r="AL451" s="441"/>
      <c r="AM451" s="441"/>
      <c r="AN451" s="441"/>
      <c r="AO451" s="441"/>
      <c r="AP451" s="441"/>
      <c r="AQ451" s="441"/>
      <c r="AR451" s="441"/>
      <c r="AS451" s="441"/>
      <c r="AT451" s="441"/>
      <c r="AU451" s="441"/>
      <c r="AV451" s="441"/>
      <c r="AW451" s="441"/>
      <c r="AX451" s="441"/>
      <c r="AY451" s="441"/>
      <c r="AZ451" s="441"/>
      <c r="BA451" s="441"/>
      <c r="BB451" s="441"/>
      <c r="BC451" s="441"/>
      <c r="BD451" s="441"/>
      <c r="BE451" s="441"/>
      <c r="BF451" s="441"/>
    </row>
    <row r="452" hidden="1" outlineLevel="1">
      <c r="A452" s="647" t="s">
        <v>757</v>
      </c>
      <c r="B452" s="648">
        <v>8.0</v>
      </c>
      <c r="C452" s="648">
        <v>8.0</v>
      </c>
      <c r="D452" s="648">
        <v>10.0</v>
      </c>
      <c r="E452" s="648">
        <v>10.0</v>
      </c>
      <c r="F452" s="648">
        <v>12.0</v>
      </c>
      <c r="G452" s="648">
        <v>12.0</v>
      </c>
      <c r="H452" s="648">
        <v>16.0</v>
      </c>
      <c r="I452" s="655"/>
      <c r="J452" s="656"/>
      <c r="K452" s="649"/>
      <c r="L452" s="641" t="str">
        <f>VLOOKUP(A452,'Кузнец'!$B$145:$J$193,9,FALSE)</f>
        <v>#N/A</v>
      </c>
      <c r="M452" s="649"/>
      <c r="N452" s="639" t="str">
        <f t="shared" si="232"/>
        <v>#REF!</v>
      </c>
      <c r="O452" s="639"/>
      <c r="P452" s="639"/>
      <c r="Q452" s="644"/>
      <c r="R452" s="639"/>
      <c r="S452" s="640"/>
      <c r="T452" s="640"/>
      <c r="U452" s="517"/>
      <c r="V452" s="438"/>
      <c r="W452" s="438"/>
      <c r="X452" s="440">
        <v>0.0</v>
      </c>
      <c r="Y452" s="440">
        <v>0.0</v>
      </c>
      <c r="Z452" s="440">
        <v>0.0</v>
      </c>
      <c r="AA452" s="440">
        <v>0.0</v>
      </c>
      <c r="AB452" s="440">
        <v>0.0</v>
      </c>
      <c r="AC452" s="440">
        <v>0.0</v>
      </c>
      <c r="AD452" s="440">
        <v>0.0</v>
      </c>
      <c r="AE452" s="441"/>
      <c r="AF452" s="441"/>
      <c r="AG452" s="441"/>
      <c r="AH452" s="441"/>
      <c r="AI452" s="441"/>
      <c r="AJ452" s="441"/>
      <c r="AK452" s="441"/>
      <c r="AL452" s="441"/>
      <c r="AM452" s="441"/>
      <c r="AN452" s="441"/>
      <c r="AO452" s="441"/>
      <c r="AP452" s="441"/>
      <c r="AQ452" s="441"/>
      <c r="AR452" s="441"/>
      <c r="AS452" s="441"/>
      <c r="AT452" s="441"/>
      <c r="AU452" s="441"/>
      <c r="AV452" s="441"/>
      <c r="AW452" s="441"/>
      <c r="AX452" s="441"/>
      <c r="AY452" s="441"/>
      <c r="AZ452" s="441"/>
      <c r="BA452" s="441"/>
      <c r="BB452" s="441"/>
      <c r="BC452" s="441"/>
      <c r="BD452" s="441"/>
      <c r="BE452" s="441"/>
      <c r="BF452" s="441"/>
    </row>
    <row r="453" hidden="1" outlineLevel="1">
      <c r="A453" s="647" t="s">
        <v>758</v>
      </c>
      <c r="B453" s="648">
        <v>5.0</v>
      </c>
      <c r="C453" s="648">
        <v>9.0</v>
      </c>
      <c r="D453" s="648">
        <v>12.0</v>
      </c>
      <c r="E453" s="648">
        <v>17.0</v>
      </c>
      <c r="F453" s="648">
        <v>21.0</v>
      </c>
      <c r="G453" s="648">
        <v>27.0</v>
      </c>
      <c r="H453" s="648">
        <v>31.0</v>
      </c>
      <c r="I453" s="655"/>
      <c r="J453" s="656"/>
      <c r="K453" s="649"/>
      <c r="L453" s="641" t="str">
        <f>VLOOKUP(A453,'Кузнец'!$B$145:$J$193,9,FALSE)</f>
        <v>#N/A</v>
      </c>
      <c r="M453" s="649"/>
      <c r="N453" s="639" t="str">
        <f t="shared" si="232"/>
        <v>#REF!</v>
      </c>
      <c r="O453" s="639"/>
      <c r="P453" s="639"/>
      <c r="Q453" s="644"/>
      <c r="R453" s="639"/>
      <c r="S453" s="640"/>
      <c r="T453" s="640"/>
      <c r="U453" s="517"/>
      <c r="V453" s="438"/>
      <c r="W453" s="438"/>
      <c r="X453" s="440">
        <v>0.0</v>
      </c>
      <c r="Y453" s="440">
        <v>0.0</v>
      </c>
      <c r="Z453" s="440">
        <v>0.0</v>
      </c>
      <c r="AA453" s="440">
        <v>0.0</v>
      </c>
      <c r="AB453" s="440">
        <v>0.0</v>
      </c>
      <c r="AC453" s="440">
        <v>0.0</v>
      </c>
      <c r="AD453" s="440">
        <v>0.0</v>
      </c>
      <c r="AE453" s="441"/>
      <c r="AF453" s="441"/>
      <c r="AG453" s="441"/>
      <c r="AH453" s="441"/>
      <c r="AI453" s="441"/>
      <c r="AJ453" s="441"/>
      <c r="AK453" s="441"/>
      <c r="AL453" s="441"/>
      <c r="AM453" s="441"/>
      <c r="AN453" s="441"/>
      <c r="AO453" s="441"/>
      <c r="AP453" s="441"/>
      <c r="AQ453" s="441"/>
      <c r="AR453" s="441"/>
      <c r="AS453" s="441"/>
      <c r="AT453" s="441"/>
      <c r="AU453" s="441"/>
      <c r="AV453" s="441"/>
      <c r="AW453" s="441"/>
      <c r="AX453" s="441"/>
      <c r="AY453" s="441"/>
      <c r="AZ453" s="441"/>
      <c r="BA453" s="441"/>
      <c r="BB453" s="441"/>
      <c r="BC453" s="441"/>
      <c r="BD453" s="441"/>
      <c r="BE453" s="441"/>
      <c r="BF453" s="441"/>
    </row>
    <row r="454" hidden="1" outlineLevel="1">
      <c r="A454" s="647" t="s">
        <v>759</v>
      </c>
      <c r="B454" s="648">
        <f t="shared" ref="B454:H454" si="233">(B451+B452)/2+B453</f>
        <v>9.5</v>
      </c>
      <c r="C454" s="648">
        <f t="shared" si="233"/>
        <v>13.5</v>
      </c>
      <c r="D454" s="648">
        <f t="shared" si="233"/>
        <v>17.5</v>
      </c>
      <c r="E454" s="648">
        <f t="shared" si="233"/>
        <v>22.5</v>
      </c>
      <c r="F454" s="648">
        <f t="shared" si="233"/>
        <v>27.5</v>
      </c>
      <c r="G454" s="648">
        <f t="shared" si="233"/>
        <v>33.5</v>
      </c>
      <c r="H454" s="648">
        <f t="shared" si="233"/>
        <v>40</v>
      </c>
      <c r="I454" s="655"/>
      <c r="J454" s="656"/>
      <c r="K454" s="649"/>
      <c r="L454" s="641" t="str">
        <f>VLOOKUP(A454,'Кузнец'!$B$145:$J$193,9,FALSE)</f>
        <v>#N/A</v>
      </c>
      <c r="M454" s="649"/>
      <c r="N454" s="639" t="str">
        <f t="shared" si="232"/>
        <v>#REF!</v>
      </c>
      <c r="O454" s="639"/>
      <c r="P454" s="639"/>
      <c r="Q454" s="644"/>
      <c r="R454" s="639"/>
      <c r="S454" s="640"/>
      <c r="T454" s="640"/>
      <c r="U454" s="517"/>
      <c r="V454" s="438"/>
      <c r="W454" s="438"/>
      <c r="X454" s="440">
        <v>0.0</v>
      </c>
      <c r="Y454" s="440">
        <v>0.0</v>
      </c>
      <c r="Z454" s="440">
        <v>0.0</v>
      </c>
      <c r="AA454" s="440">
        <v>0.0</v>
      </c>
      <c r="AB454" s="440">
        <v>0.0</v>
      </c>
      <c r="AC454" s="440">
        <v>0.0</v>
      </c>
      <c r="AD454" s="440">
        <v>0.0</v>
      </c>
      <c r="AE454" s="441"/>
      <c r="AF454" s="441"/>
      <c r="AG454" s="441"/>
      <c r="AH454" s="441"/>
      <c r="AI454" s="441"/>
      <c r="AJ454" s="441"/>
      <c r="AK454" s="441"/>
      <c r="AL454" s="441"/>
      <c r="AM454" s="441"/>
      <c r="AN454" s="441"/>
      <c r="AO454" s="441"/>
      <c r="AP454" s="441"/>
      <c r="AQ454" s="441"/>
      <c r="AR454" s="441"/>
      <c r="AS454" s="441"/>
      <c r="AT454" s="441"/>
      <c r="AU454" s="441"/>
      <c r="AV454" s="441"/>
      <c r="AW454" s="441"/>
      <c r="AX454" s="441"/>
      <c r="AY454" s="441"/>
      <c r="AZ454" s="441"/>
      <c r="BA454" s="441"/>
      <c r="BB454" s="441"/>
      <c r="BC454" s="441"/>
      <c r="BD454" s="441"/>
      <c r="BE454" s="441"/>
      <c r="BF454" s="441"/>
    </row>
    <row r="455" hidden="1" outlineLevel="1">
      <c r="A455" s="647" t="s">
        <v>760</v>
      </c>
      <c r="B455" s="650"/>
      <c r="C455" s="650">
        <f t="shared" ref="C455:H455" si="234">C454/B454-1</f>
        <v>0.4210526316</v>
      </c>
      <c r="D455" s="650">
        <f t="shared" si="234"/>
        <v>0.2962962963</v>
      </c>
      <c r="E455" s="650">
        <f t="shared" si="234"/>
        <v>0.2857142857</v>
      </c>
      <c r="F455" s="650">
        <f t="shared" si="234"/>
        <v>0.2222222222</v>
      </c>
      <c r="G455" s="650">
        <f t="shared" si="234"/>
        <v>0.2181818182</v>
      </c>
      <c r="H455" s="650">
        <f t="shared" si="234"/>
        <v>0.1940298507</v>
      </c>
      <c r="I455" s="655"/>
      <c r="J455" s="656"/>
      <c r="K455" s="649"/>
      <c r="L455" s="641" t="str">
        <f>VLOOKUP(A455,'Кузнец'!$B$145:$J$193,9,FALSE)</f>
        <v>#N/A</v>
      </c>
      <c r="M455" s="649"/>
      <c r="N455" s="639" t="str">
        <f t="shared" si="232"/>
        <v>#REF!</v>
      </c>
      <c r="O455" s="639"/>
      <c r="P455" s="639"/>
      <c r="Q455" s="644"/>
      <c r="R455" s="639"/>
      <c r="S455" s="640"/>
      <c r="T455" s="640"/>
      <c r="U455" s="517"/>
      <c r="V455" s="438"/>
      <c r="W455" s="438"/>
      <c r="X455" s="440">
        <v>0.0</v>
      </c>
      <c r="Y455" s="440">
        <v>0.0</v>
      </c>
      <c r="Z455" s="440">
        <v>0.0</v>
      </c>
      <c r="AA455" s="440">
        <v>0.0</v>
      </c>
      <c r="AB455" s="440">
        <v>0.0</v>
      </c>
      <c r="AC455" s="440">
        <v>0.0</v>
      </c>
      <c r="AD455" s="440">
        <v>0.0</v>
      </c>
      <c r="AE455" s="441"/>
      <c r="AF455" s="441"/>
      <c r="AG455" s="441"/>
      <c r="AH455" s="441"/>
      <c r="AI455" s="441"/>
      <c r="AJ455" s="441"/>
      <c r="AK455" s="441"/>
      <c r="AL455" s="441"/>
      <c r="AM455" s="441"/>
      <c r="AN455" s="441"/>
      <c r="AO455" s="441"/>
      <c r="AP455" s="441"/>
      <c r="AQ455" s="441"/>
      <c r="AR455" s="441"/>
      <c r="AS455" s="441"/>
      <c r="AT455" s="441"/>
      <c r="AU455" s="441"/>
      <c r="AV455" s="441"/>
      <c r="AW455" s="441"/>
      <c r="AX455" s="441"/>
      <c r="AY455" s="441"/>
      <c r="AZ455" s="441"/>
      <c r="BA455" s="441"/>
      <c r="BB455" s="441"/>
      <c r="BC455" s="441"/>
      <c r="BD455" s="441"/>
      <c r="BE455" s="441"/>
      <c r="BF455" s="441"/>
    </row>
    <row r="456" hidden="1" outlineLevel="1">
      <c r="A456" s="647" t="s">
        <v>761</v>
      </c>
      <c r="B456" s="648">
        <v>4.0</v>
      </c>
      <c r="C456" s="648"/>
      <c r="D456" s="650"/>
      <c r="E456" s="650"/>
      <c r="F456" s="650"/>
      <c r="G456" s="650"/>
      <c r="H456" s="650"/>
      <c r="I456" s="655"/>
      <c r="J456" s="656"/>
      <c r="K456" s="649"/>
      <c r="L456" s="641" t="str">
        <f>VLOOKUP(A456,'Кузнец'!$B$145:$J$193,9,FALSE)</f>
        <v>#N/A</v>
      </c>
      <c r="M456" s="649"/>
      <c r="N456" s="639" t="str">
        <f t="shared" si="232"/>
        <v>#REF!</v>
      </c>
      <c r="O456" s="639"/>
      <c r="P456" s="639"/>
      <c r="Q456" s="644"/>
      <c r="R456" s="639"/>
      <c r="S456" s="640"/>
      <c r="T456" s="640"/>
      <c r="U456" s="517"/>
      <c r="V456" s="438"/>
      <c r="W456" s="438"/>
      <c r="X456" s="440">
        <v>0.0</v>
      </c>
      <c r="Y456" s="440">
        <v>0.0</v>
      </c>
      <c r="Z456" s="440">
        <v>0.0</v>
      </c>
      <c r="AA456" s="440">
        <v>0.0</v>
      </c>
      <c r="AB456" s="440">
        <v>0.0</v>
      </c>
      <c r="AC456" s="440">
        <v>0.0</v>
      </c>
      <c r="AD456" s="440">
        <v>0.0</v>
      </c>
      <c r="AE456" s="441"/>
      <c r="AF456" s="441"/>
      <c r="AG456" s="441"/>
      <c r="AH456" s="441"/>
      <c r="AI456" s="441"/>
      <c r="AJ456" s="441"/>
      <c r="AK456" s="441"/>
      <c r="AL456" s="441"/>
      <c r="AM456" s="441"/>
      <c r="AN456" s="441"/>
      <c r="AO456" s="441"/>
      <c r="AP456" s="441"/>
      <c r="AQ456" s="441"/>
      <c r="AR456" s="441"/>
      <c r="AS456" s="441"/>
      <c r="AT456" s="441"/>
      <c r="AU456" s="441"/>
      <c r="AV456" s="441"/>
      <c r="AW456" s="441"/>
      <c r="AX456" s="441"/>
      <c r="AY456" s="441"/>
      <c r="AZ456" s="441"/>
      <c r="BA456" s="441"/>
      <c r="BB456" s="441"/>
      <c r="BC456" s="441"/>
      <c r="BD456" s="441"/>
      <c r="BE456" s="441"/>
      <c r="BF456" s="441"/>
    </row>
    <row r="457" hidden="1" outlineLevel="1">
      <c r="A457" s="647" t="s">
        <v>762</v>
      </c>
      <c r="B457" s="651">
        <f t="shared" ref="B457:H457" si="235">B454/$B456</f>
        <v>2.375</v>
      </c>
      <c r="C457" s="651">
        <f t="shared" si="235"/>
        <v>3.375</v>
      </c>
      <c r="D457" s="651">
        <f t="shared" si="235"/>
        <v>4.375</v>
      </c>
      <c r="E457" s="651">
        <f t="shared" si="235"/>
        <v>5.625</v>
      </c>
      <c r="F457" s="651">
        <f t="shared" si="235"/>
        <v>6.875</v>
      </c>
      <c r="G457" s="651">
        <f t="shared" si="235"/>
        <v>8.375</v>
      </c>
      <c r="H457" s="651">
        <f t="shared" si="235"/>
        <v>10</v>
      </c>
      <c r="I457" s="655"/>
      <c r="J457" s="656"/>
      <c r="K457" s="649"/>
      <c r="L457" s="641" t="str">
        <f>VLOOKUP(A457,'Кузнец'!$B$145:$J$193,9,FALSE)</f>
        <v>#N/A</v>
      </c>
      <c r="M457" s="649"/>
      <c r="N457" s="639" t="str">
        <f t="shared" si="232"/>
        <v>#REF!</v>
      </c>
      <c r="O457" s="639"/>
      <c r="P457" s="639"/>
      <c r="Q457" s="644"/>
      <c r="R457" s="639"/>
      <c r="S457" s="640"/>
      <c r="T457" s="640"/>
      <c r="U457" s="517"/>
      <c r="V457" s="438"/>
      <c r="W457" s="438"/>
      <c r="X457" s="440">
        <v>0.0</v>
      </c>
      <c r="Y457" s="440">
        <v>0.0</v>
      </c>
      <c r="Z457" s="440">
        <v>0.0</v>
      </c>
      <c r="AA457" s="440">
        <v>0.0</v>
      </c>
      <c r="AB457" s="440">
        <v>0.0</v>
      </c>
      <c r="AC457" s="440">
        <v>0.0</v>
      </c>
      <c r="AD457" s="440">
        <v>0.0</v>
      </c>
      <c r="AE457" s="441"/>
      <c r="AF457" s="441"/>
      <c r="AG457" s="441"/>
      <c r="AH457" s="441"/>
      <c r="AI457" s="441"/>
      <c r="AJ457" s="441"/>
      <c r="AK457" s="441"/>
      <c r="AL457" s="441"/>
      <c r="AM457" s="441"/>
      <c r="AN457" s="441"/>
      <c r="AO457" s="441"/>
      <c r="AP457" s="441"/>
      <c r="AQ457" s="441"/>
      <c r="AR457" s="441"/>
      <c r="AS457" s="441"/>
      <c r="AT457" s="441"/>
      <c r="AU457" s="441"/>
      <c r="AV457" s="441"/>
      <c r="AW457" s="441"/>
      <c r="AX457" s="441"/>
      <c r="AY457" s="441"/>
      <c r="AZ457" s="441"/>
      <c r="BA457" s="441"/>
      <c r="BB457" s="441"/>
      <c r="BC457" s="441"/>
      <c r="BD457" s="441"/>
      <c r="BE457" s="441"/>
      <c r="BF457" s="441"/>
    </row>
    <row r="458" collapsed="1">
      <c r="A458" s="657" t="s">
        <v>1084</v>
      </c>
      <c r="B458" s="652" t="s">
        <v>1085</v>
      </c>
      <c r="C458" s="652" t="s">
        <v>1086</v>
      </c>
      <c r="D458" s="652" t="s">
        <v>1087</v>
      </c>
      <c r="E458" s="652" t="s">
        <v>1088</v>
      </c>
      <c r="F458" s="652" t="s">
        <v>1089</v>
      </c>
      <c r="G458" s="652" t="s">
        <v>1090</v>
      </c>
      <c r="H458" s="652" t="s">
        <v>1091</v>
      </c>
      <c r="I458" s="653" t="s">
        <v>754</v>
      </c>
      <c r="J458" s="658">
        <v>-5.0</v>
      </c>
      <c r="K458" s="643">
        <v>4.0</v>
      </c>
      <c r="L458" s="641">
        <f>VLOOKUP(A458,'Механик'!B165:I165,7,FALSE)</f>
        <v>0.28</v>
      </c>
      <c r="M458" s="658" t="s">
        <v>1092</v>
      </c>
      <c r="N458" s="659">
        <f>VLOOKUP(A458,'Механик'!$B$165:$I$165,5,FALSE)</f>
        <v>6</v>
      </c>
      <c r="O458" s="639">
        <v>4.0</v>
      </c>
      <c r="P458" s="643" t="s">
        <v>755</v>
      </c>
      <c r="Q458" s="644"/>
      <c r="R458" s="643" t="s">
        <v>1093</v>
      </c>
      <c r="S458" s="660">
        <f>'Персонаж'!I10+2</f>
        <v>6</v>
      </c>
      <c r="T458" s="661">
        <v>6.0</v>
      </c>
      <c r="U458" s="517"/>
      <c r="V458" s="438"/>
      <c r="W458" s="438"/>
      <c r="X458" s="440">
        <v>0.0</v>
      </c>
      <c r="Y458" s="440">
        <v>0.0</v>
      </c>
      <c r="Z458" s="440">
        <v>0.0</v>
      </c>
      <c r="AA458" s="440">
        <v>0.0</v>
      </c>
      <c r="AB458" s="440">
        <v>0.0</v>
      </c>
      <c r="AC458" s="440">
        <v>0.0</v>
      </c>
      <c r="AD458" s="440">
        <v>0.0</v>
      </c>
      <c r="AE458" s="441"/>
      <c r="AF458" s="441"/>
      <c r="AG458" s="441"/>
      <c r="AH458" s="441"/>
      <c r="AI458" s="441"/>
      <c r="AJ458" s="441"/>
      <c r="AK458" s="441"/>
      <c r="AL458" s="441"/>
      <c r="AM458" s="441"/>
      <c r="AN458" s="441"/>
      <c r="AO458" s="441"/>
      <c r="AP458" s="441"/>
      <c r="AQ458" s="441"/>
      <c r="AR458" s="441"/>
      <c r="AS458" s="441"/>
      <c r="AT458" s="441"/>
      <c r="AU458" s="441"/>
      <c r="AV458" s="441"/>
      <c r="AW458" s="441"/>
      <c r="AX458" s="441"/>
      <c r="AY458" s="441"/>
      <c r="AZ458" s="441"/>
      <c r="BA458" s="441"/>
      <c r="BB458" s="441"/>
      <c r="BC458" s="441"/>
      <c r="BD458" s="441"/>
      <c r="BE458" s="441"/>
      <c r="BF458" s="441"/>
    </row>
    <row r="459" hidden="1" outlineLevel="1">
      <c r="A459" s="647" t="s">
        <v>756</v>
      </c>
      <c r="B459" s="648">
        <v>1.0</v>
      </c>
      <c r="C459" s="648">
        <v>1.0</v>
      </c>
      <c r="D459" s="648">
        <v>3.0</v>
      </c>
      <c r="E459" s="648">
        <v>3.0</v>
      </c>
      <c r="F459" s="648">
        <v>2.0</v>
      </c>
      <c r="G459" s="648">
        <v>2.0</v>
      </c>
      <c r="H459" s="648">
        <v>5.0</v>
      </c>
      <c r="I459" s="662"/>
      <c r="J459" s="656"/>
      <c r="K459" s="649"/>
      <c r="L459" s="641" t="str">
        <f t="shared" ref="L459:L465" si="236">VLOOKUP(A459,'Weapon crafting'!$B$11:$H$103,6,FALSE)</f>
        <v>#REF!</v>
      </c>
      <c r="M459" s="649"/>
      <c r="N459" s="639"/>
      <c r="O459" s="639"/>
      <c r="P459" s="639"/>
      <c r="Q459" s="644"/>
      <c r="R459" s="639"/>
      <c r="S459" s="640"/>
      <c r="T459" s="663"/>
      <c r="U459" s="663"/>
      <c r="V459" s="441"/>
      <c r="W459" s="441"/>
      <c r="X459" s="517"/>
      <c r="Y459" s="517"/>
      <c r="Z459" s="517"/>
      <c r="AA459" s="517"/>
      <c r="AB459" s="517"/>
      <c r="AC459" s="441"/>
      <c r="AD459" s="441"/>
      <c r="AE459" s="441"/>
      <c r="AF459" s="441"/>
      <c r="AG459" s="441"/>
      <c r="AH459" s="441"/>
      <c r="AI459" s="441"/>
      <c r="AJ459" s="441"/>
      <c r="AK459" s="441"/>
      <c r="AL459" s="441"/>
      <c r="AM459" s="441"/>
      <c r="AN459" s="441"/>
      <c r="AO459" s="441"/>
      <c r="AP459" s="441"/>
      <c r="AQ459" s="441"/>
      <c r="AR459" s="441"/>
      <c r="AS459" s="441"/>
      <c r="AT459" s="441"/>
      <c r="AU459" s="441"/>
      <c r="AV459" s="441"/>
      <c r="AW459" s="441"/>
      <c r="AX459" s="441"/>
      <c r="AY459" s="441"/>
      <c r="AZ459" s="441"/>
      <c r="BA459" s="441"/>
      <c r="BB459" s="441"/>
      <c r="BC459" s="441"/>
      <c r="BD459" s="441"/>
      <c r="BE459" s="441"/>
      <c r="BF459" s="441"/>
    </row>
    <row r="460" hidden="1" outlineLevel="1">
      <c r="A460" s="647" t="s">
        <v>757</v>
      </c>
      <c r="B460" s="648">
        <v>20.0</v>
      </c>
      <c r="C460" s="648">
        <v>20.0</v>
      </c>
      <c r="D460" s="648">
        <v>30.0</v>
      </c>
      <c r="E460" s="648">
        <v>30.0</v>
      </c>
      <c r="F460" s="648">
        <v>40.0</v>
      </c>
      <c r="G460" s="648">
        <v>40.0</v>
      </c>
      <c r="H460" s="648">
        <v>50.0</v>
      </c>
      <c r="I460" s="662"/>
      <c r="J460" s="656"/>
      <c r="K460" s="649"/>
      <c r="L460" s="641" t="str">
        <f t="shared" si="236"/>
        <v>#REF!</v>
      </c>
      <c r="M460" s="649"/>
      <c r="N460" s="639"/>
      <c r="O460" s="639"/>
      <c r="P460" s="639"/>
      <c r="Q460" s="644"/>
      <c r="R460" s="639"/>
      <c r="S460" s="640"/>
      <c r="T460" s="663"/>
      <c r="U460" s="663"/>
      <c r="V460" s="441"/>
      <c r="W460" s="441"/>
      <c r="X460" s="517"/>
      <c r="Y460" s="517"/>
      <c r="Z460" s="517"/>
      <c r="AA460" s="517"/>
      <c r="AB460" s="517"/>
      <c r="AC460" s="441"/>
      <c r="AD460" s="441"/>
      <c r="AE460" s="441"/>
      <c r="AF460" s="441"/>
      <c r="AG460" s="441"/>
      <c r="AH460" s="441"/>
      <c r="AI460" s="441"/>
      <c r="AJ460" s="441"/>
      <c r="AK460" s="441"/>
      <c r="AL460" s="441"/>
      <c r="AM460" s="441"/>
      <c r="AN460" s="441"/>
      <c r="AO460" s="441"/>
      <c r="AP460" s="441"/>
      <c r="AQ460" s="441"/>
      <c r="AR460" s="441"/>
      <c r="AS460" s="441"/>
      <c r="AT460" s="441"/>
      <c r="AU460" s="441"/>
      <c r="AV460" s="441"/>
      <c r="AW460" s="441"/>
      <c r="AX460" s="441"/>
      <c r="AY460" s="441"/>
      <c r="AZ460" s="441"/>
      <c r="BA460" s="441"/>
      <c r="BB460" s="441"/>
      <c r="BC460" s="441"/>
      <c r="BD460" s="441"/>
      <c r="BE460" s="441"/>
      <c r="BF460" s="441"/>
    </row>
    <row r="461" hidden="1" outlineLevel="1">
      <c r="A461" s="647" t="s">
        <v>758</v>
      </c>
      <c r="B461" s="648">
        <v>4.0</v>
      </c>
      <c r="C461" s="648">
        <v>10.0</v>
      </c>
      <c r="D461" s="648">
        <v>10.0</v>
      </c>
      <c r="E461" s="648">
        <v>17.0</v>
      </c>
      <c r="F461" s="648">
        <v>20.0</v>
      </c>
      <c r="G461" s="648">
        <v>28.0</v>
      </c>
      <c r="H461" s="648">
        <v>30.0</v>
      </c>
      <c r="I461" s="662"/>
      <c r="J461" s="656"/>
      <c r="K461" s="649"/>
      <c r="L461" s="641" t="str">
        <f t="shared" si="236"/>
        <v>#REF!</v>
      </c>
      <c r="M461" s="649"/>
      <c r="N461" s="639"/>
      <c r="O461" s="639"/>
      <c r="P461" s="639"/>
      <c r="Q461" s="644"/>
      <c r="R461" s="639"/>
      <c r="S461" s="640"/>
      <c r="T461" s="663"/>
      <c r="U461" s="663"/>
      <c r="V461" s="441"/>
      <c r="W461" s="441"/>
      <c r="X461" s="517"/>
      <c r="Y461" s="517"/>
      <c r="Z461" s="517"/>
      <c r="AA461" s="517"/>
      <c r="AB461" s="517"/>
      <c r="AC461" s="441"/>
      <c r="AD461" s="441"/>
      <c r="AE461" s="441"/>
      <c r="AF461" s="441"/>
      <c r="AG461" s="441"/>
      <c r="AH461" s="441"/>
      <c r="AI461" s="441"/>
      <c r="AJ461" s="441"/>
      <c r="AK461" s="441"/>
      <c r="AL461" s="441"/>
      <c r="AM461" s="441"/>
      <c r="AN461" s="441"/>
      <c r="AO461" s="441"/>
      <c r="AP461" s="441"/>
      <c r="AQ461" s="441"/>
      <c r="AR461" s="441"/>
      <c r="AS461" s="441"/>
      <c r="AT461" s="441"/>
      <c r="AU461" s="441"/>
      <c r="AV461" s="441"/>
      <c r="AW461" s="441"/>
      <c r="AX461" s="441"/>
      <c r="AY461" s="441"/>
      <c r="AZ461" s="441"/>
      <c r="BA461" s="441"/>
      <c r="BB461" s="441"/>
      <c r="BC461" s="441"/>
      <c r="BD461" s="441"/>
      <c r="BE461" s="441"/>
      <c r="BF461" s="441"/>
    </row>
    <row r="462" hidden="1" outlineLevel="1">
      <c r="A462" s="647" t="s">
        <v>759</v>
      </c>
      <c r="B462" s="648">
        <f t="shared" ref="B462:H462" si="237">(B459+B460)/2+B461</f>
        <v>14.5</v>
      </c>
      <c r="C462" s="648">
        <f t="shared" si="237"/>
        <v>20.5</v>
      </c>
      <c r="D462" s="648">
        <f t="shared" si="237"/>
        <v>26.5</v>
      </c>
      <c r="E462" s="648">
        <f t="shared" si="237"/>
        <v>33.5</v>
      </c>
      <c r="F462" s="648">
        <f t="shared" si="237"/>
        <v>41</v>
      </c>
      <c r="G462" s="648">
        <f t="shared" si="237"/>
        <v>49</v>
      </c>
      <c r="H462" s="648">
        <f t="shared" si="237"/>
        <v>57.5</v>
      </c>
      <c r="I462" s="662"/>
      <c r="J462" s="656"/>
      <c r="K462" s="649"/>
      <c r="L462" s="641" t="str">
        <f t="shared" si="236"/>
        <v>#REF!</v>
      </c>
      <c r="M462" s="649"/>
      <c r="N462" s="639"/>
      <c r="O462" s="639"/>
      <c r="P462" s="639"/>
      <c r="Q462" s="644"/>
      <c r="R462" s="639"/>
      <c r="S462" s="640"/>
      <c r="T462" s="663"/>
      <c r="U462" s="663"/>
      <c r="V462" s="441"/>
      <c r="W462" s="441"/>
      <c r="X462" s="517"/>
      <c r="Y462" s="517"/>
      <c r="Z462" s="517"/>
      <c r="AA462" s="517"/>
      <c r="AB462" s="517"/>
      <c r="AC462" s="441"/>
      <c r="AD462" s="441"/>
      <c r="AE462" s="441"/>
      <c r="AF462" s="441"/>
      <c r="AG462" s="441"/>
      <c r="AH462" s="441"/>
      <c r="AI462" s="441"/>
      <c r="AJ462" s="441"/>
      <c r="AK462" s="441"/>
      <c r="AL462" s="441"/>
      <c r="AM462" s="441"/>
      <c r="AN462" s="441"/>
      <c r="AO462" s="441"/>
      <c r="AP462" s="441"/>
      <c r="AQ462" s="441"/>
      <c r="AR462" s="441"/>
      <c r="AS462" s="441"/>
      <c r="AT462" s="441"/>
      <c r="AU462" s="441"/>
      <c r="AV462" s="441"/>
      <c r="AW462" s="441"/>
      <c r="AX462" s="441"/>
      <c r="AY462" s="441"/>
      <c r="AZ462" s="441"/>
      <c r="BA462" s="441"/>
      <c r="BB462" s="441"/>
      <c r="BC462" s="441"/>
      <c r="BD462" s="441"/>
      <c r="BE462" s="441"/>
      <c r="BF462" s="441"/>
    </row>
    <row r="463" hidden="1" outlineLevel="1">
      <c r="A463" s="647" t="s">
        <v>760</v>
      </c>
      <c r="B463" s="650"/>
      <c r="C463" s="650">
        <f t="shared" ref="C463:H463" si="238">C462/B462-1</f>
        <v>0.4137931034</v>
      </c>
      <c r="D463" s="650">
        <f t="shared" si="238"/>
        <v>0.2926829268</v>
      </c>
      <c r="E463" s="650">
        <f t="shared" si="238"/>
        <v>0.2641509434</v>
      </c>
      <c r="F463" s="650">
        <f t="shared" si="238"/>
        <v>0.223880597</v>
      </c>
      <c r="G463" s="650">
        <f t="shared" si="238"/>
        <v>0.1951219512</v>
      </c>
      <c r="H463" s="650">
        <f t="shared" si="238"/>
        <v>0.1734693878</v>
      </c>
      <c r="I463" s="662"/>
      <c r="J463" s="656"/>
      <c r="K463" s="649"/>
      <c r="L463" s="641" t="str">
        <f t="shared" si="236"/>
        <v>#REF!</v>
      </c>
      <c r="M463" s="649"/>
      <c r="N463" s="639"/>
      <c r="O463" s="639"/>
      <c r="P463" s="639"/>
      <c r="Q463" s="644"/>
      <c r="R463" s="639"/>
      <c r="S463" s="640"/>
      <c r="T463" s="663"/>
      <c r="U463" s="663"/>
      <c r="V463" s="441"/>
      <c r="W463" s="441"/>
      <c r="X463" s="517"/>
      <c r="Y463" s="517"/>
      <c r="Z463" s="517"/>
      <c r="AA463" s="517"/>
      <c r="AB463" s="517"/>
      <c r="AC463" s="441"/>
      <c r="AD463" s="441"/>
      <c r="AE463" s="441"/>
      <c r="AF463" s="441"/>
      <c r="AG463" s="441"/>
      <c r="AH463" s="441"/>
      <c r="AI463" s="441"/>
      <c r="AJ463" s="441"/>
      <c r="AK463" s="441"/>
      <c r="AL463" s="441"/>
      <c r="AM463" s="441"/>
      <c r="AN463" s="441"/>
      <c r="AO463" s="441"/>
      <c r="AP463" s="441"/>
      <c r="AQ463" s="441"/>
      <c r="AR463" s="441"/>
      <c r="AS463" s="441"/>
      <c r="AT463" s="441"/>
      <c r="AU463" s="441"/>
      <c r="AV463" s="441"/>
      <c r="AW463" s="441"/>
      <c r="AX463" s="441"/>
      <c r="AY463" s="441"/>
      <c r="AZ463" s="441"/>
      <c r="BA463" s="441"/>
      <c r="BB463" s="441"/>
      <c r="BC463" s="441"/>
      <c r="BD463" s="441"/>
      <c r="BE463" s="441"/>
      <c r="BF463" s="441"/>
    </row>
    <row r="464" hidden="1" outlineLevel="1">
      <c r="A464" s="647" t="s">
        <v>761</v>
      </c>
      <c r="B464" s="648">
        <v>6.0</v>
      </c>
      <c r="C464" s="648"/>
      <c r="D464" s="650"/>
      <c r="E464" s="650"/>
      <c r="F464" s="650"/>
      <c r="G464" s="650"/>
      <c r="H464" s="650"/>
      <c r="I464" s="662"/>
      <c r="J464" s="656"/>
      <c r="K464" s="649"/>
      <c r="L464" s="641" t="str">
        <f t="shared" si="236"/>
        <v>#REF!</v>
      </c>
      <c r="M464" s="649"/>
      <c r="N464" s="639"/>
      <c r="O464" s="639"/>
      <c r="P464" s="639"/>
      <c r="Q464" s="644"/>
      <c r="R464" s="639"/>
      <c r="S464" s="640"/>
      <c r="T464" s="663"/>
      <c r="U464" s="663"/>
      <c r="V464" s="441"/>
      <c r="W464" s="441"/>
      <c r="X464" s="517"/>
      <c r="Y464" s="517"/>
      <c r="Z464" s="517"/>
      <c r="AA464" s="517"/>
      <c r="AB464" s="517"/>
      <c r="AC464" s="441"/>
      <c r="AD464" s="441"/>
      <c r="AE464" s="441"/>
      <c r="AF464" s="441"/>
      <c r="AG464" s="441"/>
      <c r="AH464" s="441"/>
      <c r="AI464" s="441"/>
      <c r="AJ464" s="441"/>
      <c r="AK464" s="441"/>
      <c r="AL464" s="441"/>
      <c r="AM464" s="441"/>
      <c r="AN464" s="441"/>
      <c r="AO464" s="441"/>
      <c r="AP464" s="441"/>
      <c r="AQ464" s="441"/>
      <c r="AR464" s="441"/>
      <c r="AS464" s="441"/>
      <c r="AT464" s="441"/>
      <c r="AU464" s="441"/>
      <c r="AV464" s="441"/>
      <c r="AW464" s="441"/>
      <c r="AX464" s="441"/>
      <c r="AY464" s="441"/>
      <c r="AZ464" s="441"/>
      <c r="BA464" s="441"/>
      <c r="BB464" s="441"/>
      <c r="BC464" s="441"/>
      <c r="BD464" s="441"/>
      <c r="BE464" s="441"/>
      <c r="BF464" s="441"/>
    </row>
    <row r="465" hidden="1" outlineLevel="1">
      <c r="A465" s="647" t="s">
        <v>762</v>
      </c>
      <c r="B465" s="651">
        <f t="shared" ref="B465:H465" si="239">B462/$B464</f>
        <v>2.416666667</v>
      </c>
      <c r="C465" s="651">
        <f t="shared" si="239"/>
        <v>3.416666667</v>
      </c>
      <c r="D465" s="651">
        <f t="shared" si="239"/>
        <v>4.416666667</v>
      </c>
      <c r="E465" s="651">
        <f t="shared" si="239"/>
        <v>5.583333333</v>
      </c>
      <c r="F465" s="651">
        <f t="shared" si="239"/>
        <v>6.833333333</v>
      </c>
      <c r="G465" s="651">
        <f t="shared" si="239"/>
        <v>8.166666667</v>
      </c>
      <c r="H465" s="651">
        <f t="shared" si="239"/>
        <v>9.583333333</v>
      </c>
      <c r="I465" s="662"/>
      <c r="J465" s="656"/>
      <c r="K465" s="649"/>
      <c r="L465" s="641" t="str">
        <f t="shared" si="236"/>
        <v>#REF!</v>
      </c>
      <c r="M465" s="649"/>
      <c r="N465" s="639"/>
      <c r="O465" s="639"/>
      <c r="P465" s="639"/>
      <c r="Q465" s="644"/>
      <c r="R465" s="639"/>
      <c r="S465" s="640"/>
      <c r="T465" s="663"/>
      <c r="U465" s="663"/>
      <c r="V465" s="441"/>
      <c r="W465" s="441"/>
      <c r="X465" s="517"/>
      <c r="Y465" s="517"/>
      <c r="Z465" s="517"/>
      <c r="AA465" s="517"/>
      <c r="AB465" s="517"/>
      <c r="AC465" s="441"/>
      <c r="AD465" s="441"/>
      <c r="AE465" s="441"/>
      <c r="AF465" s="441"/>
      <c r="AG465" s="441"/>
      <c r="AH465" s="441"/>
      <c r="AI465" s="441"/>
      <c r="AJ465" s="441"/>
      <c r="AK465" s="441"/>
      <c r="AL465" s="441"/>
      <c r="AM465" s="441"/>
      <c r="AN465" s="441"/>
      <c r="AO465" s="441"/>
      <c r="AP465" s="441"/>
      <c r="AQ465" s="441"/>
      <c r="AR465" s="441"/>
      <c r="AS465" s="441"/>
      <c r="AT465" s="441"/>
      <c r="AU465" s="441"/>
      <c r="AV465" s="441"/>
      <c r="AW465" s="441"/>
      <c r="AX465" s="441"/>
      <c r="AY465" s="441"/>
      <c r="AZ465" s="441"/>
      <c r="BA465" s="441"/>
      <c r="BB465" s="441"/>
      <c r="BC465" s="441"/>
      <c r="BD465" s="441"/>
      <c r="BE465" s="441"/>
      <c r="BF465" s="441"/>
    </row>
    <row r="466" collapsed="1"/>
    <row r="467">
      <c r="A467" s="419"/>
      <c r="B467" s="664" t="s">
        <v>1094</v>
      </c>
      <c r="C467" s="228"/>
      <c r="D467" s="228"/>
      <c r="E467" s="228"/>
      <c r="F467" s="228"/>
      <c r="G467" s="228"/>
      <c r="H467" s="665"/>
      <c r="I467" s="418" t="s">
        <v>134</v>
      </c>
      <c r="J467" s="419" t="s">
        <v>729</v>
      </c>
      <c r="K467" s="419" t="s">
        <v>730</v>
      </c>
      <c r="L467" s="420" t="s">
        <v>731</v>
      </c>
      <c r="M467" s="421" t="s">
        <v>25</v>
      </c>
      <c r="N467" s="421" t="s">
        <v>732</v>
      </c>
      <c r="O467" s="666"/>
      <c r="P467" s="667" t="s">
        <v>1095</v>
      </c>
      <c r="Q467" s="422" t="s">
        <v>1096</v>
      </c>
      <c r="R467" s="668"/>
      <c r="S467" s="441"/>
      <c r="T467" s="517"/>
      <c r="U467" s="517"/>
      <c r="V467" s="475"/>
      <c r="W467" s="475"/>
      <c r="X467" s="517"/>
      <c r="Y467" s="517"/>
      <c r="Z467" s="517"/>
      <c r="AA467" s="517"/>
      <c r="AB467" s="517"/>
      <c r="AC467" s="441"/>
      <c r="AD467" s="441"/>
      <c r="AE467" s="441"/>
      <c r="AF467" s="669"/>
      <c r="AG467" s="426"/>
      <c r="AH467" s="441"/>
      <c r="AI467" s="441"/>
      <c r="AJ467" s="441"/>
      <c r="AK467" s="441"/>
      <c r="AL467" s="441"/>
      <c r="AM467" s="441"/>
      <c r="AN467" s="441"/>
      <c r="AO467" s="441"/>
      <c r="AP467" s="441"/>
      <c r="AQ467" s="441"/>
      <c r="AR467" s="441"/>
      <c r="AS467" s="441"/>
      <c r="AT467" s="441"/>
      <c r="AU467" s="441"/>
      <c r="AV467" s="441"/>
      <c r="AW467" s="441"/>
      <c r="AX467" s="441"/>
      <c r="AY467" s="441"/>
      <c r="AZ467" s="441"/>
      <c r="BA467" s="441"/>
      <c r="BB467" s="441"/>
      <c r="BC467" s="441"/>
      <c r="BD467" s="441"/>
      <c r="BE467" s="441"/>
      <c r="BF467" s="441"/>
    </row>
    <row r="468">
      <c r="A468" s="670"/>
      <c r="B468" s="671">
        <v>0.0</v>
      </c>
      <c r="C468" s="671">
        <v>1.0</v>
      </c>
      <c r="D468" s="671">
        <v>2.0</v>
      </c>
      <c r="E468" s="671">
        <v>3.0</v>
      </c>
      <c r="F468" s="671">
        <v>4.0</v>
      </c>
      <c r="G468" s="671">
        <v>5.0</v>
      </c>
      <c r="H468" s="671">
        <v>6.0</v>
      </c>
      <c r="I468" s="428"/>
      <c r="J468" s="428"/>
      <c r="K468" s="428"/>
      <c r="L468" s="428"/>
      <c r="M468" s="428"/>
      <c r="N468" s="428"/>
      <c r="O468" s="428"/>
      <c r="P468" s="428"/>
      <c r="Q468" s="429"/>
      <c r="R468" s="672"/>
      <c r="S468" s="438"/>
      <c r="T468" s="467"/>
      <c r="U468" s="467"/>
      <c r="V468" s="474"/>
      <c r="W468" s="474"/>
      <c r="X468" s="467"/>
      <c r="Y468" s="467"/>
      <c r="Z468" s="467"/>
      <c r="AA468" s="467"/>
      <c r="AB468" s="467"/>
      <c r="AC468" s="438"/>
      <c r="AD468" s="438"/>
      <c r="AE468" s="438"/>
      <c r="AF468" s="669"/>
      <c r="AG468" s="426"/>
      <c r="AH468" s="441"/>
      <c r="AI468" s="441"/>
      <c r="AJ468" s="441"/>
      <c r="AK468" s="441"/>
      <c r="AL468" s="441"/>
      <c r="AM468" s="441"/>
      <c r="AN468" s="441"/>
      <c r="AO468" s="441"/>
      <c r="AP468" s="441"/>
      <c r="AQ468" s="441"/>
      <c r="AR468" s="441"/>
      <c r="AS468" s="441"/>
      <c r="AT468" s="441"/>
      <c r="AU468" s="441"/>
      <c r="AV468" s="441"/>
      <c r="AW468" s="441"/>
      <c r="AX468" s="441"/>
      <c r="AY468" s="441"/>
      <c r="AZ468" s="441"/>
      <c r="BA468" s="441"/>
      <c r="BB468" s="441"/>
      <c r="BC468" s="441"/>
      <c r="BD468" s="441"/>
      <c r="BE468" s="441"/>
      <c r="BF468" s="441"/>
    </row>
    <row r="469" ht="15.75" customHeight="1">
      <c r="A469" s="673"/>
      <c r="B469" s="674"/>
      <c r="C469" s="674"/>
      <c r="D469" s="674"/>
      <c r="E469" s="674"/>
      <c r="F469" s="674"/>
      <c r="G469" s="674"/>
      <c r="H469" s="675" t="s">
        <v>1097</v>
      </c>
      <c r="I469" s="674"/>
      <c r="J469" s="674"/>
      <c r="K469" s="674"/>
      <c r="L469" s="674"/>
      <c r="M469" s="674"/>
      <c r="N469" s="674"/>
      <c r="O469" s="674"/>
      <c r="P469" s="674"/>
      <c r="Q469" s="674"/>
      <c r="R469" s="676"/>
      <c r="S469" s="438"/>
      <c r="T469" s="467"/>
      <c r="U469" s="467"/>
      <c r="V469" s="438"/>
      <c r="W469" s="438"/>
      <c r="X469" s="467"/>
      <c r="Y469" s="467"/>
      <c r="Z469" s="467"/>
      <c r="AA469" s="467"/>
      <c r="AB469" s="467"/>
      <c r="AC469" s="438"/>
      <c r="AD469" s="438"/>
      <c r="AE469" s="438"/>
      <c r="AF469" s="441"/>
      <c r="AG469" s="441"/>
      <c r="AH469" s="441"/>
      <c r="AI469" s="441"/>
      <c r="AJ469" s="441"/>
      <c r="AK469" s="441"/>
      <c r="AL469" s="441"/>
      <c r="AM469" s="441"/>
      <c r="AN469" s="441"/>
      <c r="AO469" s="441"/>
      <c r="AP469" s="441"/>
      <c r="AQ469" s="441"/>
      <c r="AR469" s="441"/>
      <c r="AS469" s="441"/>
      <c r="AT469" s="441"/>
      <c r="AU469" s="441"/>
      <c r="AV469" s="441"/>
      <c r="AW469" s="441"/>
      <c r="AX469" s="441"/>
      <c r="AY469" s="441"/>
      <c r="AZ469" s="441"/>
      <c r="BA469" s="441"/>
      <c r="BB469" s="441"/>
      <c r="BC469" s="441"/>
      <c r="BD469" s="441"/>
      <c r="BE469" s="441"/>
      <c r="BF469" s="441"/>
    </row>
    <row r="470">
      <c r="A470" s="677" t="s">
        <v>192</v>
      </c>
      <c r="B470" s="678">
        <v>0.0</v>
      </c>
      <c r="C470" s="678">
        <v>1.0</v>
      </c>
      <c r="D470" s="678">
        <v>1.0</v>
      </c>
      <c r="E470" s="678">
        <v>2.0</v>
      </c>
      <c r="F470" s="678">
        <v>2.0</v>
      </c>
      <c r="G470" s="678">
        <v>3.0</v>
      </c>
      <c r="H470" s="678">
        <v>4.0</v>
      </c>
      <c r="I470" s="679"/>
      <c r="J470" s="678"/>
      <c r="K470" s="678"/>
      <c r="L470" s="680"/>
      <c r="M470" s="681"/>
      <c r="N470" s="681"/>
      <c r="O470" s="681"/>
      <c r="P470" s="681"/>
      <c r="Q470" s="682"/>
      <c r="R470" s="665"/>
      <c r="S470" s="454">
        <v>0.0</v>
      </c>
      <c r="T470" s="467"/>
      <c r="U470" s="467"/>
      <c r="V470" s="438"/>
      <c r="W470" s="438"/>
      <c r="X470" s="467"/>
      <c r="Y470" s="467"/>
      <c r="Z470" s="467"/>
      <c r="AA470" s="467"/>
      <c r="AB470" s="467"/>
      <c r="AC470" s="438"/>
      <c r="AD470" s="438"/>
      <c r="AE470" s="438"/>
      <c r="AF470" s="441"/>
      <c r="AG470" s="441"/>
      <c r="AH470" s="441"/>
      <c r="AI470" s="441"/>
      <c r="AJ470" s="441"/>
      <c r="AK470" s="441"/>
      <c r="AL470" s="441"/>
      <c r="AM470" s="441"/>
      <c r="AN470" s="441"/>
      <c r="AO470" s="441"/>
      <c r="AP470" s="441"/>
      <c r="AQ470" s="441"/>
      <c r="AR470" s="441"/>
      <c r="AS470" s="441"/>
      <c r="AT470" s="441"/>
      <c r="AU470" s="441"/>
      <c r="AV470" s="441"/>
      <c r="AW470" s="441"/>
      <c r="AX470" s="441"/>
      <c r="AY470" s="441"/>
      <c r="AZ470" s="441"/>
      <c r="BA470" s="441"/>
      <c r="BB470" s="441"/>
      <c r="BC470" s="441"/>
      <c r="BD470" s="441"/>
      <c r="BE470" s="441"/>
      <c r="BF470" s="441"/>
    </row>
    <row r="471">
      <c r="A471" s="683" t="s">
        <v>1098</v>
      </c>
      <c r="B471" s="684" t="s">
        <v>1099</v>
      </c>
      <c r="C471" s="684" t="s">
        <v>1100</v>
      </c>
      <c r="D471" s="684" t="s">
        <v>1101</v>
      </c>
      <c r="E471" s="685" t="s">
        <v>748</v>
      </c>
      <c r="F471" s="684" t="s">
        <v>749</v>
      </c>
      <c r="G471" s="684" t="s">
        <v>750</v>
      </c>
      <c r="H471" s="684" t="s">
        <v>115</v>
      </c>
      <c r="I471" s="686" t="s">
        <v>30</v>
      </c>
      <c r="J471" s="684">
        <v>1.0</v>
      </c>
      <c r="K471" s="684">
        <v>1.0</v>
      </c>
      <c r="L471" s="687" t="s">
        <v>30</v>
      </c>
      <c r="M471" s="688" t="s">
        <v>30</v>
      </c>
      <c r="N471" s="688"/>
      <c r="O471" s="688"/>
      <c r="P471" s="689" t="s">
        <v>755</v>
      </c>
      <c r="Q471" s="690"/>
      <c r="R471" s="691" t="s">
        <v>1102</v>
      </c>
      <c r="S471" s="463"/>
      <c r="T471" s="467"/>
      <c r="U471" s="467"/>
      <c r="V471" s="438"/>
      <c r="W471" s="438"/>
      <c r="X471" s="467"/>
      <c r="Y471" s="467"/>
      <c r="Z471" s="467"/>
      <c r="AA471" s="467"/>
      <c r="AB471" s="467"/>
      <c r="AC471" s="438"/>
      <c r="AD471" s="438"/>
      <c r="AE471" s="438"/>
      <c r="AF471" s="692" t="s">
        <v>1103</v>
      </c>
      <c r="AG471" s="441"/>
      <c r="AH471" s="441"/>
      <c r="AI471" s="441"/>
      <c r="AJ471" s="441"/>
      <c r="AK471" s="441"/>
      <c r="AL471" s="441"/>
      <c r="AM471" s="441"/>
      <c r="AN471" s="441"/>
      <c r="AO471" s="441"/>
      <c r="AP471" s="441"/>
      <c r="AQ471" s="441"/>
      <c r="AR471" s="441"/>
      <c r="AS471" s="441"/>
      <c r="AT471" s="441"/>
      <c r="AU471" s="441"/>
      <c r="AV471" s="441"/>
      <c r="AW471" s="441"/>
      <c r="AX471" s="441"/>
      <c r="AY471" s="441"/>
      <c r="AZ471" s="441"/>
      <c r="BA471" s="441"/>
      <c r="BB471" s="441"/>
      <c r="BC471" s="441"/>
      <c r="BD471" s="441"/>
      <c r="BE471" s="441"/>
      <c r="BF471" s="441"/>
    </row>
    <row r="472" hidden="1" outlineLevel="1">
      <c r="A472" s="693" t="s">
        <v>756</v>
      </c>
      <c r="B472" s="694">
        <v>1.0</v>
      </c>
      <c r="C472" s="694">
        <v>1.0</v>
      </c>
      <c r="D472" s="694">
        <v>1.0</v>
      </c>
      <c r="E472" s="694">
        <v>1.0</v>
      </c>
      <c r="F472" s="694">
        <v>1.0</v>
      </c>
      <c r="G472" s="694">
        <v>1.0</v>
      </c>
      <c r="H472" s="694">
        <v>1.0</v>
      </c>
      <c r="I472" s="695"/>
      <c r="J472" s="696"/>
      <c r="K472" s="697"/>
      <c r="L472" s="698"/>
      <c r="M472" s="699"/>
      <c r="N472" s="688"/>
      <c r="O472" s="688"/>
      <c r="P472" s="688"/>
      <c r="Q472" s="700"/>
      <c r="R472" s="701"/>
      <c r="S472" s="438"/>
      <c r="T472" s="467"/>
      <c r="U472" s="467"/>
      <c r="V472" s="438"/>
      <c r="W472" s="438"/>
      <c r="X472" s="467"/>
      <c r="Y472" s="467"/>
      <c r="Z472" s="467"/>
      <c r="AA472" s="467"/>
      <c r="AB472" s="467"/>
      <c r="AC472" s="438"/>
      <c r="AD472" s="438"/>
      <c r="AE472" s="438"/>
      <c r="AF472" s="441"/>
      <c r="AG472" s="441"/>
      <c r="AH472" s="441"/>
      <c r="AI472" s="441"/>
      <c r="AJ472" s="441"/>
      <c r="AK472" s="441"/>
      <c r="AL472" s="441"/>
      <c r="AM472" s="441"/>
      <c r="AN472" s="441"/>
      <c r="AO472" s="441"/>
      <c r="AP472" s="441"/>
      <c r="AQ472" s="441"/>
      <c r="AR472" s="441"/>
      <c r="AS472" s="441"/>
      <c r="AT472" s="441"/>
      <c r="AU472" s="441"/>
      <c r="AV472" s="441"/>
      <c r="AW472" s="441"/>
      <c r="AX472" s="441"/>
      <c r="AY472" s="441"/>
      <c r="AZ472" s="441"/>
      <c r="BA472" s="441"/>
      <c r="BB472" s="441"/>
      <c r="BC472" s="441"/>
      <c r="BD472" s="441"/>
      <c r="BE472" s="441"/>
      <c r="BF472" s="441"/>
    </row>
    <row r="473" hidden="1" outlineLevel="1">
      <c r="A473" s="693" t="s">
        <v>757</v>
      </c>
      <c r="B473" s="694">
        <v>4.0</v>
      </c>
      <c r="C473" s="694">
        <v>4.0</v>
      </c>
      <c r="D473" s="694">
        <v>4.0</v>
      </c>
      <c r="E473" s="694">
        <v>4.0</v>
      </c>
      <c r="F473" s="694">
        <v>4.0</v>
      </c>
      <c r="G473" s="694">
        <v>6.0</v>
      </c>
      <c r="H473" s="694">
        <v>6.0</v>
      </c>
      <c r="I473" s="695"/>
      <c r="J473" s="696"/>
      <c r="K473" s="697"/>
      <c r="L473" s="698"/>
      <c r="M473" s="699"/>
      <c r="N473" s="688"/>
      <c r="O473" s="688"/>
      <c r="P473" s="688"/>
      <c r="Q473" s="700"/>
      <c r="R473" s="701"/>
      <c r="S473" s="438"/>
      <c r="T473" s="467"/>
      <c r="U473" s="467"/>
      <c r="V473" s="438"/>
      <c r="W473" s="438"/>
      <c r="X473" s="467"/>
      <c r="Y473" s="467"/>
      <c r="Z473" s="467"/>
      <c r="AA473" s="467"/>
      <c r="AB473" s="467"/>
      <c r="AC473" s="438"/>
      <c r="AD473" s="438"/>
      <c r="AE473" s="438"/>
      <c r="AF473" s="441"/>
      <c r="AG473" s="441"/>
      <c r="AH473" s="441"/>
      <c r="AI473" s="441"/>
      <c r="AJ473" s="441"/>
      <c r="AK473" s="441"/>
      <c r="AL473" s="441"/>
      <c r="AM473" s="441"/>
      <c r="AN473" s="441"/>
      <c r="AO473" s="441"/>
      <c r="AP473" s="441"/>
      <c r="AQ473" s="441"/>
      <c r="AR473" s="441"/>
      <c r="AS473" s="441"/>
      <c r="AT473" s="441"/>
      <c r="AU473" s="441"/>
      <c r="AV473" s="441"/>
      <c r="AW473" s="441"/>
      <c r="AX473" s="441"/>
      <c r="AY473" s="441"/>
      <c r="AZ473" s="441"/>
      <c r="BA473" s="441"/>
      <c r="BB473" s="441"/>
      <c r="BC473" s="441"/>
      <c r="BD473" s="441"/>
      <c r="BE473" s="441"/>
      <c r="BF473" s="441"/>
    </row>
    <row r="474" hidden="1" outlineLevel="1">
      <c r="A474" s="693" t="s">
        <v>758</v>
      </c>
      <c r="B474" s="694">
        <v>-3.0</v>
      </c>
      <c r="C474" s="694">
        <v>-2.0</v>
      </c>
      <c r="D474" s="694">
        <v>-1.0</v>
      </c>
      <c r="E474" s="694">
        <v>0.0</v>
      </c>
      <c r="F474" s="694">
        <v>1.0</v>
      </c>
      <c r="G474" s="694">
        <v>1.0</v>
      </c>
      <c r="H474" s="694">
        <v>2.0</v>
      </c>
      <c r="I474" s="695"/>
      <c r="J474" s="696"/>
      <c r="K474" s="697"/>
      <c r="L474" s="698"/>
      <c r="M474" s="699"/>
      <c r="N474" s="688"/>
      <c r="O474" s="688"/>
      <c r="P474" s="688"/>
      <c r="Q474" s="702"/>
      <c r="R474" s="665"/>
      <c r="S474" s="438"/>
      <c r="T474" s="467"/>
      <c r="U474" s="467"/>
      <c r="V474" s="438"/>
      <c r="W474" s="438"/>
      <c r="X474" s="467"/>
      <c r="Y474" s="467"/>
      <c r="Z474" s="467"/>
      <c r="AA474" s="467"/>
      <c r="AB474" s="467"/>
      <c r="AC474" s="438"/>
      <c r="AD474" s="438"/>
      <c r="AE474" s="438"/>
      <c r="AF474" s="441"/>
      <c r="AG474" s="441"/>
      <c r="AH474" s="441"/>
      <c r="AI474" s="441"/>
      <c r="AJ474" s="441"/>
      <c r="AK474" s="441"/>
      <c r="AL474" s="441"/>
      <c r="AM474" s="441"/>
      <c r="AN474" s="441"/>
      <c r="AO474" s="441"/>
      <c r="AP474" s="441"/>
      <c r="AQ474" s="441"/>
      <c r="AR474" s="441"/>
      <c r="AS474" s="441"/>
      <c r="AT474" s="441"/>
      <c r="AU474" s="441"/>
      <c r="AV474" s="441"/>
      <c r="AW474" s="441"/>
      <c r="AX474" s="441"/>
      <c r="AY474" s="441"/>
      <c r="AZ474" s="441"/>
      <c r="BA474" s="441"/>
      <c r="BB474" s="441"/>
      <c r="BC474" s="441"/>
      <c r="BD474" s="441"/>
      <c r="BE474" s="441"/>
      <c r="BF474" s="441"/>
    </row>
    <row r="475" hidden="1" outlineLevel="1">
      <c r="A475" s="693" t="s">
        <v>1104</v>
      </c>
      <c r="B475" s="694">
        <v>3.0</v>
      </c>
      <c r="C475" s="694">
        <v>3.0</v>
      </c>
      <c r="D475" s="694">
        <v>3.0</v>
      </c>
      <c r="E475" s="694">
        <v>3.0</v>
      </c>
      <c r="F475" s="694">
        <v>3.0</v>
      </c>
      <c r="G475" s="694">
        <v>3.0</v>
      </c>
      <c r="H475" s="694">
        <v>3.0</v>
      </c>
      <c r="I475" s="695"/>
      <c r="J475" s="696"/>
      <c r="K475" s="697"/>
      <c r="L475" s="698"/>
      <c r="M475" s="699"/>
      <c r="N475" s="688"/>
      <c r="O475" s="688"/>
      <c r="P475" s="688"/>
      <c r="Q475" s="702" t="s">
        <v>1105</v>
      </c>
      <c r="R475" s="665"/>
      <c r="S475" s="438"/>
      <c r="T475" s="467"/>
      <c r="U475" s="467"/>
      <c r="V475" s="438"/>
      <c r="W475" s="438"/>
      <c r="X475" s="467"/>
      <c r="Y475" s="467"/>
      <c r="Z475" s="467"/>
      <c r="AA475" s="467"/>
      <c r="AB475" s="467"/>
      <c r="AC475" s="438"/>
      <c r="AD475" s="438"/>
      <c r="AE475" s="438"/>
      <c r="AF475" s="441"/>
      <c r="AG475" s="441"/>
      <c r="AH475" s="441"/>
      <c r="AI475" s="441"/>
      <c r="AJ475" s="441"/>
      <c r="AK475" s="441"/>
      <c r="AL475" s="441"/>
      <c r="AM475" s="441"/>
      <c r="AN475" s="441"/>
      <c r="AO475" s="441"/>
      <c r="AP475" s="441"/>
      <c r="AQ475" s="441"/>
      <c r="AR475" s="441"/>
      <c r="AS475" s="441"/>
      <c r="AT475" s="441"/>
      <c r="AU475" s="441"/>
      <c r="AV475" s="441"/>
      <c r="AW475" s="441"/>
      <c r="AX475" s="441"/>
      <c r="AY475" s="441"/>
      <c r="AZ475" s="441"/>
      <c r="BA475" s="441"/>
      <c r="BB475" s="441"/>
      <c r="BC475" s="441"/>
      <c r="BD475" s="441"/>
      <c r="BE475" s="441"/>
      <c r="BF475" s="441"/>
    </row>
    <row r="476" hidden="1" outlineLevel="1">
      <c r="A476" s="693" t="s">
        <v>759</v>
      </c>
      <c r="B476" s="694">
        <f t="shared" ref="B476:H476" si="240">(B472+B473)/2+B474+B475</f>
        <v>2.5</v>
      </c>
      <c r="C476" s="694">
        <f t="shared" si="240"/>
        <v>3.5</v>
      </c>
      <c r="D476" s="694">
        <f t="shared" si="240"/>
        <v>4.5</v>
      </c>
      <c r="E476" s="694">
        <f t="shared" si="240"/>
        <v>5.5</v>
      </c>
      <c r="F476" s="694">
        <f t="shared" si="240"/>
        <v>6.5</v>
      </c>
      <c r="G476" s="694">
        <f t="shared" si="240"/>
        <v>7.5</v>
      </c>
      <c r="H476" s="694">
        <f t="shared" si="240"/>
        <v>8.5</v>
      </c>
      <c r="I476" s="695"/>
      <c r="J476" s="696"/>
      <c r="K476" s="697"/>
      <c r="L476" s="698"/>
      <c r="M476" s="699"/>
      <c r="N476" s="688"/>
      <c r="O476" s="688"/>
      <c r="P476" s="688"/>
      <c r="Q476" s="700"/>
      <c r="R476" s="701"/>
      <c r="S476" s="438"/>
      <c r="T476" s="467"/>
      <c r="U476" s="467"/>
      <c r="V476" s="438"/>
      <c r="W476" s="438"/>
      <c r="X476" s="467"/>
      <c r="Y476" s="467"/>
      <c r="Z476" s="467"/>
      <c r="AA476" s="467"/>
      <c r="AB476" s="467"/>
      <c r="AC476" s="438"/>
      <c r="AD476" s="438"/>
      <c r="AE476" s="438"/>
      <c r="AF476" s="441"/>
      <c r="AG476" s="441"/>
      <c r="AH476" s="441"/>
      <c r="AI476" s="441"/>
      <c r="AJ476" s="441"/>
      <c r="AK476" s="441"/>
      <c r="AL476" s="441"/>
      <c r="AM476" s="441"/>
      <c r="AN476" s="441"/>
      <c r="AO476" s="441"/>
      <c r="AP476" s="441"/>
      <c r="AQ476" s="441"/>
      <c r="AR476" s="441"/>
      <c r="AS476" s="441"/>
      <c r="AT476" s="441"/>
      <c r="AU476" s="441"/>
      <c r="AV476" s="441"/>
      <c r="AW476" s="441"/>
      <c r="AX476" s="441"/>
      <c r="AY476" s="441"/>
      <c r="AZ476" s="441"/>
      <c r="BA476" s="441"/>
      <c r="BB476" s="441"/>
      <c r="BC476" s="441"/>
      <c r="BD476" s="441"/>
      <c r="BE476" s="441"/>
      <c r="BF476" s="441"/>
    </row>
    <row r="477" hidden="1" outlineLevel="1">
      <c r="A477" s="693" t="s">
        <v>760</v>
      </c>
      <c r="B477" s="703"/>
      <c r="C477" s="703">
        <f t="shared" ref="C477:H477" si="241">C476/B476-1</f>
        <v>0.4</v>
      </c>
      <c r="D477" s="703">
        <f t="shared" si="241"/>
        <v>0.2857142857</v>
      </c>
      <c r="E477" s="703">
        <f t="shared" si="241"/>
        <v>0.2222222222</v>
      </c>
      <c r="F477" s="703">
        <f t="shared" si="241"/>
        <v>0.1818181818</v>
      </c>
      <c r="G477" s="703">
        <f t="shared" si="241"/>
        <v>0.1538461538</v>
      </c>
      <c r="H477" s="703">
        <f t="shared" si="241"/>
        <v>0.1333333333</v>
      </c>
      <c r="I477" s="695"/>
      <c r="J477" s="696"/>
      <c r="K477" s="697"/>
      <c r="L477" s="698"/>
      <c r="M477" s="699"/>
      <c r="N477" s="688"/>
      <c r="O477" s="688"/>
      <c r="P477" s="688"/>
      <c r="Q477" s="700"/>
      <c r="R477" s="701"/>
      <c r="S477" s="438"/>
      <c r="T477" s="467"/>
      <c r="U477" s="467"/>
      <c r="V477" s="438"/>
      <c r="W477" s="438"/>
      <c r="X477" s="467"/>
      <c r="Y477" s="467"/>
      <c r="Z477" s="467"/>
      <c r="AA477" s="467"/>
      <c r="AB477" s="467"/>
      <c r="AC477" s="438"/>
      <c r="AD477" s="438"/>
      <c r="AE477" s="438"/>
      <c r="AF477" s="441"/>
      <c r="AG477" s="441"/>
      <c r="AH477" s="441"/>
      <c r="AI477" s="441"/>
      <c r="AJ477" s="441"/>
      <c r="AK477" s="441"/>
      <c r="AL477" s="441"/>
      <c r="AM477" s="441"/>
      <c r="AN477" s="441"/>
      <c r="AO477" s="441"/>
      <c r="AP477" s="441"/>
      <c r="AQ477" s="441"/>
      <c r="AR477" s="441"/>
      <c r="AS477" s="441"/>
      <c r="AT477" s="441"/>
      <c r="AU477" s="441"/>
      <c r="AV477" s="441"/>
      <c r="AW477" s="441"/>
      <c r="AX477" s="441"/>
      <c r="AY477" s="441"/>
      <c r="AZ477" s="441"/>
      <c r="BA477" s="441"/>
      <c r="BB477" s="441"/>
      <c r="BC477" s="441"/>
      <c r="BD477" s="441"/>
      <c r="BE477" s="441"/>
      <c r="BF477" s="441"/>
    </row>
    <row r="478" hidden="1" outlineLevel="1">
      <c r="A478" s="693" t="s">
        <v>761</v>
      </c>
      <c r="B478" s="694">
        <v>1.0</v>
      </c>
      <c r="C478" s="694"/>
      <c r="D478" s="703"/>
      <c r="E478" s="703"/>
      <c r="F478" s="703"/>
      <c r="G478" s="703"/>
      <c r="H478" s="703"/>
      <c r="I478" s="695"/>
      <c r="J478" s="696"/>
      <c r="K478" s="697"/>
      <c r="L478" s="698"/>
      <c r="M478" s="699"/>
      <c r="N478" s="688"/>
      <c r="O478" s="688"/>
      <c r="P478" s="688"/>
      <c r="Q478" s="700"/>
      <c r="R478" s="701"/>
      <c r="S478" s="438"/>
      <c r="T478" s="467"/>
      <c r="U478" s="467"/>
      <c r="V478" s="438"/>
      <c r="W478" s="438"/>
      <c r="X478" s="467"/>
      <c r="Y478" s="467"/>
      <c r="Z478" s="467"/>
      <c r="AA478" s="467"/>
      <c r="AB478" s="467"/>
      <c r="AC478" s="438"/>
      <c r="AD478" s="438"/>
      <c r="AE478" s="438"/>
      <c r="AF478" s="441"/>
      <c r="AG478" s="441"/>
      <c r="AH478" s="441"/>
      <c r="AI478" s="441"/>
      <c r="AJ478" s="441"/>
      <c r="AK478" s="441"/>
      <c r="AL478" s="441"/>
      <c r="AM478" s="441"/>
      <c r="AN478" s="441"/>
      <c r="AO478" s="441"/>
      <c r="AP478" s="441"/>
      <c r="AQ478" s="441"/>
      <c r="AR478" s="441"/>
      <c r="AS478" s="441"/>
      <c r="AT478" s="441"/>
      <c r="AU478" s="441"/>
      <c r="AV478" s="441"/>
      <c r="AW478" s="441"/>
      <c r="AX478" s="441"/>
      <c r="AY478" s="441"/>
      <c r="AZ478" s="441"/>
      <c r="BA478" s="441"/>
      <c r="BB478" s="441"/>
      <c r="BC478" s="441"/>
      <c r="BD478" s="441"/>
      <c r="BE478" s="441"/>
      <c r="BF478" s="441"/>
    </row>
    <row r="479" hidden="1" outlineLevel="1">
      <c r="A479" s="693" t="s">
        <v>762</v>
      </c>
      <c r="B479" s="704">
        <f t="shared" ref="B479:H479" si="242">B476/$B478</f>
        <v>2.5</v>
      </c>
      <c r="C479" s="704">
        <f t="shared" si="242"/>
        <v>3.5</v>
      </c>
      <c r="D479" s="704">
        <f t="shared" si="242"/>
        <v>4.5</v>
      </c>
      <c r="E479" s="704">
        <f t="shared" si="242"/>
        <v>5.5</v>
      </c>
      <c r="F479" s="704">
        <f t="shared" si="242"/>
        <v>6.5</v>
      </c>
      <c r="G479" s="704">
        <f t="shared" si="242"/>
        <v>7.5</v>
      </c>
      <c r="H479" s="704">
        <f t="shared" si="242"/>
        <v>8.5</v>
      </c>
      <c r="I479" s="695"/>
      <c r="J479" s="696"/>
      <c r="K479" s="697"/>
      <c r="L479" s="698"/>
      <c r="M479" s="699"/>
      <c r="N479" s="688"/>
      <c r="O479" s="688"/>
      <c r="P479" s="688"/>
      <c r="Q479" s="700"/>
      <c r="R479" s="701"/>
      <c r="S479" s="438"/>
      <c r="T479" s="467"/>
      <c r="U479" s="467"/>
      <c r="V479" s="438"/>
      <c r="W479" s="438"/>
      <c r="X479" s="467"/>
      <c r="Y479" s="467"/>
      <c r="Z479" s="467"/>
      <c r="AA479" s="467"/>
      <c r="AB479" s="467"/>
      <c r="AC479" s="438"/>
      <c r="AD479" s="438"/>
      <c r="AE479" s="438"/>
      <c r="AF479" s="441"/>
      <c r="AG479" s="441"/>
      <c r="AH479" s="441"/>
      <c r="AI479" s="441"/>
      <c r="AJ479" s="441"/>
      <c r="AK479" s="441"/>
      <c r="AL479" s="441"/>
      <c r="AM479" s="441"/>
      <c r="AN479" s="441"/>
      <c r="AO479" s="441"/>
      <c r="AP479" s="441"/>
      <c r="AQ479" s="441"/>
      <c r="AR479" s="441"/>
      <c r="AS479" s="441"/>
      <c r="AT479" s="441"/>
      <c r="AU479" s="441"/>
      <c r="AV479" s="441"/>
      <c r="AW479" s="441"/>
      <c r="AX479" s="441"/>
      <c r="AY479" s="441"/>
      <c r="AZ479" s="441"/>
      <c r="BA479" s="441"/>
      <c r="BB479" s="441"/>
      <c r="BC479" s="441"/>
      <c r="BD479" s="441"/>
      <c r="BE479" s="441"/>
      <c r="BF479" s="441"/>
    </row>
    <row r="480" collapsed="1">
      <c r="A480" s="705" t="s">
        <v>1106</v>
      </c>
      <c r="B480" s="697">
        <v>1.0</v>
      </c>
      <c r="C480" s="697">
        <v>1.0</v>
      </c>
      <c r="D480" s="697">
        <v>2.0</v>
      </c>
      <c r="E480" s="697">
        <v>2.0</v>
      </c>
      <c r="F480" s="697">
        <v>3.0</v>
      </c>
      <c r="G480" s="697">
        <v>4.0</v>
      </c>
      <c r="H480" s="697">
        <v>5.0</v>
      </c>
      <c r="I480" s="706" t="s">
        <v>779</v>
      </c>
      <c r="J480" s="696" t="s">
        <v>30</v>
      </c>
      <c r="K480" s="697" t="s">
        <v>30</v>
      </c>
      <c r="L480" s="698">
        <f>VLOOKUP(A480,'Кузнец'!$B$145:$J$193,9,FALSE)</f>
        <v>0.68</v>
      </c>
      <c r="M480" s="699" t="s">
        <v>30</v>
      </c>
      <c r="N480" s="688">
        <f>VLOOKUP(A480,'Кузнец'!$B$145:$J$193,4,FALSE)</f>
        <v>4</v>
      </c>
      <c r="O480" s="688"/>
      <c r="P480" s="689" t="s">
        <v>755</v>
      </c>
      <c r="Q480" s="707"/>
      <c r="R480" s="708" t="s">
        <v>1107</v>
      </c>
      <c r="S480" s="438"/>
      <c r="T480" s="467"/>
      <c r="U480" s="467"/>
      <c r="V480" s="438"/>
      <c r="W480" s="438"/>
      <c r="X480" s="467"/>
      <c r="Y480" s="467"/>
      <c r="Z480" s="467"/>
      <c r="AA480" s="467"/>
      <c r="AB480" s="467"/>
      <c r="AC480" s="438"/>
      <c r="AD480" s="438"/>
      <c r="AE480" s="438"/>
      <c r="AF480" s="441"/>
      <c r="AG480" s="441"/>
      <c r="AH480" s="441"/>
      <c r="AI480" s="441"/>
      <c r="AJ480" s="441"/>
      <c r="AK480" s="441"/>
      <c r="AL480" s="441"/>
      <c r="AM480" s="441"/>
      <c r="AN480" s="441"/>
      <c r="AO480" s="441"/>
      <c r="AP480" s="441"/>
      <c r="AQ480" s="441"/>
      <c r="AR480" s="441"/>
      <c r="AS480" s="441"/>
      <c r="AT480" s="441"/>
      <c r="AU480" s="441"/>
      <c r="AV480" s="441"/>
      <c r="AW480" s="441"/>
      <c r="AX480" s="441"/>
      <c r="AY480" s="441"/>
      <c r="AZ480" s="441"/>
      <c r="BA480" s="441"/>
      <c r="BB480" s="441"/>
      <c r="BC480" s="441"/>
      <c r="BD480" s="441"/>
      <c r="BE480" s="441"/>
      <c r="BF480" s="441"/>
    </row>
    <row r="481" hidden="1" outlineLevel="1">
      <c r="A481" s="693" t="s">
        <v>1108</v>
      </c>
      <c r="B481" s="694">
        <f t="shared" ref="B481:H481" si="243">((B472+B473)/2+B474+B475+B480)/$B$478</f>
        <v>3.5</v>
      </c>
      <c r="C481" s="694">
        <f t="shared" si="243"/>
        <v>4.5</v>
      </c>
      <c r="D481" s="694">
        <f t="shared" si="243"/>
        <v>6.5</v>
      </c>
      <c r="E481" s="694">
        <f t="shared" si="243"/>
        <v>7.5</v>
      </c>
      <c r="F481" s="694">
        <f t="shared" si="243"/>
        <v>9.5</v>
      </c>
      <c r="G481" s="694">
        <f t="shared" si="243"/>
        <v>11.5</v>
      </c>
      <c r="H481" s="694">
        <f t="shared" si="243"/>
        <v>13.5</v>
      </c>
      <c r="I481" s="706"/>
      <c r="J481" s="696"/>
      <c r="K481" s="697"/>
      <c r="L481" s="698"/>
      <c r="M481" s="699"/>
      <c r="N481" s="688"/>
      <c r="O481" s="688"/>
      <c r="P481" s="688"/>
      <c r="Q481" s="709"/>
      <c r="R481" s="710"/>
      <c r="S481" s="438"/>
      <c r="T481" s="467"/>
      <c r="U481" s="467"/>
      <c r="V481" s="438"/>
      <c r="W481" s="438"/>
      <c r="X481" s="467"/>
      <c r="Y481" s="467"/>
      <c r="Z481" s="467"/>
      <c r="AA481" s="467"/>
      <c r="AB481" s="467"/>
      <c r="AC481" s="438"/>
      <c r="AD481" s="438"/>
      <c r="AE481" s="438"/>
      <c r="AF481" s="441"/>
      <c r="AG481" s="441"/>
      <c r="AH481" s="441"/>
      <c r="AI481" s="441"/>
      <c r="AJ481" s="441"/>
      <c r="AK481" s="441"/>
      <c r="AL481" s="441"/>
      <c r="AM481" s="441"/>
      <c r="AN481" s="441"/>
      <c r="AO481" s="441"/>
      <c r="AP481" s="441"/>
      <c r="AQ481" s="441"/>
      <c r="AR481" s="441"/>
      <c r="AS481" s="441"/>
      <c r="AT481" s="441"/>
      <c r="AU481" s="441"/>
      <c r="AV481" s="441"/>
      <c r="AW481" s="441"/>
      <c r="AX481" s="441"/>
      <c r="AY481" s="441"/>
      <c r="AZ481" s="441"/>
      <c r="BA481" s="441"/>
      <c r="BB481" s="441"/>
      <c r="BC481" s="441"/>
      <c r="BD481" s="441"/>
      <c r="BE481" s="441"/>
      <c r="BF481" s="441"/>
    </row>
    <row r="482" collapsed="1">
      <c r="A482" s="705" t="s">
        <v>1109</v>
      </c>
      <c r="B482" s="711" t="s">
        <v>1110</v>
      </c>
      <c r="C482" s="711" t="s">
        <v>773</v>
      </c>
      <c r="D482" s="711" t="s">
        <v>115</v>
      </c>
      <c r="E482" s="711" t="s">
        <v>121</v>
      </c>
      <c r="F482" s="711" t="s">
        <v>751</v>
      </c>
      <c r="G482" s="711" t="s">
        <v>798</v>
      </c>
      <c r="H482" s="711" t="s">
        <v>891</v>
      </c>
      <c r="I482" s="695" t="s">
        <v>30</v>
      </c>
      <c r="J482" s="696">
        <v>-1.0</v>
      </c>
      <c r="K482" s="697">
        <v>2.0</v>
      </c>
      <c r="L482" s="698" t="s">
        <v>30</v>
      </c>
      <c r="M482" s="712" t="s">
        <v>976</v>
      </c>
      <c r="N482" s="688"/>
      <c r="O482" s="688"/>
      <c r="P482" s="713" t="s">
        <v>1111</v>
      </c>
      <c r="Q482" s="690"/>
      <c r="R482" s="714" t="s">
        <v>1112</v>
      </c>
      <c r="S482" s="454">
        <v>0.0</v>
      </c>
      <c r="T482" s="467"/>
      <c r="U482" s="467"/>
      <c r="V482" s="438"/>
      <c r="W482" s="438"/>
      <c r="X482" s="467"/>
      <c r="Y482" s="467"/>
      <c r="Z482" s="467"/>
      <c r="AA482" s="467"/>
      <c r="AB482" s="467"/>
      <c r="AC482" s="438"/>
      <c r="AD482" s="438"/>
      <c r="AE482" s="438"/>
      <c r="AF482" s="692" t="s">
        <v>1103</v>
      </c>
      <c r="AG482" s="441"/>
      <c r="AH482" s="441"/>
      <c r="AI482" s="441"/>
      <c r="AJ482" s="441"/>
      <c r="AK482" s="441"/>
      <c r="AL482" s="441"/>
      <c r="AM482" s="441"/>
      <c r="AN482" s="441"/>
      <c r="AO482" s="441"/>
      <c r="AP482" s="441"/>
      <c r="AQ482" s="441"/>
      <c r="AR482" s="441"/>
      <c r="AS482" s="441"/>
      <c r="AT482" s="441"/>
      <c r="AU482" s="441"/>
      <c r="AV482" s="441"/>
      <c r="AW482" s="441"/>
      <c r="AX482" s="441"/>
      <c r="AY482" s="441"/>
      <c r="AZ482" s="441"/>
      <c r="BA482" s="441"/>
      <c r="BB482" s="441"/>
      <c r="BC482" s="441"/>
      <c r="BD482" s="441"/>
      <c r="BE482" s="441"/>
      <c r="BF482" s="441"/>
    </row>
    <row r="483" hidden="1" outlineLevel="1">
      <c r="A483" s="693" t="s">
        <v>756</v>
      </c>
      <c r="B483" s="694">
        <v>1.0</v>
      </c>
      <c r="C483" s="694">
        <v>1.0</v>
      </c>
      <c r="D483" s="694">
        <v>1.0</v>
      </c>
      <c r="E483" s="694">
        <v>1.0</v>
      </c>
      <c r="F483" s="694">
        <v>1.0</v>
      </c>
      <c r="G483" s="694">
        <v>1.0</v>
      </c>
      <c r="H483" s="694">
        <v>1.0</v>
      </c>
      <c r="I483" s="695"/>
      <c r="J483" s="696"/>
      <c r="K483" s="697"/>
      <c r="L483" s="698"/>
      <c r="M483" s="699"/>
      <c r="N483" s="688"/>
      <c r="O483" s="688"/>
      <c r="P483" s="715"/>
      <c r="Q483" s="700"/>
      <c r="R483" s="701"/>
      <c r="S483" s="438"/>
      <c r="T483" s="467"/>
      <c r="U483" s="467"/>
      <c r="V483" s="438"/>
      <c r="W483" s="438"/>
      <c r="X483" s="467"/>
      <c r="Y483" s="467"/>
      <c r="Z483" s="467"/>
      <c r="AA483" s="467"/>
      <c r="AB483" s="467"/>
      <c r="AC483" s="438"/>
      <c r="AD483" s="438"/>
      <c r="AE483" s="438"/>
      <c r="AF483" s="441"/>
      <c r="AG483" s="441"/>
      <c r="AH483" s="441"/>
      <c r="AI483" s="441"/>
      <c r="AJ483" s="441"/>
      <c r="AK483" s="441"/>
      <c r="AL483" s="441"/>
      <c r="AM483" s="441"/>
      <c r="AN483" s="441"/>
      <c r="AO483" s="441"/>
      <c r="AP483" s="441"/>
      <c r="AQ483" s="441"/>
      <c r="AR483" s="441"/>
      <c r="AS483" s="441"/>
      <c r="AT483" s="441"/>
      <c r="AU483" s="441"/>
      <c r="AV483" s="441"/>
      <c r="AW483" s="441"/>
      <c r="AX483" s="441"/>
      <c r="AY483" s="441"/>
      <c r="AZ483" s="441"/>
      <c r="BA483" s="441"/>
      <c r="BB483" s="441"/>
      <c r="BC483" s="441"/>
      <c r="BD483" s="441"/>
      <c r="BE483" s="441"/>
      <c r="BF483" s="441"/>
    </row>
    <row r="484" hidden="1" outlineLevel="1">
      <c r="A484" s="693" t="s">
        <v>757</v>
      </c>
      <c r="B484" s="694">
        <v>6.0</v>
      </c>
      <c r="C484" s="694">
        <v>6.0</v>
      </c>
      <c r="D484" s="694">
        <v>6.0</v>
      </c>
      <c r="E484" s="694">
        <v>6.0</v>
      </c>
      <c r="F484" s="694">
        <v>8.0</v>
      </c>
      <c r="G484" s="694">
        <v>8.0</v>
      </c>
      <c r="H484" s="694">
        <v>10.0</v>
      </c>
      <c r="I484" s="695"/>
      <c r="J484" s="696"/>
      <c r="K484" s="697"/>
      <c r="L484" s="698"/>
      <c r="M484" s="699"/>
      <c r="N484" s="688"/>
      <c r="O484" s="688"/>
      <c r="P484" s="715"/>
      <c r="Q484" s="700"/>
      <c r="R484" s="701"/>
      <c r="S484" s="438"/>
      <c r="T484" s="467"/>
      <c r="U484" s="467"/>
      <c r="V484" s="438"/>
      <c r="W484" s="438"/>
      <c r="X484" s="467"/>
      <c r="Y484" s="467"/>
      <c r="Z484" s="467"/>
      <c r="AA484" s="467"/>
      <c r="AB484" s="467"/>
      <c r="AC484" s="438"/>
      <c r="AD484" s="438"/>
      <c r="AE484" s="438"/>
      <c r="AF484" s="441"/>
      <c r="AG484" s="441"/>
      <c r="AH484" s="441"/>
      <c r="AI484" s="441"/>
      <c r="AJ484" s="441"/>
      <c r="AK484" s="441"/>
      <c r="AL484" s="441"/>
      <c r="AM484" s="441"/>
      <c r="AN484" s="441"/>
      <c r="AO484" s="441"/>
      <c r="AP484" s="441"/>
      <c r="AQ484" s="441"/>
      <c r="AR484" s="441"/>
      <c r="AS484" s="441"/>
      <c r="AT484" s="441"/>
      <c r="AU484" s="441"/>
      <c r="AV484" s="441"/>
      <c r="AW484" s="441"/>
      <c r="AX484" s="441"/>
      <c r="AY484" s="441"/>
      <c r="AZ484" s="441"/>
      <c r="BA484" s="441"/>
      <c r="BB484" s="441"/>
      <c r="BC484" s="441"/>
      <c r="BD484" s="441"/>
      <c r="BE484" s="441"/>
      <c r="BF484" s="441"/>
    </row>
    <row r="485" hidden="1" outlineLevel="1">
      <c r="A485" s="693" t="s">
        <v>758</v>
      </c>
      <c r="B485" s="694">
        <v>-3.0</v>
      </c>
      <c r="C485" s="694">
        <v>-2.0</v>
      </c>
      <c r="D485" s="694">
        <v>0.0</v>
      </c>
      <c r="E485" s="694">
        <v>1.0</v>
      </c>
      <c r="F485" s="694">
        <v>1.0</v>
      </c>
      <c r="G485" s="694">
        <v>3.0</v>
      </c>
      <c r="H485" s="694">
        <v>3.0</v>
      </c>
      <c r="I485" s="695"/>
      <c r="J485" s="696"/>
      <c r="K485" s="697"/>
      <c r="L485" s="698"/>
      <c r="M485" s="699"/>
      <c r="N485" s="688"/>
      <c r="O485" s="688"/>
      <c r="P485" s="715"/>
      <c r="Q485" s="700"/>
      <c r="R485" s="701"/>
      <c r="S485" s="438"/>
      <c r="T485" s="467"/>
      <c r="U485" s="467"/>
      <c r="V485" s="438"/>
      <c r="W485" s="438"/>
      <c r="X485" s="467"/>
      <c r="Y485" s="467"/>
      <c r="Z485" s="467"/>
      <c r="AA485" s="467"/>
      <c r="AB485" s="467"/>
      <c r="AC485" s="438"/>
      <c r="AD485" s="438"/>
      <c r="AE485" s="438"/>
      <c r="AF485" s="441"/>
      <c r="AG485" s="441"/>
      <c r="AH485" s="441"/>
      <c r="AI485" s="441"/>
      <c r="AJ485" s="441"/>
      <c r="AK485" s="441"/>
      <c r="AL485" s="441"/>
      <c r="AM485" s="441"/>
      <c r="AN485" s="441"/>
      <c r="AO485" s="441"/>
      <c r="AP485" s="441"/>
      <c r="AQ485" s="441"/>
      <c r="AR485" s="441"/>
      <c r="AS485" s="441"/>
      <c r="AT485" s="441"/>
      <c r="AU485" s="441"/>
      <c r="AV485" s="441"/>
      <c r="AW485" s="441"/>
      <c r="AX485" s="441"/>
      <c r="AY485" s="441"/>
      <c r="AZ485" s="441"/>
      <c r="BA485" s="441"/>
      <c r="BB485" s="441"/>
      <c r="BC485" s="441"/>
      <c r="BD485" s="441"/>
      <c r="BE485" s="441"/>
      <c r="BF485" s="441"/>
    </row>
    <row r="486" hidden="1" outlineLevel="1">
      <c r="A486" s="693" t="s">
        <v>1104</v>
      </c>
      <c r="B486" s="694">
        <v>4.0</v>
      </c>
      <c r="C486" s="694">
        <v>4.0</v>
      </c>
      <c r="D486" s="694">
        <v>4.0</v>
      </c>
      <c r="E486" s="694">
        <v>4.0</v>
      </c>
      <c r="F486" s="694">
        <v>4.0</v>
      </c>
      <c r="G486" s="694">
        <v>4.0</v>
      </c>
      <c r="H486" s="694">
        <v>4.0</v>
      </c>
      <c r="I486" s="695"/>
      <c r="J486" s="696"/>
      <c r="K486" s="697"/>
      <c r="L486" s="698"/>
      <c r="M486" s="699"/>
      <c r="N486" s="688"/>
      <c r="O486" s="688"/>
      <c r="P486" s="715"/>
      <c r="Q486" s="702" t="s">
        <v>1105</v>
      </c>
      <c r="R486" s="665"/>
      <c r="S486" s="438"/>
      <c r="T486" s="467"/>
      <c r="U486" s="467"/>
      <c r="V486" s="438"/>
      <c r="W486" s="438"/>
      <c r="X486" s="467"/>
      <c r="Y486" s="467"/>
      <c r="Z486" s="467"/>
      <c r="AA486" s="467"/>
      <c r="AB486" s="467"/>
      <c r="AC486" s="438"/>
      <c r="AD486" s="438"/>
      <c r="AE486" s="438"/>
      <c r="AF486" s="441"/>
      <c r="AG486" s="441"/>
      <c r="AH486" s="441"/>
      <c r="AI486" s="441"/>
      <c r="AJ486" s="441"/>
      <c r="AK486" s="441"/>
      <c r="AL486" s="441"/>
      <c r="AM486" s="441"/>
      <c r="AN486" s="441"/>
      <c r="AO486" s="441"/>
      <c r="AP486" s="441"/>
      <c r="AQ486" s="441"/>
      <c r="AR486" s="441"/>
      <c r="AS486" s="441"/>
      <c r="AT486" s="441"/>
      <c r="AU486" s="441"/>
      <c r="AV486" s="441"/>
      <c r="AW486" s="441"/>
      <c r="AX486" s="441"/>
      <c r="AY486" s="441"/>
      <c r="AZ486" s="441"/>
      <c r="BA486" s="441"/>
      <c r="BB486" s="441"/>
      <c r="BC486" s="441"/>
      <c r="BD486" s="441"/>
      <c r="BE486" s="441"/>
      <c r="BF486" s="441"/>
    </row>
    <row r="487" hidden="1" outlineLevel="1">
      <c r="A487" s="693" t="s">
        <v>759</v>
      </c>
      <c r="B487" s="694">
        <f t="shared" ref="B487:H487" si="244">(B483+B484)/2+B485+B486</f>
        <v>4.5</v>
      </c>
      <c r="C487" s="694">
        <f t="shared" si="244"/>
        <v>5.5</v>
      </c>
      <c r="D487" s="694">
        <f t="shared" si="244"/>
        <v>7.5</v>
      </c>
      <c r="E487" s="694">
        <f t="shared" si="244"/>
        <v>8.5</v>
      </c>
      <c r="F487" s="694">
        <f t="shared" si="244"/>
        <v>9.5</v>
      </c>
      <c r="G487" s="694">
        <f t="shared" si="244"/>
        <v>11.5</v>
      </c>
      <c r="H487" s="694">
        <f t="shared" si="244"/>
        <v>12.5</v>
      </c>
      <c r="I487" s="695"/>
      <c r="J487" s="696"/>
      <c r="K487" s="697"/>
      <c r="L487" s="698"/>
      <c r="M487" s="699"/>
      <c r="N487" s="688"/>
      <c r="O487" s="688"/>
      <c r="P487" s="715"/>
      <c r="Q487" s="700"/>
      <c r="R487" s="701"/>
      <c r="S487" s="438"/>
      <c r="T487" s="467"/>
      <c r="U487" s="467"/>
      <c r="V487" s="438"/>
      <c r="W487" s="438"/>
      <c r="X487" s="467"/>
      <c r="Y487" s="467"/>
      <c r="Z487" s="467"/>
      <c r="AA487" s="467"/>
      <c r="AB487" s="467"/>
      <c r="AC487" s="438"/>
      <c r="AD487" s="438"/>
      <c r="AE487" s="438"/>
      <c r="AF487" s="441"/>
      <c r="AG487" s="441"/>
      <c r="AH487" s="441"/>
      <c r="AI487" s="441"/>
      <c r="AJ487" s="441"/>
      <c r="AK487" s="441"/>
      <c r="AL487" s="441"/>
      <c r="AM487" s="441"/>
      <c r="AN487" s="441"/>
      <c r="AO487" s="441"/>
      <c r="AP487" s="441"/>
      <c r="AQ487" s="441"/>
      <c r="AR487" s="441"/>
      <c r="AS487" s="441"/>
      <c r="AT487" s="441"/>
      <c r="AU487" s="441"/>
      <c r="AV487" s="441"/>
      <c r="AW487" s="441"/>
      <c r="AX487" s="441"/>
      <c r="AY487" s="441"/>
      <c r="AZ487" s="441"/>
      <c r="BA487" s="441"/>
      <c r="BB487" s="441"/>
      <c r="BC487" s="441"/>
      <c r="BD487" s="441"/>
      <c r="BE487" s="441"/>
      <c r="BF487" s="441"/>
    </row>
    <row r="488" hidden="1" outlineLevel="1">
      <c r="A488" s="693" t="s">
        <v>760</v>
      </c>
      <c r="B488" s="703"/>
      <c r="C488" s="703">
        <f t="shared" ref="C488:H488" si="245">C487/B487-1</f>
        <v>0.2222222222</v>
      </c>
      <c r="D488" s="703">
        <f t="shared" si="245"/>
        <v>0.3636363636</v>
      </c>
      <c r="E488" s="703">
        <f t="shared" si="245"/>
        <v>0.1333333333</v>
      </c>
      <c r="F488" s="703">
        <f t="shared" si="245"/>
        <v>0.1176470588</v>
      </c>
      <c r="G488" s="703">
        <f t="shared" si="245"/>
        <v>0.2105263158</v>
      </c>
      <c r="H488" s="703">
        <f t="shared" si="245"/>
        <v>0.08695652174</v>
      </c>
      <c r="I488" s="695"/>
      <c r="J488" s="696"/>
      <c r="K488" s="697"/>
      <c r="L488" s="698"/>
      <c r="M488" s="699"/>
      <c r="N488" s="688"/>
      <c r="O488" s="688"/>
      <c r="P488" s="715"/>
      <c r="Q488" s="700"/>
      <c r="R488" s="701"/>
      <c r="S488" s="438"/>
      <c r="T488" s="467"/>
      <c r="U488" s="467"/>
      <c r="V488" s="438"/>
      <c r="W488" s="438"/>
      <c r="X488" s="467"/>
      <c r="Y488" s="467"/>
      <c r="Z488" s="467"/>
      <c r="AA488" s="467"/>
      <c r="AB488" s="467"/>
      <c r="AC488" s="438"/>
      <c r="AD488" s="438"/>
      <c r="AE488" s="438"/>
      <c r="AF488" s="441"/>
      <c r="AG488" s="441"/>
      <c r="AH488" s="441"/>
      <c r="AI488" s="441"/>
      <c r="AJ488" s="441"/>
      <c r="AK488" s="441"/>
      <c r="AL488" s="441"/>
      <c r="AM488" s="441"/>
      <c r="AN488" s="441"/>
      <c r="AO488" s="441"/>
      <c r="AP488" s="441"/>
      <c r="AQ488" s="441"/>
      <c r="AR488" s="441"/>
      <c r="AS488" s="441"/>
      <c r="AT488" s="441"/>
      <c r="AU488" s="441"/>
      <c r="AV488" s="441"/>
      <c r="AW488" s="441"/>
      <c r="AX488" s="441"/>
      <c r="AY488" s="441"/>
      <c r="AZ488" s="441"/>
      <c r="BA488" s="441"/>
      <c r="BB488" s="441"/>
      <c r="BC488" s="441"/>
      <c r="BD488" s="441"/>
      <c r="BE488" s="441"/>
      <c r="BF488" s="441"/>
    </row>
    <row r="489" hidden="1" outlineLevel="1">
      <c r="A489" s="693" t="s">
        <v>761</v>
      </c>
      <c r="B489" s="694">
        <v>2.0</v>
      </c>
      <c r="C489" s="694"/>
      <c r="D489" s="703"/>
      <c r="E489" s="703"/>
      <c r="F489" s="703"/>
      <c r="G489" s="703"/>
      <c r="H489" s="703"/>
      <c r="I489" s="695"/>
      <c r="J489" s="696"/>
      <c r="K489" s="697"/>
      <c r="L489" s="698"/>
      <c r="M489" s="699"/>
      <c r="N489" s="688"/>
      <c r="O489" s="688"/>
      <c r="P489" s="715"/>
      <c r="Q489" s="700"/>
      <c r="R489" s="701"/>
      <c r="S489" s="438"/>
      <c r="T489" s="467"/>
      <c r="U489" s="467"/>
      <c r="V489" s="438"/>
      <c r="W489" s="438"/>
      <c r="X489" s="467"/>
      <c r="Y489" s="467"/>
      <c r="Z489" s="467"/>
      <c r="AA489" s="467"/>
      <c r="AB489" s="467"/>
      <c r="AC489" s="438"/>
      <c r="AD489" s="438"/>
      <c r="AE489" s="438"/>
      <c r="AF489" s="441"/>
      <c r="AG489" s="441"/>
      <c r="AH489" s="441"/>
      <c r="AI489" s="441"/>
      <c r="AJ489" s="441"/>
      <c r="AK489" s="441"/>
      <c r="AL489" s="441"/>
      <c r="AM489" s="441"/>
      <c r="AN489" s="441"/>
      <c r="AO489" s="441"/>
      <c r="AP489" s="441"/>
      <c r="AQ489" s="441"/>
      <c r="AR489" s="441"/>
      <c r="AS489" s="441"/>
      <c r="AT489" s="441"/>
      <c r="AU489" s="441"/>
      <c r="AV489" s="441"/>
      <c r="AW489" s="441"/>
      <c r="AX489" s="441"/>
      <c r="AY489" s="441"/>
      <c r="AZ489" s="441"/>
      <c r="BA489" s="441"/>
      <c r="BB489" s="441"/>
      <c r="BC489" s="441"/>
      <c r="BD489" s="441"/>
      <c r="BE489" s="441"/>
      <c r="BF489" s="441"/>
    </row>
    <row r="490" hidden="1" outlineLevel="1">
      <c r="A490" s="693" t="s">
        <v>762</v>
      </c>
      <c r="B490" s="704">
        <f t="shared" ref="B490:H490" si="246">B487/$B489</f>
        <v>2.25</v>
      </c>
      <c r="C490" s="704">
        <f t="shared" si="246"/>
        <v>2.75</v>
      </c>
      <c r="D490" s="704">
        <f t="shared" si="246"/>
        <v>3.75</v>
      </c>
      <c r="E490" s="704">
        <f t="shared" si="246"/>
        <v>4.25</v>
      </c>
      <c r="F490" s="704">
        <f t="shared" si="246"/>
        <v>4.75</v>
      </c>
      <c r="G490" s="704">
        <f t="shared" si="246"/>
        <v>5.75</v>
      </c>
      <c r="H490" s="704">
        <f t="shared" si="246"/>
        <v>6.25</v>
      </c>
      <c r="I490" s="695"/>
      <c r="J490" s="696"/>
      <c r="K490" s="697"/>
      <c r="L490" s="698"/>
      <c r="M490" s="699"/>
      <c r="N490" s="688"/>
      <c r="O490" s="688"/>
      <c r="P490" s="715"/>
      <c r="Q490" s="700"/>
      <c r="R490" s="701"/>
      <c r="S490" s="438"/>
      <c r="T490" s="467"/>
      <c r="U490" s="467"/>
      <c r="V490" s="438"/>
      <c r="W490" s="438"/>
      <c r="X490" s="467"/>
      <c r="Y490" s="467"/>
      <c r="Z490" s="467"/>
      <c r="AA490" s="467"/>
      <c r="AB490" s="467"/>
      <c r="AC490" s="438"/>
      <c r="AD490" s="438"/>
      <c r="AE490" s="438"/>
      <c r="AF490" s="441"/>
      <c r="AG490" s="441"/>
      <c r="AH490" s="441"/>
      <c r="AI490" s="441"/>
      <c r="AJ490" s="441"/>
      <c r="AK490" s="441"/>
      <c r="AL490" s="441"/>
      <c r="AM490" s="441"/>
      <c r="AN490" s="441"/>
      <c r="AO490" s="441"/>
      <c r="AP490" s="441"/>
      <c r="AQ490" s="441"/>
      <c r="AR490" s="441"/>
      <c r="AS490" s="441"/>
      <c r="AT490" s="441"/>
      <c r="AU490" s="441"/>
      <c r="AV490" s="441"/>
      <c r="AW490" s="441"/>
      <c r="AX490" s="441"/>
      <c r="AY490" s="441"/>
      <c r="AZ490" s="441"/>
      <c r="BA490" s="441"/>
      <c r="BB490" s="441"/>
      <c r="BC490" s="441"/>
      <c r="BD490" s="441"/>
      <c r="BE490" s="441"/>
      <c r="BF490" s="441"/>
    </row>
    <row r="491" collapsed="1">
      <c r="A491" s="705" t="s">
        <v>1113</v>
      </c>
      <c r="B491" s="711">
        <v>2.0</v>
      </c>
      <c r="C491" s="711">
        <v>3.0</v>
      </c>
      <c r="D491" s="711">
        <v>4.0</v>
      </c>
      <c r="E491" s="711">
        <v>6.0</v>
      </c>
      <c r="F491" s="711">
        <v>10.0</v>
      </c>
      <c r="G491" s="711">
        <v>16.0</v>
      </c>
      <c r="H491" s="711">
        <v>23.0</v>
      </c>
      <c r="I491" s="706" t="s">
        <v>779</v>
      </c>
      <c r="J491" s="696" t="s">
        <v>30</v>
      </c>
      <c r="K491" s="697" t="s">
        <v>30</v>
      </c>
      <c r="L491" s="698">
        <f>VLOOKUP(A491,'Кузнец'!$B$145:$J$193,9,FALSE)</f>
        <v>1.38</v>
      </c>
      <c r="M491" s="712" t="s">
        <v>1114</v>
      </c>
      <c r="N491" s="688">
        <f>VLOOKUP(A491,'Кузнец'!$B$145:$J$193,4,FALSE)</f>
        <v>7</v>
      </c>
      <c r="O491" s="688"/>
      <c r="P491" s="713" t="s">
        <v>1111</v>
      </c>
      <c r="Q491" s="707"/>
      <c r="R491" s="708" t="s">
        <v>1115</v>
      </c>
      <c r="S491" s="438"/>
      <c r="T491" s="467"/>
      <c r="U491" s="467"/>
      <c r="V491" s="438"/>
      <c r="W491" s="438"/>
      <c r="X491" s="467"/>
      <c r="Y491" s="467"/>
      <c r="Z491" s="467"/>
      <c r="AA491" s="467"/>
      <c r="AB491" s="467"/>
      <c r="AC491" s="438"/>
      <c r="AD491" s="438"/>
      <c r="AE491" s="438"/>
      <c r="AF491" s="441"/>
      <c r="AG491" s="441"/>
      <c r="AH491" s="441"/>
      <c r="AI491" s="441"/>
      <c r="AJ491" s="441"/>
      <c r="AK491" s="441"/>
      <c r="AL491" s="441"/>
      <c r="AM491" s="441"/>
      <c r="AN491" s="441"/>
      <c r="AO491" s="441"/>
      <c r="AP491" s="441"/>
      <c r="AQ491" s="441"/>
      <c r="AR491" s="441"/>
      <c r="AS491" s="441"/>
      <c r="AT491" s="441"/>
      <c r="AU491" s="441"/>
      <c r="AV491" s="441"/>
      <c r="AW491" s="441"/>
      <c r="AX491" s="441"/>
      <c r="AY491" s="441"/>
      <c r="AZ491" s="441"/>
      <c r="BA491" s="441"/>
      <c r="BB491" s="441"/>
      <c r="BC491" s="441"/>
      <c r="BD491" s="441"/>
      <c r="BE491" s="441"/>
      <c r="BF491" s="441"/>
    </row>
    <row r="492" hidden="1" outlineLevel="1">
      <c r="A492" s="693" t="s">
        <v>1116</v>
      </c>
      <c r="B492" s="694">
        <f t="shared" ref="B492:H492" si="247">((B483+B484)/2+B485+B486+B491)/$B$489</f>
        <v>3.25</v>
      </c>
      <c r="C492" s="694">
        <f t="shared" si="247"/>
        <v>4.25</v>
      </c>
      <c r="D492" s="694">
        <f t="shared" si="247"/>
        <v>5.75</v>
      </c>
      <c r="E492" s="694">
        <f t="shared" si="247"/>
        <v>7.25</v>
      </c>
      <c r="F492" s="694">
        <f t="shared" si="247"/>
        <v>9.75</v>
      </c>
      <c r="G492" s="694">
        <f t="shared" si="247"/>
        <v>13.75</v>
      </c>
      <c r="H492" s="694">
        <f t="shared" si="247"/>
        <v>17.75</v>
      </c>
      <c r="I492" s="716"/>
      <c r="J492" s="717"/>
      <c r="K492" s="718"/>
      <c r="L492" s="719"/>
      <c r="M492" s="720"/>
      <c r="N492" s="721"/>
      <c r="O492" s="721"/>
      <c r="P492" s="721"/>
      <c r="Q492" s="721"/>
      <c r="R492" s="710"/>
      <c r="S492" s="438"/>
      <c r="T492" s="467"/>
      <c r="U492" s="467"/>
      <c r="V492" s="438"/>
      <c r="W492" s="438"/>
      <c r="X492" s="467"/>
      <c r="Y492" s="467"/>
      <c r="Z492" s="467"/>
      <c r="AA492" s="467"/>
      <c r="AB492" s="467"/>
      <c r="AC492" s="438"/>
      <c r="AD492" s="438"/>
      <c r="AE492" s="438"/>
      <c r="AF492" s="441"/>
      <c r="AG492" s="441"/>
      <c r="AH492" s="441"/>
      <c r="AI492" s="441"/>
      <c r="AJ492" s="441"/>
      <c r="AK492" s="441"/>
      <c r="AL492" s="441"/>
      <c r="AM492" s="441"/>
      <c r="AN492" s="441"/>
      <c r="AO492" s="441"/>
      <c r="AP492" s="441"/>
      <c r="AQ492" s="441"/>
      <c r="AR492" s="441"/>
      <c r="AS492" s="441"/>
      <c r="AT492" s="441"/>
      <c r="AU492" s="441"/>
      <c r="AV492" s="441"/>
      <c r="AW492" s="441"/>
      <c r="AX492" s="441"/>
      <c r="AY492" s="441"/>
      <c r="AZ492" s="441"/>
      <c r="BA492" s="441"/>
      <c r="BB492" s="441"/>
      <c r="BC492" s="441"/>
      <c r="BD492" s="441"/>
      <c r="BE492" s="441"/>
      <c r="BF492" s="441"/>
    </row>
    <row r="493" ht="15.75" customHeight="1" collapsed="1">
      <c r="A493" s="722"/>
      <c r="B493" s="723"/>
      <c r="C493" s="723"/>
      <c r="D493" s="723"/>
      <c r="E493" s="723"/>
      <c r="F493" s="723"/>
      <c r="G493" s="723"/>
      <c r="H493" s="724" t="s">
        <v>1117</v>
      </c>
      <c r="I493" s="723"/>
      <c r="J493" s="723"/>
      <c r="K493" s="723"/>
      <c r="L493" s="723"/>
      <c r="M493" s="723"/>
      <c r="N493" s="723"/>
      <c r="O493" s="723"/>
      <c r="P493" s="723"/>
      <c r="Q493" s="723"/>
      <c r="R493" s="725"/>
      <c r="S493" s="438"/>
      <c r="T493" s="467"/>
      <c r="U493" s="467"/>
      <c r="V493" s="438"/>
      <c r="W493" s="438"/>
      <c r="X493" s="467"/>
      <c r="Y493" s="467"/>
      <c r="Z493" s="467"/>
      <c r="AA493" s="467"/>
      <c r="AB493" s="467"/>
      <c r="AC493" s="438"/>
      <c r="AD493" s="438"/>
      <c r="AE493" s="438"/>
      <c r="AF493" s="441"/>
      <c r="AG493" s="441"/>
      <c r="AH493" s="441"/>
      <c r="AI493" s="441"/>
      <c r="AJ493" s="441"/>
      <c r="AK493" s="441"/>
      <c r="AL493" s="441"/>
      <c r="AM493" s="441"/>
      <c r="AN493" s="441"/>
      <c r="AO493" s="441"/>
      <c r="AP493" s="441"/>
      <c r="AQ493" s="441"/>
      <c r="AR493" s="441"/>
      <c r="AS493" s="441"/>
      <c r="AT493" s="441"/>
      <c r="AU493" s="441"/>
      <c r="AV493" s="441"/>
      <c r="AW493" s="441"/>
      <c r="AX493" s="441"/>
      <c r="AY493" s="441"/>
      <c r="AZ493" s="441"/>
      <c r="BA493" s="441"/>
      <c r="BB493" s="441"/>
      <c r="BC493" s="441"/>
      <c r="BD493" s="441"/>
      <c r="BE493" s="441"/>
      <c r="BF493" s="441"/>
    </row>
    <row r="494">
      <c r="A494" s="726" t="s">
        <v>1118</v>
      </c>
      <c r="B494" s="727">
        <v>0.0</v>
      </c>
      <c r="C494" s="727">
        <v>1.0</v>
      </c>
      <c r="D494" s="727">
        <v>1.0</v>
      </c>
      <c r="E494" s="727">
        <v>2.0</v>
      </c>
      <c r="F494" s="727">
        <v>2.0</v>
      </c>
      <c r="G494" s="727">
        <v>3.0</v>
      </c>
      <c r="H494" s="727">
        <v>4.0</v>
      </c>
      <c r="I494" s="727" t="s">
        <v>30</v>
      </c>
      <c r="J494" s="727">
        <v>1.0</v>
      </c>
      <c r="K494" s="727">
        <v>2.0</v>
      </c>
      <c r="L494" s="727" t="s">
        <v>30</v>
      </c>
      <c r="M494" s="728" t="s">
        <v>976</v>
      </c>
      <c r="N494" s="727">
        <v>3.0</v>
      </c>
      <c r="O494" s="727"/>
      <c r="P494" s="727"/>
      <c r="Q494" s="729" t="s">
        <v>1102</v>
      </c>
      <c r="R494" s="665"/>
      <c r="S494" s="438"/>
      <c r="T494" s="467"/>
      <c r="U494" s="467"/>
      <c r="V494" s="543"/>
      <c r="W494" s="543"/>
      <c r="X494" s="467"/>
      <c r="Y494" s="467"/>
      <c r="Z494" s="467"/>
      <c r="AA494" s="467"/>
      <c r="AB494" s="467"/>
      <c r="AC494" s="438"/>
      <c r="AD494" s="438"/>
      <c r="AE494" s="438"/>
      <c r="AF494" s="545"/>
      <c r="AG494" s="545"/>
      <c r="AH494" s="545"/>
      <c r="AI494" s="545"/>
      <c r="AJ494" s="545"/>
      <c r="AK494" s="545"/>
      <c r="AL494" s="545"/>
      <c r="AM494" s="545"/>
      <c r="AN494" s="545"/>
      <c r="AO494" s="545"/>
      <c r="AP494" s="545"/>
      <c r="AQ494" s="545"/>
      <c r="AR494" s="545"/>
      <c r="AS494" s="545"/>
      <c r="AT494" s="545"/>
      <c r="AU494" s="545"/>
      <c r="AV494" s="545"/>
      <c r="AW494" s="545"/>
      <c r="AX494" s="545"/>
      <c r="AY494" s="545"/>
      <c r="AZ494" s="545"/>
      <c r="BA494" s="545"/>
      <c r="BB494" s="545"/>
      <c r="BC494" s="545"/>
      <c r="BD494" s="545"/>
      <c r="BE494" s="545"/>
      <c r="BF494" s="545"/>
    </row>
    <row r="495">
      <c r="A495" s="730" t="s">
        <v>192</v>
      </c>
      <c r="B495" s="727">
        <v>0.0</v>
      </c>
      <c r="C495" s="727">
        <v>1.0</v>
      </c>
      <c r="D495" s="727">
        <v>1.0</v>
      </c>
      <c r="E495" s="727">
        <v>2.0</v>
      </c>
      <c r="F495" s="727">
        <v>2.0</v>
      </c>
      <c r="G495" s="727">
        <v>3.0</v>
      </c>
      <c r="H495" s="727">
        <v>4.0</v>
      </c>
      <c r="I495" s="727"/>
      <c r="J495" s="727"/>
      <c r="K495" s="727"/>
      <c r="L495" s="727"/>
      <c r="M495" s="727"/>
      <c r="N495" s="727"/>
      <c r="O495" s="727"/>
      <c r="P495" s="727"/>
      <c r="Q495" s="731"/>
      <c r="R495" s="665"/>
      <c r="S495" s="438"/>
      <c r="T495" s="467"/>
      <c r="U495" s="467"/>
      <c r="V495" s="543"/>
      <c r="W495" s="543"/>
      <c r="X495" s="467"/>
      <c r="Y495" s="467"/>
      <c r="Z495" s="467"/>
      <c r="AA495" s="467"/>
      <c r="AB495" s="467"/>
      <c r="AC495" s="438"/>
      <c r="AD495" s="438"/>
      <c r="AE495" s="438"/>
      <c r="AF495" s="545"/>
      <c r="AG495" s="545"/>
      <c r="AH495" s="545"/>
      <c r="AI495" s="545"/>
      <c r="AJ495" s="545"/>
      <c r="AK495" s="545"/>
      <c r="AL495" s="545"/>
      <c r="AM495" s="545"/>
      <c r="AN495" s="545"/>
      <c r="AO495" s="545"/>
      <c r="AP495" s="545"/>
      <c r="AQ495" s="545"/>
      <c r="AR495" s="545"/>
      <c r="AS495" s="545"/>
      <c r="AT495" s="545"/>
      <c r="AU495" s="545"/>
      <c r="AV495" s="545"/>
      <c r="AW495" s="545"/>
      <c r="AX495" s="545"/>
      <c r="AY495" s="545"/>
      <c r="AZ495" s="545"/>
      <c r="BA495" s="545"/>
      <c r="BB495" s="545"/>
      <c r="BC495" s="545"/>
      <c r="BD495" s="545"/>
      <c r="BE495" s="545"/>
      <c r="BF495" s="545"/>
    </row>
    <row r="496">
      <c r="A496" s="730" t="s">
        <v>1119</v>
      </c>
      <c r="B496" s="732" t="s">
        <v>1101</v>
      </c>
      <c r="C496" s="733" t="s">
        <v>748</v>
      </c>
      <c r="D496" s="733" t="s">
        <v>773</v>
      </c>
      <c r="E496" s="733" t="s">
        <v>889</v>
      </c>
      <c r="F496" s="733" t="s">
        <v>1120</v>
      </c>
      <c r="G496" s="732" t="s">
        <v>1121</v>
      </c>
      <c r="H496" s="732" t="s">
        <v>1122</v>
      </c>
      <c r="I496" s="734" t="s">
        <v>30</v>
      </c>
      <c r="J496" s="735">
        <v>1.0</v>
      </c>
      <c r="K496" s="732">
        <v>1.0</v>
      </c>
      <c r="L496" s="736" t="s">
        <v>30</v>
      </c>
      <c r="M496" s="737" t="s">
        <v>986</v>
      </c>
      <c r="N496" s="738">
        <v>10.0</v>
      </c>
      <c r="O496" s="738"/>
      <c r="P496" s="739" t="s">
        <v>859</v>
      </c>
      <c r="Q496" s="740" t="s">
        <v>1123</v>
      </c>
      <c r="R496" s="665"/>
      <c r="S496" s="454">
        <v>0.0</v>
      </c>
      <c r="T496" s="467"/>
      <c r="U496" s="467"/>
      <c r="V496" s="438"/>
      <c r="W496" s="438"/>
      <c r="X496" s="467"/>
      <c r="Y496" s="467"/>
      <c r="Z496" s="467"/>
      <c r="AA496" s="467"/>
      <c r="AB496" s="467"/>
      <c r="AC496" s="438"/>
      <c r="AD496" s="438"/>
      <c r="AE496" s="438"/>
      <c r="AF496" s="441"/>
      <c r="AG496" s="441"/>
      <c r="AH496" s="441"/>
      <c r="AI496" s="441"/>
      <c r="AJ496" s="441"/>
      <c r="AK496" s="441"/>
      <c r="AL496" s="441"/>
      <c r="AM496" s="441"/>
      <c r="AN496" s="441"/>
      <c r="AO496" s="441"/>
      <c r="AP496" s="441"/>
      <c r="AQ496" s="441"/>
      <c r="AR496" s="441"/>
      <c r="AS496" s="441"/>
      <c r="AT496" s="441"/>
      <c r="AU496" s="441"/>
      <c r="AV496" s="441"/>
      <c r="AW496" s="441"/>
      <c r="AX496" s="441"/>
      <c r="AY496" s="441"/>
      <c r="AZ496" s="441"/>
      <c r="BA496" s="441"/>
      <c r="BB496" s="441"/>
      <c r="BC496" s="441"/>
      <c r="BD496" s="441"/>
      <c r="BE496" s="441"/>
      <c r="BF496" s="441"/>
    </row>
    <row r="497" hidden="1" outlineLevel="1">
      <c r="A497" s="741" t="s">
        <v>756</v>
      </c>
      <c r="B497" s="742">
        <v>1.0</v>
      </c>
      <c r="C497" s="742">
        <v>1.0</v>
      </c>
      <c r="D497" s="742">
        <v>1.0</v>
      </c>
      <c r="E497" s="742">
        <v>1.0</v>
      </c>
      <c r="F497" s="742">
        <v>1.0</v>
      </c>
      <c r="G497" s="742">
        <v>1.0</v>
      </c>
      <c r="H497" s="742">
        <v>2.0</v>
      </c>
      <c r="I497" s="743"/>
      <c r="J497" s="744"/>
      <c r="K497" s="745"/>
      <c r="L497" s="746"/>
      <c r="M497" s="747"/>
      <c r="N497" s="748"/>
      <c r="O497" s="748"/>
      <c r="P497" s="748"/>
      <c r="Q497" s="749"/>
      <c r="R497" s="749"/>
      <c r="S497" s="438"/>
      <c r="T497" s="467"/>
      <c r="U497" s="467"/>
      <c r="V497" s="438"/>
      <c r="W497" s="438"/>
      <c r="X497" s="467"/>
      <c r="Y497" s="467"/>
      <c r="Z497" s="467"/>
      <c r="AA497" s="467"/>
      <c r="AB497" s="467"/>
      <c r="AC497" s="438"/>
      <c r="AD497" s="438"/>
      <c r="AE497" s="438"/>
      <c r="AF497" s="441"/>
      <c r="AG497" s="441"/>
      <c r="AH497" s="441"/>
      <c r="AI497" s="441"/>
      <c r="AJ497" s="441"/>
      <c r="AK497" s="441"/>
      <c r="AL497" s="441"/>
      <c r="AM497" s="441"/>
      <c r="AN497" s="441"/>
      <c r="AO497" s="441"/>
      <c r="AP497" s="441"/>
      <c r="AQ497" s="441"/>
      <c r="AR497" s="441"/>
      <c r="AS497" s="441"/>
      <c r="AT497" s="441"/>
      <c r="AU497" s="441"/>
      <c r="AV497" s="441"/>
      <c r="AW497" s="441"/>
      <c r="AX497" s="441"/>
      <c r="AY497" s="441"/>
      <c r="AZ497" s="441"/>
      <c r="BA497" s="441"/>
      <c r="BB497" s="441"/>
      <c r="BC497" s="441"/>
      <c r="BD497" s="441"/>
      <c r="BE497" s="441"/>
      <c r="BF497" s="441"/>
    </row>
    <row r="498" hidden="1" outlineLevel="1">
      <c r="A498" s="741" t="s">
        <v>757</v>
      </c>
      <c r="B498" s="742">
        <v>4.0</v>
      </c>
      <c r="C498" s="742">
        <v>4.0</v>
      </c>
      <c r="D498" s="742">
        <v>6.0</v>
      </c>
      <c r="E498" s="742">
        <v>8.0</v>
      </c>
      <c r="F498" s="742">
        <v>10.0</v>
      </c>
      <c r="G498" s="742">
        <v>12.0</v>
      </c>
      <c r="H498" s="742">
        <v>16.0</v>
      </c>
      <c r="I498" s="743"/>
      <c r="J498" s="744"/>
      <c r="K498" s="745"/>
      <c r="L498" s="746"/>
      <c r="M498" s="747"/>
      <c r="N498" s="748"/>
      <c r="O498" s="748"/>
      <c r="P498" s="748"/>
      <c r="Q498" s="749"/>
      <c r="R498" s="749"/>
      <c r="S498" s="438"/>
      <c r="T498" s="467"/>
      <c r="U498" s="467"/>
      <c r="V498" s="438"/>
      <c r="W498" s="438"/>
      <c r="X498" s="467"/>
      <c r="Y498" s="467"/>
      <c r="Z498" s="467"/>
      <c r="AA498" s="467"/>
      <c r="AB498" s="467"/>
      <c r="AC498" s="438"/>
      <c r="AD498" s="438"/>
      <c r="AE498" s="438"/>
      <c r="AF498" s="441"/>
      <c r="AG498" s="441"/>
      <c r="AH498" s="441"/>
      <c r="AI498" s="441"/>
      <c r="AJ498" s="441"/>
      <c r="AK498" s="441"/>
      <c r="AL498" s="441"/>
      <c r="AM498" s="441"/>
      <c r="AN498" s="441"/>
      <c r="AO498" s="441"/>
      <c r="AP498" s="441"/>
      <c r="AQ498" s="441"/>
      <c r="AR498" s="441"/>
      <c r="AS498" s="441"/>
      <c r="AT498" s="441"/>
      <c r="AU498" s="441"/>
      <c r="AV498" s="441"/>
      <c r="AW498" s="441"/>
      <c r="AX498" s="441"/>
      <c r="AY498" s="441"/>
      <c r="AZ498" s="441"/>
      <c r="BA498" s="441"/>
      <c r="BB498" s="441"/>
      <c r="BC498" s="441"/>
      <c r="BD498" s="441"/>
      <c r="BE498" s="441"/>
      <c r="BF498" s="441"/>
    </row>
    <row r="499" hidden="1" outlineLevel="1">
      <c r="A499" s="741" t="s">
        <v>758</v>
      </c>
      <c r="B499" s="742">
        <v>-1.0</v>
      </c>
      <c r="C499" s="742">
        <v>0.0</v>
      </c>
      <c r="D499" s="742">
        <v>0.0</v>
      </c>
      <c r="E499" s="742">
        <v>0.0</v>
      </c>
      <c r="F499" s="742">
        <v>0.0</v>
      </c>
      <c r="G499" s="742">
        <v>1.0</v>
      </c>
      <c r="H499" s="742">
        <v>1.0</v>
      </c>
      <c r="I499" s="743"/>
      <c r="J499" s="744"/>
      <c r="K499" s="745"/>
      <c r="L499" s="746"/>
      <c r="M499" s="747"/>
      <c r="N499" s="748"/>
      <c r="O499" s="748"/>
      <c r="P499" s="748"/>
      <c r="Q499" s="749"/>
      <c r="R499" s="749"/>
      <c r="S499" s="438"/>
      <c r="T499" s="467"/>
      <c r="U499" s="467"/>
      <c r="V499" s="438"/>
      <c r="W499" s="438"/>
      <c r="X499" s="467"/>
      <c r="Y499" s="467"/>
      <c r="Z499" s="467"/>
      <c r="AA499" s="467"/>
      <c r="AB499" s="467"/>
      <c r="AC499" s="438"/>
      <c r="AD499" s="438"/>
      <c r="AE499" s="438"/>
      <c r="AF499" s="441"/>
      <c r="AG499" s="441"/>
      <c r="AH499" s="441"/>
      <c r="AI499" s="441"/>
      <c r="AJ499" s="441"/>
      <c r="AK499" s="441"/>
      <c r="AL499" s="441"/>
      <c r="AM499" s="441"/>
      <c r="AN499" s="441"/>
      <c r="AO499" s="441"/>
      <c r="AP499" s="441"/>
      <c r="AQ499" s="441"/>
      <c r="AR499" s="441"/>
      <c r="AS499" s="441"/>
      <c r="AT499" s="441"/>
      <c r="AU499" s="441"/>
      <c r="AV499" s="441"/>
      <c r="AW499" s="441"/>
      <c r="AX499" s="441"/>
      <c r="AY499" s="441"/>
      <c r="AZ499" s="441"/>
      <c r="BA499" s="441"/>
      <c r="BB499" s="441"/>
      <c r="BC499" s="441"/>
      <c r="BD499" s="441"/>
      <c r="BE499" s="441"/>
      <c r="BF499" s="441"/>
    </row>
    <row r="500" hidden="1" outlineLevel="1">
      <c r="A500" s="741" t="s">
        <v>1104</v>
      </c>
      <c r="B500" s="742">
        <v>4.0</v>
      </c>
      <c r="C500" s="742">
        <v>4.0</v>
      </c>
      <c r="D500" s="742">
        <v>4.0</v>
      </c>
      <c r="E500" s="742">
        <v>4.0</v>
      </c>
      <c r="F500" s="742">
        <v>4.0</v>
      </c>
      <c r="G500" s="742">
        <v>4.0</v>
      </c>
      <c r="H500" s="742">
        <v>4.0</v>
      </c>
      <c r="I500" s="743"/>
      <c r="J500" s="744"/>
      <c r="K500" s="745"/>
      <c r="L500" s="746"/>
      <c r="M500" s="747"/>
      <c r="N500" s="748"/>
      <c r="O500" s="748"/>
      <c r="P500" s="748"/>
      <c r="Q500" s="749"/>
      <c r="R500" s="750" t="s">
        <v>1105</v>
      </c>
      <c r="S500" s="438"/>
      <c r="T500" s="467"/>
      <c r="U500" s="467"/>
      <c r="V500" s="438"/>
      <c r="W500" s="438"/>
      <c r="X500" s="467"/>
      <c r="Y500" s="467"/>
      <c r="Z500" s="467"/>
      <c r="AA500" s="467"/>
      <c r="AB500" s="467"/>
      <c r="AC500" s="438"/>
      <c r="AD500" s="438"/>
      <c r="AE500" s="438"/>
      <c r="AF500" s="441"/>
      <c r="AG500" s="441"/>
      <c r="AH500" s="441"/>
      <c r="AI500" s="441"/>
      <c r="AJ500" s="441"/>
      <c r="AK500" s="441"/>
      <c r="AL500" s="441"/>
      <c r="AM500" s="441"/>
      <c r="AN500" s="441"/>
      <c r="AO500" s="441"/>
      <c r="AP500" s="441"/>
      <c r="AQ500" s="441"/>
      <c r="AR500" s="441"/>
      <c r="AS500" s="441"/>
      <c r="AT500" s="441"/>
      <c r="AU500" s="441"/>
      <c r="AV500" s="441"/>
      <c r="AW500" s="441"/>
      <c r="AX500" s="441"/>
      <c r="AY500" s="441"/>
      <c r="AZ500" s="441"/>
      <c r="BA500" s="441"/>
      <c r="BB500" s="441"/>
      <c r="BC500" s="441"/>
      <c r="BD500" s="441"/>
      <c r="BE500" s="441"/>
      <c r="BF500" s="441"/>
    </row>
    <row r="501" hidden="1" outlineLevel="1">
      <c r="A501" s="741" t="s">
        <v>759</v>
      </c>
      <c r="B501" s="742">
        <f t="shared" ref="B501:H501" si="248">(B497+B498)/2+B499+B500</f>
        <v>5.5</v>
      </c>
      <c r="C501" s="742">
        <f t="shared" si="248"/>
        <v>6.5</v>
      </c>
      <c r="D501" s="742">
        <f t="shared" si="248"/>
        <v>7.5</v>
      </c>
      <c r="E501" s="742">
        <f t="shared" si="248"/>
        <v>8.5</v>
      </c>
      <c r="F501" s="742">
        <f t="shared" si="248"/>
        <v>9.5</v>
      </c>
      <c r="G501" s="742">
        <f t="shared" si="248"/>
        <v>11.5</v>
      </c>
      <c r="H501" s="742">
        <f t="shared" si="248"/>
        <v>14</v>
      </c>
      <c r="I501" s="743"/>
      <c r="J501" s="744"/>
      <c r="K501" s="745"/>
      <c r="L501" s="746"/>
      <c r="M501" s="747"/>
      <c r="N501" s="748"/>
      <c r="O501" s="748"/>
      <c r="P501" s="748"/>
      <c r="Q501" s="749"/>
      <c r="R501" s="749"/>
      <c r="S501" s="438"/>
      <c r="T501" s="467"/>
      <c r="U501" s="467"/>
      <c r="V501" s="438"/>
      <c r="W501" s="438"/>
      <c r="X501" s="467"/>
      <c r="Y501" s="467"/>
      <c r="Z501" s="467"/>
      <c r="AA501" s="467"/>
      <c r="AB501" s="467"/>
      <c r="AC501" s="438"/>
      <c r="AD501" s="438"/>
      <c r="AE501" s="438"/>
      <c r="AF501" s="441"/>
      <c r="AG501" s="441"/>
      <c r="AH501" s="441"/>
      <c r="AI501" s="441"/>
      <c r="AJ501" s="441"/>
      <c r="AK501" s="441"/>
      <c r="AL501" s="441"/>
      <c r="AM501" s="441"/>
      <c r="AN501" s="441"/>
      <c r="AO501" s="441"/>
      <c r="AP501" s="441"/>
      <c r="AQ501" s="441"/>
      <c r="AR501" s="441"/>
      <c r="AS501" s="441"/>
      <c r="AT501" s="441"/>
      <c r="AU501" s="441"/>
      <c r="AV501" s="441"/>
      <c r="AW501" s="441"/>
      <c r="AX501" s="441"/>
      <c r="AY501" s="441"/>
      <c r="AZ501" s="441"/>
      <c r="BA501" s="441"/>
      <c r="BB501" s="441"/>
      <c r="BC501" s="441"/>
      <c r="BD501" s="441"/>
      <c r="BE501" s="441"/>
      <c r="BF501" s="441"/>
    </row>
    <row r="502" hidden="1" outlineLevel="1">
      <c r="A502" s="741" t="s">
        <v>760</v>
      </c>
      <c r="B502" s="751"/>
      <c r="C502" s="751">
        <f t="shared" ref="C502:H502" si="249">C501/B501-1</f>
        <v>0.1818181818</v>
      </c>
      <c r="D502" s="751">
        <f t="shared" si="249"/>
        <v>0.1538461538</v>
      </c>
      <c r="E502" s="751">
        <f t="shared" si="249"/>
        <v>0.1333333333</v>
      </c>
      <c r="F502" s="751">
        <f t="shared" si="249"/>
        <v>0.1176470588</v>
      </c>
      <c r="G502" s="751">
        <f t="shared" si="249"/>
        <v>0.2105263158</v>
      </c>
      <c r="H502" s="751">
        <f t="shared" si="249"/>
        <v>0.2173913043</v>
      </c>
      <c r="I502" s="743"/>
      <c r="J502" s="744"/>
      <c r="K502" s="745"/>
      <c r="L502" s="746"/>
      <c r="M502" s="747"/>
      <c r="N502" s="748"/>
      <c r="O502" s="748"/>
      <c r="P502" s="748"/>
      <c r="Q502" s="749"/>
      <c r="R502" s="749"/>
      <c r="S502" s="438"/>
      <c r="T502" s="467"/>
      <c r="U502" s="467"/>
      <c r="V502" s="438"/>
      <c r="W502" s="438"/>
      <c r="X502" s="467"/>
      <c r="Y502" s="467"/>
      <c r="Z502" s="467"/>
      <c r="AA502" s="467"/>
      <c r="AB502" s="467"/>
      <c r="AC502" s="438"/>
      <c r="AD502" s="438"/>
      <c r="AE502" s="438"/>
      <c r="AF502" s="441"/>
      <c r="AG502" s="441"/>
      <c r="AH502" s="441"/>
      <c r="AI502" s="441"/>
      <c r="AJ502" s="441"/>
      <c r="AK502" s="441"/>
      <c r="AL502" s="441"/>
      <c r="AM502" s="441"/>
      <c r="AN502" s="441"/>
      <c r="AO502" s="441"/>
      <c r="AP502" s="441"/>
      <c r="AQ502" s="441"/>
      <c r="AR502" s="441"/>
      <c r="AS502" s="441"/>
      <c r="AT502" s="441"/>
      <c r="AU502" s="441"/>
      <c r="AV502" s="441"/>
      <c r="AW502" s="441"/>
      <c r="AX502" s="441"/>
      <c r="AY502" s="441"/>
      <c r="AZ502" s="441"/>
      <c r="BA502" s="441"/>
      <c r="BB502" s="441"/>
      <c r="BC502" s="441"/>
      <c r="BD502" s="441"/>
      <c r="BE502" s="441"/>
      <c r="BF502" s="441"/>
    </row>
    <row r="503" hidden="1" outlineLevel="1">
      <c r="A503" s="741" t="s">
        <v>761</v>
      </c>
      <c r="B503" s="742">
        <v>1.0</v>
      </c>
      <c r="C503" s="742"/>
      <c r="D503" s="751"/>
      <c r="E503" s="751"/>
      <c r="F503" s="751"/>
      <c r="G503" s="751"/>
      <c r="H503" s="751"/>
      <c r="I503" s="743"/>
      <c r="J503" s="744"/>
      <c r="K503" s="745"/>
      <c r="L503" s="746"/>
      <c r="M503" s="747"/>
      <c r="N503" s="748"/>
      <c r="O503" s="748"/>
      <c r="P503" s="748"/>
      <c r="Q503" s="749"/>
      <c r="R503" s="749"/>
      <c r="S503" s="438"/>
      <c r="T503" s="467"/>
      <c r="U503" s="467"/>
      <c r="V503" s="438"/>
      <c r="W503" s="438"/>
      <c r="X503" s="467"/>
      <c r="Y503" s="467"/>
      <c r="Z503" s="467"/>
      <c r="AA503" s="467"/>
      <c r="AB503" s="467"/>
      <c r="AC503" s="438"/>
      <c r="AD503" s="438"/>
      <c r="AE503" s="438"/>
      <c r="AF503" s="441"/>
      <c r="AG503" s="441"/>
      <c r="AH503" s="441"/>
      <c r="AI503" s="441"/>
      <c r="AJ503" s="441"/>
      <c r="AK503" s="441"/>
      <c r="AL503" s="441"/>
      <c r="AM503" s="441"/>
      <c r="AN503" s="441"/>
      <c r="AO503" s="441"/>
      <c r="AP503" s="441"/>
      <c r="AQ503" s="441"/>
      <c r="AR503" s="441"/>
      <c r="AS503" s="441"/>
      <c r="AT503" s="441"/>
      <c r="AU503" s="441"/>
      <c r="AV503" s="441"/>
      <c r="AW503" s="441"/>
      <c r="AX503" s="441"/>
      <c r="AY503" s="441"/>
      <c r="AZ503" s="441"/>
      <c r="BA503" s="441"/>
      <c r="BB503" s="441"/>
      <c r="BC503" s="441"/>
      <c r="BD503" s="441"/>
      <c r="BE503" s="441"/>
      <c r="BF503" s="441"/>
    </row>
    <row r="504" hidden="1" outlineLevel="1">
      <c r="A504" s="741" t="s">
        <v>762</v>
      </c>
      <c r="B504" s="752">
        <f t="shared" ref="B504:H504" si="250">B501/$B503</f>
        <v>5.5</v>
      </c>
      <c r="C504" s="752">
        <f t="shared" si="250"/>
        <v>6.5</v>
      </c>
      <c r="D504" s="752">
        <f t="shared" si="250"/>
        <v>7.5</v>
      </c>
      <c r="E504" s="752">
        <f t="shared" si="250"/>
        <v>8.5</v>
      </c>
      <c r="F504" s="752">
        <f t="shared" si="250"/>
        <v>9.5</v>
      </c>
      <c r="G504" s="752">
        <f t="shared" si="250"/>
        <v>11.5</v>
      </c>
      <c r="H504" s="752">
        <f t="shared" si="250"/>
        <v>14</v>
      </c>
      <c r="I504" s="743"/>
      <c r="J504" s="744"/>
      <c r="K504" s="745"/>
      <c r="L504" s="746"/>
      <c r="M504" s="747"/>
      <c r="N504" s="748"/>
      <c r="O504" s="748"/>
      <c r="P504" s="748"/>
      <c r="Q504" s="749"/>
      <c r="R504" s="749"/>
      <c r="S504" s="438"/>
      <c r="T504" s="467"/>
      <c r="U504" s="467"/>
      <c r="V504" s="438"/>
      <c r="W504" s="438"/>
      <c r="X504" s="467"/>
      <c r="Y504" s="467"/>
      <c r="Z504" s="467"/>
      <c r="AA504" s="467"/>
      <c r="AB504" s="467"/>
      <c r="AC504" s="438"/>
      <c r="AD504" s="438"/>
      <c r="AE504" s="438"/>
      <c r="AF504" s="441"/>
      <c r="AG504" s="441"/>
      <c r="AH504" s="441"/>
      <c r="AI504" s="441"/>
      <c r="AJ504" s="441"/>
      <c r="AK504" s="441"/>
      <c r="AL504" s="441"/>
      <c r="AM504" s="441"/>
      <c r="AN504" s="441"/>
      <c r="AO504" s="441"/>
      <c r="AP504" s="441"/>
      <c r="AQ504" s="441"/>
      <c r="AR504" s="441"/>
      <c r="AS504" s="441"/>
      <c r="AT504" s="441"/>
      <c r="AU504" s="441"/>
      <c r="AV504" s="441"/>
      <c r="AW504" s="441"/>
      <c r="AX504" s="441"/>
      <c r="AY504" s="441"/>
      <c r="AZ504" s="441"/>
      <c r="BA504" s="441"/>
      <c r="BB504" s="441"/>
      <c r="BC504" s="441"/>
      <c r="BD504" s="441"/>
      <c r="BE504" s="441"/>
      <c r="BF504" s="441"/>
    </row>
    <row r="505" collapsed="1">
      <c r="A505" s="753"/>
      <c r="B505" s="754"/>
      <c r="C505" s="754"/>
      <c r="D505" s="754"/>
      <c r="E505" s="754"/>
      <c r="F505" s="754"/>
      <c r="G505" s="754"/>
      <c r="H505" s="755" t="s">
        <v>175</v>
      </c>
      <c r="I505" s="754"/>
      <c r="J505" s="754"/>
      <c r="K505" s="754"/>
      <c r="L505" s="754"/>
      <c r="M505" s="754"/>
      <c r="N505" s="754"/>
      <c r="O505" s="754"/>
      <c r="P505" s="754"/>
      <c r="Q505" s="754"/>
      <c r="R505" s="756"/>
      <c r="S505" s="438"/>
      <c r="T505" s="467"/>
      <c r="U505" s="467"/>
      <c r="V505" s="438"/>
      <c r="W505" s="438"/>
      <c r="X505" s="467"/>
      <c r="Y505" s="467"/>
      <c r="Z505" s="467"/>
      <c r="AA505" s="467"/>
      <c r="AB505" s="467"/>
      <c r="AC505" s="438"/>
      <c r="AD505" s="438"/>
      <c r="AE505" s="438"/>
      <c r="AF505" s="441"/>
      <c r="AG505" s="441"/>
      <c r="AH505" s="441"/>
      <c r="AI505" s="441"/>
      <c r="AJ505" s="441"/>
      <c r="AK505" s="441"/>
      <c r="AL505" s="441"/>
      <c r="AM505" s="441"/>
      <c r="AN505" s="441"/>
      <c r="AO505" s="441"/>
      <c r="AP505" s="441"/>
      <c r="AQ505" s="441"/>
      <c r="AR505" s="441"/>
      <c r="AS505" s="441"/>
      <c r="AT505" s="441"/>
      <c r="AU505" s="441"/>
      <c r="AV505" s="441"/>
      <c r="AW505" s="441"/>
      <c r="AX505" s="441"/>
      <c r="AY505" s="441"/>
      <c r="AZ505" s="441"/>
      <c r="BA505" s="441"/>
      <c r="BB505" s="441"/>
      <c r="BC505" s="441"/>
      <c r="BD505" s="441"/>
      <c r="BE505" s="441"/>
      <c r="BF505" s="441"/>
    </row>
    <row r="506">
      <c r="A506" s="757" t="s">
        <v>206</v>
      </c>
      <c r="B506" s="758" t="s">
        <v>1099</v>
      </c>
      <c r="C506" s="758" t="s">
        <v>1100</v>
      </c>
      <c r="D506" s="758" t="s">
        <v>1101</v>
      </c>
      <c r="E506" s="759" t="s">
        <v>748</v>
      </c>
      <c r="F506" s="758" t="s">
        <v>1070</v>
      </c>
      <c r="G506" s="758" t="s">
        <v>121</v>
      </c>
      <c r="H506" s="758" t="s">
        <v>1072</v>
      </c>
      <c r="I506" s="760"/>
      <c r="J506" s="760">
        <v>1.0</v>
      </c>
      <c r="K506" s="758">
        <v>1.0</v>
      </c>
      <c r="L506" s="758"/>
      <c r="M506" s="758" t="s">
        <v>1124</v>
      </c>
      <c r="N506" s="758"/>
      <c r="O506" s="758"/>
      <c r="P506" s="759" t="s">
        <v>859</v>
      </c>
      <c r="Q506" s="761" t="s">
        <v>1125</v>
      </c>
      <c r="R506" s="665"/>
      <c r="S506" s="454">
        <v>0.0</v>
      </c>
      <c r="T506" s="467"/>
      <c r="U506" s="467"/>
      <c r="V506" s="438"/>
      <c r="W506" s="438"/>
      <c r="X506" s="467"/>
      <c r="Y506" s="467"/>
      <c r="Z506" s="467"/>
      <c r="AA506" s="467"/>
      <c r="AB506" s="467"/>
      <c r="AC506" s="438"/>
      <c r="AD506" s="438"/>
      <c r="AE506" s="438"/>
      <c r="AF506" s="762" t="s">
        <v>1126</v>
      </c>
      <c r="AG506" s="441"/>
      <c r="AH506" s="441"/>
      <c r="AI506" s="441"/>
      <c r="AJ506" s="441"/>
      <c r="AK506" s="441"/>
      <c r="AL506" s="441"/>
      <c r="AM506" s="441"/>
      <c r="AN506" s="441"/>
      <c r="AO506" s="441"/>
      <c r="AP506" s="441"/>
      <c r="AQ506" s="441"/>
      <c r="AR506" s="441"/>
      <c r="AS506" s="441"/>
      <c r="AT506" s="441"/>
      <c r="AU506" s="441"/>
      <c r="AV506" s="441"/>
      <c r="AW506" s="441"/>
      <c r="AX506" s="441"/>
      <c r="AY506" s="441"/>
      <c r="AZ506" s="441"/>
      <c r="BA506" s="441"/>
      <c r="BB506" s="441"/>
      <c r="BC506" s="441"/>
      <c r="BD506" s="441"/>
      <c r="BE506" s="441"/>
      <c r="BF506" s="441"/>
    </row>
    <row r="507" ht="15.0" hidden="1" customHeight="1" outlineLevel="1">
      <c r="A507" s="763" t="s">
        <v>756</v>
      </c>
      <c r="B507" s="764">
        <v>1.0</v>
      </c>
      <c r="C507" s="764">
        <v>1.0</v>
      </c>
      <c r="D507" s="764">
        <v>1.0</v>
      </c>
      <c r="E507" s="764">
        <v>1.0</v>
      </c>
      <c r="F507" s="764">
        <v>1.0</v>
      </c>
      <c r="G507" s="764">
        <v>1.0</v>
      </c>
      <c r="H507" s="764">
        <v>1.0</v>
      </c>
      <c r="I507" s="765"/>
      <c r="J507" s="766"/>
      <c r="K507" s="767"/>
      <c r="L507" s="768"/>
      <c r="M507" s="769"/>
      <c r="N507" s="770"/>
      <c r="O507" s="770"/>
      <c r="P507" s="770"/>
      <c r="Q507" s="771"/>
      <c r="R507" s="228"/>
      <c r="S507" s="454">
        <v>0.0</v>
      </c>
      <c r="T507" s="467"/>
      <c r="U507" s="467"/>
      <c r="V507" s="438"/>
      <c r="W507" s="438"/>
      <c r="X507" s="467"/>
      <c r="Y507" s="467"/>
      <c r="Z507" s="467"/>
      <c r="AA507" s="467"/>
      <c r="AB507" s="467"/>
      <c r="AC507" s="438"/>
      <c r="AD507" s="438"/>
      <c r="AE507" s="438"/>
      <c r="AF507" s="441"/>
      <c r="AG507" s="441"/>
      <c r="AH507" s="441"/>
      <c r="AI507" s="441"/>
      <c r="AJ507" s="441"/>
      <c r="AK507" s="441"/>
      <c r="AL507" s="441"/>
      <c r="AM507" s="441"/>
      <c r="AN507" s="441"/>
      <c r="AO507" s="441"/>
      <c r="AP507" s="441"/>
      <c r="AQ507" s="441"/>
      <c r="AR507" s="441"/>
      <c r="AS507" s="441"/>
      <c r="AT507" s="441"/>
      <c r="AU507" s="441"/>
      <c r="AV507" s="441"/>
      <c r="AW507" s="441"/>
      <c r="AX507" s="441"/>
      <c r="AY507" s="441"/>
      <c r="AZ507" s="441"/>
      <c r="BA507" s="441"/>
      <c r="BB507" s="441"/>
      <c r="BC507" s="441"/>
      <c r="BD507" s="441"/>
      <c r="BE507" s="441"/>
      <c r="BF507" s="441"/>
    </row>
    <row r="508" ht="15.0" hidden="1" customHeight="1" outlineLevel="1">
      <c r="A508" s="763" t="s">
        <v>757</v>
      </c>
      <c r="B508" s="764">
        <v>4.0</v>
      </c>
      <c r="C508" s="764">
        <v>4.0</v>
      </c>
      <c r="D508" s="764">
        <v>4.0</v>
      </c>
      <c r="E508" s="764">
        <v>4.0</v>
      </c>
      <c r="F508" s="764">
        <v>4.0</v>
      </c>
      <c r="G508" s="764">
        <v>6.0</v>
      </c>
      <c r="H508" s="764">
        <v>6.0</v>
      </c>
      <c r="I508" s="765"/>
      <c r="J508" s="766"/>
      <c r="K508" s="767"/>
      <c r="L508" s="768"/>
      <c r="M508" s="769"/>
      <c r="N508" s="770"/>
      <c r="O508" s="770"/>
      <c r="P508" s="770"/>
      <c r="Q508" s="771"/>
      <c r="R508" s="228"/>
      <c r="S508" s="454">
        <v>0.0</v>
      </c>
      <c r="T508" s="467"/>
      <c r="U508" s="467"/>
      <c r="V508" s="438"/>
      <c r="W508" s="438"/>
      <c r="X508" s="467"/>
      <c r="Y508" s="467"/>
      <c r="Z508" s="467"/>
      <c r="AA508" s="467"/>
      <c r="AB508" s="467"/>
      <c r="AC508" s="438"/>
      <c r="AD508" s="438"/>
      <c r="AE508" s="438"/>
      <c r="AF508" s="441"/>
      <c r="AG508" s="441"/>
      <c r="AH508" s="441"/>
      <c r="AI508" s="441"/>
      <c r="AJ508" s="441"/>
      <c r="AK508" s="441"/>
      <c r="AL508" s="441"/>
      <c r="AM508" s="441"/>
      <c r="AN508" s="441"/>
      <c r="AO508" s="441"/>
      <c r="AP508" s="441"/>
      <c r="AQ508" s="441"/>
      <c r="AR508" s="441"/>
      <c r="AS508" s="441"/>
      <c r="AT508" s="441"/>
      <c r="AU508" s="441"/>
      <c r="AV508" s="441"/>
      <c r="AW508" s="441"/>
      <c r="AX508" s="441"/>
      <c r="AY508" s="441"/>
      <c r="AZ508" s="441"/>
      <c r="BA508" s="441"/>
      <c r="BB508" s="441"/>
      <c r="BC508" s="441"/>
      <c r="BD508" s="441"/>
      <c r="BE508" s="441"/>
      <c r="BF508" s="441"/>
    </row>
    <row r="509" ht="15.0" hidden="1" customHeight="1" outlineLevel="1">
      <c r="A509" s="763" t="s">
        <v>758</v>
      </c>
      <c r="B509" s="764">
        <v>-3.0</v>
      </c>
      <c r="C509" s="764">
        <v>-2.0</v>
      </c>
      <c r="D509" s="764">
        <v>-1.0</v>
      </c>
      <c r="E509" s="764">
        <v>0.0</v>
      </c>
      <c r="F509" s="764">
        <v>2.0</v>
      </c>
      <c r="G509" s="764">
        <v>3.0</v>
      </c>
      <c r="H509" s="764">
        <v>5.0</v>
      </c>
      <c r="I509" s="765"/>
      <c r="J509" s="766"/>
      <c r="K509" s="767"/>
      <c r="L509" s="768"/>
      <c r="M509" s="769"/>
      <c r="N509" s="770"/>
      <c r="O509" s="770"/>
      <c r="P509" s="770"/>
      <c r="Q509" s="771"/>
      <c r="R509" s="228"/>
      <c r="S509" s="454">
        <v>0.0</v>
      </c>
      <c r="T509" s="467"/>
      <c r="U509" s="467"/>
      <c r="V509" s="438"/>
      <c r="W509" s="438"/>
      <c r="X509" s="467"/>
      <c r="Y509" s="467"/>
      <c r="Z509" s="467"/>
      <c r="AA509" s="467"/>
      <c r="AB509" s="467"/>
      <c r="AC509" s="438"/>
      <c r="AD509" s="438"/>
      <c r="AE509" s="438"/>
      <c r="AF509" s="441"/>
      <c r="AG509" s="441"/>
      <c r="AH509" s="441"/>
      <c r="AI509" s="441"/>
      <c r="AJ509" s="441"/>
      <c r="AK509" s="441"/>
      <c r="AL509" s="441"/>
      <c r="AM509" s="441"/>
      <c r="AN509" s="441"/>
      <c r="AO509" s="441"/>
      <c r="AP509" s="441"/>
      <c r="AQ509" s="441"/>
      <c r="AR509" s="441"/>
      <c r="AS509" s="441"/>
      <c r="AT509" s="441"/>
      <c r="AU509" s="441"/>
      <c r="AV509" s="441"/>
      <c r="AW509" s="441"/>
      <c r="AX509" s="441"/>
      <c r="AY509" s="441"/>
      <c r="AZ509" s="441"/>
      <c r="BA509" s="441"/>
      <c r="BB509" s="441"/>
      <c r="BC509" s="441"/>
      <c r="BD509" s="441"/>
      <c r="BE509" s="441"/>
      <c r="BF509" s="441"/>
    </row>
    <row r="510" ht="15.0" hidden="1" customHeight="1" outlineLevel="1">
      <c r="A510" s="763" t="s">
        <v>1104</v>
      </c>
      <c r="B510" s="764"/>
      <c r="C510" s="764"/>
      <c r="D510" s="764"/>
      <c r="E510" s="764"/>
      <c r="F510" s="764"/>
      <c r="G510" s="764"/>
      <c r="H510" s="764"/>
      <c r="I510" s="765"/>
      <c r="J510" s="766"/>
      <c r="K510" s="767"/>
      <c r="L510" s="768"/>
      <c r="M510" s="769"/>
      <c r="N510" s="770"/>
      <c r="O510" s="770"/>
      <c r="P510" s="770"/>
      <c r="Q510" s="772"/>
      <c r="R510" s="228"/>
      <c r="S510" s="454">
        <v>0.0</v>
      </c>
      <c r="T510" s="467"/>
      <c r="U510" s="467"/>
      <c r="V510" s="438"/>
      <c r="W510" s="438"/>
      <c r="X510" s="467"/>
      <c r="Y510" s="467"/>
      <c r="Z510" s="467"/>
      <c r="AA510" s="467"/>
      <c r="AB510" s="467"/>
      <c r="AC510" s="438"/>
      <c r="AD510" s="438"/>
      <c r="AE510" s="438"/>
      <c r="AF510" s="441"/>
      <c r="AG510" s="441"/>
      <c r="AH510" s="441"/>
      <c r="AI510" s="441"/>
      <c r="AJ510" s="441"/>
      <c r="AK510" s="441"/>
      <c r="AL510" s="441"/>
      <c r="AM510" s="441"/>
      <c r="AN510" s="441"/>
      <c r="AO510" s="441"/>
      <c r="AP510" s="441"/>
      <c r="AQ510" s="441"/>
      <c r="AR510" s="441"/>
      <c r="AS510" s="441"/>
      <c r="AT510" s="441"/>
      <c r="AU510" s="441"/>
      <c r="AV510" s="441"/>
      <c r="AW510" s="441"/>
      <c r="AX510" s="441"/>
      <c r="AY510" s="441"/>
      <c r="AZ510" s="441"/>
      <c r="BA510" s="441"/>
      <c r="BB510" s="441"/>
      <c r="BC510" s="441"/>
      <c r="BD510" s="441"/>
      <c r="BE510" s="441"/>
      <c r="BF510" s="441"/>
    </row>
    <row r="511" ht="15.0" hidden="1" customHeight="1" outlineLevel="1">
      <c r="A511" s="763" t="s">
        <v>759</v>
      </c>
      <c r="B511" s="764">
        <f t="shared" ref="B511:H511" si="251">(B507+B508)/2+B509+B510</f>
        <v>-0.5</v>
      </c>
      <c r="C511" s="764">
        <f t="shared" si="251"/>
        <v>0.5</v>
      </c>
      <c r="D511" s="764">
        <f t="shared" si="251"/>
        <v>1.5</v>
      </c>
      <c r="E511" s="764">
        <f t="shared" si="251"/>
        <v>2.5</v>
      </c>
      <c r="F511" s="764">
        <f t="shared" si="251"/>
        <v>4.5</v>
      </c>
      <c r="G511" s="764">
        <f t="shared" si="251"/>
        <v>6.5</v>
      </c>
      <c r="H511" s="764">
        <f t="shared" si="251"/>
        <v>8.5</v>
      </c>
      <c r="I511" s="765"/>
      <c r="J511" s="766"/>
      <c r="K511" s="767"/>
      <c r="L511" s="768"/>
      <c r="M511" s="769"/>
      <c r="N511" s="770"/>
      <c r="O511" s="770"/>
      <c r="P511" s="770"/>
      <c r="Q511" s="771"/>
      <c r="R511" s="228"/>
      <c r="S511" s="454">
        <v>0.0</v>
      </c>
      <c r="T511" s="467"/>
      <c r="U511" s="467"/>
      <c r="V511" s="438"/>
      <c r="W511" s="438"/>
      <c r="X511" s="467"/>
      <c r="Y511" s="467"/>
      <c r="Z511" s="467"/>
      <c r="AA511" s="467"/>
      <c r="AB511" s="467"/>
      <c r="AC511" s="438"/>
      <c r="AD511" s="438"/>
      <c r="AE511" s="438"/>
      <c r="AF511" s="441"/>
      <c r="AG511" s="441"/>
      <c r="AH511" s="441"/>
      <c r="AI511" s="441"/>
      <c r="AJ511" s="441"/>
      <c r="AK511" s="441"/>
      <c r="AL511" s="441"/>
      <c r="AM511" s="441"/>
      <c r="AN511" s="441"/>
      <c r="AO511" s="441"/>
      <c r="AP511" s="441"/>
      <c r="AQ511" s="441"/>
      <c r="AR511" s="441"/>
      <c r="AS511" s="441"/>
      <c r="AT511" s="441"/>
      <c r="AU511" s="441"/>
      <c r="AV511" s="441"/>
      <c r="AW511" s="441"/>
      <c r="AX511" s="441"/>
      <c r="AY511" s="441"/>
      <c r="AZ511" s="441"/>
      <c r="BA511" s="441"/>
      <c r="BB511" s="441"/>
      <c r="BC511" s="441"/>
      <c r="BD511" s="441"/>
      <c r="BE511" s="441"/>
      <c r="BF511" s="441"/>
    </row>
    <row r="512" ht="15.0" hidden="1" customHeight="1" outlineLevel="1">
      <c r="A512" s="763" t="s">
        <v>760</v>
      </c>
      <c r="B512" s="773"/>
      <c r="C512" s="773">
        <f t="shared" ref="C512:H512" si="252">C511/B511-1</f>
        <v>-2</v>
      </c>
      <c r="D512" s="773">
        <f t="shared" si="252"/>
        <v>2</v>
      </c>
      <c r="E512" s="773">
        <f t="shared" si="252"/>
        <v>0.6666666667</v>
      </c>
      <c r="F512" s="773">
        <f t="shared" si="252"/>
        <v>0.8</v>
      </c>
      <c r="G512" s="773">
        <f t="shared" si="252"/>
        <v>0.4444444444</v>
      </c>
      <c r="H512" s="773">
        <f t="shared" si="252"/>
        <v>0.3076923077</v>
      </c>
      <c r="I512" s="765"/>
      <c r="J512" s="766"/>
      <c r="K512" s="767"/>
      <c r="L512" s="768"/>
      <c r="M512" s="769"/>
      <c r="N512" s="770"/>
      <c r="O512" s="770"/>
      <c r="P512" s="770"/>
      <c r="Q512" s="771"/>
      <c r="R512" s="228"/>
      <c r="S512" s="454">
        <v>0.0</v>
      </c>
      <c r="T512" s="467"/>
      <c r="U512" s="467"/>
      <c r="V512" s="438"/>
      <c r="W512" s="438"/>
      <c r="X512" s="467"/>
      <c r="Y512" s="467"/>
      <c r="Z512" s="467"/>
      <c r="AA512" s="467"/>
      <c r="AB512" s="467"/>
      <c r="AC512" s="438"/>
      <c r="AD512" s="438"/>
      <c r="AE512" s="438"/>
      <c r="AF512" s="441"/>
      <c r="AG512" s="441"/>
      <c r="AH512" s="441"/>
      <c r="AI512" s="441"/>
      <c r="AJ512" s="441"/>
      <c r="AK512" s="441"/>
      <c r="AL512" s="441"/>
      <c r="AM512" s="441"/>
      <c r="AN512" s="441"/>
      <c r="AO512" s="441"/>
      <c r="AP512" s="441"/>
      <c r="AQ512" s="441"/>
      <c r="AR512" s="441"/>
      <c r="AS512" s="441"/>
      <c r="AT512" s="441"/>
      <c r="AU512" s="441"/>
      <c r="AV512" s="441"/>
      <c r="AW512" s="441"/>
      <c r="AX512" s="441"/>
      <c r="AY512" s="441"/>
      <c r="AZ512" s="441"/>
      <c r="BA512" s="441"/>
      <c r="BB512" s="441"/>
      <c r="BC512" s="441"/>
      <c r="BD512" s="441"/>
      <c r="BE512" s="441"/>
      <c r="BF512" s="441"/>
    </row>
    <row r="513" ht="15.0" hidden="1" customHeight="1" outlineLevel="1">
      <c r="A513" s="763" t="s">
        <v>761</v>
      </c>
      <c r="B513" s="764">
        <v>1.0</v>
      </c>
      <c r="C513" s="764"/>
      <c r="D513" s="773"/>
      <c r="E513" s="773"/>
      <c r="F513" s="773"/>
      <c r="G513" s="773"/>
      <c r="H513" s="773"/>
      <c r="I513" s="765"/>
      <c r="J513" s="766"/>
      <c r="K513" s="767"/>
      <c r="L513" s="768"/>
      <c r="M513" s="769"/>
      <c r="N513" s="770"/>
      <c r="O513" s="770"/>
      <c r="P513" s="770"/>
      <c r="Q513" s="771"/>
      <c r="R513" s="228"/>
      <c r="S513" s="454">
        <v>0.0</v>
      </c>
      <c r="T513" s="467"/>
      <c r="U513" s="467"/>
      <c r="V513" s="438"/>
      <c r="W513" s="438"/>
      <c r="X513" s="467"/>
      <c r="Y513" s="467"/>
      <c r="Z513" s="467"/>
      <c r="AA513" s="467"/>
      <c r="AB513" s="467"/>
      <c r="AC513" s="438"/>
      <c r="AD513" s="438"/>
      <c r="AE513" s="438"/>
      <c r="AF513" s="441"/>
      <c r="AG513" s="441"/>
      <c r="AH513" s="441"/>
      <c r="AI513" s="441"/>
      <c r="AJ513" s="441"/>
      <c r="AK513" s="441"/>
      <c r="AL513" s="441"/>
      <c r="AM513" s="441"/>
      <c r="AN513" s="441"/>
      <c r="AO513" s="441"/>
      <c r="AP513" s="441"/>
      <c r="AQ513" s="441"/>
      <c r="AR513" s="441"/>
      <c r="AS513" s="441"/>
      <c r="AT513" s="441"/>
      <c r="AU513" s="441"/>
      <c r="AV513" s="441"/>
      <c r="AW513" s="441"/>
      <c r="AX513" s="441"/>
      <c r="AY513" s="441"/>
      <c r="AZ513" s="441"/>
      <c r="BA513" s="441"/>
      <c r="BB513" s="441"/>
      <c r="BC513" s="441"/>
      <c r="BD513" s="441"/>
      <c r="BE513" s="441"/>
      <c r="BF513" s="441"/>
    </row>
    <row r="514" ht="15.0" hidden="1" customHeight="1" outlineLevel="1">
      <c r="A514" s="763" t="s">
        <v>762</v>
      </c>
      <c r="B514" s="774">
        <f t="shared" ref="B514:H514" si="253">B511/$B513</f>
        <v>-0.5</v>
      </c>
      <c r="C514" s="774">
        <f t="shared" si="253"/>
        <v>0.5</v>
      </c>
      <c r="D514" s="774">
        <f t="shared" si="253"/>
        <v>1.5</v>
      </c>
      <c r="E514" s="774">
        <f t="shared" si="253"/>
        <v>2.5</v>
      </c>
      <c r="F514" s="774">
        <f t="shared" si="253"/>
        <v>4.5</v>
      </c>
      <c r="G514" s="774">
        <f t="shared" si="253"/>
        <v>6.5</v>
      </c>
      <c r="H514" s="774">
        <f t="shared" si="253"/>
        <v>8.5</v>
      </c>
      <c r="I514" s="765"/>
      <c r="J514" s="766"/>
      <c r="K514" s="767"/>
      <c r="L514" s="768"/>
      <c r="M514" s="769"/>
      <c r="N514" s="770"/>
      <c r="O514" s="770"/>
      <c r="P514" s="770"/>
      <c r="Q514" s="771"/>
      <c r="R514" s="228"/>
      <c r="S514" s="454">
        <v>0.0</v>
      </c>
      <c r="T514" s="467"/>
      <c r="U514" s="467"/>
      <c r="V514" s="438"/>
      <c r="W514" s="438"/>
      <c r="X514" s="467"/>
      <c r="Y514" s="467"/>
      <c r="Z514" s="467"/>
      <c r="AA514" s="467"/>
      <c r="AB514" s="467"/>
      <c r="AC514" s="438"/>
      <c r="AD514" s="438"/>
      <c r="AE514" s="438"/>
      <c r="AF514" s="441"/>
      <c r="AG514" s="441"/>
      <c r="AH514" s="441"/>
      <c r="AI514" s="441"/>
      <c r="AJ514" s="441"/>
      <c r="AK514" s="441"/>
      <c r="AL514" s="441"/>
      <c r="AM514" s="441"/>
      <c r="AN514" s="441"/>
      <c r="AO514" s="441"/>
      <c r="AP514" s="441"/>
      <c r="AQ514" s="441"/>
      <c r="AR514" s="441"/>
      <c r="AS514" s="441"/>
      <c r="AT514" s="441"/>
      <c r="AU514" s="441"/>
      <c r="AV514" s="441"/>
      <c r="AW514" s="441"/>
      <c r="AX514" s="441"/>
      <c r="AY514" s="441"/>
      <c r="AZ514" s="441"/>
      <c r="BA514" s="441"/>
      <c r="BB514" s="441"/>
      <c r="BC514" s="441"/>
      <c r="BD514" s="441"/>
      <c r="BE514" s="441"/>
      <c r="BF514" s="441"/>
    </row>
    <row r="515" ht="30.0" customHeight="1" collapsed="1">
      <c r="A515" s="757" t="s">
        <v>1127</v>
      </c>
      <c r="B515" s="758" t="s">
        <v>1101</v>
      </c>
      <c r="C515" s="758" t="s">
        <v>749</v>
      </c>
      <c r="D515" s="758" t="s">
        <v>115</v>
      </c>
      <c r="E515" s="758" t="s">
        <v>916</v>
      </c>
      <c r="F515" s="758" t="s">
        <v>775</v>
      </c>
      <c r="G515" s="758" t="s">
        <v>935</v>
      </c>
      <c r="H515" s="758" t="s">
        <v>800</v>
      </c>
      <c r="I515" s="760"/>
      <c r="J515" s="760">
        <v>0.0</v>
      </c>
      <c r="K515" s="758">
        <v>2.0</v>
      </c>
      <c r="L515" s="775"/>
      <c r="M515" s="758" t="s">
        <v>30</v>
      </c>
      <c r="N515" s="775"/>
      <c r="O515" s="775"/>
      <c r="P515" s="759" t="s">
        <v>859</v>
      </c>
      <c r="Q515" s="776" t="s">
        <v>1128</v>
      </c>
      <c r="R515" s="228"/>
      <c r="S515" s="454">
        <v>0.0</v>
      </c>
      <c r="T515" s="467"/>
      <c r="U515" s="467"/>
      <c r="V515" s="438"/>
      <c r="W515" s="438"/>
      <c r="X515" s="467"/>
      <c r="Y515" s="467"/>
      <c r="Z515" s="467"/>
      <c r="AA515" s="467"/>
      <c r="AB515" s="467"/>
      <c r="AC515" s="438"/>
      <c r="AD515" s="438"/>
      <c r="AE515" s="438"/>
      <c r="AF515" s="762" t="s">
        <v>1126</v>
      </c>
      <c r="AG515" s="441"/>
      <c r="AH515" s="441"/>
      <c r="AI515" s="441"/>
      <c r="AJ515" s="441"/>
      <c r="AK515" s="441"/>
      <c r="AL515" s="441"/>
      <c r="AM515" s="441"/>
      <c r="AN515" s="441"/>
      <c r="AO515" s="441"/>
      <c r="AP515" s="441"/>
      <c r="AQ515" s="441"/>
      <c r="AR515" s="441"/>
      <c r="AS515" s="441"/>
      <c r="AT515" s="441"/>
      <c r="AU515" s="441"/>
      <c r="AV515" s="441"/>
      <c r="AW515" s="441"/>
      <c r="AX515" s="441"/>
      <c r="AY515" s="441"/>
      <c r="AZ515" s="441"/>
      <c r="BA515" s="441"/>
      <c r="BB515" s="441"/>
      <c r="BC515" s="441"/>
      <c r="BD515" s="441"/>
      <c r="BE515" s="441"/>
      <c r="BF515" s="441"/>
    </row>
    <row r="516" ht="15.0" hidden="1" customHeight="1" outlineLevel="1">
      <c r="A516" s="763" t="s">
        <v>756</v>
      </c>
      <c r="B516" s="764">
        <v>1.0</v>
      </c>
      <c r="C516" s="764">
        <v>1.0</v>
      </c>
      <c r="D516" s="764">
        <v>1.0</v>
      </c>
      <c r="E516" s="764">
        <v>1.0</v>
      </c>
      <c r="F516" s="764">
        <v>1.0</v>
      </c>
      <c r="G516" s="764">
        <v>1.0</v>
      </c>
      <c r="H516" s="764">
        <v>1.0</v>
      </c>
      <c r="I516" s="765"/>
      <c r="J516" s="766"/>
      <c r="K516" s="767"/>
      <c r="L516" s="768"/>
      <c r="M516" s="769"/>
      <c r="N516" s="770"/>
      <c r="O516" s="770"/>
      <c r="P516" s="770"/>
      <c r="Q516" s="771"/>
      <c r="R516" s="228"/>
      <c r="S516" s="454">
        <v>0.0</v>
      </c>
      <c r="T516" s="467"/>
      <c r="U516" s="467"/>
      <c r="V516" s="438"/>
      <c r="W516" s="438"/>
      <c r="X516" s="467"/>
      <c r="Y516" s="467"/>
      <c r="Z516" s="467"/>
      <c r="AA516" s="467"/>
      <c r="AB516" s="467"/>
      <c r="AC516" s="438"/>
      <c r="AD516" s="438"/>
      <c r="AE516" s="438"/>
      <c r="AF516" s="441"/>
      <c r="AG516" s="441"/>
      <c r="AH516" s="441"/>
      <c r="AI516" s="441"/>
      <c r="AJ516" s="441"/>
      <c r="AK516" s="441"/>
      <c r="AL516" s="441"/>
      <c r="AM516" s="441"/>
      <c r="AN516" s="441"/>
      <c r="AO516" s="441"/>
      <c r="AP516" s="441"/>
      <c r="AQ516" s="441"/>
      <c r="AR516" s="441"/>
      <c r="AS516" s="441"/>
      <c r="AT516" s="441"/>
      <c r="AU516" s="441"/>
      <c r="AV516" s="441"/>
      <c r="AW516" s="441"/>
      <c r="AX516" s="441"/>
      <c r="AY516" s="441"/>
      <c r="AZ516" s="441"/>
      <c r="BA516" s="441"/>
      <c r="BB516" s="441"/>
      <c r="BC516" s="441"/>
      <c r="BD516" s="441"/>
      <c r="BE516" s="441"/>
      <c r="BF516" s="441"/>
    </row>
    <row r="517" ht="15.0" hidden="1" customHeight="1" outlineLevel="1">
      <c r="A517" s="763" t="s">
        <v>757</v>
      </c>
      <c r="B517" s="764">
        <v>4.0</v>
      </c>
      <c r="C517" s="764">
        <v>4.0</v>
      </c>
      <c r="D517" s="764">
        <v>6.0</v>
      </c>
      <c r="E517" s="764">
        <v>8.0</v>
      </c>
      <c r="F517" s="764">
        <v>8.0</v>
      </c>
      <c r="G517" s="764">
        <v>8.0</v>
      </c>
      <c r="H517" s="764">
        <v>10.0</v>
      </c>
      <c r="I517" s="765"/>
      <c r="J517" s="766"/>
      <c r="K517" s="767"/>
      <c r="L517" s="768"/>
      <c r="M517" s="769"/>
      <c r="N517" s="770"/>
      <c r="O517" s="770"/>
      <c r="P517" s="770"/>
      <c r="Q517" s="771"/>
      <c r="R517" s="228"/>
      <c r="S517" s="454">
        <v>0.0</v>
      </c>
      <c r="T517" s="467"/>
      <c r="U517" s="467"/>
      <c r="V517" s="438"/>
      <c r="W517" s="438"/>
      <c r="X517" s="467"/>
      <c r="Y517" s="467"/>
      <c r="Z517" s="467"/>
      <c r="AA517" s="467"/>
      <c r="AB517" s="467"/>
      <c r="AC517" s="438"/>
      <c r="AD517" s="438"/>
      <c r="AE517" s="438"/>
      <c r="AF517" s="441"/>
      <c r="AG517" s="441"/>
      <c r="AH517" s="441"/>
      <c r="AI517" s="441"/>
      <c r="AJ517" s="441"/>
      <c r="AK517" s="441"/>
      <c r="AL517" s="441"/>
      <c r="AM517" s="441"/>
      <c r="AN517" s="441"/>
      <c r="AO517" s="441"/>
      <c r="AP517" s="441"/>
      <c r="AQ517" s="441"/>
      <c r="AR517" s="441"/>
      <c r="AS517" s="441"/>
      <c r="AT517" s="441"/>
      <c r="AU517" s="441"/>
      <c r="AV517" s="441"/>
      <c r="AW517" s="441"/>
      <c r="AX517" s="441"/>
      <c r="AY517" s="441"/>
      <c r="AZ517" s="441"/>
      <c r="BA517" s="441"/>
      <c r="BB517" s="441"/>
      <c r="BC517" s="441"/>
      <c r="BD517" s="441"/>
      <c r="BE517" s="441"/>
      <c r="BF517" s="441"/>
    </row>
    <row r="518" ht="15.0" hidden="1" customHeight="1" outlineLevel="1">
      <c r="A518" s="763" t="s">
        <v>758</v>
      </c>
      <c r="B518" s="764">
        <v>-1.0</v>
      </c>
      <c r="C518" s="764">
        <v>1.0</v>
      </c>
      <c r="D518" s="764">
        <v>2.0</v>
      </c>
      <c r="E518" s="764">
        <v>4.0</v>
      </c>
      <c r="F518" s="764">
        <v>6.0</v>
      </c>
      <c r="G518" s="764">
        <v>9.0</v>
      </c>
      <c r="H518" s="764">
        <v>11.0</v>
      </c>
      <c r="I518" s="765"/>
      <c r="J518" s="766"/>
      <c r="K518" s="767"/>
      <c r="L518" s="768"/>
      <c r="M518" s="769"/>
      <c r="N518" s="770"/>
      <c r="O518" s="770"/>
      <c r="P518" s="770"/>
      <c r="Q518" s="771"/>
      <c r="R518" s="228"/>
      <c r="S518" s="454">
        <v>0.0</v>
      </c>
      <c r="T518" s="467"/>
      <c r="U518" s="467"/>
      <c r="V518" s="438"/>
      <c r="W518" s="438"/>
      <c r="X518" s="467"/>
      <c r="Y518" s="467"/>
      <c r="Z518" s="467"/>
      <c r="AA518" s="467"/>
      <c r="AB518" s="467"/>
      <c r="AC518" s="438"/>
      <c r="AD518" s="438"/>
      <c r="AE518" s="438"/>
      <c r="AF518" s="441"/>
      <c r="AG518" s="441"/>
      <c r="AH518" s="441"/>
      <c r="AI518" s="441"/>
      <c r="AJ518" s="441"/>
      <c r="AK518" s="441"/>
      <c r="AL518" s="441"/>
      <c r="AM518" s="441"/>
      <c r="AN518" s="441"/>
      <c r="AO518" s="441"/>
      <c r="AP518" s="441"/>
      <c r="AQ518" s="441"/>
      <c r="AR518" s="441"/>
      <c r="AS518" s="441"/>
      <c r="AT518" s="441"/>
      <c r="AU518" s="441"/>
      <c r="AV518" s="441"/>
      <c r="AW518" s="441"/>
      <c r="AX518" s="441"/>
      <c r="AY518" s="441"/>
      <c r="AZ518" s="441"/>
      <c r="BA518" s="441"/>
      <c r="BB518" s="441"/>
      <c r="BC518" s="441"/>
      <c r="BD518" s="441"/>
      <c r="BE518" s="441"/>
      <c r="BF518" s="441"/>
    </row>
    <row r="519" ht="15.0" hidden="1" customHeight="1" outlineLevel="1">
      <c r="A519" s="763" t="s">
        <v>1104</v>
      </c>
      <c r="B519" s="764">
        <v>3.0</v>
      </c>
      <c r="C519" s="764">
        <v>3.0</v>
      </c>
      <c r="D519" s="764">
        <v>3.0</v>
      </c>
      <c r="E519" s="764">
        <v>3.0</v>
      </c>
      <c r="F519" s="764">
        <v>3.0</v>
      </c>
      <c r="G519" s="764">
        <v>3.0</v>
      </c>
      <c r="H519" s="764">
        <v>3.0</v>
      </c>
      <c r="I519" s="765"/>
      <c r="J519" s="766"/>
      <c r="K519" s="767"/>
      <c r="L519" s="768"/>
      <c r="M519" s="769"/>
      <c r="N519" s="770"/>
      <c r="O519" s="770"/>
      <c r="P519" s="770"/>
      <c r="Q519" s="772" t="s">
        <v>1129</v>
      </c>
      <c r="R519" s="228"/>
      <c r="S519" s="454">
        <v>0.0</v>
      </c>
      <c r="T519" s="467"/>
      <c r="U519" s="467"/>
      <c r="V519" s="438"/>
      <c r="W519" s="438"/>
      <c r="X519" s="467"/>
      <c r="Y519" s="467"/>
      <c r="Z519" s="467"/>
      <c r="AA519" s="467"/>
      <c r="AB519" s="467"/>
      <c r="AC519" s="438"/>
      <c r="AD519" s="438"/>
      <c r="AE519" s="438"/>
      <c r="AF519" s="441"/>
      <c r="AG519" s="441"/>
      <c r="AH519" s="441"/>
      <c r="AI519" s="441"/>
      <c r="AJ519" s="441"/>
      <c r="AK519" s="441"/>
      <c r="AL519" s="441"/>
      <c r="AM519" s="441"/>
      <c r="AN519" s="441"/>
      <c r="AO519" s="441"/>
      <c r="AP519" s="441"/>
      <c r="AQ519" s="441"/>
      <c r="AR519" s="441"/>
      <c r="AS519" s="441"/>
      <c r="AT519" s="441"/>
      <c r="AU519" s="441"/>
      <c r="AV519" s="441"/>
      <c r="AW519" s="441"/>
      <c r="AX519" s="441"/>
      <c r="AY519" s="441"/>
      <c r="AZ519" s="441"/>
      <c r="BA519" s="441"/>
      <c r="BB519" s="441"/>
      <c r="BC519" s="441"/>
      <c r="BD519" s="441"/>
      <c r="BE519" s="441"/>
      <c r="BF519" s="441"/>
    </row>
    <row r="520" ht="15.0" hidden="1" customHeight="1" outlineLevel="1">
      <c r="A520" s="763" t="s">
        <v>759</v>
      </c>
      <c r="B520" s="764">
        <f t="shared" ref="B520:H520" si="254">(B516+B517)/2+B518+B519</f>
        <v>4.5</v>
      </c>
      <c r="C520" s="764">
        <f t="shared" si="254"/>
        <v>6.5</v>
      </c>
      <c r="D520" s="764">
        <f t="shared" si="254"/>
        <v>8.5</v>
      </c>
      <c r="E520" s="764">
        <f t="shared" si="254"/>
        <v>11.5</v>
      </c>
      <c r="F520" s="764">
        <f t="shared" si="254"/>
        <v>13.5</v>
      </c>
      <c r="G520" s="764">
        <f t="shared" si="254"/>
        <v>16.5</v>
      </c>
      <c r="H520" s="764">
        <f t="shared" si="254"/>
        <v>19.5</v>
      </c>
      <c r="I520" s="765"/>
      <c r="J520" s="766"/>
      <c r="K520" s="767"/>
      <c r="L520" s="768"/>
      <c r="M520" s="769"/>
      <c r="N520" s="770"/>
      <c r="O520" s="770"/>
      <c r="P520" s="770"/>
      <c r="Q520" s="771"/>
      <c r="R520" s="228"/>
      <c r="S520" s="454">
        <v>0.0</v>
      </c>
      <c r="T520" s="467"/>
      <c r="U520" s="467"/>
      <c r="V520" s="438"/>
      <c r="W520" s="438"/>
      <c r="X520" s="467"/>
      <c r="Y520" s="467"/>
      <c r="Z520" s="467"/>
      <c r="AA520" s="467"/>
      <c r="AB520" s="467"/>
      <c r="AC520" s="438"/>
      <c r="AD520" s="438"/>
      <c r="AE520" s="438"/>
      <c r="AF520" s="441"/>
      <c r="AG520" s="441"/>
      <c r="AH520" s="441"/>
      <c r="AI520" s="441"/>
      <c r="AJ520" s="441"/>
      <c r="AK520" s="441"/>
      <c r="AL520" s="441"/>
      <c r="AM520" s="441"/>
      <c r="AN520" s="441"/>
      <c r="AO520" s="441"/>
      <c r="AP520" s="441"/>
      <c r="AQ520" s="441"/>
      <c r="AR520" s="441"/>
      <c r="AS520" s="441"/>
      <c r="AT520" s="441"/>
      <c r="AU520" s="441"/>
      <c r="AV520" s="441"/>
      <c r="AW520" s="441"/>
      <c r="AX520" s="441"/>
      <c r="AY520" s="441"/>
      <c r="AZ520" s="441"/>
      <c r="BA520" s="441"/>
      <c r="BB520" s="441"/>
      <c r="BC520" s="441"/>
      <c r="BD520" s="441"/>
      <c r="BE520" s="441"/>
      <c r="BF520" s="441"/>
    </row>
    <row r="521" ht="15.0" hidden="1" customHeight="1" outlineLevel="1">
      <c r="A521" s="763" t="s">
        <v>760</v>
      </c>
      <c r="B521" s="773"/>
      <c r="C521" s="773">
        <f t="shared" ref="C521:H521" si="255">C520/B520-1</f>
        <v>0.4444444444</v>
      </c>
      <c r="D521" s="773">
        <f t="shared" si="255"/>
        <v>0.3076923077</v>
      </c>
      <c r="E521" s="773">
        <f t="shared" si="255"/>
        <v>0.3529411765</v>
      </c>
      <c r="F521" s="773">
        <f t="shared" si="255"/>
        <v>0.1739130435</v>
      </c>
      <c r="G521" s="773">
        <f t="shared" si="255"/>
        <v>0.2222222222</v>
      </c>
      <c r="H521" s="773">
        <f t="shared" si="255"/>
        <v>0.1818181818</v>
      </c>
      <c r="I521" s="765"/>
      <c r="J521" s="766"/>
      <c r="K521" s="767"/>
      <c r="L521" s="768"/>
      <c r="M521" s="769"/>
      <c r="N521" s="770"/>
      <c r="O521" s="770"/>
      <c r="P521" s="770"/>
      <c r="Q521" s="771"/>
      <c r="R521" s="228"/>
      <c r="S521" s="454">
        <v>0.0</v>
      </c>
      <c r="T521" s="467"/>
      <c r="U521" s="467"/>
      <c r="V521" s="438"/>
      <c r="W521" s="438"/>
      <c r="X521" s="467"/>
      <c r="Y521" s="467"/>
      <c r="Z521" s="467"/>
      <c r="AA521" s="467"/>
      <c r="AB521" s="467"/>
      <c r="AC521" s="438"/>
      <c r="AD521" s="438"/>
      <c r="AE521" s="438"/>
      <c r="AF521" s="441"/>
      <c r="AG521" s="441"/>
      <c r="AH521" s="441"/>
      <c r="AI521" s="441"/>
      <c r="AJ521" s="441"/>
      <c r="AK521" s="441"/>
      <c r="AL521" s="441"/>
      <c r="AM521" s="441"/>
      <c r="AN521" s="441"/>
      <c r="AO521" s="441"/>
      <c r="AP521" s="441"/>
      <c r="AQ521" s="441"/>
      <c r="AR521" s="441"/>
      <c r="AS521" s="441"/>
      <c r="AT521" s="441"/>
      <c r="AU521" s="441"/>
      <c r="AV521" s="441"/>
      <c r="AW521" s="441"/>
      <c r="AX521" s="441"/>
      <c r="AY521" s="441"/>
      <c r="AZ521" s="441"/>
      <c r="BA521" s="441"/>
      <c r="BB521" s="441"/>
      <c r="BC521" s="441"/>
      <c r="BD521" s="441"/>
      <c r="BE521" s="441"/>
      <c r="BF521" s="441"/>
    </row>
    <row r="522" ht="15.0" hidden="1" customHeight="1" outlineLevel="1">
      <c r="A522" s="763" t="s">
        <v>761</v>
      </c>
      <c r="B522" s="764">
        <v>2.0</v>
      </c>
      <c r="C522" s="764"/>
      <c r="D522" s="773"/>
      <c r="E522" s="773"/>
      <c r="F522" s="773"/>
      <c r="G522" s="773"/>
      <c r="H522" s="773"/>
      <c r="I522" s="765"/>
      <c r="J522" s="766"/>
      <c r="K522" s="767"/>
      <c r="L522" s="768"/>
      <c r="M522" s="769"/>
      <c r="N522" s="770"/>
      <c r="O522" s="770"/>
      <c r="P522" s="770"/>
      <c r="Q522" s="771"/>
      <c r="R522" s="228"/>
      <c r="S522" s="454">
        <v>0.0</v>
      </c>
      <c r="T522" s="467"/>
      <c r="U522" s="467"/>
      <c r="V522" s="438"/>
      <c r="W522" s="438"/>
      <c r="X522" s="467"/>
      <c r="Y522" s="467"/>
      <c r="Z522" s="467"/>
      <c r="AA522" s="467"/>
      <c r="AB522" s="467"/>
      <c r="AC522" s="438"/>
      <c r="AD522" s="438"/>
      <c r="AE522" s="438"/>
      <c r="AF522" s="441"/>
      <c r="AG522" s="441"/>
      <c r="AH522" s="441"/>
      <c r="AI522" s="441"/>
      <c r="AJ522" s="441"/>
      <c r="AK522" s="441"/>
      <c r="AL522" s="441"/>
      <c r="AM522" s="441"/>
      <c r="AN522" s="441"/>
      <c r="AO522" s="441"/>
      <c r="AP522" s="441"/>
      <c r="AQ522" s="441"/>
      <c r="AR522" s="441"/>
      <c r="AS522" s="441"/>
      <c r="AT522" s="441"/>
      <c r="AU522" s="441"/>
      <c r="AV522" s="441"/>
      <c r="AW522" s="441"/>
      <c r="AX522" s="441"/>
      <c r="AY522" s="441"/>
      <c r="AZ522" s="441"/>
      <c r="BA522" s="441"/>
      <c r="BB522" s="441"/>
      <c r="BC522" s="441"/>
      <c r="BD522" s="441"/>
      <c r="BE522" s="441"/>
      <c r="BF522" s="441"/>
    </row>
    <row r="523" ht="15.0" hidden="1" customHeight="1" outlineLevel="1">
      <c r="A523" s="763" t="s">
        <v>762</v>
      </c>
      <c r="B523" s="774">
        <f t="shared" ref="B523:H523" si="256">B520/$B522</f>
        <v>2.25</v>
      </c>
      <c r="C523" s="774">
        <f t="shared" si="256"/>
        <v>3.25</v>
      </c>
      <c r="D523" s="774">
        <f t="shared" si="256"/>
        <v>4.25</v>
      </c>
      <c r="E523" s="774">
        <f t="shared" si="256"/>
        <v>5.75</v>
      </c>
      <c r="F523" s="774">
        <f t="shared" si="256"/>
        <v>6.75</v>
      </c>
      <c r="G523" s="774">
        <f t="shared" si="256"/>
        <v>8.25</v>
      </c>
      <c r="H523" s="774">
        <f t="shared" si="256"/>
        <v>9.75</v>
      </c>
      <c r="I523" s="765"/>
      <c r="J523" s="766"/>
      <c r="K523" s="767"/>
      <c r="L523" s="768"/>
      <c r="M523" s="769"/>
      <c r="N523" s="770"/>
      <c r="O523" s="770"/>
      <c r="P523" s="770"/>
      <c r="Q523" s="771"/>
      <c r="R523" s="228"/>
      <c r="S523" s="454">
        <v>0.0</v>
      </c>
      <c r="T523" s="467"/>
      <c r="U523" s="467"/>
      <c r="V523" s="438"/>
      <c r="W523" s="438"/>
      <c r="X523" s="467"/>
      <c r="Y523" s="467"/>
      <c r="Z523" s="467"/>
      <c r="AA523" s="467"/>
      <c r="AB523" s="467"/>
      <c r="AC523" s="438"/>
      <c r="AD523" s="438"/>
      <c r="AE523" s="438"/>
      <c r="AF523" s="441"/>
      <c r="AG523" s="441"/>
      <c r="AH523" s="441"/>
      <c r="AI523" s="441"/>
      <c r="AJ523" s="441"/>
      <c r="AK523" s="441"/>
      <c r="AL523" s="441"/>
      <c r="AM523" s="441"/>
      <c r="AN523" s="441"/>
      <c r="AO523" s="441"/>
      <c r="AP523" s="441"/>
      <c r="AQ523" s="441"/>
      <c r="AR523" s="441"/>
      <c r="AS523" s="441"/>
      <c r="AT523" s="441"/>
      <c r="AU523" s="441"/>
      <c r="AV523" s="441"/>
      <c r="AW523" s="441"/>
      <c r="AX523" s="441"/>
      <c r="AY523" s="441"/>
      <c r="AZ523" s="441"/>
      <c r="BA523" s="441"/>
      <c r="BB523" s="441"/>
      <c r="BC523" s="441"/>
      <c r="BD523" s="441"/>
      <c r="BE523" s="441"/>
      <c r="BF523" s="441"/>
    </row>
    <row r="524" ht="30.0" customHeight="1" collapsed="1">
      <c r="A524" s="777" t="s">
        <v>119</v>
      </c>
      <c r="B524" s="759" t="s">
        <v>748</v>
      </c>
      <c r="C524" s="758" t="s">
        <v>901</v>
      </c>
      <c r="D524" s="758" t="s">
        <v>1072</v>
      </c>
      <c r="E524" s="758" t="s">
        <v>1073</v>
      </c>
      <c r="F524" s="758" t="s">
        <v>904</v>
      </c>
      <c r="G524" s="758" t="s">
        <v>905</v>
      </c>
      <c r="H524" s="758" t="s">
        <v>906</v>
      </c>
      <c r="I524" s="760"/>
      <c r="J524" s="760">
        <v>0.0</v>
      </c>
      <c r="K524" s="758">
        <v>3.0</v>
      </c>
      <c r="L524" s="775"/>
      <c r="M524" s="758" t="s">
        <v>30</v>
      </c>
      <c r="N524" s="775"/>
      <c r="O524" s="775"/>
      <c r="P524" s="759" t="s">
        <v>859</v>
      </c>
      <c r="Q524" s="776" t="s">
        <v>1130</v>
      </c>
      <c r="R524" s="228"/>
      <c r="S524" s="454">
        <v>0.0</v>
      </c>
      <c r="T524" s="467"/>
      <c r="U524" s="467"/>
      <c r="V524" s="438"/>
      <c r="W524" s="438"/>
      <c r="X524" s="467"/>
      <c r="Y524" s="467"/>
      <c r="Z524" s="467"/>
      <c r="AA524" s="467"/>
      <c r="AB524" s="467"/>
      <c r="AC524" s="438"/>
      <c r="AD524" s="438"/>
      <c r="AE524" s="438"/>
      <c r="AF524" s="441"/>
      <c r="AG524" s="441"/>
      <c r="AH524" s="441"/>
      <c r="AI524" s="441"/>
      <c r="AJ524" s="441"/>
      <c r="AK524" s="441"/>
      <c r="AL524" s="441"/>
      <c r="AM524" s="441"/>
      <c r="AN524" s="441"/>
      <c r="AO524" s="441"/>
      <c r="AP524" s="441"/>
      <c r="AQ524" s="441"/>
      <c r="AR524" s="441"/>
      <c r="AS524" s="441"/>
      <c r="AT524" s="441"/>
      <c r="AU524" s="441"/>
      <c r="AV524" s="441"/>
      <c r="AW524" s="441"/>
      <c r="AX524" s="441"/>
      <c r="AY524" s="441"/>
      <c r="AZ524" s="441"/>
      <c r="BA524" s="441"/>
      <c r="BB524" s="441"/>
      <c r="BC524" s="441"/>
      <c r="BD524" s="441"/>
      <c r="BE524" s="441"/>
      <c r="BF524" s="441"/>
    </row>
    <row r="525" ht="15.0" hidden="1" customHeight="1" outlineLevel="1">
      <c r="A525" s="763" t="s">
        <v>756</v>
      </c>
      <c r="B525" s="764">
        <v>1.0</v>
      </c>
      <c r="C525" s="764">
        <v>1.0</v>
      </c>
      <c r="D525" s="764">
        <v>1.0</v>
      </c>
      <c r="E525" s="764">
        <v>1.0</v>
      </c>
      <c r="F525" s="764">
        <v>1.0</v>
      </c>
      <c r="G525" s="764">
        <v>1.0</v>
      </c>
      <c r="H525" s="764">
        <v>1.0</v>
      </c>
      <c r="I525" s="765"/>
      <c r="J525" s="766"/>
      <c r="K525" s="767"/>
      <c r="L525" s="768"/>
      <c r="M525" s="769"/>
      <c r="N525" s="770"/>
      <c r="O525" s="770"/>
      <c r="P525" s="770"/>
      <c r="Q525" s="771"/>
      <c r="R525" s="228"/>
      <c r="S525" s="454">
        <v>0.0</v>
      </c>
      <c r="T525" s="467"/>
      <c r="U525" s="467"/>
      <c r="V525" s="438"/>
      <c r="W525" s="438"/>
      <c r="X525" s="467"/>
      <c r="Y525" s="467"/>
      <c r="Z525" s="467"/>
      <c r="AA525" s="467"/>
      <c r="AB525" s="467"/>
      <c r="AC525" s="438"/>
      <c r="AD525" s="438"/>
      <c r="AE525" s="438"/>
      <c r="AF525" s="441"/>
      <c r="AG525" s="441"/>
      <c r="AH525" s="441"/>
      <c r="AI525" s="441"/>
      <c r="AJ525" s="441"/>
      <c r="AK525" s="441"/>
      <c r="AL525" s="441"/>
      <c r="AM525" s="441"/>
      <c r="AN525" s="441"/>
      <c r="AO525" s="441"/>
      <c r="AP525" s="441"/>
      <c r="AQ525" s="441"/>
      <c r="AR525" s="441"/>
      <c r="AS525" s="441"/>
      <c r="AT525" s="441"/>
      <c r="AU525" s="441"/>
      <c r="AV525" s="441"/>
      <c r="AW525" s="441"/>
      <c r="AX525" s="441"/>
      <c r="AY525" s="441"/>
      <c r="AZ525" s="441"/>
      <c r="BA525" s="441"/>
      <c r="BB525" s="441"/>
      <c r="BC525" s="441"/>
      <c r="BD525" s="441"/>
      <c r="BE525" s="441"/>
      <c r="BF525" s="441"/>
    </row>
    <row r="526" ht="15.0" hidden="1" customHeight="1" outlineLevel="1">
      <c r="A526" s="763" t="s">
        <v>757</v>
      </c>
      <c r="B526" s="764">
        <v>4.0</v>
      </c>
      <c r="C526" s="764">
        <v>4.0</v>
      </c>
      <c r="D526" s="764">
        <v>6.0</v>
      </c>
      <c r="E526" s="764">
        <v>6.0</v>
      </c>
      <c r="F526" s="764">
        <v>8.0</v>
      </c>
      <c r="G526" s="764">
        <v>8.0</v>
      </c>
      <c r="H526" s="764">
        <v>10.0</v>
      </c>
      <c r="I526" s="765"/>
      <c r="J526" s="766"/>
      <c r="K526" s="767"/>
      <c r="L526" s="768"/>
      <c r="M526" s="769"/>
      <c r="N526" s="770"/>
      <c r="O526" s="770"/>
      <c r="P526" s="770"/>
      <c r="Q526" s="771"/>
      <c r="R526" s="228"/>
      <c r="S526" s="454">
        <v>0.0</v>
      </c>
      <c r="T526" s="467"/>
      <c r="U526" s="467"/>
      <c r="V526" s="438"/>
      <c r="W526" s="438"/>
      <c r="X526" s="467"/>
      <c r="Y526" s="467"/>
      <c r="Z526" s="467"/>
      <c r="AA526" s="467"/>
      <c r="AB526" s="467"/>
      <c r="AC526" s="438"/>
      <c r="AD526" s="438"/>
      <c r="AE526" s="438"/>
      <c r="AF526" s="441"/>
      <c r="AG526" s="441"/>
      <c r="AH526" s="441"/>
      <c r="AI526" s="441"/>
      <c r="AJ526" s="441"/>
      <c r="AK526" s="441"/>
      <c r="AL526" s="441"/>
      <c r="AM526" s="441"/>
      <c r="AN526" s="441"/>
      <c r="AO526" s="441"/>
      <c r="AP526" s="441"/>
      <c r="AQ526" s="441"/>
      <c r="AR526" s="441"/>
      <c r="AS526" s="441"/>
      <c r="AT526" s="441"/>
      <c r="AU526" s="441"/>
      <c r="AV526" s="441"/>
      <c r="AW526" s="441"/>
      <c r="AX526" s="441"/>
      <c r="AY526" s="441"/>
      <c r="AZ526" s="441"/>
      <c r="BA526" s="441"/>
      <c r="BB526" s="441"/>
      <c r="BC526" s="441"/>
      <c r="BD526" s="441"/>
      <c r="BE526" s="441"/>
      <c r="BF526" s="441"/>
    </row>
    <row r="527" ht="15.0" hidden="1" customHeight="1" outlineLevel="1">
      <c r="A527" s="763" t="s">
        <v>758</v>
      </c>
      <c r="B527" s="764">
        <v>0.0</v>
      </c>
      <c r="C527" s="764">
        <v>3.0</v>
      </c>
      <c r="D527" s="764">
        <v>5.0</v>
      </c>
      <c r="E527" s="764">
        <v>8.0</v>
      </c>
      <c r="F527" s="764">
        <v>11.0</v>
      </c>
      <c r="G527" s="764">
        <v>15.0</v>
      </c>
      <c r="H527" s="764">
        <v>18.0</v>
      </c>
      <c r="I527" s="765"/>
      <c r="J527" s="766"/>
      <c r="K527" s="767"/>
      <c r="L527" s="768"/>
      <c r="M527" s="769"/>
      <c r="N527" s="770"/>
      <c r="O527" s="770"/>
      <c r="P527" s="770"/>
      <c r="Q527" s="771"/>
      <c r="R527" s="228"/>
      <c r="S527" s="454">
        <v>0.0</v>
      </c>
      <c r="T527" s="467"/>
      <c r="U527" s="467"/>
      <c r="V527" s="438"/>
      <c r="W527" s="438"/>
      <c r="X527" s="467"/>
      <c r="Y527" s="467"/>
      <c r="Z527" s="467"/>
      <c r="AA527" s="467"/>
      <c r="AB527" s="467"/>
      <c r="AC527" s="438"/>
      <c r="AD527" s="438"/>
      <c r="AE527" s="438"/>
      <c r="AF527" s="441"/>
      <c r="AG527" s="441"/>
      <c r="AH527" s="441"/>
      <c r="AI527" s="441"/>
      <c r="AJ527" s="441"/>
      <c r="AK527" s="441"/>
      <c r="AL527" s="441"/>
      <c r="AM527" s="441"/>
      <c r="AN527" s="441"/>
      <c r="AO527" s="441"/>
      <c r="AP527" s="441"/>
      <c r="AQ527" s="441"/>
      <c r="AR527" s="441"/>
      <c r="AS527" s="441"/>
      <c r="AT527" s="441"/>
      <c r="AU527" s="441"/>
      <c r="AV527" s="441"/>
      <c r="AW527" s="441"/>
      <c r="AX527" s="441"/>
      <c r="AY527" s="441"/>
      <c r="AZ527" s="441"/>
      <c r="BA527" s="441"/>
      <c r="BB527" s="441"/>
      <c r="BC527" s="441"/>
      <c r="BD527" s="441"/>
      <c r="BE527" s="441"/>
      <c r="BF527" s="441"/>
    </row>
    <row r="528" ht="15.0" hidden="1" customHeight="1" outlineLevel="1">
      <c r="A528" s="763" t="s">
        <v>1104</v>
      </c>
      <c r="B528" s="764">
        <v>4.0</v>
      </c>
      <c r="C528" s="764">
        <v>4.0</v>
      </c>
      <c r="D528" s="764">
        <v>4.0</v>
      </c>
      <c r="E528" s="764">
        <v>4.0</v>
      </c>
      <c r="F528" s="764">
        <v>4.0</v>
      </c>
      <c r="G528" s="764">
        <v>4.0</v>
      </c>
      <c r="H528" s="764">
        <v>4.0</v>
      </c>
      <c r="I528" s="765"/>
      <c r="J528" s="766"/>
      <c r="K528" s="767"/>
      <c r="L528" s="768"/>
      <c r="M528" s="769"/>
      <c r="N528" s="770"/>
      <c r="O528" s="770"/>
      <c r="P528" s="770"/>
      <c r="Q528" s="772" t="s">
        <v>1129</v>
      </c>
      <c r="R528" s="228"/>
      <c r="S528" s="454">
        <v>0.0</v>
      </c>
      <c r="T528" s="467"/>
      <c r="U528" s="467"/>
      <c r="V528" s="438"/>
      <c r="W528" s="438"/>
      <c r="X528" s="467"/>
      <c r="Y528" s="467"/>
      <c r="Z528" s="467"/>
      <c r="AA528" s="467"/>
      <c r="AB528" s="467"/>
      <c r="AC528" s="438"/>
      <c r="AD528" s="438"/>
      <c r="AE528" s="438"/>
      <c r="AF528" s="441"/>
      <c r="AG528" s="441"/>
      <c r="AH528" s="441"/>
      <c r="AI528" s="441"/>
      <c r="AJ528" s="441"/>
      <c r="AK528" s="441"/>
      <c r="AL528" s="441"/>
      <c r="AM528" s="441"/>
      <c r="AN528" s="441"/>
      <c r="AO528" s="441"/>
      <c r="AP528" s="441"/>
      <c r="AQ528" s="441"/>
      <c r="AR528" s="441"/>
      <c r="AS528" s="441"/>
      <c r="AT528" s="441"/>
      <c r="AU528" s="441"/>
      <c r="AV528" s="441"/>
      <c r="AW528" s="441"/>
      <c r="AX528" s="441"/>
      <c r="AY528" s="441"/>
      <c r="AZ528" s="441"/>
      <c r="BA528" s="441"/>
      <c r="BB528" s="441"/>
      <c r="BC528" s="441"/>
      <c r="BD528" s="441"/>
      <c r="BE528" s="441"/>
      <c r="BF528" s="441"/>
    </row>
    <row r="529" ht="15.0" hidden="1" customHeight="1" outlineLevel="1">
      <c r="A529" s="763" t="s">
        <v>759</v>
      </c>
      <c r="B529" s="764">
        <f t="shared" ref="B529:H529" si="257">(B525+B526)/2+B527+B528</f>
        <v>6.5</v>
      </c>
      <c r="C529" s="764">
        <f t="shared" si="257"/>
        <v>9.5</v>
      </c>
      <c r="D529" s="764">
        <f t="shared" si="257"/>
        <v>12.5</v>
      </c>
      <c r="E529" s="764">
        <f t="shared" si="257"/>
        <v>15.5</v>
      </c>
      <c r="F529" s="764">
        <f t="shared" si="257"/>
        <v>19.5</v>
      </c>
      <c r="G529" s="764">
        <f t="shared" si="257"/>
        <v>23.5</v>
      </c>
      <c r="H529" s="764">
        <f t="shared" si="257"/>
        <v>27.5</v>
      </c>
      <c r="I529" s="765"/>
      <c r="J529" s="766"/>
      <c r="K529" s="767"/>
      <c r="L529" s="768"/>
      <c r="M529" s="769"/>
      <c r="N529" s="770"/>
      <c r="O529" s="770"/>
      <c r="P529" s="770"/>
      <c r="Q529" s="771"/>
      <c r="R529" s="228"/>
      <c r="S529" s="454">
        <v>0.0</v>
      </c>
      <c r="T529" s="467"/>
      <c r="U529" s="467"/>
      <c r="V529" s="438"/>
      <c r="W529" s="438"/>
      <c r="X529" s="467"/>
      <c r="Y529" s="467"/>
      <c r="Z529" s="467"/>
      <c r="AA529" s="467"/>
      <c r="AB529" s="467"/>
      <c r="AC529" s="438"/>
      <c r="AD529" s="438"/>
      <c r="AE529" s="438"/>
      <c r="AF529" s="441"/>
      <c r="AG529" s="441"/>
      <c r="AH529" s="441"/>
      <c r="AI529" s="441"/>
      <c r="AJ529" s="441"/>
      <c r="AK529" s="441"/>
      <c r="AL529" s="441"/>
      <c r="AM529" s="441"/>
      <c r="AN529" s="441"/>
      <c r="AO529" s="441"/>
      <c r="AP529" s="441"/>
      <c r="AQ529" s="441"/>
      <c r="AR529" s="441"/>
      <c r="AS529" s="441"/>
      <c r="AT529" s="441"/>
      <c r="AU529" s="441"/>
      <c r="AV529" s="441"/>
      <c r="AW529" s="441"/>
      <c r="AX529" s="441"/>
      <c r="AY529" s="441"/>
      <c r="AZ529" s="441"/>
      <c r="BA529" s="441"/>
      <c r="BB529" s="441"/>
      <c r="BC529" s="441"/>
      <c r="BD529" s="441"/>
      <c r="BE529" s="441"/>
      <c r="BF529" s="441"/>
    </row>
    <row r="530" ht="15.0" hidden="1" customHeight="1" outlineLevel="1">
      <c r="A530" s="763" t="s">
        <v>760</v>
      </c>
      <c r="B530" s="773"/>
      <c r="C530" s="773">
        <f t="shared" ref="C530:H530" si="258">C529/B529-1</f>
        <v>0.4615384615</v>
      </c>
      <c r="D530" s="773">
        <f t="shared" si="258"/>
        <v>0.3157894737</v>
      </c>
      <c r="E530" s="773">
        <f t="shared" si="258"/>
        <v>0.24</v>
      </c>
      <c r="F530" s="773">
        <f t="shared" si="258"/>
        <v>0.2580645161</v>
      </c>
      <c r="G530" s="773">
        <f t="shared" si="258"/>
        <v>0.2051282051</v>
      </c>
      <c r="H530" s="773">
        <f t="shared" si="258"/>
        <v>0.170212766</v>
      </c>
      <c r="I530" s="765"/>
      <c r="J530" s="766"/>
      <c r="K530" s="767"/>
      <c r="L530" s="768"/>
      <c r="M530" s="769"/>
      <c r="N530" s="770"/>
      <c r="O530" s="770"/>
      <c r="P530" s="770"/>
      <c r="Q530" s="771"/>
      <c r="R530" s="228"/>
      <c r="S530" s="454">
        <v>0.0</v>
      </c>
      <c r="T530" s="467"/>
      <c r="U530" s="467"/>
      <c r="V530" s="438"/>
      <c r="W530" s="438"/>
      <c r="X530" s="467"/>
      <c r="Y530" s="467"/>
      <c r="Z530" s="467"/>
      <c r="AA530" s="467"/>
      <c r="AB530" s="467"/>
      <c r="AC530" s="438"/>
      <c r="AD530" s="438"/>
      <c r="AE530" s="438"/>
      <c r="AF530" s="441"/>
      <c r="AG530" s="441"/>
      <c r="AH530" s="441"/>
      <c r="AI530" s="441"/>
      <c r="AJ530" s="441"/>
      <c r="AK530" s="441"/>
      <c r="AL530" s="441"/>
      <c r="AM530" s="441"/>
      <c r="AN530" s="441"/>
      <c r="AO530" s="441"/>
      <c r="AP530" s="441"/>
      <c r="AQ530" s="441"/>
      <c r="AR530" s="441"/>
      <c r="AS530" s="441"/>
      <c r="AT530" s="441"/>
      <c r="AU530" s="441"/>
      <c r="AV530" s="441"/>
      <c r="AW530" s="441"/>
      <c r="AX530" s="441"/>
      <c r="AY530" s="441"/>
      <c r="AZ530" s="441"/>
      <c r="BA530" s="441"/>
      <c r="BB530" s="441"/>
      <c r="BC530" s="441"/>
      <c r="BD530" s="441"/>
      <c r="BE530" s="441"/>
      <c r="BF530" s="441"/>
    </row>
    <row r="531" ht="15.0" hidden="1" customHeight="1" outlineLevel="1">
      <c r="A531" s="763" t="s">
        <v>761</v>
      </c>
      <c r="B531" s="764">
        <v>3.0</v>
      </c>
      <c r="C531" s="764"/>
      <c r="D531" s="773"/>
      <c r="E531" s="773"/>
      <c r="F531" s="773"/>
      <c r="G531" s="773"/>
      <c r="H531" s="773"/>
      <c r="I531" s="765"/>
      <c r="J531" s="766"/>
      <c r="K531" s="767"/>
      <c r="L531" s="768"/>
      <c r="M531" s="769"/>
      <c r="N531" s="770"/>
      <c r="O531" s="770"/>
      <c r="P531" s="770"/>
      <c r="Q531" s="771"/>
      <c r="R531" s="228"/>
      <c r="S531" s="454">
        <v>0.0</v>
      </c>
      <c r="T531" s="467"/>
      <c r="U531" s="467"/>
      <c r="V531" s="438"/>
      <c r="W531" s="438"/>
      <c r="X531" s="467"/>
      <c r="Y531" s="467"/>
      <c r="Z531" s="467"/>
      <c r="AA531" s="467"/>
      <c r="AB531" s="467"/>
      <c r="AC531" s="438"/>
      <c r="AD531" s="438"/>
      <c r="AE531" s="438"/>
      <c r="AF531" s="441"/>
      <c r="AG531" s="441"/>
      <c r="AH531" s="441"/>
      <c r="AI531" s="441"/>
      <c r="AJ531" s="441"/>
      <c r="AK531" s="441"/>
      <c r="AL531" s="441"/>
      <c r="AM531" s="441"/>
      <c r="AN531" s="441"/>
      <c r="AO531" s="441"/>
      <c r="AP531" s="441"/>
      <c r="AQ531" s="441"/>
      <c r="AR531" s="441"/>
      <c r="AS531" s="441"/>
      <c r="AT531" s="441"/>
      <c r="AU531" s="441"/>
      <c r="AV531" s="441"/>
      <c r="AW531" s="441"/>
      <c r="AX531" s="441"/>
      <c r="AY531" s="441"/>
      <c r="AZ531" s="441"/>
      <c r="BA531" s="441"/>
      <c r="BB531" s="441"/>
      <c r="BC531" s="441"/>
      <c r="BD531" s="441"/>
      <c r="BE531" s="441"/>
      <c r="BF531" s="441"/>
    </row>
    <row r="532" ht="15.0" hidden="1" customHeight="1" outlineLevel="1">
      <c r="A532" s="763" t="s">
        <v>762</v>
      </c>
      <c r="B532" s="774">
        <f t="shared" ref="B532:H532" si="259">B529/$B531</f>
        <v>2.166666667</v>
      </c>
      <c r="C532" s="774">
        <f t="shared" si="259"/>
        <v>3.166666667</v>
      </c>
      <c r="D532" s="774">
        <f t="shared" si="259"/>
        <v>4.166666667</v>
      </c>
      <c r="E532" s="774">
        <f t="shared" si="259"/>
        <v>5.166666667</v>
      </c>
      <c r="F532" s="774">
        <f t="shared" si="259"/>
        <v>6.5</v>
      </c>
      <c r="G532" s="774">
        <f t="shared" si="259"/>
        <v>7.833333333</v>
      </c>
      <c r="H532" s="774">
        <f t="shared" si="259"/>
        <v>9.166666667</v>
      </c>
      <c r="I532" s="765"/>
      <c r="J532" s="766"/>
      <c r="K532" s="767"/>
      <c r="L532" s="768"/>
      <c r="M532" s="769"/>
      <c r="N532" s="770"/>
      <c r="O532" s="770"/>
      <c r="P532" s="770"/>
      <c r="Q532" s="771"/>
      <c r="R532" s="228"/>
      <c r="S532" s="454">
        <v>0.0</v>
      </c>
      <c r="T532" s="467"/>
      <c r="U532" s="467"/>
      <c r="V532" s="438"/>
      <c r="W532" s="438"/>
      <c r="X532" s="467"/>
      <c r="Y532" s="467"/>
      <c r="Z532" s="467"/>
      <c r="AA532" s="467"/>
      <c r="AB532" s="467"/>
      <c r="AC532" s="438"/>
      <c r="AD532" s="438"/>
      <c r="AE532" s="438"/>
      <c r="AF532" s="441"/>
      <c r="AG532" s="441"/>
      <c r="AH532" s="441"/>
      <c r="AI532" s="441"/>
      <c r="AJ532" s="441"/>
      <c r="AK532" s="441"/>
      <c r="AL532" s="441"/>
      <c r="AM532" s="441"/>
      <c r="AN532" s="441"/>
      <c r="AO532" s="441"/>
      <c r="AP532" s="441"/>
      <c r="AQ532" s="441"/>
      <c r="AR532" s="441"/>
      <c r="AS532" s="441"/>
      <c r="AT532" s="441"/>
      <c r="AU532" s="441"/>
      <c r="AV532" s="441"/>
      <c r="AW532" s="441"/>
      <c r="AX532" s="441"/>
      <c r="AY532" s="441"/>
      <c r="AZ532" s="441"/>
      <c r="BA532" s="441"/>
      <c r="BB532" s="441"/>
      <c r="BC532" s="441"/>
      <c r="BD532" s="441"/>
      <c r="BE532" s="441"/>
      <c r="BF532" s="441"/>
    </row>
    <row r="533" ht="30.0" customHeight="1" collapsed="1">
      <c r="A533" s="777" t="s">
        <v>1131</v>
      </c>
      <c r="B533" s="758" t="s">
        <v>750</v>
      </c>
      <c r="C533" s="758" t="s">
        <v>1072</v>
      </c>
      <c r="D533" s="758" t="s">
        <v>808</v>
      </c>
      <c r="E533" s="758" t="s">
        <v>809</v>
      </c>
      <c r="F533" s="758" t="s">
        <v>937</v>
      </c>
      <c r="G533" s="758" t="s">
        <v>938</v>
      </c>
      <c r="H533" s="758" t="s">
        <v>1080</v>
      </c>
      <c r="I533" s="760"/>
      <c r="J533" s="760">
        <v>0.0</v>
      </c>
      <c r="K533" s="758">
        <v>4.0</v>
      </c>
      <c r="L533" s="775"/>
      <c r="M533" s="759" t="s">
        <v>1132</v>
      </c>
      <c r="N533" s="775"/>
      <c r="O533" s="775"/>
      <c r="P533" s="759" t="s">
        <v>859</v>
      </c>
      <c r="Q533" s="776" t="s">
        <v>1133</v>
      </c>
      <c r="R533" s="228"/>
      <c r="S533" s="454">
        <v>0.0</v>
      </c>
      <c r="T533" s="467"/>
      <c r="U533" s="467"/>
      <c r="V533" s="438"/>
      <c r="W533" s="438"/>
      <c r="X533" s="467"/>
      <c r="Y533" s="467"/>
      <c r="Z533" s="467"/>
      <c r="AA533" s="467"/>
      <c r="AB533" s="467"/>
      <c r="AC533" s="438"/>
      <c r="AD533" s="438"/>
      <c r="AE533" s="438"/>
      <c r="AF533" s="441"/>
      <c r="AG533" s="441"/>
      <c r="AH533" s="441"/>
      <c r="AI533" s="441"/>
      <c r="AJ533" s="441"/>
      <c r="AK533" s="441"/>
      <c r="AL533" s="441"/>
      <c r="AM533" s="441"/>
      <c r="AN533" s="441"/>
      <c r="AO533" s="441"/>
      <c r="AP533" s="441"/>
      <c r="AQ533" s="441"/>
      <c r="AR533" s="441"/>
      <c r="AS533" s="441"/>
      <c r="AT533" s="441"/>
      <c r="AU533" s="441"/>
      <c r="AV533" s="441"/>
      <c r="AW533" s="441"/>
      <c r="AX533" s="441"/>
      <c r="AY533" s="441"/>
      <c r="AZ533" s="441"/>
      <c r="BA533" s="441"/>
      <c r="BB533" s="441"/>
      <c r="BC533" s="441"/>
      <c r="BD533" s="441"/>
      <c r="BE533" s="441"/>
      <c r="BF533" s="441"/>
    </row>
    <row r="534" ht="15.0" hidden="1" customHeight="1" outlineLevel="1">
      <c r="A534" s="763" t="s">
        <v>756</v>
      </c>
      <c r="B534" s="764">
        <v>1.0</v>
      </c>
      <c r="C534" s="764">
        <v>1.0</v>
      </c>
      <c r="D534" s="764">
        <v>1.0</v>
      </c>
      <c r="E534" s="764">
        <v>1.0</v>
      </c>
      <c r="F534" s="764">
        <v>1.0</v>
      </c>
      <c r="G534" s="764">
        <v>1.0</v>
      </c>
      <c r="H534" s="764">
        <v>1.0</v>
      </c>
      <c r="I534" s="765"/>
      <c r="J534" s="766"/>
      <c r="K534" s="767"/>
      <c r="L534" s="768"/>
      <c r="M534" s="769"/>
      <c r="N534" s="770"/>
      <c r="O534" s="770"/>
      <c r="P534" s="770"/>
      <c r="Q534" s="771"/>
      <c r="R534" s="228"/>
      <c r="S534" s="454">
        <v>0.0</v>
      </c>
      <c r="T534" s="467"/>
      <c r="U534" s="467"/>
      <c r="V534" s="438"/>
      <c r="W534" s="438"/>
      <c r="X534" s="467"/>
      <c r="Y534" s="467"/>
      <c r="Z534" s="467"/>
      <c r="AA534" s="467"/>
      <c r="AB534" s="467"/>
      <c r="AC534" s="438"/>
      <c r="AD534" s="438"/>
      <c r="AE534" s="438"/>
      <c r="AF534" s="441"/>
      <c r="AG534" s="441"/>
      <c r="AH534" s="441"/>
      <c r="AI534" s="441"/>
      <c r="AJ534" s="441"/>
      <c r="AK534" s="441"/>
      <c r="AL534" s="441"/>
      <c r="AM534" s="441"/>
      <c r="AN534" s="441"/>
      <c r="AO534" s="441"/>
      <c r="AP534" s="441"/>
      <c r="AQ534" s="441"/>
      <c r="AR534" s="441"/>
      <c r="AS534" s="441"/>
      <c r="AT534" s="441"/>
      <c r="AU534" s="441"/>
      <c r="AV534" s="441"/>
      <c r="AW534" s="441"/>
      <c r="AX534" s="441"/>
      <c r="AY534" s="441"/>
      <c r="AZ534" s="441"/>
      <c r="BA534" s="441"/>
      <c r="BB534" s="441"/>
      <c r="BC534" s="441"/>
      <c r="BD534" s="441"/>
      <c r="BE534" s="441"/>
      <c r="BF534" s="441"/>
    </row>
    <row r="535" ht="15.0" hidden="1" customHeight="1" outlineLevel="1">
      <c r="A535" s="763" t="s">
        <v>757</v>
      </c>
      <c r="B535" s="764">
        <v>6.0</v>
      </c>
      <c r="C535" s="764">
        <v>6.0</v>
      </c>
      <c r="D535" s="764">
        <v>8.0</v>
      </c>
      <c r="E535" s="764">
        <v>8.0</v>
      </c>
      <c r="F535" s="764">
        <v>10.0</v>
      </c>
      <c r="G535" s="764">
        <v>10.0</v>
      </c>
      <c r="H535" s="764">
        <v>12.0</v>
      </c>
      <c r="I535" s="765"/>
      <c r="J535" s="766"/>
      <c r="K535" s="767"/>
      <c r="L535" s="768"/>
      <c r="M535" s="769"/>
      <c r="N535" s="770"/>
      <c r="O535" s="770"/>
      <c r="P535" s="770"/>
      <c r="Q535" s="771"/>
      <c r="R535" s="228"/>
      <c r="S535" s="454">
        <v>0.0</v>
      </c>
      <c r="T535" s="467"/>
      <c r="U535" s="467"/>
      <c r="V535" s="438"/>
      <c r="W535" s="438"/>
      <c r="X535" s="467"/>
      <c r="Y535" s="467"/>
      <c r="Z535" s="467"/>
      <c r="AA535" s="467"/>
      <c r="AB535" s="467"/>
      <c r="AC535" s="438"/>
      <c r="AD535" s="438"/>
      <c r="AE535" s="438"/>
      <c r="AF535" s="441"/>
      <c r="AG535" s="441"/>
      <c r="AH535" s="441"/>
      <c r="AI535" s="441"/>
      <c r="AJ535" s="441"/>
      <c r="AK535" s="441"/>
      <c r="AL535" s="441"/>
      <c r="AM535" s="441"/>
      <c r="AN535" s="441"/>
      <c r="AO535" s="441"/>
      <c r="AP535" s="441"/>
      <c r="AQ535" s="441"/>
      <c r="AR535" s="441"/>
      <c r="AS535" s="441"/>
      <c r="AT535" s="441"/>
      <c r="AU535" s="441"/>
      <c r="AV535" s="441"/>
      <c r="AW535" s="441"/>
      <c r="AX535" s="441"/>
      <c r="AY535" s="441"/>
      <c r="AZ535" s="441"/>
      <c r="BA535" s="441"/>
      <c r="BB535" s="441"/>
      <c r="BC535" s="441"/>
      <c r="BD535" s="441"/>
      <c r="BE535" s="441"/>
      <c r="BF535" s="441"/>
    </row>
    <row r="536" ht="15.0" hidden="1" customHeight="1" outlineLevel="1">
      <c r="A536" s="763" t="s">
        <v>758</v>
      </c>
      <c r="B536" s="764">
        <v>1.0</v>
      </c>
      <c r="C536" s="764">
        <v>5.0</v>
      </c>
      <c r="D536" s="764">
        <v>8.0</v>
      </c>
      <c r="E536" s="764">
        <v>12.0</v>
      </c>
      <c r="F536" s="764">
        <v>16.0</v>
      </c>
      <c r="G536" s="764">
        <v>21.0</v>
      </c>
      <c r="H536" s="764">
        <v>25.0</v>
      </c>
      <c r="I536" s="765"/>
      <c r="J536" s="766"/>
      <c r="K536" s="767"/>
      <c r="L536" s="768"/>
      <c r="M536" s="769"/>
      <c r="N536" s="770"/>
      <c r="O536" s="770"/>
      <c r="P536" s="770"/>
      <c r="Q536" s="771"/>
      <c r="R536" s="228"/>
      <c r="S536" s="454">
        <v>0.0</v>
      </c>
      <c r="T536" s="467"/>
      <c r="U536" s="467"/>
      <c r="V536" s="438"/>
      <c r="W536" s="438"/>
      <c r="X536" s="467"/>
      <c r="Y536" s="467"/>
      <c r="Z536" s="467"/>
      <c r="AA536" s="467"/>
      <c r="AB536" s="467"/>
      <c r="AC536" s="438"/>
      <c r="AD536" s="438"/>
      <c r="AE536" s="438"/>
      <c r="AF536" s="441"/>
      <c r="AG536" s="441"/>
      <c r="AH536" s="441"/>
      <c r="AI536" s="441"/>
      <c r="AJ536" s="441"/>
      <c r="AK536" s="441"/>
      <c r="AL536" s="441"/>
      <c r="AM536" s="441"/>
      <c r="AN536" s="441"/>
      <c r="AO536" s="441"/>
      <c r="AP536" s="441"/>
      <c r="AQ536" s="441"/>
      <c r="AR536" s="441"/>
      <c r="AS536" s="441"/>
      <c r="AT536" s="441"/>
      <c r="AU536" s="441"/>
      <c r="AV536" s="441"/>
      <c r="AW536" s="441"/>
      <c r="AX536" s="441"/>
      <c r="AY536" s="441"/>
      <c r="AZ536" s="441"/>
      <c r="BA536" s="441"/>
      <c r="BB536" s="441"/>
      <c r="BC536" s="441"/>
      <c r="BD536" s="441"/>
      <c r="BE536" s="441"/>
      <c r="BF536" s="441"/>
    </row>
    <row r="537" ht="15.0" hidden="1" customHeight="1" outlineLevel="1">
      <c r="A537" s="763" t="s">
        <v>1104</v>
      </c>
      <c r="B537" s="764">
        <v>4.0</v>
      </c>
      <c r="C537" s="764">
        <v>4.0</v>
      </c>
      <c r="D537" s="764">
        <v>4.0</v>
      </c>
      <c r="E537" s="764">
        <v>4.0</v>
      </c>
      <c r="F537" s="764">
        <v>4.0</v>
      </c>
      <c r="G537" s="764">
        <v>4.0</v>
      </c>
      <c r="H537" s="764">
        <v>4.0</v>
      </c>
      <c r="I537" s="765"/>
      <c r="J537" s="766"/>
      <c r="K537" s="767"/>
      <c r="L537" s="768"/>
      <c r="M537" s="769"/>
      <c r="N537" s="770"/>
      <c r="O537" s="770"/>
      <c r="P537" s="770"/>
      <c r="Q537" s="772" t="s">
        <v>1129</v>
      </c>
      <c r="R537" s="228"/>
      <c r="S537" s="454">
        <v>0.0</v>
      </c>
      <c r="T537" s="467"/>
      <c r="U537" s="467"/>
      <c r="V537" s="438"/>
      <c r="W537" s="438"/>
      <c r="X537" s="467"/>
      <c r="Y537" s="467"/>
      <c r="Z537" s="467"/>
      <c r="AA537" s="467"/>
      <c r="AB537" s="467"/>
      <c r="AC537" s="438"/>
      <c r="AD537" s="438"/>
      <c r="AE537" s="438"/>
      <c r="AF537" s="441"/>
      <c r="AG537" s="441"/>
      <c r="AH537" s="441"/>
      <c r="AI537" s="441"/>
      <c r="AJ537" s="441"/>
      <c r="AK537" s="441"/>
      <c r="AL537" s="441"/>
      <c r="AM537" s="441"/>
      <c r="AN537" s="441"/>
      <c r="AO537" s="441"/>
      <c r="AP537" s="441"/>
      <c r="AQ537" s="441"/>
      <c r="AR537" s="441"/>
      <c r="AS537" s="441"/>
      <c r="AT537" s="441"/>
      <c r="AU537" s="441"/>
      <c r="AV537" s="441"/>
      <c r="AW537" s="441"/>
      <c r="AX537" s="441"/>
      <c r="AY537" s="441"/>
      <c r="AZ537" s="441"/>
      <c r="BA537" s="441"/>
      <c r="BB537" s="441"/>
      <c r="BC537" s="441"/>
      <c r="BD537" s="441"/>
      <c r="BE537" s="441"/>
      <c r="BF537" s="441"/>
    </row>
    <row r="538" ht="15.0" hidden="1" customHeight="1" outlineLevel="1">
      <c r="A538" s="763" t="s">
        <v>759</v>
      </c>
      <c r="B538" s="764">
        <f t="shared" ref="B538:H538" si="260">(B534+B535)/2+B536+B537</f>
        <v>8.5</v>
      </c>
      <c r="C538" s="764">
        <f t="shared" si="260"/>
        <v>12.5</v>
      </c>
      <c r="D538" s="764">
        <f t="shared" si="260"/>
        <v>16.5</v>
      </c>
      <c r="E538" s="764">
        <f t="shared" si="260"/>
        <v>20.5</v>
      </c>
      <c r="F538" s="764">
        <f t="shared" si="260"/>
        <v>25.5</v>
      </c>
      <c r="G538" s="764">
        <f t="shared" si="260"/>
        <v>30.5</v>
      </c>
      <c r="H538" s="764">
        <f t="shared" si="260"/>
        <v>35.5</v>
      </c>
      <c r="I538" s="765"/>
      <c r="J538" s="766"/>
      <c r="K538" s="767"/>
      <c r="L538" s="768"/>
      <c r="M538" s="769"/>
      <c r="N538" s="770"/>
      <c r="O538" s="770"/>
      <c r="P538" s="770"/>
      <c r="Q538" s="771"/>
      <c r="R538" s="228"/>
      <c r="S538" s="454">
        <v>0.0</v>
      </c>
      <c r="T538" s="467"/>
      <c r="U538" s="467"/>
      <c r="V538" s="438"/>
      <c r="W538" s="438"/>
      <c r="X538" s="467"/>
      <c r="Y538" s="467"/>
      <c r="Z538" s="467"/>
      <c r="AA538" s="467"/>
      <c r="AB538" s="467"/>
      <c r="AC538" s="438"/>
      <c r="AD538" s="438"/>
      <c r="AE538" s="438"/>
      <c r="AF538" s="441"/>
      <c r="AG538" s="441"/>
      <c r="AH538" s="441"/>
      <c r="AI538" s="441"/>
      <c r="AJ538" s="441"/>
      <c r="AK538" s="441"/>
      <c r="AL538" s="441"/>
      <c r="AM538" s="441"/>
      <c r="AN538" s="441"/>
      <c r="AO538" s="441"/>
      <c r="AP538" s="441"/>
      <c r="AQ538" s="441"/>
      <c r="AR538" s="441"/>
      <c r="AS538" s="441"/>
      <c r="AT538" s="441"/>
      <c r="AU538" s="441"/>
      <c r="AV538" s="441"/>
      <c r="AW538" s="441"/>
      <c r="AX538" s="441"/>
      <c r="AY538" s="441"/>
      <c r="AZ538" s="441"/>
      <c r="BA538" s="441"/>
      <c r="BB538" s="441"/>
      <c r="BC538" s="441"/>
      <c r="BD538" s="441"/>
      <c r="BE538" s="441"/>
      <c r="BF538" s="441"/>
    </row>
    <row r="539" ht="15.0" hidden="1" customHeight="1" outlineLevel="1">
      <c r="A539" s="763" t="s">
        <v>760</v>
      </c>
      <c r="B539" s="773"/>
      <c r="C539" s="773">
        <f t="shared" ref="C539:H539" si="261">C538/B538-1</f>
        <v>0.4705882353</v>
      </c>
      <c r="D539" s="773">
        <f t="shared" si="261"/>
        <v>0.32</v>
      </c>
      <c r="E539" s="773">
        <f t="shared" si="261"/>
        <v>0.2424242424</v>
      </c>
      <c r="F539" s="773">
        <f t="shared" si="261"/>
        <v>0.243902439</v>
      </c>
      <c r="G539" s="773">
        <f t="shared" si="261"/>
        <v>0.1960784314</v>
      </c>
      <c r="H539" s="773">
        <f t="shared" si="261"/>
        <v>0.1639344262</v>
      </c>
      <c r="I539" s="765"/>
      <c r="J539" s="766"/>
      <c r="K539" s="767"/>
      <c r="L539" s="768"/>
      <c r="M539" s="769"/>
      <c r="N539" s="770"/>
      <c r="O539" s="770"/>
      <c r="P539" s="770"/>
      <c r="Q539" s="771"/>
      <c r="R539" s="228"/>
      <c r="S539" s="454">
        <v>0.0</v>
      </c>
      <c r="T539" s="467"/>
      <c r="U539" s="467"/>
      <c r="V539" s="438"/>
      <c r="W539" s="438"/>
      <c r="X539" s="467"/>
      <c r="Y539" s="467"/>
      <c r="Z539" s="467"/>
      <c r="AA539" s="467"/>
      <c r="AB539" s="467"/>
      <c r="AC539" s="438"/>
      <c r="AD539" s="438"/>
      <c r="AE539" s="438"/>
      <c r="AF539" s="441"/>
      <c r="AG539" s="441"/>
      <c r="AH539" s="441"/>
      <c r="AI539" s="441"/>
      <c r="AJ539" s="441"/>
      <c r="AK539" s="441"/>
      <c r="AL539" s="441"/>
      <c r="AM539" s="441"/>
      <c r="AN539" s="441"/>
      <c r="AO539" s="441"/>
      <c r="AP539" s="441"/>
      <c r="AQ539" s="441"/>
      <c r="AR539" s="441"/>
      <c r="AS539" s="441"/>
      <c r="AT539" s="441"/>
      <c r="AU539" s="441"/>
      <c r="AV539" s="441"/>
      <c r="AW539" s="441"/>
      <c r="AX539" s="441"/>
      <c r="AY539" s="441"/>
      <c r="AZ539" s="441"/>
      <c r="BA539" s="441"/>
      <c r="BB539" s="441"/>
      <c r="BC539" s="441"/>
      <c r="BD539" s="441"/>
      <c r="BE539" s="441"/>
      <c r="BF539" s="441"/>
    </row>
    <row r="540" ht="15.0" hidden="1" customHeight="1" outlineLevel="1">
      <c r="A540" s="763" t="s">
        <v>761</v>
      </c>
      <c r="B540" s="764">
        <v>4.0</v>
      </c>
      <c r="C540" s="764"/>
      <c r="D540" s="773"/>
      <c r="E540" s="773"/>
      <c r="F540" s="773"/>
      <c r="G540" s="773"/>
      <c r="H540" s="773"/>
      <c r="I540" s="765"/>
      <c r="J540" s="766"/>
      <c r="K540" s="767"/>
      <c r="L540" s="768"/>
      <c r="M540" s="769"/>
      <c r="N540" s="770"/>
      <c r="O540" s="770"/>
      <c r="P540" s="770"/>
      <c r="Q540" s="771"/>
      <c r="R540" s="228"/>
      <c r="S540" s="454">
        <v>0.0</v>
      </c>
      <c r="T540" s="467"/>
      <c r="U540" s="467"/>
      <c r="V540" s="438"/>
      <c r="W540" s="438"/>
      <c r="X540" s="467"/>
      <c r="Y540" s="467"/>
      <c r="Z540" s="467"/>
      <c r="AA540" s="467"/>
      <c r="AB540" s="467"/>
      <c r="AC540" s="438"/>
      <c r="AD540" s="438"/>
      <c r="AE540" s="438"/>
      <c r="AF540" s="441"/>
      <c r="AG540" s="441"/>
      <c r="AH540" s="441"/>
      <c r="AI540" s="441"/>
      <c r="AJ540" s="441"/>
      <c r="AK540" s="441"/>
      <c r="AL540" s="441"/>
      <c r="AM540" s="441"/>
      <c r="AN540" s="441"/>
      <c r="AO540" s="441"/>
      <c r="AP540" s="441"/>
      <c r="AQ540" s="441"/>
      <c r="AR540" s="441"/>
      <c r="AS540" s="441"/>
      <c r="AT540" s="441"/>
      <c r="AU540" s="441"/>
      <c r="AV540" s="441"/>
      <c r="AW540" s="441"/>
      <c r="AX540" s="441"/>
      <c r="AY540" s="441"/>
      <c r="AZ540" s="441"/>
      <c r="BA540" s="441"/>
      <c r="BB540" s="441"/>
      <c r="BC540" s="441"/>
      <c r="BD540" s="441"/>
      <c r="BE540" s="441"/>
      <c r="BF540" s="441"/>
    </row>
    <row r="541" ht="15.0" hidden="1" customHeight="1" outlineLevel="1">
      <c r="A541" s="763" t="s">
        <v>762</v>
      </c>
      <c r="B541" s="774">
        <f t="shared" ref="B541:H541" si="262">B538/$B540</f>
        <v>2.125</v>
      </c>
      <c r="C541" s="774">
        <f t="shared" si="262"/>
        <v>3.125</v>
      </c>
      <c r="D541" s="774">
        <f t="shared" si="262"/>
        <v>4.125</v>
      </c>
      <c r="E541" s="774">
        <f t="shared" si="262"/>
        <v>5.125</v>
      </c>
      <c r="F541" s="774">
        <f t="shared" si="262"/>
        <v>6.375</v>
      </c>
      <c r="G541" s="774">
        <f t="shared" si="262"/>
        <v>7.625</v>
      </c>
      <c r="H541" s="774">
        <f t="shared" si="262"/>
        <v>8.875</v>
      </c>
      <c r="I541" s="765"/>
      <c r="J541" s="766"/>
      <c r="K541" s="767"/>
      <c r="L541" s="768"/>
      <c r="M541" s="769"/>
      <c r="N541" s="770"/>
      <c r="O541" s="770"/>
      <c r="P541" s="770"/>
      <c r="Q541" s="771"/>
      <c r="R541" s="228"/>
      <c r="S541" s="454">
        <v>0.0</v>
      </c>
      <c r="T541" s="467"/>
      <c r="U541" s="467"/>
      <c r="V541" s="438"/>
      <c r="W541" s="438"/>
      <c r="X541" s="467"/>
      <c r="Y541" s="467"/>
      <c r="Z541" s="467"/>
      <c r="AA541" s="467"/>
      <c r="AB541" s="467"/>
      <c r="AC541" s="438"/>
      <c r="AD541" s="438"/>
      <c r="AE541" s="438"/>
      <c r="AF541" s="441"/>
      <c r="AG541" s="441"/>
      <c r="AH541" s="441"/>
      <c r="AI541" s="441"/>
      <c r="AJ541" s="441"/>
      <c r="AK541" s="441"/>
      <c r="AL541" s="441"/>
      <c r="AM541" s="441"/>
      <c r="AN541" s="441"/>
      <c r="AO541" s="441"/>
      <c r="AP541" s="441"/>
      <c r="AQ541" s="441"/>
      <c r="AR541" s="441"/>
      <c r="AS541" s="441"/>
      <c r="AT541" s="441"/>
      <c r="AU541" s="441"/>
      <c r="AV541" s="441"/>
      <c r="AW541" s="441"/>
      <c r="AX541" s="441"/>
      <c r="AY541" s="441"/>
      <c r="AZ541" s="441"/>
      <c r="BA541" s="441"/>
      <c r="BB541" s="441"/>
      <c r="BC541" s="441"/>
      <c r="BD541" s="441"/>
      <c r="BE541" s="441"/>
      <c r="BF541" s="441"/>
    </row>
    <row r="542" ht="30.0" customHeight="1" collapsed="1">
      <c r="A542" s="778" t="s">
        <v>1134</v>
      </c>
      <c r="B542" s="758" t="s">
        <v>924</v>
      </c>
      <c r="C542" s="758" t="s">
        <v>775</v>
      </c>
      <c r="D542" s="758" t="s">
        <v>925</v>
      </c>
      <c r="E542" s="758" t="s">
        <v>810</v>
      </c>
      <c r="F542" s="758" t="s">
        <v>941</v>
      </c>
      <c r="G542" s="758" t="s">
        <v>942</v>
      </c>
      <c r="H542" s="775" t="s">
        <v>1135</v>
      </c>
      <c r="I542" s="779"/>
      <c r="J542" s="779">
        <v>-1.0</v>
      </c>
      <c r="K542" s="758">
        <v>5.0</v>
      </c>
      <c r="L542" s="775"/>
      <c r="M542" s="759" t="s">
        <v>954</v>
      </c>
      <c r="N542" s="775"/>
      <c r="O542" s="775"/>
      <c r="P542" s="759" t="s">
        <v>859</v>
      </c>
      <c r="Q542" s="780" t="s">
        <v>1136</v>
      </c>
      <c r="R542" s="203"/>
      <c r="S542" s="454">
        <v>0.0</v>
      </c>
      <c r="T542" s="467"/>
      <c r="U542" s="467"/>
      <c r="V542" s="438"/>
      <c r="W542" s="438"/>
      <c r="X542" s="467"/>
      <c r="Y542" s="467"/>
      <c r="Z542" s="467"/>
      <c r="AA542" s="467"/>
      <c r="AB542" s="467"/>
      <c r="AC542" s="438"/>
      <c r="AD542" s="438"/>
      <c r="AE542" s="438"/>
      <c r="AF542" s="441"/>
      <c r="AG542" s="441"/>
      <c r="AH542" s="441"/>
      <c r="AI542" s="441"/>
      <c r="AJ542" s="441"/>
      <c r="AK542" s="441"/>
      <c r="AL542" s="441"/>
      <c r="AM542" s="441"/>
      <c r="AN542" s="441"/>
      <c r="AO542" s="441"/>
      <c r="AP542" s="441"/>
      <c r="AQ542" s="441"/>
      <c r="AR542" s="441"/>
      <c r="AS542" s="441"/>
      <c r="AT542" s="441"/>
      <c r="AU542" s="441"/>
      <c r="AV542" s="441"/>
      <c r="AW542" s="441"/>
      <c r="AX542" s="441"/>
      <c r="AY542" s="441"/>
      <c r="AZ542" s="441"/>
      <c r="BA542" s="441"/>
      <c r="BB542" s="441"/>
      <c r="BC542" s="441"/>
      <c r="BD542" s="441"/>
      <c r="BE542" s="441"/>
      <c r="BF542" s="441"/>
    </row>
    <row r="543" ht="15.0" hidden="1" customHeight="1" outlineLevel="1">
      <c r="A543" s="763" t="s">
        <v>756</v>
      </c>
      <c r="B543" s="764">
        <v>1.0</v>
      </c>
      <c r="C543" s="764">
        <v>1.0</v>
      </c>
      <c r="D543" s="764">
        <v>1.0</v>
      </c>
      <c r="E543" s="764">
        <v>1.0</v>
      </c>
      <c r="F543" s="764">
        <v>1.0</v>
      </c>
      <c r="G543" s="764">
        <v>1.0</v>
      </c>
      <c r="H543" s="764">
        <v>2.0</v>
      </c>
      <c r="I543" s="765"/>
      <c r="J543" s="766"/>
      <c r="K543" s="767"/>
      <c r="L543" s="768"/>
      <c r="M543" s="769"/>
      <c r="N543" s="770"/>
      <c r="O543" s="770"/>
      <c r="P543" s="770"/>
      <c r="Q543" s="771"/>
      <c r="R543" s="665"/>
      <c r="S543" s="438"/>
      <c r="T543" s="467"/>
      <c r="U543" s="467"/>
      <c r="V543" s="438"/>
      <c r="W543" s="438"/>
      <c r="X543" s="467"/>
      <c r="Y543" s="467"/>
      <c r="Z543" s="467"/>
      <c r="AA543" s="467"/>
      <c r="AB543" s="467"/>
      <c r="AC543" s="438"/>
      <c r="AD543" s="438"/>
      <c r="AE543" s="438"/>
      <c r="AF543" s="441"/>
      <c r="AG543" s="441"/>
      <c r="AH543" s="441"/>
      <c r="AI543" s="441"/>
      <c r="AJ543" s="441"/>
      <c r="AK543" s="441"/>
      <c r="AL543" s="441"/>
      <c r="AM543" s="441"/>
      <c r="AN543" s="441"/>
      <c r="AO543" s="441"/>
      <c r="AP543" s="441"/>
      <c r="AQ543" s="441"/>
      <c r="AR543" s="441"/>
      <c r="AS543" s="441"/>
      <c r="AT543" s="441"/>
      <c r="AU543" s="441"/>
      <c r="AV543" s="441"/>
      <c r="AW543" s="441"/>
      <c r="AX543" s="441"/>
      <c r="AY543" s="441"/>
      <c r="AZ543" s="441"/>
      <c r="BA543" s="441"/>
      <c r="BB543" s="441"/>
      <c r="BC543" s="441"/>
      <c r="BD543" s="441"/>
      <c r="BE543" s="441"/>
      <c r="BF543" s="441"/>
    </row>
    <row r="544" ht="15.0" hidden="1" customHeight="1" outlineLevel="1">
      <c r="A544" s="763" t="s">
        <v>757</v>
      </c>
      <c r="B544" s="764">
        <v>8.0</v>
      </c>
      <c r="C544" s="764">
        <v>8.0</v>
      </c>
      <c r="D544" s="764">
        <v>10.0</v>
      </c>
      <c r="E544" s="764">
        <v>10.0</v>
      </c>
      <c r="F544" s="764">
        <v>12.0</v>
      </c>
      <c r="G544" s="764">
        <v>12.0</v>
      </c>
      <c r="H544" s="764">
        <v>16.0</v>
      </c>
      <c r="I544" s="765"/>
      <c r="J544" s="766"/>
      <c r="K544" s="767"/>
      <c r="L544" s="768"/>
      <c r="M544" s="769"/>
      <c r="N544" s="770"/>
      <c r="O544" s="770"/>
      <c r="P544" s="770"/>
      <c r="Q544" s="771"/>
      <c r="R544" s="665"/>
      <c r="S544" s="438"/>
      <c r="T544" s="467"/>
      <c r="U544" s="467"/>
      <c r="V544" s="438"/>
      <c r="W544" s="438"/>
      <c r="X544" s="467"/>
      <c r="Y544" s="467"/>
      <c r="Z544" s="467"/>
      <c r="AA544" s="467"/>
      <c r="AB544" s="467"/>
      <c r="AC544" s="438"/>
      <c r="AD544" s="438"/>
      <c r="AE544" s="438"/>
      <c r="AF544" s="441"/>
      <c r="AG544" s="441"/>
      <c r="AH544" s="441"/>
      <c r="AI544" s="441"/>
      <c r="AJ544" s="441"/>
      <c r="AK544" s="441"/>
      <c r="AL544" s="441"/>
      <c r="AM544" s="441"/>
      <c r="AN544" s="441"/>
      <c r="AO544" s="441"/>
      <c r="AP544" s="441"/>
      <c r="AQ544" s="441"/>
      <c r="AR544" s="441"/>
      <c r="AS544" s="441"/>
      <c r="AT544" s="441"/>
      <c r="AU544" s="441"/>
      <c r="AV544" s="441"/>
      <c r="AW544" s="441"/>
      <c r="AX544" s="441"/>
      <c r="AY544" s="441"/>
      <c r="AZ544" s="441"/>
      <c r="BA544" s="441"/>
      <c r="BB544" s="441"/>
      <c r="BC544" s="441"/>
      <c r="BD544" s="441"/>
      <c r="BE544" s="441"/>
      <c r="BF544" s="441"/>
    </row>
    <row r="545" ht="15.0" hidden="1" customHeight="1" outlineLevel="1">
      <c r="A545" s="763" t="s">
        <v>758</v>
      </c>
      <c r="B545" s="764">
        <v>1.0</v>
      </c>
      <c r="C545" s="764">
        <v>6.0</v>
      </c>
      <c r="D545" s="764">
        <v>10.0</v>
      </c>
      <c r="E545" s="764">
        <v>15.0</v>
      </c>
      <c r="F545" s="764">
        <v>20.0</v>
      </c>
      <c r="G545" s="764">
        <v>26.0</v>
      </c>
      <c r="H545" s="764">
        <v>30.0</v>
      </c>
      <c r="I545" s="765"/>
      <c r="J545" s="766"/>
      <c r="K545" s="767"/>
      <c r="L545" s="768"/>
      <c r="M545" s="769"/>
      <c r="N545" s="770"/>
      <c r="O545" s="770"/>
      <c r="P545" s="770"/>
      <c r="Q545" s="771"/>
      <c r="R545" s="665"/>
      <c r="S545" s="438"/>
      <c r="T545" s="467"/>
      <c r="U545" s="467"/>
      <c r="V545" s="438"/>
      <c r="W545" s="438"/>
      <c r="X545" s="467"/>
      <c r="Y545" s="467"/>
      <c r="Z545" s="467"/>
      <c r="AA545" s="467"/>
      <c r="AB545" s="467"/>
      <c r="AC545" s="438"/>
      <c r="AD545" s="438"/>
      <c r="AE545" s="438"/>
      <c r="AF545" s="441"/>
      <c r="AG545" s="441"/>
      <c r="AH545" s="441"/>
      <c r="AI545" s="441"/>
      <c r="AJ545" s="441"/>
      <c r="AK545" s="441"/>
      <c r="AL545" s="441"/>
      <c r="AM545" s="441"/>
      <c r="AN545" s="441"/>
      <c r="AO545" s="441"/>
      <c r="AP545" s="441"/>
      <c r="AQ545" s="441"/>
      <c r="AR545" s="441"/>
      <c r="AS545" s="441"/>
      <c r="AT545" s="441"/>
      <c r="AU545" s="441"/>
      <c r="AV545" s="441"/>
      <c r="AW545" s="441"/>
      <c r="AX545" s="441"/>
      <c r="AY545" s="441"/>
      <c r="AZ545" s="441"/>
      <c r="BA545" s="441"/>
      <c r="BB545" s="441"/>
      <c r="BC545" s="441"/>
      <c r="BD545" s="441"/>
      <c r="BE545" s="441"/>
      <c r="BF545" s="441"/>
    </row>
    <row r="546" ht="15.0" hidden="1" customHeight="1" outlineLevel="1">
      <c r="A546" s="781" t="s">
        <v>1137</v>
      </c>
      <c r="B546" s="764">
        <v>6.0</v>
      </c>
      <c r="C546" s="764">
        <v>6.0</v>
      </c>
      <c r="D546" s="764">
        <v>6.0</v>
      </c>
      <c r="E546" s="764">
        <v>6.0</v>
      </c>
      <c r="F546" s="764">
        <v>6.0</v>
      </c>
      <c r="G546" s="764">
        <v>6.0</v>
      </c>
      <c r="H546" s="764">
        <v>6.0</v>
      </c>
      <c r="I546" s="765"/>
      <c r="J546" s="766"/>
      <c r="K546" s="767"/>
      <c r="L546" s="768"/>
      <c r="M546" s="769"/>
      <c r="N546" s="770"/>
      <c r="O546" s="770"/>
      <c r="P546" s="770"/>
      <c r="Q546" s="782" t="s">
        <v>1138</v>
      </c>
      <c r="R546" s="665"/>
      <c r="S546" s="438"/>
      <c r="T546" s="467"/>
      <c r="U546" s="467"/>
      <c r="V546" s="438"/>
      <c r="W546" s="438"/>
      <c r="X546" s="467"/>
      <c r="Y546" s="467"/>
      <c r="Z546" s="467"/>
      <c r="AA546" s="467"/>
      <c r="AB546" s="467"/>
      <c r="AC546" s="438"/>
      <c r="AD546" s="438"/>
      <c r="AE546" s="438"/>
      <c r="AF546" s="441"/>
      <c r="AG546" s="441"/>
      <c r="AH546" s="441"/>
      <c r="AI546" s="441"/>
      <c r="AJ546" s="441"/>
      <c r="AK546" s="441"/>
      <c r="AL546" s="441"/>
      <c r="AM546" s="441"/>
      <c r="AN546" s="441"/>
      <c r="AO546" s="441"/>
      <c r="AP546" s="441"/>
      <c r="AQ546" s="441"/>
      <c r="AR546" s="441"/>
      <c r="AS546" s="441"/>
      <c r="AT546" s="441"/>
      <c r="AU546" s="441"/>
      <c r="AV546" s="441"/>
      <c r="AW546" s="441"/>
      <c r="AX546" s="441"/>
      <c r="AY546" s="441"/>
      <c r="AZ546" s="441"/>
      <c r="BA546" s="441"/>
      <c r="BB546" s="441"/>
      <c r="BC546" s="441"/>
      <c r="BD546" s="441"/>
      <c r="BE546" s="441"/>
      <c r="BF546" s="441"/>
    </row>
    <row r="547" ht="15.0" hidden="1" customHeight="1" outlineLevel="1">
      <c r="A547" s="763" t="s">
        <v>759</v>
      </c>
      <c r="B547" s="764">
        <f t="shared" ref="B547:H547" si="263">(B543+B544)/2+B545+B546</f>
        <v>11.5</v>
      </c>
      <c r="C547" s="764">
        <f t="shared" si="263"/>
        <v>16.5</v>
      </c>
      <c r="D547" s="764">
        <f t="shared" si="263"/>
        <v>21.5</v>
      </c>
      <c r="E547" s="764">
        <f t="shared" si="263"/>
        <v>26.5</v>
      </c>
      <c r="F547" s="764">
        <f t="shared" si="263"/>
        <v>32.5</v>
      </c>
      <c r="G547" s="764">
        <f t="shared" si="263"/>
        <v>38.5</v>
      </c>
      <c r="H547" s="764">
        <f t="shared" si="263"/>
        <v>45</v>
      </c>
      <c r="I547" s="765"/>
      <c r="J547" s="766"/>
      <c r="K547" s="767"/>
      <c r="L547" s="768"/>
      <c r="M547" s="769"/>
      <c r="N547" s="770"/>
      <c r="O547" s="770"/>
      <c r="P547" s="770"/>
      <c r="Q547" s="771"/>
      <c r="R547" s="665"/>
      <c r="S547" s="438"/>
      <c r="T547" s="467"/>
      <c r="U547" s="467"/>
      <c r="V547" s="438"/>
      <c r="W547" s="438"/>
      <c r="X547" s="467"/>
      <c r="Y547" s="467"/>
      <c r="Z547" s="467"/>
      <c r="AA547" s="467"/>
      <c r="AB547" s="467"/>
      <c r="AC547" s="438"/>
      <c r="AD547" s="438"/>
      <c r="AE547" s="438"/>
      <c r="AF547" s="441"/>
      <c r="AG547" s="441"/>
      <c r="AH547" s="441"/>
      <c r="AI547" s="441"/>
      <c r="AJ547" s="441"/>
      <c r="AK547" s="441"/>
      <c r="AL547" s="441"/>
      <c r="AM547" s="441"/>
      <c r="AN547" s="441"/>
      <c r="AO547" s="441"/>
      <c r="AP547" s="441"/>
      <c r="AQ547" s="441"/>
      <c r="AR547" s="441"/>
      <c r="AS547" s="441"/>
      <c r="AT547" s="441"/>
      <c r="AU547" s="441"/>
      <c r="AV547" s="441"/>
      <c r="AW547" s="441"/>
      <c r="AX547" s="441"/>
      <c r="AY547" s="441"/>
      <c r="AZ547" s="441"/>
      <c r="BA547" s="441"/>
      <c r="BB547" s="441"/>
      <c r="BC547" s="441"/>
      <c r="BD547" s="441"/>
      <c r="BE547" s="441"/>
      <c r="BF547" s="441"/>
    </row>
    <row r="548" ht="15.0" hidden="1" customHeight="1" outlineLevel="1">
      <c r="A548" s="763" t="s">
        <v>760</v>
      </c>
      <c r="B548" s="773"/>
      <c r="C548" s="773">
        <f t="shared" ref="C548:H548" si="264">C547/B547-1</f>
        <v>0.4347826087</v>
      </c>
      <c r="D548" s="773">
        <f t="shared" si="264"/>
        <v>0.303030303</v>
      </c>
      <c r="E548" s="773">
        <f t="shared" si="264"/>
        <v>0.2325581395</v>
      </c>
      <c r="F548" s="773">
        <f t="shared" si="264"/>
        <v>0.2264150943</v>
      </c>
      <c r="G548" s="773">
        <f t="shared" si="264"/>
        <v>0.1846153846</v>
      </c>
      <c r="H548" s="773">
        <f t="shared" si="264"/>
        <v>0.1688311688</v>
      </c>
      <c r="I548" s="765"/>
      <c r="J548" s="766"/>
      <c r="K548" s="767"/>
      <c r="L548" s="768"/>
      <c r="M548" s="769"/>
      <c r="N548" s="770"/>
      <c r="O548" s="770"/>
      <c r="P548" s="770"/>
      <c r="Q548" s="771"/>
      <c r="R548" s="665"/>
      <c r="S548" s="438"/>
      <c r="T548" s="467"/>
      <c r="U548" s="467"/>
      <c r="V548" s="438"/>
      <c r="W548" s="438"/>
      <c r="X548" s="467"/>
      <c r="Y548" s="467"/>
      <c r="Z548" s="467"/>
      <c r="AA548" s="467"/>
      <c r="AB548" s="467"/>
      <c r="AC548" s="438"/>
      <c r="AD548" s="438"/>
      <c r="AE548" s="438"/>
      <c r="AF548" s="441"/>
      <c r="AG548" s="441"/>
      <c r="AH548" s="441"/>
      <c r="AI548" s="441"/>
      <c r="AJ548" s="441"/>
      <c r="AK548" s="441"/>
      <c r="AL548" s="441"/>
      <c r="AM548" s="441"/>
      <c r="AN548" s="441"/>
      <c r="AO548" s="441"/>
      <c r="AP548" s="441"/>
      <c r="AQ548" s="441"/>
      <c r="AR548" s="441"/>
      <c r="AS548" s="441"/>
      <c r="AT548" s="441"/>
      <c r="AU548" s="441"/>
      <c r="AV548" s="441"/>
      <c r="AW548" s="441"/>
      <c r="AX548" s="441"/>
      <c r="AY548" s="441"/>
      <c r="AZ548" s="441"/>
      <c r="BA548" s="441"/>
      <c r="BB548" s="441"/>
      <c r="BC548" s="441"/>
      <c r="BD548" s="441"/>
      <c r="BE548" s="441"/>
      <c r="BF548" s="441"/>
    </row>
    <row r="549" ht="15.0" hidden="1" customHeight="1" outlineLevel="1">
      <c r="A549" s="763" t="s">
        <v>761</v>
      </c>
      <c r="B549" s="764">
        <v>5.0</v>
      </c>
      <c r="C549" s="764"/>
      <c r="D549" s="773"/>
      <c r="E549" s="773"/>
      <c r="F549" s="773"/>
      <c r="G549" s="773"/>
      <c r="H549" s="773"/>
      <c r="I549" s="765"/>
      <c r="J549" s="766"/>
      <c r="K549" s="767"/>
      <c r="L549" s="768"/>
      <c r="M549" s="769"/>
      <c r="N549" s="770"/>
      <c r="O549" s="770"/>
      <c r="P549" s="770"/>
      <c r="Q549" s="771"/>
      <c r="R549" s="665"/>
      <c r="S549" s="438"/>
      <c r="T549" s="467"/>
      <c r="U549" s="467"/>
      <c r="V549" s="438"/>
      <c r="W549" s="438"/>
      <c r="X549" s="467"/>
      <c r="Y549" s="467"/>
      <c r="Z549" s="467"/>
      <c r="AA549" s="467"/>
      <c r="AB549" s="467"/>
      <c r="AC549" s="438"/>
      <c r="AD549" s="438"/>
      <c r="AE549" s="438"/>
      <c r="AF549" s="441"/>
      <c r="AG549" s="441"/>
      <c r="AH549" s="441"/>
      <c r="AI549" s="441"/>
      <c r="AJ549" s="441"/>
      <c r="AK549" s="441"/>
      <c r="AL549" s="441"/>
      <c r="AM549" s="441"/>
      <c r="AN549" s="441"/>
      <c r="AO549" s="441"/>
      <c r="AP549" s="441"/>
      <c r="AQ549" s="441"/>
      <c r="AR549" s="441"/>
      <c r="AS549" s="441"/>
      <c r="AT549" s="441"/>
      <c r="AU549" s="441"/>
      <c r="AV549" s="441"/>
      <c r="AW549" s="441"/>
      <c r="AX549" s="441"/>
      <c r="AY549" s="441"/>
      <c r="AZ549" s="441"/>
      <c r="BA549" s="441"/>
      <c r="BB549" s="441"/>
      <c r="BC549" s="441"/>
      <c r="BD549" s="441"/>
      <c r="BE549" s="441"/>
      <c r="BF549" s="441"/>
    </row>
    <row r="550" ht="15.0" hidden="1" customHeight="1" outlineLevel="1">
      <c r="A550" s="763" t="s">
        <v>762</v>
      </c>
      <c r="B550" s="774">
        <f t="shared" ref="B550:H550" si="265">B547/$B549</f>
        <v>2.3</v>
      </c>
      <c r="C550" s="774">
        <f t="shared" si="265"/>
        <v>3.3</v>
      </c>
      <c r="D550" s="774">
        <f t="shared" si="265"/>
        <v>4.3</v>
      </c>
      <c r="E550" s="774">
        <f t="shared" si="265"/>
        <v>5.3</v>
      </c>
      <c r="F550" s="774">
        <f t="shared" si="265"/>
        <v>6.5</v>
      </c>
      <c r="G550" s="774">
        <f t="shared" si="265"/>
        <v>7.7</v>
      </c>
      <c r="H550" s="774">
        <f t="shared" si="265"/>
        <v>9</v>
      </c>
      <c r="I550" s="765"/>
      <c r="J550" s="766"/>
      <c r="K550" s="767"/>
      <c r="L550" s="768"/>
      <c r="M550" s="769"/>
      <c r="N550" s="770"/>
      <c r="O550" s="770"/>
      <c r="P550" s="770"/>
      <c r="Q550" s="771"/>
      <c r="R550" s="665"/>
      <c r="S550" s="438"/>
      <c r="T550" s="467"/>
      <c r="U550" s="467"/>
      <c r="V550" s="438"/>
      <c r="W550" s="438"/>
      <c r="X550" s="467"/>
      <c r="Y550" s="467"/>
      <c r="Z550" s="467"/>
      <c r="AA550" s="467"/>
      <c r="AB550" s="467"/>
      <c r="AC550" s="438"/>
      <c r="AD550" s="438"/>
      <c r="AE550" s="438"/>
      <c r="AF550" s="441"/>
      <c r="AG550" s="441"/>
      <c r="AH550" s="441"/>
      <c r="AI550" s="441"/>
      <c r="AJ550" s="441"/>
      <c r="AK550" s="441"/>
      <c r="AL550" s="441"/>
      <c r="AM550" s="441"/>
      <c r="AN550" s="441"/>
      <c r="AO550" s="441"/>
      <c r="AP550" s="441"/>
      <c r="AQ550" s="441"/>
      <c r="AR550" s="441"/>
      <c r="AS550" s="441"/>
      <c r="AT550" s="441"/>
      <c r="AU550" s="441"/>
      <c r="AV550" s="441"/>
      <c r="AW550" s="441"/>
      <c r="AX550" s="441"/>
      <c r="AY550" s="441"/>
      <c r="AZ550" s="441"/>
      <c r="BA550" s="441"/>
      <c r="BB550" s="441"/>
      <c r="BC550" s="441"/>
      <c r="BD550" s="441"/>
      <c r="BE550" s="441"/>
      <c r="BF550" s="441"/>
    </row>
    <row r="551" collapsed="1">
      <c r="A551" s="783"/>
      <c r="B551" s="784"/>
      <c r="C551" s="784"/>
      <c r="D551" s="784"/>
      <c r="E551" s="784"/>
      <c r="F551" s="784"/>
      <c r="G551" s="784"/>
      <c r="H551" s="785" t="s">
        <v>1139</v>
      </c>
      <c r="I551" s="784"/>
      <c r="J551" s="784"/>
      <c r="K551" s="784"/>
      <c r="L551" s="784"/>
      <c r="M551" s="784"/>
      <c r="N551" s="784"/>
      <c r="O551" s="784"/>
      <c r="P551" s="784"/>
      <c r="Q551" s="784"/>
      <c r="R551" s="786"/>
      <c r="S551" s="438"/>
      <c r="T551" s="467"/>
      <c r="U551" s="467"/>
      <c r="V551" s="438"/>
      <c r="W551" s="438"/>
      <c r="X551" s="467"/>
      <c r="Y551" s="467"/>
      <c r="Z551" s="467"/>
      <c r="AA551" s="467"/>
      <c r="AB551" s="467"/>
      <c r="AC551" s="438"/>
      <c r="AD551" s="438"/>
      <c r="AE551" s="438"/>
      <c r="AF551" s="441"/>
      <c r="AG551" s="441"/>
      <c r="AH551" s="441"/>
      <c r="AI551" s="441"/>
      <c r="AJ551" s="441"/>
      <c r="AK551" s="441"/>
      <c r="AL551" s="441"/>
      <c r="AM551" s="441"/>
      <c r="AN551" s="441"/>
      <c r="AO551" s="441"/>
      <c r="AP551" s="441"/>
      <c r="AQ551" s="441"/>
      <c r="AR551" s="441"/>
      <c r="AS551" s="441"/>
      <c r="AT551" s="441"/>
      <c r="AU551" s="441"/>
      <c r="AV551" s="441"/>
      <c r="AW551" s="441"/>
      <c r="AX551" s="441"/>
      <c r="AY551" s="441"/>
      <c r="AZ551" s="441"/>
      <c r="BA551" s="441"/>
      <c r="BB551" s="441"/>
      <c r="BC551" s="441"/>
      <c r="BD551" s="441"/>
      <c r="BE551" s="441"/>
      <c r="BF551" s="441"/>
    </row>
    <row r="552">
      <c r="A552" s="787" t="s">
        <v>1140</v>
      </c>
      <c r="B552" s="788" t="s">
        <v>748</v>
      </c>
      <c r="C552" s="789" t="s">
        <v>901</v>
      </c>
      <c r="D552" s="789" t="s">
        <v>1072</v>
      </c>
      <c r="E552" s="789" t="s">
        <v>1073</v>
      </c>
      <c r="F552" s="789" t="s">
        <v>904</v>
      </c>
      <c r="G552" s="789" t="s">
        <v>905</v>
      </c>
      <c r="H552" s="789" t="s">
        <v>906</v>
      </c>
      <c r="I552" s="790"/>
      <c r="J552" s="790">
        <v>0.0</v>
      </c>
      <c r="K552" s="789">
        <v>3.0</v>
      </c>
      <c r="L552" s="791">
        <f>'Механик'!C52</f>
        <v>2.88</v>
      </c>
      <c r="M552" s="789" t="s">
        <v>30</v>
      </c>
      <c r="N552" s="792"/>
      <c r="O552" s="792"/>
      <c r="P552" s="789" t="s">
        <v>30</v>
      </c>
      <c r="Q552" s="793" t="s">
        <v>1141</v>
      </c>
      <c r="R552" s="665"/>
      <c r="S552" s="438"/>
      <c r="T552" s="467"/>
      <c r="U552" s="467"/>
      <c r="V552" s="438"/>
      <c r="W552" s="438"/>
      <c r="X552" s="467"/>
      <c r="Y552" s="467"/>
      <c r="Z552" s="467"/>
      <c r="AA552" s="467"/>
      <c r="AB552" s="467"/>
      <c r="AC552" s="438"/>
      <c r="AD552" s="438"/>
      <c r="AE552" s="438"/>
      <c r="AF552" s="441"/>
      <c r="AG552" s="441"/>
      <c r="AH552" s="441"/>
      <c r="AI552" s="441"/>
      <c r="AJ552" s="441"/>
      <c r="AK552" s="441"/>
      <c r="AL552" s="441"/>
      <c r="AM552" s="441"/>
      <c r="AN552" s="441"/>
      <c r="AO552" s="441"/>
      <c r="AP552" s="441"/>
      <c r="AQ552" s="441"/>
      <c r="AR552" s="441"/>
      <c r="AS552" s="441"/>
      <c r="AT552" s="441"/>
      <c r="AU552" s="441"/>
      <c r="AV552" s="441"/>
      <c r="AW552" s="441"/>
      <c r="AX552" s="441"/>
      <c r="AY552" s="441"/>
      <c r="AZ552" s="441"/>
      <c r="BA552" s="441"/>
      <c r="BB552" s="441"/>
      <c r="BC552" s="441"/>
      <c r="BD552" s="441"/>
      <c r="BE552" s="441"/>
      <c r="BF552" s="441"/>
    </row>
    <row r="553">
      <c r="A553" s="787" t="s">
        <v>1142</v>
      </c>
      <c r="B553" s="789">
        <v>7.0</v>
      </c>
      <c r="C553" s="789">
        <v>9.0</v>
      </c>
      <c r="D553" s="789">
        <v>11.0</v>
      </c>
      <c r="E553" s="789">
        <v>12.0</v>
      </c>
      <c r="F553" s="789">
        <v>14.0</v>
      </c>
      <c r="G553" s="789">
        <v>16.0</v>
      </c>
      <c r="H553" s="789">
        <v>18.0</v>
      </c>
      <c r="I553" s="790">
        <v>1.0</v>
      </c>
      <c r="J553" s="790" t="s">
        <v>30</v>
      </c>
      <c r="K553" s="789" t="s">
        <v>30</v>
      </c>
      <c r="L553" s="792"/>
      <c r="M553" s="789"/>
      <c r="N553" s="792"/>
      <c r="O553" s="792"/>
      <c r="P553" s="789"/>
      <c r="Q553" s="793" t="s">
        <v>1143</v>
      </c>
      <c r="R553" s="665"/>
      <c r="S553" s="438"/>
      <c r="T553" s="467"/>
      <c r="U553" s="467"/>
      <c r="V553" s="438"/>
      <c r="W553" s="438"/>
      <c r="X553" s="467"/>
      <c r="Y553" s="467"/>
      <c r="Z553" s="467"/>
      <c r="AA553" s="467"/>
      <c r="AB553" s="467"/>
      <c r="AC553" s="438"/>
      <c r="AD553" s="438"/>
      <c r="AE553" s="438"/>
      <c r="AF553" s="441"/>
      <c r="AG553" s="441"/>
      <c r="AH553" s="441"/>
      <c r="AI553" s="441"/>
      <c r="AJ553" s="441"/>
      <c r="AK553" s="441"/>
      <c r="AL553" s="441"/>
      <c r="AM553" s="441"/>
      <c r="AN553" s="441"/>
      <c r="AO553" s="441"/>
      <c r="AP553" s="441"/>
      <c r="AQ553" s="441"/>
      <c r="AR553" s="441"/>
      <c r="AS553" s="441"/>
      <c r="AT553" s="441"/>
      <c r="AU553" s="441"/>
      <c r="AV553" s="441"/>
      <c r="AW553" s="441"/>
      <c r="AX553" s="441"/>
      <c r="AY553" s="441"/>
      <c r="AZ553" s="441"/>
      <c r="BA553" s="441"/>
      <c r="BB553" s="441"/>
      <c r="BC553" s="441"/>
      <c r="BD553" s="441"/>
      <c r="BE553" s="441"/>
      <c r="BF553" s="441"/>
    </row>
    <row r="554">
      <c r="A554" s="692" t="s">
        <v>1144</v>
      </c>
      <c r="B554" s="692">
        <v>0.0</v>
      </c>
      <c r="C554" s="692">
        <v>0.0</v>
      </c>
      <c r="D554" s="692">
        <v>0.0</v>
      </c>
      <c r="E554" s="692">
        <v>0.0</v>
      </c>
      <c r="F554" s="692">
        <v>0.0</v>
      </c>
      <c r="G554" s="692">
        <v>0.0</v>
      </c>
      <c r="H554" s="692">
        <v>0.0</v>
      </c>
      <c r="I554" s="441"/>
      <c r="J554" s="441"/>
      <c r="K554" s="441"/>
      <c r="L554" s="441"/>
      <c r="M554" s="441"/>
      <c r="N554" s="441"/>
      <c r="O554" s="441"/>
      <c r="P554" s="441"/>
      <c r="Q554" s="441"/>
      <c r="R554" s="441"/>
      <c r="S554" s="441"/>
      <c r="T554" s="441"/>
      <c r="U554" s="441"/>
      <c r="V554" s="441"/>
      <c r="W554" s="441"/>
      <c r="X554" s="517"/>
      <c r="Y554" s="517"/>
      <c r="Z554" s="517"/>
      <c r="AA554" s="517"/>
      <c r="AB554" s="517"/>
      <c r="AC554" s="441"/>
      <c r="AD554" s="441"/>
      <c r="AE554" s="441"/>
      <c r="AF554" s="441"/>
      <c r="AG554" s="441"/>
      <c r="AH554" s="441"/>
      <c r="AI554" s="441"/>
      <c r="AJ554" s="441"/>
      <c r="AK554" s="441"/>
      <c r="AL554" s="441"/>
      <c r="AM554" s="441"/>
      <c r="AN554" s="441"/>
      <c r="AO554" s="441"/>
      <c r="AP554" s="441"/>
      <c r="AQ554" s="441"/>
      <c r="AR554" s="441"/>
      <c r="AS554" s="441"/>
      <c r="AT554" s="441"/>
      <c r="AU554" s="441"/>
      <c r="AV554" s="441"/>
      <c r="AW554" s="441"/>
      <c r="AX554" s="441"/>
      <c r="AY554" s="441"/>
      <c r="AZ554" s="441"/>
      <c r="BA554" s="441"/>
      <c r="BB554" s="441"/>
      <c r="BC554" s="441"/>
      <c r="BD554" s="441"/>
      <c r="BE554" s="441"/>
      <c r="BF554" s="441"/>
    </row>
    <row r="555">
      <c r="A555" s="692"/>
      <c r="B555" s="692"/>
      <c r="C555" s="692"/>
      <c r="D555" s="692"/>
      <c r="E555" s="692"/>
      <c r="F555" s="692"/>
      <c r="G555" s="692"/>
      <c r="H555" s="692"/>
      <c r="I555" s="441"/>
      <c r="J555" s="441"/>
      <c r="K555" s="441"/>
      <c r="L555" s="441"/>
      <c r="M555" s="441"/>
      <c r="N555" s="441"/>
      <c r="O555" s="441"/>
      <c r="P555" s="441"/>
      <c r="Q555" s="441"/>
      <c r="R555" s="441"/>
      <c r="S555" s="441"/>
      <c r="T555" s="441"/>
      <c r="U555" s="441"/>
      <c r="V555" s="441"/>
      <c r="W555" s="441"/>
      <c r="X555" s="441"/>
      <c r="Y555" s="441"/>
      <c r="Z555" s="441"/>
      <c r="AA555" s="441"/>
      <c r="AB555" s="441"/>
      <c r="AC555" s="441"/>
      <c r="AD555" s="441"/>
      <c r="AE555" s="441"/>
      <c r="AF555" s="441"/>
      <c r="AG555" s="441"/>
      <c r="AH555" s="441"/>
      <c r="AI555" s="441"/>
      <c r="AJ555" s="441"/>
      <c r="AK555" s="441"/>
      <c r="AL555" s="441"/>
      <c r="AM555" s="441"/>
      <c r="AN555" s="441"/>
      <c r="AO555" s="441"/>
      <c r="AP555" s="441"/>
      <c r="AQ555" s="441"/>
      <c r="AR555" s="441"/>
      <c r="AS555" s="441"/>
      <c r="AT555" s="441"/>
      <c r="AU555" s="441"/>
      <c r="AV555" s="441"/>
      <c r="AW555" s="441"/>
      <c r="AX555" s="441"/>
      <c r="AY555" s="441"/>
      <c r="AZ555" s="441"/>
      <c r="BA555" s="441"/>
      <c r="BB555" s="441"/>
      <c r="BC555" s="441"/>
      <c r="BD555" s="441"/>
      <c r="BE555" s="441"/>
      <c r="BF555" s="441"/>
    </row>
    <row r="556">
      <c r="A556" s="794" t="s">
        <v>1145</v>
      </c>
      <c r="B556" s="795"/>
      <c r="C556" s="795"/>
      <c r="D556" s="795"/>
      <c r="E556" s="795"/>
      <c r="F556" s="795"/>
      <c r="G556" s="795"/>
      <c r="H556" s="795"/>
      <c r="I556" s="796"/>
      <c r="J556" s="441"/>
      <c r="K556" s="441"/>
      <c r="L556" s="797"/>
      <c r="M556" s="441"/>
      <c r="N556" s="441"/>
      <c r="O556" s="441"/>
      <c r="P556" s="441"/>
      <c r="Q556" s="441"/>
      <c r="R556" s="426"/>
      <c r="S556" s="441"/>
      <c r="T556" s="441"/>
      <c r="U556" s="441"/>
      <c r="V556" s="441"/>
      <c r="W556" s="441"/>
      <c r="X556" s="441"/>
      <c r="Y556" s="441"/>
      <c r="Z556" s="441"/>
      <c r="AA556" s="441"/>
      <c r="AB556" s="441"/>
      <c r="AC556" s="441"/>
      <c r="AD556" s="441"/>
      <c r="AE556" s="441"/>
      <c r="AF556" s="441"/>
      <c r="AG556" s="441"/>
      <c r="AH556" s="441"/>
      <c r="AI556" s="441"/>
      <c r="AJ556" s="441"/>
      <c r="AK556" s="441"/>
      <c r="AL556" s="441"/>
      <c r="AM556" s="441"/>
      <c r="AN556" s="441"/>
      <c r="AO556" s="441"/>
      <c r="AP556" s="441"/>
      <c r="AQ556" s="441"/>
      <c r="AR556" s="441"/>
      <c r="AS556" s="441"/>
      <c r="AT556" s="441"/>
      <c r="AU556" s="441"/>
      <c r="AV556" s="441"/>
      <c r="AW556" s="441"/>
      <c r="AX556" s="441"/>
      <c r="AY556" s="441"/>
      <c r="AZ556" s="441"/>
      <c r="BA556" s="441"/>
      <c r="BB556" s="441"/>
      <c r="BC556" s="441"/>
      <c r="BD556" s="441"/>
      <c r="BE556" s="441"/>
      <c r="BF556" s="441"/>
    </row>
    <row r="557">
      <c r="A557" s="798"/>
      <c r="B557" s="795"/>
      <c r="C557" s="795"/>
      <c r="D557" s="795"/>
      <c r="E557" s="795"/>
      <c r="F557" s="795"/>
      <c r="G557" s="795"/>
      <c r="H557" s="795"/>
      <c r="I557" s="796"/>
      <c r="J557" s="441"/>
      <c r="K557" s="441"/>
      <c r="L557" s="797"/>
      <c r="M557" s="441"/>
      <c r="N557" s="441"/>
      <c r="O557" s="441"/>
      <c r="P557" s="441"/>
      <c r="Q557" s="441"/>
      <c r="R557" s="426"/>
      <c r="S557" s="441"/>
      <c r="T557" s="441"/>
      <c r="U557" s="441"/>
      <c r="V557" s="441"/>
      <c r="W557" s="441"/>
      <c r="X557" s="441"/>
      <c r="Y557" s="441"/>
      <c r="Z557" s="441"/>
      <c r="AA557" s="441"/>
      <c r="AB557" s="441"/>
      <c r="AC557" s="441"/>
      <c r="AD557" s="441"/>
      <c r="AE557" s="441"/>
      <c r="AF557" s="441"/>
      <c r="AG557" s="441"/>
      <c r="AH557" s="441"/>
      <c r="AI557" s="441"/>
      <c r="AJ557" s="441"/>
      <c r="AK557" s="441"/>
      <c r="AL557" s="441"/>
      <c r="AM557" s="441"/>
      <c r="AN557" s="441"/>
      <c r="AO557" s="441"/>
      <c r="AP557" s="441"/>
      <c r="AQ557" s="441"/>
      <c r="AR557" s="441"/>
      <c r="AS557" s="441"/>
      <c r="AT557" s="441"/>
      <c r="AU557" s="441"/>
      <c r="AV557" s="441"/>
      <c r="AW557" s="441"/>
      <c r="AX557" s="441"/>
      <c r="AY557" s="441"/>
      <c r="AZ557" s="441"/>
      <c r="BA557" s="441"/>
      <c r="BB557" s="441"/>
      <c r="BC557" s="441"/>
      <c r="BD557" s="441"/>
      <c r="BE557" s="441"/>
      <c r="BF557" s="441"/>
    </row>
    <row r="558">
      <c r="A558" s="799"/>
      <c r="B558" s="800"/>
      <c r="C558" s="800"/>
      <c r="D558" s="800"/>
      <c r="E558" s="800"/>
      <c r="F558" s="800"/>
      <c r="G558" s="800"/>
      <c r="H558" s="801" t="s">
        <v>1146</v>
      </c>
      <c r="I558" s="800"/>
      <c r="J558" s="800"/>
      <c r="K558" s="800"/>
      <c r="L558" s="800"/>
      <c r="M558" s="800"/>
      <c r="N558" s="800"/>
      <c r="O558" s="800"/>
      <c r="P558" s="800"/>
      <c r="Q558" s="800"/>
      <c r="R558" s="800"/>
      <c r="S558" s="802"/>
      <c r="T558" s="803"/>
      <c r="U558" s="441"/>
      <c r="V558" s="441"/>
      <c r="W558" s="441"/>
      <c r="X558" s="441"/>
      <c r="Y558" s="441"/>
      <c r="Z558" s="441"/>
      <c r="AA558" s="441"/>
      <c r="AB558" s="441"/>
      <c r="AC558" s="441"/>
      <c r="AD558" s="441"/>
      <c r="AE558" s="441"/>
      <c r="AF558" s="441"/>
      <c r="AG558" s="441"/>
      <c r="AH558" s="441"/>
      <c r="AI558" s="441"/>
      <c r="AJ558" s="441"/>
      <c r="AK558" s="441"/>
      <c r="AL558" s="441"/>
      <c r="AM558" s="441"/>
      <c r="AN558" s="441"/>
      <c r="AO558" s="441"/>
      <c r="AP558" s="441"/>
      <c r="AQ558" s="441"/>
      <c r="AR558" s="441"/>
      <c r="AS558" s="441"/>
      <c r="AT558" s="441"/>
      <c r="AU558" s="441"/>
      <c r="AV558" s="441"/>
      <c r="AW558" s="441"/>
      <c r="AX558" s="441"/>
      <c r="AY558" s="441"/>
      <c r="AZ558" s="441"/>
      <c r="BA558" s="441"/>
      <c r="BB558" s="441"/>
      <c r="BC558" s="441"/>
      <c r="BD558" s="441"/>
      <c r="BE558" s="441"/>
      <c r="BF558" s="441"/>
    </row>
    <row r="559">
      <c r="A559" s="804" t="s">
        <v>1147</v>
      </c>
      <c r="B559" s="805" t="s">
        <v>1148</v>
      </c>
      <c r="C559" s="805" t="s">
        <v>1149</v>
      </c>
      <c r="D559" s="805" t="s">
        <v>1150</v>
      </c>
      <c r="E559" s="805" t="s">
        <v>1151</v>
      </c>
      <c r="F559" s="805" t="s">
        <v>1152</v>
      </c>
      <c r="G559" s="805" t="s">
        <v>1153</v>
      </c>
      <c r="H559" s="805" t="s">
        <v>1154</v>
      </c>
      <c r="I559" s="806" t="s">
        <v>134</v>
      </c>
      <c r="J559" s="806" t="s">
        <v>729</v>
      </c>
      <c r="K559" s="806" t="s">
        <v>730</v>
      </c>
      <c r="L559" s="806" t="s">
        <v>731</v>
      </c>
      <c r="M559" s="806" t="s">
        <v>25</v>
      </c>
      <c r="N559" s="806" t="s">
        <v>732</v>
      </c>
      <c r="O559" s="806" t="s">
        <v>191</v>
      </c>
      <c r="P559" s="806" t="s">
        <v>733</v>
      </c>
      <c r="Q559" s="807"/>
      <c r="R559" s="806" t="s">
        <v>734</v>
      </c>
      <c r="S559" s="808" t="s">
        <v>111</v>
      </c>
      <c r="T559" s="809" t="s">
        <v>735</v>
      </c>
      <c r="U559" s="438"/>
      <c r="V559" s="438"/>
      <c r="W559" s="438"/>
      <c r="X559" s="438"/>
      <c r="Y559" s="438"/>
      <c r="Z559" s="438"/>
      <c r="AA559" s="438"/>
      <c r="AB559" s="438"/>
      <c r="AC559" s="438"/>
      <c r="AD559" s="438"/>
      <c r="AE559" s="438"/>
      <c r="AF559" s="438"/>
      <c r="AG559" s="438"/>
      <c r="AH559" s="438"/>
      <c r="AI559" s="438"/>
      <c r="AJ559" s="438"/>
      <c r="AK559" s="438"/>
      <c r="AL559" s="438"/>
      <c r="AM559" s="438"/>
      <c r="AN559" s="438"/>
      <c r="AO559" s="438"/>
      <c r="AP559" s="438"/>
      <c r="AQ559" s="438"/>
      <c r="AR559" s="438"/>
      <c r="AS559" s="438"/>
      <c r="AT559" s="438"/>
      <c r="AU559" s="438"/>
      <c r="AV559" s="438"/>
      <c r="AW559" s="441"/>
      <c r="AX559" s="441"/>
      <c r="AY559" s="441"/>
      <c r="AZ559" s="441"/>
      <c r="BA559" s="441"/>
      <c r="BB559" s="441"/>
      <c r="BC559" s="441"/>
      <c r="BD559" s="441"/>
      <c r="BE559" s="441"/>
      <c r="BF559" s="441"/>
    </row>
    <row r="560">
      <c r="A560" s="810" t="s">
        <v>199</v>
      </c>
      <c r="B560" s="811" t="s">
        <v>121</v>
      </c>
      <c r="C560" s="812" t="s">
        <v>807</v>
      </c>
      <c r="D560" s="812" t="s">
        <v>808</v>
      </c>
      <c r="E560" s="812" t="s">
        <v>809</v>
      </c>
      <c r="F560" s="812" t="s">
        <v>810</v>
      </c>
      <c r="G560" s="812" t="s">
        <v>811</v>
      </c>
      <c r="H560" s="812" t="s">
        <v>812</v>
      </c>
      <c r="I560" s="813" t="s">
        <v>779</v>
      </c>
      <c r="J560" s="814">
        <v>-5.0</v>
      </c>
      <c r="K560" s="814">
        <v>3.0</v>
      </c>
      <c r="L560" s="815">
        <f>VLOOKUP(A560,'Плотник'!$B$172:$G$175,6,FALSE)</f>
        <v>0.36</v>
      </c>
      <c r="M560" s="816" t="s">
        <v>976</v>
      </c>
      <c r="N560" s="817">
        <f>VLOOKUP(A560,'Плотник'!$B$172:$G$175,4,FALSE)</f>
        <v>4</v>
      </c>
      <c r="O560" s="817">
        <v>14.0</v>
      </c>
      <c r="P560" s="817" t="s">
        <v>988</v>
      </c>
      <c r="Q560" s="818"/>
      <c r="R560" s="819" t="s">
        <v>1155</v>
      </c>
      <c r="S560" s="820">
        <v>64.0</v>
      </c>
      <c r="T560" s="820">
        <v>16.0</v>
      </c>
      <c r="U560" s="438"/>
      <c r="V560" s="438"/>
      <c r="W560" s="821" t="s">
        <v>1156</v>
      </c>
      <c r="X560" s="440">
        <v>0.0</v>
      </c>
      <c r="Y560" s="440">
        <v>0.0</v>
      </c>
      <c r="Z560" s="440">
        <v>0.0</v>
      </c>
      <c r="AA560" s="440">
        <v>0.0</v>
      </c>
      <c r="AB560" s="440">
        <v>0.0</v>
      </c>
      <c r="AC560" s="440">
        <v>0.0</v>
      </c>
      <c r="AD560" s="440">
        <v>0.0</v>
      </c>
      <c r="AE560" s="438"/>
      <c r="AF560" s="438"/>
      <c r="AG560" s="438"/>
      <c r="AH560" s="438"/>
      <c r="AI560" s="438"/>
      <c r="AJ560" s="438"/>
      <c r="AK560" s="438"/>
      <c r="AL560" s="438"/>
      <c r="AM560" s="438"/>
      <c r="AN560" s="438"/>
      <c r="AO560" s="438"/>
      <c r="AP560" s="438"/>
      <c r="AQ560" s="438"/>
      <c r="AR560" s="438"/>
      <c r="AS560" s="438"/>
      <c r="AT560" s="438"/>
      <c r="AU560" s="438"/>
      <c r="AV560" s="438"/>
      <c r="AW560" s="441"/>
      <c r="AX560" s="441"/>
      <c r="AY560" s="441"/>
      <c r="AZ560" s="441"/>
      <c r="BA560" s="441"/>
      <c r="BB560" s="441"/>
      <c r="BC560" s="441"/>
      <c r="BD560" s="441"/>
      <c r="BE560" s="441"/>
      <c r="BF560" s="441"/>
    </row>
    <row r="561" hidden="1" outlineLevel="1">
      <c r="A561" s="822" t="s">
        <v>756</v>
      </c>
      <c r="B561" s="823">
        <v>1.0</v>
      </c>
      <c r="C561" s="824">
        <v>1.0</v>
      </c>
      <c r="D561" s="824">
        <v>1.0</v>
      </c>
      <c r="E561" s="824">
        <v>1.0</v>
      </c>
      <c r="F561" s="824">
        <v>1.0</v>
      </c>
      <c r="G561" s="824">
        <v>1.0</v>
      </c>
      <c r="H561" s="824">
        <v>1.0</v>
      </c>
      <c r="I561" s="813"/>
      <c r="J561" s="814"/>
      <c r="K561" s="814"/>
      <c r="L561" s="815" t="str">
        <f t="shared" ref="L561:L567" si="266">VLOOKUP(A561,'Создание оружия'!$B$12:$H$104,6,FALSE)</f>
        <v>#REF!</v>
      </c>
      <c r="M561" s="814"/>
      <c r="N561" s="817" t="str">
        <f t="shared" ref="N561:N567" si="267">VLOOKUP(A561,'Создание оружия'!$B$12:$H$104,4,FALSE)</f>
        <v>#REF!</v>
      </c>
      <c r="O561" s="817"/>
      <c r="P561" s="817"/>
      <c r="Q561" s="825"/>
      <c r="R561" s="817"/>
      <c r="S561" s="817"/>
      <c r="T561" s="817"/>
      <c r="U561" s="438"/>
      <c r="V561" s="438"/>
      <c r="W561" s="821"/>
      <c r="X561" s="440"/>
      <c r="Y561" s="440"/>
      <c r="Z561" s="440"/>
      <c r="AA561" s="440"/>
      <c r="AB561" s="440"/>
      <c r="AC561" s="440"/>
      <c r="AD561" s="440"/>
      <c r="AE561" s="438"/>
      <c r="AF561" s="438"/>
      <c r="AG561" s="438"/>
      <c r="AH561" s="438"/>
      <c r="AI561" s="438"/>
      <c r="AJ561" s="438"/>
      <c r="AK561" s="438"/>
      <c r="AL561" s="438"/>
      <c r="AM561" s="438"/>
      <c r="AN561" s="438"/>
      <c r="AO561" s="438"/>
      <c r="AP561" s="438"/>
      <c r="AQ561" s="438"/>
      <c r="AR561" s="438"/>
      <c r="AS561" s="438"/>
      <c r="AT561" s="438"/>
      <c r="AU561" s="438"/>
      <c r="AV561" s="438"/>
      <c r="AW561" s="441"/>
      <c r="AX561" s="441"/>
      <c r="AY561" s="441"/>
      <c r="AZ561" s="441"/>
      <c r="BA561" s="441"/>
      <c r="BB561" s="441"/>
      <c r="BC561" s="441"/>
      <c r="BD561" s="441"/>
      <c r="BE561" s="441"/>
      <c r="BF561" s="441"/>
    </row>
    <row r="562" hidden="1" outlineLevel="1">
      <c r="A562" s="822" t="s">
        <v>757</v>
      </c>
      <c r="B562" s="823">
        <v>6.0</v>
      </c>
      <c r="C562" s="824">
        <v>6.0</v>
      </c>
      <c r="D562" s="824">
        <v>8.0</v>
      </c>
      <c r="E562" s="824">
        <v>8.0</v>
      </c>
      <c r="F562" s="824">
        <v>10.0</v>
      </c>
      <c r="G562" s="824">
        <v>10.0</v>
      </c>
      <c r="H562" s="824">
        <v>12.0</v>
      </c>
      <c r="I562" s="813"/>
      <c r="J562" s="814"/>
      <c r="K562" s="814"/>
      <c r="L562" s="815" t="str">
        <f t="shared" si="266"/>
        <v>#REF!</v>
      </c>
      <c r="M562" s="814"/>
      <c r="N562" s="817" t="str">
        <f t="shared" si="267"/>
        <v>#REF!</v>
      </c>
      <c r="O562" s="817"/>
      <c r="P562" s="817"/>
      <c r="Q562" s="825"/>
      <c r="R562" s="817"/>
      <c r="S562" s="817"/>
      <c r="T562" s="817"/>
      <c r="U562" s="438"/>
      <c r="V562" s="438"/>
      <c r="W562" s="821"/>
      <c r="X562" s="440"/>
      <c r="Y562" s="440"/>
      <c r="Z562" s="440"/>
      <c r="AA562" s="440"/>
      <c r="AB562" s="440"/>
      <c r="AC562" s="440"/>
      <c r="AD562" s="440"/>
      <c r="AE562" s="438"/>
      <c r="AF562" s="438"/>
      <c r="AG562" s="438"/>
      <c r="AH562" s="438"/>
      <c r="AI562" s="438"/>
      <c r="AJ562" s="438"/>
      <c r="AK562" s="438"/>
      <c r="AL562" s="438"/>
      <c r="AM562" s="438"/>
      <c r="AN562" s="438"/>
      <c r="AO562" s="438"/>
      <c r="AP562" s="438"/>
      <c r="AQ562" s="438"/>
      <c r="AR562" s="438"/>
      <c r="AS562" s="438"/>
      <c r="AT562" s="438"/>
      <c r="AU562" s="438"/>
      <c r="AV562" s="438"/>
      <c r="AW562" s="441"/>
      <c r="AX562" s="441"/>
      <c r="AY562" s="441"/>
      <c r="AZ562" s="441"/>
      <c r="BA562" s="441"/>
      <c r="BB562" s="441"/>
      <c r="BC562" s="441"/>
      <c r="BD562" s="441"/>
      <c r="BE562" s="441"/>
      <c r="BF562" s="441"/>
    </row>
    <row r="563" hidden="1" outlineLevel="1">
      <c r="A563" s="822" t="s">
        <v>758</v>
      </c>
      <c r="B563" s="826">
        <v>3.0</v>
      </c>
      <c r="C563" s="827">
        <v>6.0</v>
      </c>
      <c r="D563" s="827">
        <v>8.0</v>
      </c>
      <c r="E563" s="827">
        <v>12.0</v>
      </c>
      <c r="F563" s="827">
        <v>15.0</v>
      </c>
      <c r="G563" s="827">
        <v>20.0</v>
      </c>
      <c r="H563" s="827">
        <v>24.0</v>
      </c>
      <c r="I563" s="813"/>
      <c r="J563" s="814"/>
      <c r="K563" s="814"/>
      <c r="L563" s="815" t="str">
        <f t="shared" si="266"/>
        <v>#REF!</v>
      </c>
      <c r="M563" s="814"/>
      <c r="N563" s="817" t="str">
        <f t="shared" si="267"/>
        <v>#REF!</v>
      </c>
      <c r="O563" s="817"/>
      <c r="P563" s="817"/>
      <c r="Q563" s="825"/>
      <c r="R563" s="817"/>
      <c r="S563" s="817"/>
      <c r="T563" s="817"/>
      <c r="U563" s="438"/>
      <c r="V563" s="438"/>
      <c r="W563" s="821"/>
      <c r="X563" s="440"/>
      <c r="Y563" s="440"/>
      <c r="Z563" s="440"/>
      <c r="AA563" s="440"/>
      <c r="AB563" s="440"/>
      <c r="AC563" s="440"/>
      <c r="AD563" s="440"/>
      <c r="AE563" s="438"/>
      <c r="AF563" s="438"/>
      <c r="AG563" s="438"/>
      <c r="AH563" s="438"/>
      <c r="AI563" s="438"/>
      <c r="AJ563" s="438"/>
      <c r="AK563" s="438"/>
      <c r="AL563" s="438"/>
      <c r="AM563" s="438"/>
      <c r="AN563" s="438"/>
      <c r="AO563" s="438"/>
      <c r="AP563" s="438"/>
      <c r="AQ563" s="438"/>
      <c r="AR563" s="438"/>
      <c r="AS563" s="438"/>
      <c r="AT563" s="438"/>
      <c r="AU563" s="438"/>
      <c r="AV563" s="438"/>
      <c r="AW563" s="441"/>
      <c r="AX563" s="441"/>
      <c r="AY563" s="441"/>
      <c r="AZ563" s="441"/>
      <c r="BA563" s="441"/>
      <c r="BB563" s="441"/>
      <c r="BC563" s="441"/>
      <c r="BD563" s="441"/>
      <c r="BE563" s="441"/>
      <c r="BF563" s="441"/>
    </row>
    <row r="564" hidden="1" outlineLevel="1">
      <c r="A564" s="822" t="s">
        <v>759</v>
      </c>
      <c r="B564" s="823">
        <f t="shared" ref="B564:H564" si="268">(B561+B562)/2+B563</f>
        <v>6.5</v>
      </c>
      <c r="C564" s="824">
        <f t="shared" si="268"/>
        <v>9.5</v>
      </c>
      <c r="D564" s="824">
        <f t="shared" si="268"/>
        <v>12.5</v>
      </c>
      <c r="E564" s="824">
        <f t="shared" si="268"/>
        <v>16.5</v>
      </c>
      <c r="F564" s="824">
        <f t="shared" si="268"/>
        <v>20.5</v>
      </c>
      <c r="G564" s="824">
        <f t="shared" si="268"/>
        <v>25.5</v>
      </c>
      <c r="H564" s="824">
        <f t="shared" si="268"/>
        <v>30.5</v>
      </c>
      <c r="I564" s="813"/>
      <c r="J564" s="814"/>
      <c r="K564" s="814"/>
      <c r="L564" s="815" t="str">
        <f t="shared" si="266"/>
        <v>#REF!</v>
      </c>
      <c r="M564" s="814"/>
      <c r="N564" s="817" t="str">
        <f t="shared" si="267"/>
        <v>#REF!</v>
      </c>
      <c r="O564" s="817"/>
      <c r="P564" s="817"/>
      <c r="Q564" s="825"/>
      <c r="R564" s="817"/>
      <c r="S564" s="817"/>
      <c r="T564" s="817"/>
      <c r="U564" s="438"/>
      <c r="V564" s="438"/>
      <c r="W564" s="821"/>
      <c r="X564" s="440"/>
      <c r="Y564" s="440"/>
      <c r="Z564" s="440"/>
      <c r="AA564" s="440"/>
      <c r="AB564" s="440"/>
      <c r="AC564" s="440"/>
      <c r="AD564" s="440"/>
      <c r="AE564" s="438"/>
      <c r="AF564" s="438"/>
      <c r="AG564" s="438"/>
      <c r="AH564" s="438"/>
      <c r="AI564" s="438"/>
      <c r="AJ564" s="438"/>
      <c r="AK564" s="438"/>
      <c r="AL564" s="438"/>
      <c r="AM564" s="438"/>
      <c r="AN564" s="438"/>
      <c r="AO564" s="438"/>
      <c r="AP564" s="438"/>
      <c r="AQ564" s="438"/>
      <c r="AR564" s="438"/>
      <c r="AS564" s="438"/>
      <c r="AT564" s="438"/>
      <c r="AU564" s="438"/>
      <c r="AV564" s="438"/>
      <c r="AW564" s="441"/>
      <c r="AX564" s="441"/>
      <c r="AY564" s="441"/>
      <c r="AZ564" s="441"/>
      <c r="BA564" s="441"/>
      <c r="BB564" s="441"/>
      <c r="BC564" s="441"/>
      <c r="BD564" s="441"/>
      <c r="BE564" s="441"/>
      <c r="BF564" s="441"/>
    </row>
    <row r="565" hidden="1" outlineLevel="1">
      <c r="A565" s="822" t="s">
        <v>760</v>
      </c>
      <c r="B565" s="828"/>
      <c r="C565" s="829">
        <f t="shared" ref="C565:H565" si="269">C564/B564-1</f>
        <v>0.4615384615</v>
      </c>
      <c r="D565" s="829">
        <f t="shared" si="269"/>
        <v>0.3157894737</v>
      </c>
      <c r="E565" s="829">
        <f t="shared" si="269"/>
        <v>0.32</v>
      </c>
      <c r="F565" s="829">
        <f t="shared" si="269"/>
        <v>0.2424242424</v>
      </c>
      <c r="G565" s="829">
        <f t="shared" si="269"/>
        <v>0.243902439</v>
      </c>
      <c r="H565" s="829">
        <f t="shared" si="269"/>
        <v>0.1960784314</v>
      </c>
      <c r="I565" s="813"/>
      <c r="J565" s="814"/>
      <c r="K565" s="814"/>
      <c r="L565" s="815" t="str">
        <f t="shared" si="266"/>
        <v>#REF!</v>
      </c>
      <c r="M565" s="814"/>
      <c r="N565" s="817" t="str">
        <f t="shared" si="267"/>
        <v>#REF!</v>
      </c>
      <c r="O565" s="817"/>
      <c r="P565" s="817"/>
      <c r="Q565" s="825"/>
      <c r="R565" s="817"/>
      <c r="S565" s="817"/>
      <c r="T565" s="817"/>
      <c r="U565" s="438"/>
      <c r="V565" s="438"/>
      <c r="W565" s="821"/>
      <c r="X565" s="440"/>
      <c r="Y565" s="440"/>
      <c r="Z565" s="440"/>
      <c r="AA565" s="440"/>
      <c r="AB565" s="440"/>
      <c r="AC565" s="440"/>
      <c r="AD565" s="440"/>
      <c r="AE565" s="438"/>
      <c r="AF565" s="438"/>
      <c r="AG565" s="438"/>
      <c r="AH565" s="438"/>
      <c r="AI565" s="438"/>
      <c r="AJ565" s="438"/>
      <c r="AK565" s="438"/>
      <c r="AL565" s="438"/>
      <c r="AM565" s="438"/>
      <c r="AN565" s="438"/>
      <c r="AO565" s="438"/>
      <c r="AP565" s="438"/>
      <c r="AQ565" s="438"/>
      <c r="AR565" s="438"/>
      <c r="AS565" s="438"/>
      <c r="AT565" s="438"/>
      <c r="AU565" s="438"/>
      <c r="AV565" s="438"/>
      <c r="AW565" s="441"/>
      <c r="AX565" s="441"/>
      <c r="AY565" s="441"/>
      <c r="AZ565" s="441"/>
      <c r="BA565" s="441"/>
      <c r="BB565" s="441"/>
      <c r="BC565" s="441"/>
      <c r="BD565" s="441"/>
      <c r="BE565" s="441"/>
      <c r="BF565" s="441"/>
    </row>
    <row r="566" hidden="1" outlineLevel="1">
      <c r="A566" s="822" t="s">
        <v>761</v>
      </c>
      <c r="B566" s="823">
        <v>3.0</v>
      </c>
      <c r="C566" s="824"/>
      <c r="D566" s="829"/>
      <c r="E566" s="829"/>
      <c r="F566" s="829"/>
      <c r="G566" s="829"/>
      <c r="H566" s="829"/>
      <c r="I566" s="813"/>
      <c r="J566" s="814"/>
      <c r="K566" s="814"/>
      <c r="L566" s="815" t="str">
        <f t="shared" si="266"/>
        <v>#REF!</v>
      </c>
      <c r="M566" s="814"/>
      <c r="N566" s="817" t="str">
        <f t="shared" si="267"/>
        <v>#REF!</v>
      </c>
      <c r="O566" s="817"/>
      <c r="P566" s="817"/>
      <c r="Q566" s="825"/>
      <c r="R566" s="817"/>
      <c r="S566" s="817"/>
      <c r="T566" s="817"/>
      <c r="U566" s="438"/>
      <c r="V566" s="438"/>
      <c r="W566" s="821"/>
      <c r="X566" s="440"/>
      <c r="Y566" s="440"/>
      <c r="Z566" s="440"/>
      <c r="AA566" s="440"/>
      <c r="AB566" s="440"/>
      <c r="AC566" s="440"/>
      <c r="AD566" s="440"/>
      <c r="AE566" s="438"/>
      <c r="AF566" s="438"/>
      <c r="AG566" s="438"/>
      <c r="AH566" s="438"/>
      <c r="AI566" s="438"/>
      <c r="AJ566" s="438"/>
      <c r="AK566" s="438"/>
      <c r="AL566" s="438"/>
      <c r="AM566" s="438"/>
      <c r="AN566" s="438"/>
      <c r="AO566" s="438"/>
      <c r="AP566" s="438"/>
      <c r="AQ566" s="438"/>
      <c r="AR566" s="438"/>
      <c r="AS566" s="438"/>
      <c r="AT566" s="438"/>
      <c r="AU566" s="438"/>
      <c r="AV566" s="438"/>
      <c r="AW566" s="441"/>
      <c r="AX566" s="441"/>
      <c r="AY566" s="441"/>
      <c r="AZ566" s="441"/>
      <c r="BA566" s="441"/>
      <c r="BB566" s="441"/>
      <c r="BC566" s="441"/>
      <c r="BD566" s="441"/>
      <c r="BE566" s="441"/>
      <c r="BF566" s="441"/>
    </row>
    <row r="567" hidden="1" outlineLevel="1">
      <c r="A567" s="822" t="s">
        <v>762</v>
      </c>
      <c r="B567" s="830">
        <f t="shared" ref="B567:H567" si="270">B564/$B566</f>
        <v>2.166666667</v>
      </c>
      <c r="C567" s="831">
        <f t="shared" si="270"/>
        <v>3.166666667</v>
      </c>
      <c r="D567" s="831">
        <f t="shared" si="270"/>
        <v>4.166666667</v>
      </c>
      <c r="E567" s="831">
        <f t="shared" si="270"/>
        <v>5.5</v>
      </c>
      <c r="F567" s="831">
        <f t="shared" si="270"/>
        <v>6.833333333</v>
      </c>
      <c r="G567" s="831">
        <f t="shared" si="270"/>
        <v>8.5</v>
      </c>
      <c r="H567" s="831">
        <f t="shared" si="270"/>
        <v>10.16666667</v>
      </c>
      <c r="I567" s="813"/>
      <c r="J567" s="814"/>
      <c r="K567" s="814"/>
      <c r="L567" s="815" t="str">
        <f t="shared" si="266"/>
        <v>#REF!</v>
      </c>
      <c r="M567" s="814"/>
      <c r="N567" s="817" t="str">
        <f t="shared" si="267"/>
        <v>#REF!</v>
      </c>
      <c r="O567" s="817"/>
      <c r="P567" s="817"/>
      <c r="Q567" s="825"/>
      <c r="R567" s="817"/>
      <c r="S567" s="817"/>
      <c r="T567" s="817"/>
      <c r="U567" s="438"/>
      <c r="V567" s="438"/>
      <c r="W567" s="821"/>
      <c r="X567" s="440"/>
      <c r="Y567" s="440"/>
      <c r="Z567" s="440"/>
      <c r="AA567" s="440"/>
      <c r="AB567" s="440"/>
      <c r="AC567" s="440"/>
      <c r="AD567" s="440"/>
      <c r="AE567" s="438"/>
      <c r="AF567" s="438"/>
      <c r="AG567" s="438"/>
      <c r="AH567" s="438"/>
      <c r="AI567" s="438"/>
      <c r="AJ567" s="438"/>
      <c r="AK567" s="438"/>
      <c r="AL567" s="438"/>
      <c r="AM567" s="438"/>
      <c r="AN567" s="438"/>
      <c r="AO567" s="438"/>
      <c r="AP567" s="438"/>
      <c r="AQ567" s="438"/>
      <c r="AR567" s="438"/>
      <c r="AS567" s="438"/>
      <c r="AT567" s="438"/>
      <c r="AU567" s="438"/>
      <c r="AV567" s="438"/>
      <c r="AW567" s="441"/>
      <c r="AX567" s="441"/>
      <c r="AY567" s="441"/>
      <c r="AZ567" s="441"/>
      <c r="BA567" s="441"/>
      <c r="BB567" s="441"/>
      <c r="BC567" s="441"/>
      <c r="BD567" s="441"/>
      <c r="BE567" s="441"/>
      <c r="BF567" s="441"/>
    </row>
    <row r="568" collapsed="1">
      <c r="A568" s="810" t="s">
        <v>1157</v>
      </c>
      <c r="B568" s="832" t="s">
        <v>798</v>
      </c>
      <c r="C568" s="833" t="s">
        <v>935</v>
      </c>
      <c r="D568" s="833" t="s">
        <v>777</v>
      </c>
      <c r="E568" s="833" t="s">
        <v>1074</v>
      </c>
      <c r="F568" s="833" t="s">
        <v>950</v>
      </c>
      <c r="G568" s="833" t="s">
        <v>939</v>
      </c>
      <c r="H568" s="833" t="s">
        <v>1082</v>
      </c>
      <c r="I568" s="813" t="s">
        <v>779</v>
      </c>
      <c r="J568" s="814">
        <v>-5.0</v>
      </c>
      <c r="K568" s="814">
        <v>4.0</v>
      </c>
      <c r="L568" s="815">
        <f>VLOOKUP(A568,'Плотник'!$B$172:$G$175,6,FALSE)</f>
        <v>0.57</v>
      </c>
      <c r="M568" s="816" t="s">
        <v>789</v>
      </c>
      <c r="N568" s="817">
        <f>VLOOKUP(A568,'Плотник'!$B$172:$G$175,4,FALSE)</f>
        <v>6</v>
      </c>
      <c r="O568" s="817">
        <v>14.0</v>
      </c>
      <c r="P568" s="817" t="s">
        <v>988</v>
      </c>
      <c r="Q568" s="818"/>
      <c r="R568" s="819" t="s">
        <v>1155</v>
      </c>
      <c r="S568" s="820">
        <v>120.0</v>
      </c>
      <c r="T568" s="820">
        <v>30.0</v>
      </c>
      <c r="U568" s="438"/>
      <c r="V568" s="438"/>
      <c r="W568" s="821" t="s">
        <v>1156</v>
      </c>
      <c r="X568" s="440">
        <v>0.0</v>
      </c>
      <c r="Y568" s="440">
        <v>0.0</v>
      </c>
      <c r="Z568" s="440">
        <v>0.0</v>
      </c>
      <c r="AA568" s="440">
        <v>0.0</v>
      </c>
      <c r="AB568" s="440">
        <v>0.0</v>
      </c>
      <c r="AC568" s="440">
        <v>0.0</v>
      </c>
      <c r="AD568" s="440">
        <v>0.0</v>
      </c>
      <c r="AE568" s="438"/>
      <c r="AF568" s="438"/>
      <c r="AG568" s="438"/>
      <c r="AH568" s="438"/>
      <c r="AI568" s="438"/>
      <c r="AJ568" s="438"/>
      <c r="AK568" s="438"/>
      <c r="AL568" s="438"/>
      <c r="AM568" s="438"/>
      <c r="AN568" s="438"/>
      <c r="AO568" s="438"/>
      <c r="AP568" s="438"/>
      <c r="AQ568" s="438"/>
      <c r="AR568" s="438"/>
      <c r="AS568" s="438"/>
      <c r="AT568" s="438"/>
      <c r="AU568" s="438"/>
      <c r="AV568" s="438"/>
      <c r="AW568" s="441"/>
      <c r="AX568" s="441"/>
      <c r="AY568" s="441"/>
      <c r="AZ568" s="441"/>
      <c r="BA568" s="441"/>
      <c r="BB568" s="441"/>
      <c r="BC568" s="441"/>
      <c r="BD568" s="441"/>
      <c r="BE568" s="441"/>
      <c r="BF568" s="441"/>
    </row>
    <row r="569" hidden="1" outlineLevel="1">
      <c r="A569" s="822" t="s">
        <v>756</v>
      </c>
      <c r="B569" s="834">
        <v>1.0</v>
      </c>
      <c r="C569" s="834">
        <v>1.0</v>
      </c>
      <c r="D569" s="834">
        <v>1.0</v>
      </c>
      <c r="E569" s="834">
        <v>1.0</v>
      </c>
      <c r="F569" s="834">
        <v>1.0</v>
      </c>
      <c r="G569" s="834">
        <v>1.0</v>
      </c>
      <c r="H569" s="834">
        <v>2.0</v>
      </c>
      <c r="I569" s="813"/>
      <c r="J569" s="814"/>
      <c r="K569" s="814"/>
      <c r="L569" s="815" t="str">
        <f>VLOOKUP(A569,'Плотник'!$B$172:$G$175,6,FALSE)</f>
        <v>#N/A</v>
      </c>
      <c r="M569" s="814"/>
      <c r="N569" s="817" t="str">
        <f>VLOOKUP(A569,'Плотник'!$B$172:$G$175,4,FALSE)</f>
        <v>#N/A</v>
      </c>
      <c r="O569" s="817"/>
      <c r="P569" s="817" t="s">
        <v>988</v>
      </c>
      <c r="Q569" s="818"/>
      <c r="R569" s="819" t="s">
        <v>1155</v>
      </c>
      <c r="S569" s="817"/>
      <c r="T569" s="817"/>
      <c r="U569" s="438"/>
      <c r="V569" s="438"/>
      <c r="W569" s="821"/>
      <c r="X569" s="440"/>
      <c r="Y569" s="440"/>
      <c r="Z569" s="440"/>
      <c r="AA569" s="440"/>
      <c r="AB569" s="440"/>
      <c r="AC569" s="440"/>
      <c r="AD569" s="440"/>
      <c r="AE569" s="438"/>
      <c r="AF569" s="438"/>
      <c r="AG569" s="438"/>
      <c r="AH569" s="438"/>
      <c r="AI569" s="438"/>
      <c r="AJ569" s="438"/>
      <c r="AK569" s="438"/>
      <c r="AL569" s="438"/>
      <c r="AM569" s="438"/>
      <c r="AN569" s="438"/>
      <c r="AO569" s="438"/>
      <c r="AP569" s="438"/>
      <c r="AQ569" s="438"/>
      <c r="AR569" s="438"/>
      <c r="AS569" s="438"/>
      <c r="AT569" s="438"/>
      <c r="AU569" s="438"/>
      <c r="AV569" s="438"/>
      <c r="AW569" s="441"/>
      <c r="AX569" s="441"/>
      <c r="AY569" s="441"/>
      <c r="AZ569" s="441"/>
      <c r="BA569" s="441"/>
      <c r="BB569" s="441"/>
      <c r="BC569" s="441"/>
      <c r="BD569" s="441"/>
      <c r="BE569" s="441"/>
      <c r="BF569" s="441"/>
    </row>
    <row r="570" hidden="1" outlineLevel="1">
      <c r="A570" s="822" t="s">
        <v>757</v>
      </c>
      <c r="B570" s="834">
        <v>8.0</v>
      </c>
      <c r="C570" s="834">
        <v>8.0</v>
      </c>
      <c r="D570" s="834">
        <v>10.0</v>
      </c>
      <c r="E570" s="834">
        <v>10.0</v>
      </c>
      <c r="F570" s="834">
        <v>12.0</v>
      </c>
      <c r="G570" s="834">
        <v>12.0</v>
      </c>
      <c r="H570" s="834">
        <v>16.0</v>
      </c>
      <c r="I570" s="813"/>
      <c r="J570" s="814"/>
      <c r="K570" s="814"/>
      <c r="L570" s="815" t="str">
        <f>VLOOKUP(A570,'Плотник'!$B$172:$G$175,6,FALSE)</f>
        <v>#N/A</v>
      </c>
      <c r="M570" s="814"/>
      <c r="N570" s="817" t="str">
        <f>VLOOKUP(A570,'Плотник'!$B$172:$G$175,4,FALSE)</f>
        <v>#N/A</v>
      </c>
      <c r="O570" s="817"/>
      <c r="P570" s="817" t="s">
        <v>988</v>
      </c>
      <c r="Q570" s="818"/>
      <c r="R570" s="819" t="s">
        <v>1155</v>
      </c>
      <c r="S570" s="817"/>
      <c r="T570" s="817"/>
      <c r="U570" s="438"/>
      <c r="V570" s="438"/>
      <c r="W570" s="821"/>
      <c r="X570" s="440"/>
      <c r="Y570" s="440"/>
      <c r="Z570" s="440"/>
      <c r="AA570" s="440"/>
      <c r="AB570" s="440"/>
      <c r="AC570" s="440"/>
      <c r="AD570" s="440"/>
      <c r="AE570" s="438"/>
      <c r="AF570" s="438"/>
      <c r="AG570" s="438"/>
      <c r="AH570" s="438"/>
      <c r="AI570" s="438"/>
      <c r="AJ570" s="438"/>
      <c r="AK570" s="438"/>
      <c r="AL570" s="438"/>
      <c r="AM570" s="438"/>
      <c r="AN570" s="438"/>
      <c r="AO570" s="438"/>
      <c r="AP570" s="438"/>
      <c r="AQ570" s="438"/>
      <c r="AR570" s="438"/>
      <c r="AS570" s="438"/>
      <c r="AT570" s="438"/>
      <c r="AU570" s="438"/>
      <c r="AV570" s="438"/>
      <c r="AW570" s="441"/>
      <c r="AX570" s="441"/>
      <c r="AY570" s="441"/>
      <c r="AZ570" s="441"/>
      <c r="BA570" s="441"/>
      <c r="BB570" s="441"/>
      <c r="BC570" s="441"/>
      <c r="BD570" s="441"/>
      <c r="BE570" s="441"/>
      <c r="BF570" s="441"/>
    </row>
    <row r="571" hidden="1" outlineLevel="1">
      <c r="A571" s="822" t="s">
        <v>758</v>
      </c>
      <c r="B571" s="835">
        <v>5.0</v>
      </c>
      <c r="C571" s="835">
        <v>9.0</v>
      </c>
      <c r="D571" s="835">
        <v>12.0</v>
      </c>
      <c r="E571" s="835">
        <v>17.0</v>
      </c>
      <c r="F571" s="835">
        <v>21.0</v>
      </c>
      <c r="G571" s="835">
        <v>27.0</v>
      </c>
      <c r="H571" s="835">
        <v>31.0</v>
      </c>
      <c r="I571" s="813"/>
      <c r="J571" s="814"/>
      <c r="K571" s="814"/>
      <c r="L571" s="815" t="str">
        <f>VLOOKUP(A571,'Плотник'!$B$172:$G$175,6,FALSE)</f>
        <v>#N/A</v>
      </c>
      <c r="M571" s="814"/>
      <c r="N571" s="817" t="str">
        <f>VLOOKUP(A571,'Плотник'!$B$172:$G$175,4,FALSE)</f>
        <v>#N/A</v>
      </c>
      <c r="O571" s="817"/>
      <c r="P571" s="817" t="s">
        <v>988</v>
      </c>
      <c r="Q571" s="818"/>
      <c r="R571" s="819" t="s">
        <v>1155</v>
      </c>
      <c r="S571" s="817"/>
      <c r="T571" s="817"/>
      <c r="U571" s="438"/>
      <c r="V571" s="438"/>
      <c r="W571" s="821"/>
      <c r="X571" s="440"/>
      <c r="Y571" s="440"/>
      <c r="Z571" s="440"/>
      <c r="AA571" s="440"/>
      <c r="AB571" s="440"/>
      <c r="AC571" s="440"/>
      <c r="AD571" s="440"/>
      <c r="AE571" s="438"/>
      <c r="AF571" s="438"/>
      <c r="AG571" s="438"/>
      <c r="AH571" s="438"/>
      <c r="AI571" s="438"/>
      <c r="AJ571" s="438"/>
      <c r="AK571" s="438"/>
      <c r="AL571" s="438"/>
      <c r="AM571" s="438"/>
      <c r="AN571" s="438"/>
      <c r="AO571" s="438"/>
      <c r="AP571" s="438"/>
      <c r="AQ571" s="438"/>
      <c r="AR571" s="438"/>
      <c r="AS571" s="438"/>
      <c r="AT571" s="438"/>
      <c r="AU571" s="438"/>
      <c r="AV571" s="438"/>
      <c r="AW571" s="441"/>
      <c r="AX571" s="441"/>
      <c r="AY571" s="441"/>
      <c r="AZ571" s="441"/>
      <c r="BA571" s="441"/>
      <c r="BB571" s="441"/>
      <c r="BC571" s="441"/>
      <c r="BD571" s="441"/>
      <c r="BE571" s="441"/>
      <c r="BF571" s="441"/>
    </row>
    <row r="572" hidden="1" outlineLevel="1">
      <c r="A572" s="822" t="s">
        <v>759</v>
      </c>
      <c r="B572" s="834">
        <f t="shared" ref="B572:H572" si="271">(B569+B570)/2+B571</f>
        <v>9.5</v>
      </c>
      <c r="C572" s="834">
        <f t="shared" si="271"/>
        <v>13.5</v>
      </c>
      <c r="D572" s="834">
        <f t="shared" si="271"/>
        <v>17.5</v>
      </c>
      <c r="E572" s="834">
        <f t="shared" si="271"/>
        <v>22.5</v>
      </c>
      <c r="F572" s="834">
        <f t="shared" si="271"/>
        <v>27.5</v>
      </c>
      <c r="G572" s="834">
        <f t="shared" si="271"/>
        <v>33.5</v>
      </c>
      <c r="H572" s="834">
        <f t="shared" si="271"/>
        <v>40</v>
      </c>
      <c r="I572" s="813"/>
      <c r="J572" s="814"/>
      <c r="K572" s="814"/>
      <c r="L572" s="815" t="str">
        <f>VLOOKUP(A572,'Плотник'!$B$172:$G$175,6,FALSE)</f>
        <v>#N/A</v>
      </c>
      <c r="M572" s="814"/>
      <c r="N572" s="817" t="str">
        <f>VLOOKUP(A572,'Плотник'!$B$172:$G$175,4,FALSE)</f>
        <v>#N/A</v>
      </c>
      <c r="O572" s="817"/>
      <c r="P572" s="817" t="s">
        <v>988</v>
      </c>
      <c r="Q572" s="818"/>
      <c r="R572" s="819" t="s">
        <v>1155</v>
      </c>
      <c r="S572" s="817"/>
      <c r="T572" s="817"/>
      <c r="U572" s="438"/>
      <c r="V572" s="438"/>
      <c r="W572" s="821"/>
      <c r="X572" s="440"/>
      <c r="Y572" s="440"/>
      <c r="Z572" s="440"/>
      <c r="AA572" s="440"/>
      <c r="AB572" s="440"/>
      <c r="AC572" s="440"/>
      <c r="AD572" s="440"/>
      <c r="AE572" s="438"/>
      <c r="AF572" s="438"/>
      <c r="AG572" s="438"/>
      <c r="AH572" s="438"/>
      <c r="AI572" s="438"/>
      <c r="AJ572" s="438"/>
      <c r="AK572" s="438"/>
      <c r="AL572" s="438"/>
      <c r="AM572" s="438"/>
      <c r="AN572" s="438"/>
      <c r="AO572" s="438"/>
      <c r="AP572" s="438"/>
      <c r="AQ572" s="438"/>
      <c r="AR572" s="438"/>
      <c r="AS572" s="438"/>
      <c r="AT572" s="438"/>
      <c r="AU572" s="438"/>
      <c r="AV572" s="438"/>
      <c r="AW572" s="441"/>
      <c r="AX572" s="441"/>
      <c r="AY572" s="441"/>
      <c r="AZ572" s="441"/>
      <c r="BA572" s="441"/>
      <c r="BB572" s="441"/>
      <c r="BC572" s="441"/>
      <c r="BD572" s="441"/>
      <c r="BE572" s="441"/>
      <c r="BF572" s="441"/>
    </row>
    <row r="573" hidden="1" outlineLevel="1">
      <c r="A573" s="822" t="s">
        <v>760</v>
      </c>
      <c r="B573" s="836"/>
      <c r="C573" s="836">
        <f t="shared" ref="C573:H573" si="272">C572/B572-1</f>
        <v>0.4210526316</v>
      </c>
      <c r="D573" s="836">
        <f t="shared" si="272"/>
        <v>0.2962962963</v>
      </c>
      <c r="E573" s="836">
        <f t="shared" si="272"/>
        <v>0.2857142857</v>
      </c>
      <c r="F573" s="836">
        <f t="shared" si="272"/>
        <v>0.2222222222</v>
      </c>
      <c r="G573" s="836">
        <f t="shared" si="272"/>
        <v>0.2181818182</v>
      </c>
      <c r="H573" s="836">
        <f t="shared" si="272"/>
        <v>0.1940298507</v>
      </c>
      <c r="I573" s="813"/>
      <c r="J573" s="814"/>
      <c r="K573" s="814"/>
      <c r="L573" s="815" t="str">
        <f>VLOOKUP(A573,'Плотник'!$B$172:$G$175,6,FALSE)</f>
        <v>#N/A</v>
      </c>
      <c r="M573" s="814"/>
      <c r="N573" s="817" t="str">
        <f>VLOOKUP(A573,'Плотник'!$B$172:$G$175,4,FALSE)</f>
        <v>#N/A</v>
      </c>
      <c r="O573" s="817"/>
      <c r="P573" s="817" t="s">
        <v>988</v>
      </c>
      <c r="Q573" s="818"/>
      <c r="R573" s="819" t="s">
        <v>1155</v>
      </c>
      <c r="S573" s="817"/>
      <c r="T573" s="817"/>
      <c r="U573" s="438"/>
      <c r="V573" s="438"/>
      <c r="W573" s="821"/>
      <c r="X573" s="440"/>
      <c r="Y573" s="440"/>
      <c r="Z573" s="440"/>
      <c r="AA573" s="440"/>
      <c r="AB573" s="440"/>
      <c r="AC573" s="440"/>
      <c r="AD573" s="440"/>
      <c r="AE573" s="438"/>
      <c r="AF573" s="438"/>
      <c r="AG573" s="438"/>
      <c r="AH573" s="438"/>
      <c r="AI573" s="438"/>
      <c r="AJ573" s="438"/>
      <c r="AK573" s="438"/>
      <c r="AL573" s="438"/>
      <c r="AM573" s="438"/>
      <c r="AN573" s="438"/>
      <c r="AO573" s="438"/>
      <c r="AP573" s="438"/>
      <c r="AQ573" s="438"/>
      <c r="AR573" s="438"/>
      <c r="AS573" s="438"/>
      <c r="AT573" s="438"/>
      <c r="AU573" s="438"/>
      <c r="AV573" s="438"/>
      <c r="AW573" s="441"/>
      <c r="AX573" s="441"/>
      <c r="AY573" s="441"/>
      <c r="AZ573" s="441"/>
      <c r="BA573" s="441"/>
      <c r="BB573" s="441"/>
      <c r="BC573" s="441"/>
      <c r="BD573" s="441"/>
      <c r="BE573" s="441"/>
      <c r="BF573" s="441"/>
    </row>
    <row r="574" hidden="1" outlineLevel="1">
      <c r="A574" s="822" t="s">
        <v>761</v>
      </c>
      <c r="B574" s="834">
        <v>4.0</v>
      </c>
      <c r="C574" s="834"/>
      <c r="D574" s="836"/>
      <c r="E574" s="836"/>
      <c r="F574" s="836"/>
      <c r="G574" s="836"/>
      <c r="H574" s="836"/>
      <c r="I574" s="813"/>
      <c r="J574" s="814"/>
      <c r="K574" s="814"/>
      <c r="L574" s="815" t="str">
        <f>VLOOKUP(A574,'Плотник'!$B$172:$G$175,6,FALSE)</f>
        <v>#N/A</v>
      </c>
      <c r="M574" s="814"/>
      <c r="N574" s="817" t="str">
        <f>VLOOKUP(A574,'Плотник'!$B$172:$G$175,4,FALSE)</f>
        <v>#N/A</v>
      </c>
      <c r="O574" s="817"/>
      <c r="P574" s="817" t="s">
        <v>988</v>
      </c>
      <c r="Q574" s="818"/>
      <c r="R574" s="819" t="s">
        <v>1155</v>
      </c>
      <c r="S574" s="817"/>
      <c r="T574" s="817"/>
      <c r="U574" s="438"/>
      <c r="V574" s="438"/>
      <c r="W574" s="821"/>
      <c r="X574" s="440"/>
      <c r="Y574" s="440"/>
      <c r="Z574" s="440"/>
      <c r="AA574" s="440"/>
      <c r="AB574" s="440"/>
      <c r="AC574" s="440"/>
      <c r="AD574" s="440"/>
      <c r="AE574" s="438"/>
      <c r="AF574" s="438"/>
      <c r="AG574" s="438"/>
      <c r="AH574" s="438"/>
      <c r="AI574" s="438"/>
      <c r="AJ574" s="438"/>
      <c r="AK574" s="438"/>
      <c r="AL574" s="438"/>
      <c r="AM574" s="438"/>
      <c r="AN574" s="438"/>
      <c r="AO574" s="438"/>
      <c r="AP574" s="438"/>
      <c r="AQ574" s="438"/>
      <c r="AR574" s="438"/>
      <c r="AS574" s="438"/>
      <c r="AT574" s="438"/>
      <c r="AU574" s="438"/>
      <c r="AV574" s="438"/>
      <c r="AW574" s="441"/>
      <c r="AX574" s="441"/>
      <c r="AY574" s="441"/>
      <c r="AZ574" s="441"/>
      <c r="BA574" s="441"/>
      <c r="BB574" s="441"/>
      <c r="BC574" s="441"/>
      <c r="BD574" s="441"/>
      <c r="BE574" s="441"/>
      <c r="BF574" s="441"/>
    </row>
    <row r="575" hidden="1" outlineLevel="1">
      <c r="A575" s="822" t="s">
        <v>762</v>
      </c>
      <c r="B575" s="837">
        <f t="shared" ref="B575:H575" si="273">B572/$B574</f>
        <v>2.375</v>
      </c>
      <c r="C575" s="837">
        <f t="shared" si="273"/>
        <v>3.375</v>
      </c>
      <c r="D575" s="837">
        <f t="shared" si="273"/>
        <v>4.375</v>
      </c>
      <c r="E575" s="837">
        <f t="shared" si="273"/>
        <v>5.625</v>
      </c>
      <c r="F575" s="837">
        <f t="shared" si="273"/>
        <v>6.875</v>
      </c>
      <c r="G575" s="837">
        <f t="shared" si="273"/>
        <v>8.375</v>
      </c>
      <c r="H575" s="837">
        <f t="shared" si="273"/>
        <v>10</v>
      </c>
      <c r="I575" s="813"/>
      <c r="J575" s="814"/>
      <c r="K575" s="814"/>
      <c r="L575" s="815" t="str">
        <f>VLOOKUP(A575,'Плотник'!$B$172:$G$175,6,FALSE)</f>
        <v>#N/A</v>
      </c>
      <c r="M575" s="814"/>
      <c r="N575" s="817" t="str">
        <f>VLOOKUP(A575,'Плотник'!$B$172:$G$175,4,FALSE)</f>
        <v>#N/A</v>
      </c>
      <c r="O575" s="817"/>
      <c r="P575" s="817" t="s">
        <v>988</v>
      </c>
      <c r="Q575" s="818"/>
      <c r="R575" s="819" t="s">
        <v>1155</v>
      </c>
      <c r="S575" s="817"/>
      <c r="T575" s="817"/>
      <c r="U575" s="438"/>
      <c r="V575" s="438"/>
      <c r="W575" s="821"/>
      <c r="X575" s="440"/>
      <c r="Y575" s="440"/>
      <c r="Z575" s="440"/>
      <c r="AA575" s="440"/>
      <c r="AB575" s="440"/>
      <c r="AC575" s="440"/>
      <c r="AD575" s="440"/>
      <c r="AE575" s="438"/>
      <c r="AF575" s="438"/>
      <c r="AG575" s="438"/>
      <c r="AH575" s="438"/>
      <c r="AI575" s="438"/>
      <c r="AJ575" s="438"/>
      <c r="AK575" s="438"/>
      <c r="AL575" s="438"/>
      <c r="AM575" s="438"/>
      <c r="AN575" s="438"/>
      <c r="AO575" s="438"/>
      <c r="AP575" s="438"/>
      <c r="AQ575" s="438"/>
      <c r="AR575" s="438"/>
      <c r="AS575" s="438"/>
      <c r="AT575" s="438"/>
      <c r="AU575" s="438"/>
      <c r="AV575" s="438"/>
      <c r="AW575" s="441"/>
      <c r="AX575" s="441"/>
      <c r="AY575" s="441"/>
      <c r="AZ575" s="441"/>
      <c r="BA575" s="441"/>
      <c r="BB575" s="441"/>
      <c r="BC575" s="441"/>
      <c r="BD575" s="441"/>
      <c r="BE575" s="441"/>
      <c r="BF575" s="441"/>
    </row>
    <row r="576" collapsed="1">
      <c r="A576" s="838" t="s">
        <v>1158</v>
      </c>
      <c r="B576" s="811" t="s">
        <v>934</v>
      </c>
      <c r="C576" s="812" t="s">
        <v>1159</v>
      </c>
      <c r="D576" s="812" t="s">
        <v>809</v>
      </c>
      <c r="E576" s="812" t="s">
        <v>1160</v>
      </c>
      <c r="F576" s="812" t="s">
        <v>1161</v>
      </c>
      <c r="G576" s="812" t="s">
        <v>959</v>
      </c>
      <c r="H576" s="812" t="s">
        <v>1162</v>
      </c>
      <c r="I576" s="813" t="s">
        <v>754</v>
      </c>
      <c r="J576" s="814">
        <v>-5.0</v>
      </c>
      <c r="K576" s="814">
        <v>3.0</v>
      </c>
      <c r="L576" s="815">
        <f>VLOOKUP(A576,'Плотник'!$B$172:$G$175,6,FALSE)</f>
        <v>1.36</v>
      </c>
      <c r="M576" s="816" t="s">
        <v>1163</v>
      </c>
      <c r="N576" s="817">
        <f>VLOOKUP(A576,'Плотник'!$B$172:$G$175,4,FALSE)</f>
        <v>5</v>
      </c>
      <c r="O576" s="817">
        <v>12.0</v>
      </c>
      <c r="P576" s="817" t="s">
        <v>988</v>
      </c>
      <c r="Q576" s="818"/>
      <c r="R576" s="819" t="s">
        <v>1155</v>
      </c>
      <c r="S576" s="820">
        <v>64.0</v>
      </c>
      <c r="T576" s="820">
        <v>16.0</v>
      </c>
      <c r="U576" s="438"/>
      <c r="V576" s="438"/>
      <c r="W576" s="821" t="s">
        <v>1156</v>
      </c>
      <c r="X576" s="440">
        <v>0.0</v>
      </c>
      <c r="Y576" s="440">
        <v>0.0</v>
      </c>
      <c r="Z576" s="440">
        <v>0.0</v>
      </c>
      <c r="AA576" s="440">
        <v>0.0</v>
      </c>
      <c r="AB576" s="440">
        <v>0.0</v>
      </c>
      <c r="AC576" s="440">
        <v>0.0</v>
      </c>
      <c r="AD576" s="440">
        <v>0.0</v>
      </c>
      <c r="AE576" s="438"/>
      <c r="AF576" s="438"/>
      <c r="AG576" s="438"/>
      <c r="AH576" s="438"/>
      <c r="AI576" s="438"/>
      <c r="AJ576" s="438"/>
      <c r="AK576" s="438"/>
      <c r="AL576" s="438"/>
      <c r="AM576" s="438"/>
      <c r="AN576" s="438"/>
      <c r="AO576" s="438"/>
      <c r="AP576" s="438"/>
      <c r="AQ576" s="438"/>
      <c r="AR576" s="438"/>
      <c r="AS576" s="438"/>
      <c r="AT576" s="438"/>
      <c r="AU576" s="438"/>
      <c r="AV576" s="438"/>
      <c r="AW576" s="441"/>
      <c r="AX576" s="441"/>
      <c r="AY576" s="441"/>
      <c r="AZ576" s="441"/>
      <c r="BA576" s="441"/>
      <c r="BB576" s="441"/>
      <c r="BC576" s="441"/>
      <c r="BD576" s="441"/>
      <c r="BE576" s="441"/>
      <c r="BF576" s="441"/>
    </row>
    <row r="577" hidden="1" outlineLevel="1">
      <c r="A577" s="822" t="s">
        <v>756</v>
      </c>
      <c r="B577" s="834">
        <v>1.0</v>
      </c>
      <c r="C577" s="834">
        <v>1.0</v>
      </c>
      <c r="D577" s="834">
        <v>1.0</v>
      </c>
      <c r="E577" s="834">
        <v>1.0</v>
      </c>
      <c r="F577" s="834">
        <v>1.0</v>
      </c>
      <c r="G577" s="834">
        <v>1.0</v>
      </c>
      <c r="H577" s="834">
        <v>1.0</v>
      </c>
      <c r="I577" s="813"/>
      <c r="J577" s="814"/>
      <c r="K577" s="814"/>
      <c r="L577" s="815" t="str">
        <f>VLOOKUP(A577,'Плотник'!$B$172:$G$175,6,FALSE)</f>
        <v>#N/A</v>
      </c>
      <c r="M577" s="814"/>
      <c r="N577" s="817" t="str">
        <f>VLOOKUP(A577,'Плотник'!$B$172:$G$175,4,FALSE)</f>
        <v>#N/A</v>
      </c>
      <c r="O577" s="817"/>
      <c r="P577" s="817" t="s">
        <v>988</v>
      </c>
      <c r="Q577" s="818"/>
      <c r="R577" s="819" t="s">
        <v>1155</v>
      </c>
      <c r="S577" s="817"/>
      <c r="T577" s="817"/>
      <c r="U577" s="438"/>
      <c r="V577" s="438"/>
      <c r="W577" s="821"/>
      <c r="X577" s="440"/>
      <c r="Y577" s="440"/>
      <c r="Z577" s="440"/>
      <c r="AA577" s="440"/>
      <c r="AB577" s="440"/>
      <c r="AC577" s="440"/>
      <c r="AD577" s="440"/>
      <c r="AE577" s="438"/>
      <c r="AF577" s="438"/>
      <c r="AG577" s="438"/>
      <c r="AH577" s="438"/>
      <c r="AI577" s="438"/>
      <c r="AJ577" s="438"/>
      <c r="AK577" s="438"/>
      <c r="AL577" s="438"/>
      <c r="AM577" s="438"/>
      <c r="AN577" s="438"/>
      <c r="AO577" s="438"/>
      <c r="AP577" s="438"/>
      <c r="AQ577" s="438"/>
      <c r="AR577" s="438"/>
      <c r="AS577" s="438"/>
      <c r="AT577" s="438"/>
      <c r="AU577" s="438"/>
      <c r="AV577" s="438"/>
      <c r="AW577" s="441"/>
      <c r="AX577" s="441"/>
      <c r="AY577" s="441"/>
      <c r="AZ577" s="441"/>
      <c r="BA577" s="441"/>
      <c r="BB577" s="441"/>
      <c r="BC577" s="441"/>
      <c r="BD577" s="441"/>
      <c r="BE577" s="441"/>
      <c r="BF577" s="441"/>
    </row>
    <row r="578" hidden="1" outlineLevel="1">
      <c r="A578" s="822" t="s">
        <v>757</v>
      </c>
      <c r="B578" s="834">
        <v>6.0</v>
      </c>
      <c r="C578" s="834">
        <v>6.0</v>
      </c>
      <c r="D578" s="834">
        <v>8.0</v>
      </c>
      <c r="E578" s="834">
        <v>8.0</v>
      </c>
      <c r="F578" s="834">
        <v>10.0</v>
      </c>
      <c r="G578" s="834">
        <v>10.0</v>
      </c>
      <c r="H578" s="834">
        <v>12.0</v>
      </c>
      <c r="I578" s="813"/>
      <c r="J578" s="814"/>
      <c r="K578" s="814"/>
      <c r="L578" s="815" t="str">
        <f>VLOOKUP(A578,'Плотник'!$B$172:$G$175,6,FALSE)</f>
        <v>#N/A</v>
      </c>
      <c r="M578" s="814"/>
      <c r="N578" s="817" t="str">
        <f>VLOOKUP(A578,'Плотник'!$B$172:$G$175,4,FALSE)</f>
        <v>#N/A</v>
      </c>
      <c r="O578" s="817"/>
      <c r="P578" s="817" t="s">
        <v>988</v>
      </c>
      <c r="Q578" s="818"/>
      <c r="R578" s="819" t="s">
        <v>1155</v>
      </c>
      <c r="S578" s="817"/>
      <c r="T578" s="817"/>
      <c r="U578" s="438"/>
      <c r="V578" s="438"/>
      <c r="W578" s="821"/>
      <c r="X578" s="440"/>
      <c r="Y578" s="440"/>
      <c r="Z578" s="440"/>
      <c r="AA578" s="440"/>
      <c r="AB578" s="440"/>
      <c r="AC578" s="440"/>
      <c r="AD578" s="440"/>
      <c r="AE578" s="438"/>
      <c r="AF578" s="438"/>
      <c r="AG578" s="438"/>
      <c r="AH578" s="438"/>
      <c r="AI578" s="438"/>
      <c r="AJ578" s="438"/>
      <c r="AK578" s="438"/>
      <c r="AL578" s="438"/>
      <c r="AM578" s="438"/>
      <c r="AN578" s="438"/>
      <c r="AO578" s="438"/>
      <c r="AP578" s="438"/>
      <c r="AQ578" s="438"/>
      <c r="AR578" s="438"/>
      <c r="AS578" s="438"/>
      <c r="AT578" s="438"/>
      <c r="AU578" s="438"/>
      <c r="AV578" s="438"/>
      <c r="AW578" s="441"/>
      <c r="AX578" s="441"/>
      <c r="AY578" s="441"/>
      <c r="AZ578" s="441"/>
      <c r="BA578" s="441"/>
      <c r="BB578" s="441"/>
      <c r="BC578" s="441"/>
      <c r="BD578" s="441"/>
      <c r="BE578" s="441"/>
      <c r="BF578" s="441"/>
    </row>
    <row r="579" hidden="1" outlineLevel="1">
      <c r="A579" s="822" t="s">
        <v>758</v>
      </c>
      <c r="B579" s="835">
        <v>7.0</v>
      </c>
      <c r="C579" s="835">
        <v>10.0</v>
      </c>
      <c r="D579" s="835">
        <v>12.0</v>
      </c>
      <c r="E579" s="835">
        <v>16.0</v>
      </c>
      <c r="F579" s="835">
        <v>19.0</v>
      </c>
      <c r="G579" s="835">
        <v>24.0</v>
      </c>
      <c r="H579" s="835">
        <v>28.0</v>
      </c>
      <c r="I579" s="813"/>
      <c r="J579" s="814"/>
      <c r="K579" s="814"/>
      <c r="L579" s="815" t="str">
        <f>VLOOKUP(A579,'Плотник'!$B$172:$G$175,6,FALSE)</f>
        <v>#N/A</v>
      </c>
      <c r="M579" s="814"/>
      <c r="N579" s="817" t="str">
        <f>VLOOKUP(A579,'Плотник'!$B$172:$G$175,4,FALSE)</f>
        <v>#N/A</v>
      </c>
      <c r="O579" s="817"/>
      <c r="P579" s="817" t="s">
        <v>988</v>
      </c>
      <c r="Q579" s="818"/>
      <c r="R579" s="819" t="s">
        <v>1155</v>
      </c>
      <c r="S579" s="817"/>
      <c r="T579" s="817"/>
      <c r="U579" s="438"/>
      <c r="V579" s="438"/>
      <c r="W579" s="821"/>
      <c r="X579" s="440"/>
      <c r="Y579" s="440"/>
      <c r="Z579" s="440"/>
      <c r="AA579" s="440"/>
      <c r="AB579" s="440"/>
      <c r="AC579" s="440"/>
      <c r="AD579" s="440"/>
      <c r="AE579" s="438"/>
      <c r="AF579" s="438"/>
      <c r="AG579" s="438"/>
      <c r="AH579" s="438"/>
      <c r="AI579" s="438"/>
      <c r="AJ579" s="438"/>
      <c r="AK579" s="438"/>
      <c r="AL579" s="438"/>
      <c r="AM579" s="438"/>
      <c r="AN579" s="438"/>
      <c r="AO579" s="438"/>
      <c r="AP579" s="438"/>
      <c r="AQ579" s="438"/>
      <c r="AR579" s="438"/>
      <c r="AS579" s="438"/>
      <c r="AT579" s="438"/>
      <c r="AU579" s="438"/>
      <c r="AV579" s="438"/>
      <c r="AW579" s="441"/>
      <c r="AX579" s="441"/>
      <c r="AY579" s="441"/>
      <c r="AZ579" s="441"/>
      <c r="BA579" s="441"/>
      <c r="BB579" s="441"/>
      <c r="BC579" s="441"/>
      <c r="BD579" s="441"/>
      <c r="BE579" s="441"/>
      <c r="BF579" s="441"/>
    </row>
    <row r="580" hidden="1" outlineLevel="1">
      <c r="A580" s="822" t="s">
        <v>759</v>
      </c>
      <c r="B580" s="834">
        <f t="shared" ref="B580:H580" si="274">(B577+B578)/2+B579</f>
        <v>10.5</v>
      </c>
      <c r="C580" s="834">
        <f t="shared" si="274"/>
        <v>13.5</v>
      </c>
      <c r="D580" s="834">
        <f t="shared" si="274"/>
        <v>16.5</v>
      </c>
      <c r="E580" s="834">
        <f t="shared" si="274"/>
        <v>20.5</v>
      </c>
      <c r="F580" s="834">
        <f t="shared" si="274"/>
        <v>24.5</v>
      </c>
      <c r="G580" s="834">
        <f t="shared" si="274"/>
        <v>29.5</v>
      </c>
      <c r="H580" s="834">
        <f t="shared" si="274"/>
        <v>34.5</v>
      </c>
      <c r="I580" s="813"/>
      <c r="J580" s="814"/>
      <c r="K580" s="814"/>
      <c r="L580" s="815" t="str">
        <f>VLOOKUP(A580,'Плотник'!$B$172:$G$175,6,FALSE)</f>
        <v>#N/A</v>
      </c>
      <c r="M580" s="814"/>
      <c r="N580" s="817" t="str">
        <f>VLOOKUP(A580,'Плотник'!$B$172:$G$175,4,FALSE)</f>
        <v>#N/A</v>
      </c>
      <c r="O580" s="817"/>
      <c r="P580" s="817" t="s">
        <v>988</v>
      </c>
      <c r="Q580" s="818"/>
      <c r="R580" s="819" t="s">
        <v>1155</v>
      </c>
      <c r="S580" s="817"/>
      <c r="T580" s="817"/>
      <c r="U580" s="438"/>
      <c r="V580" s="438"/>
      <c r="W580" s="821"/>
      <c r="X580" s="440"/>
      <c r="Y580" s="440"/>
      <c r="Z580" s="440"/>
      <c r="AA580" s="440"/>
      <c r="AB580" s="440"/>
      <c r="AC580" s="440"/>
      <c r="AD580" s="440"/>
      <c r="AE580" s="438"/>
      <c r="AF580" s="438"/>
      <c r="AG580" s="438"/>
      <c r="AH580" s="438"/>
      <c r="AI580" s="438"/>
      <c r="AJ580" s="438"/>
      <c r="AK580" s="438"/>
      <c r="AL580" s="438"/>
      <c r="AM580" s="438"/>
      <c r="AN580" s="438"/>
      <c r="AO580" s="438"/>
      <c r="AP580" s="438"/>
      <c r="AQ580" s="438"/>
      <c r="AR580" s="438"/>
      <c r="AS580" s="438"/>
      <c r="AT580" s="438"/>
      <c r="AU580" s="438"/>
      <c r="AV580" s="438"/>
      <c r="AW580" s="441"/>
      <c r="AX580" s="441"/>
      <c r="AY580" s="441"/>
      <c r="AZ580" s="441"/>
      <c r="BA580" s="441"/>
      <c r="BB580" s="441"/>
      <c r="BC580" s="441"/>
      <c r="BD580" s="441"/>
      <c r="BE580" s="441"/>
      <c r="BF580" s="441"/>
    </row>
    <row r="581" hidden="1" outlineLevel="1">
      <c r="A581" s="822" t="s">
        <v>760</v>
      </c>
      <c r="B581" s="836"/>
      <c r="C581" s="836">
        <f t="shared" ref="C581:H581" si="275">C580/B580-1</f>
        <v>0.2857142857</v>
      </c>
      <c r="D581" s="836">
        <f t="shared" si="275"/>
        <v>0.2222222222</v>
      </c>
      <c r="E581" s="836">
        <f t="shared" si="275"/>
        <v>0.2424242424</v>
      </c>
      <c r="F581" s="836">
        <f t="shared" si="275"/>
        <v>0.1951219512</v>
      </c>
      <c r="G581" s="836">
        <f t="shared" si="275"/>
        <v>0.2040816327</v>
      </c>
      <c r="H581" s="836">
        <f t="shared" si="275"/>
        <v>0.1694915254</v>
      </c>
      <c r="I581" s="813"/>
      <c r="J581" s="814"/>
      <c r="K581" s="814"/>
      <c r="L581" s="815" t="str">
        <f>VLOOKUP(A581,'Плотник'!$B$172:$G$175,6,FALSE)</f>
        <v>#N/A</v>
      </c>
      <c r="M581" s="814"/>
      <c r="N581" s="817" t="str">
        <f>VLOOKUP(A581,'Плотник'!$B$172:$G$175,4,FALSE)</f>
        <v>#N/A</v>
      </c>
      <c r="O581" s="817"/>
      <c r="P581" s="817" t="s">
        <v>988</v>
      </c>
      <c r="Q581" s="818"/>
      <c r="R581" s="819" t="s">
        <v>1155</v>
      </c>
      <c r="S581" s="817"/>
      <c r="T581" s="817"/>
      <c r="U581" s="438"/>
      <c r="V581" s="438"/>
      <c r="W581" s="821"/>
      <c r="X581" s="440"/>
      <c r="Y581" s="440"/>
      <c r="Z581" s="440"/>
      <c r="AA581" s="440"/>
      <c r="AB581" s="440"/>
      <c r="AC581" s="440"/>
      <c r="AD581" s="440"/>
      <c r="AE581" s="438"/>
      <c r="AF581" s="438"/>
      <c r="AG581" s="438"/>
      <c r="AH581" s="438"/>
      <c r="AI581" s="438"/>
      <c r="AJ581" s="438"/>
      <c r="AK581" s="438"/>
      <c r="AL581" s="438"/>
      <c r="AM581" s="438"/>
      <c r="AN581" s="438"/>
      <c r="AO581" s="438"/>
      <c r="AP581" s="438"/>
      <c r="AQ581" s="438"/>
      <c r="AR581" s="438"/>
      <c r="AS581" s="438"/>
      <c r="AT581" s="438"/>
      <c r="AU581" s="438"/>
      <c r="AV581" s="438"/>
      <c r="AW581" s="441"/>
      <c r="AX581" s="441"/>
      <c r="AY581" s="441"/>
      <c r="AZ581" s="441"/>
      <c r="BA581" s="441"/>
      <c r="BB581" s="441"/>
      <c r="BC581" s="441"/>
      <c r="BD581" s="441"/>
      <c r="BE581" s="441"/>
      <c r="BF581" s="441"/>
    </row>
    <row r="582" hidden="1" outlineLevel="1">
      <c r="A582" s="822" t="s">
        <v>761</v>
      </c>
      <c r="B582" s="834">
        <v>3.0</v>
      </c>
      <c r="C582" s="834"/>
      <c r="D582" s="836"/>
      <c r="E582" s="836"/>
      <c r="F582" s="836"/>
      <c r="G582" s="836"/>
      <c r="H582" s="836"/>
      <c r="I582" s="813"/>
      <c r="J582" s="814"/>
      <c r="K582" s="814"/>
      <c r="L582" s="815" t="str">
        <f>VLOOKUP(A582,'Плотник'!$B$172:$G$175,6,FALSE)</f>
        <v>#N/A</v>
      </c>
      <c r="M582" s="814"/>
      <c r="N582" s="817" t="str">
        <f>VLOOKUP(A582,'Плотник'!$B$172:$G$175,4,FALSE)</f>
        <v>#N/A</v>
      </c>
      <c r="O582" s="817"/>
      <c r="P582" s="817" t="s">
        <v>988</v>
      </c>
      <c r="Q582" s="818"/>
      <c r="R582" s="819" t="s">
        <v>1155</v>
      </c>
      <c r="S582" s="817"/>
      <c r="T582" s="817"/>
      <c r="U582" s="438"/>
      <c r="V582" s="438"/>
      <c r="W582" s="821"/>
      <c r="X582" s="440"/>
      <c r="Y582" s="440"/>
      <c r="Z582" s="440"/>
      <c r="AA582" s="440"/>
      <c r="AB582" s="440"/>
      <c r="AC582" s="440"/>
      <c r="AD582" s="440"/>
      <c r="AE582" s="438"/>
      <c r="AF582" s="438"/>
      <c r="AG582" s="438"/>
      <c r="AH582" s="438"/>
      <c r="AI582" s="438"/>
      <c r="AJ582" s="438"/>
      <c r="AK582" s="438"/>
      <c r="AL582" s="438"/>
      <c r="AM582" s="438"/>
      <c r="AN582" s="438"/>
      <c r="AO582" s="438"/>
      <c r="AP582" s="438"/>
      <c r="AQ582" s="438"/>
      <c r="AR582" s="438"/>
      <c r="AS582" s="438"/>
      <c r="AT582" s="438"/>
      <c r="AU582" s="438"/>
      <c r="AV582" s="438"/>
      <c r="AW582" s="441"/>
      <c r="AX582" s="441"/>
      <c r="AY582" s="441"/>
      <c r="AZ582" s="441"/>
      <c r="BA582" s="441"/>
      <c r="BB582" s="441"/>
      <c r="BC582" s="441"/>
      <c r="BD582" s="441"/>
      <c r="BE582" s="441"/>
      <c r="BF582" s="441"/>
    </row>
    <row r="583" hidden="1" outlineLevel="1">
      <c r="A583" s="822" t="s">
        <v>762</v>
      </c>
      <c r="B583" s="837">
        <f t="shared" ref="B583:H583" si="276">B580/$B582</f>
        <v>3.5</v>
      </c>
      <c r="C583" s="837">
        <f t="shared" si="276"/>
        <v>4.5</v>
      </c>
      <c r="D583" s="837">
        <f t="shared" si="276"/>
        <v>5.5</v>
      </c>
      <c r="E583" s="837">
        <f t="shared" si="276"/>
        <v>6.833333333</v>
      </c>
      <c r="F583" s="837">
        <f t="shared" si="276"/>
        <v>8.166666667</v>
      </c>
      <c r="G583" s="837">
        <f t="shared" si="276"/>
        <v>9.833333333</v>
      </c>
      <c r="H583" s="837">
        <f t="shared" si="276"/>
        <v>11.5</v>
      </c>
      <c r="I583" s="813"/>
      <c r="J583" s="814"/>
      <c r="K583" s="814"/>
      <c r="L583" s="815" t="str">
        <f>VLOOKUP(A583,'Плотник'!$B$172:$G$175,6,FALSE)</f>
        <v>#N/A</v>
      </c>
      <c r="M583" s="814"/>
      <c r="N583" s="817" t="str">
        <f>VLOOKUP(A583,'Плотник'!$B$172:$G$175,4,FALSE)</f>
        <v>#N/A</v>
      </c>
      <c r="O583" s="817"/>
      <c r="P583" s="817" t="s">
        <v>988</v>
      </c>
      <c r="Q583" s="818"/>
      <c r="R583" s="819" t="s">
        <v>1155</v>
      </c>
      <c r="S583" s="817"/>
      <c r="T583" s="817"/>
      <c r="U583" s="438"/>
      <c r="V583" s="438"/>
      <c r="W583" s="821"/>
      <c r="X583" s="440"/>
      <c r="Y583" s="440"/>
      <c r="Z583" s="440"/>
      <c r="AA583" s="440"/>
      <c r="AB583" s="440"/>
      <c r="AC583" s="440"/>
      <c r="AD583" s="440"/>
      <c r="AE583" s="438"/>
      <c r="AF583" s="438"/>
      <c r="AG583" s="438"/>
      <c r="AH583" s="438"/>
      <c r="AI583" s="438"/>
      <c r="AJ583" s="438"/>
      <c r="AK583" s="438"/>
      <c r="AL583" s="438"/>
      <c r="AM583" s="438"/>
      <c r="AN583" s="438"/>
      <c r="AO583" s="438"/>
      <c r="AP583" s="438"/>
      <c r="AQ583" s="438"/>
      <c r="AR583" s="438"/>
      <c r="AS583" s="438"/>
      <c r="AT583" s="438"/>
      <c r="AU583" s="438"/>
      <c r="AV583" s="438"/>
      <c r="AW583" s="441"/>
      <c r="AX583" s="441"/>
      <c r="AY583" s="441"/>
      <c r="AZ583" s="441"/>
      <c r="BA583" s="441"/>
      <c r="BB583" s="441"/>
      <c r="BC583" s="441"/>
      <c r="BD583" s="441"/>
      <c r="BE583" s="441"/>
      <c r="BF583" s="441"/>
    </row>
    <row r="584" collapsed="1">
      <c r="A584" s="838" t="s">
        <v>1164</v>
      </c>
      <c r="B584" s="811" t="s">
        <v>904</v>
      </c>
      <c r="C584" s="812" t="s">
        <v>905</v>
      </c>
      <c r="D584" s="812" t="s">
        <v>906</v>
      </c>
      <c r="E584" s="812" t="s">
        <v>1165</v>
      </c>
      <c r="F584" s="812" t="s">
        <v>939</v>
      </c>
      <c r="G584" s="812" t="s">
        <v>1166</v>
      </c>
      <c r="H584" s="812" t="s">
        <v>1167</v>
      </c>
      <c r="I584" s="813" t="s">
        <v>754</v>
      </c>
      <c r="J584" s="814">
        <v>-5.0</v>
      </c>
      <c r="K584" s="814">
        <v>4.0</v>
      </c>
      <c r="L584" s="815">
        <f>VLOOKUP(A584,'Плотник'!$B$172:$G$175,6,FALSE)</f>
        <v>2.28</v>
      </c>
      <c r="M584" s="816" t="s">
        <v>1168</v>
      </c>
      <c r="N584" s="817">
        <f>VLOOKUP(A584,'Плотник'!$B$172:$G$175,4,FALSE)</f>
        <v>7</v>
      </c>
      <c r="O584" s="817">
        <v>12.0</v>
      </c>
      <c r="P584" s="817" t="s">
        <v>988</v>
      </c>
      <c r="Q584" s="818"/>
      <c r="R584" s="819" t="s">
        <v>1155</v>
      </c>
      <c r="S584" s="820">
        <v>120.0</v>
      </c>
      <c r="T584" s="820">
        <v>30.0</v>
      </c>
      <c r="U584" s="438"/>
      <c r="V584" s="438"/>
      <c r="W584" s="821" t="s">
        <v>1156</v>
      </c>
      <c r="X584" s="440">
        <v>0.0</v>
      </c>
      <c r="Y584" s="440">
        <v>0.0</v>
      </c>
      <c r="Z584" s="440">
        <v>0.0</v>
      </c>
      <c r="AA584" s="440">
        <v>0.0</v>
      </c>
      <c r="AB584" s="440">
        <v>0.0</v>
      </c>
      <c r="AC584" s="440">
        <v>0.0</v>
      </c>
      <c r="AD584" s="440">
        <v>0.0</v>
      </c>
      <c r="AE584" s="438"/>
      <c r="AF584" s="438"/>
      <c r="AG584" s="438"/>
      <c r="AH584" s="438"/>
      <c r="AI584" s="438"/>
      <c r="AJ584" s="438"/>
      <c r="AK584" s="438"/>
      <c r="AL584" s="438"/>
      <c r="AM584" s="438"/>
      <c r="AN584" s="438"/>
      <c r="AO584" s="438"/>
      <c r="AP584" s="438"/>
      <c r="AQ584" s="438"/>
      <c r="AR584" s="438"/>
      <c r="AS584" s="438"/>
      <c r="AT584" s="438"/>
      <c r="AU584" s="438"/>
      <c r="AV584" s="438"/>
      <c r="AW584" s="441"/>
      <c r="AX584" s="441"/>
      <c r="AY584" s="441"/>
      <c r="AZ584" s="441"/>
      <c r="BA584" s="441"/>
      <c r="BB584" s="441"/>
      <c r="BC584" s="441"/>
      <c r="BD584" s="441"/>
      <c r="BE584" s="441"/>
      <c r="BF584" s="441"/>
    </row>
    <row r="585" hidden="1" outlineLevel="1">
      <c r="A585" s="822" t="s">
        <v>756</v>
      </c>
      <c r="B585" s="834">
        <v>1.0</v>
      </c>
      <c r="C585" s="834">
        <v>1.0</v>
      </c>
      <c r="D585" s="834">
        <v>1.0</v>
      </c>
      <c r="E585" s="834">
        <v>1.0</v>
      </c>
      <c r="F585" s="834">
        <v>1.0</v>
      </c>
      <c r="G585" s="834">
        <v>1.0</v>
      </c>
      <c r="H585" s="834">
        <v>2.0</v>
      </c>
      <c r="I585" s="813"/>
      <c r="J585" s="814"/>
      <c r="K585" s="814"/>
      <c r="L585" s="815" t="str">
        <f t="shared" ref="L585:L591" si="277">VLOOKUP(A585,'Создание оружия'!$B$12:$H$104,6,FALSE)</f>
        <v>#REF!</v>
      </c>
      <c r="M585" s="814"/>
      <c r="N585" s="817" t="str">
        <f t="shared" ref="N585:N591" si="278">VLOOKUP(A585,'Создание оружия'!$B$12:$H$104,4,FALSE)</f>
        <v>#REF!</v>
      </c>
      <c r="O585" s="817"/>
      <c r="P585" s="817" t="s">
        <v>988</v>
      </c>
      <c r="Q585" s="818">
        <v>0.0</v>
      </c>
      <c r="R585" s="819" t="s">
        <v>1169</v>
      </c>
      <c r="S585" s="817"/>
      <c r="T585" s="839"/>
      <c r="U585" s="438"/>
      <c r="V585" s="438"/>
      <c r="W585" s="821"/>
      <c r="X585" s="440"/>
      <c r="Y585" s="440"/>
      <c r="Z585" s="440"/>
      <c r="AA585" s="440"/>
      <c r="AB585" s="440"/>
      <c r="AC585" s="440"/>
      <c r="AD585" s="440"/>
      <c r="AE585" s="438"/>
      <c r="AF585" s="438"/>
      <c r="AG585" s="438"/>
      <c r="AH585" s="438"/>
      <c r="AI585" s="438"/>
      <c r="AJ585" s="438"/>
      <c r="AK585" s="438"/>
      <c r="AL585" s="438"/>
      <c r="AM585" s="438"/>
      <c r="AN585" s="438"/>
      <c r="AO585" s="438"/>
      <c r="AP585" s="438"/>
      <c r="AQ585" s="438"/>
      <c r="AR585" s="438"/>
      <c r="AS585" s="438"/>
      <c r="AT585" s="438"/>
      <c r="AU585" s="438"/>
      <c r="AV585" s="438"/>
      <c r="AW585" s="441"/>
      <c r="AX585" s="441"/>
      <c r="AY585" s="441"/>
      <c r="AZ585" s="441"/>
      <c r="BA585" s="441"/>
      <c r="BB585" s="441"/>
      <c r="BC585" s="441"/>
      <c r="BD585" s="441"/>
      <c r="BE585" s="441"/>
      <c r="BF585" s="441"/>
    </row>
    <row r="586" hidden="1" outlineLevel="1">
      <c r="A586" s="822" t="s">
        <v>757</v>
      </c>
      <c r="B586" s="834">
        <v>8.0</v>
      </c>
      <c r="C586" s="834">
        <v>8.0</v>
      </c>
      <c r="D586" s="834">
        <v>10.0</v>
      </c>
      <c r="E586" s="834">
        <v>10.0</v>
      </c>
      <c r="F586" s="834">
        <v>12.0</v>
      </c>
      <c r="G586" s="834">
        <v>12.0</v>
      </c>
      <c r="H586" s="834">
        <v>16.0</v>
      </c>
      <c r="I586" s="813"/>
      <c r="J586" s="814"/>
      <c r="K586" s="814"/>
      <c r="L586" s="815" t="str">
        <f t="shared" si="277"/>
        <v>#REF!</v>
      </c>
      <c r="M586" s="814"/>
      <c r="N586" s="817" t="str">
        <f t="shared" si="278"/>
        <v>#REF!</v>
      </c>
      <c r="O586" s="817"/>
      <c r="P586" s="817" t="s">
        <v>988</v>
      </c>
      <c r="Q586" s="818">
        <v>0.0</v>
      </c>
      <c r="R586" s="819" t="s">
        <v>1169</v>
      </c>
      <c r="S586" s="817"/>
      <c r="T586" s="839"/>
      <c r="U586" s="438"/>
      <c r="V586" s="438"/>
      <c r="W586" s="821"/>
      <c r="X586" s="440"/>
      <c r="Y586" s="440"/>
      <c r="Z586" s="440"/>
      <c r="AA586" s="440"/>
      <c r="AB586" s="440"/>
      <c r="AC586" s="440"/>
      <c r="AD586" s="440"/>
      <c r="AE586" s="438"/>
      <c r="AF586" s="438"/>
      <c r="AG586" s="438"/>
      <c r="AH586" s="438"/>
      <c r="AI586" s="438"/>
      <c r="AJ586" s="438"/>
      <c r="AK586" s="438"/>
      <c r="AL586" s="438"/>
      <c r="AM586" s="438"/>
      <c r="AN586" s="438"/>
      <c r="AO586" s="438"/>
      <c r="AP586" s="438"/>
      <c r="AQ586" s="438"/>
      <c r="AR586" s="438"/>
      <c r="AS586" s="438"/>
      <c r="AT586" s="438"/>
      <c r="AU586" s="438"/>
      <c r="AV586" s="438"/>
      <c r="AW586" s="441"/>
      <c r="AX586" s="441"/>
      <c r="AY586" s="441"/>
      <c r="AZ586" s="441"/>
      <c r="BA586" s="441"/>
      <c r="BB586" s="441"/>
      <c r="BC586" s="441"/>
      <c r="BD586" s="441"/>
      <c r="BE586" s="441"/>
      <c r="BF586" s="441"/>
    </row>
    <row r="587" hidden="1" outlineLevel="1">
      <c r="A587" s="822" t="s">
        <v>758</v>
      </c>
      <c r="B587" s="835">
        <v>11.0</v>
      </c>
      <c r="C587" s="835">
        <v>15.0</v>
      </c>
      <c r="D587" s="835">
        <v>18.0</v>
      </c>
      <c r="E587" s="835">
        <v>23.0</v>
      </c>
      <c r="F587" s="835">
        <v>27.0</v>
      </c>
      <c r="G587" s="835">
        <v>33.0</v>
      </c>
      <c r="H587" s="835">
        <v>37.0</v>
      </c>
      <c r="I587" s="813"/>
      <c r="J587" s="814"/>
      <c r="K587" s="814"/>
      <c r="L587" s="815" t="str">
        <f t="shared" si="277"/>
        <v>#REF!</v>
      </c>
      <c r="M587" s="814"/>
      <c r="N587" s="817" t="str">
        <f t="shared" si="278"/>
        <v>#REF!</v>
      </c>
      <c r="O587" s="817"/>
      <c r="P587" s="817" t="s">
        <v>988</v>
      </c>
      <c r="Q587" s="818">
        <v>0.0</v>
      </c>
      <c r="R587" s="819" t="s">
        <v>1169</v>
      </c>
      <c r="S587" s="817"/>
      <c r="T587" s="839"/>
      <c r="U587" s="438"/>
      <c r="V587" s="438"/>
      <c r="W587" s="821"/>
      <c r="X587" s="440"/>
      <c r="Y587" s="440"/>
      <c r="Z587" s="440"/>
      <c r="AA587" s="440"/>
      <c r="AB587" s="440"/>
      <c r="AC587" s="440"/>
      <c r="AD587" s="440"/>
      <c r="AE587" s="438"/>
      <c r="AF587" s="438"/>
      <c r="AG587" s="438"/>
      <c r="AH587" s="438"/>
      <c r="AI587" s="438"/>
      <c r="AJ587" s="438"/>
      <c r="AK587" s="438"/>
      <c r="AL587" s="438"/>
      <c r="AM587" s="438"/>
      <c r="AN587" s="438"/>
      <c r="AO587" s="438"/>
      <c r="AP587" s="438"/>
      <c r="AQ587" s="438"/>
      <c r="AR587" s="438"/>
      <c r="AS587" s="438"/>
      <c r="AT587" s="438"/>
      <c r="AU587" s="438"/>
      <c r="AV587" s="438"/>
      <c r="AW587" s="441"/>
      <c r="AX587" s="441"/>
      <c r="AY587" s="441"/>
      <c r="AZ587" s="441"/>
      <c r="BA587" s="441"/>
      <c r="BB587" s="441"/>
      <c r="BC587" s="441"/>
      <c r="BD587" s="441"/>
      <c r="BE587" s="441"/>
      <c r="BF587" s="441"/>
    </row>
    <row r="588" hidden="1" outlineLevel="1">
      <c r="A588" s="822" t="s">
        <v>759</v>
      </c>
      <c r="B588" s="834">
        <f t="shared" ref="B588:H588" si="279">(B585+B586)/2+B587</f>
        <v>15.5</v>
      </c>
      <c r="C588" s="834">
        <f t="shared" si="279"/>
        <v>19.5</v>
      </c>
      <c r="D588" s="834">
        <f t="shared" si="279"/>
        <v>23.5</v>
      </c>
      <c r="E588" s="834">
        <f t="shared" si="279"/>
        <v>28.5</v>
      </c>
      <c r="F588" s="834">
        <f t="shared" si="279"/>
        <v>33.5</v>
      </c>
      <c r="G588" s="834">
        <f t="shared" si="279"/>
        <v>39.5</v>
      </c>
      <c r="H588" s="834">
        <f t="shared" si="279"/>
        <v>46</v>
      </c>
      <c r="I588" s="813"/>
      <c r="J588" s="814"/>
      <c r="K588" s="814"/>
      <c r="L588" s="815" t="str">
        <f t="shared" si="277"/>
        <v>#REF!</v>
      </c>
      <c r="M588" s="814"/>
      <c r="N588" s="817" t="str">
        <f t="shared" si="278"/>
        <v>#REF!</v>
      </c>
      <c r="O588" s="817"/>
      <c r="P588" s="817" t="s">
        <v>988</v>
      </c>
      <c r="Q588" s="818">
        <v>0.0</v>
      </c>
      <c r="R588" s="819" t="s">
        <v>1169</v>
      </c>
      <c r="S588" s="817"/>
      <c r="T588" s="839"/>
      <c r="U588" s="438"/>
      <c r="V588" s="438"/>
      <c r="W588" s="821"/>
      <c r="X588" s="440"/>
      <c r="Y588" s="440"/>
      <c r="Z588" s="440"/>
      <c r="AA588" s="440"/>
      <c r="AB588" s="440"/>
      <c r="AC588" s="440"/>
      <c r="AD588" s="440"/>
      <c r="AE588" s="438"/>
      <c r="AF588" s="438"/>
      <c r="AG588" s="438"/>
      <c r="AH588" s="438"/>
      <c r="AI588" s="438"/>
      <c r="AJ588" s="438"/>
      <c r="AK588" s="438"/>
      <c r="AL588" s="438"/>
      <c r="AM588" s="438"/>
      <c r="AN588" s="438"/>
      <c r="AO588" s="438"/>
      <c r="AP588" s="438"/>
      <c r="AQ588" s="438"/>
      <c r="AR588" s="438"/>
      <c r="AS588" s="438"/>
      <c r="AT588" s="438"/>
      <c r="AU588" s="438"/>
      <c r="AV588" s="438"/>
      <c r="AW588" s="441"/>
      <c r="AX588" s="441"/>
      <c r="AY588" s="441"/>
      <c r="AZ588" s="441"/>
      <c r="BA588" s="441"/>
      <c r="BB588" s="441"/>
      <c r="BC588" s="441"/>
      <c r="BD588" s="441"/>
      <c r="BE588" s="441"/>
      <c r="BF588" s="441"/>
    </row>
    <row r="589" hidden="1" outlineLevel="1">
      <c r="A589" s="822" t="s">
        <v>760</v>
      </c>
      <c r="B589" s="836"/>
      <c r="C589" s="836">
        <f t="shared" ref="C589:H589" si="280">C588/B588-1</f>
        <v>0.2580645161</v>
      </c>
      <c r="D589" s="836">
        <f t="shared" si="280"/>
        <v>0.2051282051</v>
      </c>
      <c r="E589" s="836">
        <f t="shared" si="280"/>
        <v>0.2127659574</v>
      </c>
      <c r="F589" s="836">
        <f t="shared" si="280"/>
        <v>0.1754385965</v>
      </c>
      <c r="G589" s="836">
        <f t="shared" si="280"/>
        <v>0.1791044776</v>
      </c>
      <c r="H589" s="836">
        <f t="shared" si="280"/>
        <v>0.164556962</v>
      </c>
      <c r="I589" s="813"/>
      <c r="J589" s="814"/>
      <c r="K589" s="814"/>
      <c r="L589" s="815" t="str">
        <f t="shared" si="277"/>
        <v>#REF!</v>
      </c>
      <c r="M589" s="814"/>
      <c r="N589" s="817" t="str">
        <f t="shared" si="278"/>
        <v>#REF!</v>
      </c>
      <c r="O589" s="817"/>
      <c r="P589" s="817" t="s">
        <v>988</v>
      </c>
      <c r="Q589" s="818">
        <v>0.0</v>
      </c>
      <c r="R589" s="819" t="s">
        <v>1169</v>
      </c>
      <c r="S589" s="817"/>
      <c r="T589" s="839"/>
      <c r="U589" s="438"/>
      <c r="V589" s="438"/>
      <c r="W589" s="821"/>
      <c r="X589" s="440"/>
      <c r="Y589" s="440"/>
      <c r="Z589" s="440"/>
      <c r="AA589" s="440"/>
      <c r="AB589" s="440"/>
      <c r="AC589" s="440"/>
      <c r="AD589" s="440"/>
      <c r="AE589" s="438"/>
      <c r="AF589" s="438"/>
      <c r="AG589" s="438"/>
      <c r="AH589" s="438"/>
      <c r="AI589" s="438"/>
      <c r="AJ589" s="438"/>
      <c r="AK589" s="438"/>
      <c r="AL589" s="438"/>
      <c r="AM589" s="438"/>
      <c r="AN589" s="438"/>
      <c r="AO589" s="438"/>
      <c r="AP589" s="438"/>
      <c r="AQ589" s="438"/>
      <c r="AR589" s="438"/>
      <c r="AS589" s="438"/>
      <c r="AT589" s="438"/>
      <c r="AU589" s="438"/>
      <c r="AV589" s="438"/>
      <c r="AW589" s="441"/>
      <c r="AX589" s="441"/>
      <c r="AY589" s="441"/>
      <c r="AZ589" s="441"/>
      <c r="BA589" s="441"/>
      <c r="BB589" s="441"/>
      <c r="BC589" s="441"/>
      <c r="BD589" s="441"/>
      <c r="BE589" s="441"/>
      <c r="BF589" s="441"/>
    </row>
    <row r="590" hidden="1" outlineLevel="1">
      <c r="A590" s="822" t="s">
        <v>761</v>
      </c>
      <c r="B590" s="834">
        <v>4.0</v>
      </c>
      <c r="C590" s="834"/>
      <c r="D590" s="836"/>
      <c r="E590" s="836"/>
      <c r="F590" s="836"/>
      <c r="G590" s="836"/>
      <c r="H590" s="836"/>
      <c r="I590" s="813"/>
      <c r="J590" s="814"/>
      <c r="K590" s="814"/>
      <c r="L590" s="815" t="str">
        <f t="shared" si="277"/>
        <v>#REF!</v>
      </c>
      <c r="M590" s="814"/>
      <c r="N590" s="817" t="str">
        <f t="shared" si="278"/>
        <v>#REF!</v>
      </c>
      <c r="O590" s="817"/>
      <c r="P590" s="817" t="s">
        <v>988</v>
      </c>
      <c r="Q590" s="818">
        <v>0.0</v>
      </c>
      <c r="R590" s="819" t="s">
        <v>1169</v>
      </c>
      <c r="S590" s="817"/>
      <c r="T590" s="839"/>
      <c r="U590" s="438"/>
      <c r="V590" s="438"/>
      <c r="W590" s="821"/>
      <c r="X590" s="440"/>
      <c r="Y590" s="440"/>
      <c r="Z590" s="440"/>
      <c r="AA590" s="440"/>
      <c r="AB590" s="440"/>
      <c r="AC590" s="440"/>
      <c r="AD590" s="440"/>
      <c r="AE590" s="438"/>
      <c r="AF590" s="438"/>
      <c r="AG590" s="438"/>
      <c r="AH590" s="438"/>
      <c r="AI590" s="438"/>
      <c r="AJ590" s="438"/>
      <c r="AK590" s="438"/>
      <c r="AL590" s="438"/>
      <c r="AM590" s="438"/>
      <c r="AN590" s="438"/>
      <c r="AO590" s="438"/>
      <c r="AP590" s="438"/>
      <c r="AQ590" s="438"/>
      <c r="AR590" s="438"/>
      <c r="AS590" s="438"/>
      <c r="AT590" s="438"/>
      <c r="AU590" s="438"/>
      <c r="AV590" s="438"/>
      <c r="AW590" s="441"/>
      <c r="AX590" s="441"/>
      <c r="AY590" s="441"/>
      <c r="AZ590" s="441"/>
      <c r="BA590" s="441"/>
      <c r="BB590" s="441"/>
      <c r="BC590" s="441"/>
      <c r="BD590" s="441"/>
      <c r="BE590" s="441"/>
      <c r="BF590" s="441"/>
    </row>
    <row r="591" hidden="1" outlineLevel="1">
      <c r="A591" s="822" t="s">
        <v>762</v>
      </c>
      <c r="B591" s="837">
        <f t="shared" ref="B591:H591" si="281">B588/$B590</f>
        <v>3.875</v>
      </c>
      <c r="C591" s="837">
        <f t="shared" si="281"/>
        <v>4.875</v>
      </c>
      <c r="D591" s="837">
        <f t="shared" si="281"/>
        <v>5.875</v>
      </c>
      <c r="E591" s="837">
        <f t="shared" si="281"/>
        <v>7.125</v>
      </c>
      <c r="F591" s="837">
        <f t="shared" si="281"/>
        <v>8.375</v>
      </c>
      <c r="G591" s="837">
        <f t="shared" si="281"/>
        <v>9.875</v>
      </c>
      <c r="H591" s="837">
        <f t="shared" si="281"/>
        <v>11.5</v>
      </c>
      <c r="I591" s="813"/>
      <c r="J591" s="814"/>
      <c r="K591" s="814"/>
      <c r="L591" s="815" t="str">
        <f t="shared" si="277"/>
        <v>#REF!</v>
      </c>
      <c r="M591" s="814"/>
      <c r="N591" s="817" t="str">
        <f t="shared" si="278"/>
        <v>#REF!</v>
      </c>
      <c r="O591" s="817"/>
      <c r="P591" s="817" t="s">
        <v>988</v>
      </c>
      <c r="Q591" s="818">
        <v>0.0</v>
      </c>
      <c r="R591" s="819" t="s">
        <v>1169</v>
      </c>
      <c r="S591" s="817"/>
      <c r="T591" s="839"/>
      <c r="U591" s="438"/>
      <c r="V591" s="438"/>
      <c r="W591" s="821"/>
      <c r="X591" s="440"/>
      <c r="Y591" s="440"/>
      <c r="Z591" s="440"/>
      <c r="AA591" s="440"/>
      <c r="AB591" s="440"/>
      <c r="AC591" s="440"/>
      <c r="AD591" s="440"/>
      <c r="AE591" s="438"/>
      <c r="AF591" s="438"/>
      <c r="AG591" s="438"/>
      <c r="AH591" s="438"/>
      <c r="AI591" s="438"/>
      <c r="AJ591" s="438"/>
      <c r="AK591" s="438"/>
      <c r="AL591" s="438"/>
      <c r="AM591" s="438"/>
      <c r="AN591" s="438"/>
      <c r="AO591" s="438"/>
      <c r="AP591" s="438"/>
      <c r="AQ591" s="438"/>
      <c r="AR591" s="438"/>
      <c r="AS591" s="438"/>
      <c r="AT591" s="438"/>
      <c r="AU591" s="438"/>
      <c r="AV591" s="438"/>
      <c r="AW591" s="441"/>
      <c r="AX591" s="441"/>
      <c r="AY591" s="441"/>
      <c r="AZ591" s="441"/>
      <c r="BA591" s="441"/>
      <c r="BB591" s="441"/>
      <c r="BC591" s="441"/>
      <c r="BD591" s="441"/>
      <c r="BE591" s="441"/>
      <c r="BF591" s="441"/>
    </row>
    <row r="592" collapsed="1">
      <c r="A592" s="840"/>
      <c r="B592" s="841"/>
      <c r="C592" s="841"/>
      <c r="D592" s="841"/>
      <c r="E592" s="841"/>
      <c r="F592" s="841"/>
      <c r="G592" s="841"/>
      <c r="H592" s="841"/>
      <c r="I592" s="842"/>
      <c r="J592" s="841"/>
      <c r="K592" s="841"/>
      <c r="L592" s="843"/>
      <c r="M592" s="841"/>
      <c r="N592" s="841"/>
      <c r="O592" s="841"/>
      <c r="P592" s="841"/>
      <c r="Q592" s="841"/>
      <c r="R592" s="844"/>
      <c r="S592" s="841"/>
      <c r="T592" s="839"/>
      <c r="U592" s="467"/>
      <c r="V592" s="463"/>
      <c r="W592" s="463"/>
      <c r="X592" s="440"/>
      <c r="Y592" s="440"/>
      <c r="Z592" s="440"/>
      <c r="AA592" s="440"/>
      <c r="AB592" s="440"/>
      <c r="AC592" s="440"/>
      <c r="AD592" s="438"/>
      <c r="AE592" s="438"/>
      <c r="AF592" s="438"/>
      <c r="AG592" s="438"/>
      <c r="AH592" s="438"/>
      <c r="AI592" s="438"/>
      <c r="AJ592" s="438"/>
      <c r="AK592" s="438"/>
      <c r="AL592" s="438"/>
      <c r="AM592" s="438"/>
      <c r="AN592" s="438"/>
      <c r="AO592" s="438"/>
      <c r="AP592" s="438"/>
      <c r="AQ592" s="438"/>
      <c r="AR592" s="438"/>
      <c r="AS592" s="438"/>
      <c r="AT592" s="438"/>
      <c r="AU592" s="438"/>
      <c r="AV592" s="438"/>
      <c r="AW592" s="441"/>
      <c r="AX592" s="441"/>
      <c r="AY592" s="441"/>
      <c r="AZ592" s="441"/>
      <c r="BA592" s="441"/>
      <c r="BB592" s="441"/>
      <c r="BC592" s="441"/>
      <c r="BD592" s="441"/>
      <c r="BE592" s="441"/>
      <c r="BF592" s="441"/>
    </row>
    <row r="593">
      <c r="A593" s="845"/>
      <c r="B593" s="846"/>
      <c r="C593" s="846"/>
      <c r="D593" s="846"/>
      <c r="E593" s="846"/>
      <c r="F593" s="846"/>
      <c r="G593" s="846"/>
      <c r="H593" s="847" t="s">
        <v>1170</v>
      </c>
      <c r="I593" s="846"/>
      <c r="J593" s="846"/>
      <c r="K593" s="846"/>
      <c r="L593" s="846"/>
      <c r="M593" s="846"/>
      <c r="N593" s="846"/>
      <c r="O593" s="846"/>
      <c r="P593" s="846"/>
      <c r="Q593" s="846"/>
      <c r="R593" s="846"/>
      <c r="S593" s="848"/>
      <c r="T593" s="849"/>
      <c r="U593" s="467"/>
      <c r="V593" s="463"/>
      <c r="W593" s="463"/>
      <c r="X593" s="440"/>
      <c r="Y593" s="440"/>
      <c r="Z593" s="440"/>
      <c r="AA593" s="440"/>
      <c r="AB593" s="440"/>
      <c r="AC593" s="440"/>
      <c r="AD593" s="438"/>
      <c r="AE593" s="438"/>
      <c r="AF593" s="438"/>
      <c r="AG593" s="438"/>
      <c r="AH593" s="438"/>
      <c r="AI593" s="438"/>
      <c r="AJ593" s="438"/>
      <c r="AK593" s="438"/>
      <c r="AL593" s="438"/>
      <c r="AM593" s="438"/>
      <c r="AN593" s="438"/>
      <c r="AO593" s="438"/>
      <c r="AP593" s="438"/>
      <c r="AQ593" s="438"/>
      <c r="AR593" s="438"/>
      <c r="AS593" s="438"/>
      <c r="AT593" s="438"/>
      <c r="AU593" s="438"/>
      <c r="AV593" s="438"/>
      <c r="AW593" s="441"/>
      <c r="AX593" s="441"/>
      <c r="AY593" s="441"/>
      <c r="AZ593" s="441"/>
      <c r="BA593" s="441"/>
      <c r="BB593" s="441"/>
      <c r="BC593" s="441"/>
      <c r="BD593" s="441"/>
      <c r="BE593" s="441"/>
      <c r="BF593" s="441"/>
    </row>
    <row r="594">
      <c r="A594" s="850" t="s">
        <v>1171</v>
      </c>
      <c r="B594" s="851" t="s">
        <v>115</v>
      </c>
      <c r="C594" s="851" t="s">
        <v>1072</v>
      </c>
      <c r="D594" s="851" t="s">
        <v>782</v>
      </c>
      <c r="E594" s="852" t="s">
        <v>30</v>
      </c>
      <c r="F594" s="851" t="s">
        <v>1172</v>
      </c>
      <c r="G594" s="851" t="s">
        <v>1161</v>
      </c>
      <c r="H594" s="851" t="s">
        <v>1173</v>
      </c>
      <c r="I594" s="853" t="s">
        <v>754</v>
      </c>
      <c r="J594" s="851">
        <v>-3.0</v>
      </c>
      <c r="K594" s="854">
        <v>3.0</v>
      </c>
      <c r="L594" s="855">
        <f>VLOOKUP(A594,'Механик'!$B$171:$I$174,8,FALSE)</f>
        <v>0.82</v>
      </c>
      <c r="M594" s="852" t="s">
        <v>1174</v>
      </c>
      <c r="N594" s="851">
        <f>VLOOKUP(A594,'Механик'!$B$171:$I$174,5,FALSE)</f>
        <v>5</v>
      </c>
      <c r="O594" s="851">
        <v>9.0</v>
      </c>
      <c r="P594" s="851" t="s">
        <v>1175</v>
      </c>
      <c r="Q594" s="856"/>
      <c r="R594" s="856" t="s">
        <v>1176</v>
      </c>
      <c r="S594" s="856" t="s">
        <v>1177</v>
      </c>
      <c r="T594" s="857">
        <v>8.0</v>
      </c>
      <c r="U594" s="467"/>
      <c r="V594" s="463"/>
      <c r="W594" s="463" t="s">
        <v>1178</v>
      </c>
      <c r="X594" s="440">
        <v>0.0</v>
      </c>
      <c r="Y594" s="440">
        <v>0.0</v>
      </c>
      <c r="Z594" s="440">
        <v>0.0</v>
      </c>
      <c r="AA594" s="440">
        <v>0.0</v>
      </c>
      <c r="AB594" s="440">
        <v>0.0</v>
      </c>
      <c r="AC594" s="440">
        <v>0.0</v>
      </c>
      <c r="AD594" s="438"/>
      <c r="AE594" s="438"/>
      <c r="AF594" s="438"/>
      <c r="AG594" s="438"/>
      <c r="AH594" s="438"/>
      <c r="AI594" s="438"/>
      <c r="AJ594" s="438"/>
      <c r="AK594" s="438"/>
      <c r="AL594" s="438"/>
      <c r="AM594" s="438"/>
      <c r="AN594" s="438"/>
      <c r="AO594" s="438"/>
      <c r="AP594" s="438"/>
      <c r="AQ594" s="438"/>
      <c r="AR594" s="438"/>
      <c r="AS594" s="438"/>
      <c r="AT594" s="438"/>
      <c r="AU594" s="438"/>
      <c r="AV594" s="438"/>
      <c r="AW594" s="441"/>
      <c r="AX594" s="441"/>
      <c r="AY594" s="441"/>
      <c r="AZ594" s="441"/>
      <c r="BA594" s="441"/>
      <c r="BB594" s="441"/>
      <c r="BC594" s="441"/>
      <c r="BD594" s="441"/>
      <c r="BE594" s="441"/>
      <c r="BF594" s="441"/>
    </row>
    <row r="595" hidden="1" outlineLevel="1">
      <c r="A595" s="858" t="s">
        <v>756</v>
      </c>
      <c r="B595" s="859">
        <v>1.0</v>
      </c>
      <c r="C595" s="859">
        <v>1.0</v>
      </c>
      <c r="D595" s="859">
        <v>1.0</v>
      </c>
      <c r="E595" s="860">
        <v>1.0</v>
      </c>
      <c r="F595" s="859">
        <v>1.0</v>
      </c>
      <c r="G595" s="859">
        <v>1.0</v>
      </c>
      <c r="H595" s="859">
        <v>1.0</v>
      </c>
      <c r="I595" s="853"/>
      <c r="J595" s="851"/>
      <c r="K595" s="861"/>
      <c r="L595" s="855" t="str">
        <f t="shared" ref="L595:L601" si="282">VLOOKUP(A595,'Создание оружия'!$B$12:$H$104,7,FALSE)</f>
        <v>#REF!</v>
      </c>
      <c r="M595" s="851"/>
      <c r="N595" s="851" t="str">
        <f t="shared" ref="N595:N601" si="283">VLOOKUP(A595,'Создание оружия'!$B$12:$H$104,5,FALSE)</f>
        <v>#REF!</v>
      </c>
      <c r="O595" s="851"/>
      <c r="P595" s="851"/>
      <c r="Q595" s="856"/>
      <c r="R595" s="856"/>
      <c r="S595" s="856"/>
      <c r="T595" s="857"/>
      <c r="U595" s="467"/>
      <c r="V595" s="438"/>
      <c r="W595" s="438"/>
      <c r="X595" s="440">
        <v>0.0</v>
      </c>
      <c r="Y595" s="440">
        <v>0.0</v>
      </c>
      <c r="Z595" s="440">
        <v>0.0</v>
      </c>
      <c r="AA595" s="440">
        <v>0.0</v>
      </c>
      <c r="AB595" s="440">
        <v>0.0</v>
      </c>
      <c r="AC595" s="440">
        <v>0.0</v>
      </c>
      <c r="AD595" s="440">
        <v>0.0</v>
      </c>
      <c r="AE595" s="438"/>
      <c r="AF595" s="438"/>
      <c r="AG595" s="438"/>
      <c r="AH595" s="438"/>
      <c r="AI595" s="438"/>
      <c r="AJ595" s="438"/>
      <c r="AK595" s="438"/>
      <c r="AL595" s="438"/>
      <c r="AM595" s="438"/>
      <c r="AN595" s="438"/>
      <c r="AO595" s="438"/>
      <c r="AP595" s="438"/>
      <c r="AQ595" s="438"/>
      <c r="AR595" s="438"/>
      <c r="AS595" s="438"/>
      <c r="AT595" s="438"/>
      <c r="AU595" s="438"/>
      <c r="AV595" s="438"/>
      <c r="AW595" s="441"/>
      <c r="AX595" s="441"/>
      <c r="AY595" s="441"/>
      <c r="AZ595" s="441"/>
      <c r="BA595" s="441"/>
      <c r="BB595" s="441"/>
      <c r="BC595" s="441"/>
      <c r="BD595" s="441"/>
      <c r="BE595" s="441"/>
      <c r="BF595" s="441"/>
    </row>
    <row r="596" hidden="1" outlineLevel="1">
      <c r="A596" s="858" t="s">
        <v>757</v>
      </c>
      <c r="B596" s="859">
        <v>6.0</v>
      </c>
      <c r="C596" s="859">
        <v>6.0</v>
      </c>
      <c r="D596" s="859">
        <v>8.0</v>
      </c>
      <c r="E596" s="860">
        <v>8.0</v>
      </c>
      <c r="F596" s="859">
        <v>10.0</v>
      </c>
      <c r="G596" s="859">
        <v>10.0</v>
      </c>
      <c r="H596" s="859">
        <v>12.0</v>
      </c>
      <c r="I596" s="853"/>
      <c r="J596" s="851"/>
      <c r="K596" s="861"/>
      <c r="L596" s="855" t="str">
        <f t="shared" si="282"/>
        <v>#REF!</v>
      </c>
      <c r="M596" s="851"/>
      <c r="N596" s="851" t="str">
        <f t="shared" si="283"/>
        <v>#REF!</v>
      </c>
      <c r="O596" s="851"/>
      <c r="P596" s="851"/>
      <c r="Q596" s="856"/>
      <c r="R596" s="856"/>
      <c r="S596" s="856"/>
      <c r="T596" s="857"/>
      <c r="U596" s="467"/>
      <c r="V596" s="438"/>
      <c r="W596" s="438"/>
      <c r="X596" s="440">
        <v>0.0</v>
      </c>
      <c r="Y596" s="440">
        <v>0.0</v>
      </c>
      <c r="Z596" s="440">
        <v>0.0</v>
      </c>
      <c r="AA596" s="440">
        <v>0.0</v>
      </c>
      <c r="AB596" s="440">
        <v>0.0</v>
      </c>
      <c r="AC596" s="440">
        <v>0.0</v>
      </c>
      <c r="AD596" s="440">
        <v>0.0</v>
      </c>
      <c r="AE596" s="438"/>
      <c r="AF596" s="438"/>
      <c r="AG596" s="438"/>
      <c r="AH596" s="438"/>
      <c r="AI596" s="438"/>
      <c r="AJ596" s="438"/>
      <c r="AK596" s="438"/>
      <c r="AL596" s="438"/>
      <c r="AM596" s="438"/>
      <c r="AN596" s="438"/>
      <c r="AO596" s="438"/>
      <c r="AP596" s="438"/>
      <c r="AQ596" s="438"/>
      <c r="AR596" s="438"/>
      <c r="AS596" s="438"/>
      <c r="AT596" s="438"/>
      <c r="AU596" s="438"/>
      <c r="AV596" s="438"/>
      <c r="AW596" s="441"/>
      <c r="AX596" s="441"/>
      <c r="AY596" s="441"/>
      <c r="AZ596" s="441"/>
      <c r="BA596" s="441"/>
      <c r="BB596" s="441"/>
      <c r="BC596" s="441"/>
      <c r="BD596" s="441"/>
      <c r="BE596" s="441"/>
      <c r="BF596" s="441"/>
    </row>
    <row r="597" hidden="1" outlineLevel="1">
      <c r="A597" s="858" t="s">
        <v>758</v>
      </c>
      <c r="B597" s="859">
        <v>2.0</v>
      </c>
      <c r="C597" s="859">
        <v>5.0</v>
      </c>
      <c r="D597" s="859">
        <v>7.0</v>
      </c>
      <c r="E597" s="860">
        <v>11.0</v>
      </c>
      <c r="F597" s="859">
        <v>14.0</v>
      </c>
      <c r="G597" s="859">
        <v>19.0</v>
      </c>
      <c r="H597" s="859">
        <v>23.0</v>
      </c>
      <c r="I597" s="853"/>
      <c r="J597" s="851"/>
      <c r="K597" s="861"/>
      <c r="L597" s="855" t="str">
        <f t="shared" si="282"/>
        <v>#REF!</v>
      </c>
      <c r="M597" s="851"/>
      <c r="N597" s="851" t="str">
        <f t="shared" si="283"/>
        <v>#REF!</v>
      </c>
      <c r="O597" s="851"/>
      <c r="P597" s="851"/>
      <c r="Q597" s="856"/>
      <c r="R597" s="856"/>
      <c r="S597" s="856"/>
      <c r="T597" s="857"/>
      <c r="U597" s="467"/>
      <c r="V597" s="438"/>
      <c r="W597" s="438"/>
      <c r="X597" s="440">
        <v>0.0</v>
      </c>
      <c r="Y597" s="440">
        <v>0.0</v>
      </c>
      <c r="Z597" s="440">
        <v>0.0</v>
      </c>
      <c r="AA597" s="440">
        <v>0.0</v>
      </c>
      <c r="AB597" s="440">
        <v>0.0</v>
      </c>
      <c r="AC597" s="440">
        <v>0.0</v>
      </c>
      <c r="AD597" s="440">
        <v>0.0</v>
      </c>
      <c r="AE597" s="438"/>
      <c r="AF597" s="438"/>
      <c r="AG597" s="438"/>
      <c r="AH597" s="438"/>
      <c r="AI597" s="438"/>
      <c r="AJ597" s="438"/>
      <c r="AK597" s="438"/>
      <c r="AL597" s="438"/>
      <c r="AM597" s="438"/>
      <c r="AN597" s="438"/>
      <c r="AO597" s="438"/>
      <c r="AP597" s="438"/>
      <c r="AQ597" s="438"/>
      <c r="AR597" s="438"/>
      <c r="AS597" s="438"/>
      <c r="AT597" s="438"/>
      <c r="AU597" s="438"/>
      <c r="AV597" s="438"/>
      <c r="AW597" s="441"/>
      <c r="AX597" s="441"/>
      <c r="AY597" s="441"/>
      <c r="AZ597" s="441"/>
      <c r="BA597" s="441"/>
      <c r="BB597" s="441"/>
      <c r="BC597" s="441"/>
      <c r="BD597" s="441"/>
      <c r="BE597" s="441"/>
      <c r="BF597" s="441"/>
    </row>
    <row r="598" hidden="1" outlineLevel="1">
      <c r="A598" s="858" t="s">
        <v>759</v>
      </c>
      <c r="B598" s="859">
        <f t="shared" ref="B598:H598" si="284">(B595+B596)/2+B597</f>
        <v>5.5</v>
      </c>
      <c r="C598" s="859">
        <f t="shared" si="284"/>
        <v>8.5</v>
      </c>
      <c r="D598" s="859">
        <f t="shared" si="284"/>
        <v>11.5</v>
      </c>
      <c r="E598" s="859">
        <f t="shared" si="284"/>
        <v>15.5</v>
      </c>
      <c r="F598" s="859">
        <f t="shared" si="284"/>
        <v>19.5</v>
      </c>
      <c r="G598" s="859">
        <f t="shared" si="284"/>
        <v>24.5</v>
      </c>
      <c r="H598" s="859">
        <f t="shared" si="284"/>
        <v>29.5</v>
      </c>
      <c r="I598" s="853"/>
      <c r="J598" s="851"/>
      <c r="K598" s="861"/>
      <c r="L598" s="855" t="str">
        <f t="shared" si="282"/>
        <v>#REF!</v>
      </c>
      <c r="M598" s="851"/>
      <c r="N598" s="851" t="str">
        <f t="shared" si="283"/>
        <v>#REF!</v>
      </c>
      <c r="O598" s="851"/>
      <c r="P598" s="851"/>
      <c r="Q598" s="856"/>
      <c r="R598" s="856"/>
      <c r="S598" s="856"/>
      <c r="T598" s="857"/>
      <c r="U598" s="467"/>
      <c r="V598" s="438"/>
      <c r="W598" s="438"/>
      <c r="X598" s="440">
        <v>0.0</v>
      </c>
      <c r="Y598" s="440">
        <v>0.0</v>
      </c>
      <c r="Z598" s="440">
        <v>0.0</v>
      </c>
      <c r="AA598" s="440">
        <v>0.0</v>
      </c>
      <c r="AB598" s="440">
        <v>0.0</v>
      </c>
      <c r="AC598" s="440">
        <v>0.0</v>
      </c>
      <c r="AD598" s="440">
        <v>0.0</v>
      </c>
      <c r="AE598" s="438"/>
      <c r="AF598" s="438"/>
      <c r="AG598" s="438"/>
      <c r="AH598" s="438"/>
      <c r="AI598" s="438"/>
      <c r="AJ598" s="438"/>
      <c r="AK598" s="438"/>
      <c r="AL598" s="438"/>
      <c r="AM598" s="438"/>
      <c r="AN598" s="438"/>
      <c r="AO598" s="438"/>
      <c r="AP598" s="438"/>
      <c r="AQ598" s="438"/>
      <c r="AR598" s="438"/>
      <c r="AS598" s="438"/>
      <c r="AT598" s="438"/>
      <c r="AU598" s="438"/>
      <c r="AV598" s="438"/>
      <c r="AW598" s="441"/>
      <c r="AX598" s="441"/>
      <c r="AY598" s="441"/>
      <c r="AZ598" s="441"/>
      <c r="BA598" s="441"/>
      <c r="BB598" s="441"/>
      <c r="BC598" s="441"/>
      <c r="BD598" s="441"/>
      <c r="BE598" s="441"/>
      <c r="BF598" s="441"/>
    </row>
    <row r="599" hidden="1" outlineLevel="1">
      <c r="A599" s="858" t="s">
        <v>760</v>
      </c>
      <c r="B599" s="862"/>
      <c r="C599" s="862">
        <f t="shared" ref="C599:H599" si="285">C598/B598-1</f>
        <v>0.5454545455</v>
      </c>
      <c r="D599" s="862">
        <f t="shared" si="285"/>
        <v>0.3529411765</v>
      </c>
      <c r="E599" s="862">
        <f t="shared" si="285"/>
        <v>0.347826087</v>
      </c>
      <c r="F599" s="862">
        <f t="shared" si="285"/>
        <v>0.2580645161</v>
      </c>
      <c r="G599" s="862">
        <f t="shared" si="285"/>
        <v>0.2564102564</v>
      </c>
      <c r="H599" s="862">
        <f t="shared" si="285"/>
        <v>0.2040816327</v>
      </c>
      <c r="I599" s="853"/>
      <c r="J599" s="851"/>
      <c r="K599" s="861"/>
      <c r="L599" s="855" t="str">
        <f t="shared" si="282"/>
        <v>#REF!</v>
      </c>
      <c r="M599" s="851"/>
      <c r="N599" s="851" t="str">
        <f t="shared" si="283"/>
        <v>#REF!</v>
      </c>
      <c r="O599" s="851"/>
      <c r="P599" s="851"/>
      <c r="Q599" s="856"/>
      <c r="R599" s="856"/>
      <c r="S599" s="856"/>
      <c r="T599" s="857"/>
      <c r="U599" s="467"/>
      <c r="V599" s="438"/>
      <c r="W599" s="438"/>
      <c r="X599" s="440">
        <v>0.0</v>
      </c>
      <c r="Y599" s="440">
        <v>0.0</v>
      </c>
      <c r="Z599" s="440">
        <v>0.0</v>
      </c>
      <c r="AA599" s="440">
        <v>0.0</v>
      </c>
      <c r="AB599" s="440">
        <v>0.0</v>
      </c>
      <c r="AC599" s="440">
        <v>0.0</v>
      </c>
      <c r="AD599" s="440">
        <v>0.0</v>
      </c>
      <c r="AE599" s="438"/>
      <c r="AF599" s="438"/>
      <c r="AG599" s="438"/>
      <c r="AH599" s="438"/>
      <c r="AI599" s="438"/>
      <c r="AJ599" s="438"/>
      <c r="AK599" s="438"/>
      <c r="AL599" s="438"/>
      <c r="AM599" s="438"/>
      <c r="AN599" s="438"/>
      <c r="AO599" s="438"/>
      <c r="AP599" s="438"/>
      <c r="AQ599" s="438"/>
      <c r="AR599" s="438"/>
      <c r="AS599" s="438"/>
      <c r="AT599" s="438"/>
      <c r="AU599" s="438"/>
      <c r="AV599" s="438"/>
      <c r="AW599" s="441"/>
      <c r="AX599" s="441"/>
      <c r="AY599" s="441"/>
      <c r="AZ599" s="441"/>
      <c r="BA599" s="441"/>
      <c r="BB599" s="441"/>
      <c r="BC599" s="441"/>
      <c r="BD599" s="441"/>
      <c r="BE599" s="441"/>
      <c r="BF599" s="441"/>
    </row>
    <row r="600" hidden="1" outlineLevel="1">
      <c r="A600" s="858" t="s">
        <v>761</v>
      </c>
      <c r="B600" s="859">
        <v>3.0</v>
      </c>
      <c r="C600" s="859"/>
      <c r="D600" s="862"/>
      <c r="E600" s="862"/>
      <c r="F600" s="862"/>
      <c r="G600" s="862"/>
      <c r="H600" s="862"/>
      <c r="I600" s="853"/>
      <c r="J600" s="851"/>
      <c r="K600" s="861"/>
      <c r="L600" s="855" t="str">
        <f t="shared" si="282"/>
        <v>#REF!</v>
      </c>
      <c r="M600" s="851"/>
      <c r="N600" s="851" t="str">
        <f t="shared" si="283"/>
        <v>#REF!</v>
      </c>
      <c r="O600" s="851"/>
      <c r="P600" s="851"/>
      <c r="Q600" s="856"/>
      <c r="R600" s="856"/>
      <c r="S600" s="856"/>
      <c r="T600" s="857"/>
      <c r="U600" s="467"/>
      <c r="V600" s="438"/>
      <c r="W600" s="438"/>
      <c r="X600" s="440">
        <v>0.0</v>
      </c>
      <c r="Y600" s="440">
        <v>0.0</v>
      </c>
      <c r="Z600" s="440">
        <v>0.0</v>
      </c>
      <c r="AA600" s="440">
        <v>0.0</v>
      </c>
      <c r="AB600" s="440">
        <v>0.0</v>
      </c>
      <c r="AC600" s="440">
        <v>0.0</v>
      </c>
      <c r="AD600" s="440">
        <v>0.0</v>
      </c>
      <c r="AE600" s="438"/>
      <c r="AF600" s="438"/>
      <c r="AG600" s="438"/>
      <c r="AH600" s="438"/>
      <c r="AI600" s="438"/>
      <c r="AJ600" s="438"/>
      <c r="AK600" s="438"/>
      <c r="AL600" s="438"/>
      <c r="AM600" s="438"/>
      <c r="AN600" s="438"/>
      <c r="AO600" s="438"/>
      <c r="AP600" s="438"/>
      <c r="AQ600" s="438"/>
      <c r="AR600" s="438"/>
      <c r="AS600" s="438"/>
      <c r="AT600" s="438"/>
      <c r="AU600" s="438"/>
      <c r="AV600" s="438"/>
      <c r="AW600" s="441"/>
      <c r="AX600" s="441"/>
      <c r="AY600" s="441"/>
      <c r="AZ600" s="441"/>
      <c r="BA600" s="441"/>
      <c r="BB600" s="441"/>
      <c r="BC600" s="441"/>
      <c r="BD600" s="441"/>
      <c r="BE600" s="441"/>
      <c r="BF600" s="441"/>
    </row>
    <row r="601" hidden="1" outlineLevel="1">
      <c r="A601" s="858" t="s">
        <v>762</v>
      </c>
      <c r="B601" s="863">
        <f t="shared" ref="B601:H601" si="286">B598/$B600</f>
        <v>1.833333333</v>
      </c>
      <c r="C601" s="863">
        <f t="shared" si="286"/>
        <v>2.833333333</v>
      </c>
      <c r="D601" s="863">
        <f t="shared" si="286"/>
        <v>3.833333333</v>
      </c>
      <c r="E601" s="863">
        <f t="shared" si="286"/>
        <v>5.166666667</v>
      </c>
      <c r="F601" s="863">
        <f t="shared" si="286"/>
        <v>6.5</v>
      </c>
      <c r="G601" s="863">
        <f t="shared" si="286"/>
        <v>8.166666667</v>
      </c>
      <c r="H601" s="863">
        <f t="shared" si="286"/>
        <v>9.833333333</v>
      </c>
      <c r="I601" s="853"/>
      <c r="J601" s="851"/>
      <c r="K601" s="861"/>
      <c r="L601" s="855" t="str">
        <f t="shared" si="282"/>
        <v>#REF!</v>
      </c>
      <c r="M601" s="851"/>
      <c r="N601" s="851" t="str">
        <f t="shared" si="283"/>
        <v>#REF!</v>
      </c>
      <c r="O601" s="851"/>
      <c r="P601" s="851"/>
      <c r="Q601" s="856"/>
      <c r="R601" s="856"/>
      <c r="S601" s="856"/>
      <c r="T601" s="857"/>
      <c r="U601" s="467"/>
      <c r="V601" s="438"/>
      <c r="W601" s="438"/>
      <c r="X601" s="440">
        <v>0.0</v>
      </c>
      <c r="Y601" s="440">
        <v>0.0</v>
      </c>
      <c r="Z601" s="440">
        <v>0.0</v>
      </c>
      <c r="AA601" s="440">
        <v>0.0</v>
      </c>
      <c r="AB601" s="440">
        <v>0.0</v>
      </c>
      <c r="AC601" s="440">
        <v>0.0</v>
      </c>
      <c r="AD601" s="440">
        <v>0.0</v>
      </c>
      <c r="AE601" s="438"/>
      <c r="AF601" s="438"/>
      <c r="AG601" s="438"/>
      <c r="AH601" s="438"/>
      <c r="AI601" s="438"/>
      <c r="AJ601" s="438"/>
      <c r="AK601" s="438"/>
      <c r="AL601" s="438"/>
      <c r="AM601" s="438"/>
      <c r="AN601" s="438"/>
      <c r="AO601" s="438"/>
      <c r="AP601" s="438"/>
      <c r="AQ601" s="438"/>
      <c r="AR601" s="438"/>
      <c r="AS601" s="438"/>
      <c r="AT601" s="438"/>
      <c r="AU601" s="438"/>
      <c r="AV601" s="438"/>
      <c r="AW601" s="441"/>
      <c r="AX601" s="441"/>
      <c r="AY601" s="441"/>
      <c r="AZ601" s="441"/>
      <c r="BA601" s="441"/>
      <c r="BB601" s="441"/>
      <c r="BC601" s="441"/>
      <c r="BD601" s="441"/>
      <c r="BE601" s="441"/>
      <c r="BF601" s="441"/>
    </row>
    <row r="602" collapsed="1">
      <c r="A602" s="850" t="s">
        <v>1179</v>
      </c>
      <c r="B602" s="851" t="s">
        <v>916</v>
      </c>
      <c r="C602" s="851" t="s">
        <v>1073</v>
      </c>
      <c r="D602" s="851" t="s">
        <v>904</v>
      </c>
      <c r="E602" s="852" t="s">
        <v>30</v>
      </c>
      <c r="F602" s="851" t="s">
        <v>811</v>
      </c>
      <c r="G602" s="851" t="s">
        <v>1180</v>
      </c>
      <c r="H602" s="851" t="s">
        <v>1181</v>
      </c>
      <c r="I602" s="853" t="s">
        <v>754</v>
      </c>
      <c r="J602" s="851">
        <v>-3.0</v>
      </c>
      <c r="K602" s="854">
        <v>4.0</v>
      </c>
      <c r="L602" s="855">
        <f>VLOOKUP(A602,'Механик'!$B$171:$I$174,8,FALSE)</f>
        <v>1.64</v>
      </c>
      <c r="M602" s="852" t="s">
        <v>976</v>
      </c>
      <c r="N602" s="851">
        <f>VLOOKUP(A602,'Механик'!$B$171:$I$174,5,FALSE)</f>
        <v>9</v>
      </c>
      <c r="O602" s="864">
        <v>11.0</v>
      </c>
      <c r="P602" s="864" t="s">
        <v>988</v>
      </c>
      <c r="Q602" s="865"/>
      <c r="R602" s="865"/>
      <c r="S602" s="865" t="s">
        <v>1182</v>
      </c>
      <c r="T602" s="866">
        <v>10.0</v>
      </c>
      <c r="U602" s="467"/>
      <c r="V602" s="463"/>
      <c r="W602" s="463" t="s">
        <v>1178</v>
      </c>
      <c r="X602" s="440">
        <v>0.0</v>
      </c>
      <c r="Y602" s="440">
        <v>0.0</v>
      </c>
      <c r="Z602" s="440">
        <v>0.0</v>
      </c>
      <c r="AA602" s="440">
        <v>0.0</v>
      </c>
      <c r="AB602" s="440">
        <v>0.0</v>
      </c>
      <c r="AC602" s="440">
        <v>0.0</v>
      </c>
      <c r="AD602" s="438"/>
      <c r="AE602" s="438"/>
      <c r="AF602" s="438"/>
      <c r="AG602" s="438"/>
      <c r="AH602" s="438"/>
      <c r="AI602" s="438"/>
      <c r="AJ602" s="438"/>
      <c r="AK602" s="438"/>
      <c r="AL602" s="438"/>
      <c r="AM602" s="438"/>
      <c r="AN602" s="438"/>
      <c r="AO602" s="438"/>
      <c r="AP602" s="438"/>
      <c r="AQ602" s="438"/>
      <c r="AR602" s="438"/>
      <c r="AS602" s="438"/>
      <c r="AT602" s="438"/>
      <c r="AU602" s="438"/>
      <c r="AV602" s="438"/>
      <c r="AW602" s="441"/>
      <c r="AX602" s="441"/>
      <c r="AY602" s="441"/>
      <c r="AZ602" s="441"/>
      <c r="BA602" s="441"/>
      <c r="BB602" s="441"/>
      <c r="BC602" s="441"/>
      <c r="BD602" s="441"/>
      <c r="BE602" s="441"/>
      <c r="BF602" s="441"/>
    </row>
    <row r="603" hidden="1" outlineLevel="1">
      <c r="A603" s="858" t="s">
        <v>756</v>
      </c>
      <c r="B603" s="859">
        <v>1.0</v>
      </c>
      <c r="C603" s="859">
        <v>1.0</v>
      </c>
      <c r="D603" s="859">
        <v>1.0</v>
      </c>
      <c r="E603" s="859">
        <v>1.0</v>
      </c>
      <c r="F603" s="859">
        <v>1.0</v>
      </c>
      <c r="G603" s="859">
        <v>1.0</v>
      </c>
      <c r="H603" s="859">
        <v>1.0</v>
      </c>
      <c r="I603" s="853"/>
      <c r="J603" s="851"/>
      <c r="K603" s="861"/>
      <c r="L603" s="855" t="str">
        <f t="shared" ref="L603:L609" si="287">VLOOKUP(A603,'Создание оружия'!$B$12:$H$104,7,FALSE)</f>
        <v>#REF!</v>
      </c>
      <c r="M603" s="851"/>
      <c r="N603" s="851" t="str">
        <f t="shared" ref="N603:N609" si="288">VLOOKUP(A603,'Создание оружия'!$B$12:$H$104,5,FALSE)</f>
        <v>#REF!</v>
      </c>
      <c r="O603" s="864"/>
      <c r="P603" s="864"/>
      <c r="Q603" s="865"/>
      <c r="R603" s="865"/>
      <c r="S603" s="865"/>
      <c r="T603" s="866"/>
      <c r="U603" s="467"/>
      <c r="V603" s="463"/>
      <c r="W603" s="463" t="s">
        <v>1183</v>
      </c>
      <c r="X603" s="440">
        <v>0.0</v>
      </c>
      <c r="Y603" s="440">
        <v>0.0</v>
      </c>
      <c r="Z603" s="440">
        <v>0.0</v>
      </c>
      <c r="AA603" s="440">
        <v>0.0</v>
      </c>
      <c r="AB603" s="440">
        <v>0.0</v>
      </c>
      <c r="AC603" s="440">
        <v>0.0</v>
      </c>
      <c r="AD603" s="440">
        <v>0.0</v>
      </c>
      <c r="AE603" s="438"/>
      <c r="AF603" s="438"/>
      <c r="AG603" s="438"/>
      <c r="AH603" s="438"/>
      <c r="AI603" s="438"/>
      <c r="AJ603" s="438"/>
      <c r="AK603" s="438"/>
      <c r="AL603" s="438"/>
      <c r="AM603" s="438"/>
      <c r="AN603" s="438"/>
      <c r="AO603" s="438"/>
      <c r="AP603" s="438"/>
      <c r="AQ603" s="438"/>
      <c r="AR603" s="438"/>
      <c r="AS603" s="438"/>
      <c r="AT603" s="438"/>
      <c r="AU603" s="438"/>
      <c r="AV603" s="438"/>
      <c r="AW603" s="441"/>
      <c r="AX603" s="441"/>
      <c r="AY603" s="441"/>
      <c r="AZ603" s="441"/>
      <c r="BA603" s="441"/>
      <c r="BB603" s="441"/>
      <c r="BC603" s="441"/>
      <c r="BD603" s="441"/>
      <c r="BE603" s="441"/>
      <c r="BF603" s="441"/>
    </row>
    <row r="604" hidden="1" outlineLevel="1">
      <c r="A604" s="858" t="s">
        <v>757</v>
      </c>
      <c r="B604" s="859">
        <v>6.0</v>
      </c>
      <c r="C604" s="859">
        <v>6.0</v>
      </c>
      <c r="D604" s="859">
        <v>8.0</v>
      </c>
      <c r="E604" s="859">
        <v>8.0</v>
      </c>
      <c r="F604" s="859">
        <v>10.0</v>
      </c>
      <c r="G604" s="859">
        <v>10.0</v>
      </c>
      <c r="H604" s="859">
        <v>12.0</v>
      </c>
      <c r="I604" s="853"/>
      <c r="J604" s="851"/>
      <c r="K604" s="861"/>
      <c r="L604" s="855" t="str">
        <f t="shared" si="287"/>
        <v>#REF!</v>
      </c>
      <c r="M604" s="851"/>
      <c r="N604" s="851" t="str">
        <f t="shared" si="288"/>
        <v>#REF!</v>
      </c>
      <c r="O604" s="864"/>
      <c r="P604" s="864"/>
      <c r="Q604" s="865"/>
      <c r="R604" s="865"/>
      <c r="S604" s="865"/>
      <c r="T604" s="866"/>
      <c r="U604" s="467"/>
      <c r="V604" s="463"/>
      <c r="W604" s="463" t="s">
        <v>1183</v>
      </c>
      <c r="X604" s="440">
        <v>0.0</v>
      </c>
      <c r="Y604" s="440">
        <v>0.0</v>
      </c>
      <c r="Z604" s="440">
        <v>0.0</v>
      </c>
      <c r="AA604" s="440">
        <v>0.0</v>
      </c>
      <c r="AB604" s="440">
        <v>0.0</v>
      </c>
      <c r="AC604" s="440">
        <v>0.0</v>
      </c>
      <c r="AD604" s="440">
        <v>0.0</v>
      </c>
      <c r="AE604" s="438"/>
      <c r="AF604" s="438"/>
      <c r="AG604" s="438"/>
      <c r="AH604" s="438"/>
      <c r="AI604" s="438"/>
      <c r="AJ604" s="438"/>
      <c r="AK604" s="438"/>
      <c r="AL604" s="438"/>
      <c r="AM604" s="438"/>
      <c r="AN604" s="438"/>
      <c r="AO604" s="438"/>
      <c r="AP604" s="438"/>
      <c r="AQ604" s="438"/>
      <c r="AR604" s="438"/>
      <c r="AS604" s="438"/>
      <c r="AT604" s="438"/>
      <c r="AU604" s="438"/>
      <c r="AV604" s="438"/>
      <c r="AW604" s="441"/>
      <c r="AX604" s="441"/>
      <c r="AY604" s="441"/>
      <c r="AZ604" s="441"/>
      <c r="BA604" s="441"/>
      <c r="BB604" s="441"/>
      <c r="BC604" s="441"/>
      <c r="BD604" s="441"/>
      <c r="BE604" s="441"/>
      <c r="BF604" s="441"/>
    </row>
    <row r="605" hidden="1" outlineLevel="1">
      <c r="A605" s="858" t="s">
        <v>758</v>
      </c>
      <c r="B605" s="859">
        <v>4.0</v>
      </c>
      <c r="C605" s="859">
        <v>8.0</v>
      </c>
      <c r="D605" s="859">
        <v>11.0</v>
      </c>
      <c r="E605" s="859">
        <v>16.0</v>
      </c>
      <c r="F605" s="859">
        <v>20.0</v>
      </c>
      <c r="G605" s="859">
        <v>26.0</v>
      </c>
      <c r="H605" s="859">
        <v>31.0</v>
      </c>
      <c r="I605" s="853"/>
      <c r="J605" s="851"/>
      <c r="K605" s="861"/>
      <c r="L605" s="855" t="str">
        <f t="shared" si="287"/>
        <v>#REF!</v>
      </c>
      <c r="M605" s="851"/>
      <c r="N605" s="851" t="str">
        <f t="shared" si="288"/>
        <v>#REF!</v>
      </c>
      <c r="O605" s="864"/>
      <c r="P605" s="864"/>
      <c r="Q605" s="865"/>
      <c r="R605" s="865"/>
      <c r="S605" s="865"/>
      <c r="T605" s="866"/>
      <c r="U605" s="467"/>
      <c r="V605" s="463"/>
      <c r="W605" s="463" t="s">
        <v>1183</v>
      </c>
      <c r="X605" s="440">
        <v>0.0</v>
      </c>
      <c r="Y605" s="440">
        <v>0.0</v>
      </c>
      <c r="Z605" s="440">
        <v>0.0</v>
      </c>
      <c r="AA605" s="440">
        <v>0.0</v>
      </c>
      <c r="AB605" s="440">
        <v>0.0</v>
      </c>
      <c r="AC605" s="440">
        <v>0.0</v>
      </c>
      <c r="AD605" s="440">
        <v>0.0</v>
      </c>
      <c r="AE605" s="438"/>
      <c r="AF605" s="438"/>
      <c r="AG605" s="438"/>
      <c r="AH605" s="438"/>
      <c r="AI605" s="438"/>
      <c r="AJ605" s="438"/>
      <c r="AK605" s="438"/>
      <c r="AL605" s="438"/>
      <c r="AM605" s="438"/>
      <c r="AN605" s="438"/>
      <c r="AO605" s="438"/>
      <c r="AP605" s="438"/>
      <c r="AQ605" s="438"/>
      <c r="AR605" s="438"/>
      <c r="AS605" s="438"/>
      <c r="AT605" s="438"/>
      <c r="AU605" s="438"/>
      <c r="AV605" s="438"/>
      <c r="AW605" s="441"/>
      <c r="AX605" s="441"/>
      <c r="AY605" s="441"/>
      <c r="AZ605" s="441"/>
      <c r="BA605" s="441"/>
      <c r="BB605" s="441"/>
      <c r="BC605" s="441"/>
      <c r="BD605" s="441"/>
      <c r="BE605" s="441"/>
      <c r="BF605" s="441"/>
    </row>
    <row r="606" hidden="1" outlineLevel="1">
      <c r="A606" s="858" t="s">
        <v>759</v>
      </c>
      <c r="B606" s="859">
        <f t="shared" ref="B606:H606" si="289">(B603+B604)/2+B605</f>
        <v>7.5</v>
      </c>
      <c r="C606" s="859">
        <f t="shared" si="289"/>
        <v>11.5</v>
      </c>
      <c r="D606" s="859">
        <f t="shared" si="289"/>
        <v>15.5</v>
      </c>
      <c r="E606" s="859">
        <f t="shared" si="289"/>
        <v>20.5</v>
      </c>
      <c r="F606" s="859">
        <f t="shared" si="289"/>
        <v>25.5</v>
      </c>
      <c r="G606" s="859">
        <f t="shared" si="289"/>
        <v>31.5</v>
      </c>
      <c r="H606" s="859">
        <f t="shared" si="289"/>
        <v>37.5</v>
      </c>
      <c r="I606" s="853"/>
      <c r="J606" s="851"/>
      <c r="K606" s="861"/>
      <c r="L606" s="855" t="str">
        <f t="shared" si="287"/>
        <v>#REF!</v>
      </c>
      <c r="M606" s="851"/>
      <c r="N606" s="851" t="str">
        <f t="shared" si="288"/>
        <v>#REF!</v>
      </c>
      <c r="O606" s="864"/>
      <c r="P606" s="864"/>
      <c r="Q606" s="865"/>
      <c r="R606" s="865"/>
      <c r="S606" s="865"/>
      <c r="T606" s="866"/>
      <c r="U606" s="467"/>
      <c r="V606" s="463"/>
      <c r="W606" s="463" t="s">
        <v>1183</v>
      </c>
      <c r="X606" s="440">
        <v>0.0</v>
      </c>
      <c r="Y606" s="440">
        <v>0.0</v>
      </c>
      <c r="Z606" s="440">
        <v>0.0</v>
      </c>
      <c r="AA606" s="440">
        <v>0.0</v>
      </c>
      <c r="AB606" s="440">
        <v>0.0</v>
      </c>
      <c r="AC606" s="440">
        <v>0.0</v>
      </c>
      <c r="AD606" s="440">
        <v>0.0</v>
      </c>
      <c r="AE606" s="438"/>
      <c r="AF606" s="438"/>
      <c r="AG606" s="438"/>
      <c r="AH606" s="438"/>
      <c r="AI606" s="438"/>
      <c r="AJ606" s="438"/>
      <c r="AK606" s="438"/>
      <c r="AL606" s="438"/>
      <c r="AM606" s="438"/>
      <c r="AN606" s="438"/>
      <c r="AO606" s="438"/>
      <c r="AP606" s="438"/>
      <c r="AQ606" s="438"/>
      <c r="AR606" s="438"/>
      <c r="AS606" s="438"/>
      <c r="AT606" s="438"/>
      <c r="AU606" s="438"/>
      <c r="AV606" s="438"/>
      <c r="AW606" s="441"/>
      <c r="AX606" s="441"/>
      <c r="AY606" s="441"/>
      <c r="AZ606" s="441"/>
      <c r="BA606" s="441"/>
      <c r="BB606" s="441"/>
      <c r="BC606" s="441"/>
      <c r="BD606" s="441"/>
      <c r="BE606" s="441"/>
      <c r="BF606" s="441"/>
    </row>
    <row r="607" hidden="1" outlineLevel="1">
      <c r="A607" s="858" t="s">
        <v>760</v>
      </c>
      <c r="B607" s="862"/>
      <c r="C607" s="862">
        <f t="shared" ref="C607:H607" si="290">C606/B606-1</f>
        <v>0.5333333333</v>
      </c>
      <c r="D607" s="862">
        <f t="shared" si="290"/>
        <v>0.347826087</v>
      </c>
      <c r="E607" s="862">
        <f t="shared" si="290"/>
        <v>0.3225806452</v>
      </c>
      <c r="F607" s="862">
        <f t="shared" si="290"/>
        <v>0.243902439</v>
      </c>
      <c r="G607" s="862">
        <f t="shared" si="290"/>
        <v>0.2352941176</v>
      </c>
      <c r="H607" s="862">
        <f t="shared" si="290"/>
        <v>0.1904761905</v>
      </c>
      <c r="I607" s="853"/>
      <c r="J607" s="851"/>
      <c r="K607" s="861"/>
      <c r="L607" s="855" t="str">
        <f t="shared" si="287"/>
        <v>#REF!</v>
      </c>
      <c r="M607" s="851"/>
      <c r="N607" s="851" t="str">
        <f t="shared" si="288"/>
        <v>#REF!</v>
      </c>
      <c r="O607" s="864"/>
      <c r="P607" s="864"/>
      <c r="Q607" s="865"/>
      <c r="R607" s="865"/>
      <c r="S607" s="865"/>
      <c r="T607" s="866"/>
      <c r="U607" s="467"/>
      <c r="V607" s="463"/>
      <c r="W607" s="463" t="s">
        <v>1183</v>
      </c>
      <c r="X607" s="440">
        <v>0.0</v>
      </c>
      <c r="Y607" s="440">
        <v>0.0</v>
      </c>
      <c r="Z607" s="440">
        <v>0.0</v>
      </c>
      <c r="AA607" s="440">
        <v>0.0</v>
      </c>
      <c r="AB607" s="440">
        <v>0.0</v>
      </c>
      <c r="AC607" s="440">
        <v>0.0</v>
      </c>
      <c r="AD607" s="440">
        <v>0.0</v>
      </c>
      <c r="AE607" s="438"/>
      <c r="AF607" s="438"/>
      <c r="AG607" s="438"/>
      <c r="AH607" s="438"/>
      <c r="AI607" s="438"/>
      <c r="AJ607" s="438"/>
      <c r="AK607" s="438"/>
      <c r="AL607" s="438"/>
      <c r="AM607" s="438"/>
      <c r="AN607" s="438"/>
      <c r="AO607" s="438"/>
      <c r="AP607" s="438"/>
      <c r="AQ607" s="438"/>
      <c r="AR607" s="438"/>
      <c r="AS607" s="438"/>
      <c r="AT607" s="438"/>
      <c r="AU607" s="438"/>
      <c r="AV607" s="438"/>
      <c r="AW607" s="441"/>
      <c r="AX607" s="441"/>
      <c r="AY607" s="441"/>
      <c r="AZ607" s="441"/>
      <c r="BA607" s="441"/>
      <c r="BB607" s="441"/>
      <c r="BC607" s="441"/>
      <c r="BD607" s="441"/>
      <c r="BE607" s="441"/>
      <c r="BF607" s="441"/>
    </row>
    <row r="608" hidden="1" outlineLevel="1">
      <c r="A608" s="858" t="s">
        <v>761</v>
      </c>
      <c r="B608" s="859">
        <v>4.0</v>
      </c>
      <c r="C608" s="859"/>
      <c r="D608" s="862"/>
      <c r="E608" s="862" t="s">
        <v>30</v>
      </c>
      <c r="F608" s="862"/>
      <c r="G608" s="862"/>
      <c r="H608" s="862"/>
      <c r="I608" s="853"/>
      <c r="J608" s="851"/>
      <c r="K608" s="861"/>
      <c r="L608" s="855" t="str">
        <f t="shared" si="287"/>
        <v>#REF!</v>
      </c>
      <c r="M608" s="851"/>
      <c r="N608" s="851" t="str">
        <f t="shared" si="288"/>
        <v>#REF!</v>
      </c>
      <c r="O608" s="864"/>
      <c r="P608" s="864"/>
      <c r="Q608" s="865"/>
      <c r="R608" s="865"/>
      <c r="S608" s="865"/>
      <c r="T608" s="866"/>
      <c r="U608" s="467"/>
      <c r="V608" s="463"/>
      <c r="W608" s="463" t="s">
        <v>1183</v>
      </c>
      <c r="X608" s="440">
        <v>0.0</v>
      </c>
      <c r="Y608" s="440">
        <v>0.0</v>
      </c>
      <c r="Z608" s="440">
        <v>0.0</v>
      </c>
      <c r="AA608" s="440">
        <v>0.0</v>
      </c>
      <c r="AB608" s="440">
        <v>0.0</v>
      </c>
      <c r="AC608" s="440">
        <v>0.0</v>
      </c>
      <c r="AD608" s="440">
        <v>0.0</v>
      </c>
      <c r="AE608" s="438"/>
      <c r="AF608" s="438"/>
      <c r="AG608" s="438"/>
      <c r="AH608" s="438"/>
      <c r="AI608" s="438"/>
      <c r="AJ608" s="438"/>
      <c r="AK608" s="438"/>
      <c r="AL608" s="438"/>
      <c r="AM608" s="438"/>
      <c r="AN608" s="438"/>
      <c r="AO608" s="438"/>
      <c r="AP608" s="438"/>
      <c r="AQ608" s="438"/>
      <c r="AR608" s="438"/>
      <c r="AS608" s="438"/>
      <c r="AT608" s="438"/>
      <c r="AU608" s="438"/>
      <c r="AV608" s="438"/>
      <c r="AW608" s="441"/>
      <c r="AX608" s="441"/>
      <c r="AY608" s="441"/>
      <c r="AZ608" s="441"/>
      <c r="BA608" s="441"/>
      <c r="BB608" s="441"/>
      <c r="BC608" s="441"/>
      <c r="BD608" s="441"/>
      <c r="BE608" s="441"/>
      <c r="BF608" s="441"/>
    </row>
    <row r="609" hidden="1" outlineLevel="1">
      <c r="A609" s="858" t="s">
        <v>762</v>
      </c>
      <c r="B609" s="863">
        <f t="shared" ref="B609:H609" si="291">B606/$B608</f>
        <v>1.875</v>
      </c>
      <c r="C609" s="863">
        <f t="shared" si="291"/>
        <v>2.875</v>
      </c>
      <c r="D609" s="863">
        <f t="shared" si="291"/>
        <v>3.875</v>
      </c>
      <c r="E609" s="863">
        <f t="shared" si="291"/>
        <v>5.125</v>
      </c>
      <c r="F609" s="863">
        <f t="shared" si="291"/>
        <v>6.375</v>
      </c>
      <c r="G609" s="863">
        <f t="shared" si="291"/>
        <v>7.875</v>
      </c>
      <c r="H609" s="863">
        <f t="shared" si="291"/>
        <v>9.375</v>
      </c>
      <c r="I609" s="853"/>
      <c r="J609" s="851"/>
      <c r="K609" s="861"/>
      <c r="L609" s="855" t="str">
        <f t="shared" si="287"/>
        <v>#REF!</v>
      </c>
      <c r="M609" s="851"/>
      <c r="N609" s="851" t="str">
        <f t="shared" si="288"/>
        <v>#REF!</v>
      </c>
      <c r="O609" s="864"/>
      <c r="P609" s="864"/>
      <c r="Q609" s="865"/>
      <c r="R609" s="865"/>
      <c r="S609" s="865"/>
      <c r="T609" s="866"/>
      <c r="U609" s="467"/>
      <c r="V609" s="463"/>
      <c r="W609" s="463" t="s">
        <v>1183</v>
      </c>
      <c r="X609" s="440">
        <v>0.0</v>
      </c>
      <c r="Y609" s="440">
        <v>0.0</v>
      </c>
      <c r="Z609" s="440">
        <v>0.0</v>
      </c>
      <c r="AA609" s="440">
        <v>0.0</v>
      </c>
      <c r="AB609" s="440">
        <v>0.0</v>
      </c>
      <c r="AC609" s="440">
        <v>0.0</v>
      </c>
      <c r="AD609" s="440">
        <v>0.0</v>
      </c>
      <c r="AE609" s="438"/>
      <c r="AF609" s="438"/>
      <c r="AG609" s="438"/>
      <c r="AH609" s="438"/>
      <c r="AI609" s="438"/>
      <c r="AJ609" s="438"/>
      <c r="AK609" s="438"/>
      <c r="AL609" s="438"/>
      <c r="AM609" s="438"/>
      <c r="AN609" s="438"/>
      <c r="AO609" s="438"/>
      <c r="AP609" s="438"/>
      <c r="AQ609" s="438"/>
      <c r="AR609" s="438"/>
      <c r="AS609" s="438"/>
      <c r="AT609" s="438"/>
      <c r="AU609" s="438"/>
      <c r="AV609" s="438"/>
      <c r="AW609" s="441"/>
      <c r="AX609" s="441"/>
      <c r="AY609" s="441"/>
      <c r="AZ609" s="441"/>
      <c r="BA609" s="441"/>
      <c r="BB609" s="441"/>
      <c r="BC609" s="441"/>
      <c r="BD609" s="441"/>
      <c r="BE609" s="441"/>
      <c r="BF609" s="441"/>
    </row>
    <row r="610" collapsed="1">
      <c r="A610" s="867" t="s">
        <v>1184</v>
      </c>
      <c r="B610" s="851" t="s">
        <v>798</v>
      </c>
      <c r="C610" s="851" t="s">
        <v>752</v>
      </c>
      <c r="D610" s="851" t="s">
        <v>1172</v>
      </c>
      <c r="E610" s="852" t="s">
        <v>30</v>
      </c>
      <c r="F610" s="851" t="s">
        <v>1080</v>
      </c>
      <c r="G610" s="851" t="s">
        <v>1185</v>
      </c>
      <c r="H610" s="851" t="s">
        <v>1167</v>
      </c>
      <c r="I610" s="853" t="s">
        <v>754</v>
      </c>
      <c r="J610" s="851">
        <v>-3.0</v>
      </c>
      <c r="K610" s="854">
        <v>5.0</v>
      </c>
      <c r="L610" s="855">
        <f>VLOOKUP(A610,'Механик'!$B$171:$I$174,8,FALSE)</f>
        <v>2.46</v>
      </c>
      <c r="M610" s="852" t="s">
        <v>789</v>
      </c>
      <c r="N610" s="851">
        <f>VLOOKUP(A610,'Механик'!$B$171:$I$174,5,FALSE)</f>
        <v>13</v>
      </c>
      <c r="O610" s="864">
        <v>14.0</v>
      </c>
      <c r="P610" s="864" t="s">
        <v>988</v>
      </c>
      <c r="Q610" s="865"/>
      <c r="R610" s="865" t="s">
        <v>767</v>
      </c>
      <c r="S610" s="865" t="s">
        <v>1057</v>
      </c>
      <c r="T610" s="866">
        <v>14.0</v>
      </c>
      <c r="U610" s="467"/>
      <c r="V610" s="463">
        <v>1.0</v>
      </c>
      <c r="W610" s="463" t="s">
        <v>1178</v>
      </c>
      <c r="X610" s="440">
        <v>0.0</v>
      </c>
      <c r="Y610" s="440">
        <v>0.0</v>
      </c>
      <c r="Z610" s="440">
        <v>0.0</v>
      </c>
      <c r="AA610" s="440">
        <v>0.0</v>
      </c>
      <c r="AB610" s="440">
        <v>0.0</v>
      </c>
      <c r="AC610" s="440">
        <v>0.0</v>
      </c>
      <c r="AD610" s="438"/>
      <c r="AE610" s="438"/>
      <c r="AF610" s="438"/>
      <c r="AG610" s="438"/>
      <c r="AH610" s="438"/>
      <c r="AI610" s="438"/>
      <c r="AJ610" s="438"/>
      <c r="AK610" s="438"/>
      <c r="AL610" s="438"/>
      <c r="AM610" s="438"/>
      <c r="AN610" s="438"/>
      <c r="AO610" s="438"/>
      <c r="AP610" s="438"/>
      <c r="AQ610" s="438"/>
      <c r="AR610" s="438"/>
      <c r="AS610" s="438"/>
      <c r="AT610" s="438"/>
      <c r="AU610" s="438"/>
      <c r="AV610" s="438"/>
      <c r="AW610" s="441"/>
      <c r="AX610" s="441"/>
      <c r="AY610" s="441"/>
      <c r="AZ610" s="441"/>
      <c r="BA610" s="441"/>
      <c r="BB610" s="441"/>
      <c r="BC610" s="441"/>
      <c r="BD610" s="441"/>
      <c r="BE610" s="441"/>
      <c r="BF610" s="441"/>
    </row>
    <row r="611" hidden="1" outlineLevel="1">
      <c r="A611" s="858" t="s">
        <v>756</v>
      </c>
      <c r="B611" s="859">
        <v>1.0</v>
      </c>
      <c r="C611" s="859">
        <v>1.0</v>
      </c>
      <c r="D611" s="859">
        <v>1.0</v>
      </c>
      <c r="E611" s="859">
        <v>1.0</v>
      </c>
      <c r="F611" s="859">
        <v>1.0</v>
      </c>
      <c r="G611" s="859">
        <v>1.0</v>
      </c>
      <c r="H611" s="859">
        <v>2.0</v>
      </c>
      <c r="I611" s="853"/>
      <c r="J611" s="851"/>
      <c r="K611" s="861"/>
      <c r="L611" s="855" t="str">
        <f t="shared" ref="L611:L617" si="292">VLOOKUP(A611,'Создание оружия'!$B$12:$H$104,7,FALSE)</f>
        <v>#REF!</v>
      </c>
      <c r="M611" s="851"/>
      <c r="N611" s="851" t="str">
        <f t="shared" ref="N611:N617" si="293">VLOOKUP(A611,'Создание оружия'!$B$12:$H$104,5,FALSE)</f>
        <v>#REF!</v>
      </c>
      <c r="O611" s="864"/>
      <c r="P611" s="864" t="s">
        <v>988</v>
      </c>
      <c r="Q611" s="865"/>
      <c r="R611" s="865"/>
      <c r="S611" s="865"/>
      <c r="T611" s="866"/>
      <c r="U611" s="467"/>
      <c r="V611" s="463"/>
      <c r="W611" s="463" t="s">
        <v>1183</v>
      </c>
      <c r="X611" s="440">
        <v>0.0</v>
      </c>
      <c r="Y611" s="440">
        <v>0.0</v>
      </c>
      <c r="Z611" s="440">
        <v>0.0</v>
      </c>
      <c r="AA611" s="440">
        <v>0.0</v>
      </c>
      <c r="AB611" s="440">
        <v>0.0</v>
      </c>
      <c r="AC611" s="440">
        <v>0.0</v>
      </c>
      <c r="AD611" s="440">
        <v>0.0</v>
      </c>
      <c r="AE611" s="438"/>
      <c r="AF611" s="438"/>
      <c r="AG611" s="438"/>
      <c r="AH611" s="438"/>
      <c r="AI611" s="438"/>
      <c r="AJ611" s="438"/>
      <c r="AK611" s="438"/>
      <c r="AL611" s="438"/>
      <c r="AM611" s="438"/>
      <c r="AN611" s="438"/>
      <c r="AO611" s="438"/>
      <c r="AP611" s="438"/>
      <c r="AQ611" s="438"/>
      <c r="AR611" s="438"/>
      <c r="AS611" s="438"/>
      <c r="AT611" s="438"/>
      <c r="AU611" s="438"/>
      <c r="AV611" s="438"/>
      <c r="AW611" s="441"/>
      <c r="AX611" s="441"/>
      <c r="AY611" s="441"/>
      <c r="AZ611" s="441"/>
      <c r="BA611" s="441"/>
      <c r="BB611" s="441"/>
      <c r="BC611" s="441"/>
      <c r="BD611" s="441"/>
      <c r="BE611" s="441"/>
      <c r="BF611" s="441"/>
    </row>
    <row r="612" hidden="1" outlineLevel="1">
      <c r="A612" s="858" t="s">
        <v>757</v>
      </c>
      <c r="B612" s="859">
        <v>8.0</v>
      </c>
      <c r="C612" s="859">
        <v>8.0</v>
      </c>
      <c r="D612" s="859">
        <v>10.0</v>
      </c>
      <c r="E612" s="859">
        <v>10.0</v>
      </c>
      <c r="F612" s="859">
        <v>12.0</v>
      </c>
      <c r="G612" s="859">
        <v>12.0</v>
      </c>
      <c r="H612" s="859">
        <v>16.0</v>
      </c>
      <c r="I612" s="853"/>
      <c r="J612" s="851"/>
      <c r="K612" s="861"/>
      <c r="L612" s="855" t="str">
        <f t="shared" si="292"/>
        <v>#REF!</v>
      </c>
      <c r="M612" s="851"/>
      <c r="N612" s="851" t="str">
        <f t="shared" si="293"/>
        <v>#REF!</v>
      </c>
      <c r="O612" s="864"/>
      <c r="P612" s="864" t="s">
        <v>988</v>
      </c>
      <c r="Q612" s="865"/>
      <c r="R612" s="865"/>
      <c r="S612" s="865"/>
      <c r="T612" s="866"/>
      <c r="U612" s="467"/>
      <c r="V612" s="463"/>
      <c r="W612" s="463" t="s">
        <v>1183</v>
      </c>
      <c r="X612" s="440">
        <v>0.0</v>
      </c>
      <c r="Y612" s="440">
        <v>0.0</v>
      </c>
      <c r="Z612" s="440">
        <v>0.0</v>
      </c>
      <c r="AA612" s="440">
        <v>0.0</v>
      </c>
      <c r="AB612" s="440">
        <v>0.0</v>
      </c>
      <c r="AC612" s="440">
        <v>0.0</v>
      </c>
      <c r="AD612" s="440">
        <v>0.0</v>
      </c>
      <c r="AE612" s="438"/>
      <c r="AF612" s="438"/>
      <c r="AG612" s="438"/>
      <c r="AH612" s="438"/>
      <c r="AI612" s="438"/>
      <c r="AJ612" s="438"/>
      <c r="AK612" s="438"/>
      <c r="AL612" s="438"/>
      <c r="AM612" s="438"/>
      <c r="AN612" s="438"/>
      <c r="AO612" s="438"/>
      <c r="AP612" s="438"/>
      <c r="AQ612" s="438"/>
      <c r="AR612" s="438"/>
      <c r="AS612" s="438"/>
      <c r="AT612" s="438"/>
      <c r="AU612" s="438"/>
      <c r="AV612" s="438"/>
      <c r="AW612" s="441"/>
      <c r="AX612" s="441"/>
      <c r="AY612" s="441"/>
      <c r="AZ612" s="441"/>
      <c r="BA612" s="441"/>
      <c r="BB612" s="441"/>
      <c r="BC612" s="441"/>
      <c r="BD612" s="441"/>
      <c r="BE612" s="441"/>
      <c r="BF612" s="441"/>
    </row>
    <row r="613" hidden="1" outlineLevel="1">
      <c r="A613" s="858" t="s">
        <v>758</v>
      </c>
      <c r="B613" s="859">
        <v>5.0</v>
      </c>
      <c r="C613" s="859">
        <v>10.0</v>
      </c>
      <c r="D613" s="859">
        <v>14.0</v>
      </c>
      <c r="E613" s="859">
        <v>20.0</v>
      </c>
      <c r="F613" s="859">
        <v>25.0</v>
      </c>
      <c r="G613" s="859">
        <v>32.0</v>
      </c>
      <c r="H613" s="859">
        <v>37.0</v>
      </c>
      <c r="I613" s="853"/>
      <c r="J613" s="851"/>
      <c r="K613" s="861"/>
      <c r="L613" s="855" t="str">
        <f t="shared" si="292"/>
        <v>#REF!</v>
      </c>
      <c r="M613" s="851"/>
      <c r="N613" s="851" t="str">
        <f t="shared" si="293"/>
        <v>#REF!</v>
      </c>
      <c r="O613" s="864"/>
      <c r="P613" s="864" t="s">
        <v>988</v>
      </c>
      <c r="Q613" s="865"/>
      <c r="R613" s="865"/>
      <c r="S613" s="865"/>
      <c r="T613" s="866"/>
      <c r="U613" s="467"/>
      <c r="V613" s="463"/>
      <c r="W613" s="463" t="s">
        <v>1183</v>
      </c>
      <c r="X613" s="440">
        <v>0.0</v>
      </c>
      <c r="Y613" s="440">
        <v>0.0</v>
      </c>
      <c r="Z613" s="440">
        <v>0.0</v>
      </c>
      <c r="AA613" s="440">
        <v>0.0</v>
      </c>
      <c r="AB613" s="440">
        <v>0.0</v>
      </c>
      <c r="AC613" s="440">
        <v>0.0</v>
      </c>
      <c r="AD613" s="440">
        <v>0.0</v>
      </c>
      <c r="AE613" s="438"/>
      <c r="AF613" s="438"/>
      <c r="AG613" s="438"/>
      <c r="AH613" s="438"/>
      <c r="AI613" s="438"/>
      <c r="AJ613" s="438"/>
      <c r="AK613" s="438"/>
      <c r="AL613" s="438"/>
      <c r="AM613" s="438"/>
      <c r="AN613" s="438"/>
      <c r="AO613" s="438"/>
      <c r="AP613" s="438"/>
      <c r="AQ613" s="438"/>
      <c r="AR613" s="438"/>
      <c r="AS613" s="438"/>
      <c r="AT613" s="438"/>
      <c r="AU613" s="438"/>
      <c r="AV613" s="438"/>
      <c r="AW613" s="441"/>
      <c r="AX613" s="441"/>
      <c r="AY613" s="441"/>
      <c r="AZ613" s="441"/>
      <c r="BA613" s="441"/>
      <c r="BB613" s="441"/>
      <c r="BC613" s="441"/>
      <c r="BD613" s="441"/>
      <c r="BE613" s="441"/>
      <c r="BF613" s="441"/>
    </row>
    <row r="614" hidden="1" outlineLevel="1">
      <c r="A614" s="858" t="s">
        <v>759</v>
      </c>
      <c r="B614" s="859">
        <f t="shared" ref="B614:H614" si="294">(B611+B612)/2+B613</f>
        <v>9.5</v>
      </c>
      <c r="C614" s="859">
        <f t="shared" si="294"/>
        <v>14.5</v>
      </c>
      <c r="D614" s="859">
        <f t="shared" si="294"/>
        <v>19.5</v>
      </c>
      <c r="E614" s="859">
        <f t="shared" si="294"/>
        <v>25.5</v>
      </c>
      <c r="F614" s="859">
        <f t="shared" si="294"/>
        <v>31.5</v>
      </c>
      <c r="G614" s="859">
        <f t="shared" si="294"/>
        <v>38.5</v>
      </c>
      <c r="H614" s="859">
        <f t="shared" si="294"/>
        <v>46</v>
      </c>
      <c r="I614" s="853"/>
      <c r="J614" s="851"/>
      <c r="K614" s="861"/>
      <c r="L614" s="855" t="str">
        <f t="shared" si="292"/>
        <v>#REF!</v>
      </c>
      <c r="M614" s="851"/>
      <c r="N614" s="851" t="str">
        <f t="shared" si="293"/>
        <v>#REF!</v>
      </c>
      <c r="O614" s="864"/>
      <c r="P614" s="864" t="s">
        <v>988</v>
      </c>
      <c r="Q614" s="865"/>
      <c r="R614" s="865"/>
      <c r="S614" s="865"/>
      <c r="T614" s="866"/>
      <c r="U614" s="467"/>
      <c r="V614" s="463"/>
      <c r="W614" s="463" t="s">
        <v>1183</v>
      </c>
      <c r="X614" s="440">
        <v>0.0</v>
      </c>
      <c r="Y614" s="440">
        <v>0.0</v>
      </c>
      <c r="Z614" s="440">
        <v>0.0</v>
      </c>
      <c r="AA614" s="440">
        <v>0.0</v>
      </c>
      <c r="AB614" s="440">
        <v>0.0</v>
      </c>
      <c r="AC614" s="440">
        <v>0.0</v>
      </c>
      <c r="AD614" s="440">
        <v>0.0</v>
      </c>
      <c r="AE614" s="438"/>
      <c r="AF614" s="438"/>
      <c r="AG614" s="438"/>
      <c r="AH614" s="438"/>
      <c r="AI614" s="438"/>
      <c r="AJ614" s="438"/>
      <c r="AK614" s="438"/>
      <c r="AL614" s="438"/>
      <c r="AM614" s="438"/>
      <c r="AN614" s="438"/>
      <c r="AO614" s="438"/>
      <c r="AP614" s="438"/>
      <c r="AQ614" s="438"/>
      <c r="AR614" s="438"/>
      <c r="AS614" s="438"/>
      <c r="AT614" s="438"/>
      <c r="AU614" s="438"/>
      <c r="AV614" s="438"/>
      <c r="AW614" s="441"/>
      <c r="AX614" s="441"/>
      <c r="AY614" s="441"/>
      <c r="AZ614" s="441"/>
      <c r="BA614" s="441"/>
      <c r="BB614" s="441"/>
      <c r="BC614" s="441"/>
      <c r="BD614" s="441"/>
      <c r="BE614" s="441"/>
      <c r="BF614" s="441"/>
    </row>
    <row r="615" hidden="1" outlineLevel="1">
      <c r="A615" s="858" t="s">
        <v>760</v>
      </c>
      <c r="B615" s="862"/>
      <c r="C615" s="862">
        <f t="shared" ref="C615:H615" si="295">C614/B614-1</f>
        <v>0.5263157895</v>
      </c>
      <c r="D615" s="862">
        <f t="shared" si="295"/>
        <v>0.3448275862</v>
      </c>
      <c r="E615" s="862">
        <f t="shared" si="295"/>
        <v>0.3076923077</v>
      </c>
      <c r="F615" s="862">
        <f t="shared" si="295"/>
        <v>0.2352941176</v>
      </c>
      <c r="G615" s="862">
        <f t="shared" si="295"/>
        <v>0.2222222222</v>
      </c>
      <c r="H615" s="862">
        <f t="shared" si="295"/>
        <v>0.1948051948</v>
      </c>
      <c r="I615" s="853"/>
      <c r="J615" s="851"/>
      <c r="K615" s="861"/>
      <c r="L615" s="855" t="str">
        <f t="shared" si="292"/>
        <v>#REF!</v>
      </c>
      <c r="M615" s="851"/>
      <c r="N615" s="851" t="str">
        <f t="shared" si="293"/>
        <v>#REF!</v>
      </c>
      <c r="O615" s="864"/>
      <c r="P615" s="864" t="s">
        <v>988</v>
      </c>
      <c r="Q615" s="865"/>
      <c r="R615" s="865"/>
      <c r="S615" s="865"/>
      <c r="T615" s="866"/>
      <c r="U615" s="467"/>
      <c r="V615" s="463"/>
      <c r="W615" s="463" t="s">
        <v>1183</v>
      </c>
      <c r="X615" s="440">
        <v>0.0</v>
      </c>
      <c r="Y615" s="440">
        <v>0.0</v>
      </c>
      <c r="Z615" s="440">
        <v>0.0</v>
      </c>
      <c r="AA615" s="440">
        <v>0.0</v>
      </c>
      <c r="AB615" s="440">
        <v>0.0</v>
      </c>
      <c r="AC615" s="440">
        <v>0.0</v>
      </c>
      <c r="AD615" s="440">
        <v>0.0</v>
      </c>
      <c r="AE615" s="438"/>
      <c r="AF615" s="438"/>
      <c r="AG615" s="438"/>
      <c r="AH615" s="438"/>
      <c r="AI615" s="438"/>
      <c r="AJ615" s="438"/>
      <c r="AK615" s="438"/>
      <c r="AL615" s="438"/>
      <c r="AM615" s="438"/>
      <c r="AN615" s="438"/>
      <c r="AO615" s="438"/>
      <c r="AP615" s="438"/>
      <c r="AQ615" s="438"/>
      <c r="AR615" s="438"/>
      <c r="AS615" s="438"/>
      <c r="AT615" s="438"/>
      <c r="AU615" s="438"/>
      <c r="AV615" s="438"/>
      <c r="AW615" s="441"/>
      <c r="AX615" s="441"/>
      <c r="AY615" s="441"/>
      <c r="AZ615" s="441"/>
      <c r="BA615" s="441"/>
      <c r="BB615" s="441"/>
      <c r="BC615" s="441"/>
      <c r="BD615" s="441"/>
      <c r="BE615" s="441"/>
      <c r="BF615" s="441"/>
    </row>
    <row r="616" hidden="1" outlineLevel="1">
      <c r="A616" s="858" t="s">
        <v>761</v>
      </c>
      <c r="B616" s="859">
        <v>5.0</v>
      </c>
      <c r="C616" s="859"/>
      <c r="D616" s="862"/>
      <c r="E616" s="862" t="s">
        <v>30</v>
      </c>
      <c r="F616" s="862"/>
      <c r="G616" s="862"/>
      <c r="H616" s="862"/>
      <c r="I616" s="853"/>
      <c r="J616" s="851"/>
      <c r="K616" s="861"/>
      <c r="L616" s="855" t="str">
        <f t="shared" si="292"/>
        <v>#REF!</v>
      </c>
      <c r="M616" s="851"/>
      <c r="N616" s="851" t="str">
        <f t="shared" si="293"/>
        <v>#REF!</v>
      </c>
      <c r="O616" s="864"/>
      <c r="P616" s="864" t="s">
        <v>988</v>
      </c>
      <c r="Q616" s="865"/>
      <c r="R616" s="865"/>
      <c r="S616" s="865"/>
      <c r="T616" s="866"/>
      <c r="U616" s="467"/>
      <c r="V616" s="463"/>
      <c r="W616" s="463" t="s">
        <v>1183</v>
      </c>
      <c r="X616" s="440">
        <v>0.0</v>
      </c>
      <c r="Y616" s="440">
        <v>0.0</v>
      </c>
      <c r="Z616" s="440">
        <v>0.0</v>
      </c>
      <c r="AA616" s="440">
        <v>0.0</v>
      </c>
      <c r="AB616" s="440">
        <v>0.0</v>
      </c>
      <c r="AC616" s="440">
        <v>0.0</v>
      </c>
      <c r="AD616" s="440">
        <v>0.0</v>
      </c>
      <c r="AE616" s="438"/>
      <c r="AF616" s="438"/>
      <c r="AG616" s="438"/>
      <c r="AH616" s="438"/>
      <c r="AI616" s="438"/>
      <c r="AJ616" s="438"/>
      <c r="AK616" s="438"/>
      <c r="AL616" s="438"/>
      <c r="AM616" s="438"/>
      <c r="AN616" s="438"/>
      <c r="AO616" s="438"/>
      <c r="AP616" s="438"/>
      <c r="AQ616" s="438"/>
      <c r="AR616" s="438"/>
      <c r="AS616" s="438"/>
      <c r="AT616" s="438"/>
      <c r="AU616" s="438"/>
      <c r="AV616" s="438"/>
      <c r="AW616" s="441"/>
      <c r="AX616" s="441"/>
      <c r="AY616" s="441"/>
      <c r="AZ616" s="441"/>
      <c r="BA616" s="441"/>
      <c r="BB616" s="441"/>
      <c r="BC616" s="441"/>
      <c r="BD616" s="441"/>
      <c r="BE616" s="441"/>
      <c r="BF616" s="441"/>
    </row>
    <row r="617" hidden="1" outlineLevel="1">
      <c r="A617" s="858" t="s">
        <v>762</v>
      </c>
      <c r="B617" s="863">
        <f t="shared" ref="B617:H617" si="296">B614/$B616</f>
        <v>1.9</v>
      </c>
      <c r="C617" s="863">
        <f t="shared" si="296"/>
        <v>2.9</v>
      </c>
      <c r="D617" s="863">
        <f t="shared" si="296"/>
        <v>3.9</v>
      </c>
      <c r="E617" s="863">
        <f t="shared" si="296"/>
        <v>5.1</v>
      </c>
      <c r="F617" s="863">
        <f t="shared" si="296"/>
        <v>6.3</v>
      </c>
      <c r="G617" s="863">
        <f t="shared" si="296"/>
        <v>7.7</v>
      </c>
      <c r="H617" s="863">
        <f t="shared" si="296"/>
        <v>9.2</v>
      </c>
      <c r="I617" s="853"/>
      <c r="J617" s="851"/>
      <c r="K617" s="861"/>
      <c r="L617" s="855" t="str">
        <f t="shared" si="292"/>
        <v>#REF!</v>
      </c>
      <c r="M617" s="851"/>
      <c r="N617" s="851" t="str">
        <f t="shared" si="293"/>
        <v>#REF!</v>
      </c>
      <c r="O617" s="864"/>
      <c r="P617" s="864" t="s">
        <v>988</v>
      </c>
      <c r="Q617" s="865"/>
      <c r="R617" s="865"/>
      <c r="S617" s="865"/>
      <c r="T617" s="866"/>
      <c r="U617" s="467"/>
      <c r="V617" s="463"/>
      <c r="W617" s="463" t="s">
        <v>1183</v>
      </c>
      <c r="X617" s="440">
        <v>0.0</v>
      </c>
      <c r="Y617" s="440">
        <v>0.0</v>
      </c>
      <c r="Z617" s="440">
        <v>0.0</v>
      </c>
      <c r="AA617" s="440">
        <v>0.0</v>
      </c>
      <c r="AB617" s="440">
        <v>0.0</v>
      </c>
      <c r="AC617" s="440">
        <v>0.0</v>
      </c>
      <c r="AD617" s="440">
        <v>0.0</v>
      </c>
      <c r="AE617" s="438"/>
      <c r="AF617" s="438"/>
      <c r="AG617" s="438"/>
      <c r="AH617" s="438"/>
      <c r="AI617" s="438"/>
      <c r="AJ617" s="438"/>
      <c r="AK617" s="438"/>
      <c r="AL617" s="438"/>
      <c r="AM617" s="438"/>
      <c r="AN617" s="438"/>
      <c r="AO617" s="438"/>
      <c r="AP617" s="438"/>
      <c r="AQ617" s="438"/>
      <c r="AR617" s="438"/>
      <c r="AS617" s="438"/>
      <c r="AT617" s="438"/>
      <c r="AU617" s="438"/>
      <c r="AV617" s="438"/>
      <c r="AW617" s="441"/>
      <c r="AX617" s="441"/>
      <c r="AY617" s="441"/>
      <c r="AZ617" s="441"/>
      <c r="BA617" s="441"/>
      <c r="BB617" s="441"/>
      <c r="BC617" s="441"/>
      <c r="BD617" s="441"/>
      <c r="BE617" s="441"/>
      <c r="BF617" s="441"/>
    </row>
    <row r="618" collapsed="1">
      <c r="A618" s="850" t="s">
        <v>1186</v>
      </c>
      <c r="B618" s="851" t="s">
        <v>782</v>
      </c>
      <c r="C618" s="851" t="s">
        <v>936</v>
      </c>
      <c r="D618" s="851" t="s">
        <v>906</v>
      </c>
      <c r="E618" s="852" t="s">
        <v>30</v>
      </c>
      <c r="F618" s="851" t="s">
        <v>1181</v>
      </c>
      <c r="G618" s="851" t="s">
        <v>1187</v>
      </c>
      <c r="H618" s="851" t="s">
        <v>1188</v>
      </c>
      <c r="I618" s="853" t="s">
        <v>754</v>
      </c>
      <c r="J618" s="851">
        <v>-3.0</v>
      </c>
      <c r="K618" s="854">
        <v>6.0</v>
      </c>
      <c r="L618" s="855">
        <f>VLOOKUP(A618,'Механик'!$B$171:$I$174,8,FALSE)</f>
        <v>3.28</v>
      </c>
      <c r="M618" s="852" t="s">
        <v>830</v>
      </c>
      <c r="N618" s="851">
        <f>VLOOKUP(A618,'Механик'!$B$171:$I$174,5,FALSE)</f>
        <v>17</v>
      </c>
      <c r="O618" s="864">
        <v>18.0</v>
      </c>
      <c r="P618" s="864" t="s">
        <v>988</v>
      </c>
      <c r="Q618" s="865"/>
      <c r="R618" s="865" t="s">
        <v>1189</v>
      </c>
      <c r="S618" s="865" t="s">
        <v>1190</v>
      </c>
      <c r="T618" s="866">
        <v>20.0</v>
      </c>
      <c r="U618" s="467"/>
      <c r="V618" s="463">
        <v>2.0</v>
      </c>
      <c r="W618" s="463" t="s">
        <v>1178</v>
      </c>
      <c r="X618" s="440">
        <v>0.0</v>
      </c>
      <c r="Y618" s="440">
        <v>0.0</v>
      </c>
      <c r="Z618" s="440">
        <v>0.0</v>
      </c>
      <c r="AA618" s="440">
        <v>0.0</v>
      </c>
      <c r="AB618" s="440">
        <v>0.0</v>
      </c>
      <c r="AC618" s="440">
        <v>0.0</v>
      </c>
      <c r="AD618" s="438"/>
      <c r="AE618" s="438"/>
      <c r="AF618" s="438"/>
      <c r="AG618" s="438"/>
      <c r="AH618" s="438"/>
      <c r="AI618" s="438"/>
      <c r="AJ618" s="438"/>
      <c r="AK618" s="438"/>
      <c r="AL618" s="438"/>
      <c r="AM618" s="438"/>
      <c r="AN618" s="438"/>
      <c r="AO618" s="438"/>
      <c r="AP618" s="438"/>
      <c r="AQ618" s="438"/>
      <c r="AR618" s="438"/>
      <c r="AS618" s="438"/>
      <c r="AT618" s="438"/>
      <c r="AU618" s="438"/>
      <c r="AV618" s="438"/>
      <c r="AW618" s="441"/>
      <c r="AX618" s="441"/>
      <c r="AY618" s="441"/>
      <c r="AZ618" s="441"/>
      <c r="BA618" s="441"/>
      <c r="BB618" s="441"/>
      <c r="BC618" s="441"/>
      <c r="BD618" s="441"/>
      <c r="BE618" s="441"/>
      <c r="BF618" s="441"/>
    </row>
    <row r="619" hidden="1" outlineLevel="1">
      <c r="A619" s="858" t="s">
        <v>756</v>
      </c>
      <c r="B619" s="859">
        <v>1.0</v>
      </c>
      <c r="C619" s="859">
        <v>1.0</v>
      </c>
      <c r="D619" s="859">
        <v>1.0</v>
      </c>
      <c r="E619" s="859">
        <v>1.0</v>
      </c>
      <c r="F619" s="859">
        <v>1.0</v>
      </c>
      <c r="G619" s="859">
        <v>1.0</v>
      </c>
      <c r="H619" s="859">
        <v>2.0</v>
      </c>
      <c r="I619" s="853"/>
      <c r="J619" s="851"/>
      <c r="K619" s="861"/>
      <c r="L619" s="855" t="str">
        <f t="shared" ref="L619:L625" si="297">VLOOKUP(A619,'Создание оружия'!$B$12:$H$104,7,FALSE)</f>
        <v>#REF!</v>
      </c>
      <c r="M619" s="851"/>
      <c r="N619" s="851" t="str">
        <f t="shared" ref="N619:N625" si="298">VLOOKUP(A619,'Создание оружия'!$B$12:$H$104,5,FALSE)</f>
        <v>#REF!</v>
      </c>
      <c r="O619" s="864"/>
      <c r="P619" s="864" t="s">
        <v>988</v>
      </c>
      <c r="Q619" s="865"/>
      <c r="R619" s="868"/>
      <c r="S619" s="868"/>
      <c r="T619" s="868"/>
      <c r="U619" s="869"/>
      <c r="V619" s="463"/>
      <c r="W619" s="463" t="s">
        <v>1183</v>
      </c>
      <c r="X619" s="467"/>
      <c r="Y619" s="467"/>
      <c r="Z619" s="467"/>
      <c r="AA619" s="467"/>
      <c r="AB619" s="467"/>
      <c r="AC619" s="438"/>
      <c r="AD619" s="438"/>
      <c r="AE619" s="438"/>
      <c r="AF619" s="438"/>
      <c r="AG619" s="438"/>
      <c r="AH619" s="438"/>
      <c r="AI619" s="438"/>
      <c r="AJ619" s="438"/>
      <c r="AK619" s="438"/>
      <c r="AL619" s="438"/>
      <c r="AM619" s="438"/>
      <c r="AN619" s="438"/>
      <c r="AO619" s="438"/>
      <c r="AP619" s="438"/>
      <c r="AQ619" s="438"/>
      <c r="AR619" s="438"/>
      <c r="AS619" s="438"/>
      <c r="AT619" s="438"/>
      <c r="AU619" s="438"/>
      <c r="AV619" s="438"/>
      <c r="AW619" s="441"/>
      <c r="AX619" s="441"/>
      <c r="AY619" s="441"/>
      <c r="AZ619" s="441"/>
      <c r="BA619" s="441"/>
      <c r="BB619" s="441"/>
      <c r="BC619" s="441"/>
      <c r="BD619" s="441"/>
      <c r="BE619" s="441"/>
      <c r="BF619" s="441"/>
    </row>
    <row r="620" hidden="1" outlineLevel="1">
      <c r="A620" s="858" t="s">
        <v>757</v>
      </c>
      <c r="B620" s="859">
        <v>8.0</v>
      </c>
      <c r="C620" s="859">
        <v>8.0</v>
      </c>
      <c r="D620" s="859">
        <v>10.0</v>
      </c>
      <c r="E620" s="859">
        <v>10.0</v>
      </c>
      <c r="F620" s="859">
        <v>12.0</v>
      </c>
      <c r="G620" s="859">
        <v>12.0</v>
      </c>
      <c r="H620" s="859">
        <v>16.0</v>
      </c>
      <c r="I620" s="853"/>
      <c r="J620" s="851"/>
      <c r="K620" s="861"/>
      <c r="L620" s="855" t="str">
        <f t="shared" si="297"/>
        <v>#REF!</v>
      </c>
      <c r="M620" s="851"/>
      <c r="N620" s="851" t="str">
        <f t="shared" si="298"/>
        <v>#REF!</v>
      </c>
      <c r="O620" s="864"/>
      <c r="P620" s="864" t="s">
        <v>988</v>
      </c>
      <c r="Q620" s="865"/>
      <c r="R620" s="868"/>
      <c r="S620" s="868"/>
      <c r="T620" s="868"/>
      <c r="U620" s="869"/>
      <c r="V620" s="463"/>
      <c r="W620" s="463" t="s">
        <v>1183</v>
      </c>
      <c r="X620" s="467"/>
      <c r="Y620" s="467"/>
      <c r="Z620" s="467"/>
      <c r="AA620" s="467"/>
      <c r="AB620" s="467"/>
      <c r="AC620" s="438"/>
      <c r="AD620" s="438"/>
      <c r="AE620" s="438"/>
      <c r="AF620" s="438"/>
      <c r="AG620" s="438"/>
      <c r="AH620" s="438"/>
      <c r="AI620" s="438"/>
      <c r="AJ620" s="438"/>
      <c r="AK620" s="438"/>
      <c r="AL620" s="438"/>
      <c r="AM620" s="438"/>
      <c r="AN620" s="438"/>
      <c r="AO620" s="438"/>
      <c r="AP620" s="438"/>
      <c r="AQ620" s="438"/>
      <c r="AR620" s="438"/>
      <c r="AS620" s="438"/>
      <c r="AT620" s="438"/>
      <c r="AU620" s="438"/>
      <c r="AV620" s="438"/>
      <c r="AW620" s="441"/>
      <c r="AX620" s="441"/>
      <c r="AY620" s="441"/>
      <c r="AZ620" s="441"/>
      <c r="BA620" s="441"/>
      <c r="BB620" s="441"/>
      <c r="BC620" s="441"/>
      <c r="BD620" s="441"/>
      <c r="BE620" s="441"/>
      <c r="BF620" s="441"/>
    </row>
    <row r="621" hidden="1" outlineLevel="1">
      <c r="A621" s="858" t="s">
        <v>758</v>
      </c>
      <c r="B621" s="859">
        <v>7.0</v>
      </c>
      <c r="C621" s="859">
        <v>13.0</v>
      </c>
      <c r="D621" s="859">
        <v>18.0</v>
      </c>
      <c r="E621" s="859">
        <v>25.0</v>
      </c>
      <c r="F621" s="859">
        <v>31.0</v>
      </c>
      <c r="G621" s="859">
        <v>39.0</v>
      </c>
      <c r="H621" s="859">
        <v>44.0</v>
      </c>
      <c r="I621" s="853"/>
      <c r="J621" s="851"/>
      <c r="K621" s="861"/>
      <c r="L621" s="855" t="str">
        <f t="shared" si="297"/>
        <v>#REF!</v>
      </c>
      <c r="M621" s="851"/>
      <c r="N621" s="851" t="str">
        <f t="shared" si="298"/>
        <v>#REF!</v>
      </c>
      <c r="O621" s="864"/>
      <c r="P621" s="864" t="s">
        <v>988</v>
      </c>
      <c r="Q621" s="865"/>
      <c r="R621" s="868"/>
      <c r="S621" s="868"/>
      <c r="T621" s="868"/>
      <c r="U621" s="869"/>
      <c r="V621" s="463"/>
      <c r="W621" s="463" t="s">
        <v>1183</v>
      </c>
      <c r="X621" s="467"/>
      <c r="Y621" s="467"/>
      <c r="Z621" s="467"/>
      <c r="AA621" s="467"/>
      <c r="AB621" s="467"/>
      <c r="AC621" s="438"/>
      <c r="AD621" s="438"/>
      <c r="AE621" s="438"/>
      <c r="AF621" s="438"/>
      <c r="AG621" s="438"/>
      <c r="AH621" s="438"/>
      <c r="AI621" s="438"/>
      <c r="AJ621" s="438"/>
      <c r="AK621" s="438"/>
      <c r="AL621" s="438"/>
      <c r="AM621" s="438"/>
      <c r="AN621" s="438"/>
      <c r="AO621" s="438"/>
      <c r="AP621" s="438"/>
      <c r="AQ621" s="438"/>
      <c r="AR621" s="438"/>
      <c r="AS621" s="438"/>
      <c r="AT621" s="438"/>
      <c r="AU621" s="438"/>
      <c r="AV621" s="438"/>
      <c r="AW621" s="441"/>
      <c r="AX621" s="441"/>
      <c r="AY621" s="441"/>
      <c r="AZ621" s="441"/>
      <c r="BA621" s="441"/>
      <c r="BB621" s="441"/>
      <c r="BC621" s="441"/>
      <c r="BD621" s="441"/>
      <c r="BE621" s="441"/>
      <c r="BF621" s="441"/>
    </row>
    <row r="622" hidden="1" outlineLevel="1">
      <c r="A622" s="858" t="s">
        <v>759</v>
      </c>
      <c r="B622" s="859">
        <f t="shared" ref="B622:H622" si="299">(B619+B620)/2+B621</f>
        <v>11.5</v>
      </c>
      <c r="C622" s="859">
        <f t="shared" si="299"/>
        <v>17.5</v>
      </c>
      <c r="D622" s="859">
        <f t="shared" si="299"/>
        <v>23.5</v>
      </c>
      <c r="E622" s="859">
        <f t="shared" si="299"/>
        <v>30.5</v>
      </c>
      <c r="F622" s="859">
        <f t="shared" si="299"/>
        <v>37.5</v>
      </c>
      <c r="G622" s="859">
        <f t="shared" si="299"/>
        <v>45.5</v>
      </c>
      <c r="H622" s="859">
        <f t="shared" si="299"/>
        <v>53</v>
      </c>
      <c r="I622" s="853"/>
      <c r="J622" s="851"/>
      <c r="K622" s="861"/>
      <c r="L622" s="855" t="str">
        <f t="shared" si="297"/>
        <v>#REF!</v>
      </c>
      <c r="M622" s="851"/>
      <c r="N622" s="851" t="str">
        <f t="shared" si="298"/>
        <v>#REF!</v>
      </c>
      <c r="O622" s="864"/>
      <c r="P622" s="864" t="s">
        <v>988</v>
      </c>
      <c r="Q622" s="865"/>
      <c r="R622" s="868"/>
      <c r="S622" s="868"/>
      <c r="T622" s="868"/>
      <c r="U622" s="869"/>
      <c r="V622" s="463"/>
      <c r="W622" s="463" t="s">
        <v>1183</v>
      </c>
      <c r="X622" s="467"/>
      <c r="Y622" s="467"/>
      <c r="Z622" s="467"/>
      <c r="AA622" s="467"/>
      <c r="AB622" s="467"/>
      <c r="AC622" s="438"/>
      <c r="AD622" s="438"/>
      <c r="AE622" s="438"/>
      <c r="AF622" s="438"/>
      <c r="AG622" s="438"/>
      <c r="AH622" s="438"/>
      <c r="AI622" s="438"/>
      <c r="AJ622" s="438"/>
      <c r="AK622" s="438"/>
      <c r="AL622" s="438"/>
      <c r="AM622" s="438"/>
      <c r="AN622" s="438"/>
      <c r="AO622" s="438"/>
      <c r="AP622" s="438"/>
      <c r="AQ622" s="438"/>
      <c r="AR622" s="438"/>
      <c r="AS622" s="438"/>
      <c r="AT622" s="438"/>
      <c r="AU622" s="438"/>
      <c r="AV622" s="438"/>
      <c r="AW622" s="441"/>
      <c r="AX622" s="441"/>
      <c r="AY622" s="441"/>
      <c r="AZ622" s="441"/>
      <c r="BA622" s="441"/>
      <c r="BB622" s="441"/>
      <c r="BC622" s="441"/>
      <c r="BD622" s="441"/>
      <c r="BE622" s="441"/>
      <c r="BF622" s="441"/>
    </row>
    <row r="623" hidden="1" outlineLevel="1">
      <c r="A623" s="858" t="s">
        <v>760</v>
      </c>
      <c r="B623" s="862"/>
      <c r="C623" s="862">
        <f t="shared" ref="C623:H623" si="300">C622/B622-1</f>
        <v>0.5217391304</v>
      </c>
      <c r="D623" s="862">
        <f t="shared" si="300"/>
        <v>0.3428571429</v>
      </c>
      <c r="E623" s="862">
        <f t="shared" si="300"/>
        <v>0.2978723404</v>
      </c>
      <c r="F623" s="862">
        <f t="shared" si="300"/>
        <v>0.2295081967</v>
      </c>
      <c r="G623" s="862">
        <f t="shared" si="300"/>
        <v>0.2133333333</v>
      </c>
      <c r="H623" s="862">
        <f t="shared" si="300"/>
        <v>0.1648351648</v>
      </c>
      <c r="I623" s="853"/>
      <c r="J623" s="851"/>
      <c r="K623" s="861"/>
      <c r="L623" s="855" t="str">
        <f t="shared" si="297"/>
        <v>#REF!</v>
      </c>
      <c r="M623" s="851"/>
      <c r="N623" s="851" t="str">
        <f t="shared" si="298"/>
        <v>#REF!</v>
      </c>
      <c r="O623" s="864"/>
      <c r="P623" s="864" t="s">
        <v>988</v>
      </c>
      <c r="Q623" s="865"/>
      <c r="R623" s="868"/>
      <c r="S623" s="868"/>
      <c r="T623" s="868"/>
      <c r="U623" s="869"/>
      <c r="V623" s="463"/>
      <c r="W623" s="463" t="s">
        <v>1183</v>
      </c>
      <c r="X623" s="467"/>
      <c r="Y623" s="467"/>
      <c r="Z623" s="467"/>
      <c r="AA623" s="467"/>
      <c r="AB623" s="467"/>
      <c r="AC623" s="438"/>
      <c r="AD623" s="438"/>
      <c r="AE623" s="438"/>
      <c r="AF623" s="438"/>
      <c r="AG623" s="438"/>
      <c r="AH623" s="438"/>
      <c r="AI623" s="438"/>
      <c r="AJ623" s="438"/>
      <c r="AK623" s="438"/>
      <c r="AL623" s="438"/>
      <c r="AM623" s="438"/>
      <c r="AN623" s="438"/>
      <c r="AO623" s="438"/>
      <c r="AP623" s="438"/>
      <c r="AQ623" s="438"/>
      <c r="AR623" s="438"/>
      <c r="AS623" s="438"/>
      <c r="AT623" s="438"/>
      <c r="AU623" s="438"/>
      <c r="AV623" s="438"/>
      <c r="AW623" s="441"/>
      <c r="AX623" s="441"/>
      <c r="AY623" s="441"/>
      <c r="AZ623" s="441"/>
      <c r="BA623" s="441"/>
      <c r="BB623" s="441"/>
      <c r="BC623" s="441"/>
      <c r="BD623" s="441"/>
      <c r="BE623" s="441"/>
      <c r="BF623" s="441"/>
    </row>
    <row r="624" hidden="1" outlineLevel="1">
      <c r="A624" s="858" t="s">
        <v>761</v>
      </c>
      <c r="B624" s="859">
        <v>6.0</v>
      </c>
      <c r="C624" s="859"/>
      <c r="D624" s="862"/>
      <c r="E624" s="862" t="s">
        <v>30</v>
      </c>
      <c r="F624" s="862"/>
      <c r="G624" s="862"/>
      <c r="H624" s="862"/>
      <c r="I624" s="853"/>
      <c r="J624" s="851"/>
      <c r="K624" s="861"/>
      <c r="L624" s="855" t="str">
        <f t="shared" si="297"/>
        <v>#REF!</v>
      </c>
      <c r="M624" s="851"/>
      <c r="N624" s="851" t="str">
        <f t="shared" si="298"/>
        <v>#REF!</v>
      </c>
      <c r="O624" s="864"/>
      <c r="P624" s="864" t="s">
        <v>988</v>
      </c>
      <c r="Q624" s="865"/>
      <c r="R624" s="868"/>
      <c r="S624" s="868"/>
      <c r="T624" s="868"/>
      <c r="U624" s="869"/>
      <c r="V624" s="463"/>
      <c r="W624" s="463" t="s">
        <v>1183</v>
      </c>
      <c r="X624" s="467"/>
      <c r="Y624" s="467"/>
      <c r="Z624" s="467"/>
      <c r="AA624" s="467"/>
      <c r="AB624" s="467"/>
      <c r="AC624" s="438"/>
      <c r="AD624" s="438"/>
      <c r="AE624" s="438"/>
      <c r="AF624" s="438"/>
      <c r="AG624" s="438"/>
      <c r="AH624" s="438"/>
      <c r="AI624" s="438"/>
      <c r="AJ624" s="438"/>
      <c r="AK624" s="438"/>
      <c r="AL624" s="438"/>
      <c r="AM624" s="438"/>
      <c r="AN624" s="438"/>
      <c r="AO624" s="438"/>
      <c r="AP624" s="438"/>
      <c r="AQ624" s="438"/>
      <c r="AR624" s="438"/>
      <c r="AS624" s="438"/>
      <c r="AT624" s="438"/>
      <c r="AU624" s="438"/>
      <c r="AV624" s="438"/>
      <c r="AW624" s="441"/>
      <c r="AX624" s="441"/>
      <c r="AY624" s="441"/>
      <c r="AZ624" s="441"/>
      <c r="BA624" s="441"/>
      <c r="BB624" s="441"/>
      <c r="BC624" s="441"/>
      <c r="BD624" s="441"/>
      <c r="BE624" s="441"/>
      <c r="BF624" s="441"/>
    </row>
    <row r="625" hidden="1" outlineLevel="1">
      <c r="A625" s="858" t="s">
        <v>762</v>
      </c>
      <c r="B625" s="863">
        <f t="shared" ref="B625:H625" si="301">B622/$B624</f>
        <v>1.916666667</v>
      </c>
      <c r="C625" s="863">
        <f t="shared" si="301"/>
        <v>2.916666667</v>
      </c>
      <c r="D625" s="863">
        <f t="shared" si="301"/>
        <v>3.916666667</v>
      </c>
      <c r="E625" s="863">
        <f t="shared" si="301"/>
        <v>5.083333333</v>
      </c>
      <c r="F625" s="863">
        <f t="shared" si="301"/>
        <v>6.25</v>
      </c>
      <c r="G625" s="863">
        <f t="shared" si="301"/>
        <v>7.583333333</v>
      </c>
      <c r="H625" s="863">
        <f t="shared" si="301"/>
        <v>8.833333333</v>
      </c>
      <c r="I625" s="853"/>
      <c r="J625" s="851"/>
      <c r="K625" s="861"/>
      <c r="L625" s="855" t="str">
        <f t="shared" si="297"/>
        <v>#REF!</v>
      </c>
      <c r="M625" s="851"/>
      <c r="N625" s="851" t="str">
        <f t="shared" si="298"/>
        <v>#REF!</v>
      </c>
      <c r="O625" s="864"/>
      <c r="P625" s="864" t="s">
        <v>988</v>
      </c>
      <c r="Q625" s="865"/>
      <c r="R625" s="868"/>
      <c r="S625" s="868"/>
      <c r="T625" s="868"/>
      <c r="U625" s="869"/>
      <c r="V625" s="463"/>
      <c r="W625" s="463" t="s">
        <v>1183</v>
      </c>
      <c r="X625" s="467"/>
      <c r="Y625" s="467"/>
      <c r="Z625" s="467"/>
      <c r="AA625" s="467"/>
      <c r="AB625" s="467"/>
      <c r="AC625" s="438"/>
      <c r="AD625" s="438"/>
      <c r="AE625" s="438"/>
      <c r="AF625" s="438"/>
      <c r="AG625" s="438"/>
      <c r="AH625" s="438"/>
      <c r="AI625" s="438"/>
      <c r="AJ625" s="438"/>
      <c r="AK625" s="438"/>
      <c r="AL625" s="438"/>
      <c r="AM625" s="438"/>
      <c r="AN625" s="438"/>
      <c r="AO625" s="438"/>
      <c r="AP625" s="438"/>
      <c r="AQ625" s="438"/>
      <c r="AR625" s="438"/>
      <c r="AS625" s="438"/>
      <c r="AT625" s="438"/>
      <c r="AU625" s="438"/>
      <c r="AV625" s="438"/>
      <c r="AW625" s="441"/>
      <c r="AX625" s="441"/>
      <c r="AY625" s="441"/>
      <c r="AZ625" s="441"/>
      <c r="BA625" s="441"/>
      <c r="BB625" s="441"/>
      <c r="BC625" s="441"/>
      <c r="BD625" s="441"/>
      <c r="BE625" s="441"/>
      <c r="BF625" s="441"/>
    </row>
    <row r="626" collapsed="1">
      <c r="T626" s="517"/>
      <c r="U626" s="467"/>
      <c r="V626" s="438"/>
      <c r="W626" s="438"/>
      <c r="X626" s="440">
        <v>28.0</v>
      </c>
      <c r="Y626" s="440">
        <v>30.0</v>
      </c>
      <c r="Z626" s="440">
        <v>32.0</v>
      </c>
      <c r="AA626" s="440">
        <v>34.0</v>
      </c>
      <c r="AB626" s="440">
        <v>36.0</v>
      </c>
      <c r="AC626" s="440">
        <v>38.0</v>
      </c>
      <c r="AD626" s="440">
        <v>40.0</v>
      </c>
      <c r="AE626" s="438"/>
      <c r="AF626" s="438"/>
      <c r="AG626" s="438"/>
      <c r="AH626" s="438"/>
      <c r="AI626" s="438"/>
      <c r="AJ626" s="438"/>
      <c r="AK626" s="438"/>
      <c r="AL626" s="438"/>
      <c r="AM626" s="438"/>
      <c r="AN626" s="438"/>
      <c r="AO626" s="438"/>
      <c r="AP626" s="438"/>
      <c r="AQ626" s="438"/>
      <c r="AR626" s="438"/>
      <c r="AS626" s="438"/>
      <c r="AT626" s="438"/>
      <c r="AU626" s="438"/>
      <c r="AV626" s="438"/>
      <c r="AW626" s="441"/>
      <c r="AX626" s="441"/>
      <c r="AY626" s="441"/>
      <c r="AZ626" s="441"/>
      <c r="BA626" s="441"/>
      <c r="BB626" s="441"/>
      <c r="BC626" s="441"/>
      <c r="BD626" s="441"/>
      <c r="BE626" s="441"/>
      <c r="BF626" s="441"/>
    </row>
    <row r="627">
      <c r="A627" s="870"/>
      <c r="B627" s="871"/>
      <c r="C627" s="871"/>
      <c r="D627" s="871"/>
      <c r="E627" s="871"/>
      <c r="F627" s="871"/>
      <c r="G627" s="871"/>
      <c r="H627" s="872" t="s">
        <v>1191</v>
      </c>
      <c r="I627" s="871"/>
      <c r="J627" s="871"/>
      <c r="K627" s="871"/>
      <c r="L627" s="871"/>
      <c r="M627" s="871"/>
      <c r="N627" s="871"/>
      <c r="O627" s="871"/>
      <c r="P627" s="871"/>
      <c r="Q627" s="871"/>
      <c r="R627" s="873"/>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41"/>
      <c r="AX627" s="441"/>
      <c r="AY627" s="441"/>
      <c r="AZ627" s="441"/>
      <c r="BA627" s="441"/>
      <c r="BB627" s="441"/>
      <c r="BC627" s="441"/>
      <c r="BD627" s="441"/>
      <c r="BE627" s="441"/>
      <c r="BF627" s="441"/>
    </row>
    <row r="628">
      <c r="A628" s="874"/>
      <c r="B628" s="875" t="s">
        <v>172</v>
      </c>
      <c r="C628" s="875" t="s">
        <v>738</v>
      </c>
      <c r="D628" s="875" t="s">
        <v>739</v>
      </c>
      <c r="E628" s="875" t="s">
        <v>30</v>
      </c>
      <c r="F628" s="875" t="s">
        <v>741</v>
      </c>
      <c r="G628" s="875" t="s">
        <v>742</v>
      </c>
      <c r="H628" s="875" t="s">
        <v>743</v>
      </c>
      <c r="I628" s="876" t="s">
        <v>134</v>
      </c>
      <c r="J628" s="877" t="s">
        <v>729</v>
      </c>
      <c r="K628" s="877" t="s">
        <v>730</v>
      </c>
      <c r="L628" s="877" t="s">
        <v>731</v>
      </c>
      <c r="M628" s="877" t="s">
        <v>25</v>
      </c>
      <c r="N628" s="877" t="s">
        <v>732</v>
      </c>
      <c r="O628" s="877" t="s">
        <v>191</v>
      </c>
      <c r="P628" s="877" t="s">
        <v>733</v>
      </c>
      <c r="Q628" s="878"/>
      <c r="R628" s="877" t="s">
        <v>734</v>
      </c>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41"/>
      <c r="AX628" s="441"/>
      <c r="AY628" s="441"/>
      <c r="AZ628" s="441"/>
      <c r="BA628" s="441"/>
      <c r="BB628" s="441"/>
      <c r="BC628" s="441"/>
      <c r="BD628" s="441"/>
      <c r="BE628" s="441"/>
      <c r="BF628" s="441"/>
    </row>
    <row r="629">
      <c r="A629" s="879" t="s">
        <v>1192</v>
      </c>
      <c r="B629" s="880" t="s">
        <v>748</v>
      </c>
      <c r="C629" s="881" t="s">
        <v>748</v>
      </c>
      <c r="D629" s="881" t="s">
        <v>749</v>
      </c>
      <c r="E629" s="881" t="s">
        <v>30</v>
      </c>
      <c r="F629" s="881" t="s">
        <v>1070</v>
      </c>
      <c r="G629" s="881" t="s">
        <v>1070</v>
      </c>
      <c r="H629" s="881" t="s">
        <v>115</v>
      </c>
      <c r="I629" s="882" t="s">
        <v>770</v>
      </c>
      <c r="J629" s="883">
        <v>0.0</v>
      </c>
      <c r="K629" s="884">
        <v>2.0</v>
      </c>
      <c r="L629" s="885">
        <f>'Кузнец'!N102</f>
        <v>2.64</v>
      </c>
      <c r="M629" s="886" t="s">
        <v>30</v>
      </c>
      <c r="N629" s="883" t="str">
        <f>'Кузнец'!AA105</f>
        <v/>
      </c>
      <c r="O629" s="883">
        <f>'Кузнец'!N101</f>
        <v>10</v>
      </c>
      <c r="P629" s="884" t="s">
        <v>1193</v>
      </c>
      <c r="Q629" s="887"/>
      <c r="R629" s="883" t="s">
        <v>1194</v>
      </c>
      <c r="S629" s="454">
        <v>0.0</v>
      </c>
      <c r="T629" s="438"/>
      <c r="U629" s="438"/>
      <c r="V629" s="438"/>
      <c r="W629" s="438"/>
      <c r="X629" s="438"/>
      <c r="Y629" s="438"/>
      <c r="Z629" s="438"/>
      <c r="AA629" s="438"/>
      <c r="AB629" s="438"/>
      <c r="AC629" s="438"/>
      <c r="AD629" s="438"/>
      <c r="AE629" s="438"/>
      <c r="AF629" s="438"/>
      <c r="AG629" s="438"/>
      <c r="AH629" s="438"/>
      <c r="AI629" s="438"/>
      <c r="AJ629" s="438"/>
      <c r="AK629" s="438"/>
      <c r="AL629" s="438"/>
      <c r="AM629" s="438"/>
      <c r="AN629" s="438"/>
      <c r="AO629" s="438"/>
      <c r="AP629" s="438"/>
      <c r="AQ629" s="438"/>
      <c r="AR629" s="438"/>
      <c r="AS629" s="438"/>
      <c r="AT629" s="438"/>
      <c r="AU629" s="438"/>
      <c r="AV629" s="438"/>
      <c r="AW629" s="441"/>
      <c r="AX629" s="441"/>
      <c r="AY629" s="441"/>
      <c r="AZ629" s="441"/>
      <c r="BA629" s="441"/>
      <c r="BB629" s="441"/>
      <c r="BC629" s="441"/>
      <c r="BD629" s="441"/>
      <c r="BE629" s="441"/>
      <c r="BF629" s="441"/>
    </row>
    <row r="630">
      <c r="A630" s="879" t="s">
        <v>1195</v>
      </c>
      <c r="B630" s="888" t="s">
        <v>750</v>
      </c>
      <c r="C630" s="889" t="s">
        <v>750</v>
      </c>
      <c r="D630" s="889" t="s">
        <v>115</v>
      </c>
      <c r="E630" s="889" t="s">
        <v>30</v>
      </c>
      <c r="F630" s="889" t="s">
        <v>121</v>
      </c>
      <c r="G630" s="889" t="s">
        <v>121</v>
      </c>
      <c r="H630" s="889" t="s">
        <v>774</v>
      </c>
      <c r="I630" s="882" t="s">
        <v>770</v>
      </c>
      <c r="J630" s="883">
        <v>-1.0</v>
      </c>
      <c r="K630" s="883">
        <v>3.0</v>
      </c>
      <c r="L630" s="885">
        <f>'Кузнец'!N111</f>
        <v>4.69</v>
      </c>
      <c r="M630" s="886" t="s">
        <v>1196</v>
      </c>
      <c r="N630" s="883">
        <v>18.0</v>
      </c>
      <c r="O630" s="883">
        <f>'Кузнец'!N110</f>
        <v>14</v>
      </c>
      <c r="P630" s="884" t="s">
        <v>1193</v>
      </c>
      <c r="Q630" s="887"/>
      <c r="R630" s="883" t="s">
        <v>1197</v>
      </c>
      <c r="S630" s="454">
        <v>0.0</v>
      </c>
      <c r="T630" s="438"/>
      <c r="U630" s="441"/>
      <c r="V630" s="441"/>
      <c r="W630" s="441"/>
      <c r="X630" s="441"/>
      <c r="Y630" s="441"/>
      <c r="Z630" s="441"/>
      <c r="AA630" s="441"/>
      <c r="AB630" s="441"/>
      <c r="AC630" s="441"/>
      <c r="AD630" s="441"/>
      <c r="AE630" s="441"/>
      <c r="AF630" s="441"/>
      <c r="AG630" s="441"/>
      <c r="AH630" s="441"/>
      <c r="AI630" s="441"/>
      <c r="AJ630" s="441"/>
      <c r="AK630" s="441"/>
      <c r="AL630" s="441"/>
      <c r="AM630" s="441"/>
      <c r="AN630" s="441"/>
      <c r="AO630" s="441"/>
      <c r="AP630" s="441"/>
      <c r="AQ630" s="441"/>
      <c r="AR630" s="441"/>
      <c r="AS630" s="441"/>
      <c r="AT630" s="441"/>
      <c r="AU630" s="441"/>
      <c r="AV630" s="441"/>
      <c r="AW630" s="441"/>
      <c r="AX630" s="441"/>
      <c r="AY630" s="441"/>
      <c r="AZ630" s="441"/>
      <c r="BA630" s="441"/>
      <c r="BB630" s="441"/>
      <c r="BC630" s="441"/>
      <c r="BD630" s="441"/>
      <c r="BE630" s="441"/>
      <c r="BF630" s="441"/>
    </row>
    <row r="631">
      <c r="A631" s="879" t="s">
        <v>1198</v>
      </c>
      <c r="B631" s="888" t="s">
        <v>797</v>
      </c>
      <c r="C631" s="889" t="s">
        <v>797</v>
      </c>
      <c r="D631" s="889" t="s">
        <v>774</v>
      </c>
      <c r="E631" s="889" t="s">
        <v>30</v>
      </c>
      <c r="F631" s="889" t="s">
        <v>751</v>
      </c>
      <c r="G631" s="889" t="s">
        <v>751</v>
      </c>
      <c r="H631" s="889" t="s">
        <v>817</v>
      </c>
      <c r="I631" s="882" t="s">
        <v>770</v>
      </c>
      <c r="J631" s="883">
        <v>-2.0</v>
      </c>
      <c r="K631" s="883">
        <v>4.0</v>
      </c>
      <c r="L631" s="885">
        <f>'Кузнец'!N120</f>
        <v>7.48</v>
      </c>
      <c r="M631" s="886" t="s">
        <v>1199</v>
      </c>
      <c r="N631" s="883">
        <v>28.0</v>
      </c>
      <c r="O631" s="883">
        <f>'Кузнец'!N119</f>
        <v>18</v>
      </c>
      <c r="P631" s="884" t="s">
        <v>1193</v>
      </c>
      <c r="Q631" s="887"/>
      <c r="R631" s="883" t="s">
        <v>1200</v>
      </c>
      <c r="S631" s="454">
        <v>0.0</v>
      </c>
      <c r="T631" s="438"/>
      <c r="U631" s="441"/>
      <c r="V631" s="441"/>
      <c r="W631" s="441"/>
      <c r="X631" s="441"/>
      <c r="Y631" s="441"/>
      <c r="Z631" s="441"/>
      <c r="AA631" s="441"/>
      <c r="AB631" s="441"/>
      <c r="AC631" s="441"/>
      <c r="AD631" s="441"/>
      <c r="AE631" s="441"/>
      <c r="AF631" s="441"/>
      <c r="AG631" s="441"/>
      <c r="AH631" s="441"/>
      <c r="AI631" s="441"/>
      <c r="AJ631" s="441"/>
      <c r="AK631" s="441"/>
      <c r="AL631" s="441"/>
      <c r="AM631" s="441"/>
      <c r="AN631" s="441"/>
      <c r="AO631" s="441"/>
      <c r="AP631" s="441"/>
      <c r="AQ631" s="441"/>
      <c r="AR631" s="441"/>
      <c r="AS631" s="441"/>
      <c r="AT631" s="441"/>
      <c r="AU631" s="441"/>
      <c r="AV631" s="441"/>
      <c r="AW631" s="441"/>
      <c r="AX631" s="441"/>
      <c r="AY631" s="441"/>
      <c r="AZ631" s="441"/>
      <c r="BA631" s="441"/>
      <c r="BB631" s="441"/>
      <c r="BC631" s="441"/>
      <c r="BD631" s="441"/>
      <c r="BE631" s="441"/>
      <c r="BF631" s="441"/>
    </row>
    <row r="632">
      <c r="A632" s="890" t="s">
        <v>30</v>
      </c>
      <c r="B632" s="795"/>
      <c r="C632" s="795"/>
      <c r="D632" s="795"/>
      <c r="E632" s="795"/>
      <c r="F632" s="795"/>
      <c r="G632" s="795"/>
      <c r="H632" s="795"/>
      <c r="I632" s="796"/>
      <c r="J632" s="441"/>
      <c r="K632" s="441"/>
      <c r="L632" s="797"/>
      <c r="M632" s="441"/>
      <c r="N632" s="441"/>
      <c r="O632" s="441"/>
      <c r="P632" s="441"/>
      <c r="Q632" s="441"/>
      <c r="R632" s="426"/>
      <c r="S632" s="438"/>
      <c r="T632" s="438"/>
      <c r="U632" s="441"/>
      <c r="V632" s="441"/>
      <c r="W632" s="441"/>
      <c r="X632" s="441"/>
      <c r="Y632" s="441"/>
      <c r="Z632" s="441"/>
      <c r="AA632" s="441"/>
      <c r="AB632" s="441"/>
      <c r="AC632" s="441"/>
      <c r="AD632" s="441"/>
      <c r="AE632" s="441"/>
      <c r="AF632" s="441"/>
      <c r="AG632" s="441"/>
      <c r="AH632" s="441"/>
      <c r="AI632" s="441"/>
      <c r="AJ632" s="441"/>
      <c r="AK632" s="441"/>
      <c r="AL632" s="441"/>
      <c r="AM632" s="441"/>
      <c r="AN632" s="441"/>
      <c r="AO632" s="441"/>
      <c r="AP632" s="441"/>
      <c r="AQ632" s="441"/>
      <c r="AR632" s="441"/>
      <c r="AS632" s="441"/>
      <c r="AT632" s="441"/>
      <c r="AU632" s="441"/>
      <c r="AV632" s="441"/>
      <c r="AW632" s="441"/>
      <c r="AX632" s="441"/>
      <c r="AY632" s="441"/>
      <c r="AZ632" s="441"/>
      <c r="BA632" s="441"/>
      <c r="BB632" s="441"/>
      <c r="BC632" s="441"/>
      <c r="BD632" s="441"/>
      <c r="BE632" s="441"/>
      <c r="BF632" s="441"/>
    </row>
    <row r="633">
      <c r="A633" s="891"/>
      <c r="B633" s="892"/>
      <c r="C633" s="892"/>
      <c r="D633" s="892"/>
      <c r="E633" s="892"/>
      <c r="F633" s="892"/>
      <c r="G633" s="892"/>
      <c r="H633" s="893" t="s">
        <v>1201</v>
      </c>
      <c r="I633" s="892"/>
      <c r="J633" s="892"/>
      <c r="K633" s="892"/>
      <c r="L633" s="892"/>
      <c r="M633" s="892"/>
      <c r="N633" s="892"/>
      <c r="O633" s="892"/>
      <c r="P633" s="892"/>
      <c r="Q633" s="892"/>
      <c r="R633" s="894"/>
      <c r="S633" s="438"/>
      <c r="T633" s="438"/>
      <c r="U633" s="441"/>
      <c r="V633" s="441"/>
      <c r="W633" s="441"/>
      <c r="X633" s="441"/>
      <c r="Y633" s="441"/>
      <c r="Z633" s="441"/>
      <c r="AA633" s="441"/>
      <c r="AB633" s="441"/>
      <c r="AC633" s="441"/>
      <c r="AD633" s="441"/>
      <c r="AE633" s="441"/>
      <c r="AF633" s="441"/>
      <c r="AG633" s="441"/>
      <c r="AH633" s="441"/>
      <c r="AI633" s="441"/>
      <c r="AJ633" s="441"/>
      <c r="AK633" s="441"/>
      <c r="AL633" s="441"/>
      <c r="AM633" s="441"/>
      <c r="AN633" s="441"/>
      <c r="AO633" s="441"/>
      <c r="AP633" s="441"/>
      <c r="AQ633" s="441"/>
      <c r="AR633" s="441"/>
      <c r="AS633" s="441"/>
      <c r="AT633" s="441"/>
      <c r="AU633" s="441"/>
      <c r="AV633" s="441"/>
      <c r="AW633" s="441"/>
      <c r="AX633" s="441"/>
      <c r="AY633" s="441"/>
      <c r="AZ633" s="441"/>
      <c r="BA633" s="441"/>
      <c r="BB633" s="441"/>
      <c r="BC633" s="441"/>
      <c r="BD633" s="441"/>
      <c r="BE633" s="441"/>
      <c r="BF633" s="441"/>
    </row>
    <row r="634">
      <c r="A634" s="895"/>
      <c r="B634" s="427" t="str">
        <f t="shared" ref="B634:H634" si="302">B559</f>
        <v>Орешник</v>
      </c>
      <c r="C634" s="427" t="str">
        <f t="shared" si="302"/>
        <v>Клён</v>
      </c>
      <c r="D634" s="427" t="str">
        <f t="shared" si="302"/>
        <v>Ясень</v>
      </c>
      <c r="E634" s="427" t="str">
        <f t="shared" si="302"/>
        <v>Вяз</v>
      </c>
      <c r="F634" s="427" t="str">
        <f t="shared" si="302"/>
        <v>Кедр</v>
      </c>
      <c r="G634" s="427" t="str">
        <f t="shared" si="302"/>
        <v>Бальза</v>
      </c>
      <c r="H634" s="427" t="str">
        <f t="shared" si="302"/>
        <v>Тис</v>
      </c>
      <c r="I634" s="418" t="s">
        <v>134</v>
      </c>
      <c r="J634" s="419" t="s">
        <v>729</v>
      </c>
      <c r="K634" s="419" t="s">
        <v>730</v>
      </c>
      <c r="L634" s="419" t="s">
        <v>731</v>
      </c>
      <c r="M634" s="419" t="s">
        <v>25</v>
      </c>
      <c r="N634" s="419" t="s">
        <v>732</v>
      </c>
      <c r="O634" s="419" t="s">
        <v>191</v>
      </c>
      <c r="P634" s="419" t="s">
        <v>733</v>
      </c>
      <c r="Q634" s="414"/>
      <c r="R634" s="419" t="s">
        <v>734</v>
      </c>
      <c r="S634" s="438"/>
      <c r="T634" s="438"/>
      <c r="U634" s="441"/>
      <c r="V634" s="441"/>
      <c r="W634" s="441"/>
      <c r="X634" s="441"/>
      <c r="Y634" s="441"/>
      <c r="Z634" s="441"/>
      <c r="AA634" s="441"/>
      <c r="AB634" s="441"/>
      <c r="AC634" s="441"/>
      <c r="AD634" s="441"/>
      <c r="AE634" s="441"/>
      <c r="AF634" s="441"/>
      <c r="AG634" s="441"/>
      <c r="AH634" s="441"/>
      <c r="AI634" s="441"/>
      <c r="AJ634" s="441"/>
      <c r="AK634" s="441"/>
      <c r="AL634" s="441"/>
      <c r="AM634" s="441"/>
      <c r="AN634" s="441"/>
      <c r="AO634" s="441"/>
      <c r="AP634" s="441"/>
      <c r="AQ634" s="441"/>
      <c r="AR634" s="441"/>
      <c r="AS634" s="441"/>
      <c r="AT634" s="441"/>
      <c r="AU634" s="441"/>
      <c r="AV634" s="441"/>
      <c r="AW634" s="441"/>
      <c r="AX634" s="441"/>
      <c r="AY634" s="441"/>
      <c r="AZ634" s="441"/>
      <c r="BA634" s="441"/>
      <c r="BB634" s="441"/>
      <c r="BC634" s="441"/>
      <c r="BD634" s="441"/>
      <c r="BE634" s="441"/>
      <c r="BF634" s="441"/>
    </row>
    <row r="635">
      <c r="A635" s="896" t="s">
        <v>1202</v>
      </c>
      <c r="B635" s="897" t="s">
        <v>1101</v>
      </c>
      <c r="C635" s="898" t="s">
        <v>1101</v>
      </c>
      <c r="D635" s="898" t="s">
        <v>748</v>
      </c>
      <c r="E635" s="898" t="s">
        <v>748</v>
      </c>
      <c r="F635" s="898" t="s">
        <v>749</v>
      </c>
      <c r="G635" s="898" t="s">
        <v>749</v>
      </c>
      <c r="H635" s="898" t="s">
        <v>750</v>
      </c>
      <c r="I635" s="899" t="s">
        <v>770</v>
      </c>
      <c r="J635" s="900">
        <v>0.0</v>
      </c>
      <c r="K635" s="901">
        <v>2.0</v>
      </c>
      <c r="L635" s="902">
        <f>'Плотник'!G186</f>
        <v>0.56</v>
      </c>
      <c r="M635" s="903" t="s">
        <v>30</v>
      </c>
      <c r="N635" s="900">
        <v>10.0</v>
      </c>
      <c r="O635" s="900">
        <v>15.0</v>
      </c>
      <c r="P635" s="901" t="s">
        <v>1193</v>
      </c>
      <c r="Q635" s="904"/>
      <c r="R635" s="900" t="s">
        <v>1194</v>
      </c>
      <c r="S635" s="438"/>
      <c r="T635" s="438"/>
      <c r="U635" s="441"/>
      <c r="V635" s="441"/>
      <c r="W635" s="441"/>
      <c r="X635" s="441"/>
      <c r="Y635" s="441"/>
      <c r="Z635" s="441"/>
      <c r="AA635" s="441"/>
      <c r="AB635" s="441"/>
      <c r="AC635" s="441"/>
      <c r="AD635" s="441"/>
      <c r="AE635" s="441"/>
      <c r="AF635" s="441"/>
      <c r="AG635" s="441"/>
      <c r="AH635" s="441"/>
      <c r="AI635" s="441"/>
      <c r="AJ635" s="441"/>
      <c r="AK635" s="441"/>
      <c r="AL635" s="441"/>
      <c r="AM635" s="441"/>
      <c r="AN635" s="441"/>
      <c r="AO635" s="441"/>
      <c r="AP635" s="441"/>
      <c r="AQ635" s="441"/>
      <c r="AR635" s="441"/>
      <c r="AS635" s="441"/>
      <c r="AT635" s="441"/>
      <c r="AU635" s="441"/>
      <c r="AV635" s="441"/>
      <c r="AW635" s="441"/>
      <c r="AX635" s="441"/>
      <c r="AY635" s="441"/>
      <c r="AZ635" s="441"/>
      <c r="BA635" s="441"/>
      <c r="BB635" s="441"/>
      <c r="BC635" s="441"/>
      <c r="BD635" s="441"/>
      <c r="BE635" s="441"/>
      <c r="BF635" s="441"/>
    </row>
    <row r="636">
      <c r="A636" s="896" t="s">
        <v>1203</v>
      </c>
      <c r="B636" s="905" t="s">
        <v>773</v>
      </c>
      <c r="C636" s="906" t="s">
        <v>773</v>
      </c>
      <c r="D636" s="906" t="s">
        <v>750</v>
      </c>
      <c r="E636" s="906" t="s">
        <v>750</v>
      </c>
      <c r="F636" s="906" t="s">
        <v>115</v>
      </c>
      <c r="G636" s="906" t="s">
        <v>115</v>
      </c>
      <c r="H636" s="906" t="s">
        <v>797</v>
      </c>
      <c r="I636" s="899" t="s">
        <v>770</v>
      </c>
      <c r="J636" s="900">
        <v>-1.0</v>
      </c>
      <c r="K636" s="900">
        <v>3.0</v>
      </c>
      <c r="L636" s="902">
        <f>'Плотник'!G187</f>
        <v>1.2</v>
      </c>
      <c r="M636" s="903" t="s">
        <v>1196</v>
      </c>
      <c r="N636" s="900">
        <v>18.0</v>
      </c>
      <c r="O636" s="900">
        <v>23.0</v>
      </c>
      <c r="P636" s="901" t="s">
        <v>1193</v>
      </c>
      <c r="Q636" s="904"/>
      <c r="R636" s="900" t="s">
        <v>1197</v>
      </c>
      <c r="S636" s="438"/>
      <c r="T636" s="438"/>
      <c r="U636" s="441"/>
      <c r="V636" s="441"/>
      <c r="W636" s="441"/>
      <c r="X636" s="441"/>
      <c r="Y636" s="441"/>
      <c r="Z636" s="441"/>
      <c r="AA636" s="441"/>
      <c r="AB636" s="441"/>
      <c r="AC636" s="441"/>
      <c r="AD636" s="441"/>
      <c r="AE636" s="441"/>
      <c r="AF636" s="441"/>
      <c r="AG636" s="441"/>
      <c r="AH636" s="441"/>
      <c r="AI636" s="441"/>
      <c r="AJ636" s="441"/>
      <c r="AK636" s="441"/>
      <c r="AL636" s="441"/>
      <c r="AM636" s="441"/>
      <c r="AN636" s="441"/>
      <c r="AO636" s="441"/>
      <c r="AP636" s="441"/>
      <c r="AQ636" s="441"/>
      <c r="AR636" s="441"/>
      <c r="AS636" s="441"/>
      <c r="AT636" s="441"/>
      <c r="AU636" s="441"/>
      <c r="AV636" s="441"/>
      <c r="AW636" s="441"/>
      <c r="AX636" s="441"/>
      <c r="AY636" s="441"/>
      <c r="AZ636" s="441"/>
      <c r="BA636" s="441"/>
      <c r="BB636" s="441"/>
      <c r="BC636" s="441"/>
      <c r="BD636" s="441"/>
      <c r="BE636" s="441"/>
      <c r="BF636" s="441"/>
    </row>
    <row r="637">
      <c r="A637" s="896" t="s">
        <v>1204</v>
      </c>
      <c r="B637" s="905" t="s">
        <v>924</v>
      </c>
      <c r="C637" s="906" t="s">
        <v>924</v>
      </c>
      <c r="D637" s="906" t="s">
        <v>797</v>
      </c>
      <c r="E637" s="906" t="s">
        <v>797</v>
      </c>
      <c r="F637" s="906" t="s">
        <v>774</v>
      </c>
      <c r="G637" s="906" t="s">
        <v>774</v>
      </c>
      <c r="H637" s="906" t="s">
        <v>890</v>
      </c>
      <c r="I637" s="899" t="s">
        <v>770</v>
      </c>
      <c r="J637" s="900">
        <v>-2.0</v>
      </c>
      <c r="K637" s="900">
        <v>4.0</v>
      </c>
      <c r="L637" s="902">
        <f>'Плотник'!G188</f>
        <v>2.56</v>
      </c>
      <c r="M637" s="903" t="s">
        <v>1199</v>
      </c>
      <c r="N637" s="900">
        <v>28.0</v>
      </c>
      <c r="O637" s="900">
        <v>32.0</v>
      </c>
      <c r="P637" s="901" t="s">
        <v>1193</v>
      </c>
      <c r="Q637" s="904"/>
      <c r="R637" s="900" t="s">
        <v>1200</v>
      </c>
      <c r="S637" s="438"/>
      <c r="T637" s="438"/>
      <c r="U637" s="441"/>
      <c r="V637" s="441"/>
      <c r="W637" s="441"/>
      <c r="X637" s="441"/>
      <c r="Y637" s="441"/>
      <c r="Z637" s="441"/>
      <c r="AA637" s="441"/>
      <c r="AB637" s="441"/>
      <c r="AC637" s="441"/>
      <c r="AD637" s="441"/>
      <c r="AE637" s="441"/>
      <c r="AF637" s="441"/>
      <c r="AG637" s="441"/>
      <c r="AH637" s="441"/>
      <c r="AI637" s="441"/>
      <c r="AJ637" s="441"/>
      <c r="AK637" s="441"/>
      <c r="AL637" s="441"/>
      <c r="AM637" s="441"/>
      <c r="AN637" s="441"/>
      <c r="AO637" s="441"/>
      <c r="AP637" s="441"/>
      <c r="AQ637" s="441"/>
      <c r="AR637" s="441"/>
      <c r="AS637" s="441"/>
      <c r="AT637" s="441"/>
      <c r="AU637" s="441"/>
      <c r="AV637" s="441"/>
      <c r="AW637" s="441"/>
      <c r="AX637" s="441"/>
      <c r="AY637" s="441"/>
      <c r="AZ637" s="441"/>
      <c r="BA637" s="441"/>
      <c r="BB637" s="441"/>
      <c r="BC637" s="441"/>
      <c r="BD637" s="441"/>
      <c r="BE637" s="441"/>
      <c r="BF637" s="441"/>
    </row>
    <row r="638">
      <c r="A638" s="798"/>
      <c r="B638" s="795"/>
      <c r="C638" s="795"/>
      <c r="D638" s="795"/>
      <c r="E638" s="795"/>
      <c r="F638" s="795"/>
      <c r="G638" s="795"/>
      <c r="H638" s="795"/>
      <c r="I638" s="796"/>
      <c r="J638" s="441"/>
      <c r="K638" s="441"/>
      <c r="L638" s="797"/>
      <c r="M638" s="441"/>
      <c r="N638" s="441"/>
      <c r="O638" s="441"/>
      <c r="P638" s="441"/>
      <c r="Q638" s="441"/>
      <c r="R638" s="426"/>
      <c r="S638" s="438"/>
      <c r="T638" s="438"/>
      <c r="U638" s="441"/>
      <c r="V638" s="441"/>
      <c r="W638" s="441"/>
      <c r="X638" s="441"/>
      <c r="Y638" s="441"/>
      <c r="Z638" s="441"/>
      <c r="AA638" s="441"/>
      <c r="AB638" s="441"/>
      <c r="AC638" s="441"/>
      <c r="AD638" s="441"/>
      <c r="AE638" s="441"/>
      <c r="AF638" s="441"/>
      <c r="AG638" s="441"/>
      <c r="AH638" s="441"/>
      <c r="AI638" s="441"/>
      <c r="AJ638" s="441"/>
      <c r="AK638" s="441"/>
      <c r="AL638" s="441"/>
      <c r="AM638" s="441"/>
      <c r="AN638" s="441"/>
      <c r="AO638" s="441"/>
      <c r="AP638" s="441"/>
      <c r="AQ638" s="441"/>
      <c r="AR638" s="441"/>
      <c r="AS638" s="441"/>
      <c r="AT638" s="441"/>
      <c r="AU638" s="441"/>
      <c r="AV638" s="441"/>
      <c r="AW638" s="441"/>
      <c r="AX638" s="441"/>
      <c r="AY638" s="441"/>
      <c r="AZ638" s="441"/>
      <c r="BA638" s="441"/>
      <c r="BB638" s="441"/>
      <c r="BC638" s="441"/>
      <c r="BD638" s="441"/>
      <c r="BE638" s="441"/>
      <c r="BF638" s="441"/>
    </row>
    <row r="639">
      <c r="A639" s="907"/>
      <c r="B639" s="908"/>
      <c r="C639" s="908"/>
      <c r="D639" s="908"/>
      <c r="E639" s="908"/>
      <c r="F639" s="908"/>
      <c r="G639" s="908"/>
      <c r="H639" s="909" t="s">
        <v>1205</v>
      </c>
      <c r="I639" s="908"/>
      <c r="J639" s="908"/>
      <c r="K639" s="908"/>
      <c r="L639" s="908"/>
      <c r="M639" s="908"/>
      <c r="N639" s="908"/>
      <c r="O639" s="908"/>
      <c r="P639" s="908"/>
      <c r="Q639" s="908"/>
      <c r="R639" s="910"/>
      <c r="S639" s="441"/>
      <c r="T639" s="441"/>
      <c r="U639" s="441"/>
      <c r="V639" s="441"/>
      <c r="W639" s="441"/>
      <c r="X639" s="441"/>
      <c r="Y639" s="441"/>
      <c r="Z639" s="441"/>
      <c r="AA639" s="441"/>
      <c r="AB639" s="441"/>
      <c r="AC639" s="441"/>
      <c r="AD639" s="441"/>
      <c r="AE639" s="441"/>
      <c r="AF639" s="441"/>
      <c r="AG639" s="441"/>
      <c r="AH639" s="441"/>
      <c r="AI639" s="441"/>
      <c r="AJ639" s="441"/>
      <c r="AK639" s="441"/>
      <c r="AL639" s="441"/>
      <c r="AM639" s="441"/>
      <c r="AN639" s="441"/>
      <c r="AO639" s="441"/>
      <c r="AP639" s="441"/>
      <c r="AQ639" s="441"/>
      <c r="AR639" s="441"/>
      <c r="AS639" s="441"/>
      <c r="AT639" s="441"/>
      <c r="AU639" s="441"/>
      <c r="AV639" s="441"/>
      <c r="AW639" s="441"/>
      <c r="AX639" s="441"/>
      <c r="AY639" s="441"/>
      <c r="AZ639" s="441"/>
      <c r="BA639" s="441"/>
      <c r="BB639" s="441"/>
      <c r="BC639" s="441"/>
      <c r="BD639" s="441"/>
      <c r="BE639" s="441"/>
      <c r="BF639" s="441"/>
    </row>
    <row r="640">
      <c r="A640" s="911" t="s">
        <v>1044</v>
      </c>
      <c r="B640" s="912">
        <v>0.0</v>
      </c>
      <c r="C640" s="912">
        <v>1.0</v>
      </c>
      <c r="D640" s="912">
        <v>2.0</v>
      </c>
      <c r="E640" s="912">
        <v>3.0</v>
      </c>
      <c r="F640" s="912">
        <v>4.0</v>
      </c>
      <c r="G640" s="912">
        <v>5.0</v>
      </c>
      <c r="H640" s="912">
        <v>6.0</v>
      </c>
      <c r="I640" s="913">
        <v>43832.0</v>
      </c>
      <c r="J640" s="914"/>
      <c r="K640" s="915"/>
      <c r="L640" s="916">
        <f>'Кузнец'!J194</f>
        <v>0.05152</v>
      </c>
      <c r="M640" s="915"/>
      <c r="N640" s="917"/>
      <c r="O640" s="917"/>
      <c r="P640" s="915"/>
      <c r="Q640" s="918" t="s">
        <v>1206</v>
      </c>
      <c r="R640" s="665"/>
      <c r="S640" s="441"/>
      <c r="T640" s="441"/>
      <c r="U640" s="441"/>
      <c r="V640" s="441"/>
      <c r="W640" s="441"/>
      <c r="X640" s="441"/>
      <c r="Y640" s="441"/>
      <c r="Z640" s="441"/>
      <c r="AA640" s="441"/>
      <c r="AB640" s="441"/>
      <c r="AC640" s="441"/>
      <c r="AD640" s="441"/>
      <c r="AE640" s="441"/>
      <c r="AF640" s="441"/>
      <c r="AG640" s="441"/>
      <c r="AH640" s="441"/>
      <c r="AI640" s="441"/>
      <c r="AJ640" s="441"/>
      <c r="AK640" s="441"/>
      <c r="AL640" s="441"/>
      <c r="AM640" s="441"/>
      <c r="AN640" s="441"/>
      <c r="AO640" s="441"/>
      <c r="AP640" s="441"/>
      <c r="AQ640" s="441"/>
      <c r="AR640" s="441"/>
      <c r="AS640" s="441"/>
      <c r="AT640" s="441"/>
      <c r="AU640" s="441"/>
      <c r="AV640" s="441"/>
      <c r="AW640" s="441"/>
      <c r="AX640" s="441"/>
      <c r="AY640" s="441"/>
      <c r="AZ640" s="441"/>
      <c r="BA640" s="441"/>
      <c r="BB640" s="441"/>
      <c r="BC640" s="441"/>
      <c r="BD640" s="441"/>
      <c r="BE640" s="441"/>
      <c r="BF640" s="441"/>
    </row>
    <row r="641">
      <c r="A641" s="911" t="s">
        <v>1156</v>
      </c>
      <c r="B641" s="912">
        <v>0.0</v>
      </c>
      <c r="C641" s="912">
        <v>1.0</v>
      </c>
      <c r="D641" s="912">
        <v>2.0</v>
      </c>
      <c r="E641" s="912">
        <v>3.0</v>
      </c>
      <c r="F641" s="912">
        <v>4.0</v>
      </c>
      <c r="G641" s="912">
        <v>5.0</v>
      </c>
      <c r="H641" s="912">
        <v>6.0</v>
      </c>
      <c r="I641" s="913">
        <v>43832.0</v>
      </c>
      <c r="J641" s="914"/>
      <c r="K641" s="915"/>
      <c r="L641" s="916">
        <f>'Кузнец'!J200</f>
        <v>0.0718</v>
      </c>
      <c r="M641" s="915"/>
      <c r="N641" s="917"/>
      <c r="O641" s="917"/>
      <c r="P641" s="915"/>
      <c r="Q641" s="918" t="s">
        <v>1207</v>
      </c>
      <c r="R641" s="665"/>
      <c r="S641" s="441"/>
      <c r="T641" s="441"/>
      <c r="U641" s="441"/>
      <c r="V641" s="441"/>
      <c r="W641" s="441"/>
      <c r="X641" s="441"/>
      <c r="Y641" s="441"/>
      <c r="Z641" s="441"/>
      <c r="AA641" s="441"/>
      <c r="AB641" s="441"/>
      <c r="AC641" s="441"/>
      <c r="AD641" s="441"/>
      <c r="AE641" s="441"/>
      <c r="AF641" s="441"/>
      <c r="AG641" s="441"/>
      <c r="AH641" s="441"/>
      <c r="AI641" s="441"/>
      <c r="AJ641" s="441"/>
      <c r="AK641" s="441"/>
      <c r="AL641" s="441"/>
      <c r="AM641" s="441"/>
      <c r="AN641" s="441"/>
      <c r="AO641" s="441"/>
      <c r="AP641" s="441"/>
      <c r="AQ641" s="441"/>
      <c r="AR641" s="441"/>
      <c r="AS641" s="441"/>
      <c r="AT641" s="441"/>
      <c r="AU641" s="441"/>
      <c r="AV641" s="441"/>
      <c r="AW641" s="441"/>
      <c r="AX641" s="441"/>
      <c r="AY641" s="441"/>
      <c r="AZ641" s="441"/>
      <c r="BA641" s="441"/>
      <c r="BB641" s="441"/>
      <c r="BC641" s="441"/>
      <c r="BD641" s="441"/>
      <c r="BE641" s="441"/>
      <c r="BF641" s="441"/>
    </row>
    <row r="642">
      <c r="A642" s="911" t="s">
        <v>1178</v>
      </c>
      <c r="B642" s="912">
        <v>0.0</v>
      </c>
      <c r="C642" s="912">
        <v>1.0</v>
      </c>
      <c r="D642" s="912">
        <v>2.0</v>
      </c>
      <c r="E642" s="912">
        <v>3.0</v>
      </c>
      <c r="F642" s="912">
        <v>4.0</v>
      </c>
      <c r="G642" s="912">
        <v>5.0</v>
      </c>
      <c r="H642" s="912">
        <v>6.0</v>
      </c>
      <c r="I642" s="913">
        <v>43832.0</v>
      </c>
      <c r="J642" s="914"/>
      <c r="K642" s="915"/>
      <c r="L642" s="916">
        <f>'Кузнец'!J201</f>
        <v>0.069</v>
      </c>
      <c r="M642" s="915"/>
      <c r="N642" s="917"/>
      <c r="O642" s="917"/>
      <c r="P642" s="915"/>
      <c r="Q642" s="918" t="s">
        <v>1208</v>
      </c>
      <c r="R642" s="665"/>
      <c r="S642" s="441"/>
      <c r="T642" s="441"/>
      <c r="U642" s="441"/>
      <c r="V642" s="441"/>
      <c r="W642" s="441"/>
      <c r="X642" s="441"/>
      <c r="Y642" s="441"/>
      <c r="Z642" s="441"/>
      <c r="AA642" s="441"/>
      <c r="AB642" s="441"/>
      <c r="AC642" s="441"/>
      <c r="AD642" s="441"/>
      <c r="AE642" s="441"/>
      <c r="AF642" s="441"/>
      <c r="AG642" s="441"/>
      <c r="AH642" s="441"/>
      <c r="AI642" s="441"/>
      <c r="AJ642" s="441"/>
      <c r="AK642" s="441"/>
      <c r="AL642" s="441"/>
      <c r="AM642" s="441"/>
      <c r="AN642" s="441"/>
      <c r="AO642" s="441"/>
      <c r="AP642" s="441"/>
      <c r="AQ642" s="441"/>
      <c r="AR642" s="441"/>
      <c r="AS642" s="441"/>
      <c r="AT642" s="441"/>
      <c r="AU642" s="441"/>
      <c r="AV642" s="441"/>
      <c r="AW642" s="441"/>
      <c r="AX642" s="441"/>
      <c r="AY642" s="441"/>
      <c r="AZ642" s="441"/>
      <c r="BA642" s="441"/>
      <c r="BB642" s="441"/>
      <c r="BC642" s="441"/>
      <c r="BD642" s="441"/>
      <c r="BE642" s="441"/>
      <c r="BF642" s="441"/>
    </row>
    <row r="643">
      <c r="A643" s="441"/>
      <c r="B643" s="441"/>
      <c r="C643" s="441"/>
      <c r="D643" s="441"/>
      <c r="E643" s="441"/>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1"/>
      <c r="AD643" s="441"/>
      <c r="AE643" s="441"/>
      <c r="AF643" s="441"/>
      <c r="AG643" s="441"/>
      <c r="AH643" s="441"/>
      <c r="AI643" s="441"/>
      <c r="AJ643" s="441"/>
      <c r="AK643" s="441"/>
      <c r="AL643" s="441"/>
      <c r="AM643" s="441"/>
      <c r="AN643" s="441"/>
      <c r="AO643" s="441"/>
      <c r="AP643" s="441"/>
      <c r="AQ643" s="441"/>
      <c r="AR643" s="441"/>
      <c r="AS643" s="441"/>
      <c r="AT643" s="441"/>
      <c r="AU643" s="441"/>
      <c r="AV643" s="441"/>
      <c r="AW643" s="441"/>
      <c r="AX643" s="441"/>
      <c r="AY643" s="441"/>
      <c r="AZ643" s="441"/>
      <c r="BA643" s="441"/>
      <c r="BB643" s="441"/>
      <c r="BC643" s="441"/>
      <c r="BD643" s="441"/>
      <c r="BE643" s="441"/>
      <c r="BF643" s="441"/>
    </row>
    <row r="644">
      <c r="A644" s="692" t="s">
        <v>1209</v>
      </c>
      <c r="B644" s="692">
        <v>0.01</v>
      </c>
      <c r="C644" s="441">
        <f t="shared" ref="C644:H644" si="303">B644*3</f>
        <v>0.03</v>
      </c>
      <c r="D644" s="441">
        <f t="shared" si="303"/>
        <v>0.09</v>
      </c>
      <c r="E644" s="441">
        <f t="shared" si="303"/>
        <v>0.27</v>
      </c>
      <c r="F644" s="441">
        <f t="shared" si="303"/>
        <v>0.81</v>
      </c>
      <c r="G644" s="441">
        <f t="shared" si="303"/>
        <v>2.43</v>
      </c>
      <c r="H644" s="441">
        <f t="shared" si="303"/>
        <v>7.29</v>
      </c>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D644" s="441"/>
      <c r="AE644" s="441"/>
      <c r="AF644" s="441"/>
      <c r="AG644" s="441"/>
      <c r="AH644" s="441"/>
      <c r="AI644" s="441"/>
      <c r="AJ644" s="441"/>
      <c r="AK644" s="441"/>
      <c r="AL644" s="441"/>
      <c r="AM644" s="441"/>
      <c r="AN644" s="441"/>
      <c r="AO644" s="441"/>
      <c r="AP644" s="441"/>
      <c r="AQ644" s="441"/>
      <c r="AR644" s="441"/>
      <c r="AS644" s="441"/>
      <c r="AT644" s="441"/>
      <c r="AU644" s="441"/>
      <c r="AV644" s="441"/>
      <c r="AW644" s="441"/>
      <c r="AX644" s="441"/>
      <c r="AY644" s="441"/>
      <c r="AZ644" s="441"/>
      <c r="BA644" s="441"/>
      <c r="BB644" s="441"/>
      <c r="BC644" s="441"/>
      <c r="BD644" s="441"/>
      <c r="BE644" s="441"/>
      <c r="BF644" s="441"/>
    </row>
    <row r="645">
      <c r="A645" s="796"/>
      <c r="B645" s="919" t="s">
        <v>1148</v>
      </c>
      <c r="C645" s="919" t="s">
        <v>1149</v>
      </c>
      <c r="D645" s="919" t="s">
        <v>1150</v>
      </c>
      <c r="E645" s="919" t="s">
        <v>1151</v>
      </c>
      <c r="F645" s="919" t="s">
        <v>1152</v>
      </c>
      <c r="G645" s="919" t="s">
        <v>1153</v>
      </c>
      <c r="H645" s="919" t="s">
        <v>1154</v>
      </c>
      <c r="I645" s="796"/>
      <c r="J645" s="441"/>
      <c r="K645" s="441"/>
      <c r="L645" s="797"/>
      <c r="M645" s="441"/>
      <c r="N645" s="441"/>
      <c r="O645" s="441"/>
      <c r="P645" s="441"/>
      <c r="Q645" s="441"/>
      <c r="R645" s="426"/>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1"/>
      <c r="AQ645" s="441"/>
      <c r="AR645" s="441"/>
      <c r="AS645" s="441"/>
      <c r="AT645" s="441"/>
      <c r="AU645" s="441"/>
      <c r="AV645" s="441"/>
      <c r="AW645" s="441"/>
      <c r="AX645" s="441"/>
      <c r="AY645" s="441"/>
      <c r="AZ645" s="441"/>
      <c r="BA645" s="441"/>
      <c r="BB645" s="441"/>
      <c r="BC645" s="441"/>
      <c r="BD645" s="441"/>
      <c r="BE645" s="441"/>
      <c r="BF645" s="441"/>
    </row>
    <row r="646">
      <c r="A646" s="919" t="s">
        <v>1210</v>
      </c>
      <c r="B646" s="919" t="s">
        <v>172</v>
      </c>
      <c r="C646" s="919" t="s">
        <v>738</v>
      </c>
      <c r="D646" s="919" t="s">
        <v>739</v>
      </c>
      <c r="E646" s="919" t="s">
        <v>740</v>
      </c>
      <c r="F646" s="919" t="s">
        <v>741</v>
      </c>
      <c r="G646" s="919" t="s">
        <v>742</v>
      </c>
      <c r="H646" s="919" t="s">
        <v>743</v>
      </c>
      <c r="J646" s="441"/>
      <c r="K646" s="441"/>
      <c r="L646" s="797"/>
      <c r="M646" s="441"/>
      <c r="N646" s="441"/>
      <c r="O646" s="441"/>
      <c r="P646" s="441"/>
      <c r="Q646" s="441"/>
      <c r="R646" s="426"/>
      <c r="S646" s="441"/>
      <c r="T646" s="441"/>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1"/>
      <c r="AQ646" s="441"/>
      <c r="AR646" s="441"/>
      <c r="AS646" s="441"/>
      <c r="AT646" s="441"/>
      <c r="AU646" s="441"/>
      <c r="AV646" s="441"/>
      <c r="AW646" s="441"/>
      <c r="AX646" s="441"/>
      <c r="AY646" s="441"/>
      <c r="AZ646" s="441"/>
      <c r="BA646" s="441"/>
      <c r="BB646" s="441"/>
      <c r="BC646" s="441"/>
      <c r="BD646" s="441"/>
      <c r="BE646" s="441"/>
      <c r="BF646" s="441"/>
    </row>
    <row r="647">
      <c r="A647" s="427" t="s">
        <v>133</v>
      </c>
      <c r="B647" s="920">
        <v>1.0</v>
      </c>
      <c r="C647" s="921">
        <v>1.15</v>
      </c>
      <c r="D647" s="922">
        <v>1.3</v>
      </c>
      <c r="E647" s="922">
        <v>1.5</v>
      </c>
      <c r="F647" s="922">
        <v>1.7</v>
      </c>
      <c r="G647" s="922">
        <v>1.9</v>
      </c>
      <c r="H647" s="922">
        <v>2.1</v>
      </c>
      <c r="J647" s="441"/>
      <c r="K647" s="441"/>
      <c r="L647" s="797"/>
      <c r="M647" s="441"/>
      <c r="N647" s="441"/>
      <c r="O647" s="441"/>
      <c r="P647" s="441"/>
      <c r="Q647" s="441"/>
      <c r="R647" s="426"/>
      <c r="S647" s="441"/>
      <c r="T647" s="441"/>
      <c r="U647" s="441"/>
      <c r="V647" s="441"/>
      <c r="W647" s="441"/>
      <c r="X647" s="441"/>
      <c r="Y647" s="441"/>
      <c r="Z647" s="441"/>
      <c r="AA647" s="441"/>
      <c r="AB647" s="441"/>
      <c r="AC647" s="441"/>
      <c r="AD647" s="441"/>
      <c r="AE647" s="441"/>
      <c r="AF647" s="441"/>
      <c r="AG647" s="441"/>
      <c r="AH647" s="441"/>
      <c r="AI647" s="441"/>
      <c r="AJ647" s="441"/>
      <c r="AK647" s="441"/>
      <c r="AL647" s="441"/>
      <c r="AM647" s="441"/>
      <c r="AN647" s="441"/>
      <c r="AO647" s="441"/>
      <c r="AP647" s="441"/>
      <c r="AQ647" s="441"/>
      <c r="AR647" s="441"/>
      <c r="AS647" s="441"/>
      <c r="AT647" s="441"/>
      <c r="AU647" s="441"/>
      <c r="AV647" s="441"/>
      <c r="AW647" s="441"/>
      <c r="AX647" s="441"/>
      <c r="AY647" s="441"/>
      <c r="AZ647" s="441"/>
      <c r="BA647" s="441"/>
      <c r="BB647" s="441"/>
      <c r="BC647" s="441"/>
      <c r="BD647" s="441"/>
      <c r="BE647" s="441"/>
      <c r="BF647" s="441"/>
    </row>
    <row r="648">
      <c r="A648" s="427" t="s">
        <v>1211</v>
      </c>
      <c r="B648" s="922">
        <v>1.03</v>
      </c>
      <c r="C648" s="922">
        <v>1.18</v>
      </c>
      <c r="D648" s="922">
        <v>1.33</v>
      </c>
      <c r="E648" s="922">
        <v>1.53</v>
      </c>
      <c r="F648" s="922">
        <v>1.73</v>
      </c>
      <c r="G648" s="922">
        <v>1.93</v>
      </c>
      <c r="H648" s="922">
        <v>2.13</v>
      </c>
      <c r="J648" s="441"/>
      <c r="K648" s="441"/>
      <c r="L648" s="797"/>
      <c r="M648" s="441"/>
      <c r="N648" s="441"/>
      <c r="O648" s="441"/>
      <c r="P648" s="441"/>
      <c r="Q648" s="441"/>
      <c r="R648" s="426"/>
      <c r="S648" s="441"/>
      <c r="T648" s="441"/>
      <c r="U648" s="441"/>
      <c r="V648" s="441"/>
      <c r="W648" s="441"/>
      <c r="X648" s="441"/>
      <c r="Y648" s="441"/>
      <c r="Z648" s="441"/>
      <c r="AA648" s="441"/>
      <c r="AB648" s="441"/>
      <c r="AC648" s="441"/>
      <c r="AD648" s="441"/>
      <c r="AE648" s="441"/>
      <c r="AF648" s="441"/>
      <c r="AG648" s="441"/>
      <c r="AH648" s="441"/>
      <c r="AI648" s="441"/>
      <c r="AJ648" s="441"/>
      <c r="AK648" s="441"/>
      <c r="AL648" s="441"/>
      <c r="AM648" s="441"/>
      <c r="AN648" s="441"/>
      <c r="AO648" s="441"/>
      <c r="AP648" s="441"/>
      <c r="AQ648" s="441"/>
      <c r="AR648" s="441"/>
      <c r="AS648" s="441"/>
      <c r="AT648" s="441"/>
      <c r="AU648" s="441"/>
      <c r="AV648" s="441"/>
      <c r="AW648" s="441"/>
      <c r="AX648" s="441"/>
      <c r="AY648" s="441"/>
      <c r="AZ648" s="441"/>
      <c r="BA648" s="441"/>
      <c r="BB648" s="441"/>
      <c r="BC648" s="441"/>
      <c r="BD648" s="441"/>
      <c r="BE648" s="441"/>
      <c r="BF648" s="441"/>
    </row>
    <row r="649">
      <c r="A649" s="427" t="s">
        <v>1212</v>
      </c>
      <c r="B649" s="922">
        <v>1.06</v>
      </c>
      <c r="C649" s="922">
        <v>1.21</v>
      </c>
      <c r="D649" s="922">
        <v>1.36</v>
      </c>
      <c r="E649" s="922">
        <v>1.56</v>
      </c>
      <c r="F649" s="922">
        <v>1.76</v>
      </c>
      <c r="G649" s="922">
        <v>1.96</v>
      </c>
      <c r="H649" s="922">
        <v>2.16</v>
      </c>
      <c r="J649" s="441"/>
      <c r="K649" s="441"/>
      <c r="L649" s="797"/>
      <c r="M649" s="441"/>
      <c r="N649" s="441"/>
      <c r="O649" s="441"/>
      <c r="P649" s="441"/>
      <c r="Q649" s="441"/>
      <c r="R649" s="426"/>
      <c r="S649" s="441"/>
      <c r="T649" s="441"/>
      <c r="U649" s="441"/>
      <c r="V649" s="441"/>
      <c r="W649" s="441"/>
      <c r="X649" s="441"/>
      <c r="Y649" s="441"/>
      <c r="Z649" s="441"/>
      <c r="AA649" s="441"/>
      <c r="AB649" s="441"/>
      <c r="AC649" s="441"/>
      <c r="AD649" s="441"/>
      <c r="AE649" s="441"/>
      <c r="AF649" s="441"/>
      <c r="AG649" s="441"/>
      <c r="AH649" s="441"/>
      <c r="AI649" s="441"/>
      <c r="AJ649" s="441"/>
      <c r="AK649" s="441"/>
      <c r="AL649" s="441"/>
      <c r="AM649" s="441"/>
      <c r="AN649" s="441"/>
      <c r="AO649" s="441"/>
      <c r="AP649" s="441"/>
      <c r="AQ649" s="441"/>
      <c r="AR649" s="441"/>
      <c r="AS649" s="441"/>
      <c r="AT649" s="441"/>
      <c r="AU649" s="441"/>
      <c r="AV649" s="441"/>
      <c r="AW649" s="441"/>
      <c r="AX649" s="441"/>
      <c r="AY649" s="441"/>
      <c r="AZ649" s="441"/>
      <c r="BA649" s="441"/>
      <c r="BB649" s="441"/>
      <c r="BC649" s="441"/>
      <c r="BD649" s="441"/>
      <c r="BE649" s="441"/>
      <c r="BF649" s="441"/>
    </row>
    <row r="650">
      <c r="A650" s="427" t="s">
        <v>1213</v>
      </c>
      <c r="B650" s="922">
        <v>1.09</v>
      </c>
      <c r="C650" s="922">
        <v>1.24</v>
      </c>
      <c r="D650" s="922">
        <v>1.39</v>
      </c>
      <c r="E650" s="922">
        <v>1.59</v>
      </c>
      <c r="F650" s="922">
        <v>2.22</v>
      </c>
      <c r="G650" s="922">
        <v>1.99</v>
      </c>
      <c r="H650" s="922">
        <v>2.19</v>
      </c>
      <c r="J650" s="441"/>
      <c r="K650" s="441"/>
      <c r="L650" s="797"/>
      <c r="M650" s="441"/>
      <c r="N650" s="441"/>
      <c r="O650" s="441"/>
      <c r="P650" s="441"/>
      <c r="Q650" s="441"/>
      <c r="R650" s="426"/>
      <c r="S650" s="441"/>
      <c r="T650" s="441"/>
      <c r="U650" s="441"/>
      <c r="V650" s="441"/>
      <c r="W650" s="441"/>
      <c r="X650" s="441"/>
      <c r="Y650" s="441"/>
      <c r="Z650" s="441"/>
      <c r="AA650" s="441"/>
      <c r="AB650" s="441"/>
      <c r="AC650" s="441"/>
      <c r="AD650" s="441"/>
      <c r="AE650" s="441"/>
      <c r="AF650" s="441"/>
      <c r="AG650" s="441"/>
      <c r="AH650" s="441"/>
      <c r="AI650" s="441"/>
      <c r="AJ650" s="441"/>
      <c r="AK650" s="441"/>
      <c r="AL650" s="441"/>
      <c r="AM650" s="441"/>
      <c r="AN650" s="441"/>
      <c r="AO650" s="441"/>
      <c r="AP650" s="441"/>
      <c r="AQ650" s="441"/>
      <c r="AR650" s="441"/>
      <c r="AS650" s="441"/>
      <c r="AT650" s="441"/>
      <c r="AU650" s="441"/>
      <c r="AV650" s="441"/>
      <c r="AW650" s="441"/>
      <c r="AX650" s="441"/>
      <c r="AY650" s="441"/>
      <c r="AZ650" s="441"/>
      <c r="BA650" s="441"/>
      <c r="BB650" s="441"/>
      <c r="BC650" s="441"/>
      <c r="BD650" s="441"/>
      <c r="BE650" s="441"/>
      <c r="BF650" s="441"/>
    </row>
    <row r="651">
      <c r="A651" s="890" t="s">
        <v>30</v>
      </c>
      <c r="B651" s="795"/>
      <c r="C651" s="795"/>
      <c r="D651" s="795"/>
      <c r="E651" s="795"/>
      <c r="F651" s="795"/>
      <c r="G651" s="795"/>
      <c r="H651" s="795"/>
      <c r="I651" s="796"/>
      <c r="J651" s="441"/>
      <c r="K651" s="441"/>
      <c r="L651" s="797"/>
      <c r="M651" s="441"/>
      <c r="N651" s="441"/>
      <c r="O651" s="441"/>
      <c r="P651" s="441"/>
      <c r="Q651" s="441"/>
      <c r="R651" s="426"/>
      <c r="S651" s="441"/>
      <c r="T651" s="441"/>
      <c r="U651" s="441"/>
      <c r="V651" s="441"/>
      <c r="W651" s="441"/>
      <c r="X651" s="441"/>
      <c r="Y651" s="441"/>
      <c r="Z651" s="441"/>
      <c r="AA651" s="441"/>
      <c r="AB651" s="441"/>
      <c r="AC651" s="441"/>
      <c r="AD651" s="441"/>
      <c r="AE651" s="441"/>
      <c r="AF651" s="441"/>
      <c r="AG651" s="441"/>
      <c r="AH651" s="441"/>
      <c r="AI651" s="441"/>
      <c r="AJ651" s="441"/>
      <c r="AK651" s="441"/>
      <c r="AL651" s="441"/>
      <c r="AM651" s="441"/>
      <c r="AN651" s="441"/>
      <c r="AO651" s="441"/>
      <c r="AP651" s="441"/>
      <c r="AQ651" s="441"/>
      <c r="AR651" s="441"/>
      <c r="AS651" s="441"/>
      <c r="AT651" s="441"/>
      <c r="AU651" s="441"/>
      <c r="AV651" s="441"/>
      <c r="AW651" s="441"/>
      <c r="AX651" s="441"/>
      <c r="AY651" s="441"/>
      <c r="AZ651" s="441"/>
      <c r="BA651" s="441"/>
      <c r="BB651" s="441"/>
      <c r="BC651" s="441"/>
      <c r="BD651" s="441"/>
      <c r="BE651" s="441"/>
      <c r="BF651" s="441"/>
    </row>
    <row r="652">
      <c r="A652" s="798"/>
      <c r="B652" s="795"/>
      <c r="C652" s="795"/>
      <c r="D652" s="795"/>
      <c r="E652" s="795"/>
      <c r="F652" s="795"/>
      <c r="G652" s="795"/>
      <c r="H652" s="795"/>
      <c r="I652" s="796"/>
      <c r="J652" s="441"/>
      <c r="K652" s="441"/>
      <c r="L652" s="797"/>
      <c r="M652" s="441"/>
      <c r="N652" s="441"/>
      <c r="O652" s="441"/>
      <c r="P652" s="441"/>
      <c r="Q652" s="441"/>
      <c r="R652" s="426"/>
      <c r="S652" s="441"/>
      <c r="T652" s="441"/>
      <c r="U652" s="441"/>
      <c r="V652" s="441"/>
      <c r="W652" s="441"/>
      <c r="X652" s="441"/>
      <c r="Y652" s="441"/>
      <c r="Z652" s="441"/>
      <c r="AA652" s="441"/>
      <c r="AB652" s="441"/>
      <c r="AC652" s="441"/>
      <c r="AD652" s="441"/>
      <c r="AE652" s="441"/>
      <c r="AF652" s="441"/>
      <c r="AG652" s="441"/>
      <c r="AH652" s="441"/>
      <c r="AI652" s="441"/>
      <c r="AJ652" s="441"/>
      <c r="AK652" s="441"/>
      <c r="AL652" s="441"/>
      <c r="AM652" s="441"/>
      <c r="AN652" s="441"/>
      <c r="AO652" s="441"/>
      <c r="AP652" s="441"/>
      <c r="AQ652" s="441"/>
      <c r="AR652" s="441"/>
      <c r="AS652" s="441"/>
      <c r="AT652" s="441"/>
      <c r="AU652" s="441"/>
      <c r="AV652" s="441"/>
      <c r="AW652" s="441"/>
      <c r="AX652" s="441"/>
      <c r="AY652" s="441"/>
      <c r="AZ652" s="441"/>
      <c r="BA652" s="441"/>
      <c r="BB652" s="441"/>
      <c r="BC652" s="441"/>
      <c r="BD652" s="441"/>
      <c r="BE652" s="441"/>
      <c r="BF652" s="441"/>
    </row>
    <row r="653">
      <c r="A653" s="798"/>
      <c r="B653" s="795"/>
      <c r="C653" s="795"/>
      <c r="D653" s="795"/>
      <c r="E653" s="795"/>
      <c r="F653" s="795"/>
      <c r="G653" s="795"/>
      <c r="H653" s="795"/>
      <c r="I653" s="796"/>
      <c r="J653" s="441"/>
      <c r="K653" s="441"/>
      <c r="L653" s="797"/>
      <c r="M653" s="441"/>
      <c r="N653" s="441"/>
      <c r="O653" s="441"/>
      <c r="P653" s="441"/>
      <c r="Q653" s="441"/>
      <c r="R653" s="426"/>
      <c r="S653" s="441"/>
      <c r="T653" s="441"/>
      <c r="U653" s="441"/>
      <c r="V653" s="441"/>
      <c r="W653" s="441"/>
      <c r="X653" s="441"/>
      <c r="Y653" s="441"/>
      <c r="Z653" s="441"/>
      <c r="AA653" s="441"/>
      <c r="AB653" s="441"/>
      <c r="AC653" s="441"/>
      <c r="AD653" s="441"/>
      <c r="AE653" s="441"/>
      <c r="AF653" s="441"/>
      <c r="AG653" s="441"/>
      <c r="AH653" s="441"/>
      <c r="AI653" s="441"/>
      <c r="AJ653" s="441"/>
      <c r="AK653" s="441"/>
      <c r="AL653" s="441"/>
      <c r="AM653" s="441"/>
      <c r="AN653" s="441"/>
      <c r="AO653" s="441"/>
      <c r="AP653" s="441"/>
      <c r="AQ653" s="441"/>
      <c r="AR653" s="441"/>
      <c r="AS653" s="441"/>
      <c r="AT653" s="441"/>
      <c r="AU653" s="441"/>
      <c r="AV653" s="441"/>
      <c r="AW653" s="441"/>
      <c r="AX653" s="441"/>
      <c r="AY653" s="441"/>
      <c r="AZ653" s="441"/>
      <c r="BA653" s="441"/>
      <c r="BB653" s="441"/>
      <c r="BC653" s="441"/>
      <c r="BD653" s="441"/>
      <c r="BE653" s="441"/>
      <c r="BF653" s="441"/>
    </row>
    <row r="654">
      <c r="A654" s="798"/>
      <c r="B654" s="795"/>
      <c r="C654" s="795"/>
      <c r="D654" s="795"/>
      <c r="E654" s="795"/>
      <c r="F654" s="795"/>
      <c r="G654" s="795"/>
      <c r="H654" s="795"/>
      <c r="I654" s="796"/>
      <c r="J654" s="441"/>
      <c r="K654" s="441"/>
      <c r="L654" s="797"/>
      <c r="M654" s="441"/>
      <c r="N654" s="441"/>
      <c r="O654" s="441"/>
      <c r="P654" s="441"/>
      <c r="Q654" s="441"/>
      <c r="R654" s="426"/>
      <c r="S654" s="441"/>
      <c r="T654" s="441"/>
      <c r="U654" s="441"/>
      <c r="V654" s="441"/>
      <c r="W654" s="441"/>
      <c r="X654" s="441"/>
      <c r="Y654" s="441"/>
      <c r="Z654" s="441"/>
      <c r="AA654" s="441"/>
      <c r="AB654" s="441"/>
      <c r="AC654" s="441"/>
      <c r="AD654" s="441"/>
      <c r="AE654" s="441"/>
      <c r="AF654" s="441"/>
      <c r="AG654" s="441"/>
      <c r="AH654" s="441"/>
      <c r="AI654" s="441"/>
      <c r="AJ654" s="441"/>
      <c r="AK654" s="441"/>
      <c r="AL654" s="441"/>
      <c r="AM654" s="441"/>
      <c r="AN654" s="441"/>
      <c r="AO654" s="441"/>
      <c r="AP654" s="441"/>
      <c r="AQ654" s="441"/>
      <c r="AR654" s="441"/>
      <c r="AS654" s="441"/>
      <c r="AT654" s="441"/>
      <c r="AU654" s="441"/>
      <c r="AV654" s="441"/>
      <c r="AW654" s="441"/>
      <c r="AX654" s="441"/>
      <c r="AY654" s="441"/>
      <c r="AZ654" s="441"/>
      <c r="BA654" s="441"/>
      <c r="BB654" s="441"/>
      <c r="BC654" s="441"/>
      <c r="BD654" s="441"/>
      <c r="BE654" s="441"/>
      <c r="BF654" s="441"/>
    </row>
    <row r="655">
      <c r="A655" s="798"/>
      <c r="B655" s="795"/>
      <c r="C655" s="795"/>
      <c r="D655" s="795"/>
      <c r="E655" s="795"/>
      <c r="F655" s="795"/>
      <c r="G655" s="795"/>
      <c r="H655" s="795"/>
      <c r="I655" s="796"/>
      <c r="J655" s="441"/>
      <c r="K655" s="441"/>
      <c r="L655" s="797"/>
      <c r="M655" s="441"/>
      <c r="N655" s="441"/>
      <c r="O655" s="441"/>
      <c r="P655" s="441"/>
      <c r="Q655" s="441"/>
      <c r="R655" s="426"/>
      <c r="S655" s="441"/>
      <c r="T655" s="441"/>
      <c r="U655" s="441"/>
      <c r="V655" s="441"/>
      <c r="W655" s="441"/>
      <c r="X655" s="441"/>
      <c r="Y655" s="441"/>
      <c r="Z655" s="441"/>
      <c r="AA655" s="441"/>
      <c r="AB655" s="441"/>
      <c r="AC655" s="441"/>
      <c r="AD655" s="441"/>
      <c r="AE655" s="441"/>
      <c r="AF655" s="441"/>
      <c r="AG655" s="441"/>
      <c r="AH655" s="441"/>
      <c r="AI655" s="441"/>
      <c r="AJ655" s="441"/>
      <c r="AK655" s="441"/>
      <c r="AL655" s="441"/>
      <c r="AM655" s="441"/>
      <c r="AN655" s="441"/>
      <c r="AO655" s="441"/>
      <c r="AP655" s="441"/>
      <c r="AQ655" s="441"/>
      <c r="AR655" s="441"/>
      <c r="AS655" s="441"/>
      <c r="AT655" s="441"/>
      <c r="AU655" s="441"/>
      <c r="AV655" s="441"/>
      <c r="AW655" s="441"/>
      <c r="AX655" s="441"/>
      <c r="AY655" s="441"/>
      <c r="AZ655" s="441"/>
      <c r="BA655" s="441"/>
      <c r="BB655" s="441"/>
      <c r="BC655" s="441"/>
      <c r="BD655" s="441"/>
      <c r="BE655" s="441"/>
      <c r="BF655" s="441"/>
    </row>
    <row r="656">
      <c r="A656" s="798"/>
      <c r="B656" s="795"/>
      <c r="C656" s="795"/>
      <c r="D656" s="795"/>
      <c r="E656" s="795"/>
      <c r="F656" s="795"/>
      <c r="G656" s="795"/>
      <c r="H656" s="795"/>
      <c r="I656" s="796"/>
      <c r="J656" s="441"/>
      <c r="K656" s="441"/>
      <c r="L656" s="797"/>
      <c r="M656" s="441"/>
      <c r="N656" s="441"/>
      <c r="O656" s="441"/>
      <c r="P656" s="441"/>
      <c r="Q656" s="441"/>
      <c r="R656" s="426"/>
      <c r="S656" s="441"/>
      <c r="T656" s="441"/>
      <c r="U656" s="441"/>
      <c r="V656" s="441"/>
      <c r="W656" s="441"/>
      <c r="X656" s="441"/>
      <c r="Y656" s="441"/>
      <c r="Z656" s="441"/>
      <c r="AA656" s="441"/>
      <c r="AB656" s="441"/>
      <c r="AC656" s="441"/>
      <c r="AD656" s="441"/>
      <c r="AE656" s="441"/>
      <c r="AF656" s="441"/>
      <c r="AG656" s="441"/>
      <c r="AH656" s="441"/>
      <c r="AI656" s="441"/>
      <c r="AJ656" s="441"/>
      <c r="AK656" s="441"/>
      <c r="AL656" s="441"/>
      <c r="AM656" s="441"/>
      <c r="AN656" s="441"/>
      <c r="AO656" s="441"/>
      <c r="AP656" s="441"/>
      <c r="AQ656" s="441"/>
      <c r="AR656" s="441"/>
      <c r="AS656" s="441"/>
      <c r="AT656" s="441"/>
      <c r="AU656" s="441"/>
      <c r="AV656" s="441"/>
      <c r="AW656" s="441"/>
      <c r="AX656" s="441"/>
      <c r="AY656" s="441"/>
      <c r="AZ656" s="441"/>
      <c r="BA656" s="441"/>
      <c r="BB656" s="441"/>
      <c r="BC656" s="441"/>
      <c r="BD656" s="441"/>
      <c r="BE656" s="441"/>
      <c r="BF656" s="441"/>
    </row>
    <row r="657">
      <c r="A657" s="923" t="s">
        <v>1025</v>
      </c>
      <c r="B657" s="924" t="s">
        <v>797</v>
      </c>
      <c r="C657" s="924" t="s">
        <v>798</v>
      </c>
      <c r="D657" s="924" t="s">
        <v>799</v>
      </c>
      <c r="E657" s="924" t="s">
        <v>800</v>
      </c>
      <c r="F657" s="924" t="s">
        <v>801</v>
      </c>
      <c r="G657" s="924" t="s">
        <v>802</v>
      </c>
      <c r="H657" s="924" t="s">
        <v>803</v>
      </c>
      <c r="I657" s="597" t="s">
        <v>770</v>
      </c>
      <c r="J657" s="925">
        <v>1.0</v>
      </c>
      <c r="K657" s="926">
        <v>3.0</v>
      </c>
      <c r="L657" s="592">
        <f>VLOOKUP(A657,'Кузнец'!$B$145:$J$193,9,FALSE)</f>
        <v>2.22</v>
      </c>
      <c r="M657" s="927" t="s">
        <v>1026</v>
      </c>
      <c r="N657" s="590">
        <f>VLOOKUP(A657,'Кузнец'!$B$145:$J$193,4,FALSE)</f>
        <v>6</v>
      </c>
      <c r="O657" s="590">
        <v>14.0</v>
      </c>
      <c r="P657" s="589" t="s">
        <v>755</v>
      </c>
      <c r="Q657" s="593"/>
      <c r="R657" s="589" t="s">
        <v>1214</v>
      </c>
      <c r="S657" s="441"/>
      <c r="T657" s="441"/>
      <c r="U657" s="441"/>
      <c r="V657" s="441"/>
      <c r="W657" s="441"/>
      <c r="X657" s="441"/>
      <c r="Y657" s="441"/>
      <c r="Z657" s="441"/>
      <c r="AA657" s="441"/>
      <c r="AB657" s="441"/>
      <c r="AC657" s="441"/>
      <c r="AD657" s="441"/>
      <c r="AE657" s="441"/>
      <c r="AF657" s="441"/>
      <c r="AG657" s="441"/>
      <c r="AH657" s="441"/>
      <c r="AI657" s="441"/>
      <c r="AJ657" s="441"/>
      <c r="AK657" s="441"/>
      <c r="AL657" s="441"/>
      <c r="AM657" s="441"/>
      <c r="AN657" s="441"/>
      <c r="AO657" s="441"/>
      <c r="AP657" s="441"/>
      <c r="AQ657" s="441"/>
      <c r="AR657" s="441"/>
      <c r="AS657" s="441"/>
      <c r="AT657" s="441"/>
      <c r="AU657" s="441"/>
      <c r="AV657" s="441"/>
      <c r="AW657" s="441"/>
      <c r="AX657" s="441"/>
      <c r="AY657" s="441"/>
      <c r="AZ657" s="441"/>
      <c r="BA657" s="441"/>
      <c r="BB657" s="441"/>
      <c r="BC657" s="441"/>
      <c r="BD657" s="441"/>
      <c r="BE657" s="441"/>
      <c r="BF657" s="441"/>
    </row>
    <row r="658">
      <c r="A658" s="798"/>
      <c r="B658" s="795"/>
      <c r="C658" s="795"/>
      <c r="D658" s="795"/>
      <c r="E658" s="795"/>
      <c r="F658" s="795"/>
      <c r="G658" s="795"/>
      <c r="H658" s="795"/>
      <c r="I658" s="796"/>
      <c r="J658" s="441"/>
      <c r="K658" s="441"/>
      <c r="L658" s="797"/>
      <c r="M658" s="441"/>
      <c r="N658" s="441"/>
      <c r="O658" s="441"/>
      <c r="P658" s="441"/>
      <c r="Q658" s="441"/>
      <c r="R658" s="426"/>
      <c r="S658" s="441"/>
      <c r="T658" s="441"/>
      <c r="U658" s="441"/>
      <c r="V658" s="441"/>
      <c r="W658" s="441"/>
      <c r="X658" s="441"/>
      <c r="Y658" s="441"/>
      <c r="Z658" s="441"/>
      <c r="AA658" s="441"/>
      <c r="AB658" s="441"/>
      <c r="AC658" s="441"/>
      <c r="AD658" s="441"/>
      <c r="AE658" s="441"/>
      <c r="AF658" s="441"/>
      <c r="AG658" s="441"/>
      <c r="AH658" s="441"/>
      <c r="AI658" s="441"/>
      <c r="AJ658" s="441"/>
      <c r="AK658" s="441"/>
      <c r="AL658" s="441"/>
      <c r="AM658" s="441"/>
      <c r="AN658" s="441"/>
      <c r="AO658" s="441"/>
      <c r="AP658" s="441"/>
      <c r="AQ658" s="441"/>
      <c r="AR658" s="441"/>
      <c r="AS658" s="441"/>
      <c r="AT658" s="441"/>
      <c r="AU658" s="441"/>
      <c r="AV658" s="441"/>
      <c r="AW658" s="441"/>
      <c r="AX658" s="441"/>
      <c r="AY658" s="441"/>
      <c r="AZ658" s="441"/>
      <c r="BA658" s="441"/>
      <c r="BB658" s="441"/>
      <c r="BC658" s="441"/>
      <c r="BD658" s="441"/>
      <c r="BE658" s="441"/>
      <c r="BF658" s="441"/>
    </row>
    <row r="659">
      <c r="A659" s="798"/>
      <c r="B659" s="795"/>
      <c r="C659" s="795"/>
      <c r="D659" s="795"/>
      <c r="E659" s="795"/>
      <c r="F659" s="795"/>
      <c r="G659" s="795"/>
      <c r="H659" s="795"/>
      <c r="I659" s="796"/>
      <c r="J659" s="441"/>
      <c r="K659" s="441"/>
      <c r="L659" s="797"/>
      <c r="M659" s="441"/>
      <c r="N659" s="441"/>
      <c r="O659" s="441"/>
      <c r="P659" s="441"/>
      <c r="Q659" s="441"/>
      <c r="R659" s="426"/>
      <c r="S659" s="441"/>
      <c r="T659" s="441"/>
      <c r="U659" s="441"/>
      <c r="V659" s="441"/>
      <c r="W659" s="441"/>
      <c r="X659" s="441"/>
      <c r="Y659" s="441"/>
      <c r="Z659" s="441"/>
      <c r="AA659" s="441"/>
      <c r="AB659" s="441"/>
      <c r="AC659" s="441"/>
      <c r="AD659" s="441"/>
      <c r="AE659" s="441"/>
      <c r="AF659" s="441"/>
      <c r="AG659" s="441"/>
      <c r="AH659" s="441"/>
      <c r="AI659" s="441"/>
      <c r="AJ659" s="441"/>
      <c r="AK659" s="441"/>
      <c r="AL659" s="441"/>
      <c r="AM659" s="441"/>
      <c r="AN659" s="441"/>
      <c r="AO659" s="441"/>
      <c r="AP659" s="441"/>
      <c r="AQ659" s="441"/>
      <c r="AR659" s="441"/>
      <c r="AS659" s="441"/>
      <c r="AT659" s="441"/>
      <c r="AU659" s="441"/>
      <c r="AV659" s="441"/>
      <c r="AW659" s="441"/>
      <c r="AX659" s="441"/>
      <c r="AY659" s="441"/>
      <c r="AZ659" s="441"/>
      <c r="BA659" s="441"/>
      <c r="BB659" s="441"/>
      <c r="BC659" s="441"/>
      <c r="BD659" s="441"/>
      <c r="BE659" s="441"/>
      <c r="BF659" s="441"/>
    </row>
    <row r="660">
      <c r="A660" s="798"/>
      <c r="B660" s="795"/>
      <c r="C660" s="795"/>
      <c r="D660" s="795"/>
      <c r="E660" s="795"/>
      <c r="F660" s="795"/>
      <c r="G660" s="795"/>
      <c r="H660" s="795"/>
      <c r="I660" s="796"/>
      <c r="J660" s="441"/>
      <c r="K660" s="441"/>
      <c r="L660" s="797"/>
      <c r="M660" s="441"/>
      <c r="N660" s="441"/>
      <c r="O660" s="441"/>
      <c r="P660" s="441"/>
      <c r="Q660" s="441"/>
      <c r="R660" s="426"/>
      <c r="S660" s="441"/>
      <c r="T660" s="441"/>
      <c r="U660" s="441"/>
      <c r="V660" s="441"/>
      <c r="W660" s="441"/>
      <c r="X660" s="441"/>
      <c r="Y660" s="441"/>
      <c r="Z660" s="441"/>
      <c r="AA660" s="441"/>
      <c r="AB660" s="441"/>
      <c r="AC660" s="441"/>
      <c r="AD660" s="441"/>
      <c r="AE660" s="441"/>
      <c r="AF660" s="441"/>
      <c r="AG660" s="441"/>
      <c r="AH660" s="441"/>
      <c r="AI660" s="441"/>
      <c r="AJ660" s="441"/>
      <c r="AK660" s="441"/>
      <c r="AL660" s="441"/>
      <c r="AM660" s="441"/>
      <c r="AN660" s="441"/>
      <c r="AO660" s="441"/>
      <c r="AP660" s="441"/>
      <c r="AQ660" s="441"/>
      <c r="AR660" s="441"/>
      <c r="AS660" s="441"/>
      <c r="AT660" s="441"/>
      <c r="AU660" s="441"/>
      <c r="AV660" s="441"/>
      <c r="AW660" s="441"/>
      <c r="AX660" s="441"/>
      <c r="AY660" s="441"/>
      <c r="AZ660" s="441"/>
      <c r="BA660" s="441"/>
      <c r="BB660" s="441"/>
      <c r="BC660" s="441"/>
      <c r="BD660" s="441"/>
      <c r="BE660" s="441"/>
      <c r="BF660" s="441"/>
    </row>
    <row r="661">
      <c r="A661" s="798"/>
      <c r="B661" s="795"/>
      <c r="C661" s="795"/>
      <c r="D661" s="795"/>
      <c r="E661" s="795"/>
      <c r="F661" s="795"/>
      <c r="G661" s="795"/>
      <c r="H661" s="795"/>
      <c r="I661" s="796"/>
      <c r="J661" s="441"/>
      <c r="K661" s="441"/>
      <c r="L661" s="797"/>
      <c r="M661" s="441"/>
      <c r="N661" s="441"/>
      <c r="O661" s="441"/>
      <c r="P661" s="441"/>
      <c r="Q661" s="441"/>
      <c r="R661" s="426"/>
      <c r="S661" s="441"/>
      <c r="T661" s="441"/>
      <c r="U661" s="441"/>
      <c r="V661" s="441"/>
      <c r="W661" s="441"/>
      <c r="X661" s="441"/>
      <c r="Y661" s="441"/>
      <c r="Z661" s="441"/>
      <c r="AA661" s="441"/>
      <c r="AB661" s="441"/>
      <c r="AC661" s="441"/>
      <c r="AD661" s="441"/>
      <c r="AE661" s="441"/>
      <c r="AF661" s="441"/>
      <c r="AG661" s="441"/>
      <c r="AH661" s="441"/>
      <c r="AI661" s="441"/>
      <c r="AJ661" s="441"/>
      <c r="AK661" s="441"/>
      <c r="AL661" s="441"/>
      <c r="AM661" s="441"/>
      <c r="AN661" s="441"/>
      <c r="AO661" s="441"/>
      <c r="AP661" s="441"/>
      <c r="AQ661" s="441"/>
      <c r="AR661" s="441"/>
      <c r="AS661" s="441"/>
      <c r="AT661" s="441"/>
      <c r="AU661" s="441"/>
      <c r="AV661" s="441"/>
      <c r="AW661" s="441"/>
      <c r="AX661" s="441"/>
      <c r="AY661" s="441"/>
      <c r="AZ661" s="441"/>
      <c r="BA661" s="441"/>
      <c r="BB661" s="441"/>
      <c r="BC661" s="441"/>
      <c r="BD661" s="441"/>
      <c r="BE661" s="441"/>
      <c r="BF661" s="441"/>
    </row>
    <row r="662">
      <c r="A662" s="798"/>
      <c r="B662" s="795"/>
      <c r="C662" s="795"/>
      <c r="D662" s="795"/>
      <c r="E662" s="795"/>
      <c r="F662" s="795"/>
      <c r="G662" s="795"/>
      <c r="H662" s="795"/>
      <c r="I662" s="796"/>
      <c r="J662" s="441"/>
      <c r="K662" s="441"/>
      <c r="L662" s="797"/>
      <c r="M662" s="441"/>
      <c r="N662" s="441"/>
      <c r="O662" s="441"/>
      <c r="P662" s="441"/>
      <c r="Q662" s="441"/>
      <c r="R662" s="426"/>
      <c r="S662" s="441"/>
      <c r="T662" s="441"/>
      <c r="U662" s="441"/>
      <c r="V662" s="441"/>
      <c r="W662" s="441"/>
      <c r="X662" s="441"/>
      <c r="Y662" s="441"/>
      <c r="Z662" s="441"/>
      <c r="AA662" s="441"/>
      <c r="AB662" s="441"/>
      <c r="AC662" s="441"/>
      <c r="AD662" s="441"/>
      <c r="AE662" s="441"/>
      <c r="AF662" s="441"/>
      <c r="AG662" s="441"/>
      <c r="AH662" s="441"/>
      <c r="AI662" s="441"/>
      <c r="AJ662" s="441"/>
      <c r="AK662" s="441"/>
      <c r="AL662" s="441"/>
      <c r="AM662" s="441"/>
      <c r="AN662" s="441"/>
      <c r="AO662" s="441"/>
      <c r="AP662" s="441"/>
      <c r="AQ662" s="441"/>
      <c r="AR662" s="441"/>
      <c r="AS662" s="441"/>
      <c r="AT662" s="441"/>
      <c r="AU662" s="441"/>
      <c r="AV662" s="441"/>
      <c r="AW662" s="441"/>
      <c r="AX662" s="441"/>
      <c r="AY662" s="441"/>
      <c r="AZ662" s="441"/>
      <c r="BA662" s="441"/>
      <c r="BB662" s="441"/>
      <c r="BC662" s="441"/>
      <c r="BD662" s="441"/>
      <c r="BE662" s="441"/>
      <c r="BF662" s="441"/>
    </row>
    <row r="663">
      <c r="A663" s="798"/>
      <c r="B663" s="795"/>
      <c r="C663" s="795"/>
      <c r="D663" s="795"/>
      <c r="E663" s="795"/>
      <c r="F663" s="795"/>
      <c r="G663" s="795"/>
      <c r="H663" s="795"/>
      <c r="I663" s="796"/>
      <c r="J663" s="441"/>
      <c r="K663" s="441"/>
      <c r="L663" s="797"/>
      <c r="M663" s="441"/>
      <c r="N663" s="441"/>
      <c r="O663" s="441"/>
      <c r="P663" s="441"/>
      <c r="Q663" s="441"/>
      <c r="R663" s="426"/>
      <c r="S663" s="441"/>
      <c r="T663" s="441"/>
      <c r="U663" s="441"/>
      <c r="V663" s="441"/>
      <c r="W663" s="441"/>
      <c r="X663" s="441"/>
      <c r="Y663" s="441"/>
      <c r="Z663" s="441"/>
      <c r="AA663" s="441"/>
      <c r="AB663" s="441"/>
      <c r="AC663" s="441"/>
      <c r="AD663" s="441"/>
      <c r="AE663" s="441"/>
      <c r="AF663" s="441"/>
      <c r="AG663" s="441"/>
      <c r="AH663" s="441"/>
      <c r="AI663" s="441"/>
      <c r="AJ663" s="441"/>
      <c r="AK663" s="441"/>
      <c r="AL663" s="441"/>
      <c r="AM663" s="441"/>
      <c r="AN663" s="441"/>
      <c r="AO663" s="441"/>
      <c r="AP663" s="441"/>
      <c r="AQ663" s="441"/>
      <c r="AR663" s="441"/>
      <c r="AS663" s="441"/>
      <c r="AT663" s="441"/>
      <c r="AU663" s="441"/>
      <c r="AV663" s="441"/>
      <c r="AW663" s="441"/>
      <c r="AX663" s="441"/>
      <c r="AY663" s="441"/>
      <c r="AZ663" s="441"/>
      <c r="BA663" s="441"/>
      <c r="BB663" s="441"/>
      <c r="BC663" s="441"/>
      <c r="BD663" s="441"/>
      <c r="BE663" s="441"/>
      <c r="BF663" s="441"/>
    </row>
    <row r="664">
      <c r="A664" s="798"/>
      <c r="B664" s="795"/>
      <c r="C664" s="795"/>
      <c r="D664" s="795"/>
      <c r="E664" s="795"/>
      <c r="F664" s="795"/>
      <c r="G664" s="795"/>
      <c r="H664" s="795"/>
      <c r="I664" s="796"/>
      <c r="J664" s="441"/>
      <c r="K664" s="441"/>
      <c r="L664" s="797"/>
      <c r="M664" s="441"/>
      <c r="N664" s="441"/>
      <c r="O664" s="441"/>
      <c r="P664" s="441"/>
      <c r="Q664" s="441"/>
      <c r="R664" s="426"/>
      <c r="S664" s="441"/>
      <c r="T664" s="441"/>
      <c r="U664" s="441"/>
      <c r="V664" s="441"/>
      <c r="W664" s="441"/>
      <c r="X664" s="441"/>
      <c r="Y664" s="441"/>
      <c r="Z664" s="441"/>
      <c r="AA664" s="441"/>
      <c r="AB664" s="441"/>
      <c r="AC664" s="441"/>
      <c r="AD664" s="441"/>
      <c r="AE664" s="441"/>
      <c r="AF664" s="441"/>
      <c r="AG664" s="441"/>
      <c r="AH664" s="441"/>
      <c r="AI664" s="441"/>
      <c r="AJ664" s="441"/>
      <c r="AK664" s="441"/>
      <c r="AL664" s="441"/>
      <c r="AM664" s="441"/>
      <c r="AN664" s="441"/>
      <c r="AO664" s="441"/>
      <c r="AP664" s="441"/>
      <c r="AQ664" s="441"/>
      <c r="AR664" s="441"/>
      <c r="AS664" s="441"/>
      <c r="AT664" s="441"/>
      <c r="AU664" s="441"/>
      <c r="AV664" s="441"/>
      <c r="AW664" s="441"/>
      <c r="AX664" s="441"/>
      <c r="AY664" s="441"/>
      <c r="AZ664" s="441"/>
      <c r="BA664" s="441"/>
      <c r="BB664" s="441"/>
      <c r="BC664" s="441"/>
      <c r="BD664" s="441"/>
      <c r="BE664" s="441"/>
      <c r="BF664" s="441"/>
    </row>
    <row r="665">
      <c r="A665" s="798"/>
      <c r="B665" s="795"/>
      <c r="C665" s="795"/>
      <c r="D665" s="795"/>
      <c r="E665" s="795"/>
      <c r="F665" s="795"/>
      <c r="G665" s="795"/>
      <c r="H665" s="795"/>
      <c r="I665" s="796"/>
      <c r="J665" s="441"/>
      <c r="K665" s="441"/>
      <c r="L665" s="797"/>
      <c r="M665" s="441"/>
      <c r="N665" s="441"/>
      <c r="O665" s="441"/>
      <c r="P665" s="441"/>
      <c r="Q665" s="441"/>
      <c r="R665" s="426"/>
      <c r="S665" s="441"/>
      <c r="T665" s="441"/>
      <c r="U665" s="441"/>
      <c r="V665" s="441"/>
      <c r="W665" s="441"/>
      <c r="X665" s="441"/>
      <c r="Y665" s="441"/>
      <c r="Z665" s="441"/>
      <c r="AA665" s="441"/>
      <c r="AB665" s="441"/>
      <c r="AC665" s="441"/>
      <c r="AD665" s="441"/>
      <c r="AE665" s="441"/>
      <c r="AF665" s="441"/>
      <c r="AG665" s="441"/>
      <c r="AH665" s="441"/>
      <c r="AI665" s="441"/>
      <c r="AJ665" s="441"/>
      <c r="AK665" s="441"/>
      <c r="AL665" s="441"/>
      <c r="AM665" s="441"/>
      <c r="AN665" s="441"/>
      <c r="AO665" s="441"/>
      <c r="AP665" s="441"/>
      <c r="AQ665" s="441"/>
      <c r="AR665" s="441"/>
      <c r="AS665" s="441"/>
      <c r="AT665" s="441"/>
      <c r="AU665" s="441"/>
      <c r="AV665" s="441"/>
      <c r="AW665" s="441"/>
      <c r="AX665" s="441"/>
      <c r="AY665" s="441"/>
      <c r="AZ665" s="441"/>
      <c r="BA665" s="441"/>
      <c r="BB665" s="441"/>
      <c r="BC665" s="441"/>
      <c r="BD665" s="441"/>
      <c r="BE665" s="441"/>
      <c r="BF665" s="441"/>
    </row>
    <row r="666">
      <c r="A666" s="798"/>
      <c r="B666" s="795"/>
      <c r="C666" s="795"/>
      <c r="D666" s="795"/>
      <c r="E666" s="795"/>
      <c r="F666" s="795"/>
      <c r="G666" s="795"/>
      <c r="H666" s="795"/>
      <c r="I666" s="796"/>
      <c r="J666" s="441"/>
      <c r="K666" s="441"/>
      <c r="L666" s="797"/>
      <c r="M666" s="441"/>
      <c r="N666" s="441"/>
      <c r="O666" s="441"/>
      <c r="P666" s="441"/>
      <c r="Q666" s="441"/>
      <c r="R666" s="426"/>
      <c r="S666" s="441"/>
      <c r="T666" s="441"/>
      <c r="U666" s="441"/>
      <c r="V666" s="441"/>
      <c r="W666" s="441"/>
      <c r="X666" s="441"/>
      <c r="Y666" s="441"/>
      <c r="Z666" s="441"/>
      <c r="AA666" s="441"/>
      <c r="AB666" s="441"/>
      <c r="AC666" s="441"/>
      <c r="AD666" s="441"/>
      <c r="AE666" s="441"/>
      <c r="AF666" s="441"/>
      <c r="AG666" s="441"/>
      <c r="AH666" s="441"/>
      <c r="AI666" s="441"/>
      <c r="AJ666" s="441"/>
      <c r="AK666" s="441"/>
      <c r="AL666" s="441"/>
      <c r="AM666" s="441"/>
      <c r="AN666" s="441"/>
      <c r="AO666" s="441"/>
      <c r="AP666" s="441"/>
      <c r="AQ666" s="441"/>
      <c r="AR666" s="441"/>
      <c r="AS666" s="441"/>
      <c r="AT666" s="441"/>
      <c r="AU666" s="441"/>
      <c r="AV666" s="441"/>
      <c r="AW666" s="441"/>
      <c r="AX666" s="441"/>
      <c r="AY666" s="441"/>
      <c r="AZ666" s="441"/>
      <c r="BA666" s="441"/>
      <c r="BB666" s="441"/>
      <c r="BC666" s="441"/>
      <c r="BD666" s="441"/>
      <c r="BE666" s="441"/>
      <c r="BF666" s="441"/>
    </row>
    <row r="667">
      <c r="A667" s="798"/>
      <c r="B667" s="795"/>
      <c r="C667" s="795"/>
      <c r="D667" s="795"/>
      <c r="E667" s="795"/>
      <c r="F667" s="795"/>
      <c r="G667" s="795"/>
      <c r="H667" s="795"/>
      <c r="I667" s="796"/>
      <c r="J667" s="441"/>
      <c r="K667" s="441"/>
      <c r="L667" s="797"/>
      <c r="M667" s="441"/>
      <c r="N667" s="441"/>
      <c r="O667" s="441"/>
      <c r="P667" s="441"/>
      <c r="Q667" s="441"/>
      <c r="R667" s="426"/>
      <c r="S667" s="441"/>
      <c r="T667" s="441"/>
      <c r="U667" s="441"/>
      <c r="V667" s="441"/>
      <c r="W667" s="441"/>
      <c r="X667" s="441"/>
      <c r="Y667" s="441"/>
      <c r="Z667" s="441"/>
      <c r="AA667" s="441"/>
      <c r="AB667" s="441"/>
      <c r="AC667" s="441"/>
      <c r="AD667" s="441"/>
      <c r="AE667" s="441"/>
      <c r="AF667" s="441"/>
      <c r="AG667" s="441"/>
      <c r="AH667" s="441"/>
      <c r="AI667" s="441"/>
      <c r="AJ667" s="441"/>
      <c r="AK667" s="441"/>
      <c r="AL667" s="441"/>
      <c r="AM667" s="441"/>
      <c r="AN667" s="441"/>
      <c r="AO667" s="441"/>
      <c r="AP667" s="441"/>
      <c r="AQ667" s="441"/>
      <c r="AR667" s="441"/>
      <c r="AS667" s="441"/>
      <c r="AT667" s="441"/>
      <c r="AU667" s="441"/>
      <c r="AV667" s="441"/>
      <c r="AW667" s="441"/>
      <c r="AX667" s="441"/>
      <c r="AY667" s="441"/>
      <c r="AZ667" s="441"/>
      <c r="BA667" s="441"/>
      <c r="BB667" s="441"/>
      <c r="BC667" s="441"/>
      <c r="BD667" s="441"/>
      <c r="BE667" s="441"/>
      <c r="BF667" s="441"/>
    </row>
    <row r="668">
      <c r="A668" s="798"/>
      <c r="B668" s="795"/>
      <c r="C668" s="795"/>
      <c r="D668" s="795"/>
      <c r="E668" s="795"/>
      <c r="F668" s="795"/>
      <c r="G668" s="795"/>
      <c r="H668" s="795"/>
      <c r="I668" s="796"/>
      <c r="J668" s="441"/>
      <c r="K668" s="441"/>
      <c r="L668" s="797"/>
      <c r="M668" s="441"/>
      <c r="N668" s="441"/>
      <c r="O668" s="441"/>
      <c r="P668" s="441"/>
      <c r="Q668" s="441"/>
      <c r="R668" s="426"/>
      <c r="S668" s="441"/>
      <c r="T668" s="441"/>
      <c r="U668" s="441"/>
      <c r="V668" s="441"/>
      <c r="W668" s="441"/>
      <c r="X668" s="441"/>
      <c r="Y668" s="441"/>
      <c r="Z668" s="441"/>
      <c r="AA668" s="441"/>
      <c r="AB668" s="441"/>
      <c r="AC668" s="441"/>
      <c r="AD668" s="441"/>
      <c r="AE668" s="441"/>
      <c r="AF668" s="441"/>
      <c r="AG668" s="441"/>
      <c r="AH668" s="441"/>
      <c r="AI668" s="441"/>
      <c r="AJ668" s="441"/>
      <c r="AK668" s="441"/>
      <c r="AL668" s="441"/>
      <c r="AM668" s="441"/>
      <c r="AN668" s="441"/>
      <c r="AO668" s="441"/>
      <c r="AP668" s="441"/>
      <c r="AQ668" s="441"/>
      <c r="AR668" s="441"/>
      <c r="AS668" s="441"/>
      <c r="AT668" s="441"/>
      <c r="AU668" s="441"/>
      <c r="AV668" s="441"/>
      <c r="AW668" s="441"/>
      <c r="AX668" s="441"/>
      <c r="AY668" s="441"/>
      <c r="AZ668" s="441"/>
      <c r="BA668" s="441"/>
      <c r="BB668" s="441"/>
      <c r="BC668" s="441"/>
      <c r="BD668" s="441"/>
      <c r="BE668" s="441"/>
      <c r="BF668" s="441"/>
    </row>
    <row r="669">
      <c r="A669" s="798"/>
      <c r="B669" s="795"/>
      <c r="C669" s="795"/>
      <c r="D669" s="795"/>
      <c r="E669" s="795"/>
      <c r="F669" s="795"/>
      <c r="G669" s="795"/>
      <c r="H669" s="795"/>
      <c r="I669" s="796"/>
      <c r="J669" s="441"/>
      <c r="K669" s="441"/>
      <c r="L669" s="797"/>
      <c r="M669" s="441"/>
      <c r="N669" s="441"/>
      <c r="O669" s="441"/>
      <c r="P669" s="441"/>
      <c r="Q669" s="441"/>
      <c r="R669" s="426"/>
      <c r="S669" s="441"/>
      <c r="T669" s="441"/>
      <c r="U669" s="441"/>
      <c r="V669" s="441"/>
      <c r="W669" s="441"/>
      <c r="X669" s="441"/>
      <c r="Y669" s="441"/>
      <c r="Z669" s="441"/>
      <c r="AA669" s="441"/>
      <c r="AB669" s="441"/>
      <c r="AC669" s="441"/>
      <c r="AD669" s="441"/>
      <c r="AE669" s="441"/>
      <c r="AF669" s="441"/>
      <c r="AG669" s="441"/>
      <c r="AH669" s="441"/>
      <c r="AI669" s="441"/>
      <c r="AJ669" s="441"/>
      <c r="AK669" s="441"/>
      <c r="AL669" s="441"/>
      <c r="AM669" s="441"/>
      <c r="AN669" s="441"/>
      <c r="AO669" s="441"/>
      <c r="AP669" s="441"/>
      <c r="AQ669" s="441"/>
      <c r="AR669" s="441"/>
      <c r="AS669" s="441"/>
      <c r="AT669" s="441"/>
      <c r="AU669" s="441"/>
      <c r="AV669" s="441"/>
      <c r="AW669" s="441"/>
      <c r="AX669" s="441"/>
      <c r="AY669" s="441"/>
      <c r="AZ669" s="441"/>
      <c r="BA669" s="441"/>
      <c r="BB669" s="441"/>
      <c r="BC669" s="441"/>
      <c r="BD669" s="441"/>
      <c r="BE669" s="441"/>
      <c r="BF669" s="441"/>
    </row>
    <row r="670">
      <c r="A670" s="798"/>
      <c r="B670" s="795"/>
      <c r="C670" s="795"/>
      <c r="D670" s="795"/>
      <c r="E670" s="795"/>
      <c r="F670" s="795"/>
      <c r="G670" s="795"/>
      <c r="H670" s="795"/>
      <c r="I670" s="796"/>
      <c r="J670" s="441"/>
      <c r="K670" s="441"/>
      <c r="L670" s="797"/>
      <c r="M670" s="441"/>
      <c r="N670" s="441"/>
      <c r="O670" s="441"/>
      <c r="P670" s="441"/>
      <c r="Q670" s="441"/>
      <c r="R670" s="426"/>
      <c r="S670" s="441"/>
      <c r="T670" s="441"/>
      <c r="U670" s="441"/>
      <c r="V670" s="441"/>
      <c r="W670" s="441"/>
      <c r="X670" s="441"/>
      <c r="Y670" s="441"/>
      <c r="Z670" s="441"/>
      <c r="AA670" s="441"/>
      <c r="AB670" s="441"/>
      <c r="AC670" s="441"/>
      <c r="AD670" s="441"/>
      <c r="AE670" s="441"/>
      <c r="AF670" s="441"/>
      <c r="AG670" s="441"/>
      <c r="AH670" s="441"/>
      <c r="AI670" s="441"/>
      <c r="AJ670" s="441"/>
      <c r="AK670" s="441"/>
      <c r="AL670" s="441"/>
      <c r="AM670" s="441"/>
      <c r="AN670" s="441"/>
      <c r="AO670" s="441"/>
      <c r="AP670" s="441"/>
      <c r="AQ670" s="441"/>
      <c r="AR670" s="441"/>
      <c r="AS670" s="441"/>
      <c r="AT670" s="441"/>
      <c r="AU670" s="441"/>
      <c r="AV670" s="441"/>
      <c r="AW670" s="441"/>
      <c r="AX670" s="441"/>
      <c r="AY670" s="441"/>
      <c r="AZ670" s="441"/>
      <c r="BA670" s="441"/>
      <c r="BB670" s="441"/>
      <c r="BC670" s="441"/>
      <c r="BD670" s="441"/>
      <c r="BE670" s="441"/>
      <c r="BF670" s="441"/>
    </row>
    <row r="671">
      <c r="A671" s="798"/>
      <c r="B671" s="795"/>
      <c r="C671" s="795"/>
      <c r="D671" s="795"/>
      <c r="E671" s="795"/>
      <c r="F671" s="795"/>
      <c r="G671" s="795"/>
      <c r="H671" s="795"/>
      <c r="I671" s="796"/>
      <c r="J671" s="441"/>
      <c r="K671" s="441"/>
      <c r="L671" s="797"/>
      <c r="M671" s="441"/>
      <c r="N671" s="441"/>
      <c r="O671" s="441"/>
      <c r="P671" s="441"/>
      <c r="Q671" s="441"/>
      <c r="R671" s="426"/>
      <c r="S671" s="441"/>
      <c r="T671" s="441"/>
      <c r="U671" s="441"/>
      <c r="V671" s="441"/>
      <c r="W671" s="441"/>
      <c r="X671" s="441"/>
      <c r="Y671" s="441"/>
      <c r="Z671" s="441"/>
      <c r="AA671" s="441"/>
      <c r="AB671" s="441"/>
      <c r="AC671" s="441"/>
      <c r="AD671" s="441"/>
      <c r="AE671" s="441"/>
      <c r="AF671" s="441"/>
      <c r="AG671" s="441"/>
      <c r="AH671" s="441"/>
      <c r="AI671" s="441"/>
      <c r="AJ671" s="441"/>
      <c r="AK671" s="441"/>
      <c r="AL671" s="441"/>
      <c r="AM671" s="441"/>
      <c r="AN671" s="441"/>
      <c r="AO671" s="441"/>
      <c r="AP671" s="441"/>
      <c r="AQ671" s="441"/>
      <c r="AR671" s="441"/>
      <c r="AS671" s="441"/>
      <c r="AT671" s="441"/>
      <c r="AU671" s="441"/>
      <c r="AV671" s="441"/>
      <c r="AW671" s="441"/>
      <c r="AX671" s="441"/>
      <c r="AY671" s="441"/>
      <c r="AZ671" s="441"/>
      <c r="BA671" s="441"/>
      <c r="BB671" s="441"/>
      <c r="BC671" s="441"/>
      <c r="BD671" s="441"/>
      <c r="BE671" s="441"/>
      <c r="BF671" s="441"/>
    </row>
    <row r="672">
      <c r="A672" s="798"/>
      <c r="B672" s="795"/>
      <c r="C672" s="795"/>
      <c r="D672" s="795"/>
      <c r="E672" s="795"/>
      <c r="F672" s="795"/>
      <c r="G672" s="795"/>
      <c r="H672" s="795"/>
      <c r="I672" s="796"/>
      <c r="J672" s="441"/>
      <c r="K672" s="441"/>
      <c r="L672" s="797"/>
      <c r="M672" s="441"/>
      <c r="N672" s="441"/>
      <c r="O672" s="441"/>
      <c r="P672" s="441"/>
      <c r="Q672" s="441"/>
      <c r="R672" s="426"/>
      <c r="S672" s="441"/>
      <c r="T672" s="441"/>
      <c r="U672" s="441"/>
      <c r="V672" s="441"/>
      <c r="W672" s="441"/>
      <c r="X672" s="441"/>
      <c r="Y672" s="441"/>
      <c r="Z672" s="441"/>
      <c r="AA672" s="441"/>
      <c r="AB672" s="441"/>
      <c r="AC672" s="441"/>
      <c r="AD672" s="441"/>
      <c r="AE672" s="441"/>
      <c r="AF672" s="441"/>
      <c r="AG672" s="441"/>
      <c r="AH672" s="441"/>
      <c r="AI672" s="441"/>
      <c r="AJ672" s="441"/>
      <c r="AK672" s="441"/>
      <c r="AL672" s="441"/>
      <c r="AM672" s="441"/>
      <c r="AN672" s="441"/>
      <c r="AO672" s="441"/>
      <c r="AP672" s="441"/>
      <c r="AQ672" s="441"/>
      <c r="AR672" s="441"/>
      <c r="AS672" s="441"/>
      <c r="AT672" s="441"/>
      <c r="AU672" s="441"/>
      <c r="AV672" s="441"/>
      <c r="AW672" s="441"/>
      <c r="AX672" s="441"/>
      <c r="AY672" s="441"/>
      <c r="AZ672" s="441"/>
      <c r="BA672" s="441"/>
      <c r="BB672" s="441"/>
      <c r="BC672" s="441"/>
      <c r="BD672" s="441"/>
      <c r="BE672" s="441"/>
      <c r="BF672" s="441"/>
    </row>
    <row r="673">
      <c r="A673" s="798"/>
      <c r="B673" s="795"/>
      <c r="C673" s="795"/>
      <c r="D673" s="795"/>
      <c r="E673" s="795"/>
      <c r="F673" s="795"/>
      <c r="G673" s="795"/>
      <c r="H673" s="795"/>
      <c r="I673" s="796"/>
      <c r="J673" s="441"/>
      <c r="K673" s="441"/>
      <c r="L673" s="797"/>
      <c r="M673" s="441"/>
      <c r="N673" s="441"/>
      <c r="O673" s="441"/>
      <c r="P673" s="441"/>
      <c r="Q673" s="441"/>
      <c r="R673" s="426"/>
      <c r="S673" s="441"/>
      <c r="T673" s="441"/>
      <c r="U673" s="441"/>
      <c r="V673" s="441"/>
      <c r="W673" s="441"/>
      <c r="X673" s="441"/>
      <c r="Y673" s="441"/>
      <c r="Z673" s="441"/>
      <c r="AA673" s="441"/>
      <c r="AB673" s="441"/>
      <c r="AC673" s="441"/>
      <c r="AD673" s="441"/>
      <c r="AE673" s="441"/>
      <c r="AF673" s="441"/>
      <c r="AG673" s="441"/>
      <c r="AH673" s="441"/>
      <c r="AI673" s="441"/>
      <c r="AJ673" s="441"/>
      <c r="AK673" s="441"/>
      <c r="AL673" s="441"/>
      <c r="AM673" s="441"/>
      <c r="AN673" s="441"/>
      <c r="AO673" s="441"/>
      <c r="AP673" s="441"/>
      <c r="AQ673" s="441"/>
      <c r="AR673" s="441"/>
      <c r="AS673" s="441"/>
      <c r="AT673" s="441"/>
      <c r="AU673" s="441"/>
      <c r="AV673" s="441"/>
      <c r="AW673" s="441"/>
      <c r="AX673" s="441"/>
      <c r="AY673" s="441"/>
      <c r="AZ673" s="441"/>
      <c r="BA673" s="441"/>
      <c r="BB673" s="441"/>
      <c r="BC673" s="441"/>
      <c r="BD673" s="441"/>
      <c r="BE673" s="441"/>
      <c r="BF673" s="441"/>
    </row>
    <row r="674">
      <c r="A674" s="798"/>
      <c r="B674" s="795"/>
      <c r="C674" s="795"/>
      <c r="D674" s="795"/>
      <c r="E674" s="795"/>
      <c r="F674" s="795"/>
      <c r="G674" s="795"/>
      <c r="H674" s="795"/>
      <c r="I674" s="796"/>
      <c r="J674" s="441"/>
      <c r="K674" s="441"/>
      <c r="L674" s="797"/>
      <c r="M674" s="441"/>
      <c r="N674" s="441"/>
      <c r="O674" s="441"/>
      <c r="P674" s="441"/>
      <c r="Q674" s="441"/>
      <c r="R674" s="426"/>
      <c r="S674" s="441"/>
      <c r="T674" s="441"/>
      <c r="U674" s="441"/>
      <c r="V674" s="441"/>
      <c r="W674" s="441"/>
      <c r="X674" s="441"/>
      <c r="Y674" s="441"/>
      <c r="Z674" s="441"/>
      <c r="AA674" s="441"/>
      <c r="AB674" s="441"/>
      <c r="AC674" s="441"/>
      <c r="AD674" s="441"/>
      <c r="AE674" s="441"/>
      <c r="AF674" s="441"/>
      <c r="AG674" s="441"/>
      <c r="AH674" s="441"/>
      <c r="AI674" s="441"/>
      <c r="AJ674" s="441"/>
      <c r="AK674" s="441"/>
      <c r="AL674" s="441"/>
      <c r="AM674" s="441"/>
      <c r="AN674" s="441"/>
      <c r="AO674" s="441"/>
      <c r="AP674" s="441"/>
      <c r="AQ674" s="441"/>
      <c r="AR674" s="441"/>
      <c r="AS674" s="441"/>
      <c r="AT674" s="441"/>
      <c r="AU674" s="441"/>
      <c r="AV674" s="441"/>
      <c r="AW674" s="441"/>
      <c r="AX674" s="441"/>
      <c r="AY674" s="441"/>
      <c r="AZ674" s="441"/>
      <c r="BA674" s="441"/>
      <c r="BB674" s="441"/>
      <c r="BC674" s="441"/>
      <c r="BD674" s="441"/>
      <c r="BE674" s="441"/>
      <c r="BF674" s="441"/>
    </row>
    <row r="675">
      <c r="A675" s="798"/>
      <c r="B675" s="795"/>
      <c r="C675" s="795"/>
      <c r="D675" s="795"/>
      <c r="E675" s="795"/>
      <c r="F675" s="795"/>
      <c r="G675" s="795"/>
      <c r="H675" s="795"/>
      <c r="I675" s="796"/>
      <c r="J675" s="441"/>
      <c r="K675" s="441"/>
      <c r="L675" s="797"/>
      <c r="M675" s="441"/>
      <c r="N675" s="441"/>
      <c r="O675" s="441"/>
      <c r="P675" s="441"/>
      <c r="Q675" s="441"/>
      <c r="R675" s="426"/>
      <c r="S675" s="441"/>
      <c r="T675" s="441"/>
      <c r="U675" s="441"/>
      <c r="V675" s="441"/>
      <c r="W675" s="441"/>
      <c r="X675" s="441"/>
      <c r="Y675" s="441"/>
      <c r="Z675" s="441"/>
      <c r="AA675" s="441"/>
      <c r="AB675" s="441"/>
      <c r="AC675" s="441"/>
      <c r="AD675" s="441"/>
      <c r="AE675" s="441"/>
      <c r="AF675" s="441"/>
      <c r="AG675" s="441"/>
      <c r="AH675" s="441"/>
      <c r="AI675" s="441"/>
      <c r="AJ675" s="441"/>
      <c r="AK675" s="441"/>
      <c r="AL675" s="441"/>
      <c r="AM675" s="441"/>
      <c r="AN675" s="441"/>
      <c r="AO675" s="441"/>
      <c r="AP675" s="441"/>
      <c r="AQ675" s="441"/>
      <c r="AR675" s="441"/>
      <c r="AS675" s="441"/>
      <c r="AT675" s="441"/>
      <c r="AU675" s="441"/>
      <c r="AV675" s="441"/>
      <c r="AW675" s="441"/>
      <c r="AX675" s="441"/>
      <c r="AY675" s="441"/>
      <c r="AZ675" s="441"/>
      <c r="BA675" s="441"/>
      <c r="BB675" s="441"/>
      <c r="BC675" s="441"/>
      <c r="BD675" s="441"/>
      <c r="BE675" s="441"/>
      <c r="BF675" s="441"/>
    </row>
    <row r="676">
      <c r="A676" s="798"/>
      <c r="B676" s="795"/>
      <c r="C676" s="795"/>
      <c r="D676" s="795"/>
      <c r="E676" s="795"/>
      <c r="F676" s="795"/>
      <c r="G676" s="795"/>
      <c r="H676" s="795"/>
      <c r="I676" s="796"/>
      <c r="J676" s="441"/>
      <c r="K676" s="441"/>
      <c r="L676" s="797"/>
      <c r="M676" s="441"/>
      <c r="N676" s="441"/>
      <c r="O676" s="441"/>
      <c r="P676" s="441"/>
      <c r="Q676" s="441"/>
      <c r="R676" s="426"/>
      <c r="S676" s="441"/>
      <c r="T676" s="441"/>
      <c r="U676" s="441"/>
      <c r="V676" s="441"/>
      <c r="W676" s="441"/>
      <c r="X676" s="441"/>
      <c r="Y676" s="441"/>
      <c r="Z676" s="441"/>
      <c r="AA676" s="441"/>
      <c r="AB676" s="441"/>
      <c r="AC676" s="441"/>
      <c r="AD676" s="441"/>
      <c r="AE676" s="441"/>
      <c r="AF676" s="441"/>
      <c r="AG676" s="441"/>
      <c r="AH676" s="441"/>
      <c r="AI676" s="441"/>
      <c r="AJ676" s="441"/>
      <c r="AK676" s="441"/>
      <c r="AL676" s="441"/>
      <c r="AM676" s="441"/>
      <c r="AN676" s="441"/>
      <c r="AO676" s="441"/>
      <c r="AP676" s="441"/>
      <c r="AQ676" s="441"/>
      <c r="AR676" s="441"/>
      <c r="AS676" s="441"/>
      <c r="AT676" s="441"/>
      <c r="AU676" s="441"/>
      <c r="AV676" s="441"/>
      <c r="AW676" s="441"/>
      <c r="AX676" s="441"/>
      <c r="AY676" s="441"/>
      <c r="AZ676" s="441"/>
      <c r="BA676" s="441"/>
      <c r="BB676" s="441"/>
      <c r="BC676" s="441"/>
      <c r="BD676" s="441"/>
      <c r="BE676" s="441"/>
      <c r="BF676" s="441"/>
    </row>
    <row r="677">
      <c r="A677" s="798"/>
      <c r="B677" s="795"/>
      <c r="C677" s="795"/>
      <c r="D677" s="795"/>
      <c r="E677" s="795"/>
      <c r="F677" s="795"/>
      <c r="G677" s="795"/>
      <c r="H677" s="795"/>
      <c r="I677" s="796"/>
      <c r="J677" s="441"/>
      <c r="K677" s="441"/>
      <c r="L677" s="797"/>
      <c r="M677" s="441"/>
      <c r="N677" s="441"/>
      <c r="O677" s="441"/>
      <c r="P677" s="441"/>
      <c r="Q677" s="441"/>
      <c r="R677" s="426"/>
      <c r="S677" s="441"/>
      <c r="T677" s="441"/>
      <c r="U677" s="441"/>
      <c r="V677" s="441"/>
      <c r="W677" s="441"/>
      <c r="X677" s="441"/>
      <c r="Y677" s="441"/>
      <c r="Z677" s="441"/>
      <c r="AA677" s="441"/>
      <c r="AB677" s="441"/>
      <c r="AC677" s="441"/>
      <c r="AD677" s="441"/>
      <c r="AE677" s="441"/>
      <c r="AF677" s="441"/>
      <c r="AG677" s="441"/>
      <c r="AH677" s="441"/>
      <c r="AI677" s="441"/>
      <c r="AJ677" s="441"/>
      <c r="AK677" s="441"/>
      <c r="AL677" s="441"/>
      <c r="AM677" s="441"/>
      <c r="AN677" s="441"/>
      <c r="AO677" s="441"/>
      <c r="AP677" s="441"/>
      <c r="AQ677" s="441"/>
      <c r="AR677" s="441"/>
      <c r="AS677" s="441"/>
      <c r="AT677" s="441"/>
      <c r="AU677" s="441"/>
      <c r="AV677" s="441"/>
      <c r="AW677" s="441"/>
      <c r="AX677" s="441"/>
      <c r="AY677" s="441"/>
      <c r="AZ677" s="441"/>
      <c r="BA677" s="441"/>
      <c r="BB677" s="441"/>
      <c r="BC677" s="441"/>
      <c r="BD677" s="441"/>
      <c r="BE677" s="441"/>
      <c r="BF677" s="441"/>
    </row>
    <row r="678">
      <c r="A678" s="798"/>
      <c r="B678" s="795"/>
      <c r="C678" s="795"/>
      <c r="D678" s="795"/>
      <c r="E678" s="795"/>
      <c r="F678" s="795"/>
      <c r="G678" s="795"/>
      <c r="H678" s="795"/>
      <c r="I678" s="796"/>
      <c r="J678" s="441"/>
      <c r="K678" s="441"/>
      <c r="L678" s="797"/>
      <c r="M678" s="441"/>
      <c r="N678" s="441"/>
      <c r="O678" s="441"/>
      <c r="P678" s="441"/>
      <c r="Q678" s="441"/>
      <c r="R678" s="426"/>
      <c r="S678" s="441"/>
      <c r="T678" s="441"/>
      <c r="U678" s="441"/>
      <c r="V678" s="441"/>
      <c r="W678" s="441"/>
      <c r="X678" s="441"/>
      <c r="Y678" s="441"/>
      <c r="Z678" s="441"/>
      <c r="AA678" s="441"/>
      <c r="AB678" s="441"/>
      <c r="AC678" s="441"/>
      <c r="AD678" s="441"/>
      <c r="AE678" s="441"/>
      <c r="AF678" s="441"/>
      <c r="AG678" s="441"/>
      <c r="AH678" s="441"/>
      <c r="AI678" s="441"/>
      <c r="AJ678" s="441"/>
      <c r="AK678" s="441"/>
      <c r="AL678" s="441"/>
      <c r="AM678" s="441"/>
      <c r="AN678" s="441"/>
      <c r="AO678" s="441"/>
      <c r="AP678" s="441"/>
      <c r="AQ678" s="441"/>
      <c r="AR678" s="441"/>
      <c r="AS678" s="441"/>
      <c r="AT678" s="441"/>
      <c r="AU678" s="441"/>
      <c r="AV678" s="441"/>
      <c r="AW678" s="441"/>
      <c r="AX678" s="441"/>
      <c r="AY678" s="441"/>
      <c r="AZ678" s="441"/>
      <c r="BA678" s="441"/>
      <c r="BB678" s="441"/>
      <c r="BC678" s="441"/>
      <c r="BD678" s="441"/>
      <c r="BE678" s="441"/>
      <c r="BF678" s="441"/>
    </row>
    <row r="679">
      <c r="A679" s="798"/>
      <c r="B679" s="795"/>
      <c r="C679" s="795"/>
      <c r="D679" s="795"/>
      <c r="E679" s="795"/>
      <c r="F679" s="795"/>
      <c r="G679" s="795"/>
      <c r="H679" s="795"/>
      <c r="I679" s="796"/>
      <c r="J679" s="441"/>
      <c r="K679" s="441"/>
      <c r="L679" s="797"/>
      <c r="M679" s="441"/>
      <c r="N679" s="441"/>
      <c r="O679" s="441"/>
      <c r="P679" s="441"/>
      <c r="Q679" s="441"/>
      <c r="R679" s="426"/>
      <c r="S679" s="441"/>
      <c r="T679" s="441"/>
      <c r="U679" s="441"/>
      <c r="V679" s="441"/>
      <c r="W679" s="441"/>
      <c r="X679" s="441"/>
      <c r="Y679" s="441"/>
      <c r="Z679" s="441"/>
      <c r="AA679" s="441"/>
      <c r="AB679" s="441"/>
      <c r="AC679" s="441"/>
      <c r="AD679" s="441"/>
      <c r="AE679" s="441"/>
      <c r="AF679" s="441"/>
      <c r="AG679" s="441"/>
      <c r="AH679" s="441"/>
      <c r="AI679" s="441"/>
      <c r="AJ679" s="441"/>
      <c r="AK679" s="441"/>
      <c r="AL679" s="441"/>
      <c r="AM679" s="441"/>
      <c r="AN679" s="441"/>
      <c r="AO679" s="441"/>
      <c r="AP679" s="441"/>
      <c r="AQ679" s="441"/>
      <c r="AR679" s="441"/>
      <c r="AS679" s="441"/>
      <c r="AT679" s="441"/>
      <c r="AU679" s="441"/>
      <c r="AV679" s="441"/>
      <c r="AW679" s="441"/>
      <c r="AX679" s="441"/>
      <c r="AY679" s="441"/>
      <c r="AZ679" s="441"/>
      <c r="BA679" s="441"/>
      <c r="BB679" s="441"/>
      <c r="BC679" s="441"/>
      <c r="BD679" s="441"/>
      <c r="BE679" s="441"/>
      <c r="BF679" s="441"/>
    </row>
    <row r="680">
      <c r="A680" s="798"/>
      <c r="B680" s="795"/>
      <c r="C680" s="795"/>
      <c r="D680" s="795"/>
      <c r="E680" s="795"/>
      <c r="F680" s="795"/>
      <c r="G680" s="795"/>
      <c r="H680" s="795"/>
      <c r="I680" s="796"/>
      <c r="J680" s="441"/>
      <c r="K680" s="441"/>
      <c r="L680" s="797"/>
      <c r="M680" s="441"/>
      <c r="N680" s="441"/>
      <c r="O680" s="441"/>
      <c r="P680" s="441"/>
      <c r="Q680" s="441"/>
      <c r="R680" s="426"/>
      <c r="S680" s="441"/>
      <c r="T680" s="441"/>
      <c r="U680" s="441"/>
      <c r="V680" s="441"/>
      <c r="W680" s="441"/>
      <c r="X680" s="441"/>
      <c r="Y680" s="441"/>
      <c r="Z680" s="441"/>
      <c r="AA680" s="441"/>
      <c r="AB680" s="441"/>
      <c r="AC680" s="441"/>
      <c r="AD680" s="441"/>
      <c r="AE680" s="441"/>
      <c r="AF680" s="441"/>
      <c r="AG680" s="441"/>
      <c r="AH680" s="441"/>
      <c r="AI680" s="441"/>
      <c r="AJ680" s="441"/>
      <c r="AK680" s="441"/>
      <c r="AL680" s="441"/>
      <c r="AM680" s="441"/>
      <c r="AN680" s="441"/>
      <c r="AO680" s="441"/>
      <c r="AP680" s="441"/>
      <c r="AQ680" s="441"/>
      <c r="AR680" s="441"/>
      <c r="AS680" s="441"/>
      <c r="AT680" s="441"/>
      <c r="AU680" s="441"/>
      <c r="AV680" s="441"/>
      <c r="AW680" s="441"/>
      <c r="AX680" s="441"/>
      <c r="AY680" s="441"/>
      <c r="AZ680" s="441"/>
      <c r="BA680" s="441"/>
      <c r="BB680" s="441"/>
      <c r="BC680" s="441"/>
      <c r="BD680" s="441"/>
      <c r="BE680" s="441"/>
      <c r="BF680" s="441"/>
    </row>
    <row r="681">
      <c r="A681" s="798"/>
      <c r="B681" s="795"/>
      <c r="C681" s="795"/>
      <c r="D681" s="795"/>
      <c r="E681" s="795"/>
      <c r="F681" s="795"/>
      <c r="G681" s="795"/>
      <c r="H681" s="795"/>
      <c r="I681" s="796"/>
      <c r="J681" s="441"/>
      <c r="K681" s="441"/>
      <c r="L681" s="797"/>
      <c r="M681" s="441"/>
      <c r="N681" s="441"/>
      <c r="O681" s="441"/>
      <c r="P681" s="441"/>
      <c r="Q681" s="441"/>
      <c r="R681" s="426"/>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1"/>
      <c r="AY681" s="441"/>
      <c r="AZ681" s="441"/>
      <c r="BA681" s="441"/>
      <c r="BB681" s="441"/>
      <c r="BC681" s="441"/>
      <c r="BD681" s="441"/>
      <c r="BE681" s="441"/>
      <c r="BF681" s="441"/>
    </row>
    <row r="682">
      <c r="A682" s="798"/>
      <c r="B682" s="795"/>
      <c r="C682" s="795"/>
      <c r="D682" s="795"/>
      <c r="E682" s="795"/>
      <c r="F682" s="795"/>
      <c r="G682" s="795"/>
      <c r="H682" s="795"/>
      <c r="I682" s="796"/>
      <c r="J682" s="441"/>
      <c r="K682" s="441"/>
      <c r="L682" s="797"/>
      <c r="M682" s="441"/>
      <c r="N682" s="441"/>
      <c r="O682" s="441"/>
      <c r="P682" s="441"/>
      <c r="Q682" s="441"/>
      <c r="R682" s="426"/>
      <c r="S682" s="441"/>
      <c r="T682" s="441"/>
      <c r="U682" s="441"/>
      <c r="V682" s="441"/>
      <c r="W682" s="441"/>
      <c r="X682" s="441"/>
      <c r="Y682" s="441"/>
      <c r="Z682" s="441"/>
      <c r="AA682" s="441"/>
      <c r="AB682" s="441"/>
      <c r="AC682" s="441"/>
      <c r="AD682" s="441"/>
      <c r="AE682" s="441"/>
      <c r="AF682" s="441"/>
      <c r="AG682" s="441"/>
      <c r="AH682" s="441"/>
      <c r="AI682" s="441"/>
      <c r="AJ682" s="441"/>
      <c r="AK682" s="441"/>
      <c r="AL682" s="441"/>
      <c r="AM682" s="441"/>
      <c r="AN682" s="441"/>
      <c r="AO682" s="441"/>
      <c r="AP682" s="441"/>
      <c r="AQ682" s="441"/>
      <c r="AR682" s="441"/>
      <c r="AS682" s="441"/>
      <c r="AT682" s="441"/>
      <c r="AU682" s="441"/>
      <c r="AV682" s="441"/>
      <c r="AW682" s="441"/>
      <c r="AX682" s="441"/>
      <c r="AY682" s="441"/>
      <c r="AZ682" s="441"/>
      <c r="BA682" s="441"/>
      <c r="BB682" s="441"/>
      <c r="BC682" s="441"/>
      <c r="BD682" s="441"/>
      <c r="BE682" s="441"/>
      <c r="BF682" s="441"/>
    </row>
    <row r="683">
      <c r="A683" s="798"/>
      <c r="B683" s="795"/>
      <c r="C683" s="795"/>
      <c r="D683" s="795"/>
      <c r="E683" s="795"/>
      <c r="F683" s="795"/>
      <c r="G683" s="795"/>
      <c r="H683" s="795"/>
      <c r="I683" s="796"/>
      <c r="J683" s="441"/>
      <c r="K683" s="441"/>
      <c r="L683" s="797"/>
      <c r="M683" s="441"/>
      <c r="N683" s="441"/>
      <c r="O683" s="441"/>
      <c r="P683" s="441"/>
      <c r="Q683" s="441"/>
      <c r="R683" s="426"/>
      <c r="S683" s="441"/>
      <c r="T683" s="441"/>
      <c r="U683" s="441"/>
      <c r="V683" s="441"/>
      <c r="W683" s="441"/>
      <c r="X683" s="441"/>
      <c r="Y683" s="441"/>
      <c r="Z683" s="441"/>
      <c r="AA683" s="441"/>
      <c r="AB683" s="441"/>
      <c r="AC683" s="441"/>
      <c r="AD683" s="441"/>
      <c r="AE683" s="441"/>
      <c r="AF683" s="441"/>
      <c r="AG683" s="441"/>
      <c r="AH683" s="441"/>
      <c r="AI683" s="441"/>
      <c r="AJ683" s="441"/>
      <c r="AK683" s="441"/>
      <c r="AL683" s="441"/>
      <c r="AM683" s="441"/>
      <c r="AN683" s="441"/>
      <c r="AO683" s="441"/>
      <c r="AP683" s="441"/>
      <c r="AQ683" s="441"/>
      <c r="AR683" s="441"/>
      <c r="AS683" s="441"/>
      <c r="AT683" s="441"/>
      <c r="AU683" s="441"/>
      <c r="AV683" s="441"/>
      <c r="AW683" s="441"/>
      <c r="AX683" s="441"/>
      <c r="AY683" s="441"/>
      <c r="AZ683" s="441"/>
      <c r="BA683" s="441"/>
      <c r="BB683" s="441"/>
      <c r="BC683" s="441"/>
      <c r="BD683" s="441"/>
      <c r="BE683" s="441"/>
      <c r="BF683" s="441"/>
    </row>
    <row r="684">
      <c r="A684" s="798"/>
      <c r="B684" s="795"/>
      <c r="C684" s="795"/>
      <c r="D684" s="795"/>
      <c r="E684" s="795"/>
      <c r="F684" s="795"/>
      <c r="G684" s="795"/>
      <c r="H684" s="795"/>
      <c r="I684" s="796"/>
      <c r="J684" s="441"/>
      <c r="K684" s="441"/>
      <c r="L684" s="797"/>
      <c r="M684" s="441"/>
      <c r="N684" s="441"/>
      <c r="O684" s="441"/>
      <c r="P684" s="441"/>
      <c r="Q684" s="441"/>
      <c r="R684" s="426"/>
      <c r="S684" s="441"/>
      <c r="T684" s="441"/>
      <c r="U684" s="441"/>
      <c r="V684" s="441"/>
      <c r="W684" s="441"/>
      <c r="X684" s="441"/>
      <c r="Y684" s="441"/>
      <c r="Z684" s="441"/>
      <c r="AA684" s="441"/>
      <c r="AB684" s="441"/>
      <c r="AC684" s="441"/>
      <c r="AD684" s="441"/>
      <c r="AE684" s="441"/>
      <c r="AF684" s="441"/>
      <c r="AG684" s="441"/>
      <c r="AH684" s="441"/>
      <c r="AI684" s="441"/>
      <c r="AJ684" s="441"/>
      <c r="AK684" s="441"/>
      <c r="AL684" s="441"/>
      <c r="AM684" s="441"/>
      <c r="AN684" s="441"/>
      <c r="AO684" s="441"/>
      <c r="AP684" s="441"/>
      <c r="AQ684" s="441"/>
      <c r="AR684" s="441"/>
      <c r="AS684" s="441"/>
      <c r="AT684" s="441"/>
      <c r="AU684" s="441"/>
      <c r="AV684" s="441"/>
      <c r="AW684" s="441"/>
      <c r="AX684" s="441"/>
      <c r="AY684" s="441"/>
      <c r="AZ684" s="441"/>
      <c r="BA684" s="441"/>
      <c r="BB684" s="441"/>
      <c r="BC684" s="441"/>
      <c r="BD684" s="441"/>
      <c r="BE684" s="441"/>
      <c r="BF684" s="441"/>
    </row>
    <row r="685">
      <c r="A685" s="798"/>
      <c r="B685" s="795"/>
      <c r="C685" s="795"/>
      <c r="D685" s="795"/>
      <c r="E685" s="795"/>
      <c r="F685" s="795"/>
      <c r="G685" s="795"/>
      <c r="H685" s="795"/>
      <c r="I685" s="796"/>
      <c r="J685" s="441"/>
      <c r="K685" s="441"/>
      <c r="L685" s="797"/>
      <c r="M685" s="441"/>
      <c r="N685" s="441"/>
      <c r="O685" s="441"/>
      <c r="P685" s="441"/>
      <c r="Q685" s="441"/>
      <c r="R685" s="426"/>
      <c r="S685" s="441"/>
      <c r="T685" s="441"/>
      <c r="U685" s="441"/>
      <c r="V685" s="441"/>
      <c r="W685" s="441"/>
      <c r="X685" s="441"/>
      <c r="Y685" s="441"/>
      <c r="Z685" s="441"/>
      <c r="AA685" s="441"/>
      <c r="AB685" s="441"/>
      <c r="AC685" s="441"/>
      <c r="AD685" s="441"/>
      <c r="AE685" s="441"/>
      <c r="AF685" s="441"/>
      <c r="AG685" s="441"/>
      <c r="AH685" s="441"/>
      <c r="AI685" s="441"/>
      <c r="AJ685" s="441"/>
      <c r="AK685" s="441"/>
      <c r="AL685" s="441"/>
      <c r="AM685" s="441"/>
      <c r="AN685" s="441"/>
      <c r="AO685" s="441"/>
      <c r="AP685" s="441"/>
      <c r="AQ685" s="441"/>
      <c r="AR685" s="441"/>
      <c r="AS685" s="441"/>
      <c r="AT685" s="441"/>
      <c r="AU685" s="441"/>
      <c r="AV685" s="441"/>
      <c r="AW685" s="441"/>
      <c r="AX685" s="441"/>
      <c r="AY685" s="441"/>
      <c r="AZ685" s="441"/>
      <c r="BA685" s="441"/>
      <c r="BB685" s="441"/>
      <c r="BC685" s="441"/>
      <c r="BD685" s="441"/>
      <c r="BE685" s="441"/>
      <c r="BF685" s="441"/>
    </row>
    <row r="686">
      <c r="A686" s="798"/>
      <c r="B686" s="795"/>
      <c r="C686" s="795"/>
      <c r="D686" s="795"/>
      <c r="E686" s="795"/>
      <c r="F686" s="795"/>
      <c r="G686" s="795"/>
      <c r="H686" s="795"/>
      <c r="I686" s="796"/>
      <c r="J686" s="441"/>
      <c r="K686" s="441"/>
      <c r="L686" s="797"/>
      <c r="M686" s="441"/>
      <c r="N686" s="441"/>
      <c r="O686" s="441"/>
      <c r="P686" s="441"/>
      <c r="Q686" s="441"/>
      <c r="R686" s="426"/>
      <c r="S686" s="441"/>
      <c r="T686" s="441"/>
      <c r="U686" s="441"/>
      <c r="V686" s="441"/>
      <c r="W686" s="441"/>
      <c r="X686" s="441"/>
      <c r="Y686" s="441"/>
      <c r="Z686" s="441"/>
      <c r="AA686" s="441"/>
      <c r="AB686" s="441"/>
      <c r="AC686" s="441"/>
      <c r="AD686" s="441"/>
      <c r="AE686" s="441"/>
      <c r="AF686" s="441"/>
      <c r="AG686" s="441"/>
      <c r="AH686" s="441"/>
      <c r="AI686" s="441"/>
      <c r="AJ686" s="441"/>
      <c r="AK686" s="441"/>
      <c r="AL686" s="441"/>
      <c r="AM686" s="441"/>
      <c r="AN686" s="441"/>
      <c r="AO686" s="441"/>
      <c r="AP686" s="441"/>
      <c r="AQ686" s="441"/>
      <c r="AR686" s="441"/>
      <c r="AS686" s="441"/>
      <c r="AT686" s="441"/>
      <c r="AU686" s="441"/>
      <c r="AV686" s="441"/>
      <c r="AW686" s="441"/>
      <c r="AX686" s="441"/>
      <c r="AY686" s="441"/>
      <c r="AZ686" s="441"/>
      <c r="BA686" s="441"/>
      <c r="BB686" s="441"/>
      <c r="BC686" s="441"/>
      <c r="BD686" s="441"/>
      <c r="BE686" s="441"/>
      <c r="BF686" s="441"/>
    </row>
    <row r="687">
      <c r="A687" s="798"/>
      <c r="B687" s="795"/>
      <c r="C687" s="795"/>
      <c r="D687" s="795"/>
      <c r="E687" s="795"/>
      <c r="F687" s="795"/>
      <c r="G687" s="795"/>
      <c r="H687" s="795"/>
      <c r="I687" s="796"/>
      <c r="J687" s="441"/>
      <c r="K687" s="441"/>
      <c r="L687" s="797"/>
      <c r="M687" s="441"/>
      <c r="N687" s="441"/>
      <c r="O687" s="441"/>
      <c r="P687" s="441"/>
      <c r="Q687" s="441"/>
      <c r="R687" s="426"/>
      <c r="S687" s="441"/>
      <c r="T687" s="441"/>
      <c r="U687" s="441"/>
      <c r="V687" s="441"/>
      <c r="W687" s="441"/>
      <c r="X687" s="441"/>
      <c r="Y687" s="441"/>
      <c r="Z687" s="441"/>
      <c r="AA687" s="441"/>
      <c r="AB687" s="441"/>
      <c r="AC687" s="441"/>
      <c r="AD687" s="441"/>
      <c r="AE687" s="441"/>
      <c r="AF687" s="441"/>
      <c r="AG687" s="441"/>
      <c r="AH687" s="441"/>
      <c r="AI687" s="441"/>
      <c r="AJ687" s="441"/>
      <c r="AK687" s="441"/>
      <c r="AL687" s="441"/>
      <c r="AM687" s="441"/>
      <c r="AN687" s="441"/>
      <c r="AO687" s="441"/>
      <c r="AP687" s="441"/>
      <c r="AQ687" s="441"/>
      <c r="AR687" s="441"/>
      <c r="AS687" s="441"/>
      <c r="AT687" s="441"/>
      <c r="AU687" s="441"/>
      <c r="AV687" s="441"/>
      <c r="AW687" s="441"/>
      <c r="AX687" s="441"/>
      <c r="AY687" s="441"/>
      <c r="AZ687" s="441"/>
      <c r="BA687" s="441"/>
      <c r="BB687" s="441"/>
      <c r="BC687" s="441"/>
      <c r="BD687" s="441"/>
      <c r="BE687" s="441"/>
      <c r="BF687" s="441"/>
    </row>
    <row r="688">
      <c r="A688" s="798"/>
      <c r="B688" s="795"/>
      <c r="C688" s="795"/>
      <c r="D688" s="795"/>
      <c r="E688" s="795"/>
      <c r="F688" s="795"/>
      <c r="G688" s="795"/>
      <c r="H688" s="795"/>
      <c r="I688" s="796"/>
      <c r="J688" s="441"/>
      <c r="K688" s="441"/>
      <c r="L688" s="797"/>
      <c r="M688" s="441"/>
      <c r="N688" s="441"/>
      <c r="O688" s="441"/>
      <c r="P688" s="441"/>
      <c r="Q688" s="441"/>
      <c r="R688" s="426"/>
      <c r="S688" s="441"/>
      <c r="T688" s="441"/>
      <c r="U688" s="441"/>
      <c r="V688" s="441"/>
      <c r="W688" s="441"/>
      <c r="X688" s="441"/>
      <c r="Y688" s="441"/>
      <c r="Z688" s="441"/>
      <c r="AA688" s="441"/>
      <c r="AB688" s="441"/>
      <c r="AC688" s="441"/>
      <c r="AD688" s="441"/>
      <c r="AE688" s="441"/>
      <c r="AF688" s="441"/>
      <c r="AG688" s="441"/>
      <c r="AH688" s="441"/>
      <c r="AI688" s="441"/>
      <c r="AJ688" s="441"/>
      <c r="AK688" s="441"/>
      <c r="AL688" s="441"/>
      <c r="AM688" s="441"/>
      <c r="AN688" s="441"/>
      <c r="AO688" s="441"/>
      <c r="AP688" s="441"/>
      <c r="AQ688" s="441"/>
      <c r="AR688" s="441"/>
      <c r="AS688" s="441"/>
      <c r="AT688" s="441"/>
      <c r="AU688" s="441"/>
      <c r="AV688" s="441"/>
      <c r="AW688" s="441"/>
      <c r="AX688" s="441"/>
      <c r="AY688" s="441"/>
      <c r="AZ688" s="441"/>
      <c r="BA688" s="441"/>
      <c r="BB688" s="441"/>
      <c r="BC688" s="441"/>
      <c r="BD688" s="441"/>
      <c r="BE688" s="441"/>
      <c r="BF688" s="441"/>
    </row>
    <row r="689">
      <c r="A689" s="798"/>
      <c r="B689" s="795"/>
      <c r="C689" s="795"/>
      <c r="D689" s="795"/>
      <c r="E689" s="795"/>
      <c r="F689" s="795"/>
      <c r="G689" s="795"/>
      <c r="H689" s="795"/>
      <c r="I689" s="796"/>
      <c r="J689" s="441"/>
      <c r="K689" s="441"/>
      <c r="L689" s="797"/>
      <c r="M689" s="441"/>
      <c r="N689" s="441"/>
      <c r="O689" s="441"/>
      <c r="P689" s="441"/>
      <c r="Q689" s="441"/>
      <c r="R689" s="426"/>
      <c r="S689" s="441"/>
      <c r="T689" s="441"/>
      <c r="U689" s="441"/>
      <c r="V689" s="441"/>
      <c r="W689" s="441"/>
      <c r="X689" s="441"/>
      <c r="Y689" s="441"/>
      <c r="Z689" s="441"/>
      <c r="AA689" s="441"/>
      <c r="AB689" s="441"/>
      <c r="AC689" s="441"/>
      <c r="AD689" s="441"/>
      <c r="AE689" s="441"/>
      <c r="AF689" s="441"/>
      <c r="AG689" s="441"/>
      <c r="AH689" s="441"/>
      <c r="AI689" s="441"/>
      <c r="AJ689" s="441"/>
      <c r="AK689" s="441"/>
      <c r="AL689" s="441"/>
      <c r="AM689" s="441"/>
      <c r="AN689" s="441"/>
      <c r="AO689" s="441"/>
      <c r="AP689" s="441"/>
      <c r="AQ689" s="441"/>
      <c r="AR689" s="441"/>
      <c r="AS689" s="441"/>
      <c r="AT689" s="441"/>
      <c r="AU689" s="441"/>
      <c r="AV689" s="441"/>
      <c r="AW689" s="441"/>
      <c r="AX689" s="441"/>
      <c r="AY689" s="441"/>
      <c r="AZ689" s="441"/>
      <c r="BA689" s="441"/>
      <c r="BB689" s="441"/>
      <c r="BC689" s="441"/>
      <c r="BD689" s="441"/>
      <c r="BE689" s="441"/>
      <c r="BF689" s="441"/>
    </row>
    <row r="690">
      <c r="A690" s="798"/>
      <c r="B690" s="795"/>
      <c r="C690" s="795"/>
      <c r="D690" s="795"/>
      <c r="E690" s="795"/>
      <c r="F690" s="795"/>
      <c r="G690" s="795"/>
      <c r="H690" s="795"/>
      <c r="I690" s="796"/>
      <c r="J690" s="441"/>
      <c r="K690" s="441"/>
      <c r="L690" s="797"/>
      <c r="M690" s="441"/>
      <c r="N690" s="441"/>
      <c r="O690" s="441"/>
      <c r="P690" s="441"/>
      <c r="Q690" s="441"/>
      <c r="R690" s="426"/>
      <c r="S690" s="441"/>
      <c r="T690" s="441"/>
      <c r="U690" s="441"/>
      <c r="V690" s="441"/>
      <c r="W690" s="441"/>
      <c r="X690" s="441"/>
      <c r="Y690" s="441"/>
      <c r="Z690" s="441"/>
      <c r="AA690" s="441"/>
      <c r="AB690" s="441"/>
      <c r="AC690" s="441"/>
      <c r="AD690" s="441"/>
      <c r="AE690" s="441"/>
      <c r="AF690" s="441"/>
      <c r="AG690" s="441"/>
      <c r="AH690" s="441"/>
      <c r="AI690" s="441"/>
      <c r="AJ690" s="441"/>
      <c r="AK690" s="441"/>
      <c r="AL690" s="441"/>
      <c r="AM690" s="441"/>
      <c r="AN690" s="441"/>
      <c r="AO690" s="441"/>
      <c r="AP690" s="441"/>
      <c r="AQ690" s="441"/>
      <c r="AR690" s="441"/>
      <c r="AS690" s="441"/>
      <c r="AT690" s="441"/>
      <c r="AU690" s="441"/>
      <c r="AV690" s="441"/>
      <c r="AW690" s="441"/>
      <c r="AX690" s="441"/>
      <c r="AY690" s="441"/>
      <c r="AZ690" s="441"/>
      <c r="BA690" s="441"/>
      <c r="BB690" s="441"/>
      <c r="BC690" s="441"/>
      <c r="BD690" s="441"/>
      <c r="BE690" s="441"/>
      <c r="BF690" s="441"/>
    </row>
    <row r="691">
      <c r="A691" s="798"/>
      <c r="B691" s="795"/>
      <c r="C691" s="795"/>
      <c r="D691" s="795"/>
      <c r="E691" s="795"/>
      <c r="F691" s="795"/>
      <c r="G691" s="795"/>
      <c r="H691" s="795"/>
      <c r="I691" s="796"/>
      <c r="J691" s="441"/>
      <c r="K691" s="441"/>
      <c r="L691" s="797"/>
      <c r="M691" s="441"/>
      <c r="N691" s="441"/>
      <c r="O691" s="441"/>
      <c r="P691" s="441"/>
      <c r="Q691" s="441"/>
      <c r="R691" s="426"/>
      <c r="S691" s="441"/>
      <c r="T691" s="441"/>
      <c r="U691" s="441"/>
      <c r="V691" s="441"/>
      <c r="W691" s="441"/>
      <c r="X691" s="441"/>
      <c r="Y691" s="441"/>
      <c r="Z691" s="441"/>
      <c r="AA691" s="441"/>
      <c r="AB691" s="441"/>
      <c r="AC691" s="441"/>
      <c r="AD691" s="441"/>
      <c r="AE691" s="441"/>
      <c r="AF691" s="441"/>
      <c r="AG691" s="441"/>
      <c r="AH691" s="441"/>
      <c r="AI691" s="441"/>
      <c r="AJ691" s="441"/>
      <c r="AK691" s="441"/>
      <c r="AL691" s="441"/>
      <c r="AM691" s="441"/>
      <c r="AN691" s="441"/>
      <c r="AO691" s="441"/>
      <c r="AP691" s="441"/>
      <c r="AQ691" s="441"/>
      <c r="AR691" s="441"/>
      <c r="AS691" s="441"/>
      <c r="AT691" s="441"/>
      <c r="AU691" s="441"/>
      <c r="AV691" s="441"/>
      <c r="AW691" s="441"/>
      <c r="AX691" s="441"/>
      <c r="AY691" s="441"/>
      <c r="AZ691" s="441"/>
      <c r="BA691" s="441"/>
      <c r="BB691" s="441"/>
      <c r="BC691" s="441"/>
      <c r="BD691" s="441"/>
      <c r="BE691" s="441"/>
      <c r="BF691" s="441"/>
    </row>
    <row r="692">
      <c r="A692" s="798"/>
      <c r="B692" s="795"/>
      <c r="C692" s="795"/>
      <c r="D692" s="795"/>
      <c r="E692" s="795"/>
      <c r="F692" s="795"/>
      <c r="G692" s="795"/>
      <c r="H692" s="795"/>
      <c r="I692" s="796"/>
      <c r="J692" s="441"/>
      <c r="K692" s="441"/>
      <c r="L692" s="797"/>
      <c r="M692" s="441"/>
      <c r="N692" s="441"/>
      <c r="O692" s="441"/>
      <c r="P692" s="441"/>
      <c r="Q692" s="441"/>
      <c r="R692" s="426"/>
      <c r="S692" s="441"/>
      <c r="T692" s="441"/>
      <c r="U692" s="441"/>
      <c r="V692" s="441"/>
      <c r="W692" s="441"/>
      <c r="X692" s="441"/>
      <c r="Y692" s="441"/>
      <c r="Z692" s="441"/>
      <c r="AA692" s="441"/>
      <c r="AB692" s="441"/>
      <c r="AC692" s="441"/>
      <c r="AD692" s="441"/>
      <c r="AE692" s="441"/>
      <c r="AF692" s="441"/>
      <c r="AG692" s="441"/>
      <c r="AH692" s="441"/>
      <c r="AI692" s="441"/>
      <c r="AJ692" s="441"/>
      <c r="AK692" s="441"/>
      <c r="AL692" s="441"/>
      <c r="AM692" s="441"/>
      <c r="AN692" s="441"/>
      <c r="AO692" s="441"/>
      <c r="AP692" s="441"/>
      <c r="AQ692" s="441"/>
      <c r="AR692" s="441"/>
      <c r="AS692" s="441"/>
      <c r="AT692" s="441"/>
      <c r="AU692" s="441"/>
      <c r="AV692" s="441"/>
      <c r="AW692" s="441"/>
      <c r="AX692" s="441"/>
      <c r="AY692" s="441"/>
      <c r="AZ692" s="441"/>
      <c r="BA692" s="441"/>
      <c r="BB692" s="441"/>
      <c r="BC692" s="441"/>
      <c r="BD692" s="441"/>
      <c r="BE692" s="441"/>
      <c r="BF692" s="441"/>
    </row>
    <row r="693">
      <c r="A693" s="798"/>
      <c r="B693" s="795"/>
      <c r="C693" s="795"/>
      <c r="D693" s="795"/>
      <c r="E693" s="795"/>
      <c r="F693" s="795"/>
      <c r="G693" s="795"/>
      <c r="H693" s="795"/>
      <c r="I693" s="796"/>
      <c r="J693" s="441"/>
      <c r="K693" s="441"/>
      <c r="L693" s="797"/>
      <c r="M693" s="441"/>
      <c r="N693" s="441"/>
      <c r="O693" s="441"/>
      <c r="P693" s="441"/>
      <c r="Q693" s="441"/>
      <c r="R693" s="426"/>
      <c r="S693" s="441"/>
      <c r="T693" s="441"/>
      <c r="U693" s="441"/>
      <c r="V693" s="441"/>
      <c r="W693" s="441"/>
      <c r="X693" s="441"/>
      <c r="Y693" s="441"/>
      <c r="Z693" s="441"/>
      <c r="AA693" s="441"/>
      <c r="AB693" s="441"/>
      <c r="AC693" s="441"/>
      <c r="AD693" s="441"/>
      <c r="AE693" s="441"/>
      <c r="AF693" s="441"/>
      <c r="AG693" s="441"/>
      <c r="AH693" s="441"/>
      <c r="AI693" s="441"/>
      <c r="AJ693" s="441"/>
      <c r="AK693" s="441"/>
      <c r="AL693" s="441"/>
      <c r="AM693" s="441"/>
      <c r="AN693" s="441"/>
      <c r="AO693" s="441"/>
      <c r="AP693" s="441"/>
      <c r="AQ693" s="441"/>
      <c r="AR693" s="441"/>
      <c r="AS693" s="441"/>
      <c r="AT693" s="441"/>
      <c r="AU693" s="441"/>
      <c r="AV693" s="441"/>
      <c r="AW693" s="441"/>
      <c r="AX693" s="441"/>
      <c r="AY693" s="441"/>
      <c r="AZ693" s="441"/>
      <c r="BA693" s="441"/>
      <c r="BB693" s="441"/>
      <c r="BC693" s="441"/>
      <c r="BD693" s="441"/>
      <c r="BE693" s="441"/>
      <c r="BF693" s="441"/>
    </row>
    <row r="694">
      <c r="A694" s="798"/>
      <c r="B694" s="795"/>
      <c r="C694" s="795"/>
      <c r="D694" s="795"/>
      <c r="E694" s="795"/>
      <c r="F694" s="795"/>
      <c r="G694" s="795"/>
      <c r="H694" s="795"/>
      <c r="I694" s="796"/>
      <c r="J694" s="441"/>
      <c r="K694" s="441"/>
      <c r="L694" s="797"/>
      <c r="M694" s="441"/>
      <c r="N694" s="441"/>
      <c r="O694" s="441"/>
      <c r="P694" s="441"/>
      <c r="Q694" s="441"/>
      <c r="R694" s="426"/>
      <c r="S694" s="441"/>
      <c r="T694" s="441"/>
      <c r="U694" s="441"/>
      <c r="V694" s="441"/>
      <c r="W694" s="441"/>
      <c r="X694" s="441"/>
      <c r="Y694" s="441"/>
      <c r="Z694" s="441"/>
      <c r="AA694" s="441"/>
      <c r="AB694" s="441"/>
      <c r="AC694" s="441"/>
      <c r="AD694" s="441"/>
      <c r="AE694" s="441"/>
      <c r="AF694" s="441"/>
      <c r="AG694" s="441"/>
      <c r="AH694" s="441"/>
      <c r="AI694" s="441"/>
      <c r="AJ694" s="441"/>
      <c r="AK694" s="441"/>
      <c r="AL694" s="441"/>
      <c r="AM694" s="441"/>
      <c r="AN694" s="441"/>
      <c r="AO694" s="441"/>
      <c r="AP694" s="441"/>
      <c r="AQ694" s="441"/>
      <c r="AR694" s="441"/>
      <c r="AS694" s="441"/>
      <c r="AT694" s="441"/>
      <c r="AU694" s="441"/>
      <c r="AV694" s="441"/>
      <c r="AW694" s="441"/>
      <c r="AX694" s="441"/>
      <c r="AY694" s="441"/>
      <c r="AZ694" s="441"/>
      <c r="BA694" s="441"/>
      <c r="BB694" s="441"/>
      <c r="BC694" s="441"/>
      <c r="BD694" s="441"/>
      <c r="BE694" s="441"/>
      <c r="BF694" s="441"/>
    </row>
    <row r="695">
      <c r="A695" s="798"/>
      <c r="B695" s="795"/>
      <c r="C695" s="795"/>
      <c r="D695" s="795"/>
      <c r="E695" s="795"/>
      <c r="F695" s="795"/>
      <c r="G695" s="795"/>
      <c r="H695" s="795"/>
      <c r="I695" s="796"/>
      <c r="J695" s="441"/>
      <c r="K695" s="441"/>
      <c r="L695" s="797"/>
      <c r="M695" s="441"/>
      <c r="N695" s="441"/>
      <c r="O695" s="441"/>
      <c r="P695" s="441"/>
      <c r="Q695" s="441"/>
      <c r="R695" s="426"/>
      <c r="S695" s="441"/>
      <c r="T695" s="441"/>
      <c r="U695" s="441"/>
      <c r="V695" s="441"/>
      <c r="W695" s="441"/>
      <c r="X695" s="441"/>
      <c r="Y695" s="441"/>
      <c r="Z695" s="441"/>
      <c r="AA695" s="441"/>
      <c r="AB695" s="441"/>
      <c r="AC695" s="441"/>
      <c r="AD695" s="441"/>
      <c r="AE695" s="441"/>
      <c r="AF695" s="441"/>
      <c r="AG695" s="441"/>
      <c r="AH695" s="441"/>
      <c r="AI695" s="441"/>
      <c r="AJ695" s="441"/>
      <c r="AK695" s="441"/>
      <c r="AL695" s="441"/>
      <c r="AM695" s="441"/>
      <c r="AN695" s="441"/>
      <c r="AO695" s="441"/>
      <c r="AP695" s="441"/>
      <c r="AQ695" s="441"/>
      <c r="AR695" s="441"/>
      <c r="AS695" s="441"/>
      <c r="AT695" s="441"/>
      <c r="AU695" s="441"/>
      <c r="AV695" s="441"/>
      <c r="AW695" s="441"/>
      <c r="AX695" s="441"/>
      <c r="AY695" s="441"/>
      <c r="AZ695" s="441"/>
      <c r="BA695" s="441"/>
      <c r="BB695" s="441"/>
      <c r="BC695" s="441"/>
      <c r="BD695" s="441"/>
      <c r="BE695" s="441"/>
      <c r="BF695" s="441"/>
    </row>
    <row r="696">
      <c r="A696" s="798"/>
      <c r="B696" s="795"/>
      <c r="C696" s="795"/>
      <c r="D696" s="795"/>
      <c r="E696" s="795"/>
      <c r="F696" s="795"/>
      <c r="G696" s="795"/>
      <c r="H696" s="795"/>
      <c r="I696" s="796"/>
      <c r="J696" s="441"/>
      <c r="K696" s="441"/>
      <c r="L696" s="797"/>
      <c r="M696" s="441"/>
      <c r="N696" s="441"/>
      <c r="O696" s="441"/>
      <c r="P696" s="441"/>
      <c r="Q696" s="441"/>
      <c r="R696" s="426"/>
      <c r="S696" s="441"/>
      <c r="T696" s="441"/>
      <c r="U696" s="441"/>
      <c r="V696" s="441"/>
      <c r="W696" s="441"/>
      <c r="X696" s="441"/>
      <c r="Y696" s="441"/>
      <c r="Z696" s="441"/>
      <c r="AA696" s="441"/>
      <c r="AB696" s="441"/>
      <c r="AC696" s="441"/>
      <c r="AD696" s="441"/>
      <c r="AE696" s="441"/>
      <c r="AF696" s="441"/>
      <c r="AG696" s="441"/>
      <c r="AH696" s="441"/>
      <c r="AI696" s="441"/>
      <c r="AJ696" s="441"/>
      <c r="AK696" s="441"/>
      <c r="AL696" s="441"/>
      <c r="AM696" s="441"/>
      <c r="AN696" s="441"/>
      <c r="AO696" s="441"/>
      <c r="AP696" s="441"/>
      <c r="AQ696" s="441"/>
      <c r="AR696" s="441"/>
      <c r="AS696" s="441"/>
      <c r="AT696" s="441"/>
      <c r="AU696" s="441"/>
      <c r="AV696" s="441"/>
      <c r="AW696" s="441"/>
      <c r="AX696" s="441"/>
      <c r="AY696" s="441"/>
      <c r="AZ696" s="441"/>
      <c r="BA696" s="441"/>
      <c r="BB696" s="441"/>
      <c r="BC696" s="441"/>
      <c r="BD696" s="441"/>
      <c r="BE696" s="441"/>
      <c r="BF696" s="441"/>
    </row>
    <row r="697">
      <c r="A697" s="798"/>
      <c r="B697" s="795"/>
      <c r="C697" s="795"/>
      <c r="D697" s="795"/>
      <c r="E697" s="795"/>
      <c r="F697" s="795"/>
      <c r="G697" s="795"/>
      <c r="H697" s="795"/>
      <c r="I697" s="796"/>
      <c r="J697" s="441"/>
      <c r="K697" s="441"/>
      <c r="L697" s="797"/>
      <c r="M697" s="441"/>
      <c r="N697" s="441"/>
      <c r="O697" s="441"/>
      <c r="P697" s="441"/>
      <c r="Q697" s="441"/>
      <c r="R697" s="426"/>
      <c r="S697" s="441"/>
      <c r="T697" s="441"/>
      <c r="U697" s="441"/>
      <c r="V697" s="441"/>
      <c r="W697" s="441"/>
      <c r="X697" s="441"/>
      <c r="Y697" s="441"/>
      <c r="Z697" s="441"/>
      <c r="AA697" s="441"/>
      <c r="AB697" s="441"/>
      <c r="AC697" s="441"/>
      <c r="AD697" s="441"/>
      <c r="AE697" s="441"/>
      <c r="AF697" s="441"/>
      <c r="AG697" s="441"/>
      <c r="AH697" s="441"/>
      <c r="AI697" s="441"/>
      <c r="AJ697" s="441"/>
      <c r="AK697" s="441"/>
      <c r="AL697" s="441"/>
      <c r="AM697" s="441"/>
      <c r="AN697" s="441"/>
      <c r="AO697" s="441"/>
      <c r="AP697" s="441"/>
      <c r="AQ697" s="441"/>
      <c r="AR697" s="441"/>
      <c r="AS697" s="441"/>
      <c r="AT697" s="441"/>
      <c r="AU697" s="441"/>
      <c r="AV697" s="441"/>
      <c r="AW697" s="441"/>
      <c r="AX697" s="441"/>
      <c r="AY697" s="441"/>
      <c r="AZ697" s="441"/>
      <c r="BA697" s="441"/>
      <c r="BB697" s="441"/>
      <c r="BC697" s="441"/>
      <c r="BD697" s="441"/>
      <c r="BE697" s="441"/>
      <c r="BF697" s="441"/>
    </row>
    <row r="698">
      <c r="A698" s="798"/>
      <c r="B698" s="795"/>
      <c r="C698" s="795"/>
      <c r="D698" s="795"/>
      <c r="E698" s="795"/>
      <c r="F698" s="795"/>
      <c r="G698" s="795"/>
      <c r="H698" s="795"/>
      <c r="I698" s="796"/>
      <c r="J698" s="441"/>
      <c r="K698" s="441"/>
      <c r="L698" s="797"/>
      <c r="M698" s="441"/>
      <c r="N698" s="441"/>
      <c r="O698" s="441"/>
      <c r="P698" s="441"/>
      <c r="Q698" s="441"/>
      <c r="R698" s="426"/>
      <c r="S698" s="441"/>
      <c r="T698" s="441"/>
      <c r="U698" s="441"/>
      <c r="V698" s="441"/>
      <c r="W698" s="441"/>
      <c r="X698" s="441"/>
      <c r="Y698" s="441"/>
      <c r="Z698" s="441"/>
      <c r="AA698" s="441"/>
      <c r="AB698" s="441"/>
      <c r="AC698" s="441"/>
      <c r="AD698" s="441"/>
      <c r="AE698" s="441"/>
      <c r="AF698" s="441"/>
      <c r="AG698" s="441"/>
      <c r="AH698" s="441"/>
      <c r="AI698" s="441"/>
      <c r="AJ698" s="441"/>
      <c r="AK698" s="441"/>
      <c r="AL698" s="441"/>
      <c r="AM698" s="441"/>
      <c r="AN698" s="441"/>
      <c r="AO698" s="441"/>
      <c r="AP698" s="441"/>
      <c r="AQ698" s="441"/>
      <c r="AR698" s="441"/>
      <c r="AS698" s="441"/>
      <c r="AT698" s="441"/>
      <c r="AU698" s="441"/>
      <c r="AV698" s="441"/>
      <c r="AW698" s="441"/>
      <c r="AX698" s="441"/>
      <c r="AY698" s="441"/>
      <c r="AZ698" s="441"/>
      <c r="BA698" s="441"/>
      <c r="BB698" s="441"/>
      <c r="BC698" s="441"/>
      <c r="BD698" s="441"/>
      <c r="BE698" s="441"/>
      <c r="BF698" s="441"/>
    </row>
    <row r="699">
      <c r="A699" s="798"/>
      <c r="B699" s="795"/>
      <c r="C699" s="795"/>
      <c r="D699" s="795"/>
      <c r="E699" s="795"/>
      <c r="F699" s="795"/>
      <c r="G699" s="795"/>
      <c r="H699" s="795"/>
      <c r="I699" s="796"/>
      <c r="J699" s="441"/>
      <c r="K699" s="441"/>
      <c r="L699" s="797"/>
      <c r="M699" s="441"/>
      <c r="N699" s="441"/>
      <c r="O699" s="441"/>
      <c r="P699" s="441"/>
      <c r="Q699" s="441"/>
      <c r="R699" s="426"/>
      <c r="S699" s="441"/>
      <c r="T699" s="441"/>
      <c r="U699" s="441"/>
      <c r="V699" s="441"/>
      <c r="W699" s="441"/>
      <c r="X699" s="441"/>
      <c r="Y699" s="441"/>
      <c r="Z699" s="441"/>
      <c r="AA699" s="441"/>
      <c r="AB699" s="441"/>
      <c r="AC699" s="441"/>
      <c r="AD699" s="441"/>
      <c r="AE699" s="441"/>
      <c r="AF699" s="441"/>
      <c r="AG699" s="441"/>
      <c r="AH699" s="441"/>
      <c r="AI699" s="441"/>
      <c r="AJ699" s="441"/>
      <c r="AK699" s="441"/>
      <c r="AL699" s="441"/>
      <c r="AM699" s="441"/>
      <c r="AN699" s="441"/>
      <c r="AO699" s="441"/>
      <c r="AP699" s="441"/>
      <c r="AQ699" s="441"/>
      <c r="AR699" s="441"/>
      <c r="AS699" s="441"/>
      <c r="AT699" s="441"/>
      <c r="AU699" s="441"/>
      <c r="AV699" s="441"/>
      <c r="AW699" s="441"/>
      <c r="AX699" s="441"/>
      <c r="AY699" s="441"/>
      <c r="AZ699" s="441"/>
      <c r="BA699" s="441"/>
      <c r="BB699" s="441"/>
      <c r="BC699" s="441"/>
      <c r="BD699" s="441"/>
      <c r="BE699" s="441"/>
      <c r="BF699" s="441"/>
    </row>
    <row r="700">
      <c r="A700" s="798"/>
      <c r="B700" s="795"/>
      <c r="C700" s="795"/>
      <c r="D700" s="795"/>
      <c r="E700" s="795"/>
      <c r="F700" s="795"/>
      <c r="G700" s="795"/>
      <c r="H700" s="795"/>
      <c r="I700" s="796"/>
      <c r="J700" s="441"/>
      <c r="K700" s="441"/>
      <c r="L700" s="797"/>
      <c r="M700" s="441"/>
      <c r="N700" s="441"/>
      <c r="O700" s="441"/>
      <c r="P700" s="441"/>
      <c r="Q700" s="441"/>
      <c r="R700" s="426"/>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1"/>
      <c r="AY700" s="441"/>
      <c r="AZ700" s="441"/>
      <c r="BA700" s="441"/>
      <c r="BB700" s="441"/>
      <c r="BC700" s="441"/>
      <c r="BD700" s="441"/>
      <c r="BE700" s="441"/>
      <c r="BF700" s="441"/>
    </row>
    <row r="701">
      <c r="A701" s="798"/>
      <c r="B701" s="795"/>
      <c r="C701" s="795"/>
      <c r="D701" s="795"/>
      <c r="E701" s="795"/>
      <c r="F701" s="795"/>
      <c r="G701" s="795"/>
      <c r="H701" s="795"/>
      <c r="I701" s="796"/>
      <c r="J701" s="441"/>
      <c r="K701" s="441"/>
      <c r="L701" s="797"/>
      <c r="M701" s="441"/>
      <c r="N701" s="441"/>
      <c r="O701" s="441"/>
      <c r="P701" s="441"/>
      <c r="Q701" s="441"/>
      <c r="R701" s="426"/>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441"/>
      <c r="AQ701" s="441"/>
      <c r="AR701" s="441"/>
      <c r="AS701" s="441"/>
      <c r="AT701" s="441"/>
      <c r="AU701" s="441"/>
      <c r="AV701" s="441"/>
      <c r="AW701" s="441"/>
      <c r="AX701" s="441"/>
      <c r="AY701" s="441"/>
      <c r="AZ701" s="441"/>
      <c r="BA701" s="441"/>
      <c r="BB701" s="441"/>
      <c r="BC701" s="441"/>
      <c r="BD701" s="441"/>
      <c r="BE701" s="441"/>
      <c r="BF701" s="441"/>
    </row>
    <row r="702">
      <c r="A702" s="798"/>
      <c r="B702" s="795"/>
      <c r="C702" s="795"/>
      <c r="D702" s="795"/>
      <c r="E702" s="795"/>
      <c r="F702" s="795"/>
      <c r="G702" s="795"/>
      <c r="H702" s="795"/>
      <c r="I702" s="796"/>
      <c r="J702" s="441"/>
      <c r="K702" s="441"/>
      <c r="L702" s="797"/>
      <c r="M702" s="441"/>
      <c r="N702" s="441"/>
      <c r="O702" s="441"/>
      <c r="P702" s="441"/>
      <c r="Q702" s="441"/>
      <c r="R702" s="426"/>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441"/>
      <c r="AQ702" s="441"/>
      <c r="AR702" s="441"/>
      <c r="AS702" s="441"/>
      <c r="AT702" s="441"/>
      <c r="AU702" s="441"/>
      <c r="AV702" s="441"/>
      <c r="AW702" s="441"/>
      <c r="AX702" s="441"/>
      <c r="AY702" s="441"/>
      <c r="AZ702" s="441"/>
      <c r="BA702" s="441"/>
      <c r="BB702" s="441"/>
      <c r="BC702" s="441"/>
      <c r="BD702" s="441"/>
      <c r="BE702" s="441"/>
      <c r="BF702" s="441"/>
    </row>
    <row r="703">
      <c r="A703" s="798"/>
      <c r="B703" s="795"/>
      <c r="C703" s="795"/>
      <c r="D703" s="795"/>
      <c r="E703" s="795"/>
      <c r="F703" s="795"/>
      <c r="G703" s="795"/>
      <c r="H703" s="795"/>
      <c r="I703" s="796"/>
      <c r="J703" s="441"/>
      <c r="K703" s="441"/>
      <c r="L703" s="797"/>
      <c r="M703" s="441"/>
      <c r="N703" s="441"/>
      <c r="O703" s="441"/>
      <c r="P703" s="441"/>
      <c r="Q703" s="441"/>
      <c r="R703" s="426"/>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441"/>
      <c r="AQ703" s="441"/>
      <c r="AR703" s="441"/>
      <c r="AS703" s="441"/>
      <c r="AT703" s="441"/>
      <c r="AU703" s="441"/>
      <c r="AV703" s="441"/>
      <c r="AW703" s="441"/>
      <c r="AX703" s="441"/>
      <c r="AY703" s="441"/>
      <c r="AZ703" s="441"/>
      <c r="BA703" s="441"/>
      <c r="BB703" s="441"/>
      <c r="BC703" s="441"/>
      <c r="BD703" s="441"/>
      <c r="BE703" s="441"/>
      <c r="BF703" s="441"/>
    </row>
    <row r="704">
      <c r="A704" s="798"/>
      <c r="B704" s="795"/>
      <c r="C704" s="795"/>
      <c r="D704" s="795"/>
      <c r="E704" s="795"/>
      <c r="F704" s="795"/>
      <c r="G704" s="795"/>
      <c r="H704" s="795"/>
      <c r="I704" s="796"/>
      <c r="J704" s="441"/>
      <c r="K704" s="441"/>
      <c r="L704" s="797"/>
      <c r="M704" s="441"/>
      <c r="N704" s="441"/>
      <c r="O704" s="441"/>
      <c r="P704" s="441"/>
      <c r="Q704" s="441"/>
      <c r="R704" s="426"/>
      <c r="S704" s="441"/>
      <c r="T704" s="441"/>
      <c r="U704" s="441"/>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441"/>
      <c r="AQ704" s="441"/>
      <c r="AR704" s="441"/>
      <c r="AS704" s="441"/>
      <c r="AT704" s="441"/>
      <c r="AU704" s="441"/>
      <c r="AV704" s="441"/>
      <c r="AW704" s="441"/>
      <c r="AX704" s="441"/>
      <c r="AY704" s="441"/>
      <c r="AZ704" s="441"/>
      <c r="BA704" s="441"/>
      <c r="BB704" s="441"/>
      <c r="BC704" s="441"/>
      <c r="BD704" s="441"/>
      <c r="BE704" s="441"/>
      <c r="BF704" s="441"/>
    </row>
    <row r="705">
      <c r="A705" s="798"/>
      <c r="B705" s="795"/>
      <c r="C705" s="795"/>
      <c r="D705" s="795"/>
      <c r="E705" s="795"/>
      <c r="F705" s="795"/>
      <c r="G705" s="795"/>
      <c r="H705" s="795"/>
      <c r="I705" s="796"/>
      <c r="J705" s="441"/>
      <c r="K705" s="441"/>
      <c r="L705" s="797"/>
      <c r="M705" s="441"/>
      <c r="N705" s="441"/>
      <c r="O705" s="441"/>
      <c r="P705" s="441"/>
      <c r="Q705" s="441"/>
      <c r="R705" s="426"/>
      <c r="S705" s="441"/>
      <c r="T705" s="441"/>
      <c r="U705" s="441"/>
      <c r="V705" s="441"/>
      <c r="W705" s="441"/>
      <c r="X705" s="441"/>
      <c r="Y705" s="441"/>
      <c r="Z705" s="441"/>
      <c r="AA705" s="441"/>
      <c r="AB705" s="441"/>
      <c r="AC705" s="441"/>
      <c r="AD705" s="441"/>
      <c r="AE705" s="441"/>
      <c r="AF705" s="441"/>
      <c r="AG705" s="441"/>
      <c r="AH705" s="441"/>
      <c r="AI705" s="441"/>
      <c r="AJ705" s="441"/>
      <c r="AK705" s="441"/>
      <c r="AL705" s="441"/>
      <c r="AM705" s="441"/>
      <c r="AN705" s="441"/>
      <c r="AO705" s="441"/>
      <c r="AP705" s="441"/>
      <c r="AQ705" s="441"/>
      <c r="AR705" s="441"/>
      <c r="AS705" s="441"/>
      <c r="AT705" s="441"/>
      <c r="AU705" s="441"/>
      <c r="AV705" s="441"/>
      <c r="AW705" s="441"/>
      <c r="AX705" s="441"/>
      <c r="AY705" s="441"/>
      <c r="AZ705" s="441"/>
      <c r="BA705" s="441"/>
      <c r="BB705" s="441"/>
      <c r="BC705" s="441"/>
      <c r="BD705" s="441"/>
      <c r="BE705" s="441"/>
      <c r="BF705" s="441"/>
    </row>
    <row r="706">
      <c r="A706" s="798"/>
      <c r="B706" s="795"/>
      <c r="C706" s="795"/>
      <c r="D706" s="795"/>
      <c r="E706" s="795"/>
      <c r="F706" s="795"/>
      <c r="G706" s="795"/>
      <c r="H706" s="795"/>
      <c r="I706" s="796"/>
      <c r="J706" s="441"/>
      <c r="K706" s="441"/>
      <c r="L706" s="797"/>
      <c r="M706" s="441"/>
      <c r="N706" s="441"/>
      <c r="O706" s="441"/>
      <c r="P706" s="441"/>
      <c r="Q706" s="441"/>
      <c r="R706" s="426"/>
      <c r="S706" s="441"/>
      <c r="T706" s="441"/>
      <c r="U706" s="441"/>
      <c r="V706" s="441"/>
      <c r="W706" s="441"/>
      <c r="X706" s="441"/>
      <c r="Y706" s="441"/>
      <c r="Z706" s="441"/>
      <c r="AA706" s="441"/>
      <c r="AB706" s="441"/>
      <c r="AC706" s="441"/>
      <c r="AD706" s="441"/>
      <c r="AE706" s="441"/>
      <c r="AF706" s="441"/>
      <c r="AG706" s="441"/>
      <c r="AH706" s="441"/>
      <c r="AI706" s="441"/>
      <c r="AJ706" s="441"/>
      <c r="AK706" s="441"/>
      <c r="AL706" s="441"/>
      <c r="AM706" s="441"/>
      <c r="AN706" s="441"/>
      <c r="AO706" s="441"/>
      <c r="AP706" s="441"/>
      <c r="AQ706" s="441"/>
      <c r="AR706" s="441"/>
      <c r="AS706" s="441"/>
      <c r="AT706" s="441"/>
      <c r="AU706" s="441"/>
      <c r="AV706" s="441"/>
      <c r="AW706" s="441"/>
      <c r="AX706" s="441"/>
      <c r="AY706" s="441"/>
      <c r="AZ706" s="441"/>
      <c r="BA706" s="441"/>
      <c r="BB706" s="441"/>
      <c r="BC706" s="441"/>
      <c r="BD706" s="441"/>
      <c r="BE706" s="441"/>
      <c r="BF706" s="441"/>
    </row>
    <row r="707">
      <c r="A707" s="798"/>
      <c r="B707" s="795"/>
      <c r="C707" s="795"/>
      <c r="D707" s="795"/>
      <c r="E707" s="795"/>
      <c r="F707" s="795"/>
      <c r="G707" s="795"/>
      <c r="H707" s="795"/>
      <c r="I707" s="796"/>
      <c r="J707" s="441"/>
      <c r="K707" s="441"/>
      <c r="L707" s="797"/>
      <c r="M707" s="441"/>
      <c r="N707" s="441"/>
      <c r="O707" s="441"/>
      <c r="P707" s="441"/>
      <c r="Q707" s="441"/>
      <c r="R707" s="426"/>
      <c r="S707" s="441"/>
      <c r="T707" s="441"/>
      <c r="U707" s="441"/>
      <c r="V707" s="441"/>
      <c r="W707" s="441"/>
      <c r="X707" s="441"/>
      <c r="Y707" s="441"/>
      <c r="Z707" s="441"/>
      <c r="AA707" s="441"/>
      <c r="AB707" s="441"/>
      <c r="AC707" s="441"/>
      <c r="AD707" s="441"/>
      <c r="AE707" s="441"/>
      <c r="AF707" s="441"/>
      <c r="AG707" s="441"/>
      <c r="AH707" s="441"/>
      <c r="AI707" s="441"/>
      <c r="AJ707" s="441"/>
      <c r="AK707" s="441"/>
      <c r="AL707" s="441"/>
      <c r="AM707" s="441"/>
      <c r="AN707" s="441"/>
      <c r="AO707" s="441"/>
      <c r="AP707" s="441"/>
      <c r="AQ707" s="441"/>
      <c r="AR707" s="441"/>
      <c r="AS707" s="441"/>
      <c r="AT707" s="441"/>
      <c r="AU707" s="441"/>
      <c r="AV707" s="441"/>
      <c r="AW707" s="441"/>
      <c r="AX707" s="441"/>
      <c r="AY707" s="441"/>
      <c r="AZ707" s="441"/>
      <c r="BA707" s="441"/>
      <c r="BB707" s="441"/>
      <c r="BC707" s="441"/>
      <c r="BD707" s="441"/>
      <c r="BE707" s="441"/>
      <c r="BF707" s="441"/>
    </row>
    <row r="708">
      <c r="A708" s="798"/>
      <c r="B708" s="795"/>
      <c r="C708" s="795"/>
      <c r="D708" s="795"/>
      <c r="E708" s="795"/>
      <c r="F708" s="795"/>
      <c r="G708" s="795"/>
      <c r="H708" s="795"/>
      <c r="I708" s="796"/>
      <c r="J708" s="441"/>
      <c r="K708" s="441"/>
      <c r="L708" s="797"/>
      <c r="M708" s="441"/>
      <c r="N708" s="441"/>
      <c r="O708" s="441"/>
      <c r="P708" s="441"/>
      <c r="Q708" s="441"/>
      <c r="R708" s="426"/>
      <c r="S708" s="441"/>
      <c r="T708" s="441"/>
      <c r="U708" s="441"/>
      <c r="V708" s="441"/>
      <c r="W708" s="441"/>
      <c r="X708" s="441"/>
      <c r="Y708" s="441"/>
      <c r="Z708" s="441"/>
      <c r="AA708" s="441"/>
      <c r="AB708" s="441"/>
      <c r="AC708" s="441"/>
      <c r="AD708" s="441"/>
      <c r="AE708" s="441"/>
      <c r="AF708" s="441"/>
      <c r="AG708" s="441"/>
      <c r="AH708" s="441"/>
      <c r="AI708" s="441"/>
      <c r="AJ708" s="441"/>
      <c r="AK708" s="441"/>
      <c r="AL708" s="441"/>
      <c r="AM708" s="441"/>
      <c r="AN708" s="441"/>
      <c r="AO708" s="441"/>
      <c r="AP708" s="441"/>
      <c r="AQ708" s="441"/>
      <c r="AR708" s="441"/>
      <c r="AS708" s="441"/>
      <c r="AT708" s="441"/>
      <c r="AU708" s="441"/>
      <c r="AV708" s="441"/>
      <c r="AW708" s="441"/>
      <c r="AX708" s="441"/>
      <c r="AY708" s="441"/>
      <c r="AZ708" s="441"/>
      <c r="BA708" s="441"/>
      <c r="BB708" s="441"/>
      <c r="BC708" s="441"/>
      <c r="BD708" s="441"/>
      <c r="BE708" s="441"/>
      <c r="BF708" s="441"/>
    </row>
    <row r="709">
      <c r="A709" s="798"/>
      <c r="B709" s="795"/>
      <c r="C709" s="795"/>
      <c r="D709" s="795"/>
      <c r="E709" s="795"/>
      <c r="F709" s="795"/>
      <c r="G709" s="795"/>
      <c r="H709" s="795"/>
      <c r="I709" s="796"/>
      <c r="J709" s="441"/>
      <c r="K709" s="441"/>
      <c r="L709" s="797"/>
      <c r="M709" s="441"/>
      <c r="N709" s="441"/>
      <c r="O709" s="441"/>
      <c r="P709" s="441"/>
      <c r="Q709" s="441"/>
      <c r="R709" s="426"/>
      <c r="S709" s="441"/>
      <c r="T709" s="441"/>
      <c r="U709" s="441"/>
      <c r="V709" s="441"/>
      <c r="W709" s="441"/>
      <c r="X709" s="441"/>
      <c r="Y709" s="441"/>
      <c r="Z709" s="441"/>
      <c r="AA709" s="441"/>
      <c r="AB709" s="441"/>
      <c r="AC709" s="441"/>
      <c r="AD709" s="441"/>
      <c r="AE709" s="441"/>
      <c r="AF709" s="441"/>
      <c r="AG709" s="441"/>
      <c r="AH709" s="441"/>
      <c r="AI709" s="441"/>
      <c r="AJ709" s="441"/>
      <c r="AK709" s="441"/>
      <c r="AL709" s="441"/>
      <c r="AM709" s="441"/>
      <c r="AN709" s="441"/>
      <c r="AO709" s="441"/>
      <c r="AP709" s="441"/>
      <c r="AQ709" s="441"/>
      <c r="AR709" s="441"/>
      <c r="AS709" s="441"/>
      <c r="AT709" s="441"/>
      <c r="AU709" s="441"/>
      <c r="AV709" s="441"/>
      <c r="AW709" s="441"/>
      <c r="AX709" s="441"/>
      <c r="AY709" s="441"/>
      <c r="AZ709" s="441"/>
      <c r="BA709" s="441"/>
      <c r="BB709" s="441"/>
      <c r="BC709" s="441"/>
      <c r="BD709" s="441"/>
      <c r="BE709" s="441"/>
      <c r="BF709" s="441"/>
    </row>
    <row r="710">
      <c r="A710" s="798"/>
      <c r="B710" s="795"/>
      <c r="C710" s="795"/>
      <c r="D710" s="795"/>
      <c r="E710" s="795"/>
      <c r="F710" s="795"/>
      <c r="G710" s="795"/>
      <c r="H710" s="795"/>
      <c r="I710" s="796"/>
      <c r="J710" s="441"/>
      <c r="K710" s="441"/>
      <c r="L710" s="797"/>
      <c r="M710" s="441"/>
      <c r="N710" s="441"/>
      <c r="O710" s="441"/>
      <c r="P710" s="441"/>
      <c r="Q710" s="441"/>
      <c r="R710" s="426"/>
      <c r="S710" s="441"/>
      <c r="T710" s="441"/>
      <c r="U710" s="441"/>
      <c r="V710" s="441"/>
      <c r="W710" s="441"/>
      <c r="X710" s="441"/>
      <c r="Y710" s="441"/>
      <c r="Z710" s="441"/>
      <c r="AA710" s="441"/>
      <c r="AB710" s="441"/>
      <c r="AC710" s="441"/>
      <c r="AD710" s="441"/>
      <c r="AE710" s="441"/>
      <c r="AF710" s="441"/>
      <c r="AG710" s="441"/>
      <c r="AH710" s="441"/>
      <c r="AI710" s="441"/>
      <c r="AJ710" s="441"/>
      <c r="AK710" s="441"/>
      <c r="AL710" s="441"/>
      <c r="AM710" s="441"/>
      <c r="AN710" s="441"/>
      <c r="AO710" s="441"/>
      <c r="AP710" s="441"/>
      <c r="AQ710" s="441"/>
      <c r="AR710" s="441"/>
      <c r="AS710" s="441"/>
      <c r="AT710" s="441"/>
      <c r="AU710" s="441"/>
      <c r="AV710" s="441"/>
      <c r="AW710" s="441"/>
      <c r="AX710" s="441"/>
      <c r="AY710" s="441"/>
      <c r="AZ710" s="441"/>
      <c r="BA710" s="441"/>
      <c r="BB710" s="441"/>
      <c r="BC710" s="441"/>
      <c r="BD710" s="441"/>
      <c r="BE710" s="441"/>
      <c r="BF710" s="441"/>
    </row>
    <row r="711">
      <c r="A711" s="798"/>
      <c r="B711" s="795"/>
      <c r="C711" s="795"/>
      <c r="D711" s="795"/>
      <c r="E711" s="795"/>
      <c r="F711" s="795"/>
      <c r="G711" s="795"/>
      <c r="H711" s="795"/>
      <c r="I711" s="796"/>
      <c r="J711" s="441"/>
      <c r="K711" s="441"/>
      <c r="L711" s="797"/>
      <c r="M711" s="441"/>
      <c r="N711" s="441"/>
      <c r="O711" s="441"/>
      <c r="P711" s="441"/>
      <c r="Q711" s="441"/>
      <c r="R711" s="426"/>
      <c r="S711" s="441"/>
      <c r="T711" s="441"/>
      <c r="U711" s="441"/>
      <c r="V711" s="441"/>
      <c r="W711" s="441"/>
      <c r="X711" s="441"/>
      <c r="Y711" s="441"/>
      <c r="Z711" s="441"/>
      <c r="AA711" s="441"/>
      <c r="AB711" s="441"/>
      <c r="AC711" s="441"/>
      <c r="AD711" s="441"/>
      <c r="AE711" s="441"/>
      <c r="AF711" s="441"/>
      <c r="AG711" s="441"/>
      <c r="AH711" s="441"/>
      <c r="AI711" s="441"/>
      <c r="AJ711" s="441"/>
      <c r="AK711" s="441"/>
      <c r="AL711" s="441"/>
      <c r="AM711" s="441"/>
      <c r="AN711" s="441"/>
      <c r="AO711" s="441"/>
      <c r="AP711" s="441"/>
      <c r="AQ711" s="441"/>
      <c r="AR711" s="441"/>
      <c r="AS711" s="441"/>
      <c r="AT711" s="441"/>
      <c r="AU711" s="441"/>
      <c r="AV711" s="441"/>
      <c r="AW711" s="441"/>
      <c r="AX711" s="441"/>
      <c r="AY711" s="441"/>
      <c r="AZ711" s="441"/>
      <c r="BA711" s="441"/>
      <c r="BB711" s="441"/>
      <c r="BC711" s="441"/>
      <c r="BD711" s="441"/>
      <c r="BE711" s="441"/>
      <c r="BF711" s="441"/>
    </row>
    <row r="712">
      <c r="A712" s="798"/>
      <c r="B712" s="795"/>
      <c r="C712" s="795"/>
      <c r="D712" s="795"/>
      <c r="E712" s="795"/>
      <c r="F712" s="795"/>
      <c r="G712" s="795"/>
      <c r="H712" s="795"/>
      <c r="I712" s="796"/>
      <c r="J712" s="441"/>
      <c r="K712" s="441"/>
      <c r="L712" s="797"/>
      <c r="M712" s="441"/>
      <c r="N712" s="441"/>
      <c r="O712" s="441"/>
      <c r="P712" s="441"/>
      <c r="Q712" s="441"/>
      <c r="R712" s="426"/>
      <c r="S712" s="441"/>
      <c r="T712" s="441"/>
      <c r="U712" s="441"/>
      <c r="V712" s="441"/>
      <c r="W712" s="441"/>
      <c r="X712" s="441"/>
      <c r="Y712" s="441"/>
      <c r="Z712" s="441"/>
      <c r="AA712" s="441"/>
      <c r="AB712" s="441"/>
      <c r="AC712" s="441"/>
      <c r="AD712" s="441"/>
      <c r="AE712" s="441"/>
      <c r="AF712" s="441"/>
      <c r="AG712" s="441"/>
      <c r="AH712" s="441"/>
      <c r="AI712" s="441"/>
      <c r="AJ712" s="441"/>
      <c r="AK712" s="441"/>
      <c r="AL712" s="441"/>
      <c r="AM712" s="441"/>
      <c r="AN712" s="441"/>
      <c r="AO712" s="441"/>
      <c r="AP712" s="441"/>
      <c r="AQ712" s="441"/>
      <c r="AR712" s="441"/>
      <c r="AS712" s="441"/>
      <c r="AT712" s="441"/>
      <c r="AU712" s="441"/>
      <c r="AV712" s="441"/>
      <c r="AW712" s="441"/>
      <c r="AX712" s="441"/>
      <c r="AY712" s="441"/>
      <c r="AZ712" s="441"/>
      <c r="BA712" s="441"/>
      <c r="BB712" s="441"/>
      <c r="BC712" s="441"/>
      <c r="BD712" s="441"/>
      <c r="BE712" s="441"/>
      <c r="BF712" s="441"/>
    </row>
    <row r="713">
      <c r="A713" s="798"/>
      <c r="B713" s="795"/>
      <c r="C713" s="795"/>
      <c r="D713" s="795"/>
      <c r="E713" s="795"/>
      <c r="F713" s="795"/>
      <c r="G713" s="795"/>
      <c r="H713" s="795"/>
      <c r="I713" s="796"/>
      <c r="J713" s="441"/>
      <c r="K713" s="441"/>
      <c r="L713" s="797"/>
      <c r="M713" s="441"/>
      <c r="N713" s="441"/>
      <c r="O713" s="441"/>
      <c r="P713" s="441"/>
      <c r="Q713" s="441"/>
      <c r="R713" s="426"/>
      <c r="S713" s="441"/>
      <c r="T713" s="441"/>
      <c r="U713" s="441"/>
      <c r="V713" s="441"/>
      <c r="W713" s="441"/>
      <c r="X713" s="441"/>
      <c r="Y713" s="441"/>
      <c r="Z713" s="441"/>
      <c r="AA713" s="441"/>
      <c r="AB713" s="441"/>
      <c r="AC713" s="441"/>
      <c r="AD713" s="441"/>
      <c r="AE713" s="441"/>
      <c r="AF713" s="441"/>
      <c r="AG713" s="441"/>
      <c r="AH713" s="441"/>
      <c r="AI713" s="441"/>
      <c r="AJ713" s="441"/>
      <c r="AK713" s="441"/>
      <c r="AL713" s="441"/>
      <c r="AM713" s="441"/>
      <c r="AN713" s="441"/>
      <c r="AO713" s="441"/>
      <c r="AP713" s="441"/>
      <c r="AQ713" s="441"/>
      <c r="AR713" s="441"/>
      <c r="AS713" s="441"/>
      <c r="AT713" s="441"/>
      <c r="AU713" s="441"/>
      <c r="AV713" s="441"/>
      <c r="AW713" s="441"/>
      <c r="AX713" s="441"/>
      <c r="AY713" s="441"/>
      <c r="AZ713" s="441"/>
      <c r="BA713" s="441"/>
      <c r="BB713" s="441"/>
      <c r="BC713" s="441"/>
      <c r="BD713" s="441"/>
      <c r="BE713" s="441"/>
      <c r="BF713" s="441"/>
    </row>
    <row r="714">
      <c r="A714" s="798"/>
      <c r="B714" s="795"/>
      <c r="C714" s="795"/>
      <c r="D714" s="795"/>
      <c r="E714" s="795"/>
      <c r="F714" s="795"/>
      <c r="G714" s="795"/>
      <c r="H714" s="795"/>
      <c r="I714" s="796"/>
      <c r="J714" s="441"/>
      <c r="K714" s="441"/>
      <c r="L714" s="797"/>
      <c r="M714" s="441"/>
      <c r="N714" s="441"/>
      <c r="O714" s="441"/>
      <c r="P714" s="441"/>
      <c r="Q714" s="441"/>
      <c r="R714" s="426"/>
      <c r="S714" s="441"/>
      <c r="T714" s="441"/>
      <c r="U714" s="441"/>
      <c r="V714" s="441"/>
      <c r="W714" s="441"/>
      <c r="X714" s="441"/>
      <c r="Y714" s="441"/>
      <c r="Z714" s="441"/>
      <c r="AA714" s="441"/>
      <c r="AB714" s="441"/>
      <c r="AC714" s="441"/>
      <c r="AD714" s="441"/>
      <c r="AE714" s="441"/>
      <c r="AF714" s="441"/>
      <c r="AG714" s="441"/>
      <c r="AH714" s="441"/>
      <c r="AI714" s="441"/>
      <c r="AJ714" s="441"/>
      <c r="AK714" s="441"/>
      <c r="AL714" s="441"/>
      <c r="AM714" s="441"/>
      <c r="AN714" s="441"/>
      <c r="AO714" s="441"/>
      <c r="AP714" s="441"/>
      <c r="AQ714" s="441"/>
      <c r="AR714" s="441"/>
      <c r="AS714" s="441"/>
      <c r="AT714" s="441"/>
      <c r="AU714" s="441"/>
      <c r="AV714" s="441"/>
      <c r="AW714" s="441"/>
      <c r="AX714" s="441"/>
      <c r="AY714" s="441"/>
      <c r="AZ714" s="441"/>
      <c r="BA714" s="441"/>
      <c r="BB714" s="441"/>
      <c r="BC714" s="441"/>
      <c r="BD714" s="441"/>
      <c r="BE714" s="441"/>
      <c r="BF714" s="441"/>
    </row>
    <row r="715">
      <c r="A715" s="798"/>
      <c r="B715" s="795"/>
      <c r="C715" s="795"/>
      <c r="D715" s="795"/>
      <c r="E715" s="795"/>
      <c r="F715" s="795"/>
      <c r="G715" s="795"/>
      <c r="H715" s="795"/>
      <c r="I715" s="796"/>
      <c r="J715" s="441"/>
      <c r="K715" s="441"/>
      <c r="L715" s="797"/>
      <c r="M715" s="441"/>
      <c r="N715" s="441"/>
      <c r="O715" s="441"/>
      <c r="P715" s="441"/>
      <c r="Q715" s="441"/>
      <c r="R715" s="426"/>
      <c r="S715" s="441"/>
      <c r="T715" s="441"/>
      <c r="U715" s="441"/>
      <c r="V715" s="441"/>
      <c r="W715" s="441"/>
      <c r="X715" s="441"/>
      <c r="Y715" s="441"/>
      <c r="Z715" s="441"/>
      <c r="AA715" s="441"/>
      <c r="AB715" s="441"/>
      <c r="AC715" s="441"/>
      <c r="AD715" s="441"/>
      <c r="AE715" s="441"/>
      <c r="AF715" s="441"/>
      <c r="AG715" s="441"/>
      <c r="AH715" s="441"/>
      <c r="AI715" s="441"/>
      <c r="AJ715" s="441"/>
      <c r="AK715" s="441"/>
      <c r="AL715" s="441"/>
      <c r="AM715" s="441"/>
      <c r="AN715" s="441"/>
      <c r="AO715" s="441"/>
      <c r="AP715" s="441"/>
      <c r="AQ715" s="441"/>
      <c r="AR715" s="441"/>
      <c r="AS715" s="441"/>
      <c r="AT715" s="441"/>
      <c r="AU715" s="441"/>
      <c r="AV715" s="441"/>
      <c r="AW715" s="441"/>
      <c r="AX715" s="441"/>
      <c r="AY715" s="441"/>
      <c r="AZ715" s="441"/>
      <c r="BA715" s="441"/>
      <c r="BB715" s="441"/>
      <c r="BC715" s="441"/>
      <c r="BD715" s="441"/>
      <c r="BE715" s="441"/>
      <c r="BF715" s="441"/>
    </row>
    <row r="716">
      <c r="A716" s="798"/>
      <c r="B716" s="795"/>
      <c r="C716" s="795"/>
      <c r="D716" s="795"/>
      <c r="E716" s="795"/>
      <c r="F716" s="795"/>
      <c r="G716" s="795"/>
      <c r="H716" s="795"/>
      <c r="I716" s="796"/>
      <c r="J716" s="441"/>
      <c r="K716" s="441"/>
      <c r="L716" s="797"/>
      <c r="M716" s="441"/>
      <c r="N716" s="441"/>
      <c r="O716" s="441"/>
      <c r="P716" s="441"/>
      <c r="Q716" s="441"/>
      <c r="R716" s="426"/>
      <c r="S716" s="441"/>
      <c r="T716" s="441"/>
      <c r="U716" s="441"/>
      <c r="V716" s="441"/>
      <c r="W716" s="441"/>
      <c r="X716" s="441"/>
      <c r="Y716" s="441"/>
      <c r="Z716" s="441"/>
      <c r="AA716" s="441"/>
      <c r="AB716" s="441"/>
      <c r="AC716" s="441"/>
      <c r="AD716" s="441"/>
      <c r="AE716" s="441"/>
      <c r="AF716" s="441"/>
      <c r="AG716" s="441"/>
      <c r="AH716" s="441"/>
      <c r="AI716" s="441"/>
      <c r="AJ716" s="441"/>
      <c r="AK716" s="441"/>
      <c r="AL716" s="441"/>
      <c r="AM716" s="441"/>
      <c r="AN716" s="441"/>
      <c r="AO716" s="441"/>
      <c r="AP716" s="441"/>
      <c r="AQ716" s="441"/>
      <c r="AR716" s="441"/>
      <c r="AS716" s="441"/>
      <c r="AT716" s="441"/>
      <c r="AU716" s="441"/>
      <c r="AV716" s="441"/>
      <c r="AW716" s="441"/>
      <c r="AX716" s="441"/>
      <c r="AY716" s="441"/>
      <c r="AZ716" s="441"/>
      <c r="BA716" s="441"/>
      <c r="BB716" s="441"/>
      <c r="BC716" s="441"/>
      <c r="BD716" s="441"/>
      <c r="BE716" s="441"/>
      <c r="BF716" s="441"/>
    </row>
    <row r="717">
      <c r="A717" s="798"/>
      <c r="B717" s="795"/>
      <c r="C717" s="795"/>
      <c r="D717" s="795"/>
      <c r="E717" s="795"/>
      <c r="F717" s="795"/>
      <c r="G717" s="795"/>
      <c r="H717" s="795"/>
      <c r="I717" s="796"/>
      <c r="J717" s="441"/>
      <c r="K717" s="441"/>
      <c r="L717" s="797"/>
      <c r="M717" s="441"/>
      <c r="N717" s="441"/>
      <c r="O717" s="441"/>
      <c r="P717" s="441"/>
      <c r="Q717" s="441"/>
      <c r="R717" s="426"/>
      <c r="S717" s="441"/>
      <c r="T717" s="441"/>
      <c r="U717" s="441"/>
      <c r="V717" s="441"/>
      <c r="W717" s="441"/>
      <c r="X717" s="441"/>
      <c r="Y717" s="441"/>
      <c r="Z717" s="441"/>
      <c r="AA717" s="441"/>
      <c r="AB717" s="441"/>
      <c r="AC717" s="441"/>
      <c r="AD717" s="441"/>
      <c r="AE717" s="441"/>
      <c r="AF717" s="441"/>
      <c r="AG717" s="441"/>
      <c r="AH717" s="441"/>
      <c r="AI717" s="441"/>
      <c r="AJ717" s="441"/>
      <c r="AK717" s="441"/>
      <c r="AL717" s="441"/>
      <c r="AM717" s="441"/>
      <c r="AN717" s="441"/>
      <c r="AO717" s="441"/>
      <c r="AP717" s="441"/>
      <c r="AQ717" s="441"/>
      <c r="AR717" s="441"/>
      <c r="AS717" s="441"/>
      <c r="AT717" s="441"/>
      <c r="AU717" s="441"/>
      <c r="AV717" s="441"/>
      <c r="AW717" s="441"/>
      <c r="AX717" s="441"/>
      <c r="AY717" s="441"/>
      <c r="AZ717" s="441"/>
      <c r="BA717" s="441"/>
      <c r="BB717" s="441"/>
      <c r="BC717" s="441"/>
      <c r="BD717" s="441"/>
      <c r="BE717" s="441"/>
      <c r="BF717" s="441"/>
    </row>
    <row r="718">
      <c r="A718" s="798"/>
      <c r="B718" s="795"/>
      <c r="C718" s="795"/>
      <c r="D718" s="795"/>
      <c r="E718" s="795"/>
      <c r="F718" s="795"/>
      <c r="G718" s="795"/>
      <c r="H718" s="795"/>
      <c r="I718" s="796"/>
      <c r="J718" s="441"/>
      <c r="K718" s="441"/>
      <c r="L718" s="797"/>
      <c r="M718" s="441"/>
      <c r="N718" s="441"/>
      <c r="O718" s="441"/>
      <c r="P718" s="441"/>
      <c r="Q718" s="441"/>
      <c r="R718" s="426"/>
      <c r="S718" s="441"/>
      <c r="T718" s="441"/>
      <c r="U718" s="441"/>
      <c r="V718" s="441"/>
      <c r="W718" s="441"/>
      <c r="X718" s="441"/>
      <c r="Y718" s="441"/>
      <c r="Z718" s="441"/>
      <c r="AA718" s="441"/>
      <c r="AB718" s="441"/>
      <c r="AC718" s="441"/>
      <c r="AD718" s="441"/>
      <c r="AE718" s="441"/>
      <c r="AF718" s="441"/>
      <c r="AG718" s="441"/>
      <c r="AH718" s="441"/>
      <c r="AI718" s="441"/>
      <c r="AJ718" s="441"/>
      <c r="AK718" s="441"/>
      <c r="AL718" s="441"/>
      <c r="AM718" s="441"/>
      <c r="AN718" s="441"/>
      <c r="AO718" s="441"/>
      <c r="AP718" s="441"/>
      <c r="AQ718" s="441"/>
      <c r="AR718" s="441"/>
      <c r="AS718" s="441"/>
      <c r="AT718" s="441"/>
      <c r="AU718" s="441"/>
      <c r="AV718" s="441"/>
      <c r="AW718" s="441"/>
      <c r="AX718" s="441"/>
      <c r="AY718" s="441"/>
      <c r="AZ718" s="441"/>
      <c r="BA718" s="441"/>
      <c r="BB718" s="441"/>
      <c r="BC718" s="441"/>
      <c r="BD718" s="441"/>
      <c r="BE718" s="441"/>
      <c r="BF718" s="441"/>
    </row>
    <row r="719">
      <c r="A719" s="798"/>
      <c r="B719" s="795"/>
      <c r="C719" s="795"/>
      <c r="D719" s="795"/>
      <c r="E719" s="795"/>
      <c r="F719" s="795"/>
      <c r="G719" s="795"/>
      <c r="H719" s="795"/>
      <c r="I719" s="796"/>
      <c r="J719" s="441"/>
      <c r="K719" s="441"/>
      <c r="L719" s="797"/>
      <c r="M719" s="441"/>
      <c r="N719" s="441"/>
      <c r="O719" s="441"/>
      <c r="P719" s="441"/>
      <c r="Q719" s="441"/>
      <c r="R719" s="426"/>
      <c r="S719" s="441"/>
      <c r="T719" s="441"/>
      <c r="U719" s="441"/>
      <c r="V719" s="441"/>
      <c r="W719" s="441"/>
      <c r="X719" s="441"/>
      <c r="Y719" s="441"/>
      <c r="Z719" s="441"/>
      <c r="AA719" s="441"/>
      <c r="AB719" s="441"/>
      <c r="AC719" s="441"/>
      <c r="AD719" s="441"/>
      <c r="AE719" s="441"/>
      <c r="AF719" s="441"/>
      <c r="AG719" s="441"/>
      <c r="AH719" s="441"/>
      <c r="AI719" s="441"/>
      <c r="AJ719" s="441"/>
      <c r="AK719" s="441"/>
      <c r="AL719" s="441"/>
      <c r="AM719" s="441"/>
      <c r="AN719" s="441"/>
      <c r="AO719" s="441"/>
      <c r="AP719" s="441"/>
      <c r="AQ719" s="441"/>
      <c r="AR719" s="441"/>
      <c r="AS719" s="441"/>
      <c r="AT719" s="441"/>
      <c r="AU719" s="441"/>
      <c r="AV719" s="441"/>
      <c r="AW719" s="441"/>
      <c r="AX719" s="441"/>
      <c r="AY719" s="441"/>
      <c r="AZ719" s="441"/>
      <c r="BA719" s="441"/>
      <c r="BB719" s="441"/>
      <c r="BC719" s="441"/>
      <c r="BD719" s="441"/>
      <c r="BE719" s="441"/>
      <c r="BF719" s="441"/>
    </row>
    <row r="720">
      <c r="A720" s="798"/>
      <c r="B720" s="795"/>
      <c r="C720" s="795"/>
      <c r="D720" s="795"/>
      <c r="E720" s="795"/>
      <c r="F720" s="795"/>
      <c r="G720" s="795"/>
      <c r="H720" s="795"/>
      <c r="I720" s="796"/>
      <c r="J720" s="441"/>
      <c r="K720" s="441"/>
      <c r="L720" s="797"/>
      <c r="M720" s="441"/>
      <c r="N720" s="441"/>
      <c r="O720" s="441"/>
      <c r="P720" s="441"/>
      <c r="Q720" s="441"/>
      <c r="R720" s="426"/>
      <c r="S720" s="441"/>
      <c r="T720" s="441"/>
      <c r="U720" s="441"/>
      <c r="V720" s="441"/>
      <c r="W720" s="441"/>
      <c r="X720" s="441"/>
      <c r="Y720" s="441"/>
      <c r="Z720" s="441"/>
      <c r="AA720" s="441"/>
      <c r="AB720" s="441"/>
      <c r="AC720" s="441"/>
      <c r="AD720" s="441"/>
      <c r="AE720" s="441"/>
      <c r="AF720" s="441"/>
      <c r="AG720" s="441"/>
      <c r="AH720" s="441"/>
      <c r="AI720" s="441"/>
      <c r="AJ720" s="441"/>
      <c r="AK720" s="441"/>
      <c r="AL720" s="441"/>
      <c r="AM720" s="441"/>
      <c r="AN720" s="441"/>
      <c r="AO720" s="441"/>
      <c r="AP720" s="441"/>
      <c r="AQ720" s="441"/>
      <c r="AR720" s="441"/>
      <c r="AS720" s="441"/>
      <c r="AT720" s="441"/>
      <c r="AU720" s="441"/>
      <c r="AV720" s="441"/>
      <c r="AW720" s="441"/>
      <c r="AX720" s="441"/>
      <c r="AY720" s="441"/>
      <c r="AZ720" s="441"/>
      <c r="BA720" s="441"/>
      <c r="BB720" s="441"/>
      <c r="BC720" s="441"/>
      <c r="BD720" s="441"/>
      <c r="BE720" s="441"/>
      <c r="BF720" s="441"/>
    </row>
    <row r="721">
      <c r="A721" s="798"/>
      <c r="B721" s="795"/>
      <c r="C721" s="795"/>
      <c r="D721" s="795"/>
      <c r="E721" s="795"/>
      <c r="F721" s="795"/>
      <c r="G721" s="795"/>
      <c r="H721" s="795"/>
      <c r="I721" s="796"/>
      <c r="J721" s="441"/>
      <c r="K721" s="441"/>
      <c r="L721" s="797"/>
      <c r="M721" s="441"/>
      <c r="N721" s="441"/>
      <c r="O721" s="441"/>
      <c r="P721" s="441"/>
      <c r="Q721" s="441"/>
      <c r="R721" s="426"/>
      <c r="S721" s="441"/>
      <c r="T721" s="441"/>
      <c r="U721" s="441"/>
      <c r="V721" s="441"/>
      <c r="W721" s="441"/>
      <c r="X721" s="441"/>
      <c r="Y721" s="441"/>
      <c r="Z721" s="441"/>
      <c r="AA721" s="441"/>
      <c r="AB721" s="441"/>
      <c r="AC721" s="441"/>
      <c r="AD721" s="441"/>
      <c r="AE721" s="441"/>
      <c r="AF721" s="441"/>
      <c r="AG721" s="441"/>
      <c r="AH721" s="441"/>
      <c r="AI721" s="441"/>
      <c r="AJ721" s="441"/>
      <c r="AK721" s="441"/>
      <c r="AL721" s="441"/>
      <c r="AM721" s="441"/>
      <c r="AN721" s="441"/>
      <c r="AO721" s="441"/>
      <c r="AP721" s="441"/>
      <c r="AQ721" s="441"/>
      <c r="AR721" s="441"/>
      <c r="AS721" s="441"/>
      <c r="AT721" s="441"/>
      <c r="AU721" s="441"/>
      <c r="AV721" s="441"/>
      <c r="AW721" s="441"/>
      <c r="AX721" s="441"/>
      <c r="AY721" s="441"/>
      <c r="AZ721" s="441"/>
      <c r="BA721" s="441"/>
      <c r="BB721" s="441"/>
      <c r="BC721" s="441"/>
      <c r="BD721" s="441"/>
      <c r="BE721" s="441"/>
      <c r="BF721" s="441"/>
    </row>
    <row r="722">
      <c r="A722" s="798"/>
      <c r="B722" s="795"/>
      <c r="C722" s="795"/>
      <c r="D722" s="795"/>
      <c r="E722" s="795"/>
      <c r="F722" s="795"/>
      <c r="G722" s="795"/>
      <c r="H722" s="795"/>
      <c r="I722" s="796"/>
      <c r="J722" s="441"/>
      <c r="K722" s="441"/>
      <c r="L722" s="797"/>
      <c r="M722" s="441"/>
      <c r="N722" s="441"/>
      <c r="O722" s="441"/>
      <c r="P722" s="441"/>
      <c r="Q722" s="441"/>
      <c r="R722" s="426"/>
      <c r="S722" s="441"/>
      <c r="T722" s="441"/>
      <c r="U722" s="441"/>
      <c r="V722" s="441"/>
      <c r="W722" s="441"/>
      <c r="X722" s="441"/>
      <c r="Y722" s="441"/>
      <c r="Z722" s="441"/>
      <c r="AA722" s="441"/>
      <c r="AB722" s="441"/>
      <c r="AC722" s="441"/>
      <c r="AD722" s="441"/>
      <c r="AE722" s="441"/>
      <c r="AF722" s="441"/>
      <c r="AG722" s="441"/>
      <c r="AH722" s="441"/>
      <c r="AI722" s="441"/>
      <c r="AJ722" s="441"/>
      <c r="AK722" s="441"/>
      <c r="AL722" s="441"/>
      <c r="AM722" s="441"/>
      <c r="AN722" s="441"/>
      <c r="AO722" s="441"/>
      <c r="AP722" s="441"/>
      <c r="AQ722" s="441"/>
      <c r="AR722" s="441"/>
      <c r="AS722" s="441"/>
      <c r="AT722" s="441"/>
      <c r="AU722" s="441"/>
      <c r="AV722" s="441"/>
      <c r="AW722" s="441"/>
      <c r="AX722" s="441"/>
      <c r="AY722" s="441"/>
      <c r="AZ722" s="441"/>
      <c r="BA722" s="441"/>
      <c r="BB722" s="441"/>
      <c r="BC722" s="441"/>
      <c r="BD722" s="441"/>
      <c r="BE722" s="441"/>
      <c r="BF722" s="441"/>
    </row>
    <row r="723">
      <c r="A723" s="798"/>
      <c r="B723" s="795"/>
      <c r="C723" s="795"/>
      <c r="D723" s="795"/>
      <c r="E723" s="795"/>
      <c r="F723" s="795"/>
      <c r="G723" s="795"/>
      <c r="H723" s="795"/>
      <c r="I723" s="796"/>
      <c r="J723" s="441"/>
      <c r="K723" s="441"/>
      <c r="L723" s="797"/>
      <c r="M723" s="441"/>
      <c r="N723" s="441"/>
      <c r="O723" s="441"/>
      <c r="P723" s="441"/>
      <c r="Q723" s="441"/>
      <c r="R723" s="426"/>
      <c r="S723" s="441"/>
      <c r="T723" s="441"/>
      <c r="U723" s="441"/>
      <c r="V723" s="441"/>
      <c r="W723" s="441"/>
      <c r="X723" s="441"/>
      <c r="Y723" s="441"/>
      <c r="Z723" s="441"/>
      <c r="AA723" s="441"/>
      <c r="AB723" s="441"/>
      <c r="AC723" s="441"/>
      <c r="AD723" s="441"/>
      <c r="AE723" s="441"/>
      <c r="AF723" s="441"/>
      <c r="AG723" s="441"/>
      <c r="AH723" s="441"/>
      <c r="AI723" s="441"/>
      <c r="AJ723" s="441"/>
      <c r="AK723" s="441"/>
      <c r="AL723" s="441"/>
      <c r="AM723" s="441"/>
      <c r="AN723" s="441"/>
      <c r="AO723" s="441"/>
      <c r="AP723" s="441"/>
      <c r="AQ723" s="441"/>
      <c r="AR723" s="441"/>
      <c r="AS723" s="441"/>
      <c r="AT723" s="441"/>
      <c r="AU723" s="441"/>
      <c r="AV723" s="441"/>
      <c r="AW723" s="441"/>
      <c r="AX723" s="441"/>
      <c r="AY723" s="441"/>
      <c r="AZ723" s="441"/>
      <c r="BA723" s="441"/>
      <c r="BB723" s="441"/>
      <c r="BC723" s="441"/>
      <c r="BD723" s="441"/>
      <c r="BE723" s="441"/>
      <c r="BF723" s="441"/>
    </row>
    <row r="724">
      <c r="A724" s="798"/>
      <c r="B724" s="795"/>
      <c r="C724" s="795"/>
      <c r="D724" s="795"/>
      <c r="E724" s="795"/>
      <c r="F724" s="795"/>
      <c r="G724" s="795"/>
      <c r="H724" s="795"/>
      <c r="I724" s="796"/>
      <c r="J724" s="441"/>
      <c r="K724" s="441"/>
      <c r="L724" s="797"/>
      <c r="M724" s="441"/>
      <c r="N724" s="441"/>
      <c r="O724" s="441"/>
      <c r="P724" s="441"/>
      <c r="Q724" s="441"/>
      <c r="R724" s="426"/>
      <c r="S724" s="441"/>
      <c r="T724" s="441"/>
      <c r="U724" s="441"/>
      <c r="V724" s="441"/>
      <c r="W724" s="441"/>
      <c r="X724" s="441"/>
      <c r="Y724" s="441"/>
      <c r="Z724" s="441"/>
      <c r="AA724" s="441"/>
      <c r="AB724" s="441"/>
      <c r="AC724" s="441"/>
      <c r="AD724" s="441"/>
      <c r="AE724" s="441"/>
      <c r="AF724" s="441"/>
      <c r="AG724" s="441"/>
      <c r="AH724" s="441"/>
      <c r="AI724" s="441"/>
      <c r="AJ724" s="441"/>
      <c r="AK724" s="441"/>
      <c r="AL724" s="441"/>
      <c r="AM724" s="441"/>
      <c r="AN724" s="441"/>
      <c r="AO724" s="441"/>
      <c r="AP724" s="441"/>
      <c r="AQ724" s="441"/>
      <c r="AR724" s="441"/>
      <c r="AS724" s="441"/>
      <c r="AT724" s="441"/>
      <c r="AU724" s="441"/>
      <c r="AV724" s="441"/>
      <c r="AW724" s="441"/>
      <c r="AX724" s="441"/>
      <c r="AY724" s="441"/>
      <c r="AZ724" s="441"/>
      <c r="BA724" s="441"/>
      <c r="BB724" s="441"/>
      <c r="BC724" s="441"/>
      <c r="BD724" s="441"/>
      <c r="BE724" s="441"/>
      <c r="BF724" s="441"/>
    </row>
    <row r="725">
      <c r="A725" s="798"/>
      <c r="B725" s="795"/>
      <c r="C725" s="795"/>
      <c r="D725" s="795"/>
      <c r="E725" s="795"/>
      <c r="F725" s="795"/>
      <c r="G725" s="795"/>
      <c r="H725" s="795"/>
      <c r="I725" s="796"/>
      <c r="J725" s="441"/>
      <c r="K725" s="441"/>
      <c r="L725" s="797"/>
      <c r="M725" s="441"/>
      <c r="N725" s="441"/>
      <c r="O725" s="441"/>
      <c r="P725" s="441"/>
      <c r="Q725" s="441"/>
      <c r="R725" s="426"/>
      <c r="S725" s="441"/>
      <c r="T725" s="441"/>
      <c r="U725" s="441"/>
      <c r="V725" s="441"/>
      <c r="W725" s="441"/>
      <c r="X725" s="441"/>
      <c r="Y725" s="441"/>
      <c r="Z725" s="441"/>
      <c r="AA725" s="441"/>
      <c r="AB725" s="441"/>
      <c r="AC725" s="441"/>
      <c r="AD725" s="441"/>
      <c r="AE725" s="441"/>
      <c r="AF725" s="441"/>
      <c r="AG725" s="441"/>
      <c r="AH725" s="441"/>
      <c r="AI725" s="441"/>
      <c r="AJ725" s="441"/>
      <c r="AK725" s="441"/>
      <c r="AL725" s="441"/>
      <c r="AM725" s="441"/>
      <c r="AN725" s="441"/>
      <c r="AO725" s="441"/>
      <c r="AP725" s="441"/>
      <c r="AQ725" s="441"/>
      <c r="AR725" s="441"/>
      <c r="AS725" s="441"/>
      <c r="AT725" s="441"/>
      <c r="AU725" s="441"/>
      <c r="AV725" s="441"/>
      <c r="AW725" s="441"/>
      <c r="AX725" s="441"/>
      <c r="AY725" s="441"/>
      <c r="AZ725" s="441"/>
      <c r="BA725" s="441"/>
      <c r="BB725" s="441"/>
      <c r="BC725" s="441"/>
      <c r="BD725" s="441"/>
      <c r="BE725" s="441"/>
      <c r="BF725" s="441"/>
    </row>
    <row r="726">
      <c r="A726" s="798"/>
      <c r="B726" s="795"/>
      <c r="C726" s="795"/>
      <c r="D726" s="795"/>
      <c r="E726" s="795"/>
      <c r="F726" s="795"/>
      <c r="G726" s="795"/>
      <c r="H726" s="795"/>
      <c r="I726" s="796"/>
      <c r="J726" s="441"/>
      <c r="K726" s="441"/>
      <c r="L726" s="797"/>
      <c r="M726" s="441"/>
      <c r="N726" s="441"/>
      <c r="O726" s="441"/>
      <c r="P726" s="441"/>
      <c r="Q726" s="441"/>
      <c r="R726" s="426"/>
      <c r="S726" s="441"/>
      <c r="T726" s="441"/>
      <c r="U726" s="441"/>
      <c r="V726" s="441"/>
      <c r="W726" s="441"/>
      <c r="X726" s="441"/>
      <c r="Y726" s="441"/>
      <c r="Z726" s="441"/>
      <c r="AA726" s="441"/>
      <c r="AB726" s="441"/>
      <c r="AC726" s="441"/>
      <c r="AD726" s="441"/>
      <c r="AE726" s="441"/>
      <c r="AF726" s="441"/>
      <c r="AG726" s="441"/>
      <c r="AH726" s="441"/>
      <c r="AI726" s="441"/>
      <c r="AJ726" s="441"/>
      <c r="AK726" s="441"/>
      <c r="AL726" s="441"/>
      <c r="AM726" s="441"/>
      <c r="AN726" s="441"/>
      <c r="AO726" s="441"/>
      <c r="AP726" s="441"/>
      <c r="AQ726" s="441"/>
      <c r="AR726" s="441"/>
      <c r="AS726" s="441"/>
      <c r="AT726" s="441"/>
      <c r="AU726" s="441"/>
      <c r="AV726" s="441"/>
      <c r="AW726" s="441"/>
      <c r="AX726" s="441"/>
      <c r="AY726" s="441"/>
      <c r="AZ726" s="441"/>
      <c r="BA726" s="441"/>
      <c r="BB726" s="441"/>
      <c r="BC726" s="441"/>
      <c r="BD726" s="441"/>
      <c r="BE726" s="441"/>
      <c r="BF726" s="441"/>
    </row>
    <row r="727">
      <c r="A727" s="798"/>
      <c r="B727" s="795"/>
      <c r="C727" s="795"/>
      <c r="D727" s="795"/>
      <c r="E727" s="795"/>
      <c r="F727" s="795"/>
      <c r="G727" s="795"/>
      <c r="H727" s="795"/>
      <c r="I727" s="796"/>
      <c r="J727" s="441"/>
      <c r="K727" s="441"/>
      <c r="L727" s="797"/>
      <c r="M727" s="441"/>
      <c r="N727" s="441"/>
      <c r="O727" s="441"/>
      <c r="P727" s="441"/>
      <c r="Q727" s="441"/>
      <c r="R727" s="426"/>
      <c r="S727" s="441"/>
      <c r="T727" s="441"/>
      <c r="U727" s="441"/>
      <c r="V727" s="441"/>
      <c r="W727" s="441"/>
      <c r="X727" s="441"/>
      <c r="Y727" s="441"/>
      <c r="Z727" s="441"/>
      <c r="AA727" s="441"/>
      <c r="AB727" s="441"/>
      <c r="AC727" s="441"/>
      <c r="AD727" s="441"/>
      <c r="AE727" s="441"/>
      <c r="AF727" s="441"/>
      <c r="AG727" s="441"/>
      <c r="AH727" s="441"/>
      <c r="AI727" s="441"/>
      <c r="AJ727" s="441"/>
      <c r="AK727" s="441"/>
      <c r="AL727" s="441"/>
      <c r="AM727" s="441"/>
      <c r="AN727" s="441"/>
      <c r="AO727" s="441"/>
      <c r="AP727" s="441"/>
      <c r="AQ727" s="441"/>
      <c r="AR727" s="441"/>
      <c r="AS727" s="441"/>
      <c r="AT727" s="441"/>
      <c r="AU727" s="441"/>
      <c r="AV727" s="441"/>
      <c r="AW727" s="441"/>
      <c r="AX727" s="441"/>
      <c r="AY727" s="441"/>
      <c r="AZ727" s="441"/>
      <c r="BA727" s="441"/>
      <c r="BB727" s="441"/>
      <c r="BC727" s="441"/>
      <c r="BD727" s="441"/>
      <c r="BE727" s="441"/>
      <c r="BF727" s="441"/>
    </row>
    <row r="728">
      <c r="A728" s="798"/>
      <c r="B728" s="795"/>
      <c r="C728" s="795"/>
      <c r="D728" s="795"/>
      <c r="E728" s="795"/>
      <c r="F728" s="795"/>
      <c r="G728" s="795"/>
      <c r="H728" s="795"/>
      <c r="I728" s="796"/>
      <c r="J728" s="441"/>
      <c r="K728" s="441"/>
      <c r="L728" s="797"/>
      <c r="M728" s="441"/>
      <c r="N728" s="441"/>
      <c r="O728" s="441"/>
      <c r="P728" s="441"/>
      <c r="Q728" s="441"/>
      <c r="R728" s="426"/>
      <c r="S728" s="441"/>
      <c r="T728" s="441"/>
      <c r="U728" s="441"/>
      <c r="V728" s="441"/>
      <c r="W728" s="441"/>
      <c r="X728" s="441"/>
      <c r="Y728" s="441"/>
      <c r="Z728" s="441"/>
      <c r="AA728" s="441"/>
      <c r="AB728" s="441"/>
      <c r="AC728" s="441"/>
      <c r="AD728" s="441"/>
      <c r="AE728" s="441"/>
      <c r="AF728" s="441"/>
      <c r="AG728" s="441"/>
      <c r="AH728" s="441"/>
      <c r="AI728" s="441"/>
      <c r="AJ728" s="441"/>
      <c r="AK728" s="441"/>
      <c r="AL728" s="441"/>
      <c r="AM728" s="441"/>
      <c r="AN728" s="441"/>
      <c r="AO728" s="441"/>
      <c r="AP728" s="441"/>
      <c r="AQ728" s="441"/>
      <c r="AR728" s="441"/>
      <c r="AS728" s="441"/>
      <c r="AT728" s="441"/>
      <c r="AU728" s="441"/>
      <c r="AV728" s="441"/>
      <c r="AW728" s="441"/>
      <c r="AX728" s="441"/>
      <c r="AY728" s="441"/>
      <c r="AZ728" s="441"/>
      <c r="BA728" s="441"/>
      <c r="BB728" s="441"/>
      <c r="BC728" s="441"/>
      <c r="BD728" s="441"/>
      <c r="BE728" s="441"/>
      <c r="BF728" s="441"/>
    </row>
    <row r="729">
      <c r="A729" s="798"/>
      <c r="B729" s="795"/>
      <c r="C729" s="795"/>
      <c r="D729" s="795"/>
      <c r="E729" s="795"/>
      <c r="F729" s="795"/>
      <c r="G729" s="795"/>
      <c r="H729" s="795"/>
      <c r="I729" s="796"/>
      <c r="J729" s="441"/>
      <c r="K729" s="441"/>
      <c r="L729" s="797"/>
      <c r="M729" s="441"/>
      <c r="N729" s="441"/>
      <c r="O729" s="441"/>
      <c r="P729" s="441"/>
      <c r="Q729" s="441"/>
      <c r="R729" s="426"/>
      <c r="S729" s="441"/>
      <c r="T729" s="441"/>
      <c r="U729" s="441"/>
      <c r="V729" s="441"/>
      <c r="W729" s="441"/>
      <c r="X729" s="441"/>
      <c r="Y729" s="441"/>
      <c r="Z729" s="441"/>
      <c r="AA729" s="441"/>
      <c r="AB729" s="441"/>
      <c r="AC729" s="441"/>
      <c r="AD729" s="441"/>
      <c r="AE729" s="441"/>
      <c r="AF729" s="441"/>
      <c r="AG729" s="441"/>
      <c r="AH729" s="441"/>
      <c r="AI729" s="441"/>
      <c r="AJ729" s="441"/>
      <c r="AK729" s="441"/>
      <c r="AL729" s="441"/>
      <c r="AM729" s="441"/>
      <c r="AN729" s="441"/>
      <c r="AO729" s="441"/>
      <c r="AP729" s="441"/>
      <c r="AQ729" s="441"/>
      <c r="AR729" s="441"/>
      <c r="AS729" s="441"/>
      <c r="AT729" s="441"/>
      <c r="AU729" s="441"/>
      <c r="AV729" s="441"/>
      <c r="AW729" s="441"/>
      <c r="AX729" s="441"/>
      <c r="AY729" s="441"/>
      <c r="AZ729" s="441"/>
      <c r="BA729" s="441"/>
      <c r="BB729" s="441"/>
      <c r="BC729" s="441"/>
      <c r="BD729" s="441"/>
      <c r="BE729" s="441"/>
      <c r="BF729" s="441"/>
    </row>
    <row r="730">
      <c r="A730" s="798"/>
      <c r="B730" s="795"/>
      <c r="C730" s="795"/>
      <c r="D730" s="795"/>
      <c r="E730" s="795"/>
      <c r="F730" s="795"/>
      <c r="G730" s="795"/>
      <c r="H730" s="795"/>
      <c r="I730" s="796"/>
      <c r="J730" s="441"/>
      <c r="K730" s="441"/>
      <c r="L730" s="797"/>
      <c r="M730" s="441"/>
      <c r="N730" s="441"/>
      <c r="O730" s="441"/>
      <c r="P730" s="441"/>
      <c r="Q730" s="441"/>
      <c r="R730" s="426"/>
      <c r="S730" s="441"/>
      <c r="T730" s="441"/>
      <c r="U730" s="441"/>
      <c r="V730" s="441"/>
      <c r="W730" s="441"/>
      <c r="X730" s="441"/>
      <c r="Y730" s="441"/>
      <c r="Z730" s="441"/>
      <c r="AA730" s="441"/>
      <c r="AB730" s="441"/>
      <c r="AC730" s="441"/>
      <c r="AD730" s="441"/>
      <c r="AE730" s="441"/>
      <c r="AF730" s="441"/>
      <c r="AG730" s="441"/>
      <c r="AH730" s="441"/>
      <c r="AI730" s="441"/>
      <c r="AJ730" s="441"/>
      <c r="AK730" s="441"/>
      <c r="AL730" s="441"/>
      <c r="AM730" s="441"/>
      <c r="AN730" s="441"/>
      <c r="AO730" s="441"/>
      <c r="AP730" s="441"/>
      <c r="AQ730" s="441"/>
      <c r="AR730" s="441"/>
      <c r="AS730" s="441"/>
      <c r="AT730" s="441"/>
      <c r="AU730" s="441"/>
      <c r="AV730" s="441"/>
      <c r="AW730" s="441"/>
      <c r="AX730" s="441"/>
      <c r="AY730" s="441"/>
      <c r="AZ730" s="441"/>
      <c r="BA730" s="441"/>
      <c r="BB730" s="441"/>
      <c r="BC730" s="441"/>
      <c r="BD730" s="441"/>
      <c r="BE730" s="441"/>
      <c r="BF730" s="441"/>
    </row>
    <row r="731">
      <c r="A731" s="798"/>
      <c r="B731" s="795"/>
      <c r="C731" s="795"/>
      <c r="D731" s="795"/>
      <c r="E731" s="795"/>
      <c r="F731" s="795"/>
      <c r="G731" s="795"/>
      <c r="H731" s="795"/>
      <c r="I731" s="796"/>
      <c r="J731" s="441"/>
      <c r="K731" s="441"/>
      <c r="L731" s="797"/>
      <c r="M731" s="441"/>
      <c r="N731" s="441"/>
      <c r="O731" s="441"/>
      <c r="P731" s="441"/>
      <c r="Q731" s="441"/>
      <c r="R731" s="426"/>
      <c r="S731" s="441"/>
      <c r="T731" s="441"/>
      <c r="U731" s="441"/>
      <c r="V731" s="441"/>
      <c r="W731" s="441"/>
      <c r="X731" s="441"/>
      <c r="Y731" s="441"/>
      <c r="Z731" s="441"/>
      <c r="AA731" s="441"/>
      <c r="AB731" s="441"/>
      <c r="AC731" s="441"/>
      <c r="AD731" s="441"/>
      <c r="AE731" s="441"/>
      <c r="AF731" s="441"/>
      <c r="AG731" s="441"/>
      <c r="AH731" s="441"/>
      <c r="AI731" s="441"/>
      <c r="AJ731" s="441"/>
      <c r="AK731" s="441"/>
      <c r="AL731" s="441"/>
      <c r="AM731" s="441"/>
      <c r="AN731" s="441"/>
      <c r="AO731" s="441"/>
      <c r="AP731" s="441"/>
      <c r="AQ731" s="441"/>
      <c r="AR731" s="441"/>
      <c r="AS731" s="441"/>
      <c r="AT731" s="441"/>
      <c r="AU731" s="441"/>
      <c r="AV731" s="441"/>
      <c r="AW731" s="441"/>
      <c r="AX731" s="441"/>
      <c r="AY731" s="441"/>
      <c r="AZ731" s="441"/>
      <c r="BA731" s="441"/>
      <c r="BB731" s="441"/>
      <c r="BC731" s="441"/>
      <c r="BD731" s="441"/>
      <c r="BE731" s="441"/>
      <c r="BF731" s="441"/>
    </row>
    <row r="732">
      <c r="A732" s="798"/>
      <c r="B732" s="795"/>
      <c r="C732" s="795"/>
      <c r="D732" s="795"/>
      <c r="E732" s="795"/>
      <c r="F732" s="795"/>
      <c r="G732" s="795"/>
      <c r="H732" s="795"/>
      <c r="I732" s="796"/>
      <c r="J732" s="441"/>
      <c r="K732" s="441"/>
      <c r="L732" s="797"/>
      <c r="M732" s="441"/>
      <c r="N732" s="441"/>
      <c r="O732" s="441"/>
      <c r="P732" s="441"/>
      <c r="Q732" s="441"/>
      <c r="R732" s="426"/>
      <c r="S732" s="441"/>
      <c r="T732" s="441"/>
      <c r="U732" s="441"/>
      <c r="V732" s="441"/>
      <c r="W732" s="441"/>
      <c r="X732" s="441"/>
      <c r="Y732" s="441"/>
      <c r="Z732" s="441"/>
      <c r="AA732" s="441"/>
      <c r="AB732" s="441"/>
      <c r="AC732" s="441"/>
      <c r="AD732" s="441"/>
      <c r="AE732" s="441"/>
      <c r="AF732" s="441"/>
      <c r="AG732" s="441"/>
      <c r="AH732" s="441"/>
      <c r="AI732" s="441"/>
      <c r="AJ732" s="441"/>
      <c r="AK732" s="441"/>
      <c r="AL732" s="441"/>
      <c r="AM732" s="441"/>
      <c r="AN732" s="441"/>
      <c r="AO732" s="441"/>
      <c r="AP732" s="441"/>
      <c r="AQ732" s="441"/>
      <c r="AR732" s="441"/>
      <c r="AS732" s="441"/>
      <c r="AT732" s="441"/>
      <c r="AU732" s="441"/>
      <c r="AV732" s="441"/>
      <c r="AW732" s="441"/>
      <c r="AX732" s="441"/>
      <c r="AY732" s="441"/>
      <c r="AZ732" s="441"/>
      <c r="BA732" s="441"/>
      <c r="BB732" s="441"/>
      <c r="BC732" s="441"/>
      <c r="BD732" s="441"/>
      <c r="BE732" s="441"/>
      <c r="BF732" s="441"/>
    </row>
    <row r="733">
      <c r="A733" s="798"/>
      <c r="B733" s="795"/>
      <c r="C733" s="795"/>
      <c r="D733" s="795"/>
      <c r="E733" s="795"/>
      <c r="F733" s="795"/>
      <c r="G733" s="795"/>
      <c r="H733" s="795"/>
      <c r="I733" s="796"/>
      <c r="J733" s="441"/>
      <c r="K733" s="441"/>
      <c r="L733" s="797"/>
      <c r="M733" s="441"/>
      <c r="N733" s="441"/>
      <c r="O733" s="441"/>
      <c r="P733" s="441"/>
      <c r="Q733" s="441"/>
      <c r="R733" s="426"/>
      <c r="S733" s="441"/>
      <c r="T733" s="441"/>
      <c r="U733" s="441"/>
      <c r="V733" s="441"/>
      <c r="W733" s="441"/>
      <c r="X733" s="441"/>
      <c r="Y733" s="441"/>
      <c r="Z733" s="441"/>
      <c r="AA733" s="441"/>
      <c r="AB733" s="441"/>
      <c r="AC733" s="441"/>
      <c r="AD733" s="441"/>
      <c r="AE733" s="441"/>
      <c r="AF733" s="441"/>
      <c r="AG733" s="441"/>
      <c r="AH733" s="441"/>
      <c r="AI733" s="441"/>
      <c r="AJ733" s="441"/>
      <c r="AK733" s="441"/>
      <c r="AL733" s="441"/>
      <c r="AM733" s="441"/>
      <c r="AN733" s="441"/>
      <c r="AO733" s="441"/>
      <c r="AP733" s="441"/>
      <c r="AQ733" s="441"/>
      <c r="AR733" s="441"/>
      <c r="AS733" s="441"/>
      <c r="AT733" s="441"/>
      <c r="AU733" s="441"/>
      <c r="AV733" s="441"/>
      <c r="AW733" s="441"/>
      <c r="AX733" s="441"/>
      <c r="AY733" s="441"/>
      <c r="AZ733" s="441"/>
      <c r="BA733" s="441"/>
      <c r="BB733" s="441"/>
      <c r="BC733" s="441"/>
      <c r="BD733" s="441"/>
      <c r="BE733" s="441"/>
      <c r="BF733" s="441"/>
    </row>
    <row r="734">
      <c r="A734" s="798"/>
      <c r="B734" s="795"/>
      <c r="C734" s="795"/>
      <c r="D734" s="795"/>
      <c r="E734" s="795"/>
      <c r="F734" s="795"/>
      <c r="G734" s="795"/>
      <c r="H734" s="795"/>
      <c r="I734" s="796"/>
      <c r="J734" s="441"/>
      <c r="K734" s="441"/>
      <c r="L734" s="797"/>
      <c r="M734" s="441"/>
      <c r="N734" s="441"/>
      <c r="O734" s="441"/>
      <c r="P734" s="441"/>
      <c r="Q734" s="441"/>
      <c r="R734" s="426"/>
      <c r="S734" s="441"/>
      <c r="T734" s="441"/>
      <c r="U734" s="441"/>
      <c r="V734" s="441"/>
      <c r="W734" s="441"/>
      <c r="X734" s="441"/>
      <c r="Y734" s="441"/>
      <c r="Z734" s="441"/>
      <c r="AA734" s="441"/>
      <c r="AB734" s="441"/>
      <c r="AC734" s="441"/>
      <c r="AD734" s="441"/>
      <c r="AE734" s="441"/>
      <c r="AF734" s="441"/>
      <c r="AG734" s="441"/>
      <c r="AH734" s="441"/>
      <c r="AI734" s="441"/>
      <c r="AJ734" s="441"/>
      <c r="AK734" s="441"/>
      <c r="AL734" s="441"/>
      <c r="AM734" s="441"/>
      <c r="AN734" s="441"/>
      <c r="AO734" s="441"/>
      <c r="AP734" s="441"/>
      <c r="AQ734" s="441"/>
      <c r="AR734" s="441"/>
      <c r="AS734" s="441"/>
      <c r="AT734" s="441"/>
      <c r="AU734" s="441"/>
      <c r="AV734" s="441"/>
      <c r="AW734" s="441"/>
      <c r="AX734" s="441"/>
      <c r="AY734" s="441"/>
      <c r="AZ734" s="441"/>
      <c r="BA734" s="441"/>
      <c r="BB734" s="441"/>
      <c r="BC734" s="441"/>
      <c r="BD734" s="441"/>
      <c r="BE734" s="441"/>
      <c r="BF734" s="441"/>
    </row>
    <row r="735">
      <c r="A735" s="798"/>
      <c r="B735" s="795"/>
      <c r="C735" s="795"/>
      <c r="D735" s="795"/>
      <c r="E735" s="795"/>
      <c r="F735" s="795"/>
      <c r="G735" s="795"/>
      <c r="H735" s="795"/>
      <c r="I735" s="796"/>
      <c r="J735" s="441"/>
      <c r="K735" s="441"/>
      <c r="L735" s="797"/>
      <c r="M735" s="441"/>
      <c r="N735" s="441"/>
      <c r="O735" s="441"/>
      <c r="P735" s="441"/>
      <c r="Q735" s="441"/>
      <c r="R735" s="426"/>
      <c r="S735" s="441"/>
      <c r="T735" s="441"/>
      <c r="U735" s="441"/>
      <c r="V735" s="441"/>
      <c r="W735" s="441"/>
      <c r="X735" s="441"/>
      <c r="Y735" s="441"/>
      <c r="Z735" s="441"/>
      <c r="AA735" s="441"/>
      <c r="AB735" s="441"/>
      <c r="AC735" s="441"/>
      <c r="AD735" s="441"/>
      <c r="AE735" s="441"/>
      <c r="AF735" s="441"/>
      <c r="AG735" s="441"/>
      <c r="AH735" s="441"/>
      <c r="AI735" s="441"/>
      <c r="AJ735" s="441"/>
      <c r="AK735" s="441"/>
      <c r="AL735" s="441"/>
      <c r="AM735" s="441"/>
      <c r="AN735" s="441"/>
      <c r="AO735" s="441"/>
      <c r="AP735" s="441"/>
      <c r="AQ735" s="441"/>
      <c r="AR735" s="441"/>
      <c r="AS735" s="441"/>
      <c r="AT735" s="441"/>
      <c r="AU735" s="441"/>
      <c r="AV735" s="441"/>
      <c r="AW735" s="441"/>
      <c r="AX735" s="441"/>
      <c r="AY735" s="441"/>
      <c r="AZ735" s="441"/>
      <c r="BA735" s="441"/>
      <c r="BB735" s="441"/>
      <c r="BC735" s="441"/>
      <c r="BD735" s="441"/>
      <c r="BE735" s="441"/>
      <c r="BF735" s="441"/>
    </row>
    <row r="736">
      <c r="A736" s="798"/>
      <c r="B736" s="795"/>
      <c r="C736" s="795"/>
      <c r="D736" s="795"/>
      <c r="E736" s="795"/>
      <c r="F736" s="795"/>
      <c r="G736" s="795"/>
      <c r="H736" s="795"/>
      <c r="I736" s="796"/>
      <c r="J736" s="441"/>
      <c r="K736" s="441"/>
      <c r="L736" s="797"/>
      <c r="M736" s="441"/>
      <c r="N736" s="441"/>
      <c r="O736" s="441"/>
      <c r="P736" s="441"/>
      <c r="Q736" s="441"/>
      <c r="R736" s="426"/>
      <c r="S736" s="441"/>
      <c r="T736" s="441"/>
      <c r="U736" s="441"/>
      <c r="V736" s="441"/>
      <c r="W736" s="441"/>
      <c r="X736" s="441"/>
      <c r="Y736" s="441"/>
      <c r="Z736" s="441"/>
      <c r="AA736" s="441"/>
      <c r="AB736" s="441"/>
      <c r="AC736" s="441"/>
      <c r="AD736" s="441"/>
      <c r="AE736" s="441"/>
      <c r="AF736" s="441"/>
      <c r="AG736" s="441"/>
      <c r="AH736" s="441"/>
      <c r="AI736" s="441"/>
      <c r="AJ736" s="441"/>
      <c r="AK736" s="441"/>
      <c r="AL736" s="441"/>
      <c r="AM736" s="441"/>
      <c r="AN736" s="441"/>
      <c r="AO736" s="441"/>
      <c r="AP736" s="441"/>
      <c r="AQ736" s="441"/>
      <c r="AR736" s="441"/>
      <c r="AS736" s="441"/>
      <c r="AT736" s="441"/>
      <c r="AU736" s="441"/>
      <c r="AV736" s="441"/>
      <c r="AW736" s="441"/>
      <c r="AX736" s="441"/>
      <c r="AY736" s="441"/>
      <c r="AZ736" s="441"/>
      <c r="BA736" s="441"/>
      <c r="BB736" s="441"/>
      <c r="BC736" s="441"/>
      <c r="BD736" s="441"/>
      <c r="BE736" s="441"/>
      <c r="BF736" s="441"/>
    </row>
    <row r="737">
      <c r="A737" s="798"/>
      <c r="B737" s="795"/>
      <c r="C737" s="795"/>
      <c r="D737" s="795"/>
      <c r="E737" s="795"/>
      <c r="F737" s="795"/>
      <c r="G737" s="795"/>
      <c r="H737" s="795"/>
      <c r="I737" s="796"/>
      <c r="J737" s="441"/>
      <c r="K737" s="441"/>
      <c r="L737" s="797"/>
      <c r="M737" s="441"/>
      <c r="N737" s="441"/>
      <c r="O737" s="441"/>
      <c r="P737" s="441"/>
      <c r="Q737" s="441"/>
      <c r="R737" s="426"/>
      <c r="S737" s="441"/>
      <c r="T737" s="441"/>
      <c r="U737" s="441"/>
      <c r="V737" s="441"/>
      <c r="W737" s="441"/>
      <c r="X737" s="441"/>
      <c r="Y737" s="441"/>
      <c r="Z737" s="441"/>
      <c r="AA737" s="441"/>
      <c r="AB737" s="441"/>
      <c r="AC737" s="441"/>
      <c r="AD737" s="441"/>
      <c r="AE737" s="441"/>
      <c r="AF737" s="441"/>
      <c r="AG737" s="441"/>
      <c r="AH737" s="441"/>
      <c r="AI737" s="441"/>
      <c r="AJ737" s="441"/>
      <c r="AK737" s="441"/>
      <c r="AL737" s="441"/>
      <c r="AM737" s="441"/>
      <c r="AN737" s="441"/>
      <c r="AO737" s="441"/>
      <c r="AP737" s="441"/>
      <c r="AQ737" s="441"/>
      <c r="AR737" s="441"/>
      <c r="AS737" s="441"/>
      <c r="AT737" s="441"/>
      <c r="AU737" s="441"/>
      <c r="AV737" s="441"/>
      <c r="AW737" s="441"/>
      <c r="AX737" s="441"/>
      <c r="AY737" s="441"/>
      <c r="AZ737" s="441"/>
      <c r="BA737" s="441"/>
      <c r="BB737" s="441"/>
      <c r="BC737" s="441"/>
      <c r="BD737" s="441"/>
      <c r="BE737" s="441"/>
      <c r="BF737" s="441"/>
    </row>
    <row r="738">
      <c r="A738" s="798"/>
      <c r="B738" s="795"/>
      <c r="C738" s="795"/>
      <c r="D738" s="795"/>
      <c r="E738" s="795"/>
      <c r="F738" s="795"/>
      <c r="G738" s="795"/>
      <c r="H738" s="795"/>
      <c r="I738" s="796"/>
      <c r="J738" s="441"/>
      <c r="K738" s="441"/>
      <c r="L738" s="797"/>
      <c r="M738" s="441"/>
      <c r="N738" s="441"/>
      <c r="O738" s="441"/>
      <c r="P738" s="441"/>
      <c r="Q738" s="441"/>
      <c r="R738" s="426"/>
      <c r="S738" s="441"/>
      <c r="T738" s="441"/>
      <c r="U738" s="441"/>
      <c r="V738" s="441"/>
      <c r="W738" s="441"/>
      <c r="X738" s="441"/>
      <c r="Y738" s="441"/>
      <c r="Z738" s="441"/>
      <c r="AA738" s="441"/>
      <c r="AB738" s="441"/>
      <c r="AC738" s="441"/>
      <c r="AD738" s="441"/>
      <c r="AE738" s="441"/>
      <c r="AF738" s="441"/>
      <c r="AG738" s="441"/>
      <c r="AH738" s="441"/>
      <c r="AI738" s="441"/>
      <c r="AJ738" s="441"/>
      <c r="AK738" s="441"/>
      <c r="AL738" s="441"/>
      <c r="AM738" s="441"/>
      <c r="AN738" s="441"/>
      <c r="AO738" s="441"/>
      <c r="AP738" s="441"/>
      <c r="AQ738" s="441"/>
      <c r="AR738" s="441"/>
      <c r="AS738" s="441"/>
      <c r="AT738" s="441"/>
      <c r="AU738" s="441"/>
      <c r="AV738" s="441"/>
      <c r="AW738" s="441"/>
      <c r="AX738" s="441"/>
      <c r="AY738" s="441"/>
      <c r="AZ738" s="441"/>
      <c r="BA738" s="441"/>
      <c r="BB738" s="441"/>
      <c r="BC738" s="441"/>
      <c r="BD738" s="441"/>
      <c r="BE738" s="441"/>
      <c r="BF738" s="441"/>
    </row>
    <row r="739">
      <c r="A739" s="798"/>
      <c r="B739" s="795"/>
      <c r="C739" s="795"/>
      <c r="D739" s="795"/>
      <c r="E739" s="795"/>
      <c r="F739" s="795"/>
      <c r="G739" s="795"/>
      <c r="H739" s="795"/>
      <c r="I739" s="796"/>
      <c r="J739" s="441"/>
      <c r="K739" s="441"/>
      <c r="L739" s="797"/>
      <c r="M739" s="441"/>
      <c r="N739" s="441"/>
      <c r="O739" s="441"/>
      <c r="P739" s="441"/>
      <c r="Q739" s="441"/>
      <c r="R739" s="426"/>
      <c r="S739" s="441"/>
      <c r="T739" s="441"/>
      <c r="U739" s="441"/>
      <c r="V739" s="441"/>
      <c r="W739" s="441"/>
      <c r="X739" s="441"/>
      <c r="Y739" s="441"/>
      <c r="Z739" s="441"/>
      <c r="AA739" s="441"/>
      <c r="AB739" s="441"/>
      <c r="AC739" s="441"/>
      <c r="AD739" s="441"/>
      <c r="AE739" s="441"/>
      <c r="AF739" s="441"/>
      <c r="AG739" s="441"/>
      <c r="AH739" s="441"/>
      <c r="AI739" s="441"/>
      <c r="AJ739" s="441"/>
      <c r="AK739" s="441"/>
      <c r="AL739" s="441"/>
      <c r="AM739" s="441"/>
      <c r="AN739" s="441"/>
      <c r="AO739" s="441"/>
      <c r="AP739" s="441"/>
      <c r="AQ739" s="441"/>
      <c r="AR739" s="441"/>
      <c r="AS739" s="441"/>
      <c r="AT739" s="441"/>
      <c r="AU739" s="441"/>
      <c r="AV739" s="441"/>
      <c r="AW739" s="441"/>
      <c r="AX739" s="441"/>
      <c r="AY739" s="441"/>
      <c r="AZ739" s="441"/>
      <c r="BA739" s="441"/>
      <c r="BB739" s="441"/>
      <c r="BC739" s="441"/>
      <c r="BD739" s="441"/>
      <c r="BE739" s="441"/>
      <c r="BF739" s="441"/>
    </row>
    <row r="740">
      <c r="A740" s="798"/>
      <c r="B740" s="795"/>
      <c r="C740" s="795"/>
      <c r="D740" s="795"/>
      <c r="E740" s="795"/>
      <c r="F740" s="795"/>
      <c r="G740" s="795"/>
      <c r="H740" s="795"/>
      <c r="I740" s="796"/>
      <c r="J740" s="441"/>
      <c r="K740" s="441"/>
      <c r="L740" s="797"/>
      <c r="M740" s="441"/>
      <c r="N740" s="441"/>
      <c r="O740" s="441"/>
      <c r="P740" s="441"/>
      <c r="Q740" s="441"/>
      <c r="R740" s="426"/>
      <c r="S740" s="441"/>
      <c r="T740" s="441"/>
      <c r="U740" s="441"/>
      <c r="V740" s="441"/>
      <c r="W740" s="441"/>
      <c r="X740" s="441"/>
      <c r="Y740" s="441"/>
      <c r="Z740" s="441"/>
      <c r="AA740" s="441"/>
      <c r="AB740" s="441"/>
      <c r="AC740" s="441"/>
      <c r="AD740" s="441"/>
      <c r="AE740" s="441"/>
      <c r="AF740" s="441"/>
      <c r="AG740" s="441"/>
      <c r="AH740" s="441"/>
      <c r="AI740" s="441"/>
      <c r="AJ740" s="441"/>
      <c r="AK740" s="441"/>
      <c r="AL740" s="441"/>
      <c r="AM740" s="441"/>
      <c r="AN740" s="441"/>
      <c r="AO740" s="441"/>
      <c r="AP740" s="441"/>
      <c r="AQ740" s="441"/>
      <c r="AR740" s="441"/>
      <c r="AS740" s="441"/>
      <c r="AT740" s="441"/>
      <c r="AU740" s="441"/>
      <c r="AV740" s="441"/>
      <c r="AW740" s="441"/>
      <c r="AX740" s="441"/>
      <c r="AY740" s="441"/>
      <c r="AZ740" s="441"/>
      <c r="BA740" s="441"/>
      <c r="BB740" s="441"/>
      <c r="BC740" s="441"/>
      <c r="BD740" s="441"/>
      <c r="BE740" s="441"/>
      <c r="BF740" s="441"/>
    </row>
    <row r="741">
      <c r="A741" s="798"/>
      <c r="B741" s="795"/>
      <c r="C741" s="795"/>
      <c r="D741" s="795"/>
      <c r="E741" s="795"/>
      <c r="F741" s="795"/>
      <c r="G741" s="795"/>
      <c r="H741" s="795"/>
      <c r="I741" s="796"/>
      <c r="J741" s="441"/>
      <c r="K741" s="441"/>
      <c r="L741" s="797"/>
      <c r="M741" s="441"/>
      <c r="N741" s="441"/>
      <c r="O741" s="441"/>
      <c r="P741" s="441"/>
      <c r="Q741" s="441"/>
      <c r="R741" s="426"/>
      <c r="S741" s="441"/>
      <c r="T741" s="441"/>
      <c r="U741" s="441"/>
      <c r="V741" s="441"/>
      <c r="W741" s="441"/>
      <c r="X741" s="441"/>
      <c r="Y741" s="441"/>
      <c r="Z741" s="441"/>
      <c r="AA741" s="441"/>
      <c r="AB741" s="441"/>
      <c r="AC741" s="441"/>
      <c r="AD741" s="441"/>
      <c r="AE741" s="441"/>
      <c r="AF741" s="441"/>
      <c r="AG741" s="441"/>
      <c r="AH741" s="441"/>
      <c r="AI741" s="441"/>
      <c r="AJ741" s="441"/>
      <c r="AK741" s="441"/>
      <c r="AL741" s="441"/>
      <c r="AM741" s="441"/>
      <c r="AN741" s="441"/>
      <c r="AO741" s="441"/>
      <c r="AP741" s="441"/>
      <c r="AQ741" s="441"/>
      <c r="AR741" s="441"/>
      <c r="AS741" s="441"/>
      <c r="AT741" s="441"/>
      <c r="AU741" s="441"/>
      <c r="AV741" s="441"/>
      <c r="AW741" s="441"/>
      <c r="AX741" s="441"/>
      <c r="AY741" s="441"/>
      <c r="AZ741" s="441"/>
      <c r="BA741" s="441"/>
      <c r="BB741" s="441"/>
      <c r="BC741" s="441"/>
      <c r="BD741" s="441"/>
      <c r="BE741" s="441"/>
      <c r="BF741" s="441"/>
    </row>
    <row r="742">
      <c r="A742" s="798"/>
      <c r="B742" s="795"/>
      <c r="C742" s="795"/>
      <c r="D742" s="795"/>
      <c r="E742" s="795"/>
      <c r="F742" s="795"/>
      <c r="G742" s="795"/>
      <c r="H742" s="795"/>
      <c r="I742" s="796"/>
      <c r="J742" s="441"/>
      <c r="K742" s="441"/>
      <c r="L742" s="797"/>
      <c r="M742" s="441"/>
      <c r="N742" s="441"/>
      <c r="O742" s="441"/>
      <c r="P742" s="441"/>
      <c r="Q742" s="441"/>
      <c r="R742" s="426"/>
      <c r="S742" s="441"/>
      <c r="T742" s="441"/>
      <c r="U742" s="441"/>
      <c r="V742" s="441"/>
      <c r="W742" s="441"/>
      <c r="X742" s="441"/>
      <c r="Y742" s="441"/>
      <c r="Z742" s="441"/>
      <c r="AA742" s="441"/>
      <c r="AB742" s="441"/>
      <c r="AC742" s="441"/>
      <c r="AD742" s="441"/>
      <c r="AE742" s="441"/>
      <c r="AF742" s="441"/>
      <c r="AG742" s="441"/>
      <c r="AH742" s="441"/>
      <c r="AI742" s="441"/>
      <c r="AJ742" s="441"/>
      <c r="AK742" s="441"/>
      <c r="AL742" s="441"/>
      <c r="AM742" s="441"/>
      <c r="AN742" s="441"/>
      <c r="AO742" s="441"/>
      <c r="AP742" s="441"/>
      <c r="AQ742" s="441"/>
      <c r="AR742" s="441"/>
      <c r="AS742" s="441"/>
      <c r="AT742" s="441"/>
      <c r="AU742" s="441"/>
      <c r="AV742" s="441"/>
      <c r="AW742" s="441"/>
      <c r="AX742" s="441"/>
      <c r="AY742" s="441"/>
      <c r="AZ742" s="441"/>
      <c r="BA742" s="441"/>
      <c r="BB742" s="441"/>
      <c r="BC742" s="441"/>
      <c r="BD742" s="441"/>
      <c r="BE742" s="441"/>
      <c r="BF742" s="441"/>
    </row>
    <row r="743">
      <c r="A743" s="798"/>
      <c r="B743" s="795"/>
      <c r="C743" s="795"/>
      <c r="D743" s="795"/>
      <c r="E743" s="795"/>
      <c r="F743" s="795"/>
      <c r="G743" s="795"/>
      <c r="H743" s="795"/>
      <c r="I743" s="796"/>
      <c r="J743" s="441"/>
      <c r="K743" s="441"/>
      <c r="L743" s="797"/>
      <c r="M743" s="441"/>
      <c r="N743" s="441"/>
      <c r="O743" s="441"/>
      <c r="P743" s="441"/>
      <c r="Q743" s="441"/>
      <c r="R743" s="426"/>
      <c r="S743" s="441"/>
      <c r="T743" s="441"/>
      <c r="U743" s="441"/>
      <c r="V743" s="441"/>
      <c r="W743" s="441"/>
      <c r="X743" s="441"/>
      <c r="Y743" s="441"/>
      <c r="Z743" s="441"/>
      <c r="AA743" s="441"/>
      <c r="AB743" s="441"/>
      <c r="AC743" s="441"/>
      <c r="AD743" s="441"/>
      <c r="AE743" s="441"/>
      <c r="AF743" s="441"/>
      <c r="AG743" s="441"/>
      <c r="AH743" s="441"/>
      <c r="AI743" s="441"/>
      <c r="AJ743" s="441"/>
      <c r="AK743" s="441"/>
      <c r="AL743" s="441"/>
      <c r="AM743" s="441"/>
      <c r="AN743" s="441"/>
      <c r="AO743" s="441"/>
      <c r="AP743" s="441"/>
      <c r="AQ743" s="441"/>
      <c r="AR743" s="441"/>
      <c r="AS743" s="441"/>
      <c r="AT743" s="441"/>
      <c r="AU743" s="441"/>
      <c r="AV743" s="441"/>
      <c r="AW743" s="441"/>
      <c r="AX743" s="441"/>
      <c r="AY743" s="441"/>
      <c r="AZ743" s="441"/>
      <c r="BA743" s="441"/>
      <c r="BB743" s="441"/>
      <c r="BC743" s="441"/>
      <c r="BD743" s="441"/>
      <c r="BE743" s="441"/>
      <c r="BF743" s="441"/>
    </row>
    <row r="744">
      <c r="A744" s="798"/>
      <c r="B744" s="795"/>
      <c r="C744" s="795"/>
      <c r="D744" s="795"/>
      <c r="E744" s="795"/>
      <c r="F744" s="795"/>
      <c r="G744" s="795"/>
      <c r="H744" s="795"/>
      <c r="I744" s="796"/>
      <c r="J744" s="441"/>
      <c r="K744" s="441"/>
      <c r="L744" s="797"/>
      <c r="M744" s="441"/>
      <c r="N744" s="441"/>
      <c r="O744" s="441"/>
      <c r="P744" s="441"/>
      <c r="Q744" s="441"/>
      <c r="R744" s="426"/>
      <c r="S744" s="441"/>
      <c r="T744" s="441"/>
      <c r="U744" s="441"/>
      <c r="V744" s="441"/>
      <c r="W744" s="441"/>
      <c r="X744" s="441"/>
      <c r="Y744" s="441"/>
      <c r="Z744" s="441"/>
      <c r="AA744" s="441"/>
      <c r="AB744" s="441"/>
      <c r="AC744" s="441"/>
      <c r="AD744" s="441"/>
      <c r="AE744" s="441"/>
      <c r="AF744" s="441"/>
      <c r="AG744" s="441"/>
      <c r="AH744" s="441"/>
      <c r="AI744" s="441"/>
      <c r="AJ744" s="441"/>
      <c r="AK744" s="441"/>
      <c r="AL744" s="441"/>
      <c r="AM744" s="441"/>
      <c r="AN744" s="441"/>
      <c r="AO744" s="441"/>
      <c r="AP744" s="441"/>
      <c r="AQ744" s="441"/>
      <c r="AR744" s="441"/>
      <c r="AS744" s="441"/>
      <c r="AT744" s="441"/>
      <c r="AU744" s="441"/>
      <c r="AV744" s="441"/>
      <c r="AW744" s="441"/>
      <c r="AX744" s="441"/>
      <c r="AY744" s="441"/>
      <c r="AZ744" s="441"/>
      <c r="BA744" s="441"/>
      <c r="BB744" s="441"/>
      <c r="BC744" s="441"/>
      <c r="BD744" s="441"/>
      <c r="BE744" s="441"/>
      <c r="BF744" s="441"/>
    </row>
    <row r="745">
      <c r="A745" s="798"/>
      <c r="B745" s="795"/>
      <c r="C745" s="795"/>
      <c r="D745" s="795"/>
      <c r="E745" s="795"/>
      <c r="F745" s="795"/>
      <c r="G745" s="795"/>
      <c r="H745" s="795"/>
      <c r="I745" s="796"/>
      <c r="J745" s="441"/>
      <c r="K745" s="441"/>
      <c r="L745" s="797"/>
      <c r="M745" s="441"/>
      <c r="N745" s="441"/>
      <c r="O745" s="441"/>
      <c r="P745" s="441"/>
      <c r="Q745" s="441"/>
      <c r="R745" s="426"/>
      <c r="S745" s="441"/>
      <c r="T745" s="441"/>
      <c r="U745" s="441"/>
      <c r="V745" s="441"/>
      <c r="W745" s="441"/>
      <c r="X745" s="441"/>
      <c r="Y745" s="441"/>
      <c r="Z745" s="441"/>
      <c r="AA745" s="441"/>
      <c r="AB745" s="441"/>
      <c r="AC745" s="441"/>
      <c r="AD745" s="441"/>
      <c r="AE745" s="441"/>
      <c r="AF745" s="441"/>
      <c r="AG745" s="441"/>
      <c r="AH745" s="441"/>
      <c r="AI745" s="441"/>
      <c r="AJ745" s="441"/>
      <c r="AK745" s="441"/>
      <c r="AL745" s="441"/>
      <c r="AM745" s="441"/>
      <c r="AN745" s="441"/>
      <c r="AO745" s="441"/>
      <c r="AP745" s="441"/>
      <c r="AQ745" s="441"/>
      <c r="AR745" s="441"/>
      <c r="AS745" s="441"/>
      <c r="AT745" s="441"/>
      <c r="AU745" s="441"/>
      <c r="AV745" s="441"/>
      <c r="AW745" s="441"/>
      <c r="AX745" s="441"/>
      <c r="AY745" s="441"/>
      <c r="AZ745" s="441"/>
      <c r="BA745" s="441"/>
      <c r="BB745" s="441"/>
      <c r="BC745" s="441"/>
      <c r="BD745" s="441"/>
      <c r="BE745" s="441"/>
      <c r="BF745" s="441"/>
    </row>
    <row r="746">
      <c r="A746" s="798"/>
      <c r="B746" s="795"/>
      <c r="C746" s="795"/>
      <c r="D746" s="795"/>
      <c r="E746" s="795"/>
      <c r="F746" s="795"/>
      <c r="G746" s="795"/>
      <c r="H746" s="795"/>
      <c r="I746" s="796"/>
      <c r="J746" s="441"/>
      <c r="K746" s="441"/>
      <c r="L746" s="797"/>
      <c r="M746" s="441"/>
      <c r="N746" s="441"/>
      <c r="O746" s="441"/>
      <c r="P746" s="441"/>
      <c r="Q746" s="441"/>
      <c r="R746" s="426"/>
      <c r="S746" s="441"/>
      <c r="T746" s="441"/>
      <c r="U746" s="441"/>
      <c r="V746" s="441"/>
      <c r="W746" s="441"/>
      <c r="X746" s="441"/>
      <c r="Y746" s="441"/>
      <c r="Z746" s="441"/>
      <c r="AA746" s="441"/>
      <c r="AB746" s="441"/>
      <c r="AC746" s="441"/>
      <c r="AD746" s="441"/>
      <c r="AE746" s="441"/>
      <c r="AF746" s="441"/>
      <c r="AG746" s="441"/>
      <c r="AH746" s="441"/>
      <c r="AI746" s="441"/>
      <c r="AJ746" s="441"/>
      <c r="AK746" s="441"/>
      <c r="AL746" s="441"/>
      <c r="AM746" s="441"/>
      <c r="AN746" s="441"/>
      <c r="AO746" s="441"/>
      <c r="AP746" s="441"/>
      <c r="AQ746" s="441"/>
      <c r="AR746" s="441"/>
      <c r="AS746" s="441"/>
      <c r="AT746" s="441"/>
      <c r="AU746" s="441"/>
      <c r="AV746" s="441"/>
      <c r="AW746" s="441"/>
      <c r="AX746" s="441"/>
      <c r="AY746" s="441"/>
      <c r="AZ746" s="441"/>
      <c r="BA746" s="441"/>
      <c r="BB746" s="441"/>
      <c r="BC746" s="441"/>
      <c r="BD746" s="441"/>
      <c r="BE746" s="441"/>
      <c r="BF746" s="441"/>
    </row>
    <row r="747">
      <c r="A747" s="798"/>
      <c r="B747" s="795"/>
      <c r="C747" s="795"/>
      <c r="D747" s="795"/>
      <c r="E747" s="795"/>
      <c r="F747" s="795"/>
      <c r="G747" s="795"/>
      <c r="H747" s="795"/>
      <c r="I747" s="796"/>
      <c r="J747" s="441"/>
      <c r="K747" s="441"/>
      <c r="L747" s="797"/>
      <c r="M747" s="441"/>
      <c r="N747" s="441"/>
      <c r="O747" s="441"/>
      <c r="P747" s="441"/>
      <c r="Q747" s="441"/>
      <c r="R747" s="426"/>
      <c r="S747" s="441"/>
      <c r="T747" s="441"/>
      <c r="U747" s="441"/>
      <c r="V747" s="441"/>
      <c r="W747" s="441"/>
      <c r="X747" s="441"/>
      <c r="Y747" s="441"/>
      <c r="Z747" s="441"/>
      <c r="AA747" s="441"/>
      <c r="AB747" s="441"/>
      <c r="AC747" s="441"/>
      <c r="AD747" s="441"/>
      <c r="AE747" s="441"/>
      <c r="AF747" s="441"/>
      <c r="AG747" s="441"/>
      <c r="AH747" s="441"/>
      <c r="AI747" s="441"/>
      <c r="AJ747" s="441"/>
      <c r="AK747" s="441"/>
      <c r="AL747" s="441"/>
      <c r="AM747" s="441"/>
      <c r="AN747" s="441"/>
      <c r="AO747" s="441"/>
      <c r="AP747" s="441"/>
      <c r="AQ747" s="441"/>
      <c r="AR747" s="441"/>
      <c r="AS747" s="441"/>
      <c r="AT747" s="441"/>
      <c r="AU747" s="441"/>
      <c r="AV747" s="441"/>
      <c r="AW747" s="441"/>
      <c r="AX747" s="441"/>
      <c r="AY747" s="441"/>
      <c r="AZ747" s="441"/>
      <c r="BA747" s="441"/>
      <c r="BB747" s="441"/>
      <c r="BC747" s="441"/>
      <c r="BD747" s="441"/>
      <c r="BE747" s="441"/>
      <c r="BF747" s="441"/>
    </row>
    <row r="748">
      <c r="A748" s="798"/>
      <c r="B748" s="795"/>
      <c r="C748" s="795"/>
      <c r="D748" s="795"/>
      <c r="E748" s="795"/>
      <c r="F748" s="795"/>
      <c r="G748" s="795"/>
      <c r="H748" s="795"/>
      <c r="I748" s="796"/>
      <c r="J748" s="441"/>
      <c r="K748" s="441"/>
      <c r="L748" s="797"/>
      <c r="M748" s="441"/>
      <c r="N748" s="441"/>
      <c r="O748" s="441"/>
      <c r="P748" s="441"/>
      <c r="Q748" s="441"/>
      <c r="R748" s="426"/>
      <c r="S748" s="441"/>
      <c r="T748" s="441"/>
      <c r="U748" s="441"/>
      <c r="V748" s="441"/>
      <c r="W748" s="441"/>
      <c r="X748" s="441"/>
      <c r="Y748" s="441"/>
      <c r="Z748" s="441"/>
      <c r="AA748" s="441"/>
      <c r="AB748" s="441"/>
      <c r="AC748" s="441"/>
      <c r="AD748" s="441"/>
      <c r="AE748" s="441"/>
      <c r="AF748" s="441"/>
      <c r="AG748" s="441"/>
      <c r="AH748" s="441"/>
      <c r="AI748" s="441"/>
      <c r="AJ748" s="441"/>
      <c r="AK748" s="441"/>
      <c r="AL748" s="441"/>
      <c r="AM748" s="441"/>
      <c r="AN748" s="441"/>
      <c r="AO748" s="441"/>
      <c r="AP748" s="441"/>
      <c r="AQ748" s="441"/>
      <c r="AR748" s="441"/>
      <c r="AS748" s="441"/>
      <c r="AT748" s="441"/>
      <c r="AU748" s="441"/>
      <c r="AV748" s="441"/>
      <c r="AW748" s="441"/>
      <c r="AX748" s="441"/>
      <c r="AY748" s="441"/>
      <c r="AZ748" s="441"/>
      <c r="BA748" s="441"/>
      <c r="BB748" s="441"/>
      <c r="BC748" s="441"/>
      <c r="BD748" s="441"/>
      <c r="BE748" s="441"/>
      <c r="BF748" s="441"/>
    </row>
    <row r="749">
      <c r="A749" s="798"/>
      <c r="B749" s="795"/>
      <c r="C749" s="795"/>
      <c r="D749" s="795"/>
      <c r="E749" s="795"/>
      <c r="F749" s="795"/>
      <c r="G749" s="795"/>
      <c r="H749" s="795"/>
      <c r="I749" s="796"/>
      <c r="J749" s="441"/>
      <c r="K749" s="441"/>
      <c r="L749" s="797"/>
      <c r="M749" s="441"/>
      <c r="N749" s="441"/>
      <c r="O749" s="441"/>
      <c r="P749" s="441"/>
      <c r="Q749" s="441"/>
      <c r="R749" s="426"/>
      <c r="S749" s="441"/>
      <c r="T749" s="441"/>
      <c r="U749" s="441"/>
      <c r="V749" s="441"/>
      <c r="W749" s="441"/>
      <c r="X749" s="441"/>
      <c r="Y749" s="441"/>
      <c r="Z749" s="441"/>
      <c r="AA749" s="441"/>
      <c r="AB749" s="441"/>
      <c r="AC749" s="441"/>
      <c r="AD749" s="441"/>
      <c r="AE749" s="441"/>
      <c r="AF749" s="441"/>
      <c r="AG749" s="441"/>
      <c r="AH749" s="441"/>
      <c r="AI749" s="441"/>
      <c r="AJ749" s="441"/>
      <c r="AK749" s="441"/>
      <c r="AL749" s="441"/>
      <c r="AM749" s="441"/>
      <c r="AN749" s="441"/>
      <c r="AO749" s="441"/>
      <c r="AP749" s="441"/>
      <c r="AQ749" s="441"/>
      <c r="AR749" s="441"/>
      <c r="AS749" s="441"/>
      <c r="AT749" s="441"/>
      <c r="AU749" s="441"/>
      <c r="AV749" s="441"/>
      <c r="AW749" s="441"/>
      <c r="AX749" s="441"/>
      <c r="AY749" s="441"/>
      <c r="AZ749" s="441"/>
      <c r="BA749" s="441"/>
      <c r="BB749" s="441"/>
      <c r="BC749" s="441"/>
      <c r="BD749" s="441"/>
      <c r="BE749" s="441"/>
      <c r="BF749" s="441"/>
    </row>
    <row r="750">
      <c r="A750" s="798"/>
      <c r="B750" s="795"/>
      <c r="C750" s="795"/>
      <c r="D750" s="795"/>
      <c r="E750" s="795"/>
      <c r="F750" s="795"/>
      <c r="G750" s="795"/>
      <c r="H750" s="795"/>
      <c r="I750" s="796"/>
      <c r="J750" s="441"/>
      <c r="K750" s="441"/>
      <c r="L750" s="797"/>
      <c r="M750" s="441"/>
      <c r="N750" s="441"/>
      <c r="O750" s="441"/>
      <c r="P750" s="441"/>
      <c r="Q750" s="441"/>
      <c r="R750" s="426"/>
      <c r="S750" s="441"/>
      <c r="T750" s="441"/>
      <c r="U750" s="441"/>
      <c r="V750" s="441"/>
      <c r="W750" s="441"/>
      <c r="X750" s="441"/>
      <c r="Y750" s="441"/>
      <c r="Z750" s="441"/>
      <c r="AA750" s="441"/>
      <c r="AB750" s="441"/>
      <c r="AC750" s="441"/>
      <c r="AD750" s="441"/>
      <c r="AE750" s="441"/>
      <c r="AF750" s="441"/>
      <c r="AG750" s="441"/>
      <c r="AH750" s="441"/>
      <c r="AI750" s="441"/>
      <c r="AJ750" s="441"/>
      <c r="AK750" s="441"/>
      <c r="AL750" s="441"/>
      <c r="AM750" s="441"/>
      <c r="AN750" s="441"/>
      <c r="AO750" s="441"/>
      <c r="AP750" s="441"/>
      <c r="AQ750" s="441"/>
      <c r="AR750" s="441"/>
      <c r="AS750" s="441"/>
      <c r="AT750" s="441"/>
      <c r="AU750" s="441"/>
      <c r="AV750" s="441"/>
      <c r="AW750" s="441"/>
      <c r="AX750" s="441"/>
      <c r="AY750" s="441"/>
      <c r="AZ750" s="441"/>
      <c r="BA750" s="441"/>
      <c r="BB750" s="441"/>
      <c r="BC750" s="441"/>
      <c r="BD750" s="441"/>
      <c r="BE750" s="441"/>
      <c r="BF750" s="441"/>
    </row>
    <row r="751">
      <c r="A751" s="798"/>
      <c r="B751" s="795"/>
      <c r="C751" s="795"/>
      <c r="D751" s="795"/>
      <c r="E751" s="795"/>
      <c r="F751" s="795"/>
      <c r="G751" s="795"/>
      <c r="H751" s="795"/>
      <c r="I751" s="796"/>
      <c r="J751" s="441"/>
      <c r="K751" s="441"/>
      <c r="L751" s="797"/>
      <c r="M751" s="441"/>
      <c r="N751" s="441"/>
      <c r="O751" s="441"/>
      <c r="P751" s="441"/>
      <c r="Q751" s="441"/>
      <c r="R751" s="426"/>
      <c r="S751" s="441"/>
      <c r="T751" s="441"/>
      <c r="U751" s="441"/>
      <c r="V751" s="441"/>
      <c r="W751" s="441"/>
      <c r="X751" s="441"/>
      <c r="Y751" s="441"/>
      <c r="Z751" s="441"/>
      <c r="AA751" s="441"/>
      <c r="AB751" s="441"/>
      <c r="AC751" s="441"/>
      <c r="AD751" s="441"/>
      <c r="AE751" s="441"/>
      <c r="AF751" s="441"/>
      <c r="AG751" s="441"/>
      <c r="AH751" s="441"/>
      <c r="AI751" s="441"/>
      <c r="AJ751" s="441"/>
      <c r="AK751" s="441"/>
      <c r="AL751" s="441"/>
      <c r="AM751" s="441"/>
      <c r="AN751" s="441"/>
      <c r="AO751" s="441"/>
      <c r="AP751" s="441"/>
      <c r="AQ751" s="441"/>
      <c r="AR751" s="441"/>
      <c r="AS751" s="441"/>
      <c r="AT751" s="441"/>
      <c r="AU751" s="441"/>
      <c r="AV751" s="441"/>
      <c r="AW751" s="441"/>
      <c r="AX751" s="441"/>
      <c r="AY751" s="441"/>
      <c r="AZ751" s="441"/>
      <c r="BA751" s="441"/>
      <c r="BB751" s="441"/>
      <c r="BC751" s="441"/>
      <c r="BD751" s="441"/>
      <c r="BE751" s="441"/>
      <c r="BF751" s="441"/>
    </row>
    <row r="752">
      <c r="A752" s="798"/>
      <c r="B752" s="795"/>
      <c r="C752" s="795"/>
      <c r="D752" s="795"/>
      <c r="E752" s="795"/>
      <c r="F752" s="795"/>
      <c r="G752" s="795"/>
      <c r="H752" s="795"/>
      <c r="I752" s="796"/>
      <c r="J752" s="441"/>
      <c r="K752" s="441"/>
      <c r="L752" s="797"/>
      <c r="M752" s="441"/>
      <c r="N752" s="441"/>
      <c r="O752" s="441"/>
      <c r="P752" s="441"/>
      <c r="Q752" s="441"/>
      <c r="R752" s="426"/>
      <c r="S752" s="441"/>
      <c r="T752" s="441"/>
      <c r="U752" s="441"/>
      <c r="V752" s="441"/>
      <c r="W752" s="441"/>
      <c r="X752" s="441"/>
      <c r="Y752" s="441"/>
      <c r="Z752" s="441"/>
      <c r="AA752" s="441"/>
      <c r="AB752" s="441"/>
      <c r="AC752" s="441"/>
      <c r="AD752" s="441"/>
      <c r="AE752" s="441"/>
      <c r="AF752" s="441"/>
      <c r="AG752" s="441"/>
      <c r="AH752" s="441"/>
      <c r="AI752" s="441"/>
      <c r="AJ752" s="441"/>
      <c r="AK752" s="441"/>
      <c r="AL752" s="441"/>
      <c r="AM752" s="441"/>
      <c r="AN752" s="441"/>
      <c r="AO752" s="441"/>
      <c r="AP752" s="441"/>
      <c r="AQ752" s="441"/>
      <c r="AR752" s="441"/>
      <c r="AS752" s="441"/>
      <c r="AT752" s="441"/>
      <c r="AU752" s="441"/>
      <c r="AV752" s="441"/>
      <c r="AW752" s="441"/>
      <c r="AX752" s="441"/>
      <c r="AY752" s="441"/>
      <c r="AZ752" s="441"/>
      <c r="BA752" s="441"/>
      <c r="BB752" s="441"/>
      <c r="BC752" s="441"/>
      <c r="BD752" s="441"/>
      <c r="BE752" s="441"/>
      <c r="BF752" s="441"/>
    </row>
    <row r="753">
      <c r="A753" s="798"/>
      <c r="B753" s="795"/>
      <c r="C753" s="795"/>
      <c r="D753" s="795"/>
      <c r="E753" s="795"/>
      <c r="F753" s="795"/>
      <c r="G753" s="795"/>
      <c r="H753" s="795"/>
      <c r="I753" s="796"/>
      <c r="J753" s="441"/>
      <c r="K753" s="441"/>
      <c r="L753" s="797"/>
      <c r="M753" s="441"/>
      <c r="N753" s="441"/>
      <c r="O753" s="441"/>
      <c r="P753" s="441"/>
      <c r="Q753" s="441"/>
      <c r="R753" s="426"/>
      <c r="S753" s="441"/>
      <c r="T753" s="441"/>
      <c r="U753" s="441"/>
      <c r="V753" s="441"/>
      <c r="W753" s="441"/>
      <c r="X753" s="441"/>
      <c r="Y753" s="441"/>
      <c r="Z753" s="441"/>
      <c r="AA753" s="441"/>
      <c r="AB753" s="441"/>
      <c r="AC753" s="441"/>
      <c r="AD753" s="441"/>
      <c r="AE753" s="441"/>
      <c r="AF753" s="441"/>
      <c r="AG753" s="441"/>
      <c r="AH753" s="441"/>
      <c r="AI753" s="441"/>
      <c r="AJ753" s="441"/>
      <c r="AK753" s="441"/>
      <c r="AL753" s="441"/>
      <c r="AM753" s="441"/>
      <c r="AN753" s="441"/>
      <c r="AO753" s="441"/>
      <c r="AP753" s="441"/>
      <c r="AQ753" s="441"/>
      <c r="AR753" s="441"/>
      <c r="AS753" s="441"/>
      <c r="AT753" s="441"/>
      <c r="AU753" s="441"/>
      <c r="AV753" s="441"/>
      <c r="AW753" s="441"/>
      <c r="AX753" s="441"/>
      <c r="AY753" s="441"/>
      <c r="AZ753" s="441"/>
      <c r="BA753" s="441"/>
      <c r="BB753" s="441"/>
      <c r="BC753" s="441"/>
      <c r="BD753" s="441"/>
      <c r="BE753" s="441"/>
      <c r="BF753" s="441"/>
    </row>
    <row r="754">
      <c r="A754" s="798"/>
      <c r="B754" s="795"/>
      <c r="C754" s="795"/>
      <c r="D754" s="795"/>
      <c r="E754" s="795"/>
      <c r="F754" s="795"/>
      <c r="G754" s="795"/>
      <c r="H754" s="795"/>
      <c r="I754" s="796"/>
      <c r="J754" s="441"/>
      <c r="K754" s="441"/>
      <c r="L754" s="797"/>
      <c r="M754" s="441"/>
      <c r="N754" s="441"/>
      <c r="O754" s="441"/>
      <c r="P754" s="441"/>
      <c r="Q754" s="441"/>
      <c r="R754" s="426"/>
      <c r="S754" s="441"/>
      <c r="T754" s="441"/>
      <c r="U754" s="441"/>
      <c r="V754" s="441"/>
      <c r="W754" s="441"/>
      <c r="X754" s="441"/>
      <c r="Y754" s="441"/>
      <c r="Z754" s="441"/>
      <c r="AA754" s="441"/>
      <c r="AB754" s="441"/>
      <c r="AC754" s="441"/>
      <c r="AD754" s="441"/>
      <c r="AE754" s="441"/>
      <c r="AF754" s="441"/>
      <c r="AG754" s="441"/>
      <c r="AH754" s="441"/>
      <c r="AI754" s="441"/>
      <c r="AJ754" s="441"/>
      <c r="AK754" s="441"/>
      <c r="AL754" s="441"/>
      <c r="AM754" s="441"/>
      <c r="AN754" s="441"/>
      <c r="AO754" s="441"/>
      <c r="AP754" s="441"/>
      <c r="AQ754" s="441"/>
      <c r="AR754" s="441"/>
      <c r="AS754" s="441"/>
      <c r="AT754" s="441"/>
      <c r="AU754" s="441"/>
      <c r="AV754" s="441"/>
      <c r="AW754" s="441"/>
      <c r="AX754" s="441"/>
      <c r="AY754" s="441"/>
      <c r="AZ754" s="441"/>
      <c r="BA754" s="441"/>
      <c r="BB754" s="441"/>
      <c r="BC754" s="441"/>
      <c r="BD754" s="441"/>
      <c r="BE754" s="441"/>
      <c r="BF754" s="441"/>
    </row>
    <row r="755">
      <c r="A755" s="798"/>
      <c r="B755" s="795"/>
      <c r="C755" s="795"/>
      <c r="D755" s="795"/>
      <c r="E755" s="795"/>
      <c r="F755" s="795"/>
      <c r="G755" s="795"/>
      <c r="H755" s="795"/>
      <c r="I755" s="796"/>
      <c r="J755" s="441"/>
      <c r="K755" s="441"/>
      <c r="L755" s="797"/>
      <c r="M755" s="441"/>
      <c r="N755" s="441"/>
      <c r="O755" s="441"/>
      <c r="P755" s="441"/>
      <c r="Q755" s="441"/>
      <c r="R755" s="426"/>
      <c r="S755" s="441"/>
      <c r="T755" s="441"/>
      <c r="U755" s="441"/>
      <c r="V755" s="441"/>
      <c r="W755" s="441"/>
      <c r="X755" s="441"/>
      <c r="Y755" s="441"/>
      <c r="Z755" s="441"/>
      <c r="AA755" s="441"/>
      <c r="AB755" s="441"/>
      <c r="AC755" s="441"/>
      <c r="AD755" s="441"/>
      <c r="AE755" s="441"/>
      <c r="AF755" s="441"/>
      <c r="AG755" s="441"/>
      <c r="AH755" s="441"/>
      <c r="AI755" s="441"/>
      <c r="AJ755" s="441"/>
      <c r="AK755" s="441"/>
      <c r="AL755" s="441"/>
      <c r="AM755" s="441"/>
      <c r="AN755" s="441"/>
      <c r="AO755" s="441"/>
      <c r="AP755" s="441"/>
      <c r="AQ755" s="441"/>
      <c r="AR755" s="441"/>
      <c r="AS755" s="441"/>
      <c r="AT755" s="441"/>
      <c r="AU755" s="441"/>
      <c r="AV755" s="441"/>
      <c r="AW755" s="441"/>
      <c r="AX755" s="441"/>
      <c r="AY755" s="441"/>
      <c r="AZ755" s="441"/>
      <c r="BA755" s="441"/>
      <c r="BB755" s="441"/>
      <c r="BC755" s="441"/>
      <c r="BD755" s="441"/>
      <c r="BE755" s="441"/>
      <c r="BF755" s="441"/>
    </row>
    <row r="756">
      <c r="A756" s="798"/>
      <c r="B756" s="795"/>
      <c r="C756" s="795"/>
      <c r="D756" s="795"/>
      <c r="E756" s="795"/>
      <c r="F756" s="795"/>
      <c r="G756" s="795"/>
      <c r="H756" s="795"/>
      <c r="I756" s="796"/>
      <c r="J756" s="441"/>
      <c r="K756" s="441"/>
      <c r="L756" s="797"/>
      <c r="M756" s="441"/>
      <c r="N756" s="441"/>
      <c r="O756" s="441"/>
      <c r="P756" s="441"/>
      <c r="Q756" s="441"/>
      <c r="R756" s="426"/>
      <c r="S756" s="441"/>
      <c r="T756" s="441"/>
      <c r="U756" s="441"/>
      <c r="V756" s="441"/>
      <c r="W756" s="441"/>
      <c r="X756" s="441"/>
      <c r="Y756" s="441"/>
      <c r="Z756" s="441"/>
      <c r="AA756" s="441"/>
      <c r="AB756" s="441"/>
      <c r="AC756" s="441"/>
      <c r="AD756" s="441"/>
      <c r="AE756" s="441"/>
      <c r="AF756" s="441"/>
      <c r="AG756" s="441"/>
      <c r="AH756" s="441"/>
      <c r="AI756" s="441"/>
      <c r="AJ756" s="441"/>
      <c r="AK756" s="441"/>
      <c r="AL756" s="441"/>
      <c r="AM756" s="441"/>
      <c r="AN756" s="441"/>
      <c r="AO756" s="441"/>
      <c r="AP756" s="441"/>
      <c r="AQ756" s="441"/>
      <c r="AR756" s="441"/>
      <c r="AS756" s="441"/>
      <c r="AT756" s="441"/>
      <c r="AU756" s="441"/>
      <c r="AV756" s="441"/>
      <c r="AW756" s="441"/>
      <c r="AX756" s="441"/>
      <c r="AY756" s="441"/>
      <c r="AZ756" s="441"/>
      <c r="BA756" s="441"/>
      <c r="BB756" s="441"/>
      <c r="BC756" s="441"/>
      <c r="BD756" s="441"/>
      <c r="BE756" s="441"/>
      <c r="BF756" s="441"/>
    </row>
    <row r="757">
      <c r="A757" s="798"/>
      <c r="B757" s="795"/>
      <c r="C757" s="795"/>
      <c r="D757" s="795"/>
      <c r="E757" s="795"/>
      <c r="F757" s="795"/>
      <c r="G757" s="795"/>
      <c r="H757" s="795"/>
      <c r="I757" s="796"/>
      <c r="J757" s="441"/>
      <c r="K757" s="441"/>
      <c r="L757" s="797"/>
      <c r="M757" s="441"/>
      <c r="N757" s="441"/>
      <c r="O757" s="441"/>
      <c r="P757" s="441"/>
      <c r="Q757" s="441"/>
      <c r="R757" s="426"/>
      <c r="S757" s="441"/>
      <c r="T757" s="441"/>
      <c r="U757" s="441"/>
      <c r="V757" s="441"/>
      <c r="W757" s="441"/>
      <c r="X757" s="441"/>
      <c r="Y757" s="441"/>
      <c r="Z757" s="441"/>
      <c r="AA757" s="441"/>
      <c r="AB757" s="441"/>
      <c r="AC757" s="441"/>
      <c r="AD757" s="441"/>
      <c r="AE757" s="441"/>
      <c r="AF757" s="441"/>
      <c r="AG757" s="441"/>
      <c r="AH757" s="441"/>
      <c r="AI757" s="441"/>
      <c r="AJ757" s="441"/>
      <c r="AK757" s="441"/>
      <c r="AL757" s="441"/>
      <c r="AM757" s="441"/>
      <c r="AN757" s="441"/>
      <c r="AO757" s="441"/>
      <c r="AP757" s="441"/>
      <c r="AQ757" s="441"/>
      <c r="AR757" s="441"/>
      <c r="AS757" s="441"/>
      <c r="AT757" s="441"/>
      <c r="AU757" s="441"/>
      <c r="AV757" s="441"/>
      <c r="AW757" s="441"/>
      <c r="AX757" s="441"/>
      <c r="AY757" s="441"/>
      <c r="AZ757" s="441"/>
      <c r="BA757" s="441"/>
      <c r="BB757" s="441"/>
      <c r="BC757" s="441"/>
      <c r="BD757" s="441"/>
      <c r="BE757" s="441"/>
      <c r="BF757" s="441"/>
    </row>
    <row r="758">
      <c r="A758" s="798"/>
      <c r="B758" s="795"/>
      <c r="C758" s="795"/>
      <c r="D758" s="795"/>
      <c r="E758" s="795"/>
      <c r="F758" s="795"/>
      <c r="G758" s="795"/>
      <c r="H758" s="795"/>
      <c r="I758" s="796"/>
      <c r="J758" s="441"/>
      <c r="K758" s="441"/>
      <c r="L758" s="797"/>
      <c r="M758" s="441"/>
      <c r="N758" s="441"/>
      <c r="O758" s="441"/>
      <c r="P758" s="441"/>
      <c r="Q758" s="441"/>
      <c r="R758" s="426"/>
      <c r="S758" s="441"/>
      <c r="T758" s="441"/>
      <c r="U758" s="441"/>
      <c r="V758" s="441"/>
      <c r="W758" s="441"/>
      <c r="X758" s="441"/>
      <c r="Y758" s="441"/>
      <c r="Z758" s="441"/>
      <c r="AA758" s="441"/>
      <c r="AB758" s="441"/>
      <c r="AC758" s="441"/>
      <c r="AD758" s="441"/>
      <c r="AE758" s="441"/>
      <c r="AF758" s="441"/>
      <c r="AG758" s="441"/>
      <c r="AH758" s="441"/>
      <c r="AI758" s="441"/>
      <c r="AJ758" s="441"/>
      <c r="AK758" s="441"/>
      <c r="AL758" s="441"/>
      <c r="AM758" s="441"/>
      <c r="AN758" s="441"/>
      <c r="AO758" s="441"/>
      <c r="AP758" s="441"/>
      <c r="AQ758" s="441"/>
      <c r="AR758" s="441"/>
      <c r="AS758" s="441"/>
      <c r="AT758" s="441"/>
      <c r="AU758" s="441"/>
      <c r="AV758" s="441"/>
      <c r="AW758" s="441"/>
      <c r="AX758" s="441"/>
      <c r="AY758" s="441"/>
      <c r="AZ758" s="441"/>
      <c r="BA758" s="441"/>
      <c r="BB758" s="441"/>
      <c r="BC758" s="441"/>
      <c r="BD758" s="441"/>
      <c r="BE758" s="441"/>
      <c r="BF758" s="441"/>
    </row>
    <row r="759">
      <c r="A759" s="798"/>
      <c r="B759" s="795"/>
      <c r="C759" s="795"/>
      <c r="D759" s="795"/>
      <c r="E759" s="795"/>
      <c r="F759" s="795"/>
      <c r="G759" s="795"/>
      <c r="H759" s="795"/>
      <c r="I759" s="796"/>
      <c r="J759" s="441"/>
      <c r="K759" s="441"/>
      <c r="L759" s="797"/>
      <c r="M759" s="441"/>
      <c r="N759" s="441"/>
      <c r="O759" s="441"/>
      <c r="P759" s="441"/>
      <c r="Q759" s="441"/>
      <c r="R759" s="426"/>
      <c r="S759" s="441"/>
      <c r="T759" s="441"/>
      <c r="U759" s="441"/>
      <c r="V759" s="441"/>
      <c r="W759" s="441"/>
      <c r="X759" s="441"/>
      <c r="Y759" s="441"/>
      <c r="Z759" s="441"/>
      <c r="AA759" s="441"/>
      <c r="AB759" s="441"/>
      <c r="AC759" s="441"/>
      <c r="AD759" s="441"/>
      <c r="AE759" s="441"/>
      <c r="AF759" s="441"/>
      <c r="AG759" s="441"/>
      <c r="AH759" s="441"/>
      <c r="AI759" s="441"/>
      <c r="AJ759" s="441"/>
      <c r="AK759" s="441"/>
      <c r="AL759" s="441"/>
      <c r="AM759" s="441"/>
      <c r="AN759" s="441"/>
      <c r="AO759" s="441"/>
      <c r="AP759" s="441"/>
      <c r="AQ759" s="441"/>
      <c r="AR759" s="441"/>
      <c r="AS759" s="441"/>
      <c r="AT759" s="441"/>
      <c r="AU759" s="441"/>
      <c r="AV759" s="441"/>
      <c r="AW759" s="441"/>
      <c r="AX759" s="441"/>
      <c r="AY759" s="441"/>
      <c r="AZ759" s="441"/>
      <c r="BA759" s="441"/>
      <c r="BB759" s="441"/>
      <c r="BC759" s="441"/>
      <c r="BD759" s="441"/>
      <c r="BE759" s="441"/>
      <c r="BF759" s="441"/>
    </row>
    <row r="760">
      <c r="A760" s="798"/>
      <c r="B760" s="795"/>
      <c r="C760" s="795"/>
      <c r="D760" s="795"/>
      <c r="E760" s="795"/>
      <c r="F760" s="795"/>
      <c r="G760" s="795"/>
      <c r="H760" s="795"/>
      <c r="I760" s="796"/>
      <c r="J760" s="441"/>
      <c r="K760" s="441"/>
      <c r="L760" s="797"/>
      <c r="M760" s="441"/>
      <c r="N760" s="441"/>
      <c r="O760" s="441"/>
      <c r="P760" s="441"/>
      <c r="Q760" s="441"/>
      <c r="R760" s="426"/>
      <c r="S760" s="441"/>
      <c r="T760" s="441"/>
      <c r="U760" s="441"/>
      <c r="V760" s="441"/>
      <c r="W760" s="441"/>
      <c r="X760" s="441"/>
      <c r="Y760" s="441"/>
      <c r="Z760" s="441"/>
      <c r="AA760" s="441"/>
      <c r="AB760" s="441"/>
      <c r="AC760" s="441"/>
      <c r="AD760" s="441"/>
      <c r="AE760" s="441"/>
      <c r="AF760" s="441"/>
      <c r="AG760" s="441"/>
      <c r="AH760" s="441"/>
      <c r="AI760" s="441"/>
      <c r="AJ760" s="441"/>
      <c r="AK760" s="441"/>
      <c r="AL760" s="441"/>
      <c r="AM760" s="441"/>
      <c r="AN760" s="441"/>
      <c r="AO760" s="441"/>
      <c r="AP760" s="441"/>
      <c r="AQ760" s="441"/>
      <c r="AR760" s="441"/>
      <c r="AS760" s="441"/>
      <c r="AT760" s="441"/>
      <c r="AU760" s="441"/>
      <c r="AV760" s="441"/>
      <c r="AW760" s="441"/>
      <c r="AX760" s="441"/>
      <c r="AY760" s="441"/>
      <c r="AZ760" s="441"/>
      <c r="BA760" s="441"/>
      <c r="BB760" s="441"/>
      <c r="BC760" s="441"/>
      <c r="BD760" s="441"/>
      <c r="BE760" s="441"/>
      <c r="BF760" s="441"/>
    </row>
    <row r="761">
      <c r="A761" s="798"/>
      <c r="B761" s="795"/>
      <c r="C761" s="795"/>
      <c r="D761" s="795"/>
      <c r="E761" s="795"/>
      <c r="F761" s="795"/>
      <c r="G761" s="795"/>
      <c r="H761" s="795"/>
      <c r="I761" s="796"/>
      <c r="J761" s="441"/>
      <c r="K761" s="441"/>
      <c r="L761" s="797"/>
      <c r="M761" s="441"/>
      <c r="N761" s="441"/>
      <c r="O761" s="441"/>
      <c r="P761" s="441"/>
      <c r="Q761" s="441"/>
      <c r="R761" s="426"/>
      <c r="S761" s="441"/>
      <c r="T761" s="441"/>
      <c r="U761" s="441"/>
      <c r="V761" s="441"/>
      <c r="W761" s="441"/>
      <c r="X761" s="441"/>
      <c r="Y761" s="441"/>
      <c r="Z761" s="441"/>
      <c r="AA761" s="441"/>
      <c r="AB761" s="441"/>
      <c r="AC761" s="441"/>
      <c r="AD761" s="441"/>
      <c r="AE761" s="441"/>
      <c r="AF761" s="441"/>
      <c r="AG761" s="441"/>
      <c r="AH761" s="441"/>
      <c r="AI761" s="441"/>
      <c r="AJ761" s="441"/>
      <c r="AK761" s="441"/>
      <c r="AL761" s="441"/>
      <c r="AM761" s="441"/>
      <c r="AN761" s="441"/>
      <c r="AO761" s="441"/>
      <c r="AP761" s="441"/>
      <c r="AQ761" s="441"/>
      <c r="AR761" s="441"/>
      <c r="AS761" s="441"/>
      <c r="AT761" s="441"/>
      <c r="AU761" s="441"/>
      <c r="AV761" s="441"/>
      <c r="AW761" s="441"/>
      <c r="AX761" s="441"/>
      <c r="AY761" s="441"/>
      <c r="AZ761" s="441"/>
      <c r="BA761" s="441"/>
      <c r="BB761" s="441"/>
      <c r="BC761" s="441"/>
      <c r="BD761" s="441"/>
      <c r="BE761" s="441"/>
      <c r="BF761" s="441"/>
    </row>
    <row r="762">
      <c r="A762" s="798"/>
      <c r="B762" s="795"/>
      <c r="C762" s="795"/>
      <c r="D762" s="795"/>
      <c r="E762" s="795"/>
      <c r="F762" s="795"/>
      <c r="G762" s="795"/>
      <c r="H762" s="795"/>
      <c r="I762" s="796"/>
      <c r="J762" s="441"/>
      <c r="K762" s="441"/>
      <c r="L762" s="797"/>
      <c r="M762" s="441"/>
      <c r="N762" s="441"/>
      <c r="O762" s="441"/>
      <c r="P762" s="441"/>
      <c r="Q762" s="441"/>
      <c r="R762" s="426"/>
      <c r="S762" s="441"/>
      <c r="T762" s="441"/>
      <c r="U762" s="441"/>
      <c r="V762" s="441"/>
      <c r="W762" s="441"/>
      <c r="X762" s="441"/>
      <c r="Y762" s="441"/>
      <c r="Z762" s="441"/>
      <c r="AA762" s="441"/>
      <c r="AB762" s="441"/>
      <c r="AC762" s="441"/>
      <c r="AD762" s="441"/>
      <c r="AE762" s="441"/>
      <c r="AF762" s="441"/>
      <c r="AG762" s="441"/>
      <c r="AH762" s="441"/>
      <c r="AI762" s="441"/>
      <c r="AJ762" s="441"/>
      <c r="AK762" s="441"/>
      <c r="AL762" s="441"/>
      <c r="AM762" s="441"/>
      <c r="AN762" s="441"/>
      <c r="AO762" s="441"/>
      <c r="AP762" s="441"/>
      <c r="AQ762" s="441"/>
      <c r="AR762" s="441"/>
      <c r="AS762" s="441"/>
      <c r="AT762" s="441"/>
      <c r="AU762" s="441"/>
      <c r="AV762" s="441"/>
      <c r="AW762" s="441"/>
      <c r="AX762" s="441"/>
      <c r="AY762" s="441"/>
      <c r="AZ762" s="441"/>
      <c r="BA762" s="441"/>
      <c r="BB762" s="441"/>
      <c r="BC762" s="441"/>
      <c r="BD762" s="441"/>
      <c r="BE762" s="441"/>
      <c r="BF762" s="441"/>
    </row>
    <row r="763">
      <c r="A763" s="798"/>
      <c r="B763" s="795"/>
      <c r="C763" s="795"/>
      <c r="D763" s="795"/>
      <c r="E763" s="795"/>
      <c r="F763" s="795"/>
      <c r="G763" s="795"/>
      <c r="H763" s="795"/>
      <c r="I763" s="796"/>
      <c r="J763" s="441"/>
      <c r="K763" s="441"/>
      <c r="L763" s="797"/>
      <c r="M763" s="441"/>
      <c r="N763" s="441"/>
      <c r="O763" s="441"/>
      <c r="P763" s="441"/>
      <c r="Q763" s="441"/>
      <c r="R763" s="426"/>
      <c r="S763" s="441"/>
      <c r="T763" s="441"/>
      <c r="U763" s="441"/>
      <c r="V763" s="441"/>
      <c r="W763" s="441"/>
      <c r="X763" s="441"/>
      <c r="Y763" s="441"/>
      <c r="Z763" s="441"/>
      <c r="AA763" s="441"/>
      <c r="AB763" s="441"/>
      <c r="AC763" s="441"/>
      <c r="AD763" s="441"/>
      <c r="AE763" s="441"/>
      <c r="AF763" s="441"/>
      <c r="AG763" s="441"/>
      <c r="AH763" s="441"/>
      <c r="AI763" s="441"/>
      <c r="AJ763" s="441"/>
      <c r="AK763" s="441"/>
      <c r="AL763" s="441"/>
      <c r="AM763" s="441"/>
      <c r="AN763" s="441"/>
      <c r="AO763" s="441"/>
      <c r="AP763" s="441"/>
      <c r="AQ763" s="441"/>
      <c r="AR763" s="441"/>
      <c r="AS763" s="441"/>
      <c r="AT763" s="441"/>
      <c r="AU763" s="441"/>
      <c r="AV763" s="441"/>
      <c r="AW763" s="441"/>
      <c r="AX763" s="441"/>
      <c r="AY763" s="441"/>
      <c r="AZ763" s="441"/>
      <c r="BA763" s="441"/>
      <c r="BB763" s="441"/>
      <c r="BC763" s="441"/>
      <c r="BD763" s="441"/>
      <c r="BE763" s="441"/>
      <c r="BF763" s="441"/>
    </row>
    <row r="764">
      <c r="A764" s="798"/>
      <c r="B764" s="795"/>
      <c r="C764" s="795"/>
      <c r="D764" s="795"/>
      <c r="E764" s="795"/>
      <c r="F764" s="795"/>
      <c r="G764" s="795"/>
      <c r="H764" s="795"/>
      <c r="I764" s="796"/>
      <c r="J764" s="441"/>
      <c r="K764" s="441"/>
      <c r="L764" s="797"/>
      <c r="M764" s="441"/>
      <c r="N764" s="441"/>
      <c r="O764" s="441"/>
      <c r="P764" s="441"/>
      <c r="Q764" s="441"/>
      <c r="R764" s="426"/>
      <c r="S764" s="441"/>
      <c r="T764" s="441"/>
      <c r="U764" s="441"/>
      <c r="V764" s="441"/>
      <c r="W764" s="441"/>
      <c r="X764" s="441"/>
      <c r="Y764" s="441"/>
      <c r="Z764" s="441"/>
      <c r="AA764" s="441"/>
      <c r="AB764" s="441"/>
      <c r="AC764" s="441"/>
      <c r="AD764" s="441"/>
      <c r="AE764" s="441"/>
      <c r="AF764" s="441"/>
      <c r="AG764" s="441"/>
      <c r="AH764" s="441"/>
      <c r="AI764" s="441"/>
      <c r="AJ764" s="441"/>
      <c r="AK764" s="441"/>
      <c r="AL764" s="441"/>
      <c r="AM764" s="441"/>
      <c r="AN764" s="441"/>
      <c r="AO764" s="441"/>
      <c r="AP764" s="441"/>
      <c r="AQ764" s="441"/>
      <c r="AR764" s="441"/>
      <c r="AS764" s="441"/>
      <c r="AT764" s="441"/>
      <c r="AU764" s="441"/>
      <c r="AV764" s="441"/>
      <c r="AW764" s="441"/>
      <c r="AX764" s="441"/>
      <c r="AY764" s="441"/>
      <c r="AZ764" s="441"/>
      <c r="BA764" s="441"/>
      <c r="BB764" s="441"/>
      <c r="BC764" s="441"/>
      <c r="BD764" s="441"/>
      <c r="BE764" s="441"/>
      <c r="BF764" s="441"/>
    </row>
    <row r="765">
      <c r="A765" s="798"/>
      <c r="B765" s="795"/>
      <c r="C765" s="795"/>
      <c r="D765" s="795"/>
      <c r="E765" s="795"/>
      <c r="F765" s="795"/>
      <c r="G765" s="795"/>
      <c r="H765" s="795"/>
      <c r="I765" s="796"/>
      <c r="J765" s="441"/>
      <c r="K765" s="441"/>
      <c r="L765" s="797"/>
      <c r="M765" s="441"/>
      <c r="N765" s="441"/>
      <c r="O765" s="441"/>
      <c r="P765" s="441"/>
      <c r="Q765" s="441"/>
      <c r="R765" s="426"/>
      <c r="S765" s="441"/>
      <c r="T765" s="441"/>
      <c r="U765" s="441"/>
      <c r="V765" s="441"/>
      <c r="W765" s="441"/>
      <c r="X765" s="441"/>
      <c r="Y765" s="441"/>
      <c r="Z765" s="441"/>
      <c r="AA765" s="441"/>
      <c r="AB765" s="441"/>
      <c r="AC765" s="441"/>
      <c r="AD765" s="441"/>
      <c r="AE765" s="441"/>
      <c r="AF765" s="441"/>
      <c r="AG765" s="441"/>
      <c r="AH765" s="441"/>
      <c r="AI765" s="441"/>
      <c r="AJ765" s="441"/>
      <c r="AK765" s="441"/>
      <c r="AL765" s="441"/>
      <c r="AM765" s="441"/>
      <c r="AN765" s="441"/>
      <c r="AO765" s="441"/>
      <c r="AP765" s="441"/>
      <c r="AQ765" s="441"/>
      <c r="AR765" s="441"/>
      <c r="AS765" s="441"/>
      <c r="AT765" s="441"/>
      <c r="AU765" s="441"/>
      <c r="AV765" s="441"/>
      <c r="AW765" s="441"/>
      <c r="AX765" s="441"/>
      <c r="AY765" s="441"/>
      <c r="AZ765" s="441"/>
      <c r="BA765" s="441"/>
      <c r="BB765" s="441"/>
      <c r="BC765" s="441"/>
      <c r="BD765" s="441"/>
      <c r="BE765" s="441"/>
      <c r="BF765" s="441"/>
    </row>
    <row r="766">
      <c r="A766" s="798"/>
      <c r="B766" s="795"/>
      <c r="C766" s="795"/>
      <c r="D766" s="795"/>
      <c r="E766" s="795"/>
      <c r="F766" s="795"/>
      <c r="G766" s="795"/>
      <c r="H766" s="795"/>
      <c r="I766" s="796"/>
      <c r="J766" s="441"/>
      <c r="K766" s="441"/>
      <c r="L766" s="797"/>
      <c r="M766" s="441"/>
      <c r="N766" s="441"/>
      <c r="O766" s="441"/>
      <c r="P766" s="441"/>
      <c r="Q766" s="441"/>
      <c r="R766" s="426"/>
      <c r="S766" s="441"/>
      <c r="T766" s="441"/>
      <c r="U766" s="441"/>
      <c r="V766" s="441"/>
      <c r="W766" s="441"/>
      <c r="X766" s="441"/>
      <c r="Y766" s="441"/>
      <c r="Z766" s="441"/>
      <c r="AA766" s="441"/>
      <c r="AB766" s="441"/>
      <c r="AC766" s="441"/>
      <c r="AD766" s="441"/>
      <c r="AE766" s="441"/>
      <c r="AF766" s="441"/>
      <c r="AG766" s="441"/>
      <c r="AH766" s="441"/>
      <c r="AI766" s="441"/>
      <c r="AJ766" s="441"/>
      <c r="AK766" s="441"/>
      <c r="AL766" s="441"/>
      <c r="AM766" s="441"/>
      <c r="AN766" s="441"/>
      <c r="AO766" s="441"/>
      <c r="AP766" s="441"/>
      <c r="AQ766" s="441"/>
      <c r="AR766" s="441"/>
      <c r="AS766" s="441"/>
      <c r="AT766" s="441"/>
      <c r="AU766" s="441"/>
      <c r="AV766" s="441"/>
      <c r="AW766" s="441"/>
      <c r="AX766" s="441"/>
      <c r="AY766" s="441"/>
      <c r="AZ766" s="441"/>
      <c r="BA766" s="441"/>
      <c r="BB766" s="441"/>
      <c r="BC766" s="441"/>
      <c r="BD766" s="441"/>
      <c r="BE766" s="441"/>
      <c r="BF766" s="441"/>
    </row>
    <row r="767">
      <c r="A767" s="798"/>
      <c r="B767" s="795"/>
      <c r="C767" s="795"/>
      <c r="D767" s="795"/>
      <c r="E767" s="795"/>
      <c r="F767" s="795"/>
      <c r="G767" s="795"/>
      <c r="H767" s="795"/>
      <c r="I767" s="796"/>
      <c r="J767" s="441"/>
      <c r="K767" s="441"/>
      <c r="L767" s="797"/>
      <c r="M767" s="441"/>
      <c r="N767" s="441"/>
      <c r="O767" s="441"/>
      <c r="P767" s="441"/>
      <c r="Q767" s="441"/>
      <c r="R767" s="426"/>
      <c r="S767" s="441"/>
      <c r="T767" s="441"/>
      <c r="U767" s="441"/>
      <c r="V767" s="441"/>
      <c r="W767" s="441"/>
      <c r="X767" s="441"/>
      <c r="Y767" s="441"/>
      <c r="Z767" s="441"/>
      <c r="AA767" s="441"/>
      <c r="AB767" s="441"/>
      <c r="AC767" s="441"/>
      <c r="AD767" s="441"/>
      <c r="AE767" s="441"/>
      <c r="AF767" s="441"/>
      <c r="AG767" s="441"/>
      <c r="AH767" s="441"/>
      <c r="AI767" s="441"/>
      <c r="AJ767" s="441"/>
      <c r="AK767" s="441"/>
      <c r="AL767" s="441"/>
      <c r="AM767" s="441"/>
      <c r="AN767" s="441"/>
      <c r="AO767" s="441"/>
      <c r="AP767" s="441"/>
      <c r="AQ767" s="441"/>
      <c r="AR767" s="441"/>
      <c r="AS767" s="441"/>
      <c r="AT767" s="441"/>
      <c r="AU767" s="441"/>
      <c r="AV767" s="441"/>
      <c r="AW767" s="441"/>
      <c r="AX767" s="441"/>
      <c r="AY767" s="441"/>
      <c r="AZ767" s="441"/>
      <c r="BA767" s="441"/>
      <c r="BB767" s="441"/>
      <c r="BC767" s="441"/>
      <c r="BD767" s="441"/>
      <c r="BE767" s="441"/>
      <c r="BF767" s="441"/>
    </row>
    <row r="768">
      <c r="A768" s="798"/>
      <c r="B768" s="795"/>
      <c r="C768" s="795"/>
      <c r="D768" s="795"/>
      <c r="E768" s="795"/>
      <c r="F768" s="795"/>
      <c r="G768" s="795"/>
      <c r="H768" s="795"/>
      <c r="I768" s="796"/>
      <c r="J768" s="441"/>
      <c r="K768" s="441"/>
      <c r="L768" s="797"/>
      <c r="M768" s="441"/>
      <c r="N768" s="441"/>
      <c r="O768" s="441"/>
      <c r="P768" s="441"/>
      <c r="Q768" s="441"/>
      <c r="R768" s="426"/>
      <c r="S768" s="441"/>
      <c r="T768" s="441"/>
      <c r="U768" s="441"/>
      <c r="V768" s="441"/>
      <c r="W768" s="441"/>
      <c r="X768" s="441"/>
      <c r="Y768" s="441"/>
      <c r="Z768" s="441"/>
      <c r="AA768" s="441"/>
      <c r="AB768" s="441"/>
      <c r="AC768" s="441"/>
      <c r="AD768" s="441"/>
      <c r="AE768" s="441"/>
      <c r="AF768" s="441"/>
      <c r="AG768" s="441"/>
      <c r="AH768" s="441"/>
      <c r="AI768" s="441"/>
      <c r="AJ768" s="441"/>
      <c r="AK768" s="441"/>
      <c r="AL768" s="441"/>
      <c r="AM768" s="441"/>
      <c r="AN768" s="441"/>
      <c r="AO768" s="441"/>
      <c r="AP768" s="441"/>
      <c r="AQ768" s="441"/>
      <c r="AR768" s="441"/>
      <c r="AS768" s="441"/>
      <c r="AT768" s="441"/>
      <c r="AU768" s="441"/>
      <c r="AV768" s="441"/>
      <c r="AW768" s="441"/>
      <c r="AX768" s="441"/>
      <c r="AY768" s="441"/>
      <c r="AZ768" s="441"/>
      <c r="BA768" s="441"/>
      <c r="BB768" s="441"/>
      <c r="BC768" s="441"/>
      <c r="BD768" s="441"/>
      <c r="BE768" s="441"/>
      <c r="BF768" s="441"/>
    </row>
    <row r="769">
      <c r="A769" s="798"/>
      <c r="B769" s="795"/>
      <c r="C769" s="795"/>
      <c r="D769" s="795"/>
      <c r="E769" s="795"/>
      <c r="F769" s="795"/>
      <c r="G769" s="795"/>
      <c r="H769" s="795"/>
      <c r="I769" s="796"/>
      <c r="J769" s="441"/>
      <c r="K769" s="441"/>
      <c r="L769" s="797"/>
      <c r="M769" s="441"/>
      <c r="N769" s="441"/>
      <c r="O769" s="441"/>
      <c r="P769" s="441"/>
      <c r="Q769" s="441"/>
      <c r="R769" s="426"/>
      <c r="S769" s="441"/>
      <c r="T769" s="441"/>
      <c r="U769" s="441"/>
      <c r="V769" s="441"/>
      <c r="W769" s="441"/>
      <c r="X769" s="441"/>
      <c r="Y769" s="441"/>
      <c r="Z769" s="441"/>
      <c r="AA769" s="441"/>
      <c r="AB769" s="441"/>
      <c r="AC769" s="441"/>
      <c r="AD769" s="441"/>
      <c r="AE769" s="441"/>
      <c r="AF769" s="441"/>
      <c r="AG769" s="441"/>
      <c r="AH769" s="441"/>
      <c r="AI769" s="441"/>
      <c r="AJ769" s="441"/>
      <c r="AK769" s="441"/>
      <c r="AL769" s="441"/>
      <c r="AM769" s="441"/>
      <c r="AN769" s="441"/>
      <c r="AO769" s="441"/>
      <c r="AP769" s="441"/>
      <c r="AQ769" s="441"/>
      <c r="AR769" s="441"/>
      <c r="AS769" s="441"/>
      <c r="AT769" s="441"/>
      <c r="AU769" s="441"/>
      <c r="AV769" s="441"/>
      <c r="AW769" s="441"/>
      <c r="AX769" s="441"/>
      <c r="AY769" s="441"/>
      <c r="AZ769" s="441"/>
      <c r="BA769" s="441"/>
      <c r="BB769" s="441"/>
      <c r="BC769" s="441"/>
      <c r="BD769" s="441"/>
      <c r="BE769" s="441"/>
      <c r="BF769" s="441"/>
    </row>
    <row r="770">
      <c r="A770" s="798"/>
      <c r="B770" s="795"/>
      <c r="C770" s="795"/>
      <c r="D770" s="795"/>
      <c r="E770" s="795"/>
      <c r="F770" s="795"/>
      <c r="G770" s="795"/>
      <c r="H770" s="795"/>
      <c r="I770" s="796"/>
      <c r="J770" s="441"/>
      <c r="K770" s="441"/>
      <c r="L770" s="797"/>
      <c r="M770" s="441"/>
      <c r="N770" s="441"/>
      <c r="O770" s="441"/>
      <c r="P770" s="441"/>
      <c r="Q770" s="441"/>
      <c r="R770" s="426"/>
      <c r="S770" s="441"/>
      <c r="T770" s="441"/>
      <c r="U770" s="441"/>
      <c r="V770" s="441"/>
      <c r="W770" s="441"/>
      <c r="X770" s="441"/>
      <c r="Y770" s="441"/>
      <c r="Z770" s="441"/>
      <c r="AA770" s="441"/>
      <c r="AB770" s="441"/>
      <c r="AC770" s="441"/>
      <c r="AD770" s="441"/>
      <c r="AE770" s="441"/>
      <c r="AF770" s="441"/>
      <c r="AG770" s="441"/>
      <c r="AH770" s="441"/>
      <c r="AI770" s="441"/>
      <c r="AJ770" s="441"/>
      <c r="AK770" s="441"/>
      <c r="AL770" s="441"/>
      <c r="AM770" s="441"/>
      <c r="AN770" s="441"/>
      <c r="AO770" s="441"/>
      <c r="AP770" s="441"/>
      <c r="AQ770" s="441"/>
      <c r="AR770" s="441"/>
      <c r="AS770" s="441"/>
      <c r="AT770" s="441"/>
      <c r="AU770" s="441"/>
      <c r="AV770" s="441"/>
      <c r="AW770" s="441"/>
      <c r="AX770" s="441"/>
      <c r="AY770" s="441"/>
      <c r="AZ770" s="441"/>
      <c r="BA770" s="441"/>
      <c r="BB770" s="441"/>
      <c r="BC770" s="441"/>
      <c r="BD770" s="441"/>
      <c r="BE770" s="441"/>
      <c r="BF770" s="441"/>
    </row>
    <row r="771">
      <c r="A771" s="798"/>
      <c r="B771" s="795"/>
      <c r="C771" s="795"/>
      <c r="D771" s="795"/>
      <c r="E771" s="795"/>
      <c r="F771" s="795"/>
      <c r="G771" s="795"/>
      <c r="H771" s="795"/>
      <c r="I771" s="796"/>
      <c r="J771" s="441"/>
      <c r="K771" s="441"/>
      <c r="L771" s="797"/>
      <c r="M771" s="441"/>
      <c r="N771" s="441"/>
      <c r="O771" s="441"/>
      <c r="P771" s="441"/>
      <c r="Q771" s="441"/>
      <c r="R771" s="426"/>
      <c r="S771" s="441"/>
      <c r="T771" s="441"/>
      <c r="U771" s="441"/>
      <c r="V771" s="441"/>
      <c r="W771" s="441"/>
      <c r="X771" s="441"/>
      <c r="Y771" s="441"/>
      <c r="Z771" s="441"/>
      <c r="AA771" s="441"/>
      <c r="AB771" s="441"/>
      <c r="AC771" s="441"/>
      <c r="AD771" s="441"/>
      <c r="AE771" s="441"/>
      <c r="AF771" s="441"/>
      <c r="AG771" s="441"/>
      <c r="AH771" s="441"/>
      <c r="AI771" s="441"/>
      <c r="AJ771" s="441"/>
      <c r="AK771" s="441"/>
      <c r="AL771" s="441"/>
      <c r="AM771" s="441"/>
      <c r="AN771" s="441"/>
      <c r="AO771" s="441"/>
      <c r="AP771" s="441"/>
      <c r="AQ771" s="441"/>
      <c r="AR771" s="441"/>
      <c r="AS771" s="441"/>
      <c r="AT771" s="441"/>
      <c r="AU771" s="441"/>
      <c r="AV771" s="441"/>
      <c r="AW771" s="441"/>
      <c r="AX771" s="441"/>
      <c r="AY771" s="441"/>
      <c r="AZ771" s="441"/>
      <c r="BA771" s="441"/>
      <c r="BB771" s="441"/>
      <c r="BC771" s="441"/>
      <c r="BD771" s="441"/>
      <c r="BE771" s="441"/>
      <c r="BF771" s="441"/>
    </row>
    <row r="772">
      <c r="A772" s="798"/>
      <c r="B772" s="795"/>
      <c r="C772" s="795"/>
      <c r="D772" s="795"/>
      <c r="E772" s="795"/>
      <c r="F772" s="795"/>
      <c r="G772" s="795"/>
      <c r="H772" s="795"/>
      <c r="I772" s="796"/>
      <c r="J772" s="441"/>
      <c r="K772" s="441"/>
      <c r="L772" s="797"/>
      <c r="M772" s="441"/>
      <c r="N772" s="441"/>
      <c r="O772" s="441"/>
      <c r="P772" s="441"/>
      <c r="Q772" s="441"/>
      <c r="R772" s="426"/>
      <c r="S772" s="441"/>
      <c r="T772" s="441"/>
      <c r="U772" s="441"/>
      <c r="V772" s="441"/>
      <c r="W772" s="441"/>
      <c r="X772" s="441"/>
      <c r="Y772" s="441"/>
      <c r="Z772" s="441"/>
      <c r="AA772" s="441"/>
      <c r="AB772" s="441"/>
      <c r="AC772" s="441"/>
      <c r="AD772" s="441"/>
      <c r="AE772" s="441"/>
      <c r="AF772" s="441"/>
      <c r="AG772" s="441"/>
      <c r="AH772" s="441"/>
      <c r="AI772" s="441"/>
      <c r="AJ772" s="441"/>
      <c r="AK772" s="441"/>
      <c r="AL772" s="441"/>
      <c r="AM772" s="441"/>
      <c r="AN772" s="441"/>
      <c r="AO772" s="441"/>
      <c r="AP772" s="441"/>
      <c r="AQ772" s="441"/>
      <c r="AR772" s="441"/>
      <c r="AS772" s="441"/>
      <c r="AT772" s="441"/>
      <c r="AU772" s="441"/>
      <c r="AV772" s="441"/>
      <c r="AW772" s="441"/>
      <c r="AX772" s="441"/>
      <c r="AY772" s="441"/>
      <c r="AZ772" s="441"/>
      <c r="BA772" s="441"/>
      <c r="BB772" s="441"/>
      <c r="BC772" s="441"/>
      <c r="BD772" s="441"/>
      <c r="BE772" s="441"/>
      <c r="BF772" s="441"/>
    </row>
    <row r="773">
      <c r="A773" s="798"/>
      <c r="B773" s="795"/>
      <c r="C773" s="795"/>
      <c r="D773" s="795"/>
      <c r="E773" s="795"/>
      <c r="F773" s="795"/>
      <c r="G773" s="795"/>
      <c r="H773" s="795"/>
      <c r="I773" s="796"/>
      <c r="J773" s="441"/>
      <c r="K773" s="441"/>
      <c r="L773" s="797"/>
      <c r="M773" s="441"/>
      <c r="N773" s="441"/>
      <c r="O773" s="441"/>
      <c r="P773" s="441"/>
      <c r="Q773" s="441"/>
      <c r="R773" s="426"/>
      <c r="S773" s="441"/>
      <c r="T773" s="441"/>
      <c r="U773" s="441"/>
      <c r="V773" s="441"/>
      <c r="W773" s="441"/>
      <c r="X773" s="441"/>
      <c r="Y773" s="441"/>
      <c r="Z773" s="441"/>
      <c r="AA773" s="441"/>
      <c r="AB773" s="441"/>
      <c r="AC773" s="441"/>
      <c r="AD773" s="441"/>
      <c r="AE773" s="441"/>
      <c r="AF773" s="441"/>
      <c r="AG773" s="441"/>
      <c r="AH773" s="441"/>
      <c r="AI773" s="441"/>
      <c r="AJ773" s="441"/>
      <c r="AK773" s="441"/>
      <c r="AL773" s="441"/>
      <c r="AM773" s="441"/>
      <c r="AN773" s="441"/>
      <c r="AO773" s="441"/>
      <c r="AP773" s="441"/>
      <c r="AQ773" s="441"/>
      <c r="AR773" s="441"/>
      <c r="AS773" s="441"/>
      <c r="AT773" s="441"/>
      <c r="AU773" s="441"/>
      <c r="AV773" s="441"/>
      <c r="AW773" s="441"/>
      <c r="AX773" s="441"/>
      <c r="AY773" s="441"/>
      <c r="AZ773" s="441"/>
      <c r="BA773" s="441"/>
      <c r="BB773" s="441"/>
      <c r="BC773" s="441"/>
      <c r="BD773" s="441"/>
      <c r="BE773" s="441"/>
      <c r="BF773" s="441"/>
    </row>
    <row r="774">
      <c r="A774" s="798"/>
      <c r="B774" s="795"/>
      <c r="C774" s="795"/>
      <c r="D774" s="795"/>
      <c r="E774" s="795"/>
      <c r="F774" s="795"/>
      <c r="G774" s="795"/>
      <c r="H774" s="795"/>
      <c r="I774" s="796"/>
      <c r="J774" s="441"/>
      <c r="K774" s="441"/>
      <c r="L774" s="797"/>
      <c r="M774" s="441"/>
      <c r="N774" s="441"/>
      <c r="O774" s="441"/>
      <c r="P774" s="441"/>
      <c r="Q774" s="441"/>
      <c r="R774" s="426"/>
      <c r="S774" s="441"/>
      <c r="T774" s="441"/>
      <c r="U774" s="441"/>
      <c r="V774" s="441"/>
      <c r="W774" s="441"/>
      <c r="X774" s="441"/>
      <c r="Y774" s="441"/>
      <c r="Z774" s="441"/>
      <c r="AA774" s="441"/>
      <c r="AB774" s="441"/>
      <c r="AC774" s="441"/>
      <c r="AD774" s="441"/>
      <c r="AE774" s="441"/>
      <c r="AF774" s="441"/>
      <c r="AG774" s="441"/>
      <c r="AH774" s="441"/>
      <c r="AI774" s="441"/>
      <c r="AJ774" s="441"/>
      <c r="AK774" s="441"/>
      <c r="AL774" s="441"/>
      <c r="AM774" s="441"/>
      <c r="AN774" s="441"/>
      <c r="AO774" s="441"/>
      <c r="AP774" s="441"/>
      <c r="AQ774" s="441"/>
      <c r="AR774" s="441"/>
      <c r="AS774" s="441"/>
      <c r="AT774" s="441"/>
      <c r="AU774" s="441"/>
      <c r="AV774" s="441"/>
      <c r="AW774" s="441"/>
      <c r="AX774" s="441"/>
      <c r="AY774" s="441"/>
      <c r="AZ774" s="441"/>
      <c r="BA774" s="441"/>
      <c r="BB774" s="441"/>
      <c r="BC774" s="441"/>
      <c r="BD774" s="441"/>
      <c r="BE774" s="441"/>
      <c r="BF774" s="441"/>
    </row>
    <row r="775">
      <c r="A775" s="798"/>
      <c r="B775" s="795"/>
      <c r="C775" s="795"/>
      <c r="D775" s="795"/>
      <c r="E775" s="795"/>
      <c r="F775" s="795"/>
      <c r="G775" s="795"/>
      <c r="H775" s="795"/>
      <c r="I775" s="796"/>
      <c r="J775" s="441"/>
      <c r="K775" s="441"/>
      <c r="L775" s="797"/>
      <c r="M775" s="441"/>
      <c r="N775" s="441"/>
      <c r="O775" s="441"/>
      <c r="P775" s="441"/>
      <c r="Q775" s="441"/>
      <c r="R775" s="426"/>
      <c r="S775" s="441"/>
      <c r="T775" s="441"/>
      <c r="U775" s="441"/>
      <c r="V775" s="441"/>
      <c r="W775" s="441"/>
      <c r="X775" s="441"/>
      <c r="Y775" s="441"/>
      <c r="Z775" s="441"/>
      <c r="AA775" s="441"/>
      <c r="AB775" s="441"/>
      <c r="AC775" s="441"/>
      <c r="AD775" s="441"/>
      <c r="AE775" s="441"/>
      <c r="AF775" s="441"/>
      <c r="AG775" s="441"/>
      <c r="AH775" s="441"/>
      <c r="AI775" s="441"/>
      <c r="AJ775" s="441"/>
      <c r="AK775" s="441"/>
      <c r="AL775" s="441"/>
      <c r="AM775" s="441"/>
      <c r="AN775" s="441"/>
      <c r="AO775" s="441"/>
      <c r="AP775" s="441"/>
      <c r="AQ775" s="441"/>
      <c r="AR775" s="441"/>
      <c r="AS775" s="441"/>
      <c r="AT775" s="441"/>
      <c r="AU775" s="441"/>
      <c r="AV775" s="441"/>
      <c r="AW775" s="441"/>
      <c r="AX775" s="441"/>
      <c r="AY775" s="441"/>
      <c r="AZ775" s="441"/>
      <c r="BA775" s="441"/>
      <c r="BB775" s="441"/>
      <c r="BC775" s="441"/>
      <c r="BD775" s="441"/>
      <c r="BE775" s="441"/>
      <c r="BF775" s="441"/>
    </row>
    <row r="776">
      <c r="A776" s="798"/>
      <c r="B776" s="795"/>
      <c r="C776" s="795"/>
      <c r="D776" s="795"/>
      <c r="E776" s="795"/>
      <c r="F776" s="795"/>
      <c r="G776" s="795"/>
      <c r="H776" s="795"/>
      <c r="I776" s="796"/>
      <c r="J776" s="441"/>
      <c r="K776" s="441"/>
      <c r="L776" s="797"/>
      <c r="M776" s="441"/>
      <c r="N776" s="441"/>
      <c r="O776" s="441"/>
      <c r="P776" s="441"/>
      <c r="Q776" s="441"/>
      <c r="R776" s="426"/>
      <c r="S776" s="441"/>
      <c r="T776" s="441"/>
      <c r="U776" s="441"/>
      <c r="V776" s="441"/>
      <c r="W776" s="441"/>
      <c r="X776" s="441"/>
      <c r="Y776" s="441"/>
      <c r="Z776" s="441"/>
      <c r="AA776" s="441"/>
      <c r="AB776" s="441"/>
      <c r="AC776" s="441"/>
      <c r="AD776" s="441"/>
      <c r="AE776" s="441"/>
      <c r="AF776" s="441"/>
      <c r="AG776" s="441"/>
      <c r="AH776" s="441"/>
      <c r="AI776" s="441"/>
      <c r="AJ776" s="441"/>
      <c r="AK776" s="441"/>
      <c r="AL776" s="441"/>
      <c r="AM776" s="441"/>
      <c r="AN776" s="441"/>
      <c r="AO776" s="441"/>
      <c r="AP776" s="441"/>
      <c r="AQ776" s="441"/>
      <c r="AR776" s="441"/>
      <c r="AS776" s="441"/>
      <c r="AT776" s="441"/>
      <c r="AU776" s="441"/>
      <c r="AV776" s="441"/>
      <c r="AW776" s="441"/>
      <c r="AX776" s="441"/>
      <c r="AY776" s="441"/>
      <c r="AZ776" s="441"/>
      <c r="BA776" s="441"/>
      <c r="BB776" s="441"/>
      <c r="BC776" s="441"/>
      <c r="BD776" s="441"/>
      <c r="BE776" s="441"/>
      <c r="BF776" s="441"/>
    </row>
    <row r="777">
      <c r="A777" s="798"/>
      <c r="B777" s="795"/>
      <c r="C777" s="795"/>
      <c r="D777" s="795"/>
      <c r="E777" s="795"/>
      <c r="F777" s="795"/>
      <c r="G777" s="795"/>
      <c r="H777" s="795"/>
      <c r="I777" s="796"/>
      <c r="J777" s="441"/>
      <c r="K777" s="441"/>
      <c r="L777" s="797"/>
      <c r="M777" s="441"/>
      <c r="N777" s="441"/>
      <c r="O777" s="441"/>
      <c r="P777" s="441"/>
      <c r="Q777" s="441"/>
      <c r="R777" s="426"/>
      <c r="S777" s="441"/>
      <c r="T777" s="441"/>
      <c r="U777" s="441"/>
      <c r="V777" s="441"/>
      <c r="W777" s="441"/>
      <c r="X777" s="441"/>
      <c r="Y777" s="441"/>
      <c r="Z777" s="441"/>
      <c r="AA777" s="441"/>
      <c r="AB777" s="441"/>
      <c r="AC777" s="441"/>
      <c r="AD777" s="441"/>
      <c r="AE777" s="441"/>
      <c r="AF777" s="441"/>
      <c r="AG777" s="441"/>
      <c r="AH777" s="441"/>
      <c r="AI777" s="441"/>
      <c r="AJ777" s="441"/>
      <c r="AK777" s="441"/>
      <c r="AL777" s="441"/>
      <c r="AM777" s="441"/>
      <c r="AN777" s="441"/>
      <c r="AO777" s="441"/>
      <c r="AP777" s="441"/>
      <c r="AQ777" s="441"/>
      <c r="AR777" s="441"/>
      <c r="AS777" s="441"/>
      <c r="AT777" s="441"/>
      <c r="AU777" s="441"/>
      <c r="AV777" s="441"/>
      <c r="AW777" s="441"/>
      <c r="AX777" s="441"/>
      <c r="AY777" s="441"/>
      <c r="AZ777" s="441"/>
      <c r="BA777" s="441"/>
      <c r="BB777" s="441"/>
      <c r="BC777" s="441"/>
      <c r="BD777" s="441"/>
      <c r="BE777" s="441"/>
      <c r="BF777" s="441"/>
    </row>
    <row r="778">
      <c r="A778" s="798"/>
      <c r="B778" s="795"/>
      <c r="C778" s="795"/>
      <c r="D778" s="795"/>
      <c r="E778" s="795"/>
      <c r="F778" s="795"/>
      <c r="G778" s="795"/>
      <c r="H778" s="795"/>
      <c r="I778" s="796"/>
      <c r="J778" s="441"/>
      <c r="K778" s="441"/>
      <c r="L778" s="797"/>
      <c r="M778" s="441"/>
      <c r="N778" s="441"/>
      <c r="O778" s="441"/>
      <c r="P778" s="441"/>
      <c r="Q778" s="441"/>
      <c r="R778" s="426"/>
      <c r="S778" s="441"/>
      <c r="T778" s="441"/>
      <c r="U778" s="441"/>
      <c r="V778" s="441"/>
      <c r="W778" s="441"/>
      <c r="X778" s="441"/>
      <c r="Y778" s="441"/>
      <c r="Z778" s="441"/>
      <c r="AA778" s="441"/>
      <c r="AB778" s="441"/>
      <c r="AC778" s="441"/>
      <c r="AD778" s="441"/>
      <c r="AE778" s="441"/>
      <c r="AF778" s="441"/>
      <c r="AG778" s="441"/>
      <c r="AH778" s="441"/>
      <c r="AI778" s="441"/>
      <c r="AJ778" s="441"/>
      <c r="AK778" s="441"/>
      <c r="AL778" s="441"/>
      <c r="AM778" s="441"/>
      <c r="AN778" s="441"/>
      <c r="AO778" s="441"/>
      <c r="AP778" s="441"/>
      <c r="AQ778" s="441"/>
      <c r="AR778" s="441"/>
      <c r="AS778" s="441"/>
      <c r="AT778" s="441"/>
      <c r="AU778" s="441"/>
      <c r="AV778" s="441"/>
      <c r="AW778" s="441"/>
      <c r="AX778" s="441"/>
      <c r="AY778" s="441"/>
      <c r="AZ778" s="441"/>
      <c r="BA778" s="441"/>
      <c r="BB778" s="441"/>
      <c r="BC778" s="441"/>
      <c r="BD778" s="441"/>
      <c r="BE778" s="441"/>
      <c r="BF778" s="441"/>
    </row>
    <row r="779">
      <c r="A779" s="798"/>
      <c r="B779" s="795"/>
      <c r="C779" s="795"/>
      <c r="D779" s="795"/>
      <c r="E779" s="795"/>
      <c r="F779" s="795"/>
      <c r="G779" s="795"/>
      <c r="H779" s="795"/>
      <c r="I779" s="796"/>
      <c r="J779" s="441"/>
      <c r="K779" s="441"/>
      <c r="L779" s="797"/>
      <c r="M779" s="441"/>
      <c r="N779" s="441"/>
      <c r="O779" s="441"/>
      <c r="P779" s="441"/>
      <c r="Q779" s="441"/>
      <c r="R779" s="426"/>
      <c r="S779" s="441"/>
      <c r="T779" s="441"/>
      <c r="U779" s="441"/>
      <c r="V779" s="441"/>
      <c r="W779" s="441"/>
      <c r="X779" s="441"/>
      <c r="Y779" s="441"/>
      <c r="Z779" s="441"/>
      <c r="AA779" s="441"/>
      <c r="AB779" s="441"/>
      <c r="AC779" s="441"/>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1"/>
      <c r="AY779" s="441"/>
      <c r="AZ779" s="441"/>
      <c r="BA779" s="441"/>
      <c r="BB779" s="441"/>
      <c r="BC779" s="441"/>
      <c r="BD779" s="441"/>
      <c r="BE779" s="441"/>
      <c r="BF779" s="441"/>
    </row>
    <row r="780">
      <c r="A780" s="798"/>
      <c r="B780" s="795"/>
      <c r="C780" s="795"/>
      <c r="D780" s="795"/>
      <c r="E780" s="795"/>
      <c r="F780" s="795"/>
      <c r="G780" s="795"/>
      <c r="H780" s="795"/>
      <c r="I780" s="796"/>
      <c r="J780" s="441"/>
      <c r="K780" s="441"/>
      <c r="L780" s="797"/>
      <c r="M780" s="441"/>
      <c r="N780" s="441"/>
      <c r="O780" s="441"/>
      <c r="P780" s="441"/>
      <c r="Q780" s="441"/>
      <c r="R780" s="426"/>
      <c r="S780" s="441"/>
      <c r="T780" s="441"/>
      <c r="U780" s="441"/>
      <c r="V780" s="441"/>
      <c r="W780" s="441"/>
      <c r="X780" s="441"/>
      <c r="Y780" s="441"/>
      <c r="Z780" s="441"/>
      <c r="AA780" s="441"/>
      <c r="AB780" s="441"/>
      <c r="AC780" s="441"/>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1"/>
      <c r="AY780" s="441"/>
      <c r="AZ780" s="441"/>
      <c r="BA780" s="441"/>
      <c r="BB780" s="441"/>
      <c r="BC780" s="441"/>
      <c r="BD780" s="441"/>
      <c r="BE780" s="441"/>
      <c r="BF780" s="441"/>
    </row>
    <row r="781">
      <c r="A781" s="798"/>
      <c r="B781" s="795"/>
      <c r="C781" s="795"/>
      <c r="D781" s="795"/>
      <c r="E781" s="795"/>
      <c r="F781" s="795"/>
      <c r="G781" s="795"/>
      <c r="H781" s="795"/>
      <c r="I781" s="796"/>
      <c r="J781" s="441"/>
      <c r="K781" s="441"/>
      <c r="L781" s="797"/>
      <c r="M781" s="441"/>
      <c r="N781" s="441"/>
      <c r="O781" s="441"/>
      <c r="P781" s="441"/>
      <c r="Q781" s="441"/>
      <c r="R781" s="426"/>
      <c r="S781" s="441"/>
      <c r="T781" s="441"/>
      <c r="U781" s="441"/>
      <c r="V781" s="441"/>
      <c r="W781" s="441"/>
      <c r="X781" s="441"/>
      <c r="Y781" s="441"/>
      <c r="Z781" s="441"/>
      <c r="AA781" s="441"/>
      <c r="AB781" s="441"/>
      <c r="AC781" s="441"/>
      <c r="AD781" s="441"/>
      <c r="AE781" s="441"/>
      <c r="AF781" s="441"/>
      <c r="AG781" s="441"/>
      <c r="AH781" s="441"/>
      <c r="AI781" s="441"/>
      <c r="AJ781" s="441"/>
      <c r="AK781" s="441"/>
      <c r="AL781" s="441"/>
      <c r="AM781" s="441"/>
      <c r="AN781" s="441"/>
      <c r="AO781" s="441"/>
      <c r="AP781" s="441"/>
      <c r="AQ781" s="441"/>
      <c r="AR781" s="441"/>
      <c r="AS781" s="441"/>
      <c r="AT781" s="441"/>
      <c r="AU781" s="441"/>
      <c r="AV781" s="441"/>
      <c r="AW781" s="441"/>
      <c r="AX781" s="441"/>
      <c r="AY781" s="441"/>
      <c r="AZ781" s="441"/>
      <c r="BA781" s="441"/>
      <c r="BB781" s="441"/>
      <c r="BC781" s="441"/>
      <c r="BD781" s="441"/>
      <c r="BE781" s="441"/>
      <c r="BF781" s="441"/>
    </row>
    <row r="782">
      <c r="A782" s="798"/>
      <c r="B782" s="795"/>
      <c r="C782" s="795"/>
      <c r="D782" s="795"/>
      <c r="E782" s="795"/>
      <c r="F782" s="795"/>
      <c r="G782" s="795"/>
      <c r="H782" s="795"/>
      <c r="I782" s="796"/>
      <c r="J782" s="441"/>
      <c r="K782" s="441"/>
      <c r="L782" s="797"/>
      <c r="M782" s="441"/>
      <c r="N782" s="441"/>
      <c r="O782" s="441"/>
      <c r="P782" s="441"/>
      <c r="Q782" s="441"/>
      <c r="R782" s="426"/>
      <c r="S782" s="441"/>
      <c r="T782" s="441"/>
      <c r="U782" s="441"/>
      <c r="V782" s="441"/>
      <c r="W782" s="441"/>
      <c r="X782" s="441"/>
      <c r="Y782" s="441"/>
      <c r="Z782" s="441"/>
      <c r="AA782" s="441"/>
      <c r="AB782" s="441"/>
      <c r="AC782" s="441"/>
      <c r="AD782" s="441"/>
      <c r="AE782" s="441"/>
      <c r="AF782" s="441"/>
      <c r="AG782" s="441"/>
      <c r="AH782" s="441"/>
      <c r="AI782" s="441"/>
      <c r="AJ782" s="441"/>
      <c r="AK782" s="441"/>
      <c r="AL782" s="441"/>
      <c r="AM782" s="441"/>
      <c r="AN782" s="441"/>
      <c r="AO782" s="441"/>
      <c r="AP782" s="441"/>
      <c r="AQ782" s="441"/>
      <c r="AR782" s="441"/>
      <c r="AS782" s="441"/>
      <c r="AT782" s="441"/>
      <c r="AU782" s="441"/>
      <c r="AV782" s="441"/>
      <c r="AW782" s="441"/>
      <c r="AX782" s="441"/>
      <c r="AY782" s="441"/>
      <c r="AZ782" s="441"/>
      <c r="BA782" s="441"/>
      <c r="BB782" s="441"/>
      <c r="BC782" s="441"/>
      <c r="BD782" s="441"/>
      <c r="BE782" s="441"/>
      <c r="BF782" s="441"/>
    </row>
    <row r="783">
      <c r="A783" s="798"/>
      <c r="B783" s="795"/>
      <c r="C783" s="795"/>
      <c r="D783" s="795"/>
      <c r="E783" s="795"/>
      <c r="F783" s="795"/>
      <c r="G783" s="795"/>
      <c r="H783" s="795"/>
      <c r="I783" s="796"/>
      <c r="J783" s="441"/>
      <c r="K783" s="441"/>
      <c r="L783" s="797"/>
      <c r="M783" s="441"/>
      <c r="N783" s="441"/>
      <c r="O783" s="441"/>
      <c r="P783" s="441"/>
      <c r="Q783" s="441"/>
      <c r="R783" s="426"/>
      <c r="S783" s="441"/>
      <c r="T783" s="441"/>
      <c r="U783" s="441"/>
      <c r="V783" s="441"/>
      <c r="W783" s="441"/>
      <c r="X783" s="441"/>
      <c r="Y783" s="441"/>
      <c r="Z783" s="441"/>
      <c r="AA783" s="441"/>
      <c r="AB783" s="441"/>
      <c r="AC783" s="441"/>
      <c r="AD783" s="441"/>
      <c r="AE783" s="441"/>
      <c r="AF783" s="441"/>
      <c r="AG783" s="441"/>
      <c r="AH783" s="441"/>
      <c r="AI783" s="441"/>
      <c r="AJ783" s="441"/>
      <c r="AK783" s="441"/>
      <c r="AL783" s="441"/>
      <c r="AM783" s="441"/>
      <c r="AN783" s="441"/>
      <c r="AO783" s="441"/>
      <c r="AP783" s="441"/>
      <c r="AQ783" s="441"/>
      <c r="AR783" s="441"/>
      <c r="AS783" s="441"/>
      <c r="AT783" s="441"/>
      <c r="AU783" s="441"/>
      <c r="AV783" s="441"/>
      <c r="AW783" s="441"/>
      <c r="AX783" s="441"/>
      <c r="AY783" s="441"/>
      <c r="AZ783" s="441"/>
      <c r="BA783" s="441"/>
      <c r="BB783" s="441"/>
      <c r="BC783" s="441"/>
      <c r="BD783" s="441"/>
      <c r="BE783" s="441"/>
      <c r="BF783" s="441"/>
    </row>
    <row r="784">
      <c r="A784" s="798"/>
      <c r="B784" s="795"/>
      <c r="C784" s="795"/>
      <c r="D784" s="795"/>
      <c r="E784" s="795"/>
      <c r="F784" s="795"/>
      <c r="G784" s="795"/>
      <c r="H784" s="795"/>
      <c r="I784" s="796"/>
      <c r="J784" s="441"/>
      <c r="K784" s="441"/>
      <c r="L784" s="797"/>
      <c r="M784" s="441"/>
      <c r="N784" s="441"/>
      <c r="O784" s="441"/>
      <c r="P784" s="441"/>
      <c r="Q784" s="441"/>
      <c r="R784" s="426"/>
      <c r="S784" s="441"/>
      <c r="T784" s="441"/>
      <c r="U784" s="441"/>
      <c r="V784" s="441"/>
      <c r="W784" s="441"/>
      <c r="X784" s="441"/>
      <c r="Y784" s="441"/>
      <c r="Z784" s="441"/>
      <c r="AA784" s="441"/>
      <c r="AB784" s="441"/>
      <c r="AC784" s="441"/>
      <c r="AD784" s="441"/>
      <c r="AE784" s="441"/>
      <c r="AF784" s="441"/>
      <c r="AG784" s="441"/>
      <c r="AH784" s="441"/>
      <c r="AI784" s="441"/>
      <c r="AJ784" s="441"/>
      <c r="AK784" s="441"/>
      <c r="AL784" s="441"/>
      <c r="AM784" s="441"/>
      <c r="AN784" s="441"/>
      <c r="AO784" s="441"/>
      <c r="AP784" s="441"/>
      <c r="AQ784" s="441"/>
      <c r="AR784" s="441"/>
      <c r="AS784" s="441"/>
      <c r="AT784" s="441"/>
      <c r="AU784" s="441"/>
      <c r="AV784" s="441"/>
      <c r="AW784" s="441"/>
      <c r="AX784" s="441"/>
      <c r="AY784" s="441"/>
      <c r="AZ784" s="441"/>
      <c r="BA784" s="441"/>
      <c r="BB784" s="441"/>
      <c r="BC784" s="441"/>
      <c r="BD784" s="441"/>
      <c r="BE784" s="441"/>
      <c r="BF784" s="441"/>
    </row>
    <row r="785">
      <c r="A785" s="798"/>
      <c r="B785" s="795"/>
      <c r="C785" s="795"/>
      <c r="D785" s="795"/>
      <c r="E785" s="795"/>
      <c r="F785" s="795"/>
      <c r="G785" s="795"/>
      <c r="H785" s="795"/>
      <c r="I785" s="796"/>
      <c r="J785" s="441"/>
      <c r="K785" s="441"/>
      <c r="L785" s="797"/>
      <c r="M785" s="441"/>
      <c r="N785" s="441"/>
      <c r="O785" s="441"/>
      <c r="P785" s="441"/>
      <c r="Q785" s="441"/>
      <c r="R785" s="426"/>
      <c r="S785" s="441"/>
      <c r="T785" s="441"/>
      <c r="U785" s="441"/>
      <c r="V785" s="441"/>
      <c r="W785" s="441"/>
      <c r="X785" s="441"/>
      <c r="Y785" s="441"/>
      <c r="Z785" s="441"/>
      <c r="AA785" s="441"/>
      <c r="AB785" s="441"/>
      <c r="AC785" s="441"/>
      <c r="AD785" s="441"/>
      <c r="AE785" s="441"/>
      <c r="AF785" s="441"/>
      <c r="AG785" s="441"/>
      <c r="AH785" s="441"/>
      <c r="AI785" s="441"/>
      <c r="AJ785" s="441"/>
      <c r="AK785" s="441"/>
      <c r="AL785" s="441"/>
      <c r="AM785" s="441"/>
      <c r="AN785" s="441"/>
      <c r="AO785" s="441"/>
      <c r="AP785" s="441"/>
      <c r="AQ785" s="441"/>
      <c r="AR785" s="441"/>
      <c r="AS785" s="441"/>
      <c r="AT785" s="441"/>
      <c r="AU785" s="441"/>
      <c r="AV785" s="441"/>
      <c r="AW785" s="441"/>
      <c r="AX785" s="441"/>
      <c r="AY785" s="441"/>
      <c r="AZ785" s="441"/>
      <c r="BA785" s="441"/>
      <c r="BB785" s="441"/>
      <c r="BC785" s="441"/>
      <c r="BD785" s="441"/>
      <c r="BE785" s="441"/>
      <c r="BF785" s="441"/>
    </row>
    <row r="786">
      <c r="A786" s="798"/>
      <c r="B786" s="795"/>
      <c r="C786" s="795"/>
      <c r="D786" s="795"/>
      <c r="E786" s="795"/>
      <c r="F786" s="795"/>
      <c r="G786" s="795"/>
      <c r="H786" s="795"/>
      <c r="I786" s="796"/>
      <c r="J786" s="441"/>
      <c r="K786" s="441"/>
      <c r="L786" s="797"/>
      <c r="M786" s="441"/>
      <c r="N786" s="441"/>
      <c r="O786" s="441"/>
      <c r="P786" s="441"/>
      <c r="Q786" s="441"/>
      <c r="R786" s="426"/>
      <c r="S786" s="441"/>
      <c r="T786" s="441"/>
      <c r="U786" s="441"/>
      <c r="V786" s="441"/>
      <c r="W786" s="441"/>
      <c r="X786" s="441"/>
      <c r="Y786" s="441"/>
      <c r="Z786" s="441"/>
      <c r="AA786" s="441"/>
      <c r="AB786" s="441"/>
      <c r="AC786" s="441"/>
      <c r="AD786" s="441"/>
      <c r="AE786" s="441"/>
      <c r="AF786" s="441"/>
      <c r="AG786" s="441"/>
      <c r="AH786" s="441"/>
      <c r="AI786" s="441"/>
      <c r="AJ786" s="441"/>
      <c r="AK786" s="441"/>
      <c r="AL786" s="441"/>
      <c r="AM786" s="441"/>
      <c r="AN786" s="441"/>
      <c r="AO786" s="441"/>
      <c r="AP786" s="441"/>
      <c r="AQ786" s="441"/>
      <c r="AR786" s="441"/>
      <c r="AS786" s="441"/>
      <c r="AT786" s="441"/>
      <c r="AU786" s="441"/>
      <c r="AV786" s="441"/>
      <c r="AW786" s="441"/>
      <c r="AX786" s="441"/>
      <c r="AY786" s="441"/>
      <c r="AZ786" s="441"/>
      <c r="BA786" s="441"/>
      <c r="BB786" s="441"/>
      <c r="BC786" s="441"/>
      <c r="BD786" s="441"/>
      <c r="BE786" s="441"/>
      <c r="BF786" s="441"/>
    </row>
    <row r="787">
      <c r="A787" s="798"/>
      <c r="B787" s="795"/>
      <c r="C787" s="795"/>
      <c r="D787" s="795"/>
      <c r="E787" s="795"/>
      <c r="F787" s="795"/>
      <c r="G787" s="795"/>
      <c r="H787" s="795"/>
      <c r="I787" s="796"/>
      <c r="J787" s="441"/>
      <c r="K787" s="441"/>
      <c r="L787" s="797"/>
      <c r="M787" s="441"/>
      <c r="N787" s="441"/>
      <c r="O787" s="441"/>
      <c r="P787" s="441"/>
      <c r="Q787" s="441"/>
      <c r="R787" s="426"/>
      <c r="S787" s="441"/>
      <c r="T787" s="441"/>
      <c r="U787" s="441"/>
      <c r="V787" s="441"/>
      <c r="W787" s="441"/>
      <c r="X787" s="441"/>
      <c r="Y787" s="441"/>
      <c r="Z787" s="441"/>
      <c r="AA787" s="441"/>
      <c r="AB787" s="441"/>
      <c r="AC787" s="441"/>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1"/>
      <c r="AY787" s="441"/>
      <c r="AZ787" s="441"/>
      <c r="BA787" s="441"/>
      <c r="BB787" s="441"/>
      <c r="BC787" s="441"/>
      <c r="BD787" s="441"/>
      <c r="BE787" s="441"/>
      <c r="BF787" s="441"/>
    </row>
    <row r="788">
      <c r="A788" s="798"/>
      <c r="B788" s="795"/>
      <c r="C788" s="795"/>
      <c r="D788" s="795"/>
      <c r="E788" s="795"/>
      <c r="F788" s="795"/>
      <c r="G788" s="795"/>
      <c r="H788" s="795"/>
      <c r="I788" s="796"/>
      <c r="J788" s="441"/>
      <c r="K788" s="441"/>
      <c r="L788" s="797"/>
      <c r="M788" s="441"/>
      <c r="N788" s="441"/>
      <c r="O788" s="441"/>
      <c r="P788" s="441"/>
      <c r="Q788" s="441"/>
      <c r="R788" s="426"/>
      <c r="S788" s="441"/>
      <c r="T788" s="441"/>
      <c r="U788" s="441"/>
      <c r="V788" s="441"/>
      <c r="W788" s="441"/>
      <c r="X788" s="441"/>
      <c r="Y788" s="441"/>
      <c r="Z788" s="441"/>
      <c r="AA788" s="441"/>
      <c r="AB788" s="441"/>
      <c r="AC788" s="441"/>
      <c r="AD788" s="441"/>
      <c r="AE788" s="441"/>
      <c r="AF788" s="441"/>
      <c r="AG788" s="441"/>
      <c r="AH788" s="441"/>
      <c r="AI788" s="441"/>
      <c r="AJ788" s="441"/>
      <c r="AK788" s="441"/>
      <c r="AL788" s="441"/>
      <c r="AM788" s="441"/>
      <c r="AN788" s="441"/>
      <c r="AO788" s="441"/>
      <c r="AP788" s="441"/>
      <c r="AQ788" s="441"/>
      <c r="AR788" s="441"/>
      <c r="AS788" s="441"/>
      <c r="AT788" s="441"/>
      <c r="AU788" s="441"/>
      <c r="AV788" s="441"/>
      <c r="AW788" s="441"/>
      <c r="AX788" s="441"/>
      <c r="AY788" s="441"/>
      <c r="AZ788" s="441"/>
      <c r="BA788" s="441"/>
      <c r="BB788" s="441"/>
      <c r="BC788" s="441"/>
      <c r="BD788" s="441"/>
      <c r="BE788" s="441"/>
      <c r="BF788" s="441"/>
    </row>
    <row r="789">
      <c r="A789" s="798"/>
      <c r="B789" s="795"/>
      <c r="C789" s="795"/>
      <c r="D789" s="795"/>
      <c r="E789" s="795"/>
      <c r="F789" s="795"/>
      <c r="G789" s="795"/>
      <c r="H789" s="795"/>
      <c r="I789" s="796"/>
      <c r="J789" s="441"/>
      <c r="K789" s="441"/>
      <c r="L789" s="797"/>
      <c r="M789" s="441"/>
      <c r="N789" s="441"/>
      <c r="O789" s="441"/>
      <c r="P789" s="441"/>
      <c r="Q789" s="441"/>
      <c r="R789" s="426"/>
      <c r="S789" s="441"/>
      <c r="T789" s="441"/>
      <c r="U789" s="441"/>
      <c r="V789" s="441"/>
      <c r="W789" s="441"/>
      <c r="X789" s="441"/>
      <c r="Y789" s="441"/>
      <c r="Z789" s="441"/>
      <c r="AA789" s="441"/>
      <c r="AB789" s="441"/>
      <c r="AC789" s="441"/>
      <c r="AD789" s="441"/>
      <c r="AE789" s="441"/>
      <c r="AF789" s="441"/>
      <c r="AG789" s="441"/>
      <c r="AH789" s="441"/>
      <c r="AI789" s="441"/>
      <c r="AJ789" s="441"/>
      <c r="AK789" s="441"/>
      <c r="AL789" s="441"/>
      <c r="AM789" s="441"/>
      <c r="AN789" s="441"/>
      <c r="AO789" s="441"/>
      <c r="AP789" s="441"/>
      <c r="AQ789" s="441"/>
      <c r="AR789" s="441"/>
      <c r="AS789" s="441"/>
      <c r="AT789" s="441"/>
      <c r="AU789" s="441"/>
      <c r="AV789" s="441"/>
      <c r="AW789" s="441"/>
      <c r="AX789" s="441"/>
      <c r="AY789" s="441"/>
      <c r="AZ789" s="441"/>
      <c r="BA789" s="441"/>
      <c r="BB789" s="441"/>
      <c r="BC789" s="441"/>
      <c r="BD789" s="441"/>
      <c r="BE789" s="441"/>
      <c r="BF789" s="441"/>
    </row>
    <row r="790">
      <c r="A790" s="798"/>
      <c r="B790" s="795"/>
      <c r="C790" s="795"/>
      <c r="D790" s="795"/>
      <c r="E790" s="795"/>
      <c r="F790" s="795"/>
      <c r="G790" s="795"/>
      <c r="H790" s="795"/>
      <c r="I790" s="796"/>
      <c r="J790" s="441"/>
      <c r="K790" s="441"/>
      <c r="L790" s="797"/>
      <c r="M790" s="441"/>
      <c r="N790" s="441"/>
      <c r="O790" s="441"/>
      <c r="P790" s="441"/>
      <c r="Q790" s="441"/>
      <c r="R790" s="426"/>
      <c r="S790" s="441"/>
      <c r="T790" s="441"/>
      <c r="U790" s="441"/>
      <c r="V790" s="441"/>
      <c r="W790" s="441"/>
      <c r="X790" s="441"/>
      <c r="Y790" s="441"/>
      <c r="Z790" s="441"/>
      <c r="AA790" s="441"/>
      <c r="AB790" s="441"/>
      <c r="AC790" s="441"/>
      <c r="AD790" s="441"/>
      <c r="AE790" s="441"/>
      <c r="AF790" s="441"/>
      <c r="AG790" s="441"/>
      <c r="AH790" s="441"/>
      <c r="AI790" s="441"/>
      <c r="AJ790" s="441"/>
      <c r="AK790" s="441"/>
      <c r="AL790" s="441"/>
      <c r="AM790" s="441"/>
      <c r="AN790" s="441"/>
      <c r="AO790" s="441"/>
      <c r="AP790" s="441"/>
      <c r="AQ790" s="441"/>
      <c r="AR790" s="441"/>
      <c r="AS790" s="441"/>
      <c r="AT790" s="441"/>
      <c r="AU790" s="441"/>
      <c r="AV790" s="441"/>
      <c r="AW790" s="441"/>
      <c r="AX790" s="441"/>
      <c r="AY790" s="441"/>
      <c r="AZ790" s="441"/>
      <c r="BA790" s="441"/>
      <c r="BB790" s="441"/>
      <c r="BC790" s="441"/>
      <c r="BD790" s="441"/>
      <c r="BE790" s="441"/>
      <c r="BF790" s="441"/>
    </row>
    <row r="791">
      <c r="A791" s="798"/>
      <c r="B791" s="795"/>
      <c r="C791" s="795"/>
      <c r="D791" s="795"/>
      <c r="E791" s="795"/>
      <c r="F791" s="795"/>
      <c r="G791" s="795"/>
      <c r="H791" s="795"/>
      <c r="I791" s="796"/>
      <c r="J791" s="441"/>
      <c r="K791" s="441"/>
      <c r="L791" s="797"/>
      <c r="M791" s="441"/>
      <c r="N791" s="441"/>
      <c r="O791" s="441"/>
      <c r="P791" s="441"/>
      <c r="Q791" s="441"/>
      <c r="R791" s="426"/>
      <c r="S791" s="441"/>
      <c r="T791" s="441"/>
      <c r="U791" s="441"/>
      <c r="V791" s="441"/>
      <c r="W791" s="441"/>
      <c r="X791" s="441"/>
      <c r="Y791" s="441"/>
      <c r="Z791" s="441"/>
      <c r="AA791" s="441"/>
      <c r="AB791" s="441"/>
      <c r="AC791" s="441"/>
      <c r="AD791" s="441"/>
      <c r="AE791" s="441"/>
      <c r="AF791" s="441"/>
      <c r="AG791" s="441"/>
      <c r="AH791" s="441"/>
      <c r="AI791" s="441"/>
      <c r="AJ791" s="441"/>
      <c r="AK791" s="441"/>
      <c r="AL791" s="441"/>
      <c r="AM791" s="441"/>
      <c r="AN791" s="441"/>
      <c r="AO791" s="441"/>
      <c r="AP791" s="441"/>
      <c r="AQ791" s="441"/>
      <c r="AR791" s="441"/>
      <c r="AS791" s="441"/>
      <c r="AT791" s="441"/>
      <c r="AU791" s="441"/>
      <c r="AV791" s="441"/>
      <c r="AW791" s="441"/>
      <c r="AX791" s="441"/>
      <c r="AY791" s="441"/>
      <c r="AZ791" s="441"/>
      <c r="BA791" s="441"/>
      <c r="BB791" s="441"/>
      <c r="BC791" s="441"/>
      <c r="BD791" s="441"/>
      <c r="BE791" s="441"/>
      <c r="BF791" s="441"/>
    </row>
    <row r="792">
      <c r="A792" s="798"/>
      <c r="B792" s="795"/>
      <c r="C792" s="795"/>
      <c r="D792" s="795"/>
      <c r="E792" s="795"/>
      <c r="F792" s="795"/>
      <c r="G792" s="795"/>
      <c r="H792" s="795"/>
      <c r="I792" s="796"/>
      <c r="J792" s="441"/>
      <c r="K792" s="441"/>
      <c r="L792" s="797"/>
      <c r="M792" s="441"/>
      <c r="N792" s="441"/>
      <c r="O792" s="441"/>
      <c r="P792" s="441"/>
      <c r="Q792" s="441"/>
      <c r="R792" s="426"/>
      <c r="S792" s="441"/>
      <c r="T792" s="441"/>
      <c r="U792" s="441"/>
      <c r="V792" s="441"/>
      <c r="W792" s="441"/>
      <c r="X792" s="441"/>
      <c r="Y792" s="441"/>
      <c r="Z792" s="441"/>
      <c r="AA792" s="441"/>
      <c r="AB792" s="441"/>
      <c r="AC792" s="441"/>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1"/>
      <c r="AY792" s="441"/>
      <c r="AZ792" s="441"/>
      <c r="BA792" s="441"/>
      <c r="BB792" s="441"/>
      <c r="BC792" s="441"/>
      <c r="BD792" s="441"/>
      <c r="BE792" s="441"/>
      <c r="BF792" s="441"/>
    </row>
    <row r="793">
      <c r="A793" s="798"/>
      <c r="B793" s="795"/>
      <c r="C793" s="795"/>
      <c r="D793" s="795"/>
      <c r="E793" s="795"/>
      <c r="F793" s="795"/>
      <c r="G793" s="795"/>
      <c r="H793" s="795"/>
      <c r="I793" s="796"/>
      <c r="J793" s="441"/>
      <c r="K793" s="441"/>
      <c r="L793" s="797"/>
      <c r="M793" s="441"/>
      <c r="N793" s="441"/>
      <c r="O793" s="441"/>
      <c r="P793" s="441"/>
      <c r="Q793" s="441"/>
      <c r="R793" s="426"/>
      <c r="S793" s="441"/>
      <c r="T793" s="441"/>
      <c r="U793" s="441"/>
      <c r="V793" s="441"/>
      <c r="W793" s="441"/>
      <c r="X793" s="441"/>
      <c r="Y793" s="441"/>
      <c r="Z793" s="441"/>
      <c r="AA793" s="441"/>
      <c r="AB793" s="441"/>
      <c r="AC793" s="441"/>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1"/>
      <c r="AY793" s="441"/>
      <c r="AZ793" s="441"/>
      <c r="BA793" s="441"/>
      <c r="BB793" s="441"/>
      <c r="BC793" s="441"/>
      <c r="BD793" s="441"/>
      <c r="BE793" s="441"/>
      <c r="BF793" s="441"/>
    </row>
    <row r="794">
      <c r="A794" s="798"/>
      <c r="B794" s="795"/>
      <c r="C794" s="795"/>
      <c r="D794" s="795"/>
      <c r="E794" s="795"/>
      <c r="F794" s="795"/>
      <c r="G794" s="795"/>
      <c r="H794" s="795"/>
      <c r="I794" s="796"/>
      <c r="J794" s="441"/>
      <c r="K794" s="441"/>
      <c r="L794" s="797"/>
      <c r="M794" s="441"/>
      <c r="N794" s="441"/>
      <c r="O794" s="441"/>
      <c r="P794" s="441"/>
      <c r="Q794" s="441"/>
      <c r="R794" s="426"/>
      <c r="S794" s="441"/>
      <c r="T794" s="441"/>
      <c r="U794" s="441"/>
      <c r="V794" s="441"/>
      <c r="W794" s="441"/>
      <c r="X794" s="441"/>
      <c r="Y794" s="441"/>
      <c r="Z794" s="441"/>
      <c r="AA794" s="441"/>
      <c r="AB794" s="441"/>
      <c r="AC794" s="441"/>
      <c r="AD794" s="441"/>
      <c r="AE794" s="441"/>
      <c r="AF794" s="441"/>
      <c r="AG794" s="441"/>
      <c r="AH794" s="441"/>
      <c r="AI794" s="441"/>
      <c r="AJ794" s="441"/>
      <c r="AK794" s="441"/>
      <c r="AL794" s="441"/>
      <c r="AM794" s="441"/>
      <c r="AN794" s="441"/>
      <c r="AO794" s="441"/>
      <c r="AP794" s="441"/>
      <c r="AQ794" s="441"/>
      <c r="AR794" s="441"/>
      <c r="AS794" s="441"/>
      <c r="AT794" s="441"/>
      <c r="AU794" s="441"/>
      <c r="AV794" s="441"/>
      <c r="AW794" s="441"/>
      <c r="AX794" s="441"/>
      <c r="AY794" s="441"/>
      <c r="AZ794" s="441"/>
      <c r="BA794" s="441"/>
      <c r="BB794" s="441"/>
      <c r="BC794" s="441"/>
      <c r="BD794" s="441"/>
      <c r="BE794" s="441"/>
      <c r="BF794" s="441"/>
    </row>
    <row r="795">
      <c r="A795" s="798"/>
      <c r="B795" s="795"/>
      <c r="C795" s="795"/>
      <c r="D795" s="795"/>
      <c r="E795" s="795"/>
      <c r="F795" s="795"/>
      <c r="G795" s="795"/>
      <c r="H795" s="795"/>
      <c r="I795" s="796"/>
      <c r="J795" s="441"/>
      <c r="K795" s="441"/>
      <c r="L795" s="797"/>
      <c r="M795" s="441"/>
      <c r="N795" s="441"/>
      <c r="O795" s="441"/>
      <c r="P795" s="441"/>
      <c r="Q795" s="441"/>
      <c r="R795" s="426"/>
      <c r="S795" s="441"/>
      <c r="T795" s="441"/>
      <c r="U795" s="441"/>
      <c r="V795" s="441"/>
      <c r="W795" s="441"/>
      <c r="X795" s="441"/>
      <c r="Y795" s="441"/>
      <c r="Z795" s="441"/>
      <c r="AA795" s="441"/>
      <c r="AB795" s="441"/>
      <c r="AC795" s="441"/>
      <c r="AD795" s="441"/>
      <c r="AE795" s="441"/>
      <c r="AF795" s="441"/>
      <c r="AG795" s="441"/>
      <c r="AH795" s="441"/>
      <c r="AI795" s="441"/>
      <c r="AJ795" s="441"/>
      <c r="AK795" s="441"/>
      <c r="AL795" s="441"/>
      <c r="AM795" s="441"/>
      <c r="AN795" s="441"/>
      <c r="AO795" s="441"/>
      <c r="AP795" s="441"/>
      <c r="AQ795" s="441"/>
      <c r="AR795" s="441"/>
      <c r="AS795" s="441"/>
      <c r="AT795" s="441"/>
      <c r="AU795" s="441"/>
      <c r="AV795" s="441"/>
      <c r="AW795" s="441"/>
      <c r="AX795" s="441"/>
      <c r="AY795" s="441"/>
      <c r="AZ795" s="441"/>
      <c r="BA795" s="441"/>
      <c r="BB795" s="441"/>
      <c r="BC795" s="441"/>
      <c r="BD795" s="441"/>
      <c r="BE795" s="441"/>
      <c r="BF795" s="441"/>
    </row>
    <row r="796">
      <c r="A796" s="798"/>
      <c r="B796" s="795"/>
      <c r="C796" s="795"/>
      <c r="D796" s="795"/>
      <c r="E796" s="795"/>
      <c r="F796" s="795"/>
      <c r="G796" s="795"/>
      <c r="H796" s="795"/>
      <c r="I796" s="796"/>
      <c r="J796" s="441"/>
      <c r="K796" s="441"/>
      <c r="L796" s="797"/>
      <c r="M796" s="441"/>
      <c r="N796" s="441"/>
      <c r="O796" s="441"/>
      <c r="P796" s="441"/>
      <c r="Q796" s="441"/>
      <c r="R796" s="426"/>
      <c r="S796" s="441"/>
      <c r="T796" s="441"/>
      <c r="U796" s="441"/>
      <c r="V796" s="441"/>
      <c r="W796" s="441"/>
      <c r="X796" s="441"/>
      <c r="Y796" s="441"/>
      <c r="Z796" s="441"/>
      <c r="AA796" s="441"/>
      <c r="AB796" s="441"/>
      <c r="AC796" s="441"/>
      <c r="AD796" s="441"/>
      <c r="AE796" s="441"/>
      <c r="AF796" s="441"/>
      <c r="AG796" s="441"/>
      <c r="AH796" s="441"/>
      <c r="AI796" s="441"/>
      <c r="AJ796" s="441"/>
      <c r="AK796" s="441"/>
      <c r="AL796" s="441"/>
      <c r="AM796" s="441"/>
      <c r="AN796" s="441"/>
      <c r="AO796" s="441"/>
      <c r="AP796" s="441"/>
      <c r="AQ796" s="441"/>
      <c r="AR796" s="441"/>
      <c r="AS796" s="441"/>
      <c r="AT796" s="441"/>
      <c r="AU796" s="441"/>
      <c r="AV796" s="441"/>
      <c r="AW796" s="441"/>
      <c r="AX796" s="441"/>
      <c r="AY796" s="441"/>
      <c r="AZ796" s="441"/>
      <c r="BA796" s="441"/>
      <c r="BB796" s="441"/>
      <c r="BC796" s="441"/>
      <c r="BD796" s="441"/>
      <c r="BE796" s="441"/>
      <c r="BF796" s="441"/>
    </row>
    <row r="797">
      <c r="A797" s="798"/>
      <c r="B797" s="795"/>
      <c r="C797" s="795"/>
      <c r="D797" s="795"/>
      <c r="E797" s="795"/>
      <c r="F797" s="795"/>
      <c r="G797" s="795"/>
      <c r="H797" s="795"/>
      <c r="I797" s="796"/>
      <c r="J797" s="441"/>
      <c r="K797" s="441"/>
      <c r="L797" s="797"/>
      <c r="M797" s="441"/>
      <c r="N797" s="441"/>
      <c r="O797" s="441"/>
      <c r="P797" s="441"/>
      <c r="Q797" s="441"/>
      <c r="R797" s="426"/>
      <c r="S797" s="441"/>
      <c r="T797" s="441"/>
      <c r="U797" s="441"/>
      <c r="V797" s="441"/>
      <c r="W797" s="441"/>
      <c r="X797" s="441"/>
      <c r="Y797" s="441"/>
      <c r="Z797" s="441"/>
      <c r="AA797" s="441"/>
      <c r="AB797" s="441"/>
      <c r="AC797" s="441"/>
      <c r="AD797" s="441"/>
      <c r="AE797" s="441"/>
      <c r="AF797" s="441"/>
      <c r="AG797" s="441"/>
      <c r="AH797" s="441"/>
      <c r="AI797" s="441"/>
      <c r="AJ797" s="441"/>
      <c r="AK797" s="441"/>
      <c r="AL797" s="441"/>
      <c r="AM797" s="441"/>
      <c r="AN797" s="441"/>
      <c r="AO797" s="441"/>
      <c r="AP797" s="441"/>
      <c r="AQ797" s="441"/>
      <c r="AR797" s="441"/>
      <c r="AS797" s="441"/>
      <c r="AT797" s="441"/>
      <c r="AU797" s="441"/>
      <c r="AV797" s="441"/>
      <c r="AW797" s="441"/>
      <c r="AX797" s="441"/>
      <c r="AY797" s="441"/>
      <c r="AZ797" s="441"/>
      <c r="BA797" s="441"/>
      <c r="BB797" s="441"/>
      <c r="BC797" s="441"/>
      <c r="BD797" s="441"/>
      <c r="BE797" s="441"/>
      <c r="BF797" s="441"/>
    </row>
    <row r="798">
      <c r="A798" s="798"/>
      <c r="B798" s="795"/>
      <c r="C798" s="795"/>
      <c r="D798" s="795"/>
      <c r="E798" s="795"/>
      <c r="F798" s="795"/>
      <c r="G798" s="795"/>
      <c r="H798" s="795"/>
      <c r="I798" s="796"/>
      <c r="J798" s="441"/>
      <c r="K798" s="441"/>
      <c r="L798" s="797"/>
      <c r="M798" s="441"/>
      <c r="N798" s="441"/>
      <c r="O798" s="441"/>
      <c r="P798" s="441"/>
      <c r="Q798" s="441"/>
      <c r="R798" s="426"/>
      <c r="S798" s="441"/>
      <c r="T798" s="441"/>
      <c r="U798" s="441"/>
      <c r="V798" s="441"/>
      <c r="W798" s="441"/>
      <c r="X798" s="441"/>
      <c r="Y798" s="441"/>
      <c r="Z798" s="441"/>
      <c r="AA798" s="441"/>
      <c r="AB798" s="441"/>
      <c r="AC798" s="441"/>
      <c r="AD798" s="441"/>
      <c r="AE798" s="441"/>
      <c r="AF798" s="441"/>
      <c r="AG798" s="441"/>
      <c r="AH798" s="441"/>
      <c r="AI798" s="441"/>
      <c r="AJ798" s="441"/>
      <c r="AK798" s="441"/>
      <c r="AL798" s="441"/>
      <c r="AM798" s="441"/>
      <c r="AN798" s="441"/>
      <c r="AO798" s="441"/>
      <c r="AP798" s="441"/>
      <c r="AQ798" s="441"/>
      <c r="AR798" s="441"/>
      <c r="AS798" s="441"/>
      <c r="AT798" s="441"/>
      <c r="AU798" s="441"/>
      <c r="AV798" s="441"/>
      <c r="AW798" s="441"/>
      <c r="AX798" s="441"/>
      <c r="AY798" s="441"/>
      <c r="AZ798" s="441"/>
      <c r="BA798" s="441"/>
      <c r="BB798" s="441"/>
      <c r="BC798" s="441"/>
      <c r="BD798" s="441"/>
      <c r="BE798" s="441"/>
      <c r="BF798" s="441"/>
    </row>
    <row r="799">
      <c r="A799" s="798"/>
      <c r="B799" s="795"/>
      <c r="C799" s="795"/>
      <c r="D799" s="795"/>
      <c r="E799" s="795"/>
      <c r="F799" s="795"/>
      <c r="G799" s="795"/>
      <c r="H799" s="795"/>
      <c r="I799" s="796"/>
      <c r="J799" s="441"/>
      <c r="K799" s="441"/>
      <c r="L799" s="797"/>
      <c r="M799" s="441"/>
      <c r="N799" s="441"/>
      <c r="O799" s="441"/>
      <c r="P799" s="441"/>
      <c r="Q799" s="441"/>
      <c r="R799" s="426"/>
      <c r="S799" s="441"/>
      <c r="T799" s="441"/>
      <c r="U799" s="441"/>
      <c r="V799" s="441"/>
      <c r="W799" s="441"/>
      <c r="X799" s="441"/>
      <c r="Y799" s="441"/>
      <c r="Z799" s="441"/>
      <c r="AA799" s="441"/>
      <c r="AB799" s="441"/>
      <c r="AC799" s="441"/>
      <c r="AD799" s="441"/>
      <c r="AE799" s="441"/>
      <c r="AF799" s="441"/>
      <c r="AG799" s="441"/>
      <c r="AH799" s="441"/>
      <c r="AI799" s="441"/>
      <c r="AJ799" s="441"/>
      <c r="AK799" s="441"/>
      <c r="AL799" s="441"/>
      <c r="AM799" s="441"/>
      <c r="AN799" s="441"/>
      <c r="AO799" s="441"/>
      <c r="AP799" s="441"/>
      <c r="AQ799" s="441"/>
      <c r="AR799" s="441"/>
      <c r="AS799" s="441"/>
      <c r="AT799" s="441"/>
      <c r="AU799" s="441"/>
      <c r="AV799" s="441"/>
      <c r="AW799" s="441"/>
      <c r="AX799" s="441"/>
      <c r="AY799" s="441"/>
      <c r="AZ799" s="441"/>
      <c r="BA799" s="441"/>
      <c r="BB799" s="441"/>
      <c r="BC799" s="441"/>
      <c r="BD799" s="441"/>
      <c r="BE799" s="441"/>
      <c r="BF799" s="441"/>
    </row>
    <row r="800">
      <c r="A800" s="798"/>
      <c r="B800" s="795"/>
      <c r="C800" s="795"/>
      <c r="D800" s="795"/>
      <c r="E800" s="795"/>
      <c r="F800" s="795"/>
      <c r="G800" s="795"/>
      <c r="H800" s="795"/>
      <c r="I800" s="796"/>
      <c r="J800" s="441"/>
      <c r="K800" s="441"/>
      <c r="L800" s="797"/>
      <c r="M800" s="441"/>
      <c r="N800" s="441"/>
      <c r="O800" s="441"/>
      <c r="P800" s="441"/>
      <c r="Q800" s="441"/>
      <c r="R800" s="426"/>
      <c r="S800" s="441"/>
      <c r="T800" s="441"/>
      <c r="U800" s="441"/>
      <c r="V800" s="441"/>
      <c r="W800" s="441"/>
      <c r="X800" s="441"/>
      <c r="Y800" s="441"/>
      <c r="Z800" s="441"/>
      <c r="AA800" s="441"/>
      <c r="AB800" s="441"/>
      <c r="AC800" s="441"/>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1"/>
      <c r="AY800" s="441"/>
      <c r="AZ800" s="441"/>
      <c r="BA800" s="441"/>
      <c r="BB800" s="441"/>
      <c r="BC800" s="441"/>
      <c r="BD800" s="441"/>
      <c r="BE800" s="441"/>
      <c r="BF800" s="441"/>
    </row>
    <row r="801">
      <c r="A801" s="798"/>
      <c r="B801" s="795"/>
      <c r="C801" s="795"/>
      <c r="D801" s="795"/>
      <c r="E801" s="795"/>
      <c r="F801" s="795"/>
      <c r="G801" s="795"/>
      <c r="H801" s="795"/>
      <c r="I801" s="796"/>
      <c r="J801" s="441"/>
      <c r="K801" s="441"/>
      <c r="L801" s="797"/>
      <c r="M801" s="441"/>
      <c r="N801" s="441"/>
      <c r="O801" s="441"/>
      <c r="P801" s="441"/>
      <c r="Q801" s="441"/>
      <c r="R801" s="426"/>
      <c r="S801" s="441"/>
      <c r="T801" s="441"/>
      <c r="U801" s="441"/>
      <c r="V801" s="441"/>
      <c r="W801" s="441"/>
      <c r="X801" s="441"/>
      <c r="Y801" s="441"/>
      <c r="Z801" s="441"/>
      <c r="AA801" s="441"/>
      <c r="AB801" s="441"/>
      <c r="AC801" s="441"/>
      <c r="AD801" s="441"/>
      <c r="AE801" s="441"/>
      <c r="AF801" s="441"/>
      <c r="AG801" s="441"/>
      <c r="AH801" s="441"/>
      <c r="AI801" s="441"/>
      <c r="AJ801" s="441"/>
      <c r="AK801" s="441"/>
      <c r="AL801" s="441"/>
      <c r="AM801" s="441"/>
      <c r="AN801" s="441"/>
      <c r="AO801" s="441"/>
      <c r="AP801" s="441"/>
      <c r="AQ801" s="441"/>
      <c r="AR801" s="441"/>
      <c r="AS801" s="441"/>
      <c r="AT801" s="441"/>
      <c r="AU801" s="441"/>
      <c r="AV801" s="441"/>
      <c r="AW801" s="441"/>
      <c r="AX801" s="441"/>
      <c r="AY801" s="441"/>
      <c r="AZ801" s="441"/>
      <c r="BA801" s="441"/>
      <c r="BB801" s="441"/>
      <c r="BC801" s="441"/>
      <c r="BD801" s="441"/>
      <c r="BE801" s="441"/>
      <c r="BF801" s="441"/>
    </row>
    <row r="802">
      <c r="A802" s="798"/>
      <c r="B802" s="795"/>
      <c r="C802" s="795"/>
      <c r="D802" s="795"/>
      <c r="E802" s="795"/>
      <c r="F802" s="795"/>
      <c r="G802" s="795"/>
      <c r="H802" s="795"/>
      <c r="I802" s="796"/>
      <c r="J802" s="441"/>
      <c r="K802" s="441"/>
      <c r="L802" s="797"/>
      <c r="M802" s="441"/>
      <c r="N802" s="441"/>
      <c r="O802" s="441"/>
      <c r="P802" s="441"/>
      <c r="Q802" s="441"/>
      <c r="R802" s="426"/>
      <c r="S802" s="441"/>
      <c r="T802" s="441"/>
      <c r="U802" s="441"/>
      <c r="V802" s="441"/>
      <c r="W802" s="441"/>
      <c r="X802" s="441"/>
      <c r="Y802" s="441"/>
      <c r="Z802" s="441"/>
      <c r="AA802" s="441"/>
      <c r="AB802" s="441"/>
      <c r="AC802" s="441"/>
      <c r="AD802" s="441"/>
      <c r="AE802" s="441"/>
      <c r="AF802" s="441"/>
      <c r="AG802" s="441"/>
      <c r="AH802" s="441"/>
      <c r="AI802" s="441"/>
      <c r="AJ802" s="441"/>
      <c r="AK802" s="441"/>
      <c r="AL802" s="441"/>
      <c r="AM802" s="441"/>
      <c r="AN802" s="441"/>
      <c r="AO802" s="441"/>
      <c r="AP802" s="441"/>
      <c r="AQ802" s="441"/>
      <c r="AR802" s="441"/>
      <c r="AS802" s="441"/>
      <c r="AT802" s="441"/>
      <c r="AU802" s="441"/>
      <c r="AV802" s="441"/>
      <c r="AW802" s="441"/>
      <c r="AX802" s="441"/>
      <c r="AY802" s="441"/>
      <c r="AZ802" s="441"/>
      <c r="BA802" s="441"/>
      <c r="BB802" s="441"/>
      <c r="BC802" s="441"/>
      <c r="BD802" s="441"/>
      <c r="BE802" s="441"/>
      <c r="BF802" s="441"/>
    </row>
    <row r="803">
      <c r="A803" s="798"/>
      <c r="B803" s="795"/>
      <c r="C803" s="795"/>
      <c r="D803" s="795"/>
      <c r="E803" s="795"/>
      <c r="F803" s="795"/>
      <c r="G803" s="795"/>
      <c r="H803" s="795"/>
      <c r="I803" s="796"/>
      <c r="J803" s="441"/>
      <c r="K803" s="441"/>
      <c r="L803" s="797"/>
      <c r="M803" s="441"/>
      <c r="N803" s="441"/>
      <c r="O803" s="441"/>
      <c r="P803" s="441"/>
      <c r="Q803" s="441"/>
      <c r="R803" s="426"/>
      <c r="S803" s="441"/>
      <c r="T803" s="441"/>
      <c r="U803" s="441"/>
      <c r="V803" s="441"/>
      <c r="W803" s="441"/>
      <c r="X803" s="441"/>
      <c r="Y803" s="441"/>
      <c r="Z803" s="441"/>
      <c r="AA803" s="441"/>
      <c r="AB803" s="441"/>
      <c r="AC803" s="441"/>
      <c r="AD803" s="441"/>
      <c r="AE803" s="441"/>
      <c r="AF803" s="441"/>
      <c r="AG803" s="441"/>
      <c r="AH803" s="441"/>
      <c r="AI803" s="441"/>
      <c r="AJ803" s="441"/>
      <c r="AK803" s="441"/>
      <c r="AL803" s="441"/>
      <c r="AM803" s="441"/>
      <c r="AN803" s="441"/>
      <c r="AO803" s="441"/>
      <c r="AP803" s="441"/>
      <c r="AQ803" s="441"/>
      <c r="AR803" s="441"/>
      <c r="AS803" s="441"/>
      <c r="AT803" s="441"/>
      <c r="AU803" s="441"/>
      <c r="AV803" s="441"/>
      <c r="AW803" s="441"/>
      <c r="AX803" s="441"/>
      <c r="AY803" s="441"/>
      <c r="AZ803" s="441"/>
      <c r="BA803" s="441"/>
      <c r="BB803" s="441"/>
      <c r="BC803" s="441"/>
      <c r="BD803" s="441"/>
      <c r="BE803" s="441"/>
      <c r="BF803" s="441"/>
    </row>
    <row r="804">
      <c r="A804" s="798"/>
      <c r="B804" s="795"/>
      <c r="C804" s="795"/>
      <c r="D804" s="795"/>
      <c r="E804" s="795"/>
      <c r="F804" s="795"/>
      <c r="G804" s="795"/>
      <c r="H804" s="795"/>
      <c r="I804" s="796"/>
      <c r="J804" s="441"/>
      <c r="K804" s="441"/>
      <c r="L804" s="797"/>
      <c r="M804" s="441"/>
      <c r="N804" s="441"/>
      <c r="O804" s="441"/>
      <c r="P804" s="441"/>
      <c r="Q804" s="441"/>
      <c r="R804" s="426"/>
      <c r="S804" s="441"/>
      <c r="T804" s="441"/>
      <c r="U804" s="441"/>
      <c r="V804" s="441"/>
      <c r="W804" s="441"/>
      <c r="X804" s="441"/>
      <c r="Y804" s="441"/>
      <c r="Z804" s="441"/>
      <c r="AA804" s="441"/>
      <c r="AB804" s="441"/>
      <c r="AC804" s="441"/>
      <c r="AD804" s="441"/>
      <c r="AE804" s="441"/>
      <c r="AF804" s="441"/>
      <c r="AG804" s="441"/>
      <c r="AH804" s="441"/>
      <c r="AI804" s="441"/>
      <c r="AJ804" s="441"/>
      <c r="AK804" s="441"/>
      <c r="AL804" s="441"/>
      <c r="AM804" s="441"/>
      <c r="AN804" s="441"/>
      <c r="AO804" s="441"/>
      <c r="AP804" s="441"/>
      <c r="AQ804" s="441"/>
      <c r="AR804" s="441"/>
      <c r="AS804" s="441"/>
      <c r="AT804" s="441"/>
      <c r="AU804" s="441"/>
      <c r="AV804" s="441"/>
      <c r="AW804" s="441"/>
      <c r="AX804" s="441"/>
      <c r="AY804" s="441"/>
      <c r="AZ804" s="441"/>
      <c r="BA804" s="441"/>
      <c r="BB804" s="441"/>
      <c r="BC804" s="441"/>
      <c r="BD804" s="441"/>
      <c r="BE804" s="441"/>
      <c r="BF804" s="441"/>
    </row>
    <row r="805">
      <c r="A805" s="798"/>
      <c r="B805" s="795"/>
      <c r="C805" s="795"/>
      <c r="D805" s="795"/>
      <c r="E805" s="795"/>
      <c r="F805" s="795"/>
      <c r="G805" s="795"/>
      <c r="H805" s="795"/>
      <c r="I805" s="796"/>
      <c r="J805" s="441"/>
      <c r="K805" s="441"/>
      <c r="L805" s="797"/>
      <c r="M805" s="441"/>
      <c r="N805" s="441"/>
      <c r="O805" s="441"/>
      <c r="P805" s="441"/>
      <c r="Q805" s="441"/>
      <c r="R805" s="426"/>
      <c r="S805" s="441"/>
      <c r="T805" s="441"/>
      <c r="U805" s="441"/>
      <c r="V805" s="441"/>
      <c r="W805" s="441"/>
      <c r="X805" s="441"/>
      <c r="Y805" s="441"/>
      <c r="Z805" s="441"/>
      <c r="AA805" s="441"/>
      <c r="AB805" s="441"/>
      <c r="AC805" s="441"/>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1"/>
      <c r="AY805" s="441"/>
      <c r="AZ805" s="441"/>
      <c r="BA805" s="441"/>
      <c r="BB805" s="441"/>
      <c r="BC805" s="441"/>
      <c r="BD805" s="441"/>
      <c r="BE805" s="441"/>
      <c r="BF805" s="441"/>
    </row>
    <row r="806">
      <c r="A806" s="798"/>
      <c r="B806" s="795"/>
      <c r="C806" s="795"/>
      <c r="D806" s="795"/>
      <c r="E806" s="795"/>
      <c r="F806" s="795"/>
      <c r="G806" s="795"/>
      <c r="H806" s="795"/>
      <c r="I806" s="796"/>
      <c r="J806" s="441"/>
      <c r="K806" s="441"/>
      <c r="L806" s="797"/>
      <c r="M806" s="441"/>
      <c r="N806" s="441"/>
      <c r="O806" s="441"/>
      <c r="P806" s="441"/>
      <c r="Q806" s="441"/>
      <c r="R806" s="426"/>
      <c r="S806" s="441"/>
      <c r="T806" s="441"/>
      <c r="U806" s="441"/>
      <c r="V806" s="441"/>
      <c r="W806" s="441"/>
      <c r="X806" s="441"/>
      <c r="Y806" s="441"/>
      <c r="Z806" s="441"/>
      <c r="AA806" s="441"/>
      <c r="AB806" s="441"/>
      <c r="AC806" s="441"/>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1"/>
      <c r="AY806" s="441"/>
      <c r="AZ806" s="441"/>
      <c r="BA806" s="441"/>
      <c r="BB806" s="441"/>
      <c r="BC806" s="441"/>
      <c r="BD806" s="441"/>
      <c r="BE806" s="441"/>
      <c r="BF806" s="441"/>
    </row>
    <row r="807">
      <c r="A807" s="798"/>
      <c r="B807" s="795"/>
      <c r="C807" s="795"/>
      <c r="D807" s="795"/>
      <c r="E807" s="795"/>
      <c r="F807" s="795"/>
      <c r="G807" s="795"/>
      <c r="H807" s="795"/>
      <c r="I807" s="796"/>
      <c r="J807" s="441"/>
      <c r="K807" s="441"/>
      <c r="L807" s="797"/>
      <c r="M807" s="441"/>
      <c r="N807" s="441"/>
      <c r="O807" s="441"/>
      <c r="P807" s="441"/>
      <c r="Q807" s="441"/>
      <c r="R807" s="426"/>
      <c r="S807" s="441"/>
      <c r="T807" s="441"/>
      <c r="U807" s="441"/>
      <c r="V807" s="441"/>
      <c r="W807" s="441"/>
      <c r="X807" s="441"/>
      <c r="Y807" s="441"/>
      <c r="Z807" s="441"/>
      <c r="AA807" s="441"/>
      <c r="AB807" s="441"/>
      <c r="AC807" s="441"/>
      <c r="AD807" s="441"/>
      <c r="AE807" s="441"/>
      <c r="AF807" s="441"/>
      <c r="AG807" s="441"/>
      <c r="AH807" s="441"/>
      <c r="AI807" s="441"/>
      <c r="AJ807" s="441"/>
      <c r="AK807" s="441"/>
      <c r="AL807" s="441"/>
      <c r="AM807" s="441"/>
      <c r="AN807" s="441"/>
      <c r="AO807" s="441"/>
      <c r="AP807" s="441"/>
      <c r="AQ807" s="441"/>
      <c r="AR807" s="441"/>
      <c r="AS807" s="441"/>
      <c r="AT807" s="441"/>
      <c r="AU807" s="441"/>
      <c r="AV807" s="441"/>
      <c r="AW807" s="441"/>
      <c r="AX807" s="441"/>
      <c r="AY807" s="441"/>
      <c r="AZ807" s="441"/>
      <c r="BA807" s="441"/>
      <c r="BB807" s="441"/>
      <c r="BC807" s="441"/>
      <c r="BD807" s="441"/>
      <c r="BE807" s="441"/>
      <c r="BF807" s="441"/>
    </row>
    <row r="808">
      <c r="A808" s="798"/>
      <c r="B808" s="795"/>
      <c r="C808" s="795"/>
      <c r="D808" s="795"/>
      <c r="E808" s="795"/>
      <c r="F808" s="795"/>
      <c r="G808" s="795"/>
      <c r="H808" s="795"/>
      <c r="I808" s="796"/>
      <c r="J808" s="441"/>
      <c r="K808" s="441"/>
      <c r="L808" s="797"/>
      <c r="M808" s="441"/>
      <c r="N808" s="441"/>
      <c r="O808" s="441"/>
      <c r="P808" s="441"/>
      <c r="Q808" s="441"/>
      <c r="R808" s="426"/>
      <c r="S808" s="441"/>
      <c r="T808" s="441"/>
      <c r="U808" s="441"/>
      <c r="V808" s="441"/>
      <c r="W808" s="441"/>
      <c r="X808" s="441"/>
      <c r="Y808" s="441"/>
      <c r="Z808" s="441"/>
      <c r="AA808" s="441"/>
      <c r="AB808" s="441"/>
      <c r="AC808" s="441"/>
      <c r="AD808" s="441"/>
      <c r="AE808" s="441"/>
      <c r="AF808" s="441"/>
      <c r="AG808" s="441"/>
      <c r="AH808" s="441"/>
      <c r="AI808" s="441"/>
      <c r="AJ808" s="441"/>
      <c r="AK808" s="441"/>
      <c r="AL808" s="441"/>
      <c r="AM808" s="441"/>
      <c r="AN808" s="441"/>
      <c r="AO808" s="441"/>
      <c r="AP808" s="441"/>
      <c r="AQ808" s="441"/>
      <c r="AR808" s="441"/>
      <c r="AS808" s="441"/>
      <c r="AT808" s="441"/>
      <c r="AU808" s="441"/>
      <c r="AV808" s="441"/>
      <c r="AW808" s="441"/>
      <c r="AX808" s="441"/>
      <c r="AY808" s="441"/>
      <c r="AZ808" s="441"/>
      <c r="BA808" s="441"/>
      <c r="BB808" s="441"/>
      <c r="BC808" s="441"/>
      <c r="BD808" s="441"/>
      <c r="BE808" s="441"/>
      <c r="BF808" s="441"/>
    </row>
    <row r="809">
      <c r="A809" s="798"/>
      <c r="B809" s="795"/>
      <c r="C809" s="795"/>
      <c r="D809" s="795"/>
      <c r="E809" s="795"/>
      <c r="F809" s="795"/>
      <c r="G809" s="795"/>
      <c r="H809" s="795"/>
      <c r="I809" s="796"/>
      <c r="J809" s="441"/>
      <c r="K809" s="441"/>
      <c r="L809" s="797"/>
      <c r="M809" s="441"/>
      <c r="N809" s="441"/>
      <c r="O809" s="441"/>
      <c r="P809" s="441"/>
      <c r="Q809" s="441"/>
      <c r="R809" s="426"/>
      <c r="S809" s="441"/>
      <c r="T809" s="441"/>
      <c r="U809" s="441"/>
      <c r="V809" s="441"/>
      <c r="W809" s="441"/>
      <c r="X809" s="441"/>
      <c r="Y809" s="441"/>
      <c r="Z809" s="441"/>
      <c r="AA809" s="441"/>
      <c r="AB809" s="441"/>
      <c r="AC809" s="441"/>
      <c r="AD809" s="441"/>
      <c r="AE809" s="441"/>
      <c r="AF809" s="441"/>
      <c r="AG809" s="441"/>
      <c r="AH809" s="441"/>
      <c r="AI809" s="441"/>
      <c r="AJ809" s="441"/>
      <c r="AK809" s="441"/>
      <c r="AL809" s="441"/>
      <c r="AM809" s="441"/>
      <c r="AN809" s="441"/>
      <c r="AO809" s="441"/>
      <c r="AP809" s="441"/>
      <c r="AQ809" s="441"/>
      <c r="AR809" s="441"/>
      <c r="AS809" s="441"/>
      <c r="AT809" s="441"/>
      <c r="AU809" s="441"/>
      <c r="AV809" s="441"/>
      <c r="AW809" s="441"/>
      <c r="AX809" s="441"/>
      <c r="AY809" s="441"/>
      <c r="AZ809" s="441"/>
      <c r="BA809" s="441"/>
      <c r="BB809" s="441"/>
      <c r="BC809" s="441"/>
      <c r="BD809" s="441"/>
      <c r="BE809" s="441"/>
      <c r="BF809" s="441"/>
    </row>
    <row r="810">
      <c r="A810" s="798"/>
      <c r="B810" s="795"/>
      <c r="C810" s="795"/>
      <c r="D810" s="795"/>
      <c r="E810" s="795"/>
      <c r="F810" s="795"/>
      <c r="G810" s="795"/>
      <c r="H810" s="795"/>
      <c r="I810" s="796"/>
      <c r="J810" s="441"/>
      <c r="K810" s="441"/>
      <c r="L810" s="797"/>
      <c r="M810" s="441"/>
      <c r="N810" s="441"/>
      <c r="O810" s="441"/>
      <c r="P810" s="441"/>
      <c r="Q810" s="441"/>
      <c r="R810" s="426"/>
      <c r="S810" s="441"/>
      <c r="T810" s="441"/>
      <c r="U810" s="441"/>
      <c r="V810" s="441"/>
      <c r="W810" s="441"/>
      <c r="X810" s="441"/>
      <c r="Y810" s="441"/>
      <c r="Z810" s="441"/>
      <c r="AA810" s="441"/>
      <c r="AB810" s="441"/>
      <c r="AC810" s="441"/>
      <c r="AD810" s="441"/>
      <c r="AE810" s="441"/>
      <c r="AF810" s="441"/>
      <c r="AG810" s="441"/>
      <c r="AH810" s="441"/>
      <c r="AI810" s="441"/>
      <c r="AJ810" s="441"/>
      <c r="AK810" s="441"/>
      <c r="AL810" s="441"/>
      <c r="AM810" s="441"/>
      <c r="AN810" s="441"/>
      <c r="AO810" s="441"/>
      <c r="AP810" s="441"/>
      <c r="AQ810" s="441"/>
      <c r="AR810" s="441"/>
      <c r="AS810" s="441"/>
      <c r="AT810" s="441"/>
      <c r="AU810" s="441"/>
      <c r="AV810" s="441"/>
      <c r="AW810" s="441"/>
      <c r="AX810" s="441"/>
      <c r="AY810" s="441"/>
      <c r="AZ810" s="441"/>
      <c r="BA810" s="441"/>
      <c r="BB810" s="441"/>
      <c r="BC810" s="441"/>
      <c r="BD810" s="441"/>
      <c r="BE810" s="441"/>
      <c r="BF810" s="441"/>
    </row>
    <row r="811">
      <c r="A811" s="798"/>
      <c r="B811" s="795"/>
      <c r="C811" s="795"/>
      <c r="D811" s="795"/>
      <c r="E811" s="795"/>
      <c r="F811" s="795"/>
      <c r="G811" s="795"/>
      <c r="H811" s="795"/>
      <c r="I811" s="796"/>
      <c r="J811" s="441"/>
      <c r="K811" s="441"/>
      <c r="L811" s="797"/>
      <c r="M811" s="441"/>
      <c r="N811" s="441"/>
      <c r="O811" s="441"/>
      <c r="P811" s="441"/>
      <c r="Q811" s="441"/>
      <c r="R811" s="426"/>
      <c r="S811" s="441"/>
      <c r="T811" s="441"/>
      <c r="U811" s="441"/>
      <c r="V811" s="441"/>
      <c r="W811" s="441"/>
      <c r="X811" s="441"/>
      <c r="Y811" s="441"/>
      <c r="Z811" s="441"/>
      <c r="AA811" s="441"/>
      <c r="AB811" s="441"/>
      <c r="AC811" s="441"/>
      <c r="AD811" s="441"/>
      <c r="AE811" s="441"/>
      <c r="AF811" s="441"/>
      <c r="AG811" s="441"/>
      <c r="AH811" s="441"/>
      <c r="AI811" s="441"/>
      <c r="AJ811" s="441"/>
      <c r="AK811" s="441"/>
      <c r="AL811" s="441"/>
      <c r="AM811" s="441"/>
      <c r="AN811" s="441"/>
      <c r="AO811" s="441"/>
      <c r="AP811" s="441"/>
      <c r="AQ811" s="441"/>
      <c r="AR811" s="441"/>
      <c r="AS811" s="441"/>
      <c r="AT811" s="441"/>
      <c r="AU811" s="441"/>
      <c r="AV811" s="441"/>
      <c r="AW811" s="441"/>
      <c r="AX811" s="441"/>
      <c r="AY811" s="441"/>
      <c r="AZ811" s="441"/>
      <c r="BA811" s="441"/>
      <c r="BB811" s="441"/>
      <c r="BC811" s="441"/>
      <c r="BD811" s="441"/>
      <c r="BE811" s="441"/>
      <c r="BF811" s="441"/>
    </row>
    <row r="812">
      <c r="A812" s="798"/>
      <c r="B812" s="795"/>
      <c r="C812" s="795"/>
      <c r="D812" s="795"/>
      <c r="E812" s="795"/>
      <c r="F812" s="795"/>
      <c r="G812" s="795"/>
      <c r="H812" s="795"/>
      <c r="I812" s="796"/>
      <c r="J812" s="441"/>
      <c r="K812" s="441"/>
      <c r="L812" s="797"/>
      <c r="M812" s="441"/>
      <c r="N812" s="441"/>
      <c r="O812" s="441"/>
      <c r="P812" s="441"/>
      <c r="Q812" s="441"/>
      <c r="R812" s="426"/>
      <c r="S812" s="441"/>
      <c r="T812" s="441"/>
      <c r="U812" s="441"/>
      <c r="V812" s="441"/>
      <c r="W812" s="441"/>
      <c r="X812" s="441"/>
      <c r="Y812" s="441"/>
      <c r="Z812" s="441"/>
      <c r="AA812" s="441"/>
      <c r="AB812" s="441"/>
      <c r="AC812" s="441"/>
      <c r="AD812" s="441"/>
      <c r="AE812" s="441"/>
      <c r="AF812" s="441"/>
      <c r="AG812" s="441"/>
      <c r="AH812" s="441"/>
      <c r="AI812" s="441"/>
      <c r="AJ812" s="441"/>
      <c r="AK812" s="441"/>
      <c r="AL812" s="441"/>
      <c r="AM812" s="441"/>
      <c r="AN812" s="441"/>
      <c r="AO812" s="441"/>
      <c r="AP812" s="441"/>
      <c r="AQ812" s="441"/>
      <c r="AR812" s="441"/>
      <c r="AS812" s="441"/>
      <c r="AT812" s="441"/>
      <c r="AU812" s="441"/>
      <c r="AV812" s="441"/>
      <c r="AW812" s="441"/>
      <c r="AX812" s="441"/>
      <c r="AY812" s="441"/>
      <c r="AZ812" s="441"/>
      <c r="BA812" s="441"/>
      <c r="BB812" s="441"/>
      <c r="BC812" s="441"/>
      <c r="BD812" s="441"/>
      <c r="BE812" s="441"/>
      <c r="BF812" s="441"/>
    </row>
    <row r="813">
      <c r="A813" s="798"/>
      <c r="B813" s="795"/>
      <c r="C813" s="795"/>
      <c r="D813" s="795"/>
      <c r="E813" s="795"/>
      <c r="F813" s="795"/>
      <c r="G813" s="795"/>
      <c r="H813" s="795"/>
      <c r="I813" s="796"/>
      <c r="J813" s="441"/>
      <c r="K813" s="441"/>
      <c r="L813" s="797"/>
      <c r="M813" s="441"/>
      <c r="N813" s="441"/>
      <c r="O813" s="441"/>
      <c r="P813" s="441"/>
      <c r="Q813" s="441"/>
      <c r="R813" s="426"/>
      <c r="S813" s="441"/>
      <c r="T813" s="441"/>
      <c r="U813" s="441"/>
      <c r="V813" s="441"/>
      <c r="W813" s="441"/>
      <c r="X813" s="441"/>
      <c r="Y813" s="441"/>
      <c r="Z813" s="441"/>
      <c r="AA813" s="441"/>
      <c r="AB813" s="441"/>
      <c r="AC813" s="441"/>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1"/>
      <c r="AY813" s="441"/>
      <c r="AZ813" s="441"/>
      <c r="BA813" s="441"/>
      <c r="BB813" s="441"/>
      <c r="BC813" s="441"/>
      <c r="BD813" s="441"/>
      <c r="BE813" s="441"/>
      <c r="BF813" s="441"/>
    </row>
    <row r="814">
      <c r="A814" s="798"/>
      <c r="B814" s="795"/>
      <c r="C814" s="795"/>
      <c r="D814" s="795"/>
      <c r="E814" s="795"/>
      <c r="F814" s="795"/>
      <c r="G814" s="795"/>
      <c r="H814" s="795"/>
      <c r="I814" s="796"/>
      <c r="J814" s="441"/>
      <c r="K814" s="441"/>
      <c r="L814" s="797"/>
      <c r="M814" s="441"/>
      <c r="N814" s="441"/>
      <c r="O814" s="441"/>
      <c r="P814" s="441"/>
      <c r="Q814" s="441"/>
      <c r="R814" s="426"/>
      <c r="S814" s="441"/>
      <c r="T814" s="441"/>
      <c r="U814" s="441"/>
      <c r="V814" s="441"/>
      <c r="W814" s="441"/>
      <c r="X814" s="441"/>
      <c r="Y814" s="441"/>
      <c r="Z814" s="441"/>
      <c r="AA814" s="441"/>
      <c r="AB814" s="441"/>
      <c r="AC814" s="441"/>
      <c r="AD814" s="441"/>
      <c r="AE814" s="441"/>
      <c r="AF814" s="441"/>
      <c r="AG814" s="441"/>
      <c r="AH814" s="441"/>
      <c r="AI814" s="441"/>
      <c r="AJ814" s="441"/>
      <c r="AK814" s="441"/>
      <c r="AL814" s="441"/>
      <c r="AM814" s="441"/>
      <c r="AN814" s="441"/>
      <c r="AO814" s="441"/>
      <c r="AP814" s="441"/>
      <c r="AQ814" s="441"/>
      <c r="AR814" s="441"/>
      <c r="AS814" s="441"/>
      <c r="AT814" s="441"/>
      <c r="AU814" s="441"/>
      <c r="AV814" s="441"/>
      <c r="AW814" s="441"/>
      <c r="AX814" s="441"/>
      <c r="AY814" s="441"/>
      <c r="AZ814" s="441"/>
      <c r="BA814" s="441"/>
      <c r="BB814" s="441"/>
      <c r="BC814" s="441"/>
      <c r="BD814" s="441"/>
      <c r="BE814" s="441"/>
      <c r="BF814" s="441"/>
    </row>
    <row r="815">
      <c r="A815" s="798"/>
      <c r="B815" s="795"/>
      <c r="C815" s="795"/>
      <c r="D815" s="795"/>
      <c r="E815" s="795"/>
      <c r="F815" s="795"/>
      <c r="G815" s="795"/>
      <c r="H815" s="795"/>
      <c r="I815" s="796"/>
      <c r="J815" s="441"/>
      <c r="K815" s="441"/>
      <c r="L815" s="797"/>
      <c r="M815" s="441"/>
      <c r="N815" s="441"/>
      <c r="O815" s="441"/>
      <c r="P815" s="441"/>
      <c r="Q815" s="441"/>
      <c r="R815" s="426"/>
      <c r="S815" s="441"/>
      <c r="T815" s="441"/>
      <c r="U815" s="441"/>
      <c r="V815" s="441"/>
      <c r="W815" s="441"/>
      <c r="X815" s="441"/>
      <c r="Y815" s="441"/>
      <c r="Z815" s="441"/>
      <c r="AA815" s="441"/>
      <c r="AB815" s="441"/>
      <c r="AC815" s="441"/>
      <c r="AD815" s="441"/>
      <c r="AE815" s="441"/>
      <c r="AF815" s="441"/>
      <c r="AG815" s="441"/>
      <c r="AH815" s="441"/>
      <c r="AI815" s="441"/>
      <c r="AJ815" s="441"/>
      <c r="AK815" s="441"/>
      <c r="AL815" s="441"/>
      <c r="AM815" s="441"/>
      <c r="AN815" s="441"/>
      <c r="AO815" s="441"/>
      <c r="AP815" s="441"/>
      <c r="AQ815" s="441"/>
      <c r="AR815" s="441"/>
      <c r="AS815" s="441"/>
      <c r="AT815" s="441"/>
      <c r="AU815" s="441"/>
      <c r="AV815" s="441"/>
      <c r="AW815" s="441"/>
      <c r="AX815" s="441"/>
      <c r="AY815" s="441"/>
      <c r="AZ815" s="441"/>
      <c r="BA815" s="441"/>
      <c r="BB815" s="441"/>
      <c r="BC815" s="441"/>
      <c r="BD815" s="441"/>
      <c r="BE815" s="441"/>
      <c r="BF815" s="441"/>
    </row>
    <row r="816">
      <c r="A816" s="798"/>
      <c r="B816" s="795"/>
      <c r="C816" s="795"/>
      <c r="D816" s="795"/>
      <c r="E816" s="795"/>
      <c r="F816" s="795"/>
      <c r="G816" s="795"/>
      <c r="H816" s="795"/>
      <c r="I816" s="796"/>
      <c r="J816" s="441"/>
      <c r="K816" s="441"/>
      <c r="L816" s="797"/>
      <c r="M816" s="441"/>
      <c r="N816" s="441"/>
      <c r="O816" s="441"/>
      <c r="P816" s="441"/>
      <c r="Q816" s="441"/>
      <c r="R816" s="426"/>
      <c r="S816" s="441"/>
      <c r="T816" s="441"/>
      <c r="U816" s="441"/>
      <c r="V816" s="441"/>
      <c r="W816" s="441"/>
      <c r="X816" s="441"/>
      <c r="Y816" s="441"/>
      <c r="Z816" s="441"/>
      <c r="AA816" s="441"/>
      <c r="AB816" s="441"/>
      <c r="AC816" s="441"/>
      <c r="AD816" s="441"/>
      <c r="AE816" s="441"/>
      <c r="AF816" s="441"/>
      <c r="AG816" s="441"/>
      <c r="AH816" s="441"/>
      <c r="AI816" s="441"/>
      <c r="AJ816" s="441"/>
      <c r="AK816" s="441"/>
      <c r="AL816" s="441"/>
      <c r="AM816" s="441"/>
      <c r="AN816" s="441"/>
      <c r="AO816" s="441"/>
      <c r="AP816" s="441"/>
      <c r="AQ816" s="441"/>
      <c r="AR816" s="441"/>
      <c r="AS816" s="441"/>
      <c r="AT816" s="441"/>
      <c r="AU816" s="441"/>
      <c r="AV816" s="441"/>
      <c r="AW816" s="441"/>
      <c r="AX816" s="441"/>
      <c r="AY816" s="441"/>
      <c r="AZ816" s="441"/>
      <c r="BA816" s="441"/>
      <c r="BB816" s="441"/>
      <c r="BC816" s="441"/>
      <c r="BD816" s="441"/>
      <c r="BE816" s="441"/>
      <c r="BF816" s="441"/>
    </row>
    <row r="817">
      <c r="A817" s="798"/>
      <c r="B817" s="795"/>
      <c r="C817" s="795"/>
      <c r="D817" s="795"/>
      <c r="E817" s="795"/>
      <c r="F817" s="795"/>
      <c r="G817" s="795"/>
      <c r="H817" s="795"/>
      <c r="I817" s="796"/>
      <c r="J817" s="441"/>
      <c r="K817" s="441"/>
      <c r="L817" s="797"/>
      <c r="M817" s="441"/>
      <c r="N817" s="441"/>
      <c r="O817" s="441"/>
      <c r="P817" s="441"/>
      <c r="Q817" s="441"/>
      <c r="R817" s="426"/>
      <c r="S817" s="441"/>
      <c r="T817" s="441"/>
      <c r="U817" s="441"/>
      <c r="V817" s="441"/>
      <c r="W817" s="441"/>
      <c r="X817" s="441"/>
      <c r="Y817" s="441"/>
      <c r="Z817" s="441"/>
      <c r="AA817" s="441"/>
      <c r="AB817" s="441"/>
      <c r="AC817" s="441"/>
      <c r="AD817" s="441"/>
      <c r="AE817" s="441"/>
      <c r="AF817" s="441"/>
      <c r="AG817" s="441"/>
      <c r="AH817" s="441"/>
      <c r="AI817" s="441"/>
      <c r="AJ817" s="441"/>
      <c r="AK817" s="441"/>
      <c r="AL817" s="441"/>
      <c r="AM817" s="441"/>
      <c r="AN817" s="441"/>
      <c r="AO817" s="441"/>
      <c r="AP817" s="441"/>
      <c r="AQ817" s="441"/>
      <c r="AR817" s="441"/>
      <c r="AS817" s="441"/>
      <c r="AT817" s="441"/>
      <c r="AU817" s="441"/>
      <c r="AV817" s="441"/>
      <c r="AW817" s="441"/>
      <c r="AX817" s="441"/>
      <c r="AY817" s="441"/>
      <c r="AZ817" s="441"/>
      <c r="BA817" s="441"/>
      <c r="BB817" s="441"/>
      <c r="BC817" s="441"/>
      <c r="BD817" s="441"/>
      <c r="BE817" s="441"/>
      <c r="BF817" s="441"/>
    </row>
    <row r="818">
      <c r="A818" s="798"/>
      <c r="B818" s="795"/>
      <c r="C818" s="795"/>
      <c r="D818" s="795"/>
      <c r="E818" s="795"/>
      <c r="F818" s="795"/>
      <c r="G818" s="795"/>
      <c r="H818" s="795"/>
      <c r="I818" s="796"/>
      <c r="J818" s="441"/>
      <c r="K818" s="441"/>
      <c r="L818" s="797"/>
      <c r="M818" s="441"/>
      <c r="N818" s="441"/>
      <c r="O818" s="441"/>
      <c r="P818" s="441"/>
      <c r="Q818" s="441"/>
      <c r="R818" s="426"/>
      <c r="S818" s="441"/>
      <c r="T818" s="441"/>
      <c r="U818" s="441"/>
      <c r="V818" s="441"/>
      <c r="W818" s="441"/>
      <c r="X818" s="441"/>
      <c r="Y818" s="441"/>
      <c r="Z818" s="441"/>
      <c r="AA818" s="441"/>
      <c r="AB818" s="441"/>
      <c r="AC818" s="441"/>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1"/>
      <c r="AY818" s="441"/>
      <c r="AZ818" s="441"/>
      <c r="BA818" s="441"/>
      <c r="BB818" s="441"/>
      <c r="BC818" s="441"/>
      <c r="BD818" s="441"/>
      <c r="BE818" s="441"/>
      <c r="BF818" s="441"/>
    </row>
    <row r="819">
      <c r="A819" s="798"/>
      <c r="B819" s="795"/>
      <c r="C819" s="795"/>
      <c r="D819" s="795"/>
      <c r="E819" s="795"/>
      <c r="F819" s="795"/>
      <c r="G819" s="795"/>
      <c r="H819" s="795"/>
      <c r="I819" s="796"/>
      <c r="J819" s="441"/>
      <c r="K819" s="441"/>
      <c r="L819" s="797"/>
      <c r="M819" s="441"/>
      <c r="N819" s="441"/>
      <c r="O819" s="441"/>
      <c r="P819" s="441"/>
      <c r="Q819" s="441"/>
      <c r="R819" s="426"/>
      <c r="S819" s="441"/>
      <c r="T819" s="441"/>
      <c r="U819" s="441"/>
      <c r="V819" s="441"/>
      <c r="W819" s="441"/>
      <c r="X819" s="441"/>
      <c r="Y819" s="441"/>
      <c r="Z819" s="441"/>
      <c r="AA819" s="441"/>
      <c r="AB819" s="441"/>
      <c r="AC819" s="441"/>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1"/>
      <c r="AY819" s="441"/>
      <c r="AZ819" s="441"/>
      <c r="BA819" s="441"/>
      <c r="BB819" s="441"/>
      <c r="BC819" s="441"/>
      <c r="BD819" s="441"/>
      <c r="BE819" s="441"/>
      <c r="BF819" s="441"/>
    </row>
    <row r="820">
      <c r="A820" s="798"/>
      <c r="B820" s="795"/>
      <c r="C820" s="795"/>
      <c r="D820" s="795"/>
      <c r="E820" s="795"/>
      <c r="F820" s="795"/>
      <c r="G820" s="795"/>
      <c r="H820" s="795"/>
      <c r="I820" s="796"/>
      <c r="J820" s="441"/>
      <c r="K820" s="441"/>
      <c r="L820" s="797"/>
      <c r="M820" s="441"/>
      <c r="N820" s="441"/>
      <c r="O820" s="441"/>
      <c r="P820" s="441"/>
      <c r="Q820" s="441"/>
      <c r="R820" s="426"/>
      <c r="S820" s="441"/>
      <c r="T820" s="441"/>
      <c r="U820" s="441"/>
      <c r="V820" s="441"/>
      <c r="W820" s="441"/>
      <c r="X820" s="441"/>
      <c r="Y820" s="441"/>
      <c r="Z820" s="441"/>
      <c r="AA820" s="441"/>
      <c r="AB820" s="441"/>
      <c r="AC820" s="441"/>
      <c r="AD820" s="441"/>
      <c r="AE820" s="441"/>
      <c r="AF820" s="441"/>
      <c r="AG820" s="441"/>
      <c r="AH820" s="441"/>
      <c r="AI820" s="441"/>
      <c r="AJ820" s="441"/>
      <c r="AK820" s="441"/>
      <c r="AL820" s="441"/>
      <c r="AM820" s="441"/>
      <c r="AN820" s="441"/>
      <c r="AO820" s="441"/>
      <c r="AP820" s="441"/>
      <c r="AQ820" s="441"/>
      <c r="AR820" s="441"/>
      <c r="AS820" s="441"/>
      <c r="AT820" s="441"/>
      <c r="AU820" s="441"/>
      <c r="AV820" s="441"/>
      <c r="AW820" s="441"/>
      <c r="AX820" s="441"/>
      <c r="AY820" s="441"/>
      <c r="AZ820" s="441"/>
      <c r="BA820" s="441"/>
      <c r="BB820" s="441"/>
      <c r="BC820" s="441"/>
      <c r="BD820" s="441"/>
      <c r="BE820" s="441"/>
      <c r="BF820" s="441"/>
    </row>
    <row r="821">
      <c r="A821" s="798"/>
      <c r="B821" s="795"/>
      <c r="C821" s="795"/>
      <c r="D821" s="795"/>
      <c r="E821" s="795"/>
      <c r="F821" s="795"/>
      <c r="G821" s="795"/>
      <c r="H821" s="795"/>
      <c r="I821" s="796"/>
      <c r="J821" s="441"/>
      <c r="K821" s="441"/>
      <c r="L821" s="797"/>
      <c r="M821" s="441"/>
      <c r="N821" s="441"/>
      <c r="O821" s="441"/>
      <c r="P821" s="441"/>
      <c r="Q821" s="441"/>
      <c r="R821" s="426"/>
      <c r="S821" s="441"/>
      <c r="T821" s="441"/>
      <c r="U821" s="441"/>
      <c r="V821" s="441"/>
      <c r="W821" s="441"/>
      <c r="X821" s="441"/>
      <c r="Y821" s="441"/>
      <c r="Z821" s="441"/>
      <c r="AA821" s="441"/>
      <c r="AB821" s="441"/>
      <c r="AC821" s="441"/>
      <c r="AD821" s="441"/>
      <c r="AE821" s="441"/>
      <c r="AF821" s="441"/>
      <c r="AG821" s="441"/>
      <c r="AH821" s="441"/>
      <c r="AI821" s="441"/>
      <c r="AJ821" s="441"/>
      <c r="AK821" s="441"/>
      <c r="AL821" s="441"/>
      <c r="AM821" s="441"/>
      <c r="AN821" s="441"/>
      <c r="AO821" s="441"/>
      <c r="AP821" s="441"/>
      <c r="AQ821" s="441"/>
      <c r="AR821" s="441"/>
      <c r="AS821" s="441"/>
      <c r="AT821" s="441"/>
      <c r="AU821" s="441"/>
      <c r="AV821" s="441"/>
      <c r="AW821" s="441"/>
      <c r="AX821" s="441"/>
      <c r="AY821" s="441"/>
      <c r="AZ821" s="441"/>
      <c r="BA821" s="441"/>
      <c r="BB821" s="441"/>
      <c r="BC821" s="441"/>
      <c r="BD821" s="441"/>
      <c r="BE821" s="441"/>
      <c r="BF821" s="441"/>
    </row>
    <row r="822">
      <c r="A822" s="798"/>
      <c r="B822" s="795"/>
      <c r="C822" s="795"/>
      <c r="D822" s="795"/>
      <c r="E822" s="795"/>
      <c r="F822" s="795"/>
      <c r="G822" s="795"/>
      <c r="H822" s="795"/>
      <c r="I822" s="796"/>
      <c r="J822" s="441"/>
      <c r="K822" s="441"/>
      <c r="L822" s="797"/>
      <c r="M822" s="441"/>
      <c r="N822" s="441"/>
      <c r="O822" s="441"/>
      <c r="P822" s="441"/>
      <c r="Q822" s="441"/>
      <c r="R822" s="426"/>
      <c r="S822" s="441"/>
      <c r="T822" s="441"/>
      <c r="U822" s="441"/>
      <c r="V822" s="441"/>
      <c r="W822" s="441"/>
      <c r="X822" s="441"/>
      <c r="Y822" s="441"/>
      <c r="Z822" s="441"/>
      <c r="AA822" s="441"/>
      <c r="AB822" s="441"/>
      <c r="AC822" s="441"/>
      <c r="AD822" s="441"/>
      <c r="AE822" s="441"/>
      <c r="AF822" s="441"/>
      <c r="AG822" s="441"/>
      <c r="AH822" s="441"/>
      <c r="AI822" s="441"/>
      <c r="AJ822" s="441"/>
      <c r="AK822" s="441"/>
      <c r="AL822" s="441"/>
      <c r="AM822" s="441"/>
      <c r="AN822" s="441"/>
      <c r="AO822" s="441"/>
      <c r="AP822" s="441"/>
      <c r="AQ822" s="441"/>
      <c r="AR822" s="441"/>
      <c r="AS822" s="441"/>
      <c r="AT822" s="441"/>
      <c r="AU822" s="441"/>
      <c r="AV822" s="441"/>
      <c r="AW822" s="441"/>
      <c r="AX822" s="441"/>
      <c r="AY822" s="441"/>
      <c r="AZ822" s="441"/>
      <c r="BA822" s="441"/>
      <c r="BB822" s="441"/>
      <c r="BC822" s="441"/>
      <c r="BD822" s="441"/>
      <c r="BE822" s="441"/>
      <c r="BF822" s="441"/>
    </row>
    <row r="823">
      <c r="A823" s="798"/>
      <c r="B823" s="795"/>
      <c r="C823" s="795"/>
      <c r="D823" s="795"/>
      <c r="E823" s="795"/>
      <c r="F823" s="795"/>
      <c r="G823" s="795"/>
      <c r="H823" s="795"/>
      <c r="I823" s="796"/>
      <c r="J823" s="441"/>
      <c r="K823" s="441"/>
      <c r="L823" s="797"/>
      <c r="M823" s="441"/>
      <c r="N823" s="441"/>
      <c r="O823" s="441"/>
      <c r="P823" s="441"/>
      <c r="Q823" s="441"/>
      <c r="R823" s="426"/>
      <c r="S823" s="441"/>
      <c r="T823" s="441"/>
      <c r="U823" s="441"/>
      <c r="V823" s="441"/>
      <c r="W823" s="441"/>
      <c r="X823" s="441"/>
      <c r="Y823" s="441"/>
      <c r="Z823" s="441"/>
      <c r="AA823" s="441"/>
      <c r="AB823" s="441"/>
      <c r="AC823" s="441"/>
      <c r="AD823" s="441"/>
      <c r="AE823" s="441"/>
      <c r="AF823" s="441"/>
      <c r="AG823" s="441"/>
      <c r="AH823" s="441"/>
      <c r="AI823" s="441"/>
      <c r="AJ823" s="441"/>
      <c r="AK823" s="441"/>
      <c r="AL823" s="441"/>
      <c r="AM823" s="441"/>
      <c r="AN823" s="441"/>
      <c r="AO823" s="441"/>
      <c r="AP823" s="441"/>
      <c r="AQ823" s="441"/>
      <c r="AR823" s="441"/>
      <c r="AS823" s="441"/>
      <c r="AT823" s="441"/>
      <c r="AU823" s="441"/>
      <c r="AV823" s="441"/>
      <c r="AW823" s="441"/>
      <c r="AX823" s="441"/>
      <c r="AY823" s="441"/>
      <c r="AZ823" s="441"/>
      <c r="BA823" s="441"/>
      <c r="BB823" s="441"/>
      <c r="BC823" s="441"/>
      <c r="BD823" s="441"/>
      <c r="BE823" s="441"/>
      <c r="BF823" s="441"/>
    </row>
    <row r="824">
      <c r="A824" s="798"/>
      <c r="B824" s="795"/>
      <c r="C824" s="795"/>
      <c r="D824" s="795"/>
      <c r="E824" s="795"/>
      <c r="F824" s="795"/>
      <c r="G824" s="795"/>
      <c r="H824" s="795"/>
      <c r="I824" s="796"/>
      <c r="J824" s="441"/>
      <c r="K824" s="441"/>
      <c r="L824" s="797"/>
      <c r="M824" s="441"/>
      <c r="N824" s="441"/>
      <c r="O824" s="441"/>
      <c r="P824" s="441"/>
      <c r="Q824" s="441"/>
      <c r="R824" s="426"/>
      <c r="S824" s="441"/>
      <c r="T824" s="441"/>
      <c r="U824" s="441"/>
      <c r="V824" s="441"/>
      <c r="W824" s="441"/>
      <c r="X824" s="441"/>
      <c r="Y824" s="441"/>
      <c r="Z824" s="441"/>
      <c r="AA824" s="441"/>
      <c r="AB824" s="441"/>
      <c r="AC824" s="441"/>
      <c r="AD824" s="441"/>
      <c r="AE824" s="441"/>
      <c r="AF824" s="441"/>
      <c r="AG824" s="441"/>
      <c r="AH824" s="441"/>
      <c r="AI824" s="441"/>
      <c r="AJ824" s="441"/>
      <c r="AK824" s="441"/>
      <c r="AL824" s="441"/>
      <c r="AM824" s="441"/>
      <c r="AN824" s="441"/>
      <c r="AO824" s="441"/>
      <c r="AP824" s="441"/>
      <c r="AQ824" s="441"/>
      <c r="AR824" s="441"/>
      <c r="AS824" s="441"/>
      <c r="AT824" s="441"/>
      <c r="AU824" s="441"/>
      <c r="AV824" s="441"/>
      <c r="AW824" s="441"/>
      <c r="AX824" s="441"/>
      <c r="AY824" s="441"/>
      <c r="AZ824" s="441"/>
      <c r="BA824" s="441"/>
      <c r="BB824" s="441"/>
      <c r="BC824" s="441"/>
      <c r="BD824" s="441"/>
      <c r="BE824" s="441"/>
      <c r="BF824" s="441"/>
    </row>
    <row r="825">
      <c r="A825" s="798"/>
      <c r="B825" s="795"/>
      <c r="C825" s="795"/>
      <c r="D825" s="795"/>
      <c r="E825" s="795"/>
      <c r="F825" s="795"/>
      <c r="G825" s="795"/>
      <c r="H825" s="795"/>
      <c r="I825" s="796"/>
      <c r="J825" s="441"/>
      <c r="K825" s="441"/>
      <c r="L825" s="797"/>
      <c r="M825" s="441"/>
      <c r="N825" s="441"/>
      <c r="O825" s="441"/>
      <c r="P825" s="441"/>
      <c r="Q825" s="441"/>
      <c r="R825" s="426"/>
      <c r="S825" s="441"/>
      <c r="T825" s="441"/>
      <c r="U825" s="441"/>
      <c r="V825" s="441"/>
      <c r="W825" s="441"/>
      <c r="X825" s="441"/>
      <c r="Y825" s="441"/>
      <c r="Z825" s="441"/>
      <c r="AA825" s="441"/>
      <c r="AB825" s="441"/>
      <c r="AC825" s="441"/>
      <c r="AD825" s="441"/>
      <c r="AE825" s="441"/>
      <c r="AF825" s="441"/>
      <c r="AG825" s="441"/>
      <c r="AH825" s="441"/>
      <c r="AI825" s="441"/>
      <c r="AJ825" s="441"/>
      <c r="AK825" s="441"/>
      <c r="AL825" s="441"/>
      <c r="AM825" s="441"/>
      <c r="AN825" s="441"/>
      <c r="AO825" s="441"/>
      <c r="AP825" s="441"/>
      <c r="AQ825" s="441"/>
      <c r="AR825" s="441"/>
      <c r="AS825" s="441"/>
      <c r="AT825" s="441"/>
      <c r="AU825" s="441"/>
      <c r="AV825" s="441"/>
      <c r="AW825" s="441"/>
      <c r="AX825" s="441"/>
      <c r="AY825" s="441"/>
      <c r="AZ825" s="441"/>
      <c r="BA825" s="441"/>
      <c r="BB825" s="441"/>
      <c r="BC825" s="441"/>
      <c r="BD825" s="441"/>
      <c r="BE825" s="441"/>
      <c r="BF825" s="441"/>
    </row>
    <row r="826">
      <c r="A826" s="798"/>
      <c r="B826" s="795"/>
      <c r="C826" s="795"/>
      <c r="D826" s="795"/>
      <c r="E826" s="795"/>
      <c r="F826" s="795"/>
      <c r="G826" s="795"/>
      <c r="H826" s="795"/>
      <c r="I826" s="796"/>
      <c r="J826" s="441"/>
      <c r="K826" s="441"/>
      <c r="L826" s="797"/>
      <c r="M826" s="441"/>
      <c r="N826" s="441"/>
      <c r="O826" s="441"/>
      <c r="P826" s="441"/>
      <c r="Q826" s="441"/>
      <c r="R826" s="426"/>
      <c r="S826" s="441"/>
      <c r="T826" s="441"/>
      <c r="U826" s="441"/>
      <c r="V826" s="441"/>
      <c r="W826" s="441"/>
      <c r="X826" s="441"/>
      <c r="Y826" s="441"/>
      <c r="Z826" s="441"/>
      <c r="AA826" s="441"/>
      <c r="AB826" s="441"/>
      <c r="AC826" s="441"/>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1"/>
      <c r="AY826" s="441"/>
      <c r="AZ826" s="441"/>
      <c r="BA826" s="441"/>
      <c r="BB826" s="441"/>
      <c r="BC826" s="441"/>
      <c r="BD826" s="441"/>
      <c r="BE826" s="441"/>
      <c r="BF826" s="441"/>
    </row>
    <row r="827">
      <c r="A827" s="798"/>
      <c r="B827" s="795"/>
      <c r="C827" s="795"/>
      <c r="D827" s="795"/>
      <c r="E827" s="795"/>
      <c r="F827" s="795"/>
      <c r="G827" s="795"/>
      <c r="H827" s="795"/>
      <c r="I827" s="796"/>
      <c r="J827" s="441"/>
      <c r="K827" s="441"/>
      <c r="L827" s="797"/>
      <c r="M827" s="441"/>
      <c r="N827" s="441"/>
      <c r="O827" s="441"/>
      <c r="P827" s="441"/>
      <c r="Q827" s="441"/>
      <c r="R827" s="426"/>
      <c r="S827" s="441"/>
      <c r="T827" s="441"/>
      <c r="U827" s="441"/>
      <c r="V827" s="441"/>
      <c r="W827" s="441"/>
      <c r="X827" s="441"/>
      <c r="Y827" s="441"/>
      <c r="Z827" s="441"/>
      <c r="AA827" s="441"/>
      <c r="AB827" s="441"/>
      <c r="AC827" s="441"/>
      <c r="AD827" s="441"/>
      <c r="AE827" s="441"/>
      <c r="AF827" s="441"/>
      <c r="AG827" s="441"/>
      <c r="AH827" s="441"/>
      <c r="AI827" s="441"/>
      <c r="AJ827" s="441"/>
      <c r="AK827" s="441"/>
      <c r="AL827" s="441"/>
      <c r="AM827" s="441"/>
      <c r="AN827" s="441"/>
      <c r="AO827" s="441"/>
      <c r="AP827" s="441"/>
      <c r="AQ827" s="441"/>
      <c r="AR827" s="441"/>
      <c r="AS827" s="441"/>
      <c r="AT827" s="441"/>
      <c r="AU827" s="441"/>
      <c r="AV827" s="441"/>
      <c r="AW827" s="441"/>
      <c r="AX827" s="441"/>
      <c r="AY827" s="441"/>
      <c r="AZ827" s="441"/>
      <c r="BA827" s="441"/>
      <c r="BB827" s="441"/>
      <c r="BC827" s="441"/>
      <c r="BD827" s="441"/>
      <c r="BE827" s="441"/>
      <c r="BF827" s="441"/>
    </row>
    <row r="828">
      <c r="A828" s="798"/>
      <c r="B828" s="795"/>
      <c r="C828" s="795"/>
      <c r="D828" s="795"/>
      <c r="E828" s="795"/>
      <c r="F828" s="795"/>
      <c r="G828" s="795"/>
      <c r="H828" s="795"/>
      <c r="I828" s="796"/>
      <c r="J828" s="441"/>
      <c r="K828" s="441"/>
      <c r="L828" s="797"/>
      <c r="M828" s="441"/>
      <c r="N828" s="441"/>
      <c r="O828" s="441"/>
      <c r="P828" s="441"/>
      <c r="Q828" s="441"/>
      <c r="R828" s="426"/>
      <c r="S828" s="441"/>
      <c r="T828" s="441"/>
      <c r="U828" s="441"/>
      <c r="V828" s="441"/>
      <c r="W828" s="441"/>
      <c r="X828" s="441"/>
      <c r="Y828" s="441"/>
      <c r="Z828" s="441"/>
      <c r="AA828" s="441"/>
      <c r="AB828" s="441"/>
      <c r="AC828" s="441"/>
      <c r="AD828" s="441"/>
      <c r="AE828" s="441"/>
      <c r="AF828" s="441"/>
      <c r="AG828" s="441"/>
      <c r="AH828" s="441"/>
      <c r="AI828" s="441"/>
      <c r="AJ828" s="441"/>
      <c r="AK828" s="441"/>
      <c r="AL828" s="441"/>
      <c r="AM828" s="441"/>
      <c r="AN828" s="441"/>
      <c r="AO828" s="441"/>
      <c r="AP828" s="441"/>
      <c r="AQ828" s="441"/>
      <c r="AR828" s="441"/>
      <c r="AS828" s="441"/>
      <c r="AT828" s="441"/>
      <c r="AU828" s="441"/>
      <c r="AV828" s="441"/>
      <c r="AW828" s="441"/>
      <c r="AX828" s="441"/>
      <c r="AY828" s="441"/>
      <c r="AZ828" s="441"/>
      <c r="BA828" s="441"/>
      <c r="BB828" s="441"/>
      <c r="BC828" s="441"/>
      <c r="BD828" s="441"/>
      <c r="BE828" s="441"/>
      <c r="BF828" s="441"/>
    </row>
    <row r="829">
      <c r="A829" s="798"/>
      <c r="B829" s="795"/>
      <c r="C829" s="795"/>
      <c r="D829" s="795"/>
      <c r="E829" s="795"/>
      <c r="F829" s="795"/>
      <c r="G829" s="795"/>
      <c r="H829" s="795"/>
      <c r="I829" s="796"/>
      <c r="J829" s="441"/>
      <c r="K829" s="441"/>
      <c r="L829" s="797"/>
      <c r="M829" s="441"/>
      <c r="N829" s="441"/>
      <c r="O829" s="441"/>
      <c r="P829" s="441"/>
      <c r="Q829" s="441"/>
      <c r="R829" s="426"/>
      <c r="S829" s="441"/>
      <c r="T829" s="441"/>
      <c r="U829" s="441"/>
      <c r="V829" s="441"/>
      <c r="W829" s="441"/>
      <c r="X829" s="441"/>
      <c r="Y829" s="441"/>
      <c r="Z829" s="441"/>
      <c r="AA829" s="441"/>
      <c r="AB829" s="441"/>
      <c r="AC829" s="441"/>
      <c r="AD829" s="441"/>
      <c r="AE829" s="441"/>
      <c r="AF829" s="441"/>
      <c r="AG829" s="441"/>
      <c r="AH829" s="441"/>
      <c r="AI829" s="441"/>
      <c r="AJ829" s="441"/>
      <c r="AK829" s="441"/>
      <c r="AL829" s="441"/>
      <c r="AM829" s="441"/>
      <c r="AN829" s="441"/>
      <c r="AO829" s="441"/>
      <c r="AP829" s="441"/>
      <c r="AQ829" s="441"/>
      <c r="AR829" s="441"/>
      <c r="AS829" s="441"/>
      <c r="AT829" s="441"/>
      <c r="AU829" s="441"/>
      <c r="AV829" s="441"/>
      <c r="AW829" s="441"/>
      <c r="AX829" s="441"/>
      <c r="AY829" s="441"/>
      <c r="AZ829" s="441"/>
      <c r="BA829" s="441"/>
      <c r="BB829" s="441"/>
      <c r="BC829" s="441"/>
      <c r="BD829" s="441"/>
      <c r="BE829" s="441"/>
      <c r="BF829" s="441"/>
    </row>
    <row r="830">
      <c r="A830" s="798"/>
      <c r="B830" s="795"/>
      <c r="C830" s="795"/>
      <c r="D830" s="795"/>
      <c r="E830" s="795"/>
      <c r="F830" s="795"/>
      <c r="G830" s="795"/>
      <c r="H830" s="795"/>
      <c r="I830" s="796"/>
      <c r="J830" s="441"/>
      <c r="K830" s="441"/>
      <c r="L830" s="797"/>
      <c r="M830" s="441"/>
      <c r="N830" s="441"/>
      <c r="O830" s="441"/>
      <c r="P830" s="441"/>
      <c r="Q830" s="441"/>
      <c r="R830" s="426"/>
      <c r="S830" s="441"/>
      <c r="T830" s="441"/>
      <c r="U830" s="441"/>
      <c r="V830" s="441"/>
      <c r="W830" s="441"/>
      <c r="X830" s="441"/>
      <c r="Y830" s="441"/>
      <c r="Z830" s="441"/>
      <c r="AA830" s="441"/>
      <c r="AB830" s="441"/>
      <c r="AC830" s="441"/>
      <c r="AD830" s="441"/>
      <c r="AE830" s="441"/>
      <c r="AF830" s="441"/>
      <c r="AG830" s="441"/>
      <c r="AH830" s="441"/>
      <c r="AI830" s="441"/>
      <c r="AJ830" s="441"/>
      <c r="AK830" s="441"/>
      <c r="AL830" s="441"/>
      <c r="AM830" s="441"/>
      <c r="AN830" s="441"/>
      <c r="AO830" s="441"/>
      <c r="AP830" s="441"/>
      <c r="AQ830" s="441"/>
      <c r="AR830" s="441"/>
      <c r="AS830" s="441"/>
      <c r="AT830" s="441"/>
      <c r="AU830" s="441"/>
      <c r="AV830" s="441"/>
      <c r="AW830" s="441"/>
      <c r="AX830" s="441"/>
      <c r="AY830" s="441"/>
      <c r="AZ830" s="441"/>
      <c r="BA830" s="441"/>
      <c r="BB830" s="441"/>
      <c r="BC830" s="441"/>
      <c r="BD830" s="441"/>
      <c r="BE830" s="441"/>
      <c r="BF830" s="441"/>
    </row>
    <row r="831">
      <c r="A831" s="798"/>
      <c r="B831" s="795"/>
      <c r="C831" s="795"/>
      <c r="D831" s="795"/>
      <c r="E831" s="795"/>
      <c r="F831" s="795"/>
      <c r="G831" s="795"/>
      <c r="H831" s="795"/>
      <c r="I831" s="796"/>
      <c r="J831" s="441"/>
      <c r="K831" s="441"/>
      <c r="L831" s="797"/>
      <c r="M831" s="441"/>
      <c r="N831" s="441"/>
      <c r="O831" s="441"/>
      <c r="P831" s="441"/>
      <c r="Q831" s="441"/>
      <c r="R831" s="426"/>
      <c r="S831" s="441"/>
      <c r="T831" s="441"/>
      <c r="U831" s="441"/>
      <c r="V831" s="441"/>
      <c r="W831" s="441"/>
      <c r="X831" s="441"/>
      <c r="Y831" s="441"/>
      <c r="Z831" s="441"/>
      <c r="AA831" s="441"/>
      <c r="AB831" s="441"/>
      <c r="AC831" s="441"/>
      <c r="AD831" s="441"/>
      <c r="AE831" s="441"/>
      <c r="AF831" s="441"/>
      <c r="AG831" s="441"/>
      <c r="AH831" s="441"/>
      <c r="AI831" s="441"/>
      <c r="AJ831" s="441"/>
      <c r="AK831" s="441"/>
      <c r="AL831" s="441"/>
      <c r="AM831" s="441"/>
      <c r="AN831" s="441"/>
      <c r="AO831" s="441"/>
      <c r="AP831" s="441"/>
      <c r="AQ831" s="441"/>
      <c r="AR831" s="441"/>
      <c r="AS831" s="441"/>
      <c r="AT831" s="441"/>
      <c r="AU831" s="441"/>
      <c r="AV831" s="441"/>
      <c r="AW831" s="441"/>
      <c r="AX831" s="441"/>
      <c r="AY831" s="441"/>
      <c r="AZ831" s="441"/>
      <c r="BA831" s="441"/>
      <c r="BB831" s="441"/>
      <c r="BC831" s="441"/>
      <c r="BD831" s="441"/>
      <c r="BE831" s="441"/>
      <c r="BF831" s="441"/>
    </row>
    <row r="832">
      <c r="A832" s="798"/>
      <c r="B832" s="795"/>
      <c r="C832" s="795"/>
      <c r="D832" s="795"/>
      <c r="E832" s="795"/>
      <c r="F832" s="795"/>
      <c r="G832" s="795"/>
      <c r="H832" s="795"/>
      <c r="I832" s="796"/>
      <c r="J832" s="441"/>
      <c r="K832" s="441"/>
      <c r="L832" s="797"/>
      <c r="M832" s="441"/>
      <c r="N832" s="441"/>
      <c r="O832" s="441"/>
      <c r="P832" s="441"/>
      <c r="Q832" s="441"/>
      <c r="R832" s="426"/>
      <c r="S832" s="441"/>
      <c r="T832" s="441"/>
      <c r="U832" s="441"/>
      <c r="V832" s="441"/>
      <c r="W832" s="441"/>
      <c r="X832" s="441"/>
      <c r="Y832" s="441"/>
      <c r="Z832" s="441"/>
      <c r="AA832" s="441"/>
      <c r="AB832" s="441"/>
      <c r="AC832" s="441"/>
      <c r="AD832" s="441"/>
      <c r="AE832" s="441"/>
      <c r="AF832" s="441"/>
      <c r="AG832" s="441"/>
      <c r="AH832" s="441"/>
      <c r="AI832" s="441"/>
      <c r="AJ832" s="441"/>
      <c r="AK832" s="441"/>
      <c r="AL832" s="441"/>
      <c r="AM832" s="441"/>
      <c r="AN832" s="441"/>
      <c r="AO832" s="441"/>
      <c r="AP832" s="441"/>
      <c r="AQ832" s="441"/>
      <c r="AR832" s="441"/>
      <c r="AS832" s="441"/>
      <c r="AT832" s="441"/>
      <c r="AU832" s="441"/>
      <c r="AV832" s="441"/>
      <c r="AW832" s="441"/>
      <c r="AX832" s="441"/>
      <c r="AY832" s="441"/>
      <c r="AZ832" s="441"/>
      <c r="BA832" s="441"/>
      <c r="BB832" s="441"/>
      <c r="BC832" s="441"/>
      <c r="BD832" s="441"/>
      <c r="BE832" s="441"/>
      <c r="BF832" s="441"/>
    </row>
    <row r="833">
      <c r="A833" s="798"/>
      <c r="B833" s="795"/>
      <c r="C833" s="795"/>
      <c r="D833" s="795"/>
      <c r="E833" s="795"/>
      <c r="F833" s="795"/>
      <c r="G833" s="795"/>
      <c r="H833" s="795"/>
      <c r="I833" s="796"/>
      <c r="J833" s="441"/>
      <c r="K833" s="441"/>
      <c r="L833" s="797"/>
      <c r="M833" s="441"/>
      <c r="N833" s="441"/>
      <c r="O833" s="441"/>
      <c r="P833" s="441"/>
      <c r="Q833" s="441"/>
      <c r="R833" s="426"/>
      <c r="S833" s="441"/>
      <c r="T833" s="441"/>
      <c r="U833" s="441"/>
      <c r="V833" s="441"/>
      <c r="W833" s="441"/>
      <c r="X833" s="441"/>
      <c r="Y833" s="441"/>
      <c r="Z833" s="441"/>
      <c r="AA833" s="441"/>
      <c r="AB833" s="441"/>
      <c r="AC833" s="441"/>
      <c r="AD833" s="441"/>
      <c r="AE833" s="441"/>
      <c r="AF833" s="441"/>
      <c r="AG833" s="441"/>
      <c r="AH833" s="441"/>
      <c r="AI833" s="441"/>
      <c r="AJ833" s="441"/>
      <c r="AK833" s="441"/>
      <c r="AL833" s="441"/>
      <c r="AM833" s="441"/>
      <c r="AN833" s="441"/>
      <c r="AO833" s="441"/>
      <c r="AP833" s="441"/>
      <c r="AQ833" s="441"/>
      <c r="AR833" s="441"/>
      <c r="AS833" s="441"/>
      <c r="AT833" s="441"/>
      <c r="AU833" s="441"/>
      <c r="AV833" s="441"/>
      <c r="AW833" s="441"/>
      <c r="AX833" s="441"/>
      <c r="AY833" s="441"/>
      <c r="AZ833" s="441"/>
      <c r="BA833" s="441"/>
      <c r="BB833" s="441"/>
      <c r="BC833" s="441"/>
      <c r="BD833" s="441"/>
      <c r="BE833" s="441"/>
      <c r="BF833" s="441"/>
    </row>
    <row r="834">
      <c r="A834" s="798"/>
      <c r="B834" s="795"/>
      <c r="C834" s="795"/>
      <c r="D834" s="795"/>
      <c r="E834" s="795"/>
      <c r="F834" s="795"/>
      <c r="G834" s="795"/>
      <c r="H834" s="795"/>
      <c r="I834" s="796"/>
      <c r="J834" s="441"/>
      <c r="K834" s="441"/>
      <c r="L834" s="797"/>
      <c r="M834" s="441"/>
      <c r="N834" s="441"/>
      <c r="O834" s="441"/>
      <c r="P834" s="441"/>
      <c r="Q834" s="441"/>
      <c r="R834" s="426"/>
      <c r="S834" s="441"/>
      <c r="T834" s="441"/>
      <c r="U834" s="441"/>
      <c r="V834" s="441"/>
      <c r="W834" s="441"/>
      <c r="X834" s="441"/>
      <c r="Y834" s="441"/>
      <c r="Z834" s="441"/>
      <c r="AA834" s="441"/>
      <c r="AB834" s="441"/>
      <c r="AC834" s="441"/>
      <c r="AD834" s="441"/>
      <c r="AE834" s="441"/>
      <c r="AF834" s="441"/>
      <c r="AG834" s="441"/>
      <c r="AH834" s="441"/>
      <c r="AI834" s="441"/>
      <c r="AJ834" s="441"/>
      <c r="AK834" s="441"/>
      <c r="AL834" s="441"/>
      <c r="AM834" s="441"/>
      <c r="AN834" s="441"/>
      <c r="AO834" s="441"/>
      <c r="AP834" s="441"/>
      <c r="AQ834" s="441"/>
      <c r="AR834" s="441"/>
      <c r="AS834" s="441"/>
      <c r="AT834" s="441"/>
      <c r="AU834" s="441"/>
      <c r="AV834" s="441"/>
      <c r="AW834" s="441"/>
      <c r="AX834" s="441"/>
      <c r="AY834" s="441"/>
      <c r="AZ834" s="441"/>
      <c r="BA834" s="441"/>
      <c r="BB834" s="441"/>
      <c r="BC834" s="441"/>
      <c r="BD834" s="441"/>
      <c r="BE834" s="441"/>
      <c r="BF834" s="441"/>
    </row>
    <row r="835">
      <c r="A835" s="798"/>
      <c r="B835" s="795"/>
      <c r="C835" s="795"/>
      <c r="D835" s="795"/>
      <c r="E835" s="795"/>
      <c r="F835" s="795"/>
      <c r="G835" s="795"/>
      <c r="H835" s="795"/>
      <c r="I835" s="796"/>
      <c r="J835" s="441"/>
      <c r="K835" s="441"/>
      <c r="L835" s="797"/>
      <c r="M835" s="441"/>
      <c r="N835" s="441"/>
      <c r="O835" s="441"/>
      <c r="P835" s="441"/>
      <c r="Q835" s="441"/>
      <c r="R835" s="426"/>
      <c r="S835" s="441"/>
      <c r="T835" s="441"/>
      <c r="U835" s="441"/>
      <c r="V835" s="441"/>
      <c r="W835" s="441"/>
      <c r="X835" s="441"/>
      <c r="Y835" s="441"/>
      <c r="Z835" s="441"/>
      <c r="AA835" s="441"/>
      <c r="AB835" s="441"/>
      <c r="AC835" s="441"/>
      <c r="AD835" s="441"/>
      <c r="AE835" s="441"/>
      <c r="AF835" s="441"/>
      <c r="AG835" s="441"/>
      <c r="AH835" s="441"/>
      <c r="AI835" s="441"/>
      <c r="AJ835" s="441"/>
      <c r="AK835" s="441"/>
      <c r="AL835" s="441"/>
      <c r="AM835" s="441"/>
      <c r="AN835" s="441"/>
      <c r="AO835" s="441"/>
      <c r="AP835" s="441"/>
      <c r="AQ835" s="441"/>
      <c r="AR835" s="441"/>
      <c r="AS835" s="441"/>
      <c r="AT835" s="441"/>
      <c r="AU835" s="441"/>
      <c r="AV835" s="441"/>
      <c r="AW835" s="441"/>
      <c r="AX835" s="441"/>
      <c r="AY835" s="441"/>
      <c r="AZ835" s="441"/>
      <c r="BA835" s="441"/>
      <c r="BB835" s="441"/>
      <c r="BC835" s="441"/>
      <c r="BD835" s="441"/>
      <c r="BE835" s="441"/>
      <c r="BF835" s="441"/>
    </row>
    <row r="836">
      <c r="A836" s="798"/>
      <c r="B836" s="795"/>
      <c r="C836" s="795"/>
      <c r="D836" s="795"/>
      <c r="E836" s="795"/>
      <c r="F836" s="795"/>
      <c r="G836" s="795"/>
      <c r="H836" s="795"/>
      <c r="I836" s="796"/>
      <c r="J836" s="441"/>
      <c r="K836" s="441"/>
      <c r="L836" s="797"/>
      <c r="M836" s="441"/>
      <c r="N836" s="441"/>
      <c r="O836" s="441"/>
      <c r="P836" s="441"/>
      <c r="Q836" s="441"/>
      <c r="R836" s="426"/>
      <c r="S836" s="441"/>
      <c r="T836" s="441"/>
      <c r="U836" s="441"/>
      <c r="V836" s="441"/>
      <c r="W836" s="441"/>
      <c r="X836" s="441"/>
      <c r="Y836" s="441"/>
      <c r="Z836" s="441"/>
      <c r="AA836" s="441"/>
      <c r="AB836" s="441"/>
      <c r="AC836" s="441"/>
      <c r="AD836" s="441"/>
      <c r="AE836" s="441"/>
      <c r="AF836" s="441"/>
      <c r="AG836" s="441"/>
      <c r="AH836" s="441"/>
      <c r="AI836" s="441"/>
      <c r="AJ836" s="441"/>
      <c r="AK836" s="441"/>
      <c r="AL836" s="441"/>
      <c r="AM836" s="441"/>
      <c r="AN836" s="441"/>
      <c r="AO836" s="441"/>
      <c r="AP836" s="441"/>
      <c r="AQ836" s="441"/>
      <c r="AR836" s="441"/>
      <c r="AS836" s="441"/>
      <c r="AT836" s="441"/>
      <c r="AU836" s="441"/>
      <c r="AV836" s="441"/>
      <c r="AW836" s="441"/>
      <c r="AX836" s="441"/>
      <c r="AY836" s="441"/>
      <c r="AZ836" s="441"/>
      <c r="BA836" s="441"/>
      <c r="BB836" s="441"/>
      <c r="BC836" s="441"/>
      <c r="BD836" s="441"/>
      <c r="BE836" s="441"/>
      <c r="BF836" s="441"/>
    </row>
    <row r="837">
      <c r="A837" s="798"/>
      <c r="B837" s="795"/>
      <c r="C837" s="795"/>
      <c r="D837" s="795"/>
      <c r="E837" s="795"/>
      <c r="F837" s="795"/>
      <c r="G837" s="795"/>
      <c r="H837" s="795"/>
      <c r="I837" s="796"/>
      <c r="J837" s="441"/>
      <c r="K837" s="441"/>
      <c r="L837" s="797"/>
      <c r="M837" s="441"/>
      <c r="N837" s="441"/>
      <c r="O837" s="441"/>
      <c r="P837" s="441"/>
      <c r="Q837" s="441"/>
      <c r="R837" s="426"/>
      <c r="S837" s="441"/>
      <c r="T837" s="441"/>
      <c r="U837" s="441"/>
      <c r="V837" s="441"/>
      <c r="W837" s="441"/>
      <c r="X837" s="441"/>
      <c r="Y837" s="441"/>
      <c r="Z837" s="441"/>
      <c r="AA837" s="441"/>
      <c r="AB837" s="441"/>
      <c r="AC837" s="441"/>
      <c r="AD837" s="441"/>
      <c r="AE837" s="441"/>
      <c r="AF837" s="441"/>
      <c r="AG837" s="441"/>
      <c r="AH837" s="441"/>
      <c r="AI837" s="441"/>
      <c r="AJ837" s="441"/>
      <c r="AK837" s="441"/>
      <c r="AL837" s="441"/>
      <c r="AM837" s="441"/>
      <c r="AN837" s="441"/>
      <c r="AO837" s="441"/>
      <c r="AP837" s="441"/>
      <c r="AQ837" s="441"/>
      <c r="AR837" s="441"/>
      <c r="AS837" s="441"/>
      <c r="AT837" s="441"/>
      <c r="AU837" s="441"/>
      <c r="AV837" s="441"/>
      <c r="AW837" s="441"/>
      <c r="AX837" s="441"/>
      <c r="AY837" s="441"/>
      <c r="AZ837" s="441"/>
      <c r="BA837" s="441"/>
      <c r="BB837" s="441"/>
      <c r="BC837" s="441"/>
      <c r="BD837" s="441"/>
      <c r="BE837" s="441"/>
      <c r="BF837" s="441"/>
    </row>
    <row r="838">
      <c r="A838" s="798"/>
      <c r="B838" s="795"/>
      <c r="C838" s="795"/>
      <c r="D838" s="795"/>
      <c r="E838" s="795"/>
      <c r="F838" s="795"/>
      <c r="G838" s="795"/>
      <c r="H838" s="795"/>
      <c r="I838" s="796"/>
      <c r="J838" s="441"/>
      <c r="K838" s="441"/>
      <c r="L838" s="797"/>
      <c r="M838" s="441"/>
      <c r="N838" s="441"/>
      <c r="O838" s="441"/>
      <c r="P838" s="441"/>
      <c r="Q838" s="441"/>
      <c r="R838" s="426"/>
      <c r="S838" s="441"/>
      <c r="T838" s="441"/>
      <c r="U838" s="441"/>
      <c r="V838" s="441"/>
      <c r="W838" s="441"/>
      <c r="X838" s="441"/>
      <c r="Y838" s="441"/>
      <c r="Z838" s="441"/>
      <c r="AA838" s="441"/>
      <c r="AB838" s="441"/>
      <c r="AC838" s="441"/>
      <c r="AD838" s="441"/>
      <c r="AE838" s="441"/>
      <c r="AF838" s="441"/>
      <c r="AG838" s="441"/>
      <c r="AH838" s="441"/>
      <c r="AI838" s="441"/>
      <c r="AJ838" s="441"/>
      <c r="AK838" s="441"/>
      <c r="AL838" s="441"/>
      <c r="AM838" s="441"/>
      <c r="AN838" s="441"/>
      <c r="AO838" s="441"/>
      <c r="AP838" s="441"/>
      <c r="AQ838" s="441"/>
      <c r="AR838" s="441"/>
      <c r="AS838" s="441"/>
      <c r="AT838" s="441"/>
      <c r="AU838" s="441"/>
      <c r="AV838" s="441"/>
      <c r="AW838" s="441"/>
      <c r="AX838" s="441"/>
      <c r="AY838" s="441"/>
      <c r="AZ838" s="441"/>
      <c r="BA838" s="441"/>
      <c r="BB838" s="441"/>
      <c r="BC838" s="441"/>
      <c r="BD838" s="441"/>
      <c r="BE838" s="441"/>
      <c r="BF838" s="441"/>
    </row>
    <row r="839">
      <c r="A839" s="798"/>
      <c r="B839" s="795"/>
      <c r="C839" s="795"/>
      <c r="D839" s="795"/>
      <c r="E839" s="795"/>
      <c r="F839" s="795"/>
      <c r="G839" s="795"/>
      <c r="H839" s="795"/>
      <c r="I839" s="796"/>
      <c r="J839" s="441"/>
      <c r="K839" s="441"/>
      <c r="L839" s="797"/>
      <c r="M839" s="441"/>
      <c r="N839" s="441"/>
      <c r="O839" s="441"/>
      <c r="P839" s="441"/>
      <c r="Q839" s="441"/>
      <c r="R839" s="426"/>
      <c r="S839" s="441"/>
      <c r="T839" s="441"/>
      <c r="U839" s="441"/>
      <c r="V839" s="441"/>
      <c r="W839" s="441"/>
      <c r="X839" s="441"/>
      <c r="Y839" s="441"/>
      <c r="Z839" s="441"/>
      <c r="AA839" s="441"/>
      <c r="AB839" s="441"/>
      <c r="AC839" s="441"/>
      <c r="AD839" s="441"/>
      <c r="AE839" s="441"/>
      <c r="AF839" s="441"/>
      <c r="AG839" s="441"/>
      <c r="AH839" s="441"/>
      <c r="AI839" s="441"/>
      <c r="AJ839" s="441"/>
      <c r="AK839" s="441"/>
      <c r="AL839" s="441"/>
      <c r="AM839" s="441"/>
      <c r="AN839" s="441"/>
      <c r="AO839" s="441"/>
      <c r="AP839" s="441"/>
      <c r="AQ839" s="441"/>
      <c r="AR839" s="441"/>
      <c r="AS839" s="441"/>
      <c r="AT839" s="441"/>
      <c r="AU839" s="441"/>
      <c r="AV839" s="441"/>
      <c r="AW839" s="441"/>
      <c r="AX839" s="441"/>
      <c r="AY839" s="441"/>
      <c r="AZ839" s="441"/>
      <c r="BA839" s="441"/>
      <c r="BB839" s="441"/>
      <c r="BC839" s="441"/>
      <c r="BD839" s="441"/>
      <c r="BE839" s="441"/>
      <c r="BF839" s="441"/>
    </row>
    <row r="840">
      <c r="A840" s="798"/>
      <c r="B840" s="795"/>
      <c r="C840" s="795"/>
      <c r="D840" s="795"/>
      <c r="E840" s="795"/>
      <c r="F840" s="795"/>
      <c r="G840" s="795"/>
      <c r="H840" s="795"/>
      <c r="I840" s="796"/>
      <c r="J840" s="441"/>
      <c r="K840" s="441"/>
      <c r="L840" s="797"/>
      <c r="M840" s="441"/>
      <c r="N840" s="441"/>
      <c r="O840" s="441"/>
      <c r="P840" s="441"/>
      <c r="Q840" s="441"/>
      <c r="R840" s="426"/>
      <c r="S840" s="441"/>
      <c r="T840" s="441"/>
      <c r="U840" s="441"/>
      <c r="V840" s="441"/>
      <c r="W840" s="441"/>
      <c r="X840" s="441"/>
      <c r="Y840" s="441"/>
      <c r="Z840" s="441"/>
      <c r="AA840" s="441"/>
      <c r="AB840" s="441"/>
      <c r="AC840" s="441"/>
      <c r="AD840" s="441"/>
      <c r="AE840" s="441"/>
      <c r="AF840" s="441"/>
      <c r="AG840" s="441"/>
      <c r="AH840" s="441"/>
      <c r="AI840" s="441"/>
      <c r="AJ840" s="441"/>
      <c r="AK840" s="441"/>
      <c r="AL840" s="441"/>
      <c r="AM840" s="441"/>
      <c r="AN840" s="441"/>
      <c r="AO840" s="441"/>
      <c r="AP840" s="441"/>
      <c r="AQ840" s="441"/>
      <c r="AR840" s="441"/>
      <c r="AS840" s="441"/>
      <c r="AT840" s="441"/>
      <c r="AU840" s="441"/>
      <c r="AV840" s="441"/>
      <c r="AW840" s="441"/>
      <c r="AX840" s="441"/>
      <c r="AY840" s="441"/>
      <c r="AZ840" s="441"/>
      <c r="BA840" s="441"/>
      <c r="BB840" s="441"/>
      <c r="BC840" s="441"/>
      <c r="BD840" s="441"/>
      <c r="BE840" s="441"/>
      <c r="BF840" s="441"/>
    </row>
    <row r="841">
      <c r="A841" s="798"/>
      <c r="B841" s="795"/>
      <c r="C841" s="795"/>
      <c r="D841" s="795"/>
      <c r="E841" s="795"/>
      <c r="F841" s="795"/>
      <c r="G841" s="795"/>
      <c r="H841" s="795"/>
      <c r="I841" s="796"/>
      <c r="J841" s="441"/>
      <c r="K841" s="441"/>
      <c r="L841" s="797"/>
      <c r="M841" s="441"/>
      <c r="N841" s="441"/>
      <c r="O841" s="441"/>
      <c r="P841" s="441"/>
      <c r="Q841" s="441"/>
      <c r="R841" s="426"/>
      <c r="S841" s="441"/>
      <c r="T841" s="441"/>
      <c r="U841" s="441"/>
      <c r="V841" s="441"/>
      <c r="W841" s="441"/>
      <c r="X841" s="441"/>
      <c r="Y841" s="441"/>
      <c r="Z841" s="441"/>
      <c r="AA841" s="441"/>
      <c r="AB841" s="441"/>
      <c r="AC841" s="441"/>
      <c r="AD841" s="441"/>
      <c r="AE841" s="441"/>
      <c r="AF841" s="441"/>
      <c r="AG841" s="441"/>
      <c r="AH841" s="441"/>
      <c r="AI841" s="441"/>
      <c r="AJ841" s="441"/>
      <c r="AK841" s="441"/>
      <c r="AL841" s="441"/>
      <c r="AM841" s="441"/>
      <c r="AN841" s="441"/>
      <c r="AO841" s="441"/>
      <c r="AP841" s="441"/>
      <c r="AQ841" s="441"/>
      <c r="AR841" s="441"/>
      <c r="AS841" s="441"/>
      <c r="AT841" s="441"/>
      <c r="AU841" s="441"/>
      <c r="AV841" s="441"/>
      <c r="AW841" s="441"/>
      <c r="AX841" s="441"/>
      <c r="AY841" s="441"/>
      <c r="AZ841" s="441"/>
      <c r="BA841" s="441"/>
      <c r="BB841" s="441"/>
      <c r="BC841" s="441"/>
      <c r="BD841" s="441"/>
      <c r="BE841" s="441"/>
      <c r="BF841" s="441"/>
    </row>
    <row r="842">
      <c r="A842" s="798"/>
      <c r="B842" s="795"/>
      <c r="C842" s="795"/>
      <c r="D842" s="795"/>
      <c r="E842" s="795"/>
      <c r="F842" s="795"/>
      <c r="G842" s="795"/>
      <c r="H842" s="795"/>
      <c r="I842" s="796"/>
      <c r="J842" s="441"/>
      <c r="K842" s="441"/>
      <c r="L842" s="797"/>
      <c r="M842" s="441"/>
      <c r="N842" s="441"/>
      <c r="O842" s="441"/>
      <c r="P842" s="441"/>
      <c r="Q842" s="441"/>
      <c r="R842" s="426"/>
      <c r="S842" s="441"/>
      <c r="T842" s="441"/>
      <c r="U842" s="441"/>
      <c r="V842" s="441"/>
      <c r="W842" s="441"/>
      <c r="X842" s="441"/>
      <c r="Y842" s="441"/>
      <c r="Z842" s="441"/>
      <c r="AA842" s="441"/>
      <c r="AB842" s="441"/>
      <c r="AC842" s="441"/>
      <c r="AD842" s="441"/>
      <c r="AE842" s="441"/>
      <c r="AF842" s="441"/>
      <c r="AG842" s="441"/>
      <c r="AH842" s="441"/>
      <c r="AI842" s="441"/>
      <c r="AJ842" s="441"/>
      <c r="AK842" s="441"/>
      <c r="AL842" s="441"/>
      <c r="AM842" s="441"/>
      <c r="AN842" s="441"/>
      <c r="AO842" s="441"/>
      <c r="AP842" s="441"/>
      <c r="AQ842" s="441"/>
      <c r="AR842" s="441"/>
      <c r="AS842" s="441"/>
      <c r="AT842" s="441"/>
      <c r="AU842" s="441"/>
      <c r="AV842" s="441"/>
      <c r="AW842" s="441"/>
      <c r="AX842" s="441"/>
      <c r="AY842" s="441"/>
      <c r="AZ842" s="441"/>
      <c r="BA842" s="441"/>
      <c r="BB842" s="441"/>
      <c r="BC842" s="441"/>
      <c r="BD842" s="441"/>
      <c r="BE842" s="441"/>
      <c r="BF842" s="441"/>
    </row>
    <row r="843">
      <c r="A843" s="798"/>
      <c r="B843" s="795"/>
      <c r="C843" s="795"/>
      <c r="D843" s="795"/>
      <c r="E843" s="795"/>
      <c r="F843" s="795"/>
      <c r="G843" s="795"/>
      <c r="H843" s="795"/>
      <c r="I843" s="796"/>
      <c r="J843" s="441"/>
      <c r="K843" s="441"/>
      <c r="L843" s="797"/>
      <c r="M843" s="441"/>
      <c r="N843" s="441"/>
      <c r="O843" s="441"/>
      <c r="P843" s="441"/>
      <c r="Q843" s="441"/>
      <c r="R843" s="426"/>
      <c r="S843" s="441"/>
      <c r="T843" s="441"/>
      <c r="U843" s="441"/>
      <c r="V843" s="441"/>
      <c r="W843" s="441"/>
      <c r="X843" s="441"/>
      <c r="Y843" s="441"/>
      <c r="Z843" s="441"/>
      <c r="AA843" s="441"/>
      <c r="AB843" s="441"/>
      <c r="AC843" s="441"/>
      <c r="AD843" s="441"/>
      <c r="AE843" s="441"/>
      <c r="AF843" s="441"/>
      <c r="AG843" s="441"/>
      <c r="AH843" s="441"/>
      <c r="AI843" s="441"/>
      <c r="AJ843" s="441"/>
      <c r="AK843" s="441"/>
      <c r="AL843" s="441"/>
      <c r="AM843" s="441"/>
      <c r="AN843" s="441"/>
      <c r="AO843" s="441"/>
      <c r="AP843" s="441"/>
      <c r="AQ843" s="441"/>
      <c r="AR843" s="441"/>
      <c r="AS843" s="441"/>
      <c r="AT843" s="441"/>
      <c r="AU843" s="441"/>
      <c r="AV843" s="441"/>
      <c r="AW843" s="441"/>
      <c r="AX843" s="441"/>
      <c r="AY843" s="441"/>
      <c r="AZ843" s="441"/>
      <c r="BA843" s="441"/>
      <c r="BB843" s="441"/>
      <c r="BC843" s="441"/>
      <c r="BD843" s="441"/>
      <c r="BE843" s="441"/>
      <c r="BF843" s="441"/>
    </row>
    <row r="844">
      <c r="A844" s="798"/>
      <c r="B844" s="795"/>
      <c r="C844" s="795"/>
      <c r="D844" s="795"/>
      <c r="E844" s="795"/>
      <c r="F844" s="795"/>
      <c r="G844" s="795"/>
      <c r="H844" s="795"/>
      <c r="I844" s="796"/>
      <c r="J844" s="441"/>
      <c r="K844" s="441"/>
      <c r="L844" s="797"/>
      <c r="M844" s="441"/>
      <c r="N844" s="441"/>
      <c r="O844" s="441"/>
      <c r="P844" s="441"/>
      <c r="Q844" s="441"/>
      <c r="R844" s="426"/>
      <c r="S844" s="441"/>
      <c r="T844" s="441"/>
      <c r="U844" s="441"/>
      <c r="V844" s="441"/>
      <c r="W844" s="441"/>
      <c r="X844" s="441"/>
      <c r="Y844" s="441"/>
      <c r="Z844" s="441"/>
      <c r="AA844" s="441"/>
      <c r="AB844" s="441"/>
      <c r="AC844" s="441"/>
      <c r="AD844" s="441"/>
      <c r="AE844" s="441"/>
      <c r="AF844" s="441"/>
      <c r="AG844" s="441"/>
      <c r="AH844" s="441"/>
      <c r="AI844" s="441"/>
      <c r="AJ844" s="441"/>
      <c r="AK844" s="441"/>
      <c r="AL844" s="441"/>
      <c r="AM844" s="441"/>
      <c r="AN844" s="441"/>
      <c r="AO844" s="441"/>
      <c r="AP844" s="441"/>
      <c r="AQ844" s="441"/>
      <c r="AR844" s="441"/>
      <c r="AS844" s="441"/>
      <c r="AT844" s="441"/>
      <c r="AU844" s="441"/>
      <c r="AV844" s="441"/>
      <c r="AW844" s="441"/>
      <c r="AX844" s="441"/>
      <c r="AY844" s="441"/>
      <c r="AZ844" s="441"/>
      <c r="BA844" s="441"/>
      <c r="BB844" s="441"/>
      <c r="BC844" s="441"/>
      <c r="BD844" s="441"/>
      <c r="BE844" s="441"/>
      <c r="BF844" s="441"/>
    </row>
    <row r="845">
      <c r="A845" s="798"/>
      <c r="B845" s="795"/>
      <c r="C845" s="795"/>
      <c r="D845" s="795"/>
      <c r="E845" s="795"/>
      <c r="F845" s="795"/>
      <c r="G845" s="795"/>
      <c r="H845" s="795"/>
      <c r="I845" s="796"/>
      <c r="J845" s="441"/>
      <c r="K845" s="441"/>
      <c r="L845" s="797"/>
      <c r="M845" s="441"/>
      <c r="N845" s="441"/>
      <c r="O845" s="441"/>
      <c r="P845" s="441"/>
      <c r="Q845" s="441"/>
      <c r="R845" s="426"/>
      <c r="S845" s="441"/>
      <c r="T845" s="441"/>
      <c r="U845" s="441"/>
      <c r="V845" s="441"/>
      <c r="W845" s="441"/>
      <c r="X845" s="441"/>
      <c r="Y845" s="441"/>
      <c r="Z845" s="441"/>
      <c r="AA845" s="441"/>
      <c r="AB845" s="441"/>
      <c r="AC845" s="441"/>
      <c r="AD845" s="441"/>
      <c r="AE845" s="441"/>
      <c r="AF845" s="441"/>
      <c r="AG845" s="441"/>
      <c r="AH845" s="441"/>
      <c r="AI845" s="441"/>
      <c r="AJ845" s="441"/>
      <c r="AK845" s="441"/>
      <c r="AL845" s="441"/>
      <c r="AM845" s="441"/>
      <c r="AN845" s="441"/>
      <c r="AO845" s="441"/>
      <c r="AP845" s="441"/>
      <c r="AQ845" s="441"/>
      <c r="AR845" s="441"/>
      <c r="AS845" s="441"/>
      <c r="AT845" s="441"/>
      <c r="AU845" s="441"/>
      <c r="AV845" s="441"/>
      <c r="AW845" s="441"/>
      <c r="AX845" s="441"/>
      <c r="AY845" s="441"/>
      <c r="AZ845" s="441"/>
      <c r="BA845" s="441"/>
      <c r="BB845" s="441"/>
      <c r="BC845" s="441"/>
      <c r="BD845" s="441"/>
      <c r="BE845" s="441"/>
      <c r="BF845" s="441"/>
    </row>
    <row r="846">
      <c r="A846" s="798"/>
      <c r="B846" s="795"/>
      <c r="C846" s="795"/>
      <c r="D846" s="795"/>
      <c r="E846" s="795"/>
      <c r="F846" s="795"/>
      <c r="G846" s="795"/>
      <c r="H846" s="795"/>
      <c r="I846" s="796"/>
      <c r="J846" s="441"/>
      <c r="K846" s="441"/>
      <c r="L846" s="797"/>
      <c r="M846" s="441"/>
      <c r="N846" s="441"/>
      <c r="O846" s="441"/>
      <c r="P846" s="441"/>
      <c r="Q846" s="441"/>
      <c r="R846" s="426"/>
      <c r="S846" s="441"/>
      <c r="T846" s="441"/>
      <c r="U846" s="441"/>
      <c r="V846" s="441"/>
      <c r="W846" s="441"/>
      <c r="X846" s="441"/>
      <c r="Y846" s="441"/>
      <c r="Z846" s="441"/>
      <c r="AA846" s="441"/>
      <c r="AB846" s="441"/>
      <c r="AC846" s="441"/>
      <c r="AD846" s="441"/>
      <c r="AE846" s="441"/>
      <c r="AF846" s="441"/>
      <c r="AG846" s="441"/>
      <c r="AH846" s="441"/>
      <c r="AI846" s="441"/>
      <c r="AJ846" s="441"/>
      <c r="AK846" s="441"/>
      <c r="AL846" s="441"/>
      <c r="AM846" s="441"/>
      <c r="AN846" s="441"/>
      <c r="AO846" s="441"/>
      <c r="AP846" s="441"/>
      <c r="AQ846" s="441"/>
      <c r="AR846" s="441"/>
      <c r="AS846" s="441"/>
      <c r="AT846" s="441"/>
      <c r="AU846" s="441"/>
      <c r="AV846" s="441"/>
      <c r="AW846" s="441"/>
      <c r="AX846" s="441"/>
      <c r="AY846" s="441"/>
      <c r="AZ846" s="441"/>
      <c r="BA846" s="441"/>
      <c r="BB846" s="441"/>
      <c r="BC846" s="441"/>
      <c r="BD846" s="441"/>
      <c r="BE846" s="441"/>
      <c r="BF846" s="441"/>
    </row>
    <row r="847">
      <c r="A847" s="798"/>
      <c r="B847" s="795"/>
      <c r="C847" s="795"/>
      <c r="D847" s="795"/>
      <c r="E847" s="795"/>
      <c r="F847" s="795"/>
      <c r="G847" s="795"/>
      <c r="H847" s="795"/>
      <c r="I847" s="796"/>
      <c r="J847" s="441"/>
      <c r="K847" s="441"/>
      <c r="L847" s="797"/>
      <c r="M847" s="441"/>
      <c r="N847" s="441"/>
      <c r="O847" s="441"/>
      <c r="P847" s="441"/>
      <c r="Q847" s="441"/>
      <c r="R847" s="426"/>
      <c r="S847" s="441"/>
      <c r="T847" s="441"/>
      <c r="U847" s="441"/>
      <c r="V847" s="441"/>
      <c r="W847" s="441"/>
      <c r="X847" s="441"/>
      <c r="Y847" s="441"/>
      <c r="Z847" s="441"/>
      <c r="AA847" s="441"/>
      <c r="AB847" s="441"/>
      <c r="AC847" s="441"/>
      <c r="AD847" s="441"/>
      <c r="AE847" s="441"/>
      <c r="AF847" s="441"/>
      <c r="AG847" s="441"/>
      <c r="AH847" s="441"/>
      <c r="AI847" s="441"/>
      <c r="AJ847" s="441"/>
      <c r="AK847" s="441"/>
      <c r="AL847" s="441"/>
      <c r="AM847" s="441"/>
      <c r="AN847" s="441"/>
      <c r="AO847" s="441"/>
      <c r="AP847" s="441"/>
      <c r="AQ847" s="441"/>
      <c r="AR847" s="441"/>
      <c r="AS847" s="441"/>
      <c r="AT847" s="441"/>
      <c r="AU847" s="441"/>
      <c r="AV847" s="441"/>
      <c r="AW847" s="441"/>
      <c r="AX847" s="441"/>
      <c r="AY847" s="441"/>
      <c r="AZ847" s="441"/>
      <c r="BA847" s="441"/>
      <c r="BB847" s="441"/>
      <c r="BC847" s="441"/>
      <c r="BD847" s="441"/>
      <c r="BE847" s="441"/>
      <c r="BF847" s="441"/>
    </row>
    <row r="848">
      <c r="A848" s="798"/>
      <c r="B848" s="795"/>
      <c r="C848" s="795"/>
      <c r="D848" s="795"/>
      <c r="E848" s="795"/>
      <c r="F848" s="795"/>
      <c r="G848" s="795"/>
      <c r="H848" s="795"/>
      <c r="I848" s="796"/>
      <c r="J848" s="441"/>
      <c r="K848" s="441"/>
      <c r="L848" s="797"/>
      <c r="M848" s="441"/>
      <c r="N848" s="441"/>
      <c r="O848" s="441"/>
      <c r="P848" s="441"/>
      <c r="Q848" s="441"/>
      <c r="R848" s="426"/>
      <c r="S848" s="441"/>
      <c r="T848" s="441"/>
      <c r="U848" s="441"/>
      <c r="V848" s="441"/>
      <c r="W848" s="441"/>
      <c r="X848" s="441"/>
      <c r="Y848" s="441"/>
      <c r="Z848" s="441"/>
      <c r="AA848" s="441"/>
      <c r="AB848" s="441"/>
      <c r="AC848" s="441"/>
      <c r="AD848" s="441"/>
      <c r="AE848" s="441"/>
      <c r="AF848" s="441"/>
      <c r="AG848" s="441"/>
      <c r="AH848" s="441"/>
      <c r="AI848" s="441"/>
      <c r="AJ848" s="441"/>
      <c r="AK848" s="441"/>
      <c r="AL848" s="441"/>
      <c r="AM848" s="441"/>
      <c r="AN848" s="441"/>
      <c r="AO848" s="441"/>
      <c r="AP848" s="441"/>
      <c r="AQ848" s="441"/>
      <c r="AR848" s="441"/>
      <c r="AS848" s="441"/>
      <c r="AT848" s="441"/>
      <c r="AU848" s="441"/>
      <c r="AV848" s="441"/>
      <c r="AW848" s="441"/>
      <c r="AX848" s="441"/>
      <c r="AY848" s="441"/>
      <c r="AZ848" s="441"/>
      <c r="BA848" s="441"/>
      <c r="BB848" s="441"/>
      <c r="BC848" s="441"/>
      <c r="BD848" s="441"/>
      <c r="BE848" s="441"/>
      <c r="BF848" s="441"/>
    </row>
    <row r="849">
      <c r="A849" s="798"/>
      <c r="B849" s="795"/>
      <c r="C849" s="795"/>
      <c r="D849" s="795"/>
      <c r="E849" s="795"/>
      <c r="F849" s="795"/>
      <c r="G849" s="795"/>
      <c r="H849" s="795"/>
      <c r="I849" s="796"/>
      <c r="J849" s="441"/>
      <c r="K849" s="441"/>
      <c r="L849" s="797"/>
      <c r="M849" s="441"/>
      <c r="N849" s="441"/>
      <c r="O849" s="441"/>
      <c r="P849" s="441"/>
      <c r="Q849" s="441"/>
      <c r="R849" s="426"/>
      <c r="S849" s="441"/>
      <c r="T849" s="441"/>
      <c r="U849" s="441"/>
      <c r="V849" s="441"/>
      <c r="W849" s="441"/>
      <c r="X849" s="441"/>
      <c r="Y849" s="441"/>
      <c r="Z849" s="441"/>
      <c r="AA849" s="441"/>
      <c r="AB849" s="441"/>
      <c r="AC849" s="441"/>
      <c r="AD849" s="441"/>
      <c r="AE849" s="441"/>
      <c r="AF849" s="441"/>
      <c r="AG849" s="441"/>
      <c r="AH849" s="441"/>
      <c r="AI849" s="441"/>
      <c r="AJ849" s="441"/>
      <c r="AK849" s="441"/>
      <c r="AL849" s="441"/>
      <c r="AM849" s="441"/>
      <c r="AN849" s="441"/>
      <c r="AO849" s="441"/>
      <c r="AP849" s="441"/>
      <c r="AQ849" s="441"/>
      <c r="AR849" s="441"/>
      <c r="AS849" s="441"/>
      <c r="AT849" s="441"/>
      <c r="AU849" s="441"/>
      <c r="AV849" s="441"/>
      <c r="AW849" s="441"/>
      <c r="AX849" s="441"/>
      <c r="AY849" s="441"/>
      <c r="AZ849" s="441"/>
      <c r="BA849" s="441"/>
      <c r="BB849" s="441"/>
      <c r="BC849" s="441"/>
      <c r="BD849" s="441"/>
      <c r="BE849" s="441"/>
      <c r="BF849" s="441"/>
    </row>
    <row r="850">
      <c r="A850" s="798"/>
      <c r="B850" s="795"/>
      <c r="C850" s="795"/>
      <c r="D850" s="795"/>
      <c r="E850" s="795"/>
      <c r="F850" s="795"/>
      <c r="G850" s="795"/>
      <c r="H850" s="795"/>
      <c r="I850" s="796"/>
      <c r="J850" s="441"/>
      <c r="K850" s="441"/>
      <c r="L850" s="797"/>
      <c r="M850" s="441"/>
      <c r="N850" s="441"/>
      <c r="O850" s="441"/>
      <c r="P850" s="441"/>
      <c r="Q850" s="441"/>
      <c r="R850" s="426"/>
      <c r="S850" s="441"/>
      <c r="T850" s="441"/>
      <c r="U850" s="441"/>
      <c r="V850" s="441"/>
      <c r="W850" s="441"/>
      <c r="X850" s="441"/>
      <c r="Y850" s="441"/>
      <c r="Z850" s="441"/>
      <c r="AA850" s="441"/>
      <c r="AB850" s="441"/>
      <c r="AC850" s="441"/>
      <c r="AD850" s="441"/>
      <c r="AE850" s="441"/>
      <c r="AF850" s="441"/>
      <c r="AG850" s="441"/>
      <c r="AH850" s="441"/>
      <c r="AI850" s="441"/>
      <c r="AJ850" s="441"/>
      <c r="AK850" s="441"/>
      <c r="AL850" s="441"/>
      <c r="AM850" s="441"/>
      <c r="AN850" s="441"/>
      <c r="AO850" s="441"/>
      <c r="AP850" s="441"/>
      <c r="AQ850" s="441"/>
      <c r="AR850" s="441"/>
      <c r="AS850" s="441"/>
      <c r="AT850" s="441"/>
      <c r="AU850" s="441"/>
      <c r="AV850" s="441"/>
      <c r="AW850" s="441"/>
      <c r="AX850" s="441"/>
      <c r="AY850" s="441"/>
      <c r="AZ850" s="441"/>
      <c r="BA850" s="441"/>
      <c r="BB850" s="441"/>
      <c r="BC850" s="441"/>
      <c r="BD850" s="441"/>
      <c r="BE850" s="441"/>
      <c r="BF850" s="441"/>
    </row>
    <row r="851">
      <c r="A851" s="798"/>
      <c r="B851" s="795"/>
      <c r="C851" s="795"/>
      <c r="D851" s="795"/>
      <c r="E851" s="795"/>
      <c r="F851" s="795"/>
      <c r="G851" s="795"/>
      <c r="H851" s="795"/>
      <c r="I851" s="796"/>
      <c r="J851" s="441"/>
      <c r="K851" s="441"/>
      <c r="L851" s="797"/>
      <c r="M851" s="441"/>
      <c r="N851" s="441"/>
      <c r="O851" s="441"/>
      <c r="P851" s="441"/>
      <c r="Q851" s="441"/>
      <c r="R851" s="426"/>
      <c r="S851" s="441"/>
      <c r="T851" s="441"/>
      <c r="U851" s="441"/>
      <c r="V851" s="441"/>
      <c r="W851" s="441"/>
      <c r="X851" s="441"/>
      <c r="Y851" s="441"/>
      <c r="Z851" s="441"/>
      <c r="AA851" s="441"/>
      <c r="AB851" s="441"/>
      <c r="AC851" s="441"/>
      <c r="AD851" s="441"/>
      <c r="AE851" s="441"/>
      <c r="AF851" s="441"/>
      <c r="AG851" s="441"/>
      <c r="AH851" s="441"/>
      <c r="AI851" s="441"/>
      <c r="AJ851" s="441"/>
      <c r="AK851" s="441"/>
      <c r="AL851" s="441"/>
      <c r="AM851" s="441"/>
      <c r="AN851" s="441"/>
      <c r="AO851" s="441"/>
      <c r="AP851" s="441"/>
      <c r="AQ851" s="441"/>
      <c r="AR851" s="441"/>
      <c r="AS851" s="441"/>
      <c r="AT851" s="441"/>
      <c r="AU851" s="441"/>
      <c r="AV851" s="441"/>
      <c r="AW851" s="441"/>
      <c r="AX851" s="441"/>
      <c r="AY851" s="441"/>
      <c r="AZ851" s="441"/>
      <c r="BA851" s="441"/>
      <c r="BB851" s="441"/>
      <c r="BC851" s="441"/>
      <c r="BD851" s="441"/>
      <c r="BE851" s="441"/>
      <c r="BF851" s="441"/>
    </row>
    <row r="852">
      <c r="A852" s="798"/>
      <c r="B852" s="795"/>
      <c r="C852" s="795"/>
      <c r="D852" s="795"/>
      <c r="E852" s="795"/>
      <c r="F852" s="795"/>
      <c r="G852" s="795"/>
      <c r="H852" s="795"/>
      <c r="I852" s="796"/>
      <c r="J852" s="441"/>
      <c r="K852" s="441"/>
      <c r="L852" s="797"/>
      <c r="M852" s="441"/>
      <c r="N852" s="441"/>
      <c r="O852" s="441"/>
      <c r="P852" s="441"/>
      <c r="Q852" s="441"/>
      <c r="R852" s="426"/>
      <c r="S852" s="441"/>
      <c r="T852" s="441"/>
      <c r="U852" s="441"/>
      <c r="V852" s="441"/>
      <c r="W852" s="441"/>
      <c r="X852" s="441"/>
      <c r="Y852" s="441"/>
      <c r="Z852" s="441"/>
      <c r="AA852" s="441"/>
      <c r="AB852" s="441"/>
      <c r="AC852" s="441"/>
      <c r="AD852" s="441"/>
      <c r="AE852" s="441"/>
      <c r="AF852" s="441"/>
      <c r="AG852" s="441"/>
      <c r="AH852" s="441"/>
      <c r="AI852" s="441"/>
      <c r="AJ852" s="441"/>
      <c r="AK852" s="441"/>
      <c r="AL852" s="441"/>
      <c r="AM852" s="441"/>
      <c r="AN852" s="441"/>
      <c r="AO852" s="441"/>
      <c r="AP852" s="441"/>
      <c r="AQ852" s="441"/>
      <c r="AR852" s="441"/>
      <c r="AS852" s="441"/>
      <c r="AT852" s="441"/>
      <c r="AU852" s="441"/>
      <c r="AV852" s="441"/>
      <c r="AW852" s="441"/>
      <c r="AX852" s="441"/>
      <c r="AY852" s="441"/>
      <c r="AZ852" s="441"/>
      <c r="BA852" s="441"/>
      <c r="BB852" s="441"/>
      <c r="BC852" s="441"/>
      <c r="BD852" s="441"/>
      <c r="BE852" s="441"/>
      <c r="BF852" s="441"/>
    </row>
    <row r="853">
      <c r="A853" s="798"/>
      <c r="B853" s="795"/>
      <c r="C853" s="795"/>
      <c r="D853" s="795"/>
      <c r="E853" s="795"/>
      <c r="F853" s="795"/>
      <c r="G853" s="795"/>
      <c r="H853" s="795"/>
      <c r="I853" s="796"/>
      <c r="J853" s="441"/>
      <c r="K853" s="441"/>
      <c r="L853" s="797"/>
      <c r="M853" s="441"/>
      <c r="N853" s="441"/>
      <c r="O853" s="441"/>
      <c r="P853" s="441"/>
      <c r="Q853" s="441"/>
      <c r="R853" s="426"/>
      <c r="S853" s="441"/>
      <c r="T853" s="441"/>
      <c r="U853" s="441"/>
      <c r="V853" s="441"/>
      <c r="W853" s="441"/>
      <c r="X853" s="441"/>
      <c r="Y853" s="441"/>
      <c r="Z853" s="441"/>
      <c r="AA853" s="441"/>
      <c r="AB853" s="441"/>
      <c r="AC853" s="441"/>
      <c r="AD853" s="441"/>
      <c r="AE853" s="441"/>
      <c r="AF853" s="441"/>
      <c r="AG853" s="441"/>
      <c r="AH853" s="441"/>
      <c r="AI853" s="441"/>
      <c r="AJ853" s="441"/>
      <c r="AK853" s="441"/>
      <c r="AL853" s="441"/>
      <c r="AM853" s="441"/>
      <c r="AN853" s="441"/>
      <c r="AO853" s="441"/>
      <c r="AP853" s="441"/>
      <c r="AQ853" s="441"/>
      <c r="AR853" s="441"/>
      <c r="AS853" s="441"/>
      <c r="AT853" s="441"/>
      <c r="AU853" s="441"/>
      <c r="AV853" s="441"/>
      <c r="AW853" s="441"/>
      <c r="AX853" s="441"/>
      <c r="AY853" s="441"/>
      <c r="AZ853" s="441"/>
      <c r="BA853" s="441"/>
      <c r="BB853" s="441"/>
      <c r="BC853" s="441"/>
      <c r="BD853" s="441"/>
      <c r="BE853" s="441"/>
      <c r="BF853" s="441"/>
    </row>
    <row r="854">
      <c r="A854" s="798"/>
      <c r="B854" s="795"/>
      <c r="C854" s="795"/>
      <c r="D854" s="795"/>
      <c r="E854" s="795"/>
      <c r="F854" s="795"/>
      <c r="G854" s="795"/>
      <c r="H854" s="795"/>
      <c r="I854" s="796"/>
      <c r="J854" s="441"/>
      <c r="K854" s="441"/>
      <c r="L854" s="797"/>
      <c r="M854" s="441"/>
      <c r="N854" s="441"/>
      <c r="O854" s="441"/>
      <c r="P854" s="441"/>
      <c r="Q854" s="441"/>
      <c r="R854" s="426"/>
      <c r="S854" s="441"/>
      <c r="T854" s="441"/>
      <c r="U854" s="441"/>
      <c r="V854" s="441"/>
      <c r="W854" s="441"/>
      <c r="X854" s="441"/>
      <c r="Y854" s="441"/>
      <c r="Z854" s="441"/>
      <c r="AA854" s="441"/>
      <c r="AB854" s="441"/>
      <c r="AC854" s="441"/>
      <c r="AD854" s="441"/>
      <c r="AE854" s="441"/>
      <c r="AF854" s="441"/>
      <c r="AG854" s="441"/>
      <c r="AH854" s="441"/>
      <c r="AI854" s="441"/>
      <c r="AJ854" s="441"/>
      <c r="AK854" s="441"/>
      <c r="AL854" s="441"/>
      <c r="AM854" s="441"/>
      <c r="AN854" s="441"/>
      <c r="AO854" s="441"/>
      <c r="AP854" s="441"/>
      <c r="AQ854" s="441"/>
      <c r="AR854" s="441"/>
      <c r="AS854" s="441"/>
      <c r="AT854" s="441"/>
      <c r="AU854" s="441"/>
      <c r="AV854" s="441"/>
      <c r="AW854" s="441"/>
      <c r="AX854" s="441"/>
      <c r="AY854" s="441"/>
      <c r="AZ854" s="441"/>
      <c r="BA854" s="441"/>
      <c r="BB854" s="441"/>
      <c r="BC854" s="441"/>
      <c r="BD854" s="441"/>
      <c r="BE854" s="441"/>
      <c r="BF854" s="441"/>
    </row>
    <row r="855">
      <c r="A855" s="798"/>
      <c r="B855" s="795"/>
      <c r="C855" s="795"/>
      <c r="D855" s="795"/>
      <c r="E855" s="795"/>
      <c r="F855" s="795"/>
      <c r="G855" s="795"/>
      <c r="H855" s="795"/>
      <c r="I855" s="796"/>
      <c r="J855" s="441"/>
      <c r="K855" s="441"/>
      <c r="L855" s="797"/>
      <c r="M855" s="441"/>
      <c r="N855" s="441"/>
      <c r="O855" s="441"/>
      <c r="P855" s="441"/>
      <c r="Q855" s="441"/>
      <c r="R855" s="426"/>
      <c r="S855" s="441"/>
      <c r="T855" s="441"/>
      <c r="U855" s="441"/>
      <c r="V855" s="441"/>
      <c r="W855" s="441"/>
      <c r="X855" s="441"/>
      <c r="Y855" s="441"/>
      <c r="Z855" s="441"/>
      <c r="AA855" s="441"/>
      <c r="AB855" s="441"/>
      <c r="AC855" s="441"/>
      <c r="AD855" s="441"/>
      <c r="AE855" s="441"/>
      <c r="AF855" s="441"/>
      <c r="AG855" s="441"/>
      <c r="AH855" s="441"/>
      <c r="AI855" s="441"/>
      <c r="AJ855" s="441"/>
      <c r="AK855" s="441"/>
      <c r="AL855" s="441"/>
      <c r="AM855" s="441"/>
      <c r="AN855" s="441"/>
      <c r="AO855" s="441"/>
      <c r="AP855" s="441"/>
      <c r="AQ855" s="441"/>
      <c r="AR855" s="441"/>
      <c r="AS855" s="441"/>
      <c r="AT855" s="441"/>
      <c r="AU855" s="441"/>
      <c r="AV855" s="441"/>
      <c r="AW855" s="441"/>
      <c r="AX855" s="441"/>
      <c r="AY855" s="441"/>
      <c r="AZ855" s="441"/>
      <c r="BA855" s="441"/>
      <c r="BB855" s="441"/>
      <c r="BC855" s="441"/>
      <c r="BD855" s="441"/>
      <c r="BE855" s="441"/>
      <c r="BF855" s="441"/>
    </row>
    <row r="856">
      <c r="A856" s="798"/>
      <c r="B856" s="795"/>
      <c r="C856" s="795"/>
      <c r="D856" s="795"/>
      <c r="E856" s="795"/>
      <c r="F856" s="795"/>
      <c r="G856" s="795"/>
      <c r="H856" s="795"/>
      <c r="I856" s="796"/>
      <c r="J856" s="441"/>
      <c r="K856" s="441"/>
      <c r="L856" s="797"/>
      <c r="M856" s="441"/>
      <c r="N856" s="441"/>
      <c r="O856" s="441"/>
      <c r="P856" s="441"/>
      <c r="Q856" s="441"/>
      <c r="R856" s="426"/>
      <c r="S856" s="441"/>
      <c r="T856" s="441"/>
      <c r="U856" s="441"/>
      <c r="V856" s="441"/>
      <c r="W856" s="441"/>
      <c r="X856" s="441"/>
      <c r="Y856" s="441"/>
      <c r="Z856" s="441"/>
      <c r="AA856" s="441"/>
      <c r="AB856" s="441"/>
      <c r="AC856" s="441"/>
      <c r="AD856" s="441"/>
      <c r="AE856" s="441"/>
      <c r="AF856" s="441"/>
      <c r="AG856" s="441"/>
      <c r="AH856" s="441"/>
      <c r="AI856" s="441"/>
      <c r="AJ856" s="441"/>
      <c r="AK856" s="441"/>
      <c r="AL856" s="441"/>
      <c r="AM856" s="441"/>
      <c r="AN856" s="441"/>
      <c r="AO856" s="441"/>
      <c r="AP856" s="441"/>
      <c r="AQ856" s="441"/>
      <c r="AR856" s="441"/>
      <c r="AS856" s="441"/>
      <c r="AT856" s="441"/>
      <c r="AU856" s="441"/>
      <c r="AV856" s="441"/>
      <c r="AW856" s="441"/>
      <c r="AX856" s="441"/>
      <c r="AY856" s="441"/>
      <c r="AZ856" s="441"/>
      <c r="BA856" s="441"/>
      <c r="BB856" s="441"/>
      <c r="BC856" s="441"/>
      <c r="BD856" s="441"/>
      <c r="BE856" s="441"/>
      <c r="BF856" s="441"/>
    </row>
    <row r="857">
      <c r="A857" s="798"/>
      <c r="B857" s="795"/>
      <c r="C857" s="795"/>
      <c r="D857" s="795"/>
      <c r="E857" s="795"/>
      <c r="F857" s="795"/>
      <c r="G857" s="795"/>
      <c r="H857" s="795"/>
      <c r="I857" s="796"/>
      <c r="J857" s="441"/>
      <c r="K857" s="441"/>
      <c r="L857" s="797"/>
      <c r="M857" s="441"/>
      <c r="N857" s="441"/>
      <c r="O857" s="441"/>
      <c r="P857" s="441"/>
      <c r="Q857" s="441"/>
      <c r="R857" s="426"/>
      <c r="S857" s="441"/>
      <c r="T857" s="441"/>
      <c r="U857" s="441"/>
      <c r="V857" s="441"/>
      <c r="W857" s="441"/>
      <c r="X857" s="441"/>
      <c r="Y857" s="441"/>
      <c r="Z857" s="441"/>
      <c r="AA857" s="441"/>
      <c r="AB857" s="441"/>
      <c r="AC857" s="441"/>
      <c r="AD857" s="441"/>
      <c r="AE857" s="441"/>
      <c r="AF857" s="441"/>
      <c r="AG857" s="441"/>
      <c r="AH857" s="441"/>
      <c r="AI857" s="441"/>
      <c r="AJ857" s="441"/>
      <c r="AK857" s="441"/>
      <c r="AL857" s="441"/>
      <c r="AM857" s="441"/>
      <c r="AN857" s="441"/>
      <c r="AO857" s="441"/>
      <c r="AP857" s="441"/>
      <c r="AQ857" s="441"/>
      <c r="AR857" s="441"/>
      <c r="AS857" s="441"/>
      <c r="AT857" s="441"/>
      <c r="AU857" s="441"/>
      <c r="AV857" s="441"/>
      <c r="AW857" s="441"/>
      <c r="AX857" s="441"/>
      <c r="AY857" s="441"/>
      <c r="AZ857" s="441"/>
      <c r="BA857" s="441"/>
      <c r="BB857" s="441"/>
      <c r="BC857" s="441"/>
      <c r="BD857" s="441"/>
      <c r="BE857" s="441"/>
      <c r="BF857" s="441"/>
    </row>
    <row r="858">
      <c r="A858" s="798"/>
      <c r="B858" s="795"/>
      <c r="C858" s="795"/>
      <c r="D858" s="795"/>
      <c r="E858" s="795"/>
      <c r="F858" s="795"/>
      <c r="G858" s="795"/>
      <c r="H858" s="795"/>
      <c r="I858" s="796"/>
      <c r="J858" s="441"/>
      <c r="K858" s="441"/>
      <c r="L858" s="797"/>
      <c r="M858" s="441"/>
      <c r="N858" s="441"/>
      <c r="O858" s="441"/>
      <c r="P858" s="441"/>
      <c r="Q858" s="441"/>
      <c r="R858" s="426"/>
      <c r="S858" s="441"/>
      <c r="T858" s="441"/>
      <c r="U858" s="441"/>
      <c r="V858" s="441"/>
      <c r="W858" s="441"/>
      <c r="X858" s="441"/>
      <c r="Y858" s="441"/>
      <c r="Z858" s="441"/>
      <c r="AA858" s="441"/>
      <c r="AB858" s="441"/>
      <c r="AC858" s="441"/>
      <c r="AD858" s="441"/>
      <c r="AE858" s="441"/>
      <c r="AF858" s="441"/>
      <c r="AG858" s="441"/>
      <c r="AH858" s="441"/>
      <c r="AI858" s="441"/>
      <c r="AJ858" s="441"/>
      <c r="AK858" s="441"/>
      <c r="AL858" s="441"/>
      <c r="AM858" s="441"/>
      <c r="AN858" s="441"/>
      <c r="AO858" s="441"/>
      <c r="AP858" s="441"/>
      <c r="AQ858" s="441"/>
      <c r="AR858" s="441"/>
      <c r="AS858" s="441"/>
      <c r="AT858" s="441"/>
      <c r="AU858" s="441"/>
      <c r="AV858" s="441"/>
      <c r="AW858" s="441"/>
      <c r="AX858" s="441"/>
      <c r="AY858" s="441"/>
      <c r="AZ858" s="441"/>
      <c r="BA858" s="441"/>
      <c r="BB858" s="441"/>
      <c r="BC858" s="441"/>
      <c r="BD858" s="441"/>
      <c r="BE858" s="441"/>
      <c r="BF858" s="441"/>
    </row>
    <row r="859">
      <c r="A859" s="798"/>
      <c r="B859" s="795"/>
      <c r="C859" s="795"/>
      <c r="D859" s="795"/>
      <c r="E859" s="795"/>
      <c r="F859" s="795"/>
      <c r="G859" s="795"/>
      <c r="H859" s="795"/>
      <c r="I859" s="796"/>
      <c r="J859" s="441"/>
      <c r="K859" s="441"/>
      <c r="L859" s="797"/>
      <c r="M859" s="441"/>
      <c r="N859" s="441"/>
      <c r="O859" s="441"/>
      <c r="P859" s="441"/>
      <c r="Q859" s="441"/>
      <c r="R859" s="426"/>
      <c r="S859" s="441"/>
      <c r="T859" s="441"/>
      <c r="U859" s="441"/>
      <c r="V859" s="441"/>
      <c r="W859" s="441"/>
      <c r="X859" s="441"/>
      <c r="Y859" s="441"/>
      <c r="Z859" s="441"/>
      <c r="AA859" s="441"/>
      <c r="AB859" s="441"/>
      <c r="AC859" s="441"/>
      <c r="AD859" s="441"/>
      <c r="AE859" s="441"/>
      <c r="AF859" s="441"/>
      <c r="AG859" s="441"/>
      <c r="AH859" s="441"/>
      <c r="AI859" s="441"/>
      <c r="AJ859" s="441"/>
      <c r="AK859" s="441"/>
      <c r="AL859" s="441"/>
      <c r="AM859" s="441"/>
      <c r="AN859" s="441"/>
      <c r="AO859" s="441"/>
      <c r="AP859" s="441"/>
      <c r="AQ859" s="441"/>
      <c r="AR859" s="441"/>
      <c r="AS859" s="441"/>
      <c r="AT859" s="441"/>
      <c r="AU859" s="441"/>
      <c r="AV859" s="441"/>
      <c r="AW859" s="441"/>
      <c r="AX859" s="441"/>
      <c r="AY859" s="441"/>
      <c r="AZ859" s="441"/>
      <c r="BA859" s="441"/>
      <c r="BB859" s="441"/>
      <c r="BC859" s="441"/>
      <c r="BD859" s="441"/>
      <c r="BE859" s="441"/>
      <c r="BF859" s="441"/>
    </row>
    <row r="860">
      <c r="A860" s="798"/>
      <c r="B860" s="795"/>
      <c r="C860" s="795"/>
      <c r="D860" s="795"/>
      <c r="E860" s="795"/>
      <c r="F860" s="795"/>
      <c r="G860" s="795"/>
      <c r="H860" s="795"/>
      <c r="I860" s="796"/>
      <c r="J860" s="441"/>
      <c r="K860" s="441"/>
      <c r="L860" s="797"/>
      <c r="M860" s="441"/>
      <c r="N860" s="441"/>
      <c r="O860" s="441"/>
      <c r="P860" s="441"/>
      <c r="Q860" s="441"/>
      <c r="R860" s="426"/>
      <c r="S860" s="441"/>
      <c r="T860" s="441"/>
      <c r="U860" s="441"/>
      <c r="V860" s="441"/>
      <c r="W860" s="441"/>
      <c r="X860" s="441"/>
      <c r="Y860" s="441"/>
      <c r="Z860" s="441"/>
      <c r="AA860" s="441"/>
      <c r="AB860" s="441"/>
      <c r="AC860" s="441"/>
      <c r="AD860" s="441"/>
      <c r="AE860" s="441"/>
      <c r="AF860" s="441"/>
      <c r="AG860" s="441"/>
      <c r="AH860" s="441"/>
      <c r="AI860" s="441"/>
      <c r="AJ860" s="441"/>
      <c r="AK860" s="441"/>
      <c r="AL860" s="441"/>
      <c r="AM860" s="441"/>
      <c r="AN860" s="441"/>
      <c r="AO860" s="441"/>
      <c r="AP860" s="441"/>
      <c r="AQ860" s="441"/>
      <c r="AR860" s="441"/>
      <c r="AS860" s="441"/>
      <c r="AT860" s="441"/>
      <c r="AU860" s="441"/>
      <c r="AV860" s="441"/>
      <c r="AW860" s="441"/>
      <c r="AX860" s="441"/>
      <c r="AY860" s="441"/>
      <c r="AZ860" s="441"/>
      <c r="BA860" s="441"/>
      <c r="BB860" s="441"/>
      <c r="BC860" s="441"/>
      <c r="BD860" s="441"/>
      <c r="BE860" s="441"/>
      <c r="BF860" s="441"/>
    </row>
    <row r="861">
      <c r="A861" s="798"/>
      <c r="B861" s="795"/>
      <c r="C861" s="795"/>
      <c r="D861" s="795"/>
      <c r="E861" s="795"/>
      <c r="F861" s="795"/>
      <c r="G861" s="795"/>
      <c r="H861" s="795"/>
      <c r="I861" s="796"/>
      <c r="J861" s="441"/>
      <c r="K861" s="441"/>
      <c r="L861" s="797"/>
      <c r="M861" s="441"/>
      <c r="N861" s="441"/>
      <c r="O861" s="441"/>
      <c r="P861" s="441"/>
      <c r="Q861" s="441"/>
      <c r="R861" s="426"/>
      <c r="S861" s="441"/>
      <c r="T861" s="441"/>
      <c r="U861" s="441"/>
      <c r="V861" s="441"/>
      <c r="W861" s="441"/>
      <c r="X861" s="441"/>
      <c r="Y861" s="441"/>
      <c r="Z861" s="441"/>
      <c r="AA861" s="441"/>
      <c r="AB861" s="441"/>
      <c r="AC861" s="441"/>
      <c r="AD861" s="441"/>
      <c r="AE861" s="441"/>
      <c r="AF861" s="441"/>
      <c r="AG861" s="441"/>
      <c r="AH861" s="441"/>
      <c r="AI861" s="441"/>
      <c r="AJ861" s="441"/>
      <c r="AK861" s="441"/>
      <c r="AL861" s="441"/>
      <c r="AM861" s="441"/>
      <c r="AN861" s="441"/>
      <c r="AO861" s="441"/>
      <c r="AP861" s="441"/>
      <c r="AQ861" s="441"/>
      <c r="AR861" s="441"/>
      <c r="AS861" s="441"/>
      <c r="AT861" s="441"/>
      <c r="AU861" s="441"/>
      <c r="AV861" s="441"/>
      <c r="AW861" s="441"/>
      <c r="AX861" s="441"/>
      <c r="AY861" s="441"/>
      <c r="AZ861" s="441"/>
      <c r="BA861" s="441"/>
      <c r="BB861" s="441"/>
      <c r="BC861" s="441"/>
      <c r="BD861" s="441"/>
      <c r="BE861" s="441"/>
      <c r="BF861" s="441"/>
    </row>
    <row r="862">
      <c r="A862" s="798"/>
      <c r="B862" s="795"/>
      <c r="C862" s="795"/>
      <c r="D862" s="795"/>
      <c r="E862" s="795"/>
      <c r="F862" s="795"/>
      <c r="G862" s="795"/>
      <c r="H862" s="795"/>
      <c r="I862" s="796"/>
      <c r="J862" s="441"/>
      <c r="K862" s="441"/>
      <c r="L862" s="797"/>
      <c r="M862" s="441"/>
      <c r="N862" s="441"/>
      <c r="O862" s="441"/>
      <c r="P862" s="441"/>
      <c r="Q862" s="441"/>
      <c r="R862" s="426"/>
      <c r="S862" s="441"/>
      <c r="T862" s="441"/>
      <c r="U862" s="441"/>
      <c r="V862" s="441"/>
      <c r="W862" s="441"/>
      <c r="X862" s="441"/>
      <c r="Y862" s="441"/>
      <c r="Z862" s="441"/>
      <c r="AA862" s="441"/>
      <c r="AB862" s="441"/>
      <c r="AC862" s="441"/>
      <c r="AD862" s="441"/>
      <c r="AE862" s="441"/>
      <c r="AF862" s="441"/>
      <c r="AG862" s="441"/>
      <c r="AH862" s="441"/>
      <c r="AI862" s="441"/>
      <c r="AJ862" s="441"/>
      <c r="AK862" s="441"/>
      <c r="AL862" s="441"/>
      <c r="AM862" s="441"/>
      <c r="AN862" s="441"/>
      <c r="AO862" s="441"/>
      <c r="AP862" s="441"/>
      <c r="AQ862" s="441"/>
      <c r="AR862" s="441"/>
      <c r="AS862" s="441"/>
      <c r="AT862" s="441"/>
      <c r="AU862" s="441"/>
      <c r="AV862" s="441"/>
      <c r="AW862" s="441"/>
      <c r="AX862" s="441"/>
      <c r="AY862" s="441"/>
      <c r="AZ862" s="441"/>
      <c r="BA862" s="441"/>
      <c r="BB862" s="441"/>
      <c r="BC862" s="441"/>
      <c r="BD862" s="441"/>
      <c r="BE862" s="441"/>
      <c r="BF862" s="441"/>
    </row>
    <row r="863">
      <c r="A863" s="798"/>
      <c r="B863" s="795"/>
      <c r="C863" s="795"/>
      <c r="D863" s="795"/>
      <c r="E863" s="795"/>
      <c r="F863" s="795"/>
      <c r="G863" s="795"/>
      <c r="H863" s="795"/>
      <c r="I863" s="796"/>
      <c r="J863" s="441"/>
      <c r="K863" s="441"/>
      <c r="L863" s="797"/>
      <c r="M863" s="441"/>
      <c r="N863" s="441"/>
      <c r="O863" s="441"/>
      <c r="P863" s="441"/>
      <c r="Q863" s="441"/>
      <c r="R863" s="426"/>
      <c r="S863" s="441"/>
      <c r="T863" s="441"/>
      <c r="U863" s="441"/>
      <c r="V863" s="441"/>
      <c r="W863" s="441"/>
      <c r="X863" s="441"/>
      <c r="Y863" s="441"/>
      <c r="Z863" s="441"/>
      <c r="AA863" s="441"/>
      <c r="AB863" s="441"/>
      <c r="AC863" s="441"/>
      <c r="AD863" s="441"/>
      <c r="AE863" s="441"/>
      <c r="AF863" s="441"/>
      <c r="AG863" s="441"/>
      <c r="AH863" s="441"/>
      <c r="AI863" s="441"/>
      <c r="AJ863" s="441"/>
      <c r="AK863" s="441"/>
      <c r="AL863" s="441"/>
      <c r="AM863" s="441"/>
      <c r="AN863" s="441"/>
      <c r="AO863" s="441"/>
      <c r="AP863" s="441"/>
      <c r="AQ863" s="441"/>
      <c r="AR863" s="441"/>
      <c r="AS863" s="441"/>
      <c r="AT863" s="441"/>
      <c r="AU863" s="441"/>
      <c r="AV863" s="441"/>
      <c r="AW863" s="441"/>
      <c r="AX863" s="441"/>
      <c r="AY863" s="441"/>
      <c r="AZ863" s="441"/>
      <c r="BA863" s="441"/>
      <c r="BB863" s="441"/>
      <c r="BC863" s="441"/>
      <c r="BD863" s="441"/>
      <c r="BE863" s="441"/>
      <c r="BF863" s="441"/>
    </row>
    <row r="864">
      <c r="A864" s="798"/>
      <c r="B864" s="795"/>
      <c r="C864" s="795"/>
      <c r="D864" s="795"/>
      <c r="E864" s="795"/>
      <c r="F864" s="795"/>
      <c r="G864" s="795"/>
      <c r="H864" s="795"/>
      <c r="I864" s="796"/>
      <c r="J864" s="441"/>
      <c r="K864" s="441"/>
      <c r="L864" s="797"/>
      <c r="M864" s="441"/>
      <c r="N864" s="441"/>
      <c r="O864" s="441"/>
      <c r="P864" s="441"/>
      <c r="Q864" s="441"/>
      <c r="R864" s="426"/>
      <c r="S864" s="441"/>
      <c r="T864" s="441"/>
      <c r="U864" s="441"/>
      <c r="V864" s="441"/>
      <c r="W864" s="441"/>
      <c r="X864" s="441"/>
      <c r="Y864" s="441"/>
      <c r="Z864" s="441"/>
      <c r="AA864" s="441"/>
      <c r="AB864" s="441"/>
      <c r="AC864" s="441"/>
      <c r="AD864" s="441"/>
      <c r="AE864" s="441"/>
      <c r="AF864" s="441"/>
      <c r="AG864" s="441"/>
      <c r="AH864" s="441"/>
      <c r="AI864" s="441"/>
      <c r="AJ864" s="441"/>
      <c r="AK864" s="441"/>
      <c r="AL864" s="441"/>
      <c r="AM864" s="441"/>
      <c r="AN864" s="441"/>
      <c r="AO864" s="441"/>
      <c r="AP864" s="441"/>
      <c r="AQ864" s="441"/>
      <c r="AR864" s="441"/>
      <c r="AS864" s="441"/>
      <c r="AT864" s="441"/>
      <c r="AU864" s="441"/>
      <c r="AV864" s="441"/>
      <c r="AW864" s="441"/>
      <c r="AX864" s="441"/>
      <c r="AY864" s="441"/>
      <c r="AZ864" s="441"/>
      <c r="BA864" s="441"/>
      <c r="BB864" s="441"/>
      <c r="BC864" s="441"/>
      <c r="BD864" s="441"/>
      <c r="BE864" s="441"/>
      <c r="BF864" s="441"/>
    </row>
    <row r="865">
      <c r="A865" s="798"/>
      <c r="B865" s="795"/>
      <c r="C865" s="795"/>
      <c r="D865" s="795"/>
      <c r="E865" s="795"/>
      <c r="F865" s="795"/>
      <c r="G865" s="795"/>
      <c r="H865" s="795"/>
      <c r="I865" s="796"/>
      <c r="J865" s="441"/>
      <c r="K865" s="441"/>
      <c r="L865" s="797"/>
      <c r="M865" s="441"/>
      <c r="N865" s="441"/>
      <c r="O865" s="441"/>
      <c r="P865" s="441"/>
      <c r="Q865" s="441"/>
      <c r="R865" s="426"/>
      <c r="S865" s="441"/>
      <c r="T865" s="441"/>
      <c r="U865" s="441"/>
      <c r="V865" s="441"/>
      <c r="W865" s="441"/>
      <c r="X865" s="441"/>
      <c r="Y865" s="441"/>
      <c r="Z865" s="441"/>
      <c r="AA865" s="441"/>
      <c r="AB865" s="441"/>
      <c r="AC865" s="441"/>
      <c r="AD865" s="441"/>
      <c r="AE865" s="441"/>
      <c r="AF865" s="441"/>
      <c r="AG865" s="441"/>
      <c r="AH865" s="441"/>
      <c r="AI865" s="441"/>
      <c r="AJ865" s="441"/>
      <c r="AK865" s="441"/>
      <c r="AL865" s="441"/>
      <c r="AM865" s="441"/>
      <c r="AN865" s="441"/>
      <c r="AO865" s="441"/>
      <c r="AP865" s="441"/>
      <c r="AQ865" s="441"/>
      <c r="AR865" s="441"/>
      <c r="AS865" s="441"/>
      <c r="AT865" s="441"/>
      <c r="AU865" s="441"/>
      <c r="AV865" s="441"/>
      <c r="AW865" s="441"/>
      <c r="AX865" s="441"/>
      <c r="AY865" s="441"/>
      <c r="AZ865" s="441"/>
      <c r="BA865" s="441"/>
      <c r="BB865" s="441"/>
      <c r="BC865" s="441"/>
      <c r="BD865" s="441"/>
      <c r="BE865" s="441"/>
      <c r="BF865" s="441"/>
    </row>
    <row r="866">
      <c r="A866" s="798"/>
      <c r="B866" s="795"/>
      <c r="C866" s="795"/>
      <c r="D866" s="795"/>
      <c r="E866" s="795"/>
      <c r="F866" s="795"/>
      <c r="G866" s="795"/>
      <c r="H866" s="795"/>
      <c r="I866" s="796"/>
      <c r="J866" s="441"/>
      <c r="K866" s="441"/>
      <c r="L866" s="797"/>
      <c r="M866" s="441"/>
      <c r="N866" s="441"/>
      <c r="O866" s="441"/>
      <c r="P866" s="441"/>
      <c r="Q866" s="441"/>
      <c r="R866" s="426"/>
      <c r="S866" s="441"/>
      <c r="T866" s="441"/>
      <c r="U866" s="441"/>
      <c r="V866" s="441"/>
      <c r="W866" s="441"/>
      <c r="X866" s="441"/>
      <c r="Y866" s="441"/>
      <c r="Z866" s="441"/>
      <c r="AA866" s="441"/>
      <c r="AB866" s="441"/>
      <c r="AC866" s="441"/>
      <c r="AD866" s="441"/>
      <c r="AE866" s="441"/>
      <c r="AF866" s="441"/>
      <c r="AG866" s="441"/>
      <c r="AH866" s="441"/>
      <c r="AI866" s="441"/>
      <c r="AJ866" s="441"/>
      <c r="AK866" s="441"/>
      <c r="AL866" s="441"/>
      <c r="AM866" s="441"/>
      <c r="AN866" s="441"/>
      <c r="AO866" s="441"/>
      <c r="AP866" s="441"/>
      <c r="AQ866" s="441"/>
      <c r="AR866" s="441"/>
      <c r="AS866" s="441"/>
      <c r="AT866" s="441"/>
      <c r="AU866" s="441"/>
      <c r="AV866" s="441"/>
      <c r="AW866" s="441"/>
      <c r="AX866" s="441"/>
      <c r="AY866" s="441"/>
      <c r="AZ866" s="441"/>
      <c r="BA866" s="441"/>
      <c r="BB866" s="441"/>
      <c r="BC866" s="441"/>
      <c r="BD866" s="441"/>
      <c r="BE866" s="441"/>
      <c r="BF866" s="441"/>
    </row>
    <row r="867">
      <c r="A867" s="798"/>
      <c r="B867" s="795"/>
      <c r="C867" s="795"/>
      <c r="D867" s="795"/>
      <c r="E867" s="795"/>
      <c r="F867" s="795"/>
      <c r="G867" s="795"/>
      <c r="H867" s="795"/>
      <c r="I867" s="796"/>
      <c r="J867" s="441"/>
      <c r="K867" s="441"/>
      <c r="L867" s="797"/>
      <c r="M867" s="441"/>
      <c r="N867" s="441"/>
      <c r="O867" s="441"/>
      <c r="P867" s="441"/>
      <c r="Q867" s="441"/>
      <c r="R867" s="426"/>
      <c r="S867" s="441"/>
      <c r="T867" s="441"/>
      <c r="U867" s="441"/>
      <c r="V867" s="441"/>
      <c r="W867" s="441"/>
      <c r="X867" s="441"/>
      <c r="Y867" s="441"/>
      <c r="Z867" s="441"/>
      <c r="AA867" s="441"/>
      <c r="AB867" s="441"/>
      <c r="AC867" s="441"/>
      <c r="AD867" s="441"/>
      <c r="AE867" s="441"/>
      <c r="AF867" s="441"/>
      <c r="AG867" s="441"/>
      <c r="AH867" s="441"/>
      <c r="AI867" s="441"/>
      <c r="AJ867" s="441"/>
      <c r="AK867" s="441"/>
      <c r="AL867" s="441"/>
      <c r="AM867" s="441"/>
      <c r="AN867" s="441"/>
      <c r="AO867" s="441"/>
      <c r="AP867" s="441"/>
      <c r="AQ867" s="441"/>
      <c r="AR867" s="441"/>
      <c r="AS867" s="441"/>
      <c r="AT867" s="441"/>
      <c r="AU867" s="441"/>
      <c r="AV867" s="441"/>
      <c r="AW867" s="441"/>
      <c r="AX867" s="441"/>
      <c r="AY867" s="441"/>
      <c r="AZ867" s="441"/>
      <c r="BA867" s="441"/>
      <c r="BB867" s="441"/>
      <c r="BC867" s="441"/>
      <c r="BD867" s="441"/>
      <c r="BE867" s="441"/>
      <c r="BF867" s="441"/>
    </row>
    <row r="868">
      <c r="A868" s="798"/>
      <c r="B868" s="795"/>
      <c r="C868" s="795"/>
      <c r="D868" s="795"/>
      <c r="E868" s="795"/>
      <c r="F868" s="795"/>
      <c r="G868" s="795"/>
      <c r="H868" s="795"/>
      <c r="I868" s="796"/>
      <c r="J868" s="441"/>
      <c r="K868" s="441"/>
      <c r="L868" s="797"/>
      <c r="M868" s="441"/>
      <c r="N868" s="441"/>
      <c r="O868" s="441"/>
      <c r="P868" s="441"/>
      <c r="Q868" s="441"/>
      <c r="R868" s="426"/>
      <c r="S868" s="441"/>
      <c r="T868" s="441"/>
      <c r="U868" s="441"/>
      <c r="V868" s="441"/>
      <c r="W868" s="441"/>
      <c r="X868" s="441"/>
      <c r="Y868" s="441"/>
      <c r="Z868" s="441"/>
      <c r="AA868" s="441"/>
      <c r="AB868" s="441"/>
      <c r="AC868" s="441"/>
      <c r="AD868" s="441"/>
      <c r="AE868" s="441"/>
      <c r="AF868" s="441"/>
      <c r="AG868" s="441"/>
      <c r="AH868" s="441"/>
      <c r="AI868" s="441"/>
      <c r="AJ868" s="441"/>
      <c r="AK868" s="441"/>
      <c r="AL868" s="441"/>
      <c r="AM868" s="441"/>
      <c r="AN868" s="441"/>
      <c r="AO868" s="441"/>
      <c r="AP868" s="441"/>
      <c r="AQ868" s="441"/>
      <c r="AR868" s="441"/>
      <c r="AS868" s="441"/>
      <c r="AT868" s="441"/>
      <c r="AU868" s="441"/>
      <c r="AV868" s="441"/>
      <c r="AW868" s="441"/>
      <c r="AX868" s="441"/>
      <c r="AY868" s="441"/>
      <c r="AZ868" s="441"/>
      <c r="BA868" s="441"/>
      <c r="BB868" s="441"/>
      <c r="BC868" s="441"/>
      <c r="BD868" s="441"/>
      <c r="BE868" s="441"/>
      <c r="BF868" s="441"/>
    </row>
    <row r="869">
      <c r="A869" s="798"/>
      <c r="B869" s="795"/>
      <c r="C869" s="795"/>
      <c r="D869" s="795"/>
      <c r="E869" s="795"/>
      <c r="F869" s="795"/>
      <c r="G869" s="795"/>
      <c r="H869" s="795"/>
      <c r="I869" s="796"/>
      <c r="J869" s="441"/>
      <c r="K869" s="441"/>
      <c r="L869" s="797"/>
      <c r="M869" s="441"/>
      <c r="N869" s="441"/>
      <c r="O869" s="441"/>
      <c r="P869" s="441"/>
      <c r="Q869" s="441"/>
      <c r="R869" s="426"/>
      <c r="S869" s="441"/>
      <c r="T869" s="441"/>
      <c r="U869" s="441"/>
      <c r="V869" s="441"/>
      <c r="W869" s="441"/>
      <c r="X869" s="441"/>
      <c r="Y869" s="441"/>
      <c r="Z869" s="441"/>
      <c r="AA869" s="441"/>
      <c r="AB869" s="441"/>
      <c r="AC869" s="441"/>
      <c r="AD869" s="441"/>
      <c r="AE869" s="441"/>
      <c r="AF869" s="441"/>
      <c r="AG869" s="441"/>
      <c r="AH869" s="441"/>
      <c r="AI869" s="441"/>
      <c r="AJ869" s="441"/>
      <c r="AK869" s="441"/>
      <c r="AL869" s="441"/>
      <c r="AM869" s="441"/>
      <c r="AN869" s="441"/>
      <c r="AO869" s="441"/>
      <c r="AP869" s="441"/>
      <c r="AQ869" s="441"/>
      <c r="AR869" s="441"/>
      <c r="AS869" s="441"/>
      <c r="AT869" s="441"/>
      <c r="AU869" s="441"/>
      <c r="AV869" s="441"/>
      <c r="AW869" s="441"/>
      <c r="AX869" s="441"/>
      <c r="AY869" s="441"/>
      <c r="AZ869" s="441"/>
      <c r="BA869" s="441"/>
      <c r="BB869" s="441"/>
      <c r="BC869" s="441"/>
      <c r="BD869" s="441"/>
      <c r="BE869" s="441"/>
      <c r="BF869" s="441"/>
    </row>
    <row r="870">
      <c r="A870" s="798"/>
      <c r="B870" s="795"/>
      <c r="C870" s="795"/>
      <c r="D870" s="795"/>
      <c r="E870" s="795"/>
      <c r="F870" s="795"/>
      <c r="G870" s="795"/>
      <c r="H870" s="795"/>
      <c r="I870" s="796"/>
      <c r="J870" s="441"/>
      <c r="K870" s="441"/>
      <c r="L870" s="797"/>
      <c r="M870" s="441"/>
      <c r="N870" s="441"/>
      <c r="O870" s="441"/>
      <c r="P870" s="441"/>
      <c r="Q870" s="441"/>
      <c r="R870" s="426"/>
      <c r="S870" s="441"/>
      <c r="T870" s="441"/>
      <c r="U870" s="441"/>
      <c r="V870" s="441"/>
      <c r="W870" s="441"/>
      <c r="X870" s="441"/>
      <c r="Y870" s="441"/>
      <c r="Z870" s="441"/>
      <c r="AA870" s="441"/>
      <c r="AB870" s="441"/>
      <c r="AC870" s="441"/>
      <c r="AD870" s="441"/>
      <c r="AE870" s="441"/>
      <c r="AF870" s="441"/>
      <c r="AG870" s="441"/>
      <c r="AH870" s="441"/>
      <c r="AI870" s="441"/>
      <c r="AJ870" s="441"/>
      <c r="AK870" s="441"/>
      <c r="AL870" s="441"/>
      <c r="AM870" s="441"/>
      <c r="AN870" s="441"/>
      <c r="AO870" s="441"/>
      <c r="AP870" s="441"/>
      <c r="AQ870" s="441"/>
      <c r="AR870" s="441"/>
      <c r="AS870" s="441"/>
      <c r="AT870" s="441"/>
      <c r="AU870" s="441"/>
      <c r="AV870" s="441"/>
      <c r="AW870" s="441"/>
      <c r="AX870" s="441"/>
      <c r="AY870" s="441"/>
      <c r="AZ870" s="441"/>
      <c r="BA870" s="441"/>
      <c r="BB870" s="441"/>
      <c r="BC870" s="441"/>
      <c r="BD870" s="441"/>
      <c r="BE870" s="441"/>
      <c r="BF870" s="441"/>
    </row>
    <row r="871">
      <c r="A871" s="798"/>
      <c r="B871" s="795"/>
      <c r="C871" s="795"/>
      <c r="D871" s="795"/>
      <c r="E871" s="795"/>
      <c r="F871" s="795"/>
      <c r="G871" s="795"/>
      <c r="H871" s="795"/>
      <c r="I871" s="796"/>
      <c r="J871" s="441"/>
      <c r="K871" s="441"/>
      <c r="L871" s="797"/>
      <c r="M871" s="441"/>
      <c r="N871" s="441"/>
      <c r="O871" s="441"/>
      <c r="P871" s="441"/>
      <c r="Q871" s="441"/>
      <c r="R871" s="426"/>
      <c r="S871" s="441"/>
      <c r="T871" s="441"/>
      <c r="U871" s="441"/>
      <c r="V871" s="441"/>
      <c r="W871" s="441"/>
      <c r="X871" s="441"/>
      <c r="Y871" s="441"/>
      <c r="Z871" s="441"/>
      <c r="AA871" s="441"/>
      <c r="AB871" s="441"/>
      <c r="AC871" s="441"/>
      <c r="AD871" s="441"/>
      <c r="AE871" s="441"/>
      <c r="AF871" s="441"/>
      <c r="AG871" s="441"/>
      <c r="AH871" s="441"/>
      <c r="AI871" s="441"/>
      <c r="AJ871" s="441"/>
      <c r="AK871" s="441"/>
      <c r="AL871" s="441"/>
      <c r="AM871" s="441"/>
      <c r="AN871" s="441"/>
      <c r="AO871" s="441"/>
      <c r="AP871" s="441"/>
      <c r="AQ871" s="441"/>
      <c r="AR871" s="441"/>
      <c r="AS871" s="441"/>
      <c r="AT871" s="441"/>
      <c r="AU871" s="441"/>
      <c r="AV871" s="441"/>
      <c r="AW871" s="441"/>
      <c r="AX871" s="441"/>
      <c r="AY871" s="441"/>
      <c r="AZ871" s="441"/>
      <c r="BA871" s="441"/>
      <c r="BB871" s="441"/>
      <c r="BC871" s="441"/>
      <c r="BD871" s="441"/>
      <c r="BE871" s="441"/>
      <c r="BF871" s="441"/>
    </row>
    <row r="872">
      <c r="A872" s="798"/>
      <c r="B872" s="795"/>
      <c r="C872" s="795"/>
      <c r="D872" s="795"/>
      <c r="E872" s="795"/>
      <c r="F872" s="795"/>
      <c r="G872" s="795"/>
      <c r="H872" s="795"/>
      <c r="I872" s="796"/>
      <c r="J872" s="441"/>
      <c r="K872" s="441"/>
      <c r="L872" s="797"/>
      <c r="M872" s="441"/>
      <c r="N872" s="441"/>
      <c r="O872" s="441"/>
      <c r="P872" s="441"/>
      <c r="Q872" s="441"/>
      <c r="R872" s="426"/>
      <c r="S872" s="441"/>
      <c r="T872" s="441"/>
      <c r="U872" s="441"/>
      <c r="V872" s="441"/>
      <c r="W872" s="441"/>
      <c r="X872" s="441"/>
      <c r="Y872" s="441"/>
      <c r="Z872" s="441"/>
      <c r="AA872" s="441"/>
      <c r="AB872" s="441"/>
      <c r="AC872" s="441"/>
      <c r="AD872" s="441"/>
      <c r="AE872" s="441"/>
      <c r="AF872" s="441"/>
      <c r="AG872" s="441"/>
      <c r="AH872" s="441"/>
      <c r="AI872" s="441"/>
      <c r="AJ872" s="441"/>
      <c r="AK872" s="441"/>
      <c r="AL872" s="441"/>
      <c r="AM872" s="441"/>
      <c r="AN872" s="441"/>
      <c r="AO872" s="441"/>
      <c r="AP872" s="441"/>
      <c r="AQ872" s="441"/>
      <c r="AR872" s="441"/>
      <c r="AS872" s="441"/>
      <c r="AT872" s="441"/>
      <c r="AU872" s="441"/>
      <c r="AV872" s="441"/>
      <c r="AW872" s="441"/>
      <c r="AX872" s="441"/>
      <c r="AY872" s="441"/>
      <c r="AZ872" s="441"/>
      <c r="BA872" s="441"/>
      <c r="BB872" s="441"/>
      <c r="BC872" s="441"/>
      <c r="BD872" s="441"/>
      <c r="BE872" s="441"/>
      <c r="BF872" s="441"/>
    </row>
    <row r="873">
      <c r="A873" s="798"/>
      <c r="B873" s="795"/>
      <c r="C873" s="795"/>
      <c r="D873" s="795"/>
      <c r="E873" s="795"/>
      <c r="F873" s="795"/>
      <c r="G873" s="795"/>
      <c r="H873" s="795"/>
      <c r="I873" s="796"/>
      <c r="J873" s="441"/>
      <c r="K873" s="441"/>
      <c r="L873" s="797"/>
      <c r="M873" s="441"/>
      <c r="N873" s="441"/>
      <c r="O873" s="441"/>
      <c r="P873" s="441"/>
      <c r="Q873" s="441"/>
      <c r="R873" s="426"/>
      <c r="S873" s="441"/>
      <c r="T873" s="441"/>
      <c r="U873" s="441"/>
      <c r="V873" s="441"/>
      <c r="W873" s="441"/>
      <c r="X873" s="441"/>
      <c r="Y873" s="441"/>
      <c r="Z873" s="441"/>
      <c r="AA873" s="441"/>
      <c r="AB873" s="441"/>
      <c r="AC873" s="441"/>
      <c r="AD873" s="441"/>
      <c r="AE873" s="441"/>
      <c r="AF873" s="441"/>
      <c r="AG873" s="441"/>
      <c r="AH873" s="441"/>
      <c r="AI873" s="441"/>
      <c r="AJ873" s="441"/>
      <c r="AK873" s="441"/>
      <c r="AL873" s="441"/>
      <c r="AM873" s="441"/>
      <c r="AN873" s="441"/>
      <c r="AO873" s="441"/>
      <c r="AP873" s="441"/>
      <c r="AQ873" s="441"/>
      <c r="AR873" s="441"/>
      <c r="AS873" s="441"/>
      <c r="AT873" s="441"/>
      <c r="AU873" s="441"/>
      <c r="AV873" s="441"/>
      <c r="AW873" s="441"/>
      <c r="AX873" s="441"/>
      <c r="AY873" s="441"/>
      <c r="AZ873" s="441"/>
      <c r="BA873" s="441"/>
      <c r="BB873" s="441"/>
      <c r="BC873" s="441"/>
      <c r="BD873" s="441"/>
      <c r="BE873" s="441"/>
      <c r="BF873" s="441"/>
    </row>
    <row r="874">
      <c r="A874" s="798"/>
      <c r="B874" s="795"/>
      <c r="C874" s="795"/>
      <c r="D874" s="795"/>
      <c r="E874" s="795"/>
      <c r="F874" s="795"/>
      <c r="G874" s="795"/>
      <c r="H874" s="795"/>
      <c r="I874" s="796"/>
      <c r="J874" s="441"/>
      <c r="K874" s="441"/>
      <c r="L874" s="797"/>
      <c r="M874" s="441"/>
      <c r="N874" s="441"/>
      <c r="O874" s="441"/>
      <c r="P874" s="441"/>
      <c r="Q874" s="441"/>
      <c r="R874" s="426"/>
      <c r="S874" s="441"/>
      <c r="T874" s="441"/>
      <c r="U874" s="441"/>
      <c r="V874" s="441"/>
      <c r="W874" s="441"/>
      <c r="X874" s="441"/>
      <c r="Y874" s="441"/>
      <c r="Z874" s="441"/>
      <c r="AA874" s="441"/>
      <c r="AB874" s="441"/>
      <c r="AC874" s="441"/>
      <c r="AD874" s="441"/>
      <c r="AE874" s="441"/>
      <c r="AF874" s="441"/>
      <c r="AG874" s="441"/>
      <c r="AH874" s="441"/>
      <c r="AI874" s="441"/>
      <c r="AJ874" s="441"/>
      <c r="AK874" s="441"/>
      <c r="AL874" s="441"/>
      <c r="AM874" s="441"/>
      <c r="AN874" s="441"/>
      <c r="AO874" s="441"/>
      <c r="AP874" s="441"/>
      <c r="AQ874" s="441"/>
      <c r="AR874" s="441"/>
      <c r="AS874" s="441"/>
      <c r="AT874" s="441"/>
      <c r="AU874" s="441"/>
      <c r="AV874" s="441"/>
      <c r="AW874" s="441"/>
      <c r="AX874" s="441"/>
      <c r="AY874" s="441"/>
      <c r="AZ874" s="441"/>
      <c r="BA874" s="441"/>
      <c r="BB874" s="441"/>
      <c r="BC874" s="441"/>
      <c r="BD874" s="441"/>
      <c r="BE874" s="441"/>
      <c r="BF874" s="441"/>
    </row>
    <row r="875">
      <c r="A875" s="798"/>
      <c r="B875" s="795"/>
      <c r="C875" s="795"/>
      <c r="D875" s="795"/>
      <c r="E875" s="795"/>
      <c r="F875" s="795"/>
      <c r="G875" s="795"/>
      <c r="H875" s="795"/>
      <c r="I875" s="796"/>
      <c r="J875" s="441"/>
      <c r="K875" s="441"/>
      <c r="L875" s="797"/>
      <c r="M875" s="441"/>
      <c r="N875" s="441"/>
      <c r="O875" s="441"/>
      <c r="P875" s="441"/>
      <c r="Q875" s="441"/>
      <c r="R875" s="426"/>
      <c r="S875" s="441"/>
      <c r="T875" s="441"/>
      <c r="U875" s="441"/>
      <c r="V875" s="441"/>
      <c r="W875" s="441"/>
      <c r="X875" s="441"/>
      <c r="Y875" s="441"/>
      <c r="Z875" s="441"/>
      <c r="AA875" s="441"/>
      <c r="AB875" s="441"/>
      <c r="AC875" s="441"/>
      <c r="AD875" s="441"/>
      <c r="AE875" s="441"/>
      <c r="AF875" s="441"/>
      <c r="AG875" s="441"/>
      <c r="AH875" s="441"/>
      <c r="AI875" s="441"/>
      <c r="AJ875" s="441"/>
      <c r="AK875" s="441"/>
      <c r="AL875" s="441"/>
      <c r="AM875" s="441"/>
      <c r="AN875" s="441"/>
      <c r="AO875" s="441"/>
      <c r="AP875" s="441"/>
      <c r="AQ875" s="441"/>
      <c r="AR875" s="441"/>
      <c r="AS875" s="441"/>
      <c r="AT875" s="441"/>
      <c r="AU875" s="441"/>
      <c r="AV875" s="441"/>
      <c r="AW875" s="441"/>
      <c r="AX875" s="441"/>
      <c r="AY875" s="441"/>
      <c r="AZ875" s="441"/>
      <c r="BA875" s="441"/>
      <c r="BB875" s="441"/>
      <c r="BC875" s="441"/>
      <c r="BD875" s="441"/>
      <c r="BE875" s="441"/>
      <c r="BF875" s="441"/>
    </row>
    <row r="876">
      <c r="A876" s="798"/>
      <c r="B876" s="795"/>
      <c r="C876" s="795"/>
      <c r="D876" s="795"/>
      <c r="E876" s="795"/>
      <c r="F876" s="795"/>
      <c r="G876" s="795"/>
      <c r="H876" s="795"/>
      <c r="I876" s="796"/>
      <c r="J876" s="441"/>
      <c r="K876" s="441"/>
      <c r="L876" s="797"/>
      <c r="M876" s="441"/>
      <c r="N876" s="441"/>
      <c r="O876" s="441"/>
      <c r="P876" s="441"/>
      <c r="Q876" s="441"/>
      <c r="R876" s="426"/>
      <c r="S876" s="441"/>
      <c r="T876" s="441"/>
      <c r="U876" s="441"/>
      <c r="V876" s="441"/>
      <c r="W876" s="441"/>
      <c r="X876" s="441"/>
      <c r="Y876" s="441"/>
      <c r="Z876" s="441"/>
      <c r="AA876" s="441"/>
      <c r="AB876" s="441"/>
      <c r="AC876" s="441"/>
      <c r="AD876" s="441"/>
      <c r="AE876" s="441"/>
      <c r="AF876" s="441"/>
      <c r="AG876" s="441"/>
      <c r="AH876" s="441"/>
      <c r="AI876" s="441"/>
      <c r="AJ876" s="441"/>
      <c r="AK876" s="441"/>
      <c r="AL876" s="441"/>
      <c r="AM876" s="441"/>
      <c r="AN876" s="441"/>
      <c r="AO876" s="441"/>
      <c r="AP876" s="441"/>
      <c r="AQ876" s="441"/>
      <c r="AR876" s="441"/>
      <c r="AS876" s="441"/>
      <c r="AT876" s="441"/>
      <c r="AU876" s="441"/>
      <c r="AV876" s="441"/>
      <c r="AW876" s="441"/>
      <c r="AX876" s="441"/>
      <c r="AY876" s="441"/>
      <c r="AZ876" s="441"/>
      <c r="BA876" s="441"/>
      <c r="BB876" s="441"/>
      <c r="BC876" s="441"/>
      <c r="BD876" s="441"/>
      <c r="BE876" s="441"/>
      <c r="BF876" s="441"/>
    </row>
    <row r="877">
      <c r="A877" s="798"/>
      <c r="B877" s="795"/>
      <c r="C877" s="795"/>
      <c r="D877" s="795"/>
      <c r="E877" s="795"/>
      <c r="F877" s="795"/>
      <c r="G877" s="795"/>
      <c r="H877" s="795"/>
      <c r="I877" s="796"/>
      <c r="J877" s="441"/>
      <c r="K877" s="441"/>
      <c r="L877" s="797"/>
      <c r="M877" s="441"/>
      <c r="N877" s="441"/>
      <c r="O877" s="441"/>
      <c r="P877" s="441"/>
      <c r="Q877" s="441"/>
      <c r="R877" s="426"/>
      <c r="S877" s="441"/>
      <c r="T877" s="441"/>
      <c r="U877" s="441"/>
      <c r="V877" s="441"/>
      <c r="W877" s="441"/>
      <c r="X877" s="441"/>
      <c r="Y877" s="441"/>
      <c r="Z877" s="441"/>
      <c r="AA877" s="441"/>
      <c r="AB877" s="441"/>
      <c r="AC877" s="441"/>
      <c r="AD877" s="441"/>
      <c r="AE877" s="441"/>
      <c r="AF877" s="441"/>
      <c r="AG877" s="441"/>
      <c r="AH877" s="441"/>
      <c r="AI877" s="441"/>
      <c r="AJ877" s="441"/>
      <c r="AK877" s="441"/>
      <c r="AL877" s="441"/>
      <c r="AM877" s="441"/>
      <c r="AN877" s="441"/>
      <c r="AO877" s="441"/>
      <c r="AP877" s="441"/>
      <c r="AQ877" s="441"/>
      <c r="AR877" s="441"/>
      <c r="AS877" s="441"/>
      <c r="AT877" s="441"/>
      <c r="AU877" s="441"/>
      <c r="AV877" s="441"/>
      <c r="AW877" s="441"/>
      <c r="AX877" s="441"/>
      <c r="AY877" s="441"/>
      <c r="AZ877" s="441"/>
      <c r="BA877" s="441"/>
      <c r="BB877" s="441"/>
      <c r="BC877" s="441"/>
      <c r="BD877" s="441"/>
      <c r="BE877" s="441"/>
      <c r="BF877" s="441"/>
    </row>
    <row r="878">
      <c r="A878" s="798"/>
      <c r="B878" s="795"/>
      <c r="C878" s="795"/>
      <c r="D878" s="795"/>
      <c r="E878" s="795"/>
      <c r="F878" s="795"/>
      <c r="G878" s="795"/>
      <c r="H878" s="795"/>
      <c r="I878" s="796"/>
      <c r="J878" s="441"/>
      <c r="K878" s="441"/>
      <c r="L878" s="797"/>
      <c r="M878" s="441"/>
      <c r="N878" s="441"/>
      <c r="O878" s="441"/>
      <c r="P878" s="441"/>
      <c r="Q878" s="441"/>
      <c r="R878" s="426"/>
      <c r="S878" s="441"/>
      <c r="T878" s="441"/>
      <c r="U878" s="441"/>
      <c r="V878" s="441"/>
      <c r="W878" s="441"/>
      <c r="X878" s="441"/>
      <c r="Y878" s="441"/>
      <c r="Z878" s="441"/>
      <c r="AA878" s="441"/>
      <c r="AB878" s="441"/>
      <c r="AC878" s="441"/>
      <c r="AD878" s="441"/>
      <c r="AE878" s="441"/>
      <c r="AF878" s="441"/>
      <c r="AG878" s="441"/>
      <c r="AH878" s="441"/>
      <c r="AI878" s="441"/>
      <c r="AJ878" s="441"/>
      <c r="AK878" s="441"/>
      <c r="AL878" s="441"/>
      <c r="AM878" s="441"/>
      <c r="AN878" s="441"/>
      <c r="AO878" s="441"/>
      <c r="AP878" s="441"/>
      <c r="AQ878" s="441"/>
      <c r="AR878" s="441"/>
      <c r="AS878" s="441"/>
      <c r="AT878" s="441"/>
      <c r="AU878" s="441"/>
      <c r="AV878" s="441"/>
      <c r="AW878" s="441"/>
      <c r="AX878" s="441"/>
      <c r="AY878" s="441"/>
      <c r="AZ878" s="441"/>
      <c r="BA878" s="441"/>
      <c r="BB878" s="441"/>
      <c r="BC878" s="441"/>
      <c r="BD878" s="441"/>
      <c r="BE878" s="441"/>
      <c r="BF878" s="441"/>
    </row>
    <row r="879">
      <c r="A879" s="798"/>
      <c r="B879" s="795"/>
      <c r="C879" s="795"/>
      <c r="D879" s="795"/>
      <c r="E879" s="795"/>
      <c r="F879" s="795"/>
      <c r="G879" s="795"/>
      <c r="H879" s="795"/>
      <c r="I879" s="796"/>
      <c r="J879" s="441"/>
      <c r="K879" s="441"/>
      <c r="L879" s="797"/>
      <c r="M879" s="441"/>
      <c r="N879" s="441"/>
      <c r="O879" s="441"/>
      <c r="P879" s="441"/>
      <c r="Q879" s="441"/>
      <c r="R879" s="426"/>
      <c r="S879" s="441"/>
      <c r="T879" s="441"/>
      <c r="U879" s="441"/>
      <c r="V879" s="441"/>
      <c r="W879" s="441"/>
      <c r="X879" s="441"/>
      <c r="Y879" s="441"/>
      <c r="Z879" s="441"/>
      <c r="AA879" s="441"/>
      <c r="AB879" s="441"/>
      <c r="AC879" s="441"/>
      <c r="AD879" s="441"/>
      <c r="AE879" s="441"/>
      <c r="AF879" s="441"/>
      <c r="AG879" s="441"/>
      <c r="AH879" s="441"/>
      <c r="AI879" s="441"/>
      <c r="AJ879" s="441"/>
      <c r="AK879" s="441"/>
      <c r="AL879" s="441"/>
      <c r="AM879" s="441"/>
      <c r="AN879" s="441"/>
      <c r="AO879" s="441"/>
      <c r="AP879" s="441"/>
      <c r="AQ879" s="441"/>
      <c r="AR879" s="441"/>
      <c r="AS879" s="441"/>
      <c r="AT879" s="441"/>
      <c r="AU879" s="441"/>
      <c r="AV879" s="441"/>
      <c r="AW879" s="441"/>
      <c r="AX879" s="441"/>
      <c r="AY879" s="441"/>
      <c r="AZ879" s="441"/>
      <c r="BA879" s="441"/>
      <c r="BB879" s="441"/>
      <c r="BC879" s="441"/>
      <c r="BD879" s="441"/>
      <c r="BE879" s="441"/>
      <c r="BF879" s="441"/>
    </row>
    <row r="880">
      <c r="A880" s="798"/>
      <c r="B880" s="795"/>
      <c r="C880" s="795"/>
      <c r="D880" s="795"/>
      <c r="E880" s="795"/>
      <c r="F880" s="795"/>
      <c r="G880" s="795"/>
      <c r="H880" s="795"/>
      <c r="I880" s="796"/>
      <c r="J880" s="441"/>
      <c r="K880" s="441"/>
      <c r="L880" s="797"/>
      <c r="M880" s="441"/>
      <c r="N880" s="441"/>
      <c r="O880" s="441"/>
      <c r="P880" s="441"/>
      <c r="Q880" s="441"/>
      <c r="R880" s="426"/>
      <c r="S880" s="441"/>
      <c r="T880" s="441"/>
      <c r="U880" s="441"/>
      <c r="V880" s="441"/>
      <c r="W880" s="441"/>
      <c r="X880" s="441"/>
      <c r="Y880" s="441"/>
      <c r="Z880" s="441"/>
      <c r="AA880" s="441"/>
      <c r="AB880" s="441"/>
      <c r="AC880" s="441"/>
      <c r="AD880" s="441"/>
      <c r="AE880" s="441"/>
      <c r="AF880" s="441"/>
      <c r="AG880" s="441"/>
      <c r="AH880" s="441"/>
      <c r="AI880" s="441"/>
      <c r="AJ880" s="441"/>
      <c r="AK880" s="441"/>
      <c r="AL880" s="441"/>
      <c r="AM880" s="441"/>
      <c r="AN880" s="441"/>
      <c r="AO880" s="441"/>
      <c r="AP880" s="441"/>
      <c r="AQ880" s="441"/>
      <c r="AR880" s="441"/>
      <c r="AS880" s="441"/>
      <c r="AT880" s="441"/>
      <c r="AU880" s="441"/>
      <c r="AV880" s="441"/>
      <c r="AW880" s="441"/>
      <c r="AX880" s="441"/>
      <c r="AY880" s="441"/>
      <c r="AZ880" s="441"/>
      <c r="BA880" s="441"/>
      <c r="BB880" s="441"/>
      <c r="BC880" s="441"/>
      <c r="BD880" s="441"/>
      <c r="BE880" s="441"/>
      <c r="BF880" s="441"/>
    </row>
    <row r="881">
      <c r="A881" s="798"/>
      <c r="B881" s="795"/>
      <c r="C881" s="795"/>
      <c r="D881" s="795"/>
      <c r="E881" s="795"/>
      <c r="F881" s="795"/>
      <c r="G881" s="795"/>
      <c r="H881" s="795"/>
      <c r="I881" s="796"/>
      <c r="J881" s="441"/>
      <c r="K881" s="441"/>
      <c r="L881" s="797"/>
      <c r="M881" s="441"/>
      <c r="N881" s="441"/>
      <c r="O881" s="441"/>
      <c r="P881" s="441"/>
      <c r="Q881" s="441"/>
      <c r="R881" s="426"/>
      <c r="S881" s="441"/>
      <c r="T881" s="441"/>
      <c r="U881" s="441"/>
      <c r="V881" s="441"/>
      <c r="W881" s="441"/>
      <c r="X881" s="441"/>
      <c r="Y881" s="441"/>
      <c r="Z881" s="441"/>
      <c r="AA881" s="441"/>
      <c r="AB881" s="441"/>
      <c r="AC881" s="441"/>
      <c r="AD881" s="441"/>
      <c r="AE881" s="441"/>
      <c r="AF881" s="441"/>
      <c r="AG881" s="441"/>
      <c r="AH881" s="441"/>
      <c r="AI881" s="441"/>
      <c r="AJ881" s="441"/>
      <c r="AK881" s="441"/>
      <c r="AL881" s="441"/>
      <c r="AM881" s="441"/>
      <c r="AN881" s="441"/>
      <c r="AO881" s="441"/>
      <c r="AP881" s="441"/>
      <c r="AQ881" s="441"/>
      <c r="AR881" s="441"/>
      <c r="AS881" s="441"/>
      <c r="AT881" s="441"/>
      <c r="AU881" s="441"/>
      <c r="AV881" s="441"/>
      <c r="AW881" s="441"/>
      <c r="AX881" s="441"/>
      <c r="AY881" s="441"/>
      <c r="AZ881" s="441"/>
      <c r="BA881" s="441"/>
      <c r="BB881" s="441"/>
      <c r="BC881" s="441"/>
      <c r="BD881" s="441"/>
      <c r="BE881" s="441"/>
      <c r="BF881" s="441"/>
    </row>
    <row r="882">
      <c r="A882" s="798"/>
      <c r="B882" s="795"/>
      <c r="C882" s="795"/>
      <c r="D882" s="795"/>
      <c r="E882" s="795"/>
      <c r="F882" s="795"/>
      <c r="G882" s="795"/>
      <c r="H882" s="795"/>
      <c r="I882" s="796"/>
      <c r="J882" s="441"/>
      <c r="K882" s="441"/>
      <c r="L882" s="797"/>
      <c r="M882" s="441"/>
      <c r="N882" s="441"/>
      <c r="O882" s="441"/>
      <c r="P882" s="441"/>
      <c r="Q882" s="441"/>
      <c r="R882" s="426"/>
      <c r="S882" s="441"/>
      <c r="T882" s="441"/>
      <c r="U882" s="441"/>
      <c r="V882" s="441"/>
      <c r="W882" s="441"/>
      <c r="X882" s="441"/>
      <c r="Y882" s="441"/>
      <c r="Z882" s="441"/>
      <c r="AA882" s="441"/>
      <c r="AB882" s="441"/>
      <c r="AC882" s="441"/>
      <c r="AD882" s="441"/>
      <c r="AE882" s="441"/>
      <c r="AF882" s="441"/>
      <c r="AG882" s="441"/>
      <c r="AH882" s="441"/>
      <c r="AI882" s="441"/>
      <c r="AJ882" s="441"/>
      <c r="AK882" s="441"/>
      <c r="AL882" s="441"/>
      <c r="AM882" s="441"/>
      <c r="AN882" s="441"/>
      <c r="AO882" s="441"/>
      <c r="AP882" s="441"/>
      <c r="AQ882" s="441"/>
      <c r="AR882" s="441"/>
      <c r="AS882" s="441"/>
      <c r="AT882" s="441"/>
      <c r="AU882" s="441"/>
      <c r="AV882" s="441"/>
      <c r="AW882" s="441"/>
      <c r="AX882" s="441"/>
      <c r="AY882" s="441"/>
      <c r="AZ882" s="441"/>
      <c r="BA882" s="441"/>
      <c r="BB882" s="441"/>
      <c r="BC882" s="441"/>
      <c r="BD882" s="441"/>
      <c r="BE882" s="441"/>
      <c r="BF882" s="441"/>
    </row>
    <row r="883">
      <c r="A883" s="798"/>
      <c r="B883" s="795"/>
      <c r="C883" s="795"/>
      <c r="D883" s="795"/>
      <c r="E883" s="795"/>
      <c r="F883" s="795"/>
      <c r="G883" s="795"/>
      <c r="H883" s="795"/>
      <c r="I883" s="796"/>
      <c r="J883" s="441"/>
      <c r="K883" s="441"/>
      <c r="L883" s="797"/>
      <c r="M883" s="441"/>
      <c r="N883" s="441"/>
      <c r="O883" s="441"/>
      <c r="P883" s="441"/>
      <c r="Q883" s="441"/>
      <c r="R883" s="426"/>
      <c r="S883" s="441"/>
      <c r="T883" s="441"/>
      <c r="U883" s="441"/>
      <c r="V883" s="441"/>
      <c r="W883" s="441"/>
      <c r="X883" s="441"/>
      <c r="Y883" s="441"/>
      <c r="Z883" s="441"/>
      <c r="AA883" s="441"/>
      <c r="AB883" s="441"/>
      <c r="AC883" s="441"/>
      <c r="AD883" s="441"/>
      <c r="AE883" s="441"/>
      <c r="AF883" s="441"/>
      <c r="AG883" s="441"/>
      <c r="AH883" s="441"/>
      <c r="AI883" s="441"/>
      <c r="AJ883" s="441"/>
      <c r="AK883" s="441"/>
      <c r="AL883" s="441"/>
      <c r="AM883" s="441"/>
      <c r="AN883" s="441"/>
      <c r="AO883" s="441"/>
      <c r="AP883" s="441"/>
      <c r="AQ883" s="441"/>
      <c r="AR883" s="441"/>
      <c r="AS883" s="441"/>
      <c r="AT883" s="441"/>
      <c r="AU883" s="441"/>
      <c r="AV883" s="441"/>
      <c r="AW883" s="441"/>
      <c r="AX883" s="441"/>
      <c r="AY883" s="441"/>
      <c r="AZ883" s="441"/>
      <c r="BA883" s="441"/>
      <c r="BB883" s="441"/>
      <c r="BC883" s="441"/>
      <c r="BD883" s="441"/>
      <c r="BE883" s="441"/>
      <c r="BF883" s="441"/>
    </row>
    <row r="884">
      <c r="A884" s="798"/>
      <c r="B884" s="795"/>
      <c r="C884" s="795"/>
      <c r="D884" s="795"/>
      <c r="E884" s="795"/>
      <c r="F884" s="795"/>
      <c r="G884" s="795"/>
      <c r="H884" s="795"/>
      <c r="I884" s="796"/>
      <c r="J884" s="441"/>
      <c r="K884" s="441"/>
      <c r="L884" s="797"/>
      <c r="M884" s="441"/>
      <c r="N884" s="441"/>
      <c r="O884" s="441"/>
      <c r="P884" s="441"/>
      <c r="Q884" s="441"/>
      <c r="R884" s="426"/>
      <c r="S884" s="441"/>
      <c r="T884" s="441"/>
      <c r="U884" s="441"/>
      <c r="V884" s="441"/>
      <c r="W884" s="441"/>
      <c r="X884" s="441"/>
      <c r="Y884" s="441"/>
      <c r="Z884" s="441"/>
      <c r="AA884" s="441"/>
      <c r="AB884" s="441"/>
      <c r="AC884" s="441"/>
      <c r="AD884" s="441"/>
      <c r="AE884" s="441"/>
      <c r="AF884" s="441"/>
      <c r="AG884" s="441"/>
      <c r="AH884" s="441"/>
      <c r="AI884" s="441"/>
      <c r="AJ884" s="441"/>
      <c r="AK884" s="441"/>
      <c r="AL884" s="441"/>
      <c r="AM884" s="441"/>
      <c r="AN884" s="441"/>
      <c r="AO884" s="441"/>
      <c r="AP884" s="441"/>
      <c r="AQ884" s="441"/>
      <c r="AR884" s="441"/>
      <c r="AS884" s="441"/>
      <c r="AT884" s="441"/>
      <c r="AU884" s="441"/>
      <c r="AV884" s="441"/>
      <c r="AW884" s="441"/>
      <c r="AX884" s="441"/>
      <c r="AY884" s="441"/>
      <c r="AZ884" s="441"/>
      <c r="BA884" s="441"/>
      <c r="BB884" s="441"/>
      <c r="BC884" s="441"/>
      <c r="BD884" s="441"/>
      <c r="BE884" s="441"/>
      <c r="BF884" s="441"/>
    </row>
    <row r="885">
      <c r="A885" s="798"/>
      <c r="B885" s="795"/>
      <c r="C885" s="795"/>
      <c r="D885" s="795"/>
      <c r="E885" s="795"/>
      <c r="F885" s="795"/>
      <c r="G885" s="795"/>
      <c r="H885" s="795"/>
      <c r="I885" s="796"/>
      <c r="J885" s="441"/>
      <c r="K885" s="441"/>
      <c r="L885" s="797"/>
      <c r="M885" s="441"/>
      <c r="N885" s="441"/>
      <c r="O885" s="441"/>
      <c r="P885" s="441"/>
      <c r="Q885" s="441"/>
      <c r="R885" s="426"/>
      <c r="S885" s="441"/>
      <c r="T885" s="441"/>
      <c r="U885" s="441"/>
      <c r="V885" s="441"/>
      <c r="W885" s="441"/>
      <c r="X885" s="441"/>
      <c r="Y885" s="441"/>
      <c r="Z885" s="441"/>
      <c r="AA885" s="441"/>
      <c r="AB885" s="441"/>
      <c r="AC885" s="441"/>
      <c r="AD885" s="441"/>
      <c r="AE885" s="441"/>
      <c r="AF885" s="441"/>
      <c r="AG885" s="441"/>
      <c r="AH885" s="441"/>
      <c r="AI885" s="441"/>
      <c r="AJ885" s="441"/>
      <c r="AK885" s="441"/>
      <c r="AL885" s="441"/>
      <c r="AM885" s="441"/>
      <c r="AN885" s="441"/>
      <c r="AO885" s="441"/>
      <c r="AP885" s="441"/>
      <c r="AQ885" s="441"/>
      <c r="AR885" s="441"/>
      <c r="AS885" s="441"/>
      <c r="AT885" s="441"/>
      <c r="AU885" s="441"/>
      <c r="AV885" s="441"/>
      <c r="AW885" s="441"/>
      <c r="AX885" s="441"/>
      <c r="AY885" s="441"/>
      <c r="AZ885" s="441"/>
      <c r="BA885" s="441"/>
      <c r="BB885" s="441"/>
      <c r="BC885" s="441"/>
      <c r="BD885" s="441"/>
      <c r="BE885" s="441"/>
      <c r="BF885" s="441"/>
    </row>
    <row r="886">
      <c r="A886" s="798"/>
      <c r="B886" s="795"/>
      <c r="C886" s="795"/>
      <c r="D886" s="795"/>
      <c r="E886" s="795"/>
      <c r="F886" s="795"/>
      <c r="G886" s="795"/>
      <c r="H886" s="795"/>
      <c r="I886" s="796"/>
      <c r="J886" s="441"/>
      <c r="K886" s="441"/>
      <c r="L886" s="797"/>
      <c r="M886" s="441"/>
      <c r="N886" s="441"/>
      <c r="O886" s="441"/>
      <c r="P886" s="441"/>
      <c r="Q886" s="441"/>
      <c r="R886" s="426"/>
      <c r="S886" s="441"/>
      <c r="T886" s="441"/>
      <c r="U886" s="441"/>
      <c r="V886" s="441"/>
      <c r="W886" s="441"/>
      <c r="X886" s="441"/>
      <c r="Y886" s="441"/>
      <c r="Z886" s="441"/>
      <c r="AA886" s="441"/>
      <c r="AB886" s="441"/>
      <c r="AC886" s="441"/>
      <c r="AD886" s="441"/>
      <c r="AE886" s="441"/>
      <c r="AF886" s="441"/>
      <c r="AG886" s="441"/>
      <c r="AH886" s="441"/>
      <c r="AI886" s="441"/>
      <c r="AJ886" s="441"/>
      <c r="AK886" s="441"/>
      <c r="AL886" s="441"/>
      <c r="AM886" s="441"/>
      <c r="AN886" s="441"/>
      <c r="AO886" s="441"/>
      <c r="AP886" s="441"/>
      <c r="AQ886" s="441"/>
      <c r="AR886" s="441"/>
      <c r="AS886" s="441"/>
      <c r="AT886" s="441"/>
      <c r="AU886" s="441"/>
      <c r="AV886" s="441"/>
      <c r="AW886" s="441"/>
      <c r="AX886" s="441"/>
      <c r="AY886" s="441"/>
      <c r="AZ886" s="441"/>
      <c r="BA886" s="441"/>
      <c r="BB886" s="441"/>
      <c r="BC886" s="441"/>
      <c r="BD886" s="441"/>
      <c r="BE886" s="441"/>
      <c r="BF886" s="441"/>
    </row>
    <row r="887">
      <c r="A887" s="798"/>
      <c r="B887" s="795"/>
      <c r="C887" s="795"/>
      <c r="D887" s="795"/>
      <c r="E887" s="795"/>
      <c r="F887" s="795"/>
      <c r="G887" s="795"/>
      <c r="H887" s="795"/>
      <c r="I887" s="796"/>
      <c r="J887" s="441"/>
      <c r="K887" s="441"/>
      <c r="L887" s="797"/>
      <c r="M887" s="441"/>
      <c r="N887" s="441"/>
      <c r="O887" s="441"/>
      <c r="P887" s="441"/>
      <c r="Q887" s="441"/>
      <c r="R887" s="426"/>
      <c r="S887" s="441"/>
      <c r="T887" s="441"/>
      <c r="U887" s="441"/>
      <c r="V887" s="441"/>
      <c r="W887" s="441"/>
      <c r="X887" s="441"/>
      <c r="Y887" s="441"/>
      <c r="Z887" s="441"/>
      <c r="AA887" s="441"/>
      <c r="AB887" s="441"/>
      <c r="AC887" s="441"/>
      <c r="AD887" s="441"/>
      <c r="AE887" s="441"/>
      <c r="AF887" s="441"/>
      <c r="AG887" s="441"/>
      <c r="AH887" s="441"/>
      <c r="AI887" s="441"/>
      <c r="AJ887" s="441"/>
      <c r="AK887" s="441"/>
      <c r="AL887" s="441"/>
      <c r="AM887" s="441"/>
      <c r="AN887" s="441"/>
      <c r="AO887" s="441"/>
      <c r="AP887" s="441"/>
      <c r="AQ887" s="441"/>
      <c r="AR887" s="441"/>
      <c r="AS887" s="441"/>
      <c r="AT887" s="441"/>
      <c r="AU887" s="441"/>
      <c r="AV887" s="441"/>
      <c r="AW887" s="441"/>
      <c r="AX887" s="441"/>
      <c r="AY887" s="441"/>
      <c r="AZ887" s="441"/>
      <c r="BA887" s="441"/>
      <c r="BB887" s="441"/>
      <c r="BC887" s="441"/>
      <c r="BD887" s="441"/>
      <c r="BE887" s="441"/>
      <c r="BF887" s="441"/>
    </row>
    <row r="888">
      <c r="A888" s="798"/>
      <c r="B888" s="795"/>
      <c r="C888" s="795"/>
      <c r="D888" s="795"/>
      <c r="E888" s="795"/>
      <c r="F888" s="795"/>
      <c r="G888" s="795"/>
      <c r="H888" s="795"/>
      <c r="I888" s="796"/>
      <c r="J888" s="441"/>
      <c r="K888" s="441"/>
      <c r="L888" s="797"/>
      <c r="M888" s="441"/>
      <c r="N888" s="441"/>
      <c r="O888" s="441"/>
      <c r="P888" s="441"/>
      <c r="Q888" s="441"/>
      <c r="R888" s="426"/>
      <c r="S888" s="441"/>
      <c r="T888" s="441"/>
      <c r="U888" s="441"/>
      <c r="V888" s="441"/>
      <c r="W888" s="441"/>
      <c r="X888" s="441"/>
      <c r="Y888" s="441"/>
      <c r="Z888" s="441"/>
      <c r="AA888" s="441"/>
      <c r="AB888" s="441"/>
      <c r="AC888" s="441"/>
      <c r="AD888" s="441"/>
      <c r="AE888" s="441"/>
      <c r="AF888" s="441"/>
      <c r="AG888" s="441"/>
      <c r="AH888" s="441"/>
      <c r="AI888" s="441"/>
      <c r="AJ888" s="441"/>
      <c r="AK888" s="441"/>
      <c r="AL888" s="441"/>
      <c r="AM888" s="441"/>
      <c r="AN888" s="441"/>
      <c r="AO888" s="441"/>
      <c r="AP888" s="441"/>
      <c r="AQ888" s="441"/>
      <c r="AR888" s="441"/>
      <c r="AS888" s="441"/>
      <c r="AT888" s="441"/>
      <c r="AU888" s="441"/>
      <c r="AV888" s="441"/>
      <c r="AW888" s="441"/>
      <c r="AX888" s="441"/>
      <c r="AY888" s="441"/>
      <c r="AZ888" s="441"/>
      <c r="BA888" s="441"/>
      <c r="BB888" s="441"/>
      <c r="BC888" s="441"/>
      <c r="BD888" s="441"/>
      <c r="BE888" s="441"/>
      <c r="BF888" s="441"/>
    </row>
    <row r="889">
      <c r="A889" s="798"/>
      <c r="B889" s="795"/>
      <c r="C889" s="795"/>
      <c r="D889" s="795"/>
      <c r="E889" s="795"/>
      <c r="F889" s="795"/>
      <c r="G889" s="795"/>
      <c r="H889" s="795"/>
      <c r="I889" s="796"/>
      <c r="J889" s="441"/>
      <c r="K889" s="441"/>
      <c r="L889" s="797"/>
      <c r="M889" s="441"/>
      <c r="N889" s="441"/>
      <c r="O889" s="441"/>
      <c r="P889" s="441"/>
      <c r="Q889" s="441"/>
      <c r="R889" s="426"/>
      <c r="S889" s="441"/>
      <c r="T889" s="441"/>
      <c r="U889" s="441"/>
      <c r="V889" s="441"/>
      <c r="W889" s="441"/>
      <c r="X889" s="441"/>
      <c r="Y889" s="441"/>
      <c r="Z889" s="441"/>
      <c r="AA889" s="441"/>
      <c r="AB889" s="441"/>
      <c r="AC889" s="441"/>
      <c r="AD889" s="441"/>
      <c r="AE889" s="441"/>
      <c r="AF889" s="441"/>
      <c r="AG889" s="441"/>
      <c r="AH889" s="441"/>
      <c r="AI889" s="441"/>
      <c r="AJ889" s="441"/>
      <c r="AK889" s="441"/>
      <c r="AL889" s="441"/>
      <c r="AM889" s="441"/>
      <c r="AN889" s="441"/>
      <c r="AO889" s="441"/>
      <c r="AP889" s="441"/>
      <c r="AQ889" s="441"/>
      <c r="AR889" s="441"/>
      <c r="AS889" s="441"/>
      <c r="AT889" s="441"/>
      <c r="AU889" s="441"/>
      <c r="AV889" s="441"/>
      <c r="AW889" s="441"/>
      <c r="AX889" s="441"/>
      <c r="AY889" s="441"/>
      <c r="AZ889" s="441"/>
      <c r="BA889" s="441"/>
      <c r="BB889" s="441"/>
      <c r="BC889" s="441"/>
      <c r="BD889" s="441"/>
      <c r="BE889" s="441"/>
      <c r="BF889" s="441"/>
    </row>
    <row r="890">
      <c r="A890" s="798"/>
      <c r="B890" s="795"/>
      <c r="C890" s="795"/>
      <c r="D890" s="795"/>
      <c r="E890" s="795"/>
      <c r="F890" s="795"/>
      <c r="G890" s="795"/>
      <c r="H890" s="795"/>
      <c r="I890" s="796"/>
      <c r="J890" s="441"/>
      <c r="K890" s="441"/>
      <c r="L890" s="797"/>
      <c r="M890" s="441"/>
      <c r="N890" s="441"/>
      <c r="O890" s="441"/>
      <c r="P890" s="441"/>
      <c r="Q890" s="441"/>
      <c r="R890" s="426"/>
      <c r="S890" s="441"/>
      <c r="T890" s="441"/>
      <c r="U890" s="441"/>
      <c r="V890" s="441"/>
      <c r="W890" s="441"/>
      <c r="X890" s="441"/>
      <c r="Y890" s="441"/>
      <c r="Z890" s="441"/>
      <c r="AA890" s="441"/>
      <c r="AB890" s="441"/>
      <c r="AC890" s="441"/>
      <c r="AD890" s="441"/>
      <c r="AE890" s="441"/>
      <c r="AF890" s="441"/>
      <c r="AG890" s="441"/>
      <c r="AH890" s="441"/>
      <c r="AI890" s="441"/>
      <c r="AJ890" s="441"/>
      <c r="AK890" s="441"/>
      <c r="AL890" s="441"/>
      <c r="AM890" s="441"/>
      <c r="AN890" s="441"/>
      <c r="AO890" s="441"/>
      <c r="AP890" s="441"/>
      <c r="AQ890" s="441"/>
      <c r="AR890" s="441"/>
      <c r="AS890" s="441"/>
      <c r="AT890" s="441"/>
      <c r="AU890" s="441"/>
      <c r="AV890" s="441"/>
      <c r="AW890" s="441"/>
      <c r="AX890" s="441"/>
      <c r="AY890" s="441"/>
      <c r="AZ890" s="441"/>
      <c r="BA890" s="441"/>
      <c r="BB890" s="441"/>
      <c r="BC890" s="441"/>
      <c r="BD890" s="441"/>
      <c r="BE890" s="441"/>
      <c r="BF890" s="441"/>
    </row>
    <row r="891">
      <c r="A891" s="798"/>
      <c r="B891" s="795"/>
      <c r="C891" s="795"/>
      <c r="D891" s="795"/>
      <c r="E891" s="795"/>
      <c r="F891" s="795"/>
      <c r="G891" s="795"/>
      <c r="H891" s="795"/>
      <c r="I891" s="796"/>
      <c r="J891" s="441"/>
      <c r="K891" s="441"/>
      <c r="L891" s="797"/>
      <c r="M891" s="441"/>
      <c r="N891" s="441"/>
      <c r="O891" s="441"/>
      <c r="P891" s="441"/>
      <c r="Q891" s="441"/>
      <c r="R891" s="426"/>
      <c r="S891" s="441"/>
      <c r="T891" s="441"/>
      <c r="U891" s="441"/>
      <c r="V891" s="441"/>
      <c r="W891" s="441"/>
      <c r="X891" s="441"/>
      <c r="Y891" s="441"/>
      <c r="Z891" s="441"/>
      <c r="AA891" s="441"/>
      <c r="AB891" s="441"/>
      <c r="AC891" s="441"/>
      <c r="AD891" s="441"/>
      <c r="AE891" s="441"/>
      <c r="AF891" s="441"/>
      <c r="AG891" s="441"/>
      <c r="AH891" s="441"/>
      <c r="AI891" s="441"/>
      <c r="AJ891" s="441"/>
      <c r="AK891" s="441"/>
      <c r="AL891" s="441"/>
      <c r="AM891" s="441"/>
      <c r="AN891" s="441"/>
      <c r="AO891" s="441"/>
      <c r="AP891" s="441"/>
      <c r="AQ891" s="441"/>
      <c r="AR891" s="441"/>
      <c r="AS891" s="441"/>
      <c r="AT891" s="441"/>
      <c r="AU891" s="441"/>
      <c r="AV891" s="441"/>
      <c r="AW891" s="441"/>
      <c r="AX891" s="441"/>
      <c r="AY891" s="441"/>
      <c r="AZ891" s="441"/>
      <c r="BA891" s="441"/>
      <c r="BB891" s="441"/>
      <c r="BC891" s="441"/>
      <c r="BD891" s="441"/>
      <c r="BE891" s="441"/>
      <c r="BF891" s="441"/>
    </row>
    <row r="892">
      <c r="A892" s="798"/>
      <c r="B892" s="795"/>
      <c r="C892" s="795"/>
      <c r="D892" s="795"/>
      <c r="E892" s="795"/>
      <c r="F892" s="795"/>
      <c r="G892" s="795"/>
      <c r="H892" s="795"/>
      <c r="I892" s="796"/>
      <c r="J892" s="441"/>
      <c r="K892" s="441"/>
      <c r="L892" s="797"/>
      <c r="M892" s="441"/>
      <c r="N892" s="441"/>
      <c r="O892" s="441"/>
      <c r="P892" s="441"/>
      <c r="Q892" s="441"/>
      <c r="R892" s="426"/>
      <c r="S892" s="441"/>
      <c r="T892" s="441"/>
      <c r="U892" s="441"/>
      <c r="V892" s="441"/>
      <c r="W892" s="441"/>
      <c r="X892" s="441"/>
      <c r="Y892" s="441"/>
      <c r="Z892" s="441"/>
      <c r="AA892" s="441"/>
      <c r="AB892" s="441"/>
      <c r="AC892" s="441"/>
      <c r="AD892" s="441"/>
      <c r="AE892" s="441"/>
      <c r="AF892" s="441"/>
      <c r="AG892" s="441"/>
      <c r="AH892" s="441"/>
      <c r="AI892" s="441"/>
      <c r="AJ892" s="441"/>
      <c r="AK892" s="441"/>
      <c r="AL892" s="441"/>
      <c r="AM892" s="441"/>
      <c r="AN892" s="441"/>
      <c r="AO892" s="441"/>
      <c r="AP892" s="441"/>
      <c r="AQ892" s="441"/>
      <c r="AR892" s="441"/>
      <c r="AS892" s="441"/>
      <c r="AT892" s="441"/>
      <c r="AU892" s="441"/>
      <c r="AV892" s="441"/>
      <c r="AW892" s="441"/>
      <c r="AX892" s="441"/>
      <c r="AY892" s="441"/>
      <c r="AZ892" s="441"/>
      <c r="BA892" s="441"/>
      <c r="BB892" s="441"/>
      <c r="BC892" s="441"/>
      <c r="BD892" s="441"/>
      <c r="BE892" s="441"/>
      <c r="BF892" s="441"/>
    </row>
    <row r="893">
      <c r="A893" s="798"/>
      <c r="B893" s="795"/>
      <c r="C893" s="795"/>
      <c r="D893" s="795"/>
      <c r="E893" s="795"/>
      <c r="F893" s="795"/>
      <c r="G893" s="795"/>
      <c r="H893" s="795"/>
      <c r="I893" s="796"/>
      <c r="J893" s="441"/>
      <c r="K893" s="441"/>
      <c r="L893" s="797"/>
      <c r="M893" s="441"/>
      <c r="N893" s="441"/>
      <c r="O893" s="441"/>
      <c r="P893" s="441"/>
      <c r="Q893" s="441"/>
      <c r="R893" s="426"/>
      <c r="S893" s="441"/>
      <c r="T893" s="441"/>
      <c r="U893" s="441"/>
      <c r="V893" s="441"/>
      <c r="W893" s="441"/>
      <c r="X893" s="441"/>
      <c r="Y893" s="441"/>
      <c r="Z893" s="441"/>
      <c r="AA893" s="441"/>
      <c r="AB893" s="441"/>
      <c r="AC893" s="441"/>
      <c r="AD893" s="441"/>
      <c r="AE893" s="441"/>
      <c r="AF893" s="441"/>
      <c r="AG893" s="441"/>
      <c r="AH893" s="441"/>
      <c r="AI893" s="441"/>
      <c r="AJ893" s="441"/>
      <c r="AK893" s="441"/>
      <c r="AL893" s="441"/>
      <c r="AM893" s="441"/>
      <c r="AN893" s="441"/>
      <c r="AO893" s="441"/>
      <c r="AP893" s="441"/>
      <c r="AQ893" s="441"/>
      <c r="AR893" s="441"/>
      <c r="AS893" s="441"/>
      <c r="AT893" s="441"/>
      <c r="AU893" s="441"/>
      <c r="AV893" s="441"/>
      <c r="AW893" s="441"/>
      <c r="AX893" s="441"/>
      <c r="AY893" s="441"/>
      <c r="AZ893" s="441"/>
      <c r="BA893" s="441"/>
      <c r="BB893" s="441"/>
      <c r="BC893" s="441"/>
      <c r="BD893" s="441"/>
      <c r="BE893" s="441"/>
      <c r="BF893" s="441"/>
    </row>
    <row r="894">
      <c r="A894" s="798"/>
      <c r="B894" s="795"/>
      <c r="C894" s="795"/>
      <c r="D894" s="795"/>
      <c r="E894" s="795"/>
      <c r="F894" s="795"/>
      <c r="G894" s="795"/>
      <c r="H894" s="795"/>
      <c r="I894" s="796"/>
      <c r="J894" s="441"/>
      <c r="K894" s="441"/>
      <c r="L894" s="797"/>
      <c r="M894" s="441"/>
      <c r="N894" s="441"/>
      <c r="O894" s="441"/>
      <c r="P894" s="441"/>
      <c r="Q894" s="441"/>
      <c r="R894" s="426"/>
      <c r="S894" s="441"/>
      <c r="T894" s="441"/>
      <c r="U894" s="441"/>
      <c r="V894" s="441"/>
      <c r="W894" s="441"/>
      <c r="X894" s="441"/>
      <c r="Y894" s="441"/>
      <c r="Z894" s="441"/>
      <c r="AA894" s="441"/>
      <c r="AB894" s="441"/>
      <c r="AC894" s="441"/>
      <c r="AD894" s="441"/>
      <c r="AE894" s="441"/>
      <c r="AF894" s="441"/>
      <c r="AG894" s="441"/>
      <c r="AH894" s="441"/>
      <c r="AI894" s="441"/>
      <c r="AJ894" s="441"/>
      <c r="AK894" s="441"/>
      <c r="AL894" s="441"/>
      <c r="AM894" s="441"/>
      <c r="AN894" s="441"/>
      <c r="AO894" s="441"/>
      <c r="AP894" s="441"/>
      <c r="AQ894" s="441"/>
      <c r="AR894" s="441"/>
      <c r="AS894" s="441"/>
      <c r="AT894" s="441"/>
      <c r="AU894" s="441"/>
      <c r="AV894" s="441"/>
      <c r="AW894" s="441"/>
      <c r="AX894" s="441"/>
      <c r="AY894" s="441"/>
      <c r="AZ894" s="441"/>
      <c r="BA894" s="441"/>
      <c r="BB894" s="441"/>
      <c r="BC894" s="441"/>
      <c r="BD894" s="441"/>
      <c r="BE894" s="441"/>
      <c r="BF894" s="441"/>
    </row>
    <row r="895">
      <c r="A895" s="798"/>
      <c r="B895" s="795"/>
      <c r="C895" s="795"/>
      <c r="D895" s="795"/>
      <c r="E895" s="795"/>
      <c r="F895" s="795"/>
      <c r="G895" s="795"/>
      <c r="H895" s="795"/>
      <c r="I895" s="796"/>
      <c r="J895" s="441"/>
      <c r="K895" s="441"/>
      <c r="L895" s="797"/>
      <c r="M895" s="441"/>
      <c r="N895" s="441"/>
      <c r="O895" s="441"/>
      <c r="P895" s="441"/>
      <c r="Q895" s="441"/>
      <c r="R895" s="426"/>
      <c r="S895" s="441"/>
      <c r="T895" s="441"/>
      <c r="U895" s="441"/>
      <c r="V895" s="441"/>
      <c r="W895" s="441"/>
      <c r="X895" s="441"/>
      <c r="Y895" s="441"/>
      <c r="Z895" s="441"/>
      <c r="AA895" s="441"/>
      <c r="AB895" s="441"/>
      <c r="AC895" s="441"/>
      <c r="AD895" s="441"/>
      <c r="AE895" s="441"/>
      <c r="AF895" s="441"/>
      <c r="AG895" s="441"/>
      <c r="AH895" s="441"/>
      <c r="AI895" s="441"/>
      <c r="AJ895" s="441"/>
      <c r="AK895" s="441"/>
      <c r="AL895" s="441"/>
      <c r="AM895" s="441"/>
      <c r="AN895" s="441"/>
      <c r="AO895" s="441"/>
      <c r="AP895" s="441"/>
      <c r="AQ895" s="441"/>
      <c r="AR895" s="441"/>
      <c r="AS895" s="441"/>
      <c r="AT895" s="441"/>
      <c r="AU895" s="441"/>
      <c r="AV895" s="441"/>
      <c r="AW895" s="441"/>
      <c r="AX895" s="441"/>
      <c r="AY895" s="441"/>
      <c r="AZ895" s="441"/>
      <c r="BA895" s="441"/>
      <c r="BB895" s="441"/>
      <c r="BC895" s="441"/>
      <c r="BD895" s="441"/>
      <c r="BE895" s="441"/>
      <c r="BF895" s="441"/>
    </row>
    <row r="896">
      <c r="A896" s="798"/>
      <c r="B896" s="795"/>
      <c r="C896" s="795"/>
      <c r="D896" s="795"/>
      <c r="E896" s="795"/>
      <c r="F896" s="795"/>
      <c r="G896" s="795"/>
      <c r="H896" s="795"/>
      <c r="I896" s="796"/>
      <c r="J896" s="441"/>
      <c r="K896" s="441"/>
      <c r="L896" s="797"/>
      <c r="M896" s="441"/>
      <c r="N896" s="441"/>
      <c r="O896" s="441"/>
      <c r="P896" s="441"/>
      <c r="Q896" s="441"/>
      <c r="R896" s="426"/>
      <c r="S896" s="441"/>
      <c r="T896" s="441"/>
      <c r="U896" s="441"/>
      <c r="V896" s="441"/>
      <c r="W896" s="441"/>
      <c r="X896" s="441"/>
      <c r="Y896" s="441"/>
      <c r="Z896" s="441"/>
      <c r="AA896" s="441"/>
      <c r="AB896" s="441"/>
      <c r="AC896" s="441"/>
      <c r="AD896" s="441"/>
      <c r="AE896" s="441"/>
      <c r="AF896" s="441"/>
      <c r="AG896" s="441"/>
      <c r="AH896" s="441"/>
      <c r="AI896" s="441"/>
      <c r="AJ896" s="441"/>
      <c r="AK896" s="441"/>
      <c r="AL896" s="441"/>
      <c r="AM896" s="441"/>
      <c r="AN896" s="441"/>
      <c r="AO896" s="441"/>
      <c r="AP896" s="441"/>
      <c r="AQ896" s="441"/>
      <c r="AR896" s="441"/>
      <c r="AS896" s="441"/>
      <c r="AT896" s="441"/>
      <c r="AU896" s="441"/>
      <c r="AV896" s="441"/>
      <c r="AW896" s="441"/>
      <c r="AX896" s="441"/>
      <c r="AY896" s="441"/>
      <c r="AZ896" s="441"/>
      <c r="BA896" s="441"/>
      <c r="BB896" s="441"/>
      <c r="BC896" s="441"/>
      <c r="BD896" s="441"/>
      <c r="BE896" s="441"/>
      <c r="BF896" s="441"/>
    </row>
    <row r="897">
      <c r="A897" s="798"/>
      <c r="B897" s="795"/>
      <c r="C897" s="795"/>
      <c r="D897" s="795"/>
      <c r="E897" s="795"/>
      <c r="F897" s="795"/>
      <c r="G897" s="795"/>
      <c r="H897" s="795"/>
      <c r="I897" s="796"/>
      <c r="J897" s="441"/>
      <c r="K897" s="441"/>
      <c r="L897" s="797"/>
      <c r="M897" s="441"/>
      <c r="N897" s="441"/>
      <c r="O897" s="441"/>
      <c r="P897" s="441"/>
      <c r="Q897" s="441"/>
      <c r="R897" s="426"/>
      <c r="S897" s="441"/>
      <c r="T897" s="441"/>
      <c r="U897" s="441"/>
      <c r="V897" s="441"/>
      <c r="W897" s="441"/>
      <c r="X897" s="441"/>
      <c r="Y897" s="441"/>
      <c r="Z897" s="441"/>
      <c r="AA897" s="441"/>
      <c r="AB897" s="441"/>
      <c r="AC897" s="441"/>
      <c r="AD897" s="441"/>
      <c r="AE897" s="441"/>
      <c r="AF897" s="441"/>
      <c r="AG897" s="441"/>
      <c r="AH897" s="441"/>
      <c r="AI897" s="441"/>
      <c r="AJ897" s="441"/>
      <c r="AK897" s="441"/>
      <c r="AL897" s="441"/>
      <c r="AM897" s="441"/>
      <c r="AN897" s="441"/>
      <c r="AO897" s="441"/>
      <c r="AP897" s="441"/>
      <c r="AQ897" s="441"/>
      <c r="AR897" s="441"/>
      <c r="AS897" s="441"/>
      <c r="AT897" s="441"/>
      <c r="AU897" s="441"/>
      <c r="AV897" s="441"/>
      <c r="AW897" s="441"/>
      <c r="AX897" s="441"/>
      <c r="AY897" s="441"/>
      <c r="AZ897" s="441"/>
      <c r="BA897" s="441"/>
      <c r="BB897" s="441"/>
      <c r="BC897" s="441"/>
      <c r="BD897" s="441"/>
      <c r="BE897" s="441"/>
      <c r="BF897" s="441"/>
    </row>
    <row r="898">
      <c r="A898" s="798"/>
      <c r="B898" s="795"/>
      <c r="C898" s="795"/>
      <c r="D898" s="795"/>
      <c r="E898" s="795"/>
      <c r="F898" s="795"/>
      <c r="G898" s="795"/>
      <c r="H898" s="795"/>
      <c r="I898" s="796"/>
      <c r="J898" s="441"/>
      <c r="K898" s="441"/>
      <c r="L898" s="797"/>
      <c r="M898" s="441"/>
      <c r="N898" s="441"/>
      <c r="O898" s="441"/>
      <c r="P898" s="441"/>
      <c r="Q898" s="441"/>
      <c r="R898" s="426"/>
      <c r="S898" s="441"/>
      <c r="T898" s="441"/>
      <c r="U898" s="441"/>
      <c r="V898" s="441"/>
      <c r="W898" s="441"/>
      <c r="X898" s="441"/>
      <c r="Y898" s="441"/>
      <c r="Z898" s="441"/>
      <c r="AA898" s="441"/>
      <c r="AB898" s="441"/>
      <c r="AC898" s="441"/>
      <c r="AD898" s="441"/>
      <c r="AE898" s="441"/>
      <c r="AF898" s="441"/>
      <c r="AG898" s="441"/>
      <c r="AH898" s="441"/>
      <c r="AI898" s="441"/>
      <c r="AJ898" s="441"/>
      <c r="AK898" s="441"/>
      <c r="AL898" s="441"/>
      <c r="AM898" s="441"/>
      <c r="AN898" s="441"/>
      <c r="AO898" s="441"/>
      <c r="AP898" s="441"/>
      <c r="AQ898" s="441"/>
      <c r="AR898" s="441"/>
      <c r="AS898" s="441"/>
      <c r="AT898" s="441"/>
      <c r="AU898" s="441"/>
      <c r="AV898" s="441"/>
      <c r="AW898" s="441"/>
      <c r="AX898" s="441"/>
      <c r="AY898" s="441"/>
      <c r="AZ898" s="441"/>
      <c r="BA898" s="441"/>
      <c r="BB898" s="441"/>
      <c r="BC898" s="441"/>
      <c r="BD898" s="441"/>
      <c r="BE898" s="441"/>
      <c r="BF898" s="441"/>
    </row>
    <row r="899">
      <c r="A899" s="798"/>
      <c r="B899" s="795"/>
      <c r="C899" s="795"/>
      <c r="D899" s="795"/>
      <c r="E899" s="795"/>
      <c r="F899" s="795"/>
      <c r="G899" s="795"/>
      <c r="H899" s="795"/>
      <c r="I899" s="796"/>
      <c r="J899" s="441"/>
      <c r="K899" s="441"/>
      <c r="L899" s="797"/>
      <c r="M899" s="441"/>
      <c r="N899" s="441"/>
      <c r="O899" s="441"/>
      <c r="P899" s="441"/>
      <c r="Q899" s="441"/>
      <c r="R899" s="426"/>
      <c r="S899" s="441"/>
      <c r="T899" s="441"/>
      <c r="U899" s="441"/>
      <c r="V899" s="441"/>
      <c r="W899" s="441"/>
      <c r="X899" s="441"/>
      <c r="Y899" s="441"/>
      <c r="Z899" s="441"/>
      <c r="AA899" s="441"/>
      <c r="AB899" s="441"/>
      <c r="AC899" s="441"/>
      <c r="AD899" s="441"/>
      <c r="AE899" s="441"/>
      <c r="AF899" s="441"/>
      <c r="AG899" s="441"/>
      <c r="AH899" s="441"/>
      <c r="AI899" s="441"/>
      <c r="AJ899" s="441"/>
      <c r="AK899" s="441"/>
      <c r="AL899" s="441"/>
      <c r="AM899" s="441"/>
      <c r="AN899" s="441"/>
      <c r="AO899" s="441"/>
      <c r="AP899" s="441"/>
      <c r="AQ899" s="441"/>
      <c r="AR899" s="441"/>
      <c r="AS899" s="441"/>
      <c r="AT899" s="441"/>
      <c r="AU899" s="441"/>
      <c r="AV899" s="441"/>
      <c r="AW899" s="441"/>
      <c r="AX899" s="441"/>
      <c r="AY899" s="441"/>
      <c r="AZ899" s="441"/>
      <c r="BA899" s="441"/>
      <c r="BB899" s="441"/>
      <c r="BC899" s="441"/>
      <c r="BD899" s="441"/>
      <c r="BE899" s="441"/>
      <c r="BF899" s="441"/>
    </row>
    <row r="900">
      <c r="A900" s="798"/>
      <c r="B900" s="795"/>
      <c r="C900" s="795"/>
      <c r="D900" s="795"/>
      <c r="E900" s="795"/>
      <c r="F900" s="795"/>
      <c r="G900" s="795"/>
      <c r="H900" s="795"/>
      <c r="I900" s="796"/>
      <c r="J900" s="441"/>
      <c r="K900" s="441"/>
      <c r="L900" s="797"/>
      <c r="M900" s="441"/>
      <c r="N900" s="441"/>
      <c r="O900" s="441"/>
      <c r="P900" s="441"/>
      <c r="Q900" s="441"/>
      <c r="R900" s="426"/>
      <c r="S900" s="441"/>
      <c r="T900" s="441"/>
      <c r="U900" s="441"/>
      <c r="V900" s="441"/>
      <c r="W900" s="441"/>
      <c r="X900" s="441"/>
      <c r="Y900" s="441"/>
      <c r="Z900" s="441"/>
      <c r="AA900" s="441"/>
      <c r="AB900" s="441"/>
      <c r="AC900" s="441"/>
      <c r="AD900" s="441"/>
      <c r="AE900" s="441"/>
      <c r="AF900" s="441"/>
      <c r="AG900" s="441"/>
      <c r="AH900" s="441"/>
      <c r="AI900" s="441"/>
      <c r="AJ900" s="441"/>
      <c r="AK900" s="441"/>
      <c r="AL900" s="441"/>
      <c r="AM900" s="441"/>
      <c r="AN900" s="441"/>
      <c r="AO900" s="441"/>
      <c r="AP900" s="441"/>
      <c r="AQ900" s="441"/>
      <c r="AR900" s="441"/>
      <c r="AS900" s="441"/>
      <c r="AT900" s="441"/>
      <c r="AU900" s="441"/>
      <c r="AV900" s="441"/>
      <c r="AW900" s="441"/>
      <c r="AX900" s="441"/>
      <c r="AY900" s="441"/>
      <c r="AZ900" s="441"/>
      <c r="BA900" s="441"/>
      <c r="BB900" s="441"/>
      <c r="BC900" s="441"/>
      <c r="BD900" s="441"/>
      <c r="BE900" s="441"/>
      <c r="BF900" s="441"/>
    </row>
    <row r="901">
      <c r="A901" s="798"/>
      <c r="B901" s="795"/>
      <c r="C901" s="795"/>
      <c r="D901" s="795"/>
      <c r="E901" s="795"/>
      <c r="F901" s="795"/>
      <c r="G901" s="795"/>
      <c r="H901" s="795"/>
      <c r="I901" s="796"/>
      <c r="J901" s="441"/>
      <c r="K901" s="441"/>
      <c r="L901" s="797"/>
      <c r="M901" s="441"/>
      <c r="N901" s="441"/>
      <c r="O901" s="441"/>
      <c r="P901" s="441"/>
      <c r="Q901" s="441"/>
      <c r="R901" s="426"/>
      <c r="S901" s="441"/>
      <c r="T901" s="441"/>
      <c r="U901" s="441"/>
      <c r="V901" s="441"/>
      <c r="W901" s="441"/>
      <c r="X901" s="441"/>
      <c r="Y901" s="441"/>
      <c r="Z901" s="441"/>
      <c r="AA901" s="441"/>
      <c r="AB901" s="441"/>
      <c r="AC901" s="441"/>
      <c r="AD901" s="441"/>
      <c r="AE901" s="441"/>
      <c r="AF901" s="441"/>
      <c r="AG901" s="441"/>
      <c r="AH901" s="441"/>
      <c r="AI901" s="441"/>
      <c r="AJ901" s="441"/>
      <c r="AK901" s="441"/>
      <c r="AL901" s="441"/>
      <c r="AM901" s="441"/>
      <c r="AN901" s="441"/>
      <c r="AO901" s="441"/>
      <c r="AP901" s="441"/>
      <c r="AQ901" s="441"/>
      <c r="AR901" s="441"/>
      <c r="AS901" s="441"/>
      <c r="AT901" s="441"/>
      <c r="AU901" s="441"/>
      <c r="AV901" s="441"/>
      <c r="AW901" s="441"/>
      <c r="AX901" s="441"/>
      <c r="AY901" s="441"/>
      <c r="AZ901" s="441"/>
      <c r="BA901" s="441"/>
      <c r="BB901" s="441"/>
      <c r="BC901" s="441"/>
      <c r="BD901" s="441"/>
      <c r="BE901" s="441"/>
      <c r="BF901" s="441"/>
    </row>
    <row r="902">
      <c r="A902" s="798"/>
      <c r="B902" s="795"/>
      <c r="C902" s="795"/>
      <c r="D902" s="795"/>
      <c r="E902" s="795"/>
      <c r="F902" s="795"/>
      <c r="G902" s="795"/>
      <c r="H902" s="795"/>
      <c r="I902" s="796"/>
      <c r="J902" s="441"/>
      <c r="K902" s="441"/>
      <c r="L902" s="797"/>
      <c r="M902" s="441"/>
      <c r="N902" s="441"/>
      <c r="O902" s="441"/>
      <c r="P902" s="441"/>
      <c r="Q902" s="441"/>
      <c r="R902" s="426"/>
      <c r="S902" s="441"/>
      <c r="T902" s="441"/>
      <c r="U902" s="441"/>
      <c r="V902" s="441"/>
      <c r="W902" s="441"/>
      <c r="X902" s="441"/>
      <c r="Y902" s="441"/>
      <c r="Z902" s="441"/>
      <c r="AA902" s="441"/>
      <c r="AB902" s="441"/>
      <c r="AC902" s="441"/>
      <c r="AD902" s="441"/>
      <c r="AE902" s="441"/>
      <c r="AF902" s="441"/>
      <c r="AG902" s="441"/>
      <c r="AH902" s="441"/>
      <c r="AI902" s="441"/>
      <c r="AJ902" s="441"/>
      <c r="AK902" s="441"/>
      <c r="AL902" s="441"/>
      <c r="AM902" s="441"/>
      <c r="AN902" s="441"/>
      <c r="AO902" s="441"/>
      <c r="AP902" s="441"/>
      <c r="AQ902" s="441"/>
      <c r="AR902" s="441"/>
      <c r="AS902" s="441"/>
      <c r="AT902" s="441"/>
      <c r="AU902" s="441"/>
      <c r="AV902" s="441"/>
      <c r="AW902" s="441"/>
      <c r="AX902" s="441"/>
      <c r="AY902" s="441"/>
      <c r="AZ902" s="441"/>
      <c r="BA902" s="441"/>
      <c r="BB902" s="441"/>
      <c r="BC902" s="441"/>
      <c r="BD902" s="441"/>
      <c r="BE902" s="441"/>
      <c r="BF902" s="441"/>
    </row>
    <row r="903">
      <c r="A903" s="798"/>
      <c r="B903" s="795"/>
      <c r="C903" s="795"/>
      <c r="D903" s="795"/>
      <c r="E903" s="795"/>
      <c r="F903" s="795"/>
      <c r="G903" s="795"/>
      <c r="H903" s="795"/>
      <c r="I903" s="796"/>
      <c r="J903" s="441"/>
      <c r="K903" s="441"/>
      <c r="L903" s="797"/>
      <c r="M903" s="441"/>
      <c r="N903" s="441"/>
      <c r="O903" s="441"/>
      <c r="P903" s="441"/>
      <c r="Q903" s="441"/>
      <c r="R903" s="426"/>
      <c r="S903" s="441"/>
      <c r="T903" s="441"/>
      <c r="U903" s="441"/>
      <c r="V903" s="441"/>
      <c r="W903" s="441"/>
      <c r="X903" s="441"/>
      <c r="Y903" s="441"/>
      <c r="Z903" s="441"/>
      <c r="AA903" s="441"/>
      <c r="AB903" s="441"/>
      <c r="AC903" s="441"/>
      <c r="AD903" s="441"/>
      <c r="AE903" s="441"/>
      <c r="AF903" s="441"/>
      <c r="AG903" s="441"/>
      <c r="AH903" s="441"/>
      <c r="AI903" s="441"/>
      <c r="AJ903" s="441"/>
      <c r="AK903" s="441"/>
      <c r="AL903" s="441"/>
      <c r="AM903" s="441"/>
      <c r="AN903" s="441"/>
      <c r="AO903" s="441"/>
      <c r="AP903" s="441"/>
      <c r="AQ903" s="441"/>
      <c r="AR903" s="441"/>
      <c r="AS903" s="441"/>
      <c r="AT903" s="441"/>
      <c r="AU903" s="441"/>
      <c r="AV903" s="441"/>
      <c r="AW903" s="441"/>
      <c r="AX903" s="441"/>
      <c r="AY903" s="441"/>
      <c r="AZ903" s="441"/>
      <c r="BA903" s="441"/>
      <c r="BB903" s="441"/>
      <c r="BC903" s="441"/>
      <c r="BD903" s="441"/>
      <c r="BE903" s="441"/>
      <c r="BF903" s="441"/>
    </row>
    <row r="904">
      <c r="A904" s="798"/>
      <c r="B904" s="795"/>
      <c r="C904" s="795"/>
      <c r="D904" s="795"/>
      <c r="E904" s="795"/>
      <c r="F904" s="795"/>
      <c r="G904" s="795"/>
      <c r="H904" s="795"/>
      <c r="I904" s="796"/>
      <c r="J904" s="441"/>
      <c r="K904" s="441"/>
      <c r="L904" s="797"/>
      <c r="M904" s="441"/>
      <c r="N904" s="441"/>
      <c r="O904" s="441"/>
      <c r="P904" s="441"/>
      <c r="Q904" s="441"/>
      <c r="R904" s="426"/>
      <c r="S904" s="441"/>
      <c r="T904" s="441"/>
      <c r="U904" s="441"/>
      <c r="V904" s="441"/>
      <c r="W904" s="441"/>
      <c r="X904" s="441"/>
      <c r="Y904" s="441"/>
      <c r="Z904" s="441"/>
      <c r="AA904" s="441"/>
      <c r="AB904" s="441"/>
      <c r="AC904" s="441"/>
      <c r="AD904" s="441"/>
      <c r="AE904" s="441"/>
      <c r="AF904" s="441"/>
      <c r="AG904" s="441"/>
      <c r="AH904" s="441"/>
      <c r="AI904" s="441"/>
      <c r="AJ904" s="441"/>
      <c r="AK904" s="441"/>
      <c r="AL904" s="441"/>
      <c r="AM904" s="441"/>
      <c r="AN904" s="441"/>
      <c r="AO904" s="441"/>
      <c r="AP904" s="441"/>
      <c r="AQ904" s="441"/>
      <c r="AR904" s="441"/>
      <c r="AS904" s="441"/>
      <c r="AT904" s="441"/>
      <c r="AU904" s="441"/>
      <c r="AV904" s="441"/>
      <c r="AW904" s="441"/>
      <c r="AX904" s="441"/>
      <c r="AY904" s="441"/>
      <c r="AZ904" s="441"/>
      <c r="BA904" s="441"/>
      <c r="BB904" s="441"/>
      <c r="BC904" s="441"/>
      <c r="BD904" s="441"/>
      <c r="BE904" s="441"/>
      <c r="BF904" s="441"/>
    </row>
    <row r="905">
      <c r="A905" s="798"/>
      <c r="B905" s="795"/>
      <c r="C905" s="795"/>
      <c r="D905" s="795"/>
      <c r="E905" s="795"/>
      <c r="F905" s="795"/>
      <c r="G905" s="795"/>
      <c r="H905" s="795"/>
      <c r="I905" s="796"/>
      <c r="J905" s="441"/>
      <c r="K905" s="441"/>
      <c r="L905" s="797"/>
      <c r="M905" s="441"/>
      <c r="N905" s="441"/>
      <c r="O905" s="441"/>
      <c r="P905" s="441"/>
      <c r="Q905" s="441"/>
      <c r="R905" s="426"/>
      <c r="S905" s="441"/>
      <c r="T905" s="441"/>
      <c r="U905" s="441"/>
      <c r="V905" s="441"/>
      <c r="W905" s="441"/>
      <c r="X905" s="441"/>
      <c r="Y905" s="441"/>
      <c r="Z905" s="441"/>
      <c r="AA905" s="441"/>
      <c r="AB905" s="441"/>
      <c r="AC905" s="441"/>
      <c r="AD905" s="441"/>
      <c r="AE905" s="441"/>
      <c r="AF905" s="441"/>
      <c r="AG905" s="441"/>
      <c r="AH905" s="441"/>
      <c r="AI905" s="441"/>
      <c r="AJ905" s="441"/>
      <c r="AK905" s="441"/>
      <c r="AL905" s="441"/>
      <c r="AM905" s="441"/>
      <c r="AN905" s="441"/>
      <c r="AO905" s="441"/>
      <c r="AP905" s="441"/>
      <c r="AQ905" s="441"/>
      <c r="AR905" s="441"/>
      <c r="AS905" s="441"/>
      <c r="AT905" s="441"/>
      <c r="AU905" s="441"/>
      <c r="AV905" s="441"/>
      <c r="AW905" s="441"/>
      <c r="AX905" s="441"/>
      <c r="AY905" s="441"/>
      <c r="AZ905" s="441"/>
      <c r="BA905" s="441"/>
      <c r="BB905" s="441"/>
      <c r="BC905" s="441"/>
      <c r="BD905" s="441"/>
      <c r="BE905" s="441"/>
      <c r="BF905" s="441"/>
    </row>
    <row r="906">
      <c r="A906" s="798"/>
      <c r="B906" s="795"/>
      <c r="C906" s="795"/>
      <c r="D906" s="795"/>
      <c r="E906" s="795"/>
      <c r="F906" s="795"/>
      <c r="G906" s="795"/>
      <c r="H906" s="795"/>
      <c r="I906" s="796"/>
      <c r="J906" s="441"/>
      <c r="K906" s="441"/>
      <c r="L906" s="797"/>
      <c r="M906" s="441"/>
      <c r="N906" s="441"/>
      <c r="O906" s="441"/>
      <c r="P906" s="441"/>
      <c r="Q906" s="441"/>
      <c r="R906" s="426"/>
      <c r="S906" s="441"/>
      <c r="T906" s="441"/>
      <c r="U906" s="441"/>
      <c r="V906" s="441"/>
      <c r="W906" s="441"/>
      <c r="X906" s="441"/>
      <c r="Y906" s="441"/>
      <c r="Z906" s="441"/>
      <c r="AA906" s="441"/>
      <c r="AB906" s="441"/>
      <c r="AC906" s="441"/>
      <c r="AD906" s="441"/>
      <c r="AE906" s="441"/>
      <c r="AF906" s="441"/>
      <c r="AG906" s="441"/>
      <c r="AH906" s="441"/>
      <c r="AI906" s="441"/>
      <c r="AJ906" s="441"/>
      <c r="AK906" s="441"/>
      <c r="AL906" s="441"/>
      <c r="AM906" s="441"/>
      <c r="AN906" s="441"/>
      <c r="AO906" s="441"/>
      <c r="AP906" s="441"/>
      <c r="AQ906" s="441"/>
      <c r="AR906" s="441"/>
      <c r="AS906" s="441"/>
      <c r="AT906" s="441"/>
      <c r="AU906" s="441"/>
      <c r="AV906" s="441"/>
      <c r="AW906" s="441"/>
      <c r="AX906" s="441"/>
      <c r="AY906" s="441"/>
      <c r="AZ906" s="441"/>
      <c r="BA906" s="441"/>
      <c r="BB906" s="441"/>
      <c r="BC906" s="441"/>
      <c r="BD906" s="441"/>
      <c r="BE906" s="441"/>
      <c r="BF906" s="441"/>
    </row>
    <row r="907">
      <c r="A907" s="798"/>
      <c r="B907" s="795"/>
      <c r="C907" s="795"/>
      <c r="D907" s="795"/>
      <c r="E907" s="795"/>
      <c r="F907" s="795"/>
      <c r="G907" s="795"/>
      <c r="H907" s="795"/>
      <c r="I907" s="796"/>
      <c r="J907" s="441"/>
      <c r="K907" s="441"/>
      <c r="L907" s="797"/>
      <c r="M907" s="441"/>
      <c r="N907" s="441"/>
      <c r="O907" s="441"/>
      <c r="P907" s="441"/>
      <c r="Q907" s="441"/>
      <c r="R907" s="426"/>
      <c r="S907" s="441"/>
      <c r="T907" s="441"/>
      <c r="U907" s="441"/>
      <c r="V907" s="441"/>
      <c r="W907" s="441"/>
      <c r="X907" s="441"/>
      <c r="Y907" s="441"/>
      <c r="Z907" s="441"/>
      <c r="AA907" s="441"/>
      <c r="AB907" s="441"/>
      <c r="AC907" s="441"/>
      <c r="AD907" s="441"/>
      <c r="AE907" s="441"/>
      <c r="AF907" s="441"/>
      <c r="AG907" s="441"/>
      <c r="AH907" s="441"/>
      <c r="AI907" s="441"/>
      <c r="AJ907" s="441"/>
      <c r="AK907" s="441"/>
      <c r="AL907" s="441"/>
      <c r="AM907" s="441"/>
      <c r="AN907" s="441"/>
      <c r="AO907" s="441"/>
      <c r="AP907" s="441"/>
      <c r="AQ907" s="441"/>
      <c r="AR907" s="441"/>
      <c r="AS907" s="441"/>
      <c r="AT907" s="441"/>
      <c r="AU907" s="441"/>
      <c r="AV907" s="441"/>
      <c r="AW907" s="441"/>
      <c r="AX907" s="441"/>
      <c r="AY907" s="441"/>
      <c r="AZ907" s="441"/>
      <c r="BA907" s="441"/>
      <c r="BB907" s="441"/>
      <c r="BC907" s="441"/>
      <c r="BD907" s="441"/>
      <c r="BE907" s="441"/>
      <c r="BF907" s="441"/>
    </row>
    <row r="908">
      <c r="A908" s="798"/>
      <c r="B908" s="795"/>
      <c r="C908" s="795"/>
      <c r="D908" s="795"/>
      <c r="E908" s="795"/>
      <c r="F908" s="795"/>
      <c r="G908" s="795"/>
      <c r="H908" s="795"/>
      <c r="I908" s="796"/>
      <c r="J908" s="441"/>
      <c r="K908" s="441"/>
      <c r="L908" s="797"/>
      <c r="M908" s="441"/>
      <c r="N908" s="441"/>
      <c r="O908" s="441"/>
      <c r="P908" s="441"/>
      <c r="Q908" s="441"/>
      <c r="R908" s="426"/>
      <c r="S908" s="441"/>
      <c r="T908" s="441"/>
      <c r="U908" s="441"/>
      <c r="V908" s="441"/>
      <c r="W908" s="441"/>
      <c r="X908" s="441"/>
      <c r="Y908" s="441"/>
      <c r="Z908" s="441"/>
      <c r="AA908" s="441"/>
      <c r="AB908" s="441"/>
      <c r="AC908" s="441"/>
      <c r="AD908" s="441"/>
      <c r="AE908" s="441"/>
      <c r="AF908" s="441"/>
      <c r="AG908" s="441"/>
      <c r="AH908" s="441"/>
      <c r="AI908" s="441"/>
      <c r="AJ908" s="441"/>
      <c r="AK908" s="441"/>
      <c r="AL908" s="441"/>
      <c r="AM908" s="441"/>
      <c r="AN908" s="441"/>
      <c r="AO908" s="441"/>
      <c r="AP908" s="441"/>
      <c r="AQ908" s="441"/>
      <c r="AR908" s="441"/>
      <c r="AS908" s="441"/>
      <c r="AT908" s="441"/>
      <c r="AU908" s="441"/>
      <c r="AV908" s="441"/>
      <c r="AW908" s="441"/>
      <c r="AX908" s="441"/>
      <c r="AY908" s="441"/>
      <c r="AZ908" s="441"/>
      <c r="BA908" s="441"/>
      <c r="BB908" s="441"/>
      <c r="BC908" s="441"/>
      <c r="BD908" s="441"/>
      <c r="BE908" s="441"/>
      <c r="BF908" s="441"/>
    </row>
    <row r="909">
      <c r="A909" s="798"/>
      <c r="B909" s="795"/>
      <c r="C909" s="795"/>
      <c r="D909" s="795"/>
      <c r="E909" s="795"/>
      <c r="F909" s="795"/>
      <c r="G909" s="795"/>
      <c r="H909" s="795"/>
      <c r="I909" s="796"/>
      <c r="J909" s="441"/>
      <c r="K909" s="441"/>
      <c r="L909" s="797"/>
      <c r="M909" s="441"/>
      <c r="N909" s="441"/>
      <c r="O909" s="441"/>
      <c r="P909" s="441"/>
      <c r="Q909" s="441"/>
      <c r="R909" s="426"/>
      <c r="S909" s="441"/>
      <c r="T909" s="441"/>
      <c r="U909" s="441"/>
      <c r="V909" s="441"/>
      <c r="W909" s="441"/>
      <c r="X909" s="441"/>
      <c r="Y909" s="441"/>
      <c r="Z909" s="441"/>
      <c r="AA909" s="441"/>
      <c r="AB909" s="441"/>
      <c r="AC909" s="441"/>
      <c r="AD909" s="441"/>
      <c r="AE909" s="441"/>
      <c r="AF909" s="441"/>
      <c r="AG909" s="441"/>
      <c r="AH909" s="441"/>
      <c r="AI909" s="441"/>
      <c r="AJ909" s="441"/>
      <c r="AK909" s="441"/>
      <c r="AL909" s="441"/>
      <c r="AM909" s="441"/>
      <c r="AN909" s="441"/>
      <c r="AO909" s="441"/>
      <c r="AP909" s="441"/>
      <c r="AQ909" s="441"/>
      <c r="AR909" s="441"/>
      <c r="AS909" s="441"/>
      <c r="AT909" s="441"/>
      <c r="AU909" s="441"/>
      <c r="AV909" s="441"/>
      <c r="AW909" s="441"/>
      <c r="AX909" s="441"/>
      <c r="AY909" s="441"/>
      <c r="AZ909" s="441"/>
      <c r="BA909" s="441"/>
      <c r="BB909" s="441"/>
      <c r="BC909" s="441"/>
      <c r="BD909" s="441"/>
      <c r="BE909" s="441"/>
      <c r="BF909" s="441"/>
    </row>
    <row r="910">
      <c r="A910" s="798"/>
      <c r="B910" s="795"/>
      <c r="C910" s="795"/>
      <c r="D910" s="795"/>
      <c r="E910" s="795"/>
      <c r="F910" s="795"/>
      <c r="G910" s="795"/>
      <c r="H910" s="795"/>
      <c r="I910" s="796"/>
      <c r="J910" s="441"/>
      <c r="K910" s="441"/>
      <c r="L910" s="797"/>
      <c r="M910" s="441"/>
      <c r="N910" s="441"/>
      <c r="O910" s="441"/>
      <c r="P910" s="441"/>
      <c r="Q910" s="441"/>
      <c r="R910" s="426"/>
      <c r="S910" s="441"/>
      <c r="T910" s="441"/>
      <c r="U910" s="441"/>
      <c r="V910" s="441"/>
      <c r="W910" s="441"/>
      <c r="X910" s="441"/>
      <c r="Y910" s="441"/>
      <c r="Z910" s="441"/>
      <c r="AA910" s="441"/>
      <c r="AB910" s="441"/>
      <c r="AC910" s="441"/>
      <c r="AD910" s="441"/>
      <c r="AE910" s="441"/>
      <c r="AF910" s="441"/>
      <c r="AG910" s="441"/>
      <c r="AH910" s="441"/>
      <c r="AI910" s="441"/>
      <c r="AJ910" s="441"/>
      <c r="AK910" s="441"/>
      <c r="AL910" s="441"/>
      <c r="AM910" s="441"/>
      <c r="AN910" s="441"/>
      <c r="AO910" s="441"/>
      <c r="AP910" s="441"/>
      <c r="AQ910" s="441"/>
      <c r="AR910" s="441"/>
      <c r="AS910" s="441"/>
      <c r="AT910" s="441"/>
      <c r="AU910" s="441"/>
      <c r="AV910" s="441"/>
      <c r="AW910" s="441"/>
      <c r="AX910" s="441"/>
      <c r="AY910" s="441"/>
      <c r="AZ910" s="441"/>
      <c r="BA910" s="441"/>
      <c r="BB910" s="441"/>
      <c r="BC910" s="441"/>
      <c r="BD910" s="441"/>
      <c r="BE910" s="441"/>
      <c r="BF910" s="441"/>
    </row>
    <row r="911">
      <c r="A911" s="798"/>
      <c r="B911" s="795"/>
      <c r="C911" s="795"/>
      <c r="D911" s="795"/>
      <c r="E911" s="795"/>
      <c r="F911" s="795"/>
      <c r="G911" s="795"/>
      <c r="H911" s="795"/>
      <c r="I911" s="796"/>
      <c r="J911" s="441"/>
      <c r="K911" s="441"/>
      <c r="L911" s="797"/>
      <c r="M911" s="441"/>
      <c r="N911" s="441"/>
      <c r="O911" s="441"/>
      <c r="P911" s="441"/>
      <c r="Q911" s="441"/>
      <c r="R911" s="426"/>
      <c r="S911" s="441"/>
      <c r="T911" s="441"/>
      <c r="U911" s="441"/>
      <c r="V911" s="441"/>
      <c r="W911" s="441"/>
      <c r="X911" s="441"/>
      <c r="Y911" s="441"/>
      <c r="Z911" s="441"/>
      <c r="AA911" s="441"/>
      <c r="AB911" s="441"/>
      <c r="AC911" s="441"/>
      <c r="AD911" s="441"/>
      <c r="AE911" s="441"/>
      <c r="AF911" s="441"/>
      <c r="AG911" s="441"/>
      <c r="AH911" s="441"/>
      <c r="AI911" s="441"/>
      <c r="AJ911" s="441"/>
      <c r="AK911" s="441"/>
      <c r="AL911" s="441"/>
      <c r="AM911" s="441"/>
      <c r="AN911" s="441"/>
      <c r="AO911" s="441"/>
      <c r="AP911" s="441"/>
      <c r="AQ911" s="441"/>
      <c r="AR911" s="441"/>
      <c r="AS911" s="441"/>
      <c r="AT911" s="441"/>
      <c r="AU911" s="441"/>
      <c r="AV911" s="441"/>
      <c r="AW911" s="441"/>
      <c r="AX911" s="441"/>
      <c r="AY911" s="441"/>
      <c r="AZ911" s="441"/>
      <c r="BA911" s="441"/>
      <c r="BB911" s="441"/>
      <c r="BC911" s="441"/>
      <c r="BD911" s="441"/>
      <c r="BE911" s="441"/>
      <c r="BF911" s="441"/>
    </row>
    <row r="912">
      <c r="A912" s="798"/>
      <c r="B912" s="795"/>
      <c r="C912" s="795"/>
      <c r="D912" s="795"/>
      <c r="E912" s="795"/>
      <c r="F912" s="795"/>
      <c r="G912" s="795"/>
      <c r="H912" s="795"/>
      <c r="I912" s="796"/>
      <c r="J912" s="441"/>
      <c r="K912" s="441"/>
      <c r="L912" s="797"/>
      <c r="M912" s="441"/>
      <c r="N912" s="441"/>
      <c r="O912" s="441"/>
      <c r="P912" s="441"/>
      <c r="Q912" s="441"/>
      <c r="R912" s="426"/>
      <c r="S912" s="441"/>
      <c r="T912" s="441"/>
      <c r="U912" s="441"/>
      <c r="V912" s="441"/>
      <c r="W912" s="441"/>
      <c r="X912" s="441"/>
      <c r="Y912" s="441"/>
      <c r="Z912" s="441"/>
      <c r="AA912" s="441"/>
      <c r="AB912" s="441"/>
      <c r="AC912" s="441"/>
      <c r="AD912" s="441"/>
      <c r="AE912" s="441"/>
      <c r="AF912" s="441"/>
      <c r="AG912" s="441"/>
      <c r="AH912" s="441"/>
      <c r="AI912" s="441"/>
      <c r="AJ912" s="441"/>
      <c r="AK912" s="441"/>
      <c r="AL912" s="441"/>
      <c r="AM912" s="441"/>
      <c r="AN912" s="441"/>
      <c r="AO912" s="441"/>
      <c r="AP912" s="441"/>
      <c r="AQ912" s="441"/>
      <c r="AR912" s="441"/>
      <c r="AS912" s="441"/>
      <c r="AT912" s="441"/>
      <c r="AU912" s="441"/>
      <c r="AV912" s="441"/>
      <c r="AW912" s="441"/>
      <c r="AX912" s="441"/>
      <c r="AY912" s="441"/>
      <c r="AZ912" s="441"/>
      <c r="BA912" s="441"/>
      <c r="BB912" s="441"/>
      <c r="BC912" s="441"/>
      <c r="BD912" s="441"/>
      <c r="BE912" s="441"/>
      <c r="BF912" s="441"/>
    </row>
    <row r="913">
      <c r="A913" s="798"/>
      <c r="B913" s="795"/>
      <c r="C913" s="795"/>
      <c r="D913" s="795"/>
      <c r="E913" s="795"/>
      <c r="F913" s="795"/>
      <c r="G913" s="795"/>
      <c r="H913" s="795"/>
      <c r="I913" s="796"/>
      <c r="J913" s="441"/>
      <c r="K913" s="441"/>
      <c r="L913" s="797"/>
      <c r="M913" s="441"/>
      <c r="N913" s="441"/>
      <c r="O913" s="441"/>
      <c r="P913" s="441"/>
      <c r="Q913" s="441"/>
      <c r="R913" s="426"/>
      <c r="S913" s="441"/>
      <c r="T913" s="441"/>
      <c r="U913" s="441"/>
      <c r="V913" s="441"/>
      <c r="W913" s="441"/>
      <c r="X913" s="441"/>
      <c r="Y913" s="441"/>
      <c r="Z913" s="441"/>
      <c r="AA913" s="441"/>
      <c r="AB913" s="441"/>
      <c r="AC913" s="441"/>
      <c r="AD913" s="441"/>
      <c r="AE913" s="441"/>
      <c r="AF913" s="441"/>
      <c r="AG913" s="441"/>
      <c r="AH913" s="441"/>
      <c r="AI913" s="441"/>
      <c r="AJ913" s="441"/>
      <c r="AK913" s="441"/>
      <c r="AL913" s="441"/>
      <c r="AM913" s="441"/>
      <c r="AN913" s="441"/>
      <c r="AO913" s="441"/>
      <c r="AP913" s="441"/>
      <c r="AQ913" s="441"/>
      <c r="AR913" s="441"/>
      <c r="AS913" s="441"/>
      <c r="AT913" s="441"/>
      <c r="AU913" s="441"/>
      <c r="AV913" s="441"/>
      <c r="AW913" s="441"/>
      <c r="AX913" s="441"/>
      <c r="AY913" s="441"/>
      <c r="AZ913" s="441"/>
      <c r="BA913" s="441"/>
      <c r="BB913" s="441"/>
      <c r="BC913" s="441"/>
      <c r="BD913" s="441"/>
      <c r="BE913" s="441"/>
      <c r="BF913" s="441"/>
    </row>
    <row r="914">
      <c r="A914" s="798"/>
      <c r="B914" s="795"/>
      <c r="C914" s="795"/>
      <c r="D914" s="795"/>
      <c r="E914" s="795"/>
      <c r="F914" s="795"/>
      <c r="G914" s="795"/>
      <c r="H914" s="795"/>
      <c r="I914" s="796"/>
      <c r="J914" s="441"/>
      <c r="K914" s="441"/>
      <c r="L914" s="797"/>
      <c r="M914" s="441"/>
      <c r="N914" s="441"/>
      <c r="O914" s="441"/>
      <c r="P914" s="441"/>
      <c r="Q914" s="441"/>
      <c r="R914" s="426"/>
      <c r="S914" s="441"/>
      <c r="T914" s="441"/>
      <c r="U914" s="441"/>
      <c r="V914" s="441"/>
      <c r="W914" s="441"/>
      <c r="X914" s="441"/>
      <c r="Y914" s="441"/>
      <c r="Z914" s="441"/>
      <c r="AA914" s="441"/>
      <c r="AB914" s="441"/>
      <c r="AC914" s="441"/>
      <c r="AD914" s="441"/>
      <c r="AE914" s="441"/>
      <c r="AF914" s="441"/>
      <c r="AG914" s="441"/>
      <c r="AH914" s="441"/>
      <c r="AI914" s="441"/>
      <c r="AJ914" s="441"/>
      <c r="AK914" s="441"/>
      <c r="AL914" s="441"/>
      <c r="AM914" s="441"/>
      <c r="AN914" s="441"/>
      <c r="AO914" s="441"/>
      <c r="AP914" s="441"/>
      <c r="AQ914" s="441"/>
      <c r="AR914" s="441"/>
      <c r="AS914" s="441"/>
      <c r="AT914" s="441"/>
      <c r="AU914" s="441"/>
      <c r="AV914" s="441"/>
      <c r="AW914" s="441"/>
      <c r="AX914" s="441"/>
      <c r="AY914" s="441"/>
      <c r="AZ914" s="441"/>
      <c r="BA914" s="441"/>
      <c r="BB914" s="441"/>
      <c r="BC914" s="441"/>
      <c r="BD914" s="441"/>
      <c r="BE914" s="441"/>
      <c r="BF914" s="441"/>
    </row>
    <row r="915">
      <c r="A915" s="798"/>
      <c r="B915" s="795"/>
      <c r="C915" s="795"/>
      <c r="D915" s="795"/>
      <c r="E915" s="795"/>
      <c r="F915" s="795"/>
      <c r="G915" s="795"/>
      <c r="H915" s="795"/>
      <c r="I915" s="796"/>
      <c r="J915" s="441"/>
      <c r="K915" s="441"/>
      <c r="L915" s="797"/>
      <c r="M915" s="441"/>
      <c r="N915" s="441"/>
      <c r="O915" s="441"/>
      <c r="P915" s="441"/>
      <c r="Q915" s="441"/>
      <c r="R915" s="426"/>
      <c r="S915" s="441"/>
      <c r="T915" s="441"/>
      <c r="U915" s="441"/>
      <c r="V915" s="441"/>
      <c r="W915" s="441"/>
      <c r="X915" s="441"/>
      <c r="Y915" s="441"/>
      <c r="Z915" s="441"/>
      <c r="AA915" s="441"/>
      <c r="AB915" s="441"/>
      <c r="AC915" s="441"/>
      <c r="AD915" s="441"/>
      <c r="AE915" s="441"/>
      <c r="AF915" s="441"/>
      <c r="AG915" s="441"/>
      <c r="AH915" s="441"/>
      <c r="AI915" s="441"/>
      <c r="AJ915" s="441"/>
      <c r="AK915" s="441"/>
      <c r="AL915" s="441"/>
      <c r="AM915" s="441"/>
      <c r="AN915" s="441"/>
      <c r="AO915" s="441"/>
      <c r="AP915" s="441"/>
      <c r="AQ915" s="441"/>
      <c r="AR915" s="441"/>
      <c r="AS915" s="441"/>
      <c r="AT915" s="441"/>
      <c r="AU915" s="441"/>
      <c r="AV915" s="441"/>
      <c r="AW915" s="441"/>
      <c r="AX915" s="441"/>
      <c r="AY915" s="441"/>
      <c r="AZ915" s="441"/>
      <c r="BA915" s="441"/>
      <c r="BB915" s="441"/>
      <c r="BC915" s="441"/>
      <c r="BD915" s="441"/>
      <c r="BE915" s="441"/>
      <c r="BF915" s="441"/>
    </row>
    <row r="916">
      <c r="A916" s="798"/>
      <c r="B916" s="795"/>
      <c r="C916" s="795"/>
      <c r="D916" s="795"/>
      <c r="E916" s="795"/>
      <c r="F916" s="795"/>
      <c r="G916" s="795"/>
      <c r="H916" s="795"/>
      <c r="I916" s="796"/>
      <c r="J916" s="441"/>
      <c r="K916" s="441"/>
      <c r="L916" s="797"/>
      <c r="M916" s="441"/>
      <c r="N916" s="441"/>
      <c r="O916" s="441"/>
      <c r="P916" s="441"/>
      <c r="Q916" s="441"/>
      <c r="R916" s="426"/>
      <c r="S916" s="441"/>
      <c r="T916" s="441"/>
      <c r="U916" s="441"/>
      <c r="V916" s="441"/>
      <c r="W916" s="441"/>
      <c r="X916" s="441"/>
      <c r="Y916" s="441"/>
      <c r="Z916" s="441"/>
      <c r="AA916" s="441"/>
      <c r="AB916" s="441"/>
      <c r="AC916" s="441"/>
      <c r="AD916" s="441"/>
      <c r="AE916" s="441"/>
      <c r="AF916" s="441"/>
      <c r="AG916" s="441"/>
      <c r="AH916" s="441"/>
      <c r="AI916" s="441"/>
      <c r="AJ916" s="441"/>
      <c r="AK916" s="441"/>
      <c r="AL916" s="441"/>
      <c r="AM916" s="441"/>
      <c r="AN916" s="441"/>
      <c r="AO916" s="441"/>
      <c r="AP916" s="441"/>
      <c r="AQ916" s="441"/>
      <c r="AR916" s="441"/>
      <c r="AS916" s="441"/>
      <c r="AT916" s="441"/>
      <c r="AU916" s="441"/>
      <c r="AV916" s="441"/>
      <c r="AW916" s="441"/>
      <c r="AX916" s="441"/>
      <c r="AY916" s="441"/>
      <c r="AZ916" s="441"/>
      <c r="BA916" s="441"/>
      <c r="BB916" s="441"/>
      <c r="BC916" s="441"/>
      <c r="BD916" s="441"/>
      <c r="BE916" s="441"/>
      <c r="BF916" s="441"/>
    </row>
    <row r="917">
      <c r="A917" s="798"/>
      <c r="B917" s="795"/>
      <c r="C917" s="795"/>
      <c r="D917" s="795"/>
      <c r="E917" s="795"/>
      <c r="F917" s="795"/>
      <c r="G917" s="795"/>
      <c r="H917" s="795"/>
      <c r="I917" s="796"/>
      <c r="J917" s="441"/>
      <c r="K917" s="441"/>
      <c r="L917" s="797"/>
      <c r="M917" s="441"/>
      <c r="N917" s="441"/>
      <c r="O917" s="441"/>
      <c r="P917" s="441"/>
      <c r="Q917" s="441"/>
      <c r="R917" s="426"/>
      <c r="S917" s="441"/>
      <c r="T917" s="441"/>
      <c r="U917" s="441"/>
      <c r="V917" s="441"/>
      <c r="W917" s="441"/>
      <c r="X917" s="441"/>
      <c r="Y917" s="441"/>
      <c r="Z917" s="441"/>
      <c r="AA917" s="441"/>
      <c r="AB917" s="441"/>
      <c r="AC917" s="441"/>
      <c r="AD917" s="441"/>
      <c r="AE917" s="441"/>
      <c r="AF917" s="441"/>
      <c r="AG917" s="441"/>
      <c r="AH917" s="441"/>
      <c r="AI917" s="441"/>
      <c r="AJ917" s="441"/>
      <c r="AK917" s="441"/>
      <c r="AL917" s="441"/>
      <c r="AM917" s="441"/>
      <c r="AN917" s="441"/>
      <c r="AO917" s="441"/>
      <c r="AP917" s="441"/>
      <c r="AQ917" s="441"/>
      <c r="AR917" s="441"/>
      <c r="AS917" s="441"/>
      <c r="AT917" s="441"/>
      <c r="AU917" s="441"/>
      <c r="AV917" s="441"/>
      <c r="AW917" s="441"/>
      <c r="AX917" s="441"/>
      <c r="AY917" s="441"/>
      <c r="AZ917" s="441"/>
      <c r="BA917" s="441"/>
      <c r="BB917" s="441"/>
      <c r="BC917" s="441"/>
      <c r="BD917" s="441"/>
      <c r="BE917" s="441"/>
      <c r="BF917" s="441"/>
    </row>
    <row r="918">
      <c r="A918" s="798"/>
      <c r="B918" s="795"/>
      <c r="C918" s="795"/>
      <c r="D918" s="795"/>
      <c r="E918" s="795"/>
      <c r="F918" s="795"/>
      <c r="G918" s="795"/>
      <c r="H918" s="795"/>
      <c r="I918" s="796"/>
      <c r="J918" s="441"/>
      <c r="K918" s="441"/>
      <c r="L918" s="797"/>
      <c r="M918" s="441"/>
      <c r="N918" s="441"/>
      <c r="O918" s="441"/>
      <c r="P918" s="441"/>
      <c r="Q918" s="441"/>
      <c r="R918" s="426"/>
      <c r="S918" s="441"/>
      <c r="T918" s="441"/>
      <c r="U918" s="441"/>
      <c r="V918" s="441"/>
      <c r="W918" s="441"/>
      <c r="X918" s="441"/>
      <c r="Y918" s="441"/>
      <c r="Z918" s="441"/>
      <c r="AA918" s="441"/>
      <c r="AB918" s="441"/>
      <c r="AC918" s="441"/>
      <c r="AD918" s="441"/>
      <c r="AE918" s="441"/>
      <c r="AF918" s="441"/>
      <c r="AG918" s="441"/>
      <c r="AH918" s="441"/>
      <c r="AI918" s="441"/>
      <c r="AJ918" s="441"/>
      <c r="AK918" s="441"/>
      <c r="AL918" s="441"/>
      <c r="AM918" s="441"/>
      <c r="AN918" s="441"/>
      <c r="AO918" s="441"/>
      <c r="AP918" s="441"/>
      <c r="AQ918" s="441"/>
      <c r="AR918" s="441"/>
      <c r="AS918" s="441"/>
      <c r="AT918" s="441"/>
      <c r="AU918" s="441"/>
      <c r="AV918" s="441"/>
      <c r="AW918" s="441"/>
      <c r="AX918" s="441"/>
      <c r="AY918" s="441"/>
      <c r="AZ918" s="441"/>
      <c r="BA918" s="441"/>
      <c r="BB918" s="441"/>
      <c r="BC918" s="441"/>
      <c r="BD918" s="441"/>
      <c r="BE918" s="441"/>
      <c r="BF918" s="441"/>
    </row>
    <row r="919">
      <c r="A919" s="798"/>
      <c r="B919" s="795"/>
      <c r="C919" s="795"/>
      <c r="D919" s="795"/>
      <c r="E919" s="795"/>
      <c r="F919" s="795"/>
      <c r="G919" s="795"/>
      <c r="H919" s="795"/>
      <c r="I919" s="796"/>
      <c r="J919" s="441"/>
      <c r="K919" s="441"/>
      <c r="L919" s="797"/>
      <c r="M919" s="441"/>
      <c r="N919" s="441"/>
      <c r="O919" s="441"/>
      <c r="P919" s="441"/>
      <c r="Q919" s="441"/>
      <c r="R919" s="426"/>
      <c r="S919" s="441"/>
      <c r="T919" s="441"/>
      <c r="U919" s="441"/>
      <c r="V919" s="441"/>
      <c r="W919" s="441"/>
      <c r="X919" s="441"/>
      <c r="Y919" s="441"/>
      <c r="Z919" s="441"/>
      <c r="AA919" s="441"/>
      <c r="AB919" s="441"/>
      <c r="AC919" s="441"/>
      <c r="AD919" s="441"/>
      <c r="AE919" s="441"/>
      <c r="AF919" s="441"/>
      <c r="AG919" s="441"/>
      <c r="AH919" s="441"/>
      <c r="AI919" s="441"/>
      <c r="AJ919" s="441"/>
      <c r="AK919" s="441"/>
      <c r="AL919" s="441"/>
      <c r="AM919" s="441"/>
      <c r="AN919" s="441"/>
      <c r="AO919" s="441"/>
      <c r="AP919" s="441"/>
      <c r="AQ919" s="441"/>
      <c r="AR919" s="441"/>
      <c r="AS919" s="441"/>
      <c r="AT919" s="441"/>
      <c r="AU919" s="441"/>
      <c r="AV919" s="441"/>
      <c r="AW919" s="441"/>
      <c r="AX919" s="441"/>
      <c r="AY919" s="441"/>
      <c r="AZ919" s="441"/>
      <c r="BA919" s="441"/>
      <c r="BB919" s="441"/>
      <c r="BC919" s="441"/>
      <c r="BD919" s="441"/>
      <c r="BE919" s="441"/>
      <c r="BF919" s="441"/>
    </row>
    <row r="920">
      <c r="A920" s="798"/>
      <c r="B920" s="795"/>
      <c r="C920" s="795"/>
      <c r="D920" s="795"/>
      <c r="E920" s="795"/>
      <c r="F920" s="795"/>
      <c r="G920" s="795"/>
      <c r="H920" s="795"/>
      <c r="I920" s="796"/>
      <c r="J920" s="441"/>
      <c r="K920" s="441"/>
      <c r="L920" s="797"/>
      <c r="M920" s="441"/>
      <c r="N920" s="441"/>
      <c r="O920" s="441"/>
      <c r="P920" s="441"/>
      <c r="Q920" s="441"/>
      <c r="R920" s="426"/>
      <c r="S920" s="441"/>
      <c r="T920" s="441"/>
      <c r="U920" s="441"/>
      <c r="V920" s="441"/>
      <c r="W920" s="441"/>
      <c r="X920" s="441"/>
      <c r="Y920" s="441"/>
      <c r="Z920" s="441"/>
      <c r="AA920" s="441"/>
      <c r="AB920" s="441"/>
      <c r="AC920" s="441"/>
      <c r="AD920" s="441"/>
      <c r="AE920" s="441"/>
      <c r="AF920" s="441"/>
      <c r="AG920" s="441"/>
      <c r="AH920" s="441"/>
      <c r="AI920" s="441"/>
      <c r="AJ920" s="441"/>
      <c r="AK920" s="441"/>
      <c r="AL920" s="441"/>
      <c r="AM920" s="441"/>
      <c r="AN920" s="441"/>
      <c r="AO920" s="441"/>
      <c r="AP920" s="441"/>
      <c r="AQ920" s="441"/>
      <c r="AR920" s="441"/>
      <c r="AS920" s="441"/>
      <c r="AT920" s="441"/>
      <c r="AU920" s="441"/>
      <c r="AV920" s="441"/>
      <c r="AW920" s="441"/>
      <c r="AX920" s="441"/>
      <c r="AY920" s="441"/>
      <c r="AZ920" s="441"/>
      <c r="BA920" s="441"/>
      <c r="BB920" s="441"/>
      <c r="BC920" s="441"/>
      <c r="BD920" s="441"/>
      <c r="BE920" s="441"/>
      <c r="BF920" s="441"/>
    </row>
    <row r="921">
      <c r="A921" s="798"/>
      <c r="B921" s="795"/>
      <c r="C921" s="795"/>
      <c r="D921" s="795"/>
      <c r="E921" s="795"/>
      <c r="F921" s="795"/>
      <c r="G921" s="795"/>
      <c r="H921" s="795"/>
      <c r="I921" s="796"/>
      <c r="J921" s="441"/>
      <c r="K921" s="441"/>
      <c r="L921" s="797"/>
      <c r="M921" s="441"/>
      <c r="N921" s="441"/>
      <c r="O921" s="441"/>
      <c r="P921" s="441"/>
      <c r="Q921" s="441"/>
      <c r="R921" s="426"/>
      <c r="S921" s="441"/>
      <c r="T921" s="441"/>
      <c r="U921" s="441"/>
      <c r="V921" s="441"/>
      <c r="W921" s="441"/>
      <c r="X921" s="441"/>
      <c r="Y921" s="441"/>
      <c r="Z921" s="441"/>
      <c r="AA921" s="441"/>
      <c r="AB921" s="441"/>
      <c r="AC921" s="441"/>
      <c r="AD921" s="441"/>
      <c r="AE921" s="441"/>
      <c r="AF921" s="441"/>
      <c r="AG921" s="441"/>
      <c r="AH921" s="441"/>
      <c r="AI921" s="441"/>
      <c r="AJ921" s="441"/>
      <c r="AK921" s="441"/>
      <c r="AL921" s="441"/>
      <c r="AM921" s="441"/>
      <c r="AN921" s="441"/>
      <c r="AO921" s="441"/>
      <c r="AP921" s="441"/>
      <c r="AQ921" s="441"/>
      <c r="AR921" s="441"/>
      <c r="AS921" s="441"/>
      <c r="AT921" s="441"/>
      <c r="AU921" s="441"/>
      <c r="AV921" s="441"/>
      <c r="AW921" s="441"/>
      <c r="AX921" s="441"/>
      <c r="AY921" s="441"/>
      <c r="AZ921" s="441"/>
      <c r="BA921" s="441"/>
      <c r="BB921" s="441"/>
      <c r="BC921" s="441"/>
      <c r="BD921" s="441"/>
      <c r="BE921" s="441"/>
      <c r="BF921" s="441"/>
    </row>
    <row r="922">
      <c r="A922" s="798"/>
      <c r="B922" s="795"/>
      <c r="C922" s="795"/>
      <c r="D922" s="795"/>
      <c r="E922" s="795"/>
      <c r="F922" s="795"/>
      <c r="G922" s="795"/>
      <c r="H922" s="795"/>
      <c r="I922" s="796"/>
      <c r="J922" s="441"/>
      <c r="K922" s="441"/>
      <c r="L922" s="797"/>
      <c r="M922" s="441"/>
      <c r="N922" s="441"/>
      <c r="O922" s="441"/>
      <c r="P922" s="441"/>
      <c r="Q922" s="441"/>
      <c r="R922" s="426"/>
      <c r="S922" s="441"/>
      <c r="T922" s="441"/>
      <c r="U922" s="441"/>
      <c r="V922" s="441"/>
      <c r="W922" s="441"/>
      <c r="X922" s="441"/>
      <c r="Y922" s="441"/>
      <c r="Z922" s="441"/>
      <c r="AA922" s="441"/>
      <c r="AB922" s="441"/>
      <c r="AC922" s="441"/>
      <c r="AD922" s="441"/>
      <c r="AE922" s="441"/>
      <c r="AF922" s="441"/>
      <c r="AG922" s="441"/>
      <c r="AH922" s="441"/>
      <c r="AI922" s="441"/>
      <c r="AJ922" s="441"/>
      <c r="AK922" s="441"/>
      <c r="AL922" s="441"/>
      <c r="AM922" s="441"/>
      <c r="AN922" s="441"/>
      <c r="AO922" s="441"/>
      <c r="AP922" s="441"/>
      <c r="AQ922" s="441"/>
      <c r="AR922" s="441"/>
      <c r="AS922" s="441"/>
      <c r="AT922" s="441"/>
      <c r="AU922" s="441"/>
      <c r="AV922" s="441"/>
      <c r="AW922" s="441"/>
      <c r="AX922" s="441"/>
      <c r="AY922" s="441"/>
      <c r="AZ922" s="441"/>
      <c r="BA922" s="441"/>
      <c r="BB922" s="441"/>
      <c r="BC922" s="441"/>
      <c r="BD922" s="441"/>
      <c r="BE922" s="441"/>
      <c r="BF922" s="441"/>
    </row>
    <row r="923">
      <c r="A923" s="798"/>
      <c r="B923" s="795"/>
      <c r="C923" s="795"/>
      <c r="D923" s="795"/>
      <c r="E923" s="795"/>
      <c r="F923" s="795"/>
      <c r="G923" s="795"/>
      <c r="H923" s="795"/>
      <c r="I923" s="796"/>
      <c r="J923" s="441"/>
      <c r="K923" s="441"/>
      <c r="L923" s="797"/>
      <c r="M923" s="441"/>
      <c r="N923" s="441"/>
      <c r="O923" s="441"/>
      <c r="P923" s="441"/>
      <c r="Q923" s="441"/>
      <c r="R923" s="426"/>
      <c r="S923" s="441"/>
      <c r="T923" s="441"/>
      <c r="U923" s="441"/>
      <c r="V923" s="441"/>
      <c r="W923" s="441"/>
      <c r="X923" s="441"/>
      <c r="Y923" s="441"/>
      <c r="Z923" s="441"/>
      <c r="AA923" s="441"/>
      <c r="AB923" s="441"/>
      <c r="AC923" s="441"/>
      <c r="AD923" s="441"/>
      <c r="AE923" s="441"/>
      <c r="AF923" s="441"/>
      <c r="AG923" s="441"/>
      <c r="AH923" s="441"/>
      <c r="AI923" s="441"/>
      <c r="AJ923" s="441"/>
      <c r="AK923" s="441"/>
      <c r="AL923" s="441"/>
      <c r="AM923" s="441"/>
      <c r="AN923" s="441"/>
      <c r="AO923" s="441"/>
      <c r="AP923" s="441"/>
      <c r="AQ923" s="441"/>
      <c r="AR923" s="441"/>
      <c r="AS923" s="441"/>
      <c r="AT923" s="441"/>
      <c r="AU923" s="441"/>
      <c r="AV923" s="441"/>
      <c r="AW923" s="441"/>
      <c r="AX923" s="441"/>
      <c r="AY923" s="441"/>
      <c r="AZ923" s="441"/>
      <c r="BA923" s="441"/>
      <c r="BB923" s="441"/>
      <c r="BC923" s="441"/>
      <c r="BD923" s="441"/>
      <c r="BE923" s="441"/>
      <c r="BF923" s="441"/>
    </row>
    <row r="924">
      <c r="A924" s="798"/>
      <c r="B924" s="795"/>
      <c r="C924" s="795"/>
      <c r="D924" s="795"/>
      <c r="E924" s="795"/>
      <c r="F924" s="795"/>
      <c r="G924" s="795"/>
      <c r="H924" s="795"/>
      <c r="I924" s="796"/>
      <c r="J924" s="441"/>
      <c r="K924" s="441"/>
      <c r="L924" s="797"/>
      <c r="M924" s="441"/>
      <c r="N924" s="441"/>
      <c r="O924" s="441"/>
      <c r="P924" s="441"/>
      <c r="Q924" s="441"/>
      <c r="R924" s="426"/>
      <c r="S924" s="441"/>
      <c r="T924" s="441"/>
      <c r="U924" s="441"/>
      <c r="V924" s="441"/>
      <c r="W924" s="441"/>
      <c r="X924" s="441"/>
      <c r="Y924" s="441"/>
      <c r="Z924" s="441"/>
      <c r="AA924" s="441"/>
      <c r="AB924" s="441"/>
      <c r="AC924" s="441"/>
      <c r="AD924" s="441"/>
      <c r="AE924" s="441"/>
      <c r="AF924" s="441"/>
      <c r="AG924" s="441"/>
      <c r="AH924" s="441"/>
      <c r="AI924" s="441"/>
      <c r="AJ924" s="441"/>
      <c r="AK924" s="441"/>
      <c r="AL924" s="441"/>
      <c r="AM924" s="441"/>
      <c r="AN924" s="441"/>
      <c r="AO924" s="441"/>
      <c r="AP924" s="441"/>
      <c r="AQ924" s="441"/>
      <c r="AR924" s="441"/>
      <c r="AS924" s="441"/>
      <c r="AT924" s="441"/>
      <c r="AU924" s="441"/>
      <c r="AV924" s="441"/>
      <c r="AW924" s="441"/>
      <c r="AX924" s="441"/>
      <c r="AY924" s="441"/>
      <c r="AZ924" s="441"/>
      <c r="BA924" s="441"/>
      <c r="BB924" s="441"/>
      <c r="BC924" s="441"/>
      <c r="BD924" s="441"/>
      <c r="BE924" s="441"/>
      <c r="BF924" s="441"/>
    </row>
    <row r="925">
      <c r="A925" s="798"/>
      <c r="B925" s="795"/>
      <c r="C925" s="795"/>
      <c r="D925" s="795"/>
      <c r="E925" s="795"/>
      <c r="F925" s="795"/>
      <c r="G925" s="795"/>
      <c r="H925" s="795"/>
      <c r="I925" s="796"/>
      <c r="J925" s="441"/>
      <c r="K925" s="441"/>
      <c r="L925" s="797"/>
      <c r="M925" s="441"/>
      <c r="N925" s="441"/>
      <c r="O925" s="441"/>
      <c r="P925" s="441"/>
      <c r="Q925" s="441"/>
      <c r="R925" s="426"/>
      <c r="S925" s="441"/>
      <c r="T925" s="441"/>
      <c r="U925" s="441"/>
      <c r="V925" s="441"/>
      <c r="W925" s="441"/>
      <c r="X925" s="441"/>
      <c r="Y925" s="441"/>
      <c r="Z925" s="441"/>
      <c r="AA925" s="441"/>
      <c r="AB925" s="441"/>
      <c r="AC925" s="441"/>
      <c r="AD925" s="441"/>
      <c r="AE925" s="441"/>
      <c r="AF925" s="441"/>
      <c r="AG925" s="441"/>
      <c r="AH925" s="441"/>
      <c r="AI925" s="441"/>
      <c r="AJ925" s="441"/>
      <c r="AK925" s="441"/>
      <c r="AL925" s="441"/>
      <c r="AM925" s="441"/>
      <c r="AN925" s="441"/>
      <c r="AO925" s="441"/>
      <c r="AP925" s="441"/>
      <c r="AQ925" s="441"/>
      <c r="AR925" s="441"/>
      <c r="AS925" s="441"/>
      <c r="AT925" s="441"/>
      <c r="AU925" s="441"/>
      <c r="AV925" s="441"/>
      <c r="AW925" s="441"/>
      <c r="AX925" s="441"/>
      <c r="AY925" s="441"/>
      <c r="AZ925" s="441"/>
      <c r="BA925" s="441"/>
      <c r="BB925" s="441"/>
      <c r="BC925" s="441"/>
      <c r="BD925" s="441"/>
      <c r="BE925" s="441"/>
      <c r="BF925" s="441"/>
    </row>
    <row r="926">
      <c r="A926" s="798"/>
      <c r="B926" s="795"/>
      <c r="C926" s="795"/>
      <c r="D926" s="795"/>
      <c r="E926" s="795"/>
      <c r="F926" s="795"/>
      <c r="G926" s="795"/>
      <c r="H926" s="795"/>
      <c r="I926" s="796"/>
      <c r="J926" s="441"/>
      <c r="K926" s="441"/>
      <c r="L926" s="797"/>
      <c r="M926" s="441"/>
      <c r="N926" s="441"/>
      <c r="O926" s="441"/>
      <c r="P926" s="441"/>
      <c r="Q926" s="441"/>
      <c r="R926" s="426"/>
      <c r="S926" s="441"/>
      <c r="T926" s="441"/>
      <c r="U926" s="441"/>
      <c r="V926" s="441"/>
      <c r="W926" s="441"/>
      <c r="X926" s="441"/>
      <c r="Y926" s="441"/>
      <c r="Z926" s="441"/>
      <c r="AA926" s="441"/>
      <c r="AB926" s="441"/>
      <c r="AC926" s="441"/>
      <c r="AD926" s="441"/>
      <c r="AE926" s="441"/>
      <c r="AF926" s="441"/>
      <c r="AG926" s="441"/>
      <c r="AH926" s="441"/>
      <c r="AI926" s="441"/>
      <c r="AJ926" s="441"/>
      <c r="AK926" s="441"/>
      <c r="AL926" s="441"/>
      <c r="AM926" s="441"/>
      <c r="AN926" s="441"/>
      <c r="AO926" s="441"/>
      <c r="AP926" s="441"/>
      <c r="AQ926" s="441"/>
      <c r="AR926" s="441"/>
      <c r="AS926" s="441"/>
      <c r="AT926" s="441"/>
      <c r="AU926" s="441"/>
      <c r="AV926" s="441"/>
      <c r="AW926" s="441"/>
      <c r="AX926" s="441"/>
      <c r="AY926" s="441"/>
      <c r="AZ926" s="441"/>
      <c r="BA926" s="441"/>
      <c r="BB926" s="441"/>
      <c r="BC926" s="441"/>
      <c r="BD926" s="441"/>
      <c r="BE926" s="441"/>
      <c r="BF926" s="441"/>
    </row>
    <row r="927">
      <c r="A927" s="798"/>
      <c r="B927" s="795"/>
      <c r="C927" s="795"/>
      <c r="D927" s="795"/>
      <c r="E927" s="795"/>
      <c r="F927" s="795"/>
      <c r="G927" s="795"/>
      <c r="H927" s="795"/>
      <c r="I927" s="796"/>
      <c r="J927" s="441"/>
      <c r="K927" s="441"/>
      <c r="L927" s="797"/>
      <c r="M927" s="441"/>
      <c r="N927" s="441"/>
      <c r="O927" s="441"/>
      <c r="P927" s="441"/>
      <c r="Q927" s="441"/>
      <c r="R927" s="426"/>
      <c r="S927" s="441"/>
      <c r="T927" s="441"/>
      <c r="U927" s="441"/>
      <c r="V927" s="441"/>
      <c r="W927" s="441"/>
      <c r="X927" s="441"/>
      <c r="Y927" s="441"/>
      <c r="Z927" s="441"/>
      <c r="AA927" s="441"/>
      <c r="AB927" s="441"/>
      <c r="AC927" s="441"/>
      <c r="AD927" s="441"/>
      <c r="AE927" s="441"/>
      <c r="AF927" s="441"/>
      <c r="AG927" s="441"/>
      <c r="AH927" s="441"/>
      <c r="AI927" s="441"/>
      <c r="AJ927" s="441"/>
      <c r="AK927" s="441"/>
      <c r="AL927" s="441"/>
      <c r="AM927" s="441"/>
      <c r="AN927" s="441"/>
      <c r="AO927" s="441"/>
      <c r="AP927" s="441"/>
      <c r="AQ927" s="441"/>
      <c r="AR927" s="441"/>
      <c r="AS927" s="441"/>
      <c r="AT927" s="441"/>
      <c r="AU927" s="441"/>
      <c r="AV927" s="441"/>
      <c r="AW927" s="441"/>
      <c r="AX927" s="441"/>
      <c r="AY927" s="441"/>
      <c r="AZ927" s="441"/>
      <c r="BA927" s="441"/>
      <c r="BB927" s="441"/>
      <c r="BC927" s="441"/>
      <c r="BD927" s="441"/>
      <c r="BE927" s="441"/>
      <c r="BF927" s="441"/>
    </row>
    <row r="928">
      <c r="A928" s="798"/>
      <c r="B928" s="795"/>
      <c r="C928" s="795"/>
      <c r="D928" s="795"/>
      <c r="E928" s="795"/>
      <c r="F928" s="795"/>
      <c r="G928" s="795"/>
      <c r="H928" s="795"/>
      <c r="I928" s="796"/>
      <c r="J928" s="441"/>
      <c r="K928" s="441"/>
      <c r="L928" s="797"/>
      <c r="M928" s="441"/>
      <c r="N928" s="441"/>
      <c r="O928" s="441"/>
      <c r="P928" s="441"/>
      <c r="Q928" s="441"/>
      <c r="R928" s="426"/>
      <c r="S928" s="441"/>
      <c r="T928" s="441"/>
      <c r="U928" s="441"/>
      <c r="V928" s="441"/>
      <c r="W928" s="441"/>
      <c r="X928" s="441"/>
      <c r="Y928" s="441"/>
      <c r="Z928" s="441"/>
      <c r="AA928" s="441"/>
      <c r="AB928" s="441"/>
      <c r="AC928" s="441"/>
      <c r="AD928" s="441"/>
      <c r="AE928" s="441"/>
      <c r="AF928" s="441"/>
      <c r="AG928" s="441"/>
      <c r="AH928" s="441"/>
      <c r="AI928" s="441"/>
      <c r="AJ928" s="441"/>
      <c r="AK928" s="441"/>
      <c r="AL928" s="441"/>
      <c r="AM928" s="441"/>
      <c r="AN928" s="441"/>
      <c r="AO928" s="441"/>
      <c r="AP928" s="441"/>
      <c r="AQ928" s="441"/>
      <c r="AR928" s="441"/>
      <c r="AS928" s="441"/>
      <c r="AT928" s="441"/>
      <c r="AU928" s="441"/>
      <c r="AV928" s="441"/>
      <c r="AW928" s="441"/>
      <c r="AX928" s="441"/>
      <c r="AY928" s="441"/>
      <c r="AZ928" s="441"/>
      <c r="BA928" s="441"/>
      <c r="BB928" s="441"/>
      <c r="BC928" s="441"/>
      <c r="BD928" s="441"/>
      <c r="BE928" s="441"/>
      <c r="BF928" s="441"/>
    </row>
    <row r="929">
      <c r="A929" s="798"/>
      <c r="B929" s="795"/>
      <c r="C929" s="795"/>
      <c r="D929" s="795"/>
      <c r="E929" s="795"/>
      <c r="F929" s="795"/>
      <c r="G929" s="795"/>
      <c r="H929" s="795"/>
      <c r="I929" s="796"/>
      <c r="J929" s="441"/>
      <c r="K929" s="441"/>
      <c r="L929" s="797"/>
      <c r="M929" s="441"/>
      <c r="N929" s="441"/>
      <c r="O929" s="441"/>
      <c r="P929" s="441"/>
      <c r="Q929" s="441"/>
      <c r="R929" s="426"/>
      <c r="S929" s="441"/>
      <c r="T929" s="441"/>
      <c r="U929" s="441"/>
      <c r="V929" s="441"/>
      <c r="W929" s="441"/>
      <c r="X929" s="441"/>
      <c r="Y929" s="441"/>
      <c r="Z929" s="441"/>
      <c r="AA929" s="441"/>
      <c r="AB929" s="441"/>
      <c r="AC929" s="441"/>
      <c r="AD929" s="441"/>
      <c r="AE929" s="441"/>
      <c r="AF929" s="441"/>
      <c r="AG929" s="441"/>
      <c r="AH929" s="441"/>
      <c r="AI929" s="441"/>
      <c r="AJ929" s="441"/>
      <c r="AK929" s="441"/>
      <c r="AL929" s="441"/>
      <c r="AM929" s="441"/>
      <c r="AN929" s="441"/>
      <c r="AO929" s="441"/>
      <c r="AP929" s="441"/>
      <c r="AQ929" s="441"/>
      <c r="AR929" s="441"/>
      <c r="AS929" s="441"/>
      <c r="AT929" s="441"/>
      <c r="AU929" s="441"/>
      <c r="AV929" s="441"/>
      <c r="AW929" s="441"/>
      <c r="AX929" s="441"/>
      <c r="AY929" s="441"/>
      <c r="AZ929" s="441"/>
      <c r="BA929" s="441"/>
      <c r="BB929" s="441"/>
      <c r="BC929" s="441"/>
      <c r="BD929" s="441"/>
      <c r="BE929" s="441"/>
      <c r="BF929" s="441"/>
    </row>
    <row r="930">
      <c r="A930" s="798"/>
      <c r="B930" s="795"/>
      <c r="C930" s="795"/>
      <c r="D930" s="795"/>
      <c r="E930" s="795"/>
      <c r="F930" s="795"/>
      <c r="G930" s="795"/>
      <c r="H930" s="795"/>
      <c r="I930" s="796"/>
      <c r="J930" s="441"/>
      <c r="K930" s="441"/>
      <c r="L930" s="797"/>
      <c r="M930" s="441"/>
      <c r="N930" s="441"/>
      <c r="O930" s="441"/>
      <c r="P930" s="441"/>
      <c r="Q930" s="441"/>
      <c r="R930" s="426"/>
      <c r="S930" s="441"/>
      <c r="T930" s="441"/>
      <c r="U930" s="441"/>
      <c r="V930" s="441"/>
      <c r="W930" s="441"/>
      <c r="X930" s="441"/>
      <c r="Y930" s="441"/>
      <c r="Z930" s="441"/>
      <c r="AA930" s="441"/>
      <c r="AB930" s="441"/>
      <c r="AC930" s="441"/>
      <c r="AD930" s="441"/>
      <c r="AE930" s="441"/>
      <c r="AF930" s="441"/>
      <c r="AG930" s="441"/>
      <c r="AH930" s="441"/>
      <c r="AI930" s="441"/>
      <c r="AJ930" s="441"/>
      <c r="AK930" s="441"/>
      <c r="AL930" s="441"/>
      <c r="AM930" s="441"/>
      <c r="AN930" s="441"/>
      <c r="AO930" s="441"/>
      <c r="AP930" s="441"/>
      <c r="AQ930" s="441"/>
      <c r="AR930" s="441"/>
      <c r="AS930" s="441"/>
      <c r="AT930" s="441"/>
      <c r="AU930" s="441"/>
      <c r="AV930" s="441"/>
      <c r="AW930" s="441"/>
      <c r="AX930" s="441"/>
      <c r="AY930" s="441"/>
      <c r="AZ930" s="441"/>
      <c r="BA930" s="441"/>
      <c r="BB930" s="441"/>
      <c r="BC930" s="441"/>
      <c r="BD930" s="441"/>
      <c r="BE930" s="441"/>
      <c r="BF930" s="441"/>
    </row>
    <row r="931">
      <c r="A931" s="798"/>
      <c r="B931" s="795"/>
      <c r="C931" s="795"/>
      <c r="D931" s="795"/>
      <c r="E931" s="795"/>
      <c r="F931" s="795"/>
      <c r="G931" s="795"/>
      <c r="H931" s="795"/>
      <c r="I931" s="796"/>
      <c r="J931" s="441"/>
      <c r="K931" s="441"/>
      <c r="L931" s="797"/>
      <c r="M931" s="441"/>
      <c r="N931" s="441"/>
      <c r="O931" s="441"/>
      <c r="P931" s="441"/>
      <c r="Q931" s="441"/>
      <c r="R931" s="426"/>
      <c r="S931" s="441"/>
      <c r="T931" s="441"/>
      <c r="U931" s="441"/>
      <c r="V931" s="441"/>
      <c r="W931" s="441"/>
      <c r="X931" s="441"/>
      <c r="Y931" s="441"/>
      <c r="Z931" s="441"/>
      <c r="AA931" s="441"/>
      <c r="AB931" s="441"/>
      <c r="AC931" s="441"/>
      <c r="AD931" s="441"/>
      <c r="AE931" s="441"/>
      <c r="AF931" s="441"/>
      <c r="AG931" s="441"/>
      <c r="AH931" s="441"/>
      <c r="AI931" s="441"/>
      <c r="AJ931" s="441"/>
      <c r="AK931" s="441"/>
      <c r="AL931" s="441"/>
      <c r="AM931" s="441"/>
      <c r="AN931" s="441"/>
      <c r="AO931" s="441"/>
      <c r="AP931" s="441"/>
      <c r="AQ931" s="441"/>
      <c r="AR931" s="441"/>
      <c r="AS931" s="441"/>
      <c r="AT931" s="441"/>
      <c r="AU931" s="441"/>
      <c r="AV931" s="441"/>
      <c r="AW931" s="441"/>
      <c r="AX931" s="441"/>
      <c r="AY931" s="441"/>
      <c r="AZ931" s="441"/>
      <c r="BA931" s="441"/>
      <c r="BB931" s="441"/>
      <c r="BC931" s="441"/>
      <c r="BD931" s="441"/>
      <c r="BE931" s="441"/>
      <c r="BF931" s="441"/>
    </row>
    <row r="932">
      <c r="A932" s="798"/>
      <c r="B932" s="795"/>
      <c r="C932" s="795"/>
      <c r="D932" s="795"/>
      <c r="E932" s="795"/>
      <c r="F932" s="795"/>
      <c r="G932" s="795"/>
      <c r="H932" s="795"/>
      <c r="I932" s="796"/>
      <c r="J932" s="441"/>
      <c r="K932" s="441"/>
      <c r="L932" s="797"/>
      <c r="M932" s="441"/>
      <c r="N932" s="441"/>
      <c r="O932" s="441"/>
      <c r="P932" s="441"/>
      <c r="Q932" s="441"/>
      <c r="R932" s="426"/>
      <c r="S932" s="441"/>
      <c r="T932" s="441"/>
      <c r="U932" s="441"/>
      <c r="V932" s="441"/>
      <c r="W932" s="441"/>
      <c r="X932" s="441"/>
      <c r="Y932" s="441"/>
      <c r="Z932" s="441"/>
      <c r="AA932" s="441"/>
      <c r="AB932" s="441"/>
      <c r="AC932" s="441"/>
      <c r="AD932" s="441"/>
      <c r="AE932" s="441"/>
      <c r="AF932" s="441"/>
      <c r="AG932" s="441"/>
      <c r="AH932" s="441"/>
      <c r="AI932" s="441"/>
      <c r="AJ932" s="441"/>
      <c r="AK932" s="441"/>
      <c r="AL932" s="441"/>
      <c r="AM932" s="441"/>
      <c r="AN932" s="441"/>
      <c r="AO932" s="441"/>
      <c r="AP932" s="441"/>
      <c r="AQ932" s="441"/>
      <c r="AR932" s="441"/>
      <c r="AS932" s="441"/>
      <c r="AT932" s="441"/>
      <c r="AU932" s="441"/>
      <c r="AV932" s="441"/>
      <c r="AW932" s="441"/>
      <c r="AX932" s="441"/>
      <c r="AY932" s="441"/>
      <c r="AZ932" s="441"/>
      <c r="BA932" s="441"/>
      <c r="BB932" s="441"/>
      <c r="BC932" s="441"/>
      <c r="BD932" s="441"/>
      <c r="BE932" s="441"/>
      <c r="BF932" s="441"/>
    </row>
    <row r="933">
      <c r="A933" s="798"/>
      <c r="B933" s="795"/>
      <c r="C933" s="795"/>
      <c r="D933" s="795"/>
      <c r="E933" s="795"/>
      <c r="F933" s="795"/>
      <c r="G933" s="795"/>
      <c r="H933" s="795"/>
      <c r="I933" s="796"/>
      <c r="J933" s="441"/>
      <c r="K933" s="441"/>
      <c r="L933" s="797"/>
      <c r="M933" s="441"/>
      <c r="N933" s="441"/>
      <c r="O933" s="441"/>
      <c r="P933" s="441"/>
      <c r="Q933" s="441"/>
      <c r="R933" s="426"/>
      <c r="S933" s="441"/>
      <c r="T933" s="441"/>
      <c r="U933" s="441"/>
      <c r="V933" s="441"/>
      <c r="W933" s="441"/>
      <c r="X933" s="441"/>
      <c r="Y933" s="441"/>
      <c r="Z933" s="441"/>
      <c r="AA933" s="441"/>
      <c r="AB933" s="441"/>
      <c r="AC933" s="441"/>
      <c r="AD933" s="441"/>
      <c r="AE933" s="441"/>
      <c r="AF933" s="441"/>
      <c r="AG933" s="441"/>
      <c r="AH933" s="441"/>
      <c r="AI933" s="441"/>
      <c r="AJ933" s="441"/>
      <c r="AK933" s="441"/>
      <c r="AL933" s="441"/>
      <c r="AM933" s="441"/>
      <c r="AN933" s="441"/>
      <c r="AO933" s="441"/>
      <c r="AP933" s="441"/>
      <c r="AQ933" s="441"/>
      <c r="AR933" s="441"/>
      <c r="AS933" s="441"/>
      <c r="AT933" s="441"/>
      <c r="AU933" s="441"/>
      <c r="AV933" s="441"/>
      <c r="AW933" s="441"/>
      <c r="AX933" s="441"/>
      <c r="AY933" s="441"/>
      <c r="AZ933" s="441"/>
      <c r="BA933" s="441"/>
      <c r="BB933" s="441"/>
      <c r="BC933" s="441"/>
      <c r="BD933" s="441"/>
      <c r="BE933" s="441"/>
      <c r="BF933" s="441"/>
    </row>
    <row r="934">
      <c r="A934" s="798"/>
      <c r="B934" s="795"/>
      <c r="C934" s="795"/>
      <c r="D934" s="795"/>
      <c r="E934" s="795"/>
      <c r="F934" s="795"/>
      <c r="G934" s="795"/>
      <c r="H934" s="795"/>
      <c r="I934" s="796"/>
      <c r="J934" s="441"/>
      <c r="K934" s="441"/>
      <c r="L934" s="797"/>
      <c r="M934" s="441"/>
      <c r="N934" s="441"/>
      <c r="O934" s="441"/>
      <c r="P934" s="441"/>
      <c r="Q934" s="441"/>
      <c r="R934" s="426"/>
      <c r="S934" s="441"/>
      <c r="T934" s="441"/>
      <c r="U934" s="441"/>
      <c r="V934" s="441"/>
      <c r="W934" s="441"/>
      <c r="X934" s="441"/>
      <c r="Y934" s="441"/>
      <c r="Z934" s="441"/>
      <c r="AA934" s="441"/>
      <c r="AB934" s="441"/>
      <c r="AC934" s="441"/>
      <c r="AD934" s="441"/>
      <c r="AE934" s="441"/>
      <c r="AF934" s="441"/>
      <c r="AG934" s="441"/>
      <c r="AH934" s="441"/>
      <c r="AI934" s="441"/>
      <c r="AJ934" s="441"/>
      <c r="AK934" s="441"/>
      <c r="AL934" s="441"/>
      <c r="AM934" s="441"/>
      <c r="AN934" s="441"/>
      <c r="AO934" s="441"/>
      <c r="AP934" s="441"/>
      <c r="AQ934" s="441"/>
      <c r="AR934" s="441"/>
      <c r="AS934" s="441"/>
      <c r="AT934" s="441"/>
      <c r="AU934" s="441"/>
      <c r="AV934" s="441"/>
      <c r="AW934" s="441"/>
      <c r="AX934" s="441"/>
      <c r="AY934" s="441"/>
      <c r="AZ934" s="441"/>
      <c r="BA934" s="441"/>
      <c r="BB934" s="441"/>
      <c r="BC934" s="441"/>
      <c r="BD934" s="441"/>
      <c r="BE934" s="441"/>
      <c r="BF934" s="441"/>
    </row>
    <row r="935">
      <c r="A935" s="798"/>
      <c r="B935" s="795"/>
      <c r="C935" s="795"/>
      <c r="D935" s="795"/>
      <c r="E935" s="795"/>
      <c r="F935" s="795"/>
      <c r="G935" s="795"/>
      <c r="H935" s="795"/>
      <c r="I935" s="796"/>
      <c r="J935" s="441"/>
      <c r="K935" s="441"/>
      <c r="L935" s="797"/>
      <c r="M935" s="441"/>
      <c r="N935" s="441"/>
      <c r="O935" s="441"/>
      <c r="P935" s="441"/>
      <c r="Q935" s="441"/>
      <c r="R935" s="426"/>
      <c r="S935" s="441"/>
      <c r="T935" s="441"/>
      <c r="U935" s="441"/>
      <c r="V935" s="441"/>
      <c r="W935" s="441"/>
      <c r="X935" s="441"/>
      <c r="Y935" s="441"/>
      <c r="Z935" s="441"/>
      <c r="AA935" s="441"/>
      <c r="AB935" s="441"/>
      <c r="AC935" s="441"/>
      <c r="AD935" s="441"/>
      <c r="AE935" s="441"/>
      <c r="AF935" s="441"/>
      <c r="AG935" s="441"/>
      <c r="AH935" s="441"/>
      <c r="AI935" s="441"/>
      <c r="AJ935" s="441"/>
      <c r="AK935" s="441"/>
      <c r="AL935" s="441"/>
      <c r="AM935" s="441"/>
      <c r="AN935" s="441"/>
      <c r="AO935" s="441"/>
      <c r="AP935" s="441"/>
      <c r="AQ935" s="441"/>
      <c r="AR935" s="441"/>
      <c r="AS935" s="441"/>
      <c r="AT935" s="441"/>
      <c r="AU935" s="441"/>
      <c r="AV935" s="441"/>
      <c r="AW935" s="441"/>
      <c r="AX935" s="441"/>
      <c r="AY935" s="441"/>
      <c r="AZ935" s="441"/>
      <c r="BA935" s="441"/>
      <c r="BB935" s="441"/>
      <c r="BC935" s="441"/>
      <c r="BD935" s="441"/>
      <c r="BE935" s="441"/>
      <c r="BF935" s="441"/>
    </row>
    <row r="936">
      <c r="A936" s="798"/>
      <c r="B936" s="795"/>
      <c r="C936" s="795"/>
      <c r="D936" s="795"/>
      <c r="E936" s="795"/>
      <c r="F936" s="795"/>
      <c r="G936" s="795"/>
      <c r="H936" s="795"/>
      <c r="I936" s="796"/>
      <c r="J936" s="441"/>
      <c r="K936" s="441"/>
      <c r="L936" s="797"/>
      <c r="M936" s="441"/>
      <c r="N936" s="441"/>
      <c r="O936" s="441"/>
      <c r="P936" s="441"/>
      <c r="Q936" s="441"/>
      <c r="R936" s="426"/>
      <c r="S936" s="441"/>
      <c r="T936" s="441"/>
      <c r="U936" s="441"/>
      <c r="V936" s="441"/>
      <c r="W936" s="441"/>
      <c r="X936" s="441"/>
      <c r="Y936" s="441"/>
      <c r="Z936" s="441"/>
      <c r="AA936" s="441"/>
      <c r="AB936" s="441"/>
      <c r="AC936" s="441"/>
      <c r="AD936" s="441"/>
      <c r="AE936" s="441"/>
      <c r="AF936" s="441"/>
      <c r="AG936" s="441"/>
      <c r="AH936" s="441"/>
      <c r="AI936" s="441"/>
      <c r="AJ936" s="441"/>
      <c r="AK936" s="441"/>
      <c r="AL936" s="441"/>
      <c r="AM936" s="441"/>
      <c r="AN936" s="441"/>
      <c r="AO936" s="441"/>
      <c r="AP936" s="441"/>
      <c r="AQ936" s="441"/>
      <c r="AR936" s="441"/>
      <c r="AS936" s="441"/>
      <c r="AT936" s="441"/>
      <c r="AU936" s="441"/>
      <c r="AV936" s="441"/>
      <c r="AW936" s="441"/>
      <c r="AX936" s="441"/>
      <c r="AY936" s="441"/>
      <c r="AZ936" s="441"/>
      <c r="BA936" s="441"/>
      <c r="BB936" s="441"/>
      <c r="BC936" s="441"/>
      <c r="BD936" s="441"/>
      <c r="BE936" s="441"/>
      <c r="BF936" s="441"/>
    </row>
    <row r="937">
      <c r="A937" s="798"/>
      <c r="B937" s="795"/>
      <c r="C937" s="795"/>
      <c r="D937" s="795"/>
      <c r="E937" s="795"/>
      <c r="F937" s="795"/>
      <c r="G937" s="795"/>
      <c r="H937" s="795"/>
      <c r="I937" s="796"/>
      <c r="J937" s="441"/>
      <c r="K937" s="441"/>
      <c r="L937" s="797"/>
      <c r="M937" s="441"/>
      <c r="N937" s="441"/>
      <c r="O937" s="441"/>
      <c r="P937" s="441"/>
      <c r="Q937" s="441"/>
      <c r="R937" s="426"/>
      <c r="S937" s="441"/>
      <c r="T937" s="441"/>
      <c r="U937" s="441"/>
      <c r="V937" s="441"/>
      <c r="W937" s="441"/>
      <c r="X937" s="441"/>
      <c r="Y937" s="441"/>
      <c r="Z937" s="441"/>
      <c r="AA937" s="441"/>
      <c r="AB937" s="441"/>
      <c r="AC937" s="441"/>
      <c r="AD937" s="441"/>
      <c r="AE937" s="441"/>
      <c r="AF937" s="441"/>
      <c r="AG937" s="441"/>
      <c r="AH937" s="441"/>
      <c r="AI937" s="441"/>
      <c r="AJ937" s="441"/>
      <c r="AK937" s="441"/>
      <c r="AL937" s="441"/>
      <c r="AM937" s="441"/>
      <c r="AN937" s="441"/>
      <c r="AO937" s="441"/>
      <c r="AP937" s="441"/>
      <c r="AQ937" s="441"/>
      <c r="AR937" s="441"/>
      <c r="AS937" s="441"/>
      <c r="AT937" s="441"/>
      <c r="AU937" s="441"/>
      <c r="AV937" s="441"/>
      <c r="AW937" s="441"/>
      <c r="AX937" s="441"/>
      <c r="AY937" s="441"/>
      <c r="AZ937" s="441"/>
      <c r="BA937" s="441"/>
      <c r="BB937" s="441"/>
      <c r="BC937" s="441"/>
      <c r="BD937" s="441"/>
      <c r="BE937" s="441"/>
      <c r="BF937" s="441"/>
    </row>
    <row r="938">
      <c r="A938" s="798"/>
      <c r="B938" s="795"/>
      <c r="C938" s="795"/>
      <c r="D938" s="795"/>
      <c r="E938" s="795"/>
      <c r="F938" s="795"/>
      <c r="G938" s="795"/>
      <c r="H938" s="795"/>
      <c r="I938" s="796"/>
      <c r="J938" s="441"/>
      <c r="K938" s="441"/>
      <c r="L938" s="797"/>
      <c r="M938" s="441"/>
      <c r="N938" s="441"/>
      <c r="O938" s="441"/>
      <c r="P938" s="441"/>
      <c r="Q938" s="441"/>
      <c r="R938" s="426"/>
      <c r="S938" s="441"/>
      <c r="T938" s="441"/>
      <c r="U938" s="441"/>
      <c r="V938" s="441"/>
      <c r="W938" s="441"/>
      <c r="X938" s="441"/>
      <c r="Y938" s="441"/>
      <c r="Z938" s="441"/>
      <c r="AA938" s="441"/>
      <c r="AB938" s="441"/>
      <c r="AC938" s="441"/>
      <c r="AD938" s="441"/>
      <c r="AE938" s="441"/>
      <c r="AF938" s="441"/>
      <c r="AG938" s="441"/>
      <c r="AH938" s="441"/>
      <c r="AI938" s="441"/>
      <c r="AJ938" s="441"/>
      <c r="AK938" s="441"/>
      <c r="AL938" s="441"/>
      <c r="AM938" s="441"/>
      <c r="AN938" s="441"/>
      <c r="AO938" s="441"/>
      <c r="AP938" s="441"/>
      <c r="AQ938" s="441"/>
      <c r="AR938" s="441"/>
      <c r="AS938" s="441"/>
      <c r="AT938" s="441"/>
      <c r="AU938" s="441"/>
      <c r="AV938" s="441"/>
      <c r="AW938" s="441"/>
      <c r="AX938" s="441"/>
      <c r="AY938" s="441"/>
      <c r="AZ938" s="441"/>
      <c r="BA938" s="441"/>
      <c r="BB938" s="441"/>
      <c r="BC938" s="441"/>
      <c r="BD938" s="441"/>
      <c r="BE938" s="441"/>
      <c r="BF938" s="441"/>
    </row>
    <row r="939">
      <c r="A939" s="798"/>
      <c r="B939" s="795"/>
      <c r="C939" s="795"/>
      <c r="D939" s="795"/>
      <c r="E939" s="795"/>
      <c r="F939" s="795"/>
      <c r="G939" s="795"/>
      <c r="H939" s="795"/>
      <c r="I939" s="796"/>
      <c r="J939" s="441"/>
      <c r="K939" s="441"/>
      <c r="L939" s="797"/>
      <c r="M939" s="441"/>
      <c r="N939" s="441"/>
      <c r="O939" s="441"/>
      <c r="P939" s="441"/>
      <c r="Q939" s="441"/>
      <c r="R939" s="426"/>
      <c r="S939" s="441"/>
      <c r="T939" s="441"/>
      <c r="U939" s="441"/>
      <c r="V939" s="441"/>
      <c r="W939" s="441"/>
      <c r="X939" s="441"/>
      <c r="Y939" s="441"/>
      <c r="Z939" s="441"/>
      <c r="AA939" s="441"/>
      <c r="AB939" s="441"/>
      <c r="AC939" s="441"/>
      <c r="AD939" s="441"/>
      <c r="AE939" s="441"/>
      <c r="AF939" s="441"/>
      <c r="AG939" s="441"/>
      <c r="AH939" s="441"/>
      <c r="AI939" s="441"/>
      <c r="AJ939" s="441"/>
      <c r="AK939" s="441"/>
      <c r="AL939" s="441"/>
      <c r="AM939" s="441"/>
      <c r="AN939" s="441"/>
      <c r="AO939" s="441"/>
      <c r="AP939" s="441"/>
      <c r="AQ939" s="441"/>
      <c r="AR939" s="441"/>
      <c r="AS939" s="441"/>
      <c r="AT939" s="441"/>
      <c r="AU939" s="441"/>
      <c r="AV939" s="441"/>
      <c r="AW939" s="441"/>
      <c r="AX939" s="441"/>
      <c r="AY939" s="441"/>
      <c r="AZ939" s="441"/>
      <c r="BA939" s="441"/>
      <c r="BB939" s="441"/>
      <c r="BC939" s="441"/>
      <c r="BD939" s="441"/>
      <c r="BE939" s="441"/>
      <c r="BF939" s="441"/>
    </row>
    <row r="940">
      <c r="A940" s="798"/>
      <c r="B940" s="795"/>
      <c r="C940" s="795"/>
      <c r="D940" s="795"/>
      <c r="E940" s="795"/>
      <c r="F940" s="795"/>
      <c r="G940" s="795"/>
      <c r="H940" s="795"/>
      <c r="I940" s="796"/>
      <c r="J940" s="441"/>
      <c r="K940" s="441"/>
      <c r="L940" s="797"/>
      <c r="M940" s="441"/>
      <c r="N940" s="441"/>
      <c r="O940" s="441"/>
      <c r="P940" s="441"/>
      <c r="Q940" s="441"/>
      <c r="R940" s="426"/>
      <c r="S940" s="441"/>
      <c r="T940" s="441"/>
      <c r="U940" s="441"/>
      <c r="V940" s="441"/>
      <c r="W940" s="441"/>
      <c r="X940" s="441"/>
      <c r="Y940" s="441"/>
      <c r="Z940" s="441"/>
      <c r="AA940" s="441"/>
      <c r="AB940" s="441"/>
      <c r="AC940" s="441"/>
      <c r="AD940" s="441"/>
      <c r="AE940" s="441"/>
      <c r="AF940" s="441"/>
      <c r="AG940" s="441"/>
      <c r="AH940" s="441"/>
      <c r="AI940" s="441"/>
      <c r="AJ940" s="441"/>
      <c r="AK940" s="441"/>
      <c r="AL940" s="441"/>
      <c r="AM940" s="441"/>
      <c r="AN940" s="441"/>
      <c r="AO940" s="441"/>
      <c r="AP940" s="441"/>
      <c r="AQ940" s="441"/>
      <c r="AR940" s="441"/>
      <c r="AS940" s="441"/>
      <c r="AT940" s="441"/>
      <c r="AU940" s="441"/>
      <c r="AV940" s="441"/>
      <c r="AW940" s="441"/>
      <c r="AX940" s="441"/>
      <c r="AY940" s="441"/>
      <c r="AZ940" s="441"/>
      <c r="BA940" s="441"/>
      <c r="BB940" s="441"/>
      <c r="BC940" s="441"/>
      <c r="BD940" s="441"/>
      <c r="BE940" s="441"/>
      <c r="BF940" s="441"/>
    </row>
    <row r="941">
      <c r="A941" s="798"/>
      <c r="B941" s="795"/>
      <c r="C941" s="795"/>
      <c r="D941" s="795"/>
      <c r="E941" s="795"/>
      <c r="F941" s="795"/>
      <c r="G941" s="795"/>
      <c r="H941" s="795"/>
      <c r="I941" s="796"/>
      <c r="J941" s="441"/>
      <c r="K941" s="441"/>
      <c r="L941" s="797"/>
      <c r="M941" s="441"/>
      <c r="N941" s="441"/>
      <c r="O941" s="441"/>
      <c r="P941" s="441"/>
      <c r="Q941" s="441"/>
      <c r="R941" s="426"/>
      <c r="S941" s="441"/>
      <c r="T941" s="441"/>
      <c r="U941" s="441"/>
      <c r="V941" s="441"/>
      <c r="W941" s="441"/>
      <c r="X941" s="441"/>
      <c r="Y941" s="441"/>
      <c r="Z941" s="441"/>
      <c r="AA941" s="441"/>
      <c r="AB941" s="441"/>
      <c r="AC941" s="441"/>
      <c r="AD941" s="441"/>
      <c r="AE941" s="441"/>
      <c r="AF941" s="441"/>
      <c r="AG941" s="441"/>
      <c r="AH941" s="441"/>
      <c r="AI941" s="441"/>
      <c r="AJ941" s="441"/>
      <c r="AK941" s="441"/>
      <c r="AL941" s="441"/>
      <c r="AM941" s="441"/>
      <c r="AN941" s="441"/>
      <c r="AO941" s="441"/>
      <c r="AP941" s="441"/>
      <c r="AQ941" s="441"/>
      <c r="AR941" s="441"/>
      <c r="AS941" s="441"/>
      <c r="AT941" s="441"/>
      <c r="AU941" s="441"/>
      <c r="AV941" s="441"/>
      <c r="AW941" s="441"/>
      <c r="AX941" s="441"/>
      <c r="AY941" s="441"/>
      <c r="AZ941" s="441"/>
      <c r="BA941" s="441"/>
      <c r="BB941" s="441"/>
      <c r="BC941" s="441"/>
      <c r="BD941" s="441"/>
      <c r="BE941" s="441"/>
      <c r="BF941" s="441"/>
    </row>
    <row r="942">
      <c r="A942" s="798"/>
      <c r="B942" s="795"/>
      <c r="C942" s="795"/>
      <c r="D942" s="795"/>
      <c r="E942" s="795"/>
      <c r="F942" s="795"/>
      <c r="G942" s="795"/>
      <c r="H942" s="795"/>
      <c r="I942" s="796"/>
      <c r="J942" s="441"/>
      <c r="K942" s="441"/>
      <c r="L942" s="797"/>
      <c r="M942" s="441"/>
      <c r="N942" s="441"/>
      <c r="O942" s="441"/>
      <c r="P942" s="441"/>
      <c r="Q942" s="441"/>
      <c r="R942" s="426"/>
      <c r="S942" s="441"/>
      <c r="T942" s="441"/>
      <c r="U942" s="441"/>
      <c r="V942" s="441"/>
      <c r="W942" s="441"/>
      <c r="X942" s="441"/>
      <c r="Y942" s="441"/>
      <c r="Z942" s="441"/>
      <c r="AA942" s="441"/>
      <c r="AB942" s="441"/>
      <c r="AC942" s="441"/>
      <c r="AD942" s="441"/>
      <c r="AE942" s="441"/>
      <c r="AF942" s="441"/>
      <c r="AG942" s="441"/>
      <c r="AH942" s="441"/>
      <c r="AI942" s="441"/>
      <c r="AJ942" s="441"/>
      <c r="AK942" s="441"/>
      <c r="AL942" s="441"/>
      <c r="AM942" s="441"/>
      <c r="AN942" s="441"/>
      <c r="AO942" s="441"/>
      <c r="AP942" s="441"/>
      <c r="AQ942" s="441"/>
      <c r="AR942" s="441"/>
      <c r="AS942" s="441"/>
      <c r="AT942" s="441"/>
      <c r="AU942" s="441"/>
      <c r="AV942" s="441"/>
      <c r="AW942" s="441"/>
      <c r="AX942" s="441"/>
      <c r="AY942" s="441"/>
      <c r="AZ942" s="441"/>
      <c r="BA942" s="441"/>
      <c r="BB942" s="441"/>
      <c r="BC942" s="441"/>
      <c r="BD942" s="441"/>
      <c r="BE942" s="441"/>
      <c r="BF942" s="441"/>
    </row>
    <row r="943">
      <c r="A943" s="798"/>
      <c r="B943" s="795"/>
      <c r="C943" s="795"/>
      <c r="D943" s="795"/>
      <c r="E943" s="795"/>
      <c r="F943" s="795"/>
      <c r="G943" s="795"/>
      <c r="H943" s="795"/>
      <c r="I943" s="796"/>
      <c r="J943" s="441"/>
      <c r="K943" s="441"/>
      <c r="L943" s="797"/>
      <c r="M943" s="441"/>
      <c r="N943" s="441"/>
      <c r="O943" s="441"/>
      <c r="P943" s="441"/>
      <c r="Q943" s="441"/>
      <c r="R943" s="426"/>
      <c r="S943" s="441"/>
      <c r="T943" s="441"/>
      <c r="U943" s="441"/>
      <c r="V943" s="441"/>
      <c r="W943" s="441"/>
      <c r="X943" s="441"/>
      <c r="Y943" s="441"/>
      <c r="Z943" s="441"/>
      <c r="AA943" s="441"/>
      <c r="AB943" s="441"/>
      <c r="AC943" s="441"/>
      <c r="AD943" s="441"/>
      <c r="AE943" s="441"/>
      <c r="AF943" s="441"/>
      <c r="AG943" s="441"/>
      <c r="AH943" s="441"/>
      <c r="AI943" s="441"/>
      <c r="AJ943" s="441"/>
      <c r="AK943" s="441"/>
      <c r="AL943" s="441"/>
      <c r="AM943" s="441"/>
      <c r="AN943" s="441"/>
      <c r="AO943" s="441"/>
      <c r="AP943" s="441"/>
      <c r="AQ943" s="441"/>
      <c r="AR943" s="441"/>
      <c r="AS943" s="441"/>
      <c r="AT943" s="441"/>
      <c r="AU943" s="441"/>
      <c r="AV943" s="441"/>
      <c r="AW943" s="441"/>
      <c r="AX943" s="441"/>
      <c r="AY943" s="441"/>
      <c r="AZ943" s="441"/>
      <c r="BA943" s="441"/>
      <c r="BB943" s="441"/>
      <c r="BC943" s="441"/>
      <c r="BD943" s="441"/>
      <c r="BE943" s="441"/>
      <c r="BF943" s="441"/>
    </row>
    <row r="944">
      <c r="A944" s="798"/>
      <c r="B944" s="795"/>
      <c r="C944" s="795"/>
      <c r="D944" s="795"/>
      <c r="E944" s="795"/>
      <c r="F944" s="795"/>
      <c r="G944" s="795"/>
      <c r="H944" s="795"/>
      <c r="I944" s="796"/>
      <c r="J944" s="441"/>
      <c r="K944" s="441"/>
      <c r="L944" s="797"/>
      <c r="M944" s="441"/>
      <c r="N944" s="441"/>
      <c r="O944" s="441"/>
      <c r="P944" s="441"/>
      <c r="Q944" s="441"/>
      <c r="R944" s="426"/>
      <c r="S944" s="441"/>
      <c r="T944" s="441"/>
      <c r="U944" s="441"/>
      <c r="V944" s="441"/>
      <c r="W944" s="441"/>
      <c r="X944" s="441"/>
      <c r="Y944" s="441"/>
      <c r="Z944" s="441"/>
      <c r="AA944" s="441"/>
      <c r="AB944" s="441"/>
      <c r="AC944" s="441"/>
      <c r="AD944" s="441"/>
      <c r="AE944" s="441"/>
      <c r="AF944" s="441"/>
      <c r="AG944" s="441"/>
      <c r="AH944" s="441"/>
      <c r="AI944" s="441"/>
      <c r="AJ944" s="441"/>
      <c r="AK944" s="441"/>
      <c r="AL944" s="441"/>
      <c r="AM944" s="441"/>
      <c r="AN944" s="441"/>
      <c r="AO944" s="441"/>
      <c r="AP944" s="441"/>
      <c r="AQ944" s="441"/>
      <c r="AR944" s="441"/>
      <c r="AS944" s="441"/>
      <c r="AT944" s="441"/>
      <c r="AU944" s="441"/>
      <c r="AV944" s="441"/>
      <c r="AW944" s="441"/>
      <c r="AX944" s="441"/>
      <c r="AY944" s="441"/>
      <c r="AZ944" s="441"/>
      <c r="BA944" s="441"/>
      <c r="BB944" s="441"/>
      <c r="BC944" s="441"/>
      <c r="BD944" s="441"/>
      <c r="BE944" s="441"/>
      <c r="BF944" s="441"/>
    </row>
    <row r="945">
      <c r="A945" s="798"/>
      <c r="B945" s="795"/>
      <c r="C945" s="795"/>
      <c r="D945" s="795"/>
      <c r="E945" s="795"/>
      <c r="F945" s="795"/>
      <c r="G945" s="795"/>
      <c r="H945" s="795"/>
      <c r="I945" s="796"/>
      <c r="J945" s="441"/>
      <c r="K945" s="441"/>
      <c r="L945" s="797"/>
      <c r="M945" s="441"/>
      <c r="N945" s="441"/>
      <c r="O945" s="441"/>
      <c r="P945" s="441"/>
      <c r="Q945" s="441"/>
      <c r="R945" s="426"/>
      <c r="S945" s="441"/>
      <c r="T945" s="441"/>
      <c r="U945" s="441"/>
      <c r="V945" s="441"/>
      <c r="W945" s="441"/>
      <c r="X945" s="441"/>
      <c r="Y945" s="441"/>
      <c r="Z945" s="441"/>
      <c r="AA945" s="441"/>
      <c r="AB945" s="441"/>
      <c r="AC945" s="441"/>
      <c r="AD945" s="441"/>
      <c r="AE945" s="441"/>
      <c r="AF945" s="441"/>
      <c r="AG945" s="441"/>
      <c r="AH945" s="441"/>
      <c r="AI945" s="441"/>
      <c r="AJ945" s="441"/>
      <c r="AK945" s="441"/>
      <c r="AL945" s="441"/>
      <c r="AM945" s="441"/>
      <c r="AN945" s="441"/>
      <c r="AO945" s="441"/>
      <c r="AP945" s="441"/>
      <c r="AQ945" s="441"/>
      <c r="AR945" s="441"/>
      <c r="AS945" s="441"/>
      <c r="AT945" s="441"/>
      <c r="AU945" s="441"/>
      <c r="AV945" s="441"/>
      <c r="AW945" s="441"/>
      <c r="AX945" s="441"/>
      <c r="AY945" s="441"/>
      <c r="AZ945" s="441"/>
      <c r="BA945" s="441"/>
      <c r="BB945" s="441"/>
      <c r="BC945" s="441"/>
      <c r="BD945" s="441"/>
      <c r="BE945" s="441"/>
      <c r="BF945" s="441"/>
    </row>
    <row r="946">
      <c r="A946" s="798"/>
      <c r="B946" s="795"/>
      <c r="C946" s="795"/>
      <c r="D946" s="795"/>
      <c r="E946" s="795"/>
      <c r="F946" s="795"/>
      <c r="G946" s="795"/>
      <c r="H946" s="795"/>
      <c r="I946" s="796"/>
      <c r="J946" s="441"/>
      <c r="K946" s="441"/>
      <c r="L946" s="797"/>
      <c r="M946" s="441"/>
      <c r="N946" s="441"/>
      <c r="O946" s="441"/>
      <c r="P946" s="441"/>
      <c r="Q946" s="441"/>
      <c r="R946" s="426"/>
      <c r="S946" s="441"/>
      <c r="T946" s="441"/>
      <c r="U946" s="441"/>
      <c r="V946" s="441"/>
      <c r="W946" s="441"/>
      <c r="X946" s="441"/>
      <c r="Y946" s="441"/>
      <c r="Z946" s="441"/>
      <c r="AA946" s="441"/>
      <c r="AB946" s="441"/>
      <c r="AC946" s="441"/>
      <c r="AD946" s="441"/>
      <c r="AE946" s="441"/>
      <c r="AF946" s="441"/>
      <c r="AG946" s="441"/>
      <c r="AH946" s="441"/>
      <c r="AI946" s="441"/>
      <c r="AJ946" s="441"/>
      <c r="AK946" s="441"/>
      <c r="AL946" s="441"/>
      <c r="AM946" s="441"/>
      <c r="AN946" s="441"/>
      <c r="AO946" s="441"/>
      <c r="AP946" s="441"/>
      <c r="AQ946" s="441"/>
      <c r="AR946" s="441"/>
      <c r="AS946" s="441"/>
      <c r="AT946" s="441"/>
      <c r="AU946" s="441"/>
      <c r="AV946" s="441"/>
      <c r="AW946" s="441"/>
      <c r="AX946" s="441"/>
      <c r="AY946" s="441"/>
      <c r="AZ946" s="441"/>
      <c r="BA946" s="441"/>
      <c r="BB946" s="441"/>
      <c r="BC946" s="441"/>
      <c r="BD946" s="441"/>
      <c r="BE946" s="441"/>
      <c r="BF946" s="441"/>
    </row>
    <row r="947">
      <c r="A947" s="798"/>
      <c r="B947" s="795"/>
      <c r="C947" s="795"/>
      <c r="D947" s="795"/>
      <c r="E947" s="795"/>
      <c r="F947" s="795"/>
      <c r="G947" s="795"/>
      <c r="H947" s="795"/>
      <c r="I947" s="796"/>
      <c r="J947" s="441"/>
      <c r="K947" s="441"/>
      <c r="L947" s="797"/>
      <c r="M947" s="441"/>
      <c r="N947" s="441"/>
      <c r="O947" s="441"/>
      <c r="P947" s="441"/>
      <c r="Q947" s="441"/>
      <c r="R947" s="426"/>
      <c r="S947" s="441"/>
      <c r="T947" s="441"/>
      <c r="U947" s="441"/>
      <c r="V947" s="441"/>
      <c r="W947" s="441"/>
      <c r="X947" s="441"/>
      <c r="Y947" s="441"/>
      <c r="Z947" s="441"/>
      <c r="AA947" s="441"/>
      <c r="AB947" s="441"/>
      <c r="AC947" s="441"/>
      <c r="AD947" s="441"/>
      <c r="AE947" s="441"/>
      <c r="AF947" s="441"/>
      <c r="AG947" s="441"/>
      <c r="AH947" s="441"/>
      <c r="AI947" s="441"/>
      <c r="AJ947" s="441"/>
      <c r="AK947" s="441"/>
      <c r="AL947" s="441"/>
      <c r="AM947" s="441"/>
      <c r="AN947" s="441"/>
      <c r="AO947" s="441"/>
      <c r="AP947" s="441"/>
      <c r="AQ947" s="441"/>
      <c r="AR947" s="441"/>
      <c r="AS947" s="441"/>
      <c r="AT947" s="441"/>
      <c r="AU947" s="441"/>
      <c r="AV947" s="441"/>
      <c r="AW947" s="441"/>
      <c r="AX947" s="441"/>
      <c r="AY947" s="441"/>
      <c r="AZ947" s="441"/>
      <c r="BA947" s="441"/>
      <c r="BB947" s="441"/>
      <c r="BC947" s="441"/>
      <c r="BD947" s="441"/>
      <c r="BE947" s="441"/>
      <c r="BF947" s="441"/>
    </row>
    <row r="948">
      <c r="A948" s="798"/>
      <c r="B948" s="795"/>
      <c r="C948" s="795"/>
      <c r="D948" s="795"/>
      <c r="E948" s="795"/>
      <c r="F948" s="795"/>
      <c r="G948" s="795"/>
      <c r="H948" s="795"/>
      <c r="I948" s="796"/>
      <c r="J948" s="441"/>
      <c r="K948" s="441"/>
      <c r="L948" s="797"/>
      <c r="M948" s="441"/>
      <c r="N948" s="441"/>
      <c r="O948" s="441"/>
      <c r="P948" s="441"/>
      <c r="Q948" s="441"/>
      <c r="R948" s="426"/>
      <c r="S948" s="441"/>
      <c r="T948" s="441"/>
      <c r="U948" s="441"/>
      <c r="V948" s="441"/>
      <c r="W948" s="441"/>
      <c r="X948" s="441"/>
      <c r="Y948" s="441"/>
      <c r="Z948" s="441"/>
      <c r="AA948" s="441"/>
      <c r="AB948" s="441"/>
      <c r="AC948" s="441"/>
      <c r="AD948" s="441"/>
      <c r="AE948" s="441"/>
      <c r="AF948" s="441"/>
      <c r="AG948" s="441"/>
      <c r="AH948" s="441"/>
      <c r="AI948" s="441"/>
      <c r="AJ948" s="441"/>
      <c r="AK948" s="441"/>
      <c r="AL948" s="441"/>
      <c r="AM948" s="441"/>
      <c r="AN948" s="441"/>
      <c r="AO948" s="441"/>
      <c r="AP948" s="441"/>
      <c r="AQ948" s="441"/>
      <c r="AR948" s="441"/>
      <c r="AS948" s="441"/>
      <c r="AT948" s="441"/>
      <c r="AU948" s="441"/>
      <c r="AV948" s="441"/>
      <c r="AW948" s="441"/>
      <c r="AX948" s="441"/>
      <c r="AY948" s="441"/>
      <c r="AZ948" s="441"/>
      <c r="BA948" s="441"/>
      <c r="BB948" s="441"/>
      <c r="BC948" s="441"/>
      <c r="BD948" s="441"/>
      <c r="BE948" s="441"/>
      <c r="BF948" s="441"/>
    </row>
    <row r="949">
      <c r="A949" s="798"/>
      <c r="B949" s="795"/>
      <c r="C949" s="795"/>
      <c r="D949" s="795"/>
      <c r="E949" s="795"/>
      <c r="F949" s="795"/>
      <c r="G949" s="795"/>
      <c r="H949" s="795"/>
      <c r="I949" s="796"/>
      <c r="J949" s="441"/>
      <c r="K949" s="441"/>
      <c r="L949" s="797"/>
      <c r="M949" s="441"/>
      <c r="N949" s="441"/>
      <c r="O949" s="441"/>
      <c r="P949" s="441"/>
      <c r="Q949" s="441"/>
      <c r="R949" s="426"/>
      <c r="S949" s="441"/>
      <c r="T949" s="441"/>
      <c r="U949" s="441"/>
      <c r="V949" s="441"/>
      <c r="W949" s="441"/>
      <c r="X949" s="441"/>
      <c r="Y949" s="441"/>
      <c r="Z949" s="441"/>
      <c r="AA949" s="441"/>
      <c r="AB949" s="441"/>
      <c r="AC949" s="441"/>
      <c r="AD949" s="441"/>
      <c r="AE949" s="441"/>
      <c r="AF949" s="441"/>
      <c r="AG949" s="441"/>
      <c r="AH949" s="441"/>
      <c r="AI949" s="441"/>
      <c r="AJ949" s="441"/>
      <c r="AK949" s="441"/>
      <c r="AL949" s="441"/>
      <c r="AM949" s="441"/>
      <c r="AN949" s="441"/>
      <c r="AO949" s="441"/>
      <c r="AP949" s="441"/>
      <c r="AQ949" s="441"/>
      <c r="AR949" s="441"/>
      <c r="AS949" s="441"/>
      <c r="AT949" s="441"/>
      <c r="AU949" s="441"/>
      <c r="AV949" s="441"/>
      <c r="AW949" s="441"/>
      <c r="AX949" s="441"/>
      <c r="AY949" s="441"/>
      <c r="AZ949" s="441"/>
      <c r="BA949" s="441"/>
      <c r="BB949" s="441"/>
      <c r="BC949" s="441"/>
      <c r="BD949" s="441"/>
      <c r="BE949" s="441"/>
      <c r="BF949" s="441"/>
    </row>
    <row r="950">
      <c r="A950" s="798"/>
      <c r="B950" s="795"/>
      <c r="C950" s="795"/>
      <c r="D950" s="795"/>
      <c r="E950" s="795"/>
      <c r="F950" s="795"/>
      <c r="G950" s="795"/>
      <c r="H950" s="795"/>
      <c r="I950" s="796"/>
      <c r="J950" s="441"/>
      <c r="K950" s="441"/>
      <c r="L950" s="797"/>
      <c r="M950" s="441"/>
      <c r="N950" s="441"/>
      <c r="O950" s="441"/>
      <c r="P950" s="441"/>
      <c r="Q950" s="441"/>
      <c r="R950" s="426"/>
      <c r="S950" s="441"/>
      <c r="T950" s="441"/>
      <c r="U950" s="441"/>
      <c r="V950" s="441"/>
      <c r="W950" s="441"/>
      <c r="X950" s="441"/>
      <c r="Y950" s="441"/>
      <c r="Z950" s="441"/>
      <c r="AA950" s="441"/>
      <c r="AB950" s="441"/>
      <c r="AC950" s="441"/>
      <c r="AD950" s="441"/>
      <c r="AE950" s="441"/>
      <c r="AF950" s="441"/>
      <c r="AG950" s="441"/>
      <c r="AH950" s="441"/>
      <c r="AI950" s="441"/>
      <c r="AJ950" s="441"/>
      <c r="AK950" s="441"/>
      <c r="AL950" s="441"/>
      <c r="AM950" s="441"/>
      <c r="AN950" s="441"/>
      <c r="AO950" s="441"/>
      <c r="AP950" s="441"/>
      <c r="AQ950" s="441"/>
      <c r="AR950" s="441"/>
      <c r="AS950" s="441"/>
      <c r="AT950" s="441"/>
      <c r="AU950" s="441"/>
      <c r="AV950" s="441"/>
      <c r="AW950" s="441"/>
      <c r="AX950" s="441"/>
      <c r="AY950" s="441"/>
      <c r="AZ950" s="441"/>
      <c r="BA950" s="441"/>
      <c r="BB950" s="441"/>
      <c r="BC950" s="441"/>
      <c r="BD950" s="441"/>
      <c r="BE950" s="441"/>
      <c r="BF950" s="441"/>
    </row>
    <row r="951">
      <c r="A951" s="798"/>
      <c r="B951" s="795"/>
      <c r="C951" s="795"/>
      <c r="D951" s="795"/>
      <c r="E951" s="795"/>
      <c r="F951" s="795"/>
      <c r="G951" s="795"/>
      <c r="H951" s="795"/>
      <c r="I951" s="796"/>
      <c r="J951" s="441"/>
      <c r="K951" s="441"/>
      <c r="L951" s="797"/>
      <c r="M951" s="441"/>
      <c r="N951" s="441"/>
      <c r="O951" s="441"/>
      <c r="P951" s="441"/>
      <c r="Q951" s="441"/>
      <c r="R951" s="426"/>
      <c r="S951" s="441"/>
      <c r="T951" s="441"/>
      <c r="U951" s="441"/>
      <c r="V951" s="441"/>
      <c r="W951" s="441"/>
      <c r="X951" s="441"/>
      <c r="Y951" s="441"/>
      <c r="Z951" s="441"/>
      <c r="AA951" s="441"/>
      <c r="AB951" s="441"/>
      <c r="AC951" s="441"/>
      <c r="AD951" s="441"/>
      <c r="AE951" s="441"/>
      <c r="AF951" s="441"/>
      <c r="AG951" s="441"/>
      <c r="AH951" s="441"/>
      <c r="AI951" s="441"/>
      <c r="AJ951" s="441"/>
      <c r="AK951" s="441"/>
      <c r="AL951" s="441"/>
      <c r="AM951" s="441"/>
      <c r="AN951" s="441"/>
      <c r="AO951" s="441"/>
      <c r="AP951" s="441"/>
      <c r="AQ951" s="441"/>
      <c r="AR951" s="441"/>
      <c r="AS951" s="441"/>
      <c r="AT951" s="441"/>
      <c r="AU951" s="441"/>
      <c r="AV951" s="441"/>
      <c r="AW951" s="441"/>
      <c r="AX951" s="441"/>
      <c r="AY951" s="441"/>
      <c r="AZ951" s="441"/>
      <c r="BA951" s="441"/>
      <c r="BB951" s="441"/>
      <c r="BC951" s="441"/>
      <c r="BD951" s="441"/>
      <c r="BE951" s="441"/>
      <c r="BF951" s="441"/>
    </row>
    <row r="952">
      <c r="A952" s="798"/>
      <c r="B952" s="795"/>
      <c r="C952" s="795"/>
      <c r="D952" s="795"/>
      <c r="E952" s="795"/>
      <c r="F952" s="795"/>
      <c r="G952" s="795"/>
      <c r="H952" s="795"/>
      <c r="I952" s="796"/>
      <c r="J952" s="441"/>
      <c r="K952" s="441"/>
      <c r="L952" s="797"/>
      <c r="M952" s="441"/>
      <c r="N952" s="441"/>
      <c r="O952" s="441"/>
      <c r="P952" s="441"/>
      <c r="Q952" s="441"/>
      <c r="R952" s="426"/>
      <c r="S952" s="441"/>
      <c r="T952" s="441"/>
      <c r="U952" s="441"/>
      <c r="V952" s="441"/>
      <c r="W952" s="441"/>
      <c r="X952" s="441"/>
      <c r="Y952" s="441"/>
      <c r="Z952" s="441"/>
      <c r="AA952" s="441"/>
      <c r="AB952" s="441"/>
      <c r="AC952" s="441"/>
      <c r="AD952" s="441"/>
      <c r="AE952" s="441"/>
      <c r="AF952" s="441"/>
      <c r="AG952" s="441"/>
      <c r="AH952" s="441"/>
      <c r="AI952" s="441"/>
      <c r="AJ952" s="441"/>
      <c r="AK952" s="441"/>
      <c r="AL952" s="441"/>
      <c r="AM952" s="441"/>
      <c r="AN952" s="441"/>
      <c r="AO952" s="441"/>
      <c r="AP952" s="441"/>
      <c r="AQ952" s="441"/>
      <c r="AR952" s="441"/>
      <c r="AS952" s="441"/>
      <c r="AT952" s="441"/>
      <c r="AU952" s="441"/>
      <c r="AV952" s="441"/>
      <c r="AW952" s="441"/>
      <c r="AX952" s="441"/>
      <c r="AY952" s="441"/>
      <c r="AZ952" s="441"/>
      <c r="BA952" s="441"/>
      <c r="BB952" s="441"/>
      <c r="BC952" s="441"/>
      <c r="BD952" s="441"/>
      <c r="BE952" s="441"/>
      <c r="BF952" s="441"/>
    </row>
    <row r="953">
      <c r="A953" s="798"/>
      <c r="B953" s="795"/>
      <c r="C953" s="795"/>
      <c r="D953" s="795"/>
      <c r="E953" s="795"/>
      <c r="F953" s="795"/>
      <c r="G953" s="795"/>
      <c r="H953" s="795"/>
      <c r="I953" s="796"/>
      <c r="J953" s="441"/>
      <c r="K953" s="441"/>
      <c r="L953" s="797"/>
      <c r="M953" s="441"/>
      <c r="N953" s="441"/>
      <c r="O953" s="441"/>
      <c r="P953" s="441"/>
      <c r="Q953" s="441"/>
      <c r="R953" s="426"/>
      <c r="S953" s="441"/>
      <c r="T953" s="441"/>
      <c r="U953" s="441"/>
      <c r="V953" s="441"/>
      <c r="W953" s="441"/>
      <c r="X953" s="441"/>
      <c r="Y953" s="441"/>
      <c r="Z953" s="441"/>
      <c r="AA953" s="441"/>
      <c r="AB953" s="441"/>
      <c r="AC953" s="441"/>
      <c r="AD953" s="441"/>
      <c r="AE953" s="441"/>
      <c r="AF953" s="441"/>
      <c r="AG953" s="441"/>
      <c r="AH953" s="441"/>
      <c r="AI953" s="441"/>
      <c r="AJ953" s="441"/>
      <c r="AK953" s="441"/>
      <c r="AL953" s="441"/>
      <c r="AM953" s="441"/>
      <c r="AN953" s="441"/>
      <c r="AO953" s="441"/>
      <c r="AP953" s="441"/>
      <c r="AQ953" s="441"/>
      <c r="AR953" s="441"/>
      <c r="AS953" s="441"/>
      <c r="AT953" s="441"/>
      <c r="AU953" s="441"/>
      <c r="AV953" s="441"/>
      <c r="AW953" s="441"/>
      <c r="AX953" s="441"/>
      <c r="AY953" s="441"/>
      <c r="AZ953" s="441"/>
      <c r="BA953" s="441"/>
      <c r="BB953" s="441"/>
      <c r="BC953" s="441"/>
      <c r="BD953" s="441"/>
      <c r="BE953" s="441"/>
      <c r="BF953" s="441"/>
    </row>
    <row r="954">
      <c r="A954" s="798"/>
      <c r="B954" s="795"/>
      <c r="C954" s="795"/>
      <c r="D954" s="795"/>
      <c r="E954" s="795"/>
      <c r="F954" s="795"/>
      <c r="G954" s="795"/>
      <c r="H954" s="795"/>
      <c r="I954" s="796"/>
      <c r="J954" s="441"/>
      <c r="K954" s="441"/>
      <c r="L954" s="797"/>
      <c r="M954" s="441"/>
      <c r="N954" s="441"/>
      <c r="O954" s="441"/>
      <c r="P954" s="441"/>
      <c r="Q954" s="441"/>
      <c r="R954" s="426"/>
      <c r="S954" s="441"/>
      <c r="T954" s="441"/>
      <c r="U954" s="441"/>
      <c r="V954" s="441"/>
      <c r="W954" s="441"/>
      <c r="X954" s="441"/>
      <c r="Y954" s="441"/>
      <c r="Z954" s="441"/>
      <c r="AA954" s="441"/>
      <c r="AB954" s="441"/>
      <c r="AC954" s="441"/>
      <c r="AD954" s="441"/>
      <c r="AE954" s="441"/>
      <c r="AF954" s="441"/>
      <c r="AG954" s="441"/>
      <c r="AH954" s="441"/>
      <c r="AI954" s="441"/>
      <c r="AJ954" s="441"/>
      <c r="AK954" s="441"/>
      <c r="AL954" s="441"/>
      <c r="AM954" s="441"/>
      <c r="AN954" s="441"/>
      <c r="AO954" s="441"/>
      <c r="AP954" s="441"/>
      <c r="AQ954" s="441"/>
      <c r="AR954" s="441"/>
      <c r="AS954" s="441"/>
      <c r="AT954" s="441"/>
      <c r="AU954" s="441"/>
      <c r="AV954" s="441"/>
      <c r="AW954" s="441"/>
      <c r="AX954" s="441"/>
      <c r="AY954" s="441"/>
      <c r="AZ954" s="441"/>
      <c r="BA954" s="441"/>
      <c r="BB954" s="441"/>
      <c r="BC954" s="441"/>
      <c r="BD954" s="441"/>
      <c r="BE954" s="441"/>
      <c r="BF954" s="441"/>
    </row>
    <row r="955">
      <c r="A955" s="798"/>
      <c r="B955" s="795"/>
      <c r="C955" s="795"/>
      <c r="D955" s="795"/>
      <c r="E955" s="795"/>
      <c r="F955" s="795"/>
      <c r="G955" s="795"/>
      <c r="H955" s="795"/>
      <c r="I955" s="796"/>
      <c r="J955" s="441"/>
      <c r="K955" s="441"/>
      <c r="L955" s="797"/>
      <c r="M955" s="441"/>
      <c r="N955" s="441"/>
      <c r="O955" s="441"/>
      <c r="P955" s="441"/>
      <c r="Q955" s="441"/>
      <c r="R955" s="426"/>
      <c r="S955" s="441"/>
      <c r="T955" s="441"/>
      <c r="U955" s="441"/>
      <c r="V955" s="441"/>
      <c r="W955" s="441"/>
      <c r="X955" s="441"/>
      <c r="Y955" s="441"/>
      <c r="Z955" s="441"/>
      <c r="AA955" s="441"/>
      <c r="AB955" s="441"/>
      <c r="AC955" s="441"/>
      <c r="AD955" s="441"/>
      <c r="AE955" s="441"/>
      <c r="AF955" s="441"/>
      <c r="AG955" s="441"/>
      <c r="AH955" s="441"/>
      <c r="AI955" s="441"/>
      <c r="AJ955" s="441"/>
      <c r="AK955" s="441"/>
      <c r="AL955" s="441"/>
      <c r="AM955" s="441"/>
      <c r="AN955" s="441"/>
      <c r="AO955" s="441"/>
      <c r="AP955" s="441"/>
      <c r="AQ955" s="441"/>
      <c r="AR955" s="441"/>
      <c r="AS955" s="441"/>
      <c r="AT955" s="441"/>
      <c r="AU955" s="441"/>
      <c r="AV955" s="441"/>
      <c r="AW955" s="441"/>
      <c r="AX955" s="441"/>
      <c r="AY955" s="441"/>
      <c r="AZ955" s="441"/>
      <c r="BA955" s="441"/>
      <c r="BB955" s="441"/>
      <c r="BC955" s="441"/>
      <c r="BD955" s="441"/>
      <c r="BE955" s="441"/>
      <c r="BF955" s="441"/>
    </row>
    <row r="956">
      <c r="A956" s="798"/>
      <c r="B956" s="795"/>
      <c r="C956" s="795"/>
      <c r="D956" s="795"/>
      <c r="E956" s="795"/>
      <c r="F956" s="795"/>
      <c r="G956" s="795"/>
      <c r="H956" s="795"/>
      <c r="I956" s="796"/>
      <c r="J956" s="441"/>
      <c r="K956" s="441"/>
      <c r="L956" s="797"/>
      <c r="M956" s="441"/>
      <c r="N956" s="441"/>
      <c r="O956" s="441"/>
      <c r="P956" s="441"/>
      <c r="Q956" s="441"/>
      <c r="R956" s="426"/>
      <c r="S956" s="441"/>
      <c r="T956" s="441"/>
      <c r="U956" s="441"/>
      <c r="V956" s="441"/>
      <c r="W956" s="441"/>
      <c r="X956" s="441"/>
      <c r="Y956" s="441"/>
      <c r="Z956" s="441"/>
      <c r="AA956" s="441"/>
      <c r="AB956" s="441"/>
      <c r="AC956" s="441"/>
      <c r="AD956" s="441"/>
      <c r="AE956" s="441"/>
      <c r="AF956" s="441"/>
      <c r="AG956" s="441"/>
      <c r="AH956" s="441"/>
      <c r="AI956" s="441"/>
      <c r="AJ956" s="441"/>
      <c r="AK956" s="441"/>
      <c r="AL956" s="441"/>
      <c r="AM956" s="441"/>
      <c r="AN956" s="441"/>
      <c r="AO956" s="441"/>
      <c r="AP956" s="441"/>
      <c r="AQ956" s="441"/>
      <c r="AR956" s="441"/>
      <c r="AS956" s="441"/>
      <c r="AT956" s="441"/>
      <c r="AU956" s="441"/>
      <c r="AV956" s="441"/>
      <c r="AW956" s="441"/>
      <c r="AX956" s="441"/>
      <c r="AY956" s="441"/>
      <c r="AZ956" s="441"/>
      <c r="BA956" s="441"/>
      <c r="BB956" s="441"/>
      <c r="BC956" s="441"/>
      <c r="BD956" s="441"/>
      <c r="BE956" s="441"/>
      <c r="BF956" s="441"/>
    </row>
    <row r="957">
      <c r="A957" s="798"/>
      <c r="B957" s="795"/>
      <c r="C957" s="795"/>
      <c r="D957" s="795"/>
      <c r="E957" s="795"/>
      <c r="F957" s="795"/>
      <c r="G957" s="795"/>
      <c r="H957" s="795"/>
      <c r="I957" s="796"/>
      <c r="J957" s="441"/>
      <c r="K957" s="441"/>
      <c r="L957" s="797"/>
      <c r="M957" s="441"/>
      <c r="N957" s="441"/>
      <c r="O957" s="441"/>
      <c r="P957" s="441"/>
      <c r="Q957" s="441"/>
      <c r="R957" s="426"/>
      <c r="S957" s="441"/>
      <c r="T957" s="441"/>
      <c r="U957" s="441"/>
      <c r="V957" s="441"/>
      <c r="W957" s="441"/>
      <c r="X957" s="441"/>
      <c r="Y957" s="441"/>
      <c r="Z957" s="441"/>
      <c r="AA957" s="441"/>
      <c r="AB957" s="441"/>
      <c r="AC957" s="441"/>
      <c r="AD957" s="441"/>
      <c r="AE957" s="441"/>
      <c r="AF957" s="441"/>
      <c r="AG957" s="441"/>
      <c r="AH957" s="441"/>
      <c r="AI957" s="441"/>
      <c r="AJ957" s="441"/>
      <c r="AK957" s="441"/>
      <c r="AL957" s="441"/>
      <c r="AM957" s="441"/>
      <c r="AN957" s="441"/>
      <c r="AO957" s="441"/>
      <c r="AP957" s="441"/>
      <c r="AQ957" s="441"/>
      <c r="AR957" s="441"/>
      <c r="AS957" s="441"/>
      <c r="AT957" s="441"/>
      <c r="AU957" s="441"/>
      <c r="AV957" s="441"/>
      <c r="AW957" s="441"/>
      <c r="AX957" s="441"/>
      <c r="AY957" s="441"/>
      <c r="AZ957" s="441"/>
      <c r="BA957" s="441"/>
      <c r="BB957" s="441"/>
      <c r="BC957" s="441"/>
      <c r="BD957" s="441"/>
      <c r="BE957" s="441"/>
      <c r="BF957" s="441"/>
    </row>
    <row r="958">
      <c r="A958" s="798"/>
      <c r="B958" s="795"/>
      <c r="C958" s="795"/>
      <c r="D958" s="795"/>
      <c r="E958" s="795"/>
      <c r="F958" s="795"/>
      <c r="G958" s="795"/>
      <c r="H958" s="795"/>
      <c r="I958" s="796"/>
      <c r="J958" s="441"/>
      <c r="K958" s="441"/>
      <c r="L958" s="797"/>
      <c r="M958" s="441"/>
      <c r="N958" s="441"/>
      <c r="O958" s="441"/>
      <c r="P958" s="441"/>
      <c r="Q958" s="441"/>
      <c r="R958" s="426"/>
      <c r="S958" s="441"/>
      <c r="T958" s="441"/>
      <c r="U958" s="441"/>
      <c r="V958" s="441"/>
      <c r="W958" s="441"/>
      <c r="X958" s="441"/>
      <c r="Y958" s="441"/>
      <c r="Z958" s="441"/>
      <c r="AA958" s="441"/>
      <c r="AB958" s="441"/>
      <c r="AC958" s="441"/>
      <c r="AD958" s="441"/>
      <c r="AE958" s="441"/>
      <c r="AF958" s="441"/>
      <c r="AG958" s="441"/>
      <c r="AH958" s="441"/>
      <c r="AI958" s="441"/>
      <c r="AJ958" s="441"/>
      <c r="AK958" s="441"/>
      <c r="AL958" s="441"/>
      <c r="AM958" s="441"/>
      <c r="AN958" s="441"/>
      <c r="AO958" s="441"/>
      <c r="AP958" s="441"/>
      <c r="AQ958" s="441"/>
      <c r="AR958" s="441"/>
      <c r="AS958" s="441"/>
      <c r="AT958" s="441"/>
      <c r="AU958" s="441"/>
      <c r="AV958" s="441"/>
      <c r="AW958" s="441"/>
      <c r="AX958" s="441"/>
      <c r="AY958" s="441"/>
      <c r="AZ958" s="441"/>
      <c r="BA958" s="441"/>
      <c r="BB958" s="441"/>
      <c r="BC958" s="441"/>
      <c r="BD958" s="441"/>
      <c r="BE958" s="441"/>
      <c r="BF958" s="441"/>
    </row>
    <row r="959">
      <c r="A959" s="798"/>
      <c r="B959" s="795"/>
      <c r="C959" s="795"/>
      <c r="D959" s="795"/>
      <c r="E959" s="795"/>
      <c r="F959" s="795"/>
      <c r="G959" s="795"/>
      <c r="H959" s="795"/>
      <c r="I959" s="796"/>
      <c r="J959" s="441"/>
      <c r="K959" s="441"/>
      <c r="L959" s="797"/>
      <c r="M959" s="441"/>
      <c r="N959" s="441"/>
      <c r="O959" s="441"/>
      <c r="P959" s="441"/>
      <c r="Q959" s="441"/>
      <c r="R959" s="426"/>
      <c r="S959" s="441"/>
      <c r="T959" s="441"/>
      <c r="U959" s="441"/>
      <c r="V959" s="441"/>
      <c r="W959" s="441"/>
      <c r="X959" s="441"/>
      <c r="Y959" s="441"/>
      <c r="Z959" s="441"/>
      <c r="AA959" s="441"/>
      <c r="AB959" s="441"/>
      <c r="AC959" s="441"/>
      <c r="AD959" s="441"/>
      <c r="AE959" s="441"/>
      <c r="AF959" s="441"/>
      <c r="AG959" s="441"/>
      <c r="AH959" s="441"/>
      <c r="AI959" s="441"/>
      <c r="AJ959" s="441"/>
      <c r="AK959" s="441"/>
      <c r="AL959" s="441"/>
      <c r="AM959" s="441"/>
      <c r="AN959" s="441"/>
      <c r="AO959" s="441"/>
      <c r="AP959" s="441"/>
      <c r="AQ959" s="441"/>
      <c r="AR959" s="441"/>
      <c r="AS959" s="441"/>
      <c r="AT959" s="441"/>
      <c r="AU959" s="441"/>
      <c r="AV959" s="441"/>
      <c r="AW959" s="441"/>
      <c r="AX959" s="441"/>
      <c r="AY959" s="441"/>
      <c r="AZ959" s="441"/>
      <c r="BA959" s="441"/>
      <c r="BB959" s="441"/>
      <c r="BC959" s="441"/>
      <c r="BD959" s="441"/>
      <c r="BE959" s="441"/>
      <c r="BF959" s="441"/>
    </row>
    <row r="960">
      <c r="A960" s="798"/>
      <c r="B960" s="795"/>
      <c r="C960" s="795"/>
      <c r="D960" s="795"/>
      <c r="E960" s="795"/>
      <c r="F960" s="795"/>
      <c r="G960" s="795"/>
      <c r="H960" s="795"/>
      <c r="I960" s="796"/>
      <c r="J960" s="441"/>
      <c r="K960" s="441"/>
      <c r="L960" s="797"/>
      <c r="M960" s="441"/>
      <c r="N960" s="441"/>
      <c r="O960" s="441"/>
      <c r="P960" s="441"/>
      <c r="Q960" s="441"/>
      <c r="R960" s="426"/>
      <c r="S960" s="441"/>
      <c r="T960" s="441"/>
      <c r="U960" s="441"/>
      <c r="V960" s="441"/>
      <c r="W960" s="441"/>
      <c r="X960" s="441"/>
      <c r="Y960" s="441"/>
      <c r="Z960" s="441"/>
      <c r="AA960" s="441"/>
      <c r="AB960" s="441"/>
      <c r="AC960" s="441"/>
      <c r="AD960" s="441"/>
      <c r="AE960" s="441"/>
      <c r="AF960" s="441"/>
      <c r="AG960" s="441"/>
      <c r="AH960" s="441"/>
      <c r="AI960" s="441"/>
      <c r="AJ960" s="441"/>
      <c r="AK960" s="441"/>
      <c r="AL960" s="441"/>
      <c r="AM960" s="441"/>
      <c r="AN960" s="441"/>
      <c r="AO960" s="441"/>
      <c r="AP960" s="441"/>
      <c r="AQ960" s="441"/>
      <c r="AR960" s="441"/>
      <c r="AS960" s="441"/>
      <c r="AT960" s="441"/>
      <c r="AU960" s="441"/>
      <c r="AV960" s="441"/>
      <c r="AW960" s="441"/>
      <c r="AX960" s="441"/>
      <c r="AY960" s="441"/>
      <c r="AZ960" s="441"/>
      <c r="BA960" s="441"/>
      <c r="BB960" s="441"/>
      <c r="BC960" s="441"/>
      <c r="BD960" s="441"/>
      <c r="BE960" s="441"/>
      <c r="BF960" s="441"/>
    </row>
    <row r="961">
      <c r="A961" s="798"/>
      <c r="B961" s="795"/>
      <c r="C961" s="795"/>
      <c r="D961" s="795"/>
      <c r="E961" s="795"/>
      <c r="F961" s="795"/>
      <c r="G961" s="795"/>
      <c r="H961" s="795"/>
      <c r="I961" s="796"/>
      <c r="J961" s="441"/>
      <c r="K961" s="441"/>
      <c r="L961" s="797"/>
      <c r="M961" s="441"/>
      <c r="N961" s="441"/>
      <c r="O961" s="441"/>
      <c r="P961" s="441"/>
      <c r="Q961" s="441"/>
      <c r="R961" s="426"/>
      <c r="S961" s="441"/>
      <c r="T961" s="441"/>
      <c r="U961" s="441"/>
      <c r="V961" s="441"/>
      <c r="W961" s="441"/>
      <c r="X961" s="441"/>
      <c r="Y961" s="441"/>
      <c r="Z961" s="441"/>
      <c r="AA961" s="441"/>
      <c r="AB961" s="441"/>
      <c r="AC961" s="441"/>
      <c r="AD961" s="441"/>
      <c r="AE961" s="441"/>
      <c r="AF961" s="441"/>
      <c r="AG961" s="441"/>
      <c r="AH961" s="441"/>
      <c r="AI961" s="441"/>
      <c r="AJ961" s="441"/>
      <c r="AK961" s="441"/>
      <c r="AL961" s="441"/>
      <c r="AM961" s="441"/>
      <c r="AN961" s="441"/>
      <c r="AO961" s="441"/>
      <c r="AP961" s="441"/>
      <c r="AQ961" s="441"/>
      <c r="AR961" s="441"/>
      <c r="AS961" s="441"/>
      <c r="AT961" s="441"/>
      <c r="AU961" s="441"/>
      <c r="AV961" s="441"/>
      <c r="AW961" s="441"/>
      <c r="AX961" s="441"/>
      <c r="AY961" s="441"/>
      <c r="AZ961" s="441"/>
      <c r="BA961" s="441"/>
      <c r="BB961" s="441"/>
      <c r="BC961" s="441"/>
      <c r="BD961" s="441"/>
      <c r="BE961" s="441"/>
      <c r="BF961" s="441"/>
    </row>
    <row r="962">
      <c r="A962" s="798"/>
      <c r="B962" s="795"/>
      <c r="C962" s="795"/>
      <c r="D962" s="795"/>
      <c r="E962" s="795"/>
      <c r="F962" s="795"/>
      <c r="G962" s="795"/>
      <c r="H962" s="795"/>
      <c r="I962" s="796"/>
      <c r="J962" s="441"/>
      <c r="K962" s="441"/>
      <c r="L962" s="797"/>
      <c r="M962" s="441"/>
      <c r="N962" s="441"/>
      <c r="O962" s="441"/>
      <c r="P962" s="441"/>
      <c r="Q962" s="441"/>
      <c r="R962" s="426"/>
      <c r="S962" s="441"/>
      <c r="T962" s="441"/>
      <c r="U962" s="441"/>
      <c r="V962" s="441"/>
      <c r="W962" s="441"/>
      <c r="X962" s="441"/>
      <c r="Y962" s="441"/>
      <c r="Z962" s="441"/>
      <c r="AA962" s="441"/>
      <c r="AB962" s="441"/>
      <c r="AC962" s="441"/>
      <c r="AD962" s="441"/>
      <c r="AE962" s="441"/>
      <c r="AF962" s="441"/>
      <c r="AG962" s="441"/>
      <c r="AH962" s="441"/>
      <c r="AI962" s="441"/>
      <c r="AJ962" s="441"/>
      <c r="AK962" s="441"/>
      <c r="AL962" s="441"/>
      <c r="AM962" s="441"/>
      <c r="AN962" s="441"/>
      <c r="AO962" s="441"/>
      <c r="AP962" s="441"/>
      <c r="AQ962" s="441"/>
      <c r="AR962" s="441"/>
      <c r="AS962" s="441"/>
      <c r="AT962" s="441"/>
      <c r="AU962" s="441"/>
      <c r="AV962" s="441"/>
      <c r="AW962" s="441"/>
      <c r="AX962" s="441"/>
      <c r="AY962" s="441"/>
      <c r="AZ962" s="441"/>
      <c r="BA962" s="441"/>
      <c r="BB962" s="441"/>
      <c r="BC962" s="441"/>
      <c r="BD962" s="441"/>
      <c r="BE962" s="441"/>
      <c r="BF962" s="441"/>
    </row>
    <row r="963">
      <c r="A963" s="798"/>
      <c r="B963" s="795"/>
      <c r="C963" s="795"/>
      <c r="D963" s="795"/>
      <c r="E963" s="795"/>
      <c r="F963" s="795"/>
      <c r="G963" s="795"/>
      <c r="H963" s="795"/>
      <c r="I963" s="796"/>
      <c r="J963" s="441"/>
      <c r="K963" s="441"/>
      <c r="L963" s="797"/>
      <c r="M963" s="441"/>
      <c r="N963" s="441"/>
      <c r="O963" s="441"/>
      <c r="P963" s="441"/>
      <c r="Q963" s="441"/>
      <c r="R963" s="426"/>
      <c r="S963" s="441"/>
      <c r="T963" s="441"/>
      <c r="U963" s="441"/>
      <c r="V963" s="441"/>
      <c r="W963" s="441"/>
      <c r="X963" s="441"/>
      <c r="Y963" s="441"/>
      <c r="Z963" s="441"/>
      <c r="AA963" s="441"/>
      <c r="AB963" s="441"/>
      <c r="AC963" s="441"/>
      <c r="AD963" s="441"/>
      <c r="AE963" s="441"/>
      <c r="AF963" s="441"/>
      <c r="AG963" s="441"/>
      <c r="AH963" s="441"/>
      <c r="AI963" s="441"/>
      <c r="AJ963" s="441"/>
      <c r="AK963" s="441"/>
      <c r="AL963" s="441"/>
      <c r="AM963" s="441"/>
      <c r="AN963" s="441"/>
      <c r="AO963" s="441"/>
      <c r="AP963" s="441"/>
      <c r="AQ963" s="441"/>
      <c r="AR963" s="441"/>
      <c r="AS963" s="441"/>
      <c r="AT963" s="441"/>
      <c r="AU963" s="441"/>
      <c r="AV963" s="441"/>
      <c r="AW963" s="441"/>
      <c r="AX963" s="441"/>
      <c r="AY963" s="441"/>
      <c r="AZ963" s="441"/>
      <c r="BA963" s="441"/>
      <c r="BB963" s="441"/>
      <c r="BC963" s="441"/>
      <c r="BD963" s="441"/>
      <c r="BE963" s="441"/>
      <c r="BF963" s="441"/>
    </row>
    <row r="964">
      <c r="A964" s="798"/>
      <c r="B964" s="795"/>
      <c r="C964" s="795"/>
      <c r="D964" s="795"/>
      <c r="E964" s="795"/>
      <c r="F964" s="795"/>
      <c r="G964" s="795"/>
      <c r="H964" s="795"/>
      <c r="I964" s="796"/>
      <c r="J964" s="441"/>
      <c r="K964" s="441"/>
      <c r="L964" s="797"/>
      <c r="M964" s="441"/>
      <c r="N964" s="441"/>
      <c r="O964" s="441"/>
      <c r="P964" s="441"/>
      <c r="Q964" s="441"/>
      <c r="R964" s="426"/>
      <c r="S964" s="441"/>
      <c r="T964" s="441"/>
      <c r="U964" s="441"/>
      <c r="V964" s="441"/>
      <c r="W964" s="441"/>
      <c r="X964" s="441"/>
      <c r="Y964" s="441"/>
      <c r="Z964" s="441"/>
      <c r="AA964" s="441"/>
      <c r="AB964" s="441"/>
      <c r="AC964" s="441"/>
      <c r="AD964" s="441"/>
      <c r="AE964" s="441"/>
      <c r="AF964" s="441"/>
      <c r="AG964" s="441"/>
      <c r="AH964" s="441"/>
      <c r="AI964" s="441"/>
      <c r="AJ964" s="441"/>
      <c r="AK964" s="441"/>
      <c r="AL964" s="441"/>
      <c r="AM964" s="441"/>
      <c r="AN964" s="441"/>
      <c r="AO964" s="441"/>
      <c r="AP964" s="441"/>
      <c r="AQ964" s="441"/>
      <c r="AR964" s="441"/>
      <c r="AS964" s="441"/>
      <c r="AT964" s="441"/>
      <c r="AU964" s="441"/>
      <c r="AV964" s="441"/>
      <c r="AW964" s="441"/>
      <c r="AX964" s="441"/>
      <c r="AY964" s="441"/>
      <c r="AZ964" s="441"/>
      <c r="BA964" s="441"/>
      <c r="BB964" s="441"/>
      <c r="BC964" s="441"/>
      <c r="BD964" s="441"/>
      <c r="BE964" s="441"/>
      <c r="BF964" s="441"/>
    </row>
    <row r="965">
      <c r="A965" s="798"/>
      <c r="B965" s="795"/>
      <c r="C965" s="795"/>
      <c r="D965" s="795"/>
      <c r="E965" s="795"/>
      <c r="F965" s="795"/>
      <c r="G965" s="795"/>
      <c r="H965" s="795"/>
      <c r="I965" s="796"/>
      <c r="J965" s="441"/>
      <c r="K965" s="441"/>
      <c r="L965" s="797"/>
      <c r="M965" s="441"/>
      <c r="N965" s="441"/>
      <c r="O965" s="441"/>
      <c r="P965" s="441"/>
      <c r="Q965" s="441"/>
      <c r="R965" s="426"/>
      <c r="S965" s="441"/>
      <c r="T965" s="441"/>
      <c r="U965" s="441"/>
      <c r="V965" s="441"/>
      <c r="W965" s="441"/>
      <c r="X965" s="441"/>
      <c r="Y965" s="441"/>
      <c r="Z965" s="441"/>
      <c r="AA965" s="441"/>
      <c r="AB965" s="441"/>
      <c r="AC965" s="441"/>
      <c r="AD965" s="441"/>
      <c r="AE965" s="441"/>
      <c r="AF965" s="441"/>
      <c r="AG965" s="441"/>
      <c r="AH965" s="441"/>
      <c r="AI965" s="441"/>
      <c r="AJ965" s="441"/>
      <c r="AK965" s="441"/>
      <c r="AL965" s="441"/>
      <c r="AM965" s="441"/>
      <c r="AN965" s="441"/>
      <c r="AO965" s="441"/>
      <c r="AP965" s="441"/>
      <c r="AQ965" s="441"/>
      <c r="AR965" s="441"/>
      <c r="AS965" s="441"/>
      <c r="AT965" s="441"/>
      <c r="AU965" s="441"/>
      <c r="AV965" s="441"/>
      <c r="AW965" s="441"/>
      <c r="AX965" s="441"/>
      <c r="AY965" s="441"/>
      <c r="AZ965" s="441"/>
      <c r="BA965" s="441"/>
      <c r="BB965" s="441"/>
      <c r="BC965" s="441"/>
      <c r="BD965" s="441"/>
      <c r="BE965" s="441"/>
      <c r="BF965" s="441"/>
    </row>
    <row r="966">
      <c r="A966" s="798"/>
      <c r="B966" s="795"/>
      <c r="C966" s="795"/>
      <c r="D966" s="795"/>
      <c r="E966" s="795"/>
      <c r="F966" s="795"/>
      <c r="G966" s="795"/>
      <c r="H966" s="795"/>
      <c r="I966" s="796"/>
      <c r="J966" s="441"/>
      <c r="K966" s="441"/>
      <c r="L966" s="797"/>
      <c r="M966" s="441"/>
      <c r="N966" s="441"/>
      <c r="O966" s="441"/>
      <c r="P966" s="441"/>
      <c r="Q966" s="441"/>
      <c r="R966" s="426"/>
      <c r="S966" s="441"/>
      <c r="T966" s="441"/>
      <c r="U966" s="441"/>
      <c r="V966" s="441"/>
      <c r="W966" s="441"/>
      <c r="X966" s="441"/>
      <c r="Y966" s="441"/>
      <c r="Z966" s="441"/>
      <c r="AA966" s="441"/>
      <c r="AB966" s="441"/>
      <c r="AC966" s="441"/>
      <c r="AD966" s="441"/>
      <c r="AE966" s="441"/>
      <c r="AF966" s="441"/>
      <c r="AG966" s="441"/>
      <c r="AH966" s="441"/>
      <c r="AI966" s="441"/>
      <c r="AJ966" s="441"/>
      <c r="AK966" s="441"/>
      <c r="AL966" s="441"/>
      <c r="AM966" s="441"/>
      <c r="AN966" s="441"/>
      <c r="AO966" s="441"/>
      <c r="AP966" s="441"/>
      <c r="AQ966" s="441"/>
      <c r="AR966" s="441"/>
      <c r="AS966" s="441"/>
      <c r="AT966" s="441"/>
      <c r="AU966" s="441"/>
      <c r="AV966" s="441"/>
      <c r="AW966" s="441"/>
      <c r="AX966" s="441"/>
      <c r="AY966" s="441"/>
      <c r="AZ966" s="441"/>
      <c r="BA966" s="441"/>
      <c r="BB966" s="441"/>
      <c r="BC966" s="441"/>
      <c r="BD966" s="441"/>
      <c r="BE966" s="441"/>
      <c r="BF966" s="441"/>
    </row>
    <row r="967">
      <c r="A967" s="798"/>
      <c r="B967" s="795"/>
      <c r="C967" s="795"/>
      <c r="D967" s="795"/>
      <c r="E967" s="795"/>
      <c r="F967" s="795"/>
      <c r="G967" s="795"/>
      <c r="H967" s="795"/>
      <c r="I967" s="796"/>
      <c r="J967" s="441"/>
      <c r="K967" s="441"/>
      <c r="L967" s="797"/>
      <c r="M967" s="441"/>
      <c r="N967" s="441"/>
      <c r="O967" s="441"/>
      <c r="P967" s="441"/>
      <c r="Q967" s="441"/>
      <c r="R967" s="426"/>
      <c r="S967" s="441"/>
      <c r="T967" s="441"/>
      <c r="U967" s="441"/>
      <c r="V967" s="441"/>
      <c r="W967" s="441"/>
      <c r="X967" s="441"/>
      <c r="Y967" s="441"/>
      <c r="Z967" s="441"/>
      <c r="AA967" s="441"/>
      <c r="AB967" s="441"/>
      <c r="AC967" s="441"/>
      <c r="AD967" s="441"/>
      <c r="AE967" s="441"/>
      <c r="AF967" s="441"/>
      <c r="AG967" s="441"/>
      <c r="AH967" s="441"/>
      <c r="AI967" s="441"/>
      <c r="AJ967" s="441"/>
      <c r="AK967" s="441"/>
      <c r="AL967" s="441"/>
      <c r="AM967" s="441"/>
      <c r="AN967" s="441"/>
      <c r="AO967" s="441"/>
      <c r="AP967" s="441"/>
      <c r="AQ967" s="441"/>
      <c r="AR967" s="441"/>
      <c r="AS967" s="441"/>
      <c r="AT967" s="441"/>
      <c r="AU967" s="441"/>
      <c r="AV967" s="441"/>
      <c r="AW967" s="441"/>
      <c r="AX967" s="441"/>
      <c r="AY967" s="441"/>
      <c r="AZ967" s="441"/>
      <c r="BA967" s="441"/>
      <c r="BB967" s="441"/>
      <c r="BC967" s="441"/>
      <c r="BD967" s="441"/>
      <c r="BE967" s="441"/>
      <c r="BF967" s="441"/>
    </row>
    <row r="968">
      <c r="A968" s="798"/>
      <c r="B968" s="795"/>
      <c r="C968" s="795"/>
      <c r="D968" s="795"/>
      <c r="E968" s="795"/>
      <c r="F968" s="795"/>
      <c r="G968" s="795"/>
      <c r="H968" s="795"/>
      <c r="I968" s="796"/>
      <c r="J968" s="441"/>
      <c r="K968" s="441"/>
      <c r="L968" s="797"/>
      <c r="M968" s="441"/>
      <c r="N968" s="441"/>
      <c r="O968" s="441"/>
      <c r="P968" s="441"/>
      <c r="Q968" s="441"/>
      <c r="R968" s="426"/>
      <c r="S968" s="441"/>
      <c r="T968" s="441"/>
      <c r="U968" s="441"/>
      <c r="V968" s="441"/>
      <c r="W968" s="441"/>
      <c r="X968" s="441"/>
      <c r="Y968" s="441"/>
      <c r="Z968" s="441"/>
      <c r="AA968" s="441"/>
      <c r="AB968" s="441"/>
      <c r="AC968" s="441"/>
      <c r="AD968" s="441"/>
      <c r="AE968" s="441"/>
      <c r="AF968" s="441"/>
      <c r="AG968" s="441"/>
      <c r="AH968" s="441"/>
      <c r="AI968" s="441"/>
      <c r="AJ968" s="441"/>
      <c r="AK968" s="441"/>
      <c r="AL968" s="441"/>
      <c r="AM968" s="441"/>
      <c r="AN968" s="441"/>
      <c r="AO968" s="441"/>
      <c r="AP968" s="441"/>
      <c r="AQ968" s="441"/>
      <c r="AR968" s="441"/>
      <c r="AS968" s="441"/>
      <c r="AT968" s="441"/>
      <c r="AU968" s="441"/>
      <c r="AV968" s="441"/>
      <c r="AW968" s="441"/>
      <c r="AX968" s="441"/>
      <c r="AY968" s="441"/>
      <c r="AZ968" s="441"/>
      <c r="BA968" s="441"/>
      <c r="BB968" s="441"/>
      <c r="BC968" s="441"/>
      <c r="BD968" s="441"/>
      <c r="BE968" s="441"/>
      <c r="BF968" s="441"/>
    </row>
    <row r="969">
      <c r="A969" s="798"/>
      <c r="B969" s="795"/>
      <c r="C969" s="795"/>
      <c r="D969" s="795"/>
      <c r="E969" s="795"/>
      <c r="F969" s="795"/>
      <c r="G969" s="795"/>
      <c r="H969" s="795"/>
      <c r="I969" s="796"/>
      <c r="J969" s="441"/>
      <c r="K969" s="441"/>
      <c r="L969" s="797"/>
      <c r="M969" s="441"/>
      <c r="N969" s="441"/>
      <c r="O969" s="441"/>
      <c r="P969" s="441"/>
      <c r="Q969" s="441"/>
      <c r="R969" s="426"/>
      <c r="S969" s="441"/>
      <c r="T969" s="441"/>
      <c r="U969" s="441"/>
      <c r="V969" s="441"/>
      <c r="W969" s="441"/>
      <c r="X969" s="441"/>
      <c r="Y969" s="441"/>
      <c r="Z969" s="441"/>
      <c r="AA969" s="441"/>
      <c r="AB969" s="441"/>
      <c r="AC969" s="441"/>
      <c r="AD969" s="441"/>
      <c r="AE969" s="441"/>
      <c r="AF969" s="441"/>
      <c r="AG969" s="441"/>
      <c r="AH969" s="441"/>
      <c r="AI969" s="441"/>
      <c r="AJ969" s="441"/>
      <c r="AK969" s="441"/>
      <c r="AL969" s="441"/>
      <c r="AM969" s="441"/>
      <c r="AN969" s="441"/>
      <c r="AO969" s="441"/>
      <c r="AP969" s="441"/>
      <c r="AQ969" s="441"/>
      <c r="AR969" s="441"/>
      <c r="AS969" s="441"/>
      <c r="AT969" s="441"/>
      <c r="AU969" s="441"/>
      <c r="AV969" s="441"/>
      <c r="AW969" s="441"/>
      <c r="AX969" s="441"/>
      <c r="AY969" s="441"/>
      <c r="AZ969" s="441"/>
      <c r="BA969" s="441"/>
      <c r="BB969" s="441"/>
      <c r="BC969" s="441"/>
      <c r="BD969" s="441"/>
      <c r="BE969" s="441"/>
      <c r="BF969" s="441"/>
    </row>
    <row r="970">
      <c r="A970" s="798"/>
      <c r="B970" s="795"/>
      <c r="C970" s="795"/>
      <c r="D970" s="795"/>
      <c r="E970" s="795"/>
      <c r="F970" s="795"/>
      <c r="G970" s="795"/>
      <c r="H970" s="795"/>
      <c r="I970" s="796"/>
      <c r="J970" s="441"/>
      <c r="K970" s="441"/>
      <c r="L970" s="797"/>
      <c r="M970" s="441"/>
      <c r="N970" s="441"/>
      <c r="O970" s="441"/>
      <c r="P970" s="441"/>
      <c r="Q970" s="441"/>
      <c r="R970" s="426"/>
      <c r="S970" s="441"/>
      <c r="T970" s="441"/>
      <c r="U970" s="441"/>
      <c r="V970" s="441"/>
      <c r="W970" s="441"/>
      <c r="X970" s="441"/>
      <c r="Y970" s="441"/>
      <c r="Z970" s="441"/>
      <c r="AA970" s="441"/>
      <c r="AB970" s="441"/>
      <c r="AC970" s="441"/>
      <c r="AD970" s="441"/>
      <c r="AE970" s="441"/>
      <c r="AF970" s="441"/>
      <c r="AG970" s="441"/>
      <c r="AH970" s="441"/>
      <c r="AI970" s="441"/>
      <c r="AJ970" s="441"/>
      <c r="AK970" s="441"/>
      <c r="AL970" s="441"/>
      <c r="AM970" s="441"/>
      <c r="AN970" s="441"/>
      <c r="AO970" s="441"/>
      <c r="AP970" s="441"/>
      <c r="AQ970" s="441"/>
      <c r="AR970" s="441"/>
      <c r="AS970" s="441"/>
      <c r="AT970" s="441"/>
      <c r="AU970" s="441"/>
      <c r="AV970" s="441"/>
      <c r="AW970" s="441"/>
      <c r="AX970" s="441"/>
      <c r="AY970" s="441"/>
      <c r="AZ970" s="441"/>
      <c r="BA970" s="441"/>
      <c r="BB970" s="441"/>
      <c r="BC970" s="441"/>
      <c r="BD970" s="441"/>
      <c r="BE970" s="441"/>
      <c r="BF970" s="441"/>
    </row>
    <row r="971">
      <c r="A971" s="798"/>
      <c r="B971" s="795"/>
      <c r="C971" s="795"/>
      <c r="D971" s="795"/>
      <c r="E971" s="795"/>
      <c r="F971" s="795"/>
      <c r="G971" s="795"/>
      <c r="H971" s="795"/>
      <c r="I971" s="796"/>
      <c r="J971" s="441"/>
      <c r="K971" s="441"/>
      <c r="L971" s="797"/>
      <c r="M971" s="441"/>
      <c r="N971" s="441"/>
      <c r="O971" s="441"/>
      <c r="P971" s="441"/>
      <c r="Q971" s="441"/>
      <c r="R971" s="426"/>
      <c r="S971" s="441"/>
      <c r="T971" s="441"/>
      <c r="U971" s="441"/>
      <c r="V971" s="441"/>
      <c r="W971" s="441"/>
      <c r="X971" s="441"/>
      <c r="Y971" s="441"/>
      <c r="Z971" s="441"/>
      <c r="AA971" s="441"/>
      <c r="AB971" s="441"/>
      <c r="AC971" s="441"/>
      <c r="AD971" s="441"/>
      <c r="AE971" s="441"/>
      <c r="AF971" s="441"/>
      <c r="AG971" s="441"/>
      <c r="AH971" s="441"/>
      <c r="AI971" s="441"/>
      <c r="AJ971" s="441"/>
      <c r="AK971" s="441"/>
      <c r="AL971" s="441"/>
      <c r="AM971" s="441"/>
      <c r="AN971" s="441"/>
      <c r="AO971" s="441"/>
      <c r="AP971" s="441"/>
      <c r="AQ971" s="441"/>
      <c r="AR971" s="441"/>
      <c r="AS971" s="441"/>
      <c r="AT971" s="441"/>
      <c r="AU971" s="441"/>
      <c r="AV971" s="441"/>
      <c r="AW971" s="441"/>
      <c r="AX971" s="441"/>
      <c r="AY971" s="441"/>
      <c r="AZ971" s="441"/>
      <c r="BA971" s="441"/>
      <c r="BB971" s="441"/>
      <c r="BC971" s="441"/>
      <c r="BD971" s="441"/>
      <c r="BE971" s="441"/>
      <c r="BF971" s="441"/>
    </row>
    <row r="972">
      <c r="A972" s="798"/>
      <c r="B972" s="795"/>
      <c r="C972" s="795"/>
      <c r="D972" s="795"/>
      <c r="E972" s="795"/>
      <c r="F972" s="795"/>
      <c r="G972" s="795"/>
      <c r="H972" s="795"/>
      <c r="I972" s="796"/>
      <c r="J972" s="441"/>
      <c r="K972" s="441"/>
      <c r="L972" s="797"/>
      <c r="M972" s="441"/>
      <c r="N972" s="441"/>
      <c r="O972" s="441"/>
      <c r="P972" s="441"/>
      <c r="Q972" s="441"/>
      <c r="R972" s="426"/>
      <c r="S972" s="441"/>
      <c r="T972" s="441"/>
      <c r="U972" s="441"/>
      <c r="V972" s="441"/>
      <c r="W972" s="441"/>
      <c r="X972" s="441"/>
      <c r="Y972" s="441"/>
      <c r="Z972" s="441"/>
      <c r="AA972" s="441"/>
      <c r="AB972" s="441"/>
      <c r="AC972" s="441"/>
      <c r="AD972" s="441"/>
      <c r="AE972" s="441"/>
      <c r="AF972" s="441"/>
      <c r="AG972" s="441"/>
      <c r="AH972" s="441"/>
      <c r="AI972" s="441"/>
      <c r="AJ972" s="441"/>
      <c r="AK972" s="441"/>
      <c r="AL972" s="441"/>
      <c r="AM972" s="441"/>
      <c r="AN972" s="441"/>
      <c r="AO972" s="441"/>
      <c r="AP972" s="441"/>
      <c r="AQ972" s="441"/>
      <c r="AR972" s="441"/>
      <c r="AS972" s="441"/>
      <c r="AT972" s="441"/>
      <c r="AU972" s="441"/>
      <c r="AV972" s="441"/>
      <c r="AW972" s="441"/>
      <c r="AX972" s="441"/>
      <c r="AY972" s="441"/>
      <c r="AZ972" s="441"/>
      <c r="BA972" s="441"/>
      <c r="BB972" s="441"/>
      <c r="BC972" s="441"/>
      <c r="BD972" s="441"/>
      <c r="BE972" s="441"/>
      <c r="BF972" s="441"/>
    </row>
    <row r="973">
      <c r="A973" s="798"/>
      <c r="B973" s="795"/>
      <c r="C973" s="795"/>
      <c r="D973" s="795"/>
      <c r="E973" s="795"/>
      <c r="F973" s="795"/>
      <c r="G973" s="795"/>
      <c r="H973" s="795"/>
      <c r="I973" s="796"/>
      <c r="J973" s="441"/>
      <c r="K973" s="441"/>
      <c r="L973" s="797"/>
      <c r="M973" s="441"/>
      <c r="N973" s="441"/>
      <c r="O973" s="441"/>
      <c r="P973" s="441"/>
      <c r="Q973" s="441"/>
      <c r="R973" s="426"/>
      <c r="S973" s="441"/>
      <c r="T973" s="441"/>
      <c r="U973" s="441"/>
      <c r="V973" s="441"/>
      <c r="W973" s="441"/>
      <c r="X973" s="441"/>
      <c r="Y973" s="441"/>
      <c r="Z973" s="441"/>
      <c r="AA973" s="441"/>
      <c r="AB973" s="441"/>
      <c r="AC973" s="441"/>
      <c r="AD973" s="441"/>
      <c r="AE973" s="441"/>
      <c r="AF973" s="441"/>
      <c r="AG973" s="441"/>
      <c r="AH973" s="441"/>
      <c r="AI973" s="441"/>
      <c r="AJ973" s="441"/>
      <c r="AK973" s="441"/>
      <c r="AL973" s="441"/>
      <c r="AM973" s="441"/>
      <c r="AN973" s="441"/>
      <c r="AO973" s="441"/>
      <c r="AP973" s="441"/>
      <c r="AQ973" s="441"/>
      <c r="AR973" s="441"/>
      <c r="AS973" s="441"/>
      <c r="AT973" s="441"/>
      <c r="AU973" s="441"/>
      <c r="AV973" s="441"/>
      <c r="AW973" s="441"/>
      <c r="AX973" s="441"/>
      <c r="AY973" s="441"/>
      <c r="AZ973" s="441"/>
      <c r="BA973" s="441"/>
      <c r="BB973" s="441"/>
      <c r="BC973" s="441"/>
      <c r="BD973" s="441"/>
      <c r="BE973" s="441"/>
      <c r="BF973" s="441"/>
    </row>
    <row r="974">
      <c r="A974" s="798"/>
      <c r="B974" s="795"/>
      <c r="C974" s="795"/>
      <c r="D974" s="795"/>
      <c r="E974" s="795"/>
      <c r="F974" s="795"/>
      <c r="G974" s="795"/>
      <c r="H974" s="795"/>
      <c r="I974" s="796"/>
      <c r="J974" s="441"/>
      <c r="K974" s="441"/>
      <c r="L974" s="797"/>
      <c r="M974" s="441"/>
      <c r="N974" s="441"/>
      <c r="O974" s="441"/>
      <c r="P974" s="441"/>
      <c r="Q974" s="441"/>
      <c r="R974" s="426"/>
      <c r="S974" s="441"/>
      <c r="T974" s="441"/>
      <c r="U974" s="441"/>
      <c r="V974" s="441"/>
      <c r="W974" s="441"/>
      <c r="X974" s="441"/>
      <c r="Y974" s="441"/>
      <c r="Z974" s="441"/>
      <c r="AA974" s="441"/>
      <c r="AB974" s="441"/>
      <c r="AC974" s="441"/>
      <c r="AD974" s="441"/>
      <c r="AE974" s="441"/>
      <c r="AF974" s="441"/>
      <c r="AG974" s="441"/>
      <c r="AH974" s="441"/>
      <c r="AI974" s="441"/>
      <c r="AJ974" s="441"/>
      <c r="AK974" s="441"/>
      <c r="AL974" s="441"/>
      <c r="AM974" s="441"/>
      <c r="AN974" s="441"/>
      <c r="AO974" s="441"/>
      <c r="AP974" s="441"/>
      <c r="AQ974" s="441"/>
      <c r="AR974" s="441"/>
      <c r="AS974" s="441"/>
      <c r="AT974" s="441"/>
      <c r="AU974" s="441"/>
      <c r="AV974" s="441"/>
      <c r="AW974" s="441"/>
      <c r="AX974" s="441"/>
      <c r="AY974" s="441"/>
      <c r="AZ974" s="441"/>
      <c r="BA974" s="441"/>
      <c r="BB974" s="441"/>
      <c r="BC974" s="441"/>
      <c r="BD974" s="441"/>
      <c r="BE974" s="441"/>
      <c r="BF974" s="441"/>
    </row>
    <row r="975">
      <c r="A975" s="798"/>
      <c r="B975" s="795"/>
      <c r="C975" s="795"/>
      <c r="D975" s="795"/>
      <c r="E975" s="795"/>
      <c r="F975" s="795"/>
      <c r="G975" s="795"/>
      <c r="H975" s="795"/>
      <c r="I975" s="796"/>
      <c r="J975" s="441"/>
      <c r="K975" s="441"/>
      <c r="L975" s="797"/>
      <c r="M975" s="441"/>
      <c r="N975" s="441"/>
      <c r="O975" s="441"/>
      <c r="P975" s="441"/>
      <c r="Q975" s="441"/>
      <c r="R975" s="426"/>
      <c r="S975" s="441"/>
      <c r="T975" s="441"/>
      <c r="U975" s="441"/>
      <c r="V975" s="441"/>
      <c r="W975" s="441"/>
      <c r="X975" s="441"/>
      <c r="Y975" s="441"/>
      <c r="Z975" s="441"/>
      <c r="AA975" s="441"/>
      <c r="AB975" s="441"/>
      <c r="AC975" s="441"/>
      <c r="AD975" s="441"/>
      <c r="AE975" s="441"/>
      <c r="AF975" s="441"/>
      <c r="AG975" s="441"/>
      <c r="AH975" s="441"/>
      <c r="AI975" s="441"/>
      <c r="AJ975" s="441"/>
      <c r="AK975" s="441"/>
      <c r="AL975" s="441"/>
      <c r="AM975" s="441"/>
      <c r="AN975" s="441"/>
      <c r="AO975" s="441"/>
      <c r="AP975" s="441"/>
      <c r="AQ975" s="441"/>
      <c r="AR975" s="441"/>
      <c r="AS975" s="441"/>
      <c r="AT975" s="441"/>
      <c r="AU975" s="441"/>
      <c r="AV975" s="441"/>
      <c r="AW975" s="441"/>
      <c r="AX975" s="441"/>
      <c r="AY975" s="441"/>
      <c r="AZ975" s="441"/>
      <c r="BA975" s="441"/>
      <c r="BB975" s="441"/>
      <c r="BC975" s="441"/>
      <c r="BD975" s="441"/>
      <c r="BE975" s="441"/>
      <c r="BF975" s="441"/>
    </row>
    <row r="976">
      <c r="A976" s="798"/>
      <c r="B976" s="795"/>
      <c r="C976" s="795"/>
      <c r="D976" s="795"/>
      <c r="E976" s="795"/>
      <c r="F976" s="795"/>
      <c r="G976" s="795"/>
      <c r="H976" s="795"/>
      <c r="I976" s="796"/>
      <c r="J976" s="441"/>
      <c r="K976" s="441"/>
      <c r="L976" s="797"/>
      <c r="M976" s="441"/>
      <c r="N976" s="441"/>
      <c r="O976" s="441"/>
      <c r="P976" s="441"/>
      <c r="Q976" s="441"/>
      <c r="R976" s="426"/>
      <c r="S976" s="441"/>
      <c r="T976" s="441"/>
      <c r="U976" s="441"/>
      <c r="V976" s="441"/>
      <c r="W976" s="441"/>
      <c r="X976" s="441"/>
      <c r="Y976" s="441"/>
      <c r="Z976" s="441"/>
      <c r="AA976" s="441"/>
      <c r="AB976" s="441"/>
      <c r="AC976" s="441"/>
      <c r="AD976" s="441"/>
      <c r="AE976" s="441"/>
      <c r="AF976" s="441"/>
      <c r="AG976" s="441"/>
      <c r="AH976" s="441"/>
      <c r="AI976" s="441"/>
      <c r="AJ976" s="441"/>
      <c r="AK976" s="441"/>
      <c r="AL976" s="441"/>
      <c r="AM976" s="441"/>
      <c r="AN976" s="441"/>
      <c r="AO976" s="441"/>
      <c r="AP976" s="441"/>
      <c r="AQ976" s="441"/>
      <c r="AR976" s="441"/>
      <c r="AS976" s="441"/>
      <c r="AT976" s="441"/>
      <c r="AU976" s="441"/>
      <c r="AV976" s="441"/>
      <c r="AW976" s="441"/>
      <c r="AX976" s="441"/>
      <c r="AY976" s="441"/>
      <c r="AZ976" s="441"/>
      <c r="BA976" s="441"/>
      <c r="BB976" s="441"/>
      <c r="BC976" s="441"/>
      <c r="BD976" s="441"/>
      <c r="BE976" s="441"/>
      <c r="BF976" s="441"/>
    </row>
    <row r="977">
      <c r="A977" s="798"/>
      <c r="B977" s="795"/>
      <c r="C977" s="795"/>
      <c r="D977" s="795"/>
      <c r="E977" s="795"/>
      <c r="F977" s="795"/>
      <c r="G977" s="795"/>
      <c r="H977" s="795"/>
      <c r="I977" s="796"/>
      <c r="J977" s="441"/>
      <c r="K977" s="441"/>
      <c r="L977" s="797"/>
      <c r="M977" s="441"/>
      <c r="N977" s="441"/>
      <c r="O977" s="441"/>
      <c r="P977" s="441"/>
      <c r="Q977" s="441"/>
      <c r="R977" s="426"/>
      <c r="S977" s="441"/>
      <c r="T977" s="441"/>
      <c r="U977" s="441"/>
      <c r="V977" s="441"/>
      <c r="W977" s="441"/>
      <c r="X977" s="441"/>
      <c r="Y977" s="441"/>
      <c r="Z977" s="441"/>
      <c r="AA977" s="441"/>
      <c r="AB977" s="441"/>
      <c r="AC977" s="441"/>
      <c r="AD977" s="441"/>
      <c r="AE977" s="441"/>
      <c r="AF977" s="441"/>
      <c r="AG977" s="441"/>
      <c r="AH977" s="441"/>
      <c r="AI977" s="441"/>
      <c r="AJ977" s="441"/>
      <c r="AK977" s="441"/>
      <c r="AL977" s="441"/>
      <c r="AM977" s="441"/>
      <c r="AN977" s="441"/>
      <c r="AO977" s="441"/>
      <c r="AP977" s="441"/>
      <c r="AQ977" s="441"/>
      <c r="AR977" s="441"/>
      <c r="AS977" s="441"/>
      <c r="AT977" s="441"/>
      <c r="AU977" s="441"/>
      <c r="AV977" s="441"/>
      <c r="AW977" s="441"/>
      <c r="AX977" s="441"/>
      <c r="AY977" s="441"/>
      <c r="AZ977" s="441"/>
      <c r="BA977" s="441"/>
      <c r="BB977" s="441"/>
      <c r="BC977" s="441"/>
      <c r="BD977" s="441"/>
      <c r="BE977" s="441"/>
      <c r="BF977" s="441"/>
    </row>
    <row r="978">
      <c r="A978" s="798"/>
      <c r="B978" s="795"/>
      <c r="C978" s="795"/>
      <c r="D978" s="795"/>
      <c r="E978" s="795"/>
      <c r="F978" s="795"/>
      <c r="G978" s="795"/>
      <c r="H978" s="795"/>
      <c r="I978" s="796"/>
      <c r="J978" s="441"/>
      <c r="K978" s="441"/>
      <c r="L978" s="797"/>
      <c r="M978" s="441"/>
      <c r="N978" s="441"/>
      <c r="O978" s="441"/>
      <c r="P978" s="441"/>
      <c r="Q978" s="441"/>
      <c r="R978" s="426"/>
      <c r="S978" s="441"/>
      <c r="T978" s="441"/>
      <c r="U978" s="441"/>
      <c r="V978" s="441"/>
      <c r="W978" s="441"/>
      <c r="X978" s="441"/>
      <c r="Y978" s="441"/>
      <c r="Z978" s="441"/>
      <c r="AA978" s="441"/>
      <c r="AB978" s="441"/>
      <c r="AC978" s="441"/>
      <c r="AD978" s="441"/>
      <c r="AE978" s="441"/>
      <c r="AF978" s="441"/>
      <c r="AG978" s="441"/>
      <c r="AH978" s="441"/>
      <c r="AI978" s="441"/>
      <c r="AJ978" s="441"/>
      <c r="AK978" s="441"/>
      <c r="AL978" s="441"/>
      <c r="AM978" s="441"/>
      <c r="AN978" s="441"/>
      <c r="AO978" s="441"/>
      <c r="AP978" s="441"/>
      <c r="AQ978" s="441"/>
      <c r="AR978" s="441"/>
      <c r="AS978" s="441"/>
      <c r="AT978" s="441"/>
      <c r="AU978" s="441"/>
      <c r="AV978" s="441"/>
      <c r="AW978" s="441"/>
      <c r="AX978" s="441"/>
      <c r="AY978" s="441"/>
      <c r="AZ978" s="441"/>
      <c r="BA978" s="441"/>
      <c r="BB978" s="441"/>
      <c r="BC978" s="441"/>
      <c r="BD978" s="441"/>
      <c r="BE978" s="441"/>
      <c r="BF978" s="441"/>
    </row>
    <row r="979">
      <c r="A979" s="798"/>
      <c r="B979" s="795"/>
      <c r="C979" s="795"/>
      <c r="D979" s="795"/>
      <c r="E979" s="795"/>
      <c r="F979" s="795"/>
      <c r="G979" s="795"/>
      <c r="H979" s="795"/>
      <c r="I979" s="796"/>
      <c r="J979" s="441"/>
      <c r="K979" s="441"/>
      <c r="L979" s="797"/>
      <c r="M979" s="441"/>
      <c r="N979" s="441"/>
      <c r="O979" s="441"/>
      <c r="P979" s="441"/>
      <c r="Q979" s="441"/>
      <c r="R979" s="426"/>
      <c r="S979" s="441"/>
      <c r="T979" s="441"/>
      <c r="U979" s="441"/>
      <c r="V979" s="441"/>
      <c r="W979" s="441"/>
      <c r="X979" s="441"/>
      <c r="Y979" s="441"/>
      <c r="Z979" s="441"/>
      <c r="AA979" s="441"/>
      <c r="AB979" s="441"/>
      <c r="AC979" s="441"/>
      <c r="AD979" s="441"/>
      <c r="AE979" s="441"/>
      <c r="AF979" s="441"/>
      <c r="AG979" s="441"/>
      <c r="AH979" s="441"/>
      <c r="AI979" s="441"/>
      <c r="AJ979" s="441"/>
      <c r="AK979" s="441"/>
      <c r="AL979" s="441"/>
      <c r="AM979" s="441"/>
      <c r="AN979" s="441"/>
      <c r="AO979" s="441"/>
      <c r="AP979" s="441"/>
      <c r="AQ979" s="441"/>
      <c r="AR979" s="441"/>
      <c r="AS979" s="441"/>
      <c r="AT979" s="441"/>
      <c r="AU979" s="441"/>
      <c r="AV979" s="441"/>
      <c r="AW979" s="441"/>
      <c r="AX979" s="441"/>
      <c r="AY979" s="441"/>
      <c r="AZ979" s="441"/>
      <c r="BA979" s="441"/>
      <c r="BB979" s="441"/>
      <c r="BC979" s="441"/>
      <c r="BD979" s="441"/>
      <c r="BE979" s="441"/>
      <c r="BF979" s="441"/>
    </row>
    <row r="980">
      <c r="A980" s="798"/>
      <c r="B980" s="795"/>
      <c r="C980" s="795"/>
      <c r="D980" s="795"/>
      <c r="E980" s="795"/>
      <c r="F980" s="795"/>
      <c r="G980" s="795"/>
      <c r="H980" s="795"/>
      <c r="I980" s="796"/>
      <c r="J980" s="441"/>
      <c r="K980" s="441"/>
      <c r="L980" s="797"/>
      <c r="M980" s="441"/>
      <c r="N980" s="441"/>
      <c r="O980" s="441"/>
      <c r="P980" s="441"/>
      <c r="Q980" s="441"/>
      <c r="R980" s="426"/>
      <c r="S980" s="441"/>
      <c r="T980" s="441"/>
      <c r="U980" s="441"/>
      <c r="V980" s="441"/>
      <c r="W980" s="441"/>
      <c r="X980" s="441"/>
      <c r="Y980" s="441"/>
      <c r="Z980" s="441"/>
      <c r="AA980" s="441"/>
      <c r="AB980" s="441"/>
      <c r="AC980" s="441"/>
      <c r="AD980" s="441"/>
      <c r="AE980" s="441"/>
      <c r="AF980" s="441"/>
      <c r="AG980" s="441"/>
      <c r="AH980" s="441"/>
      <c r="AI980" s="441"/>
      <c r="AJ980" s="441"/>
      <c r="AK980" s="441"/>
      <c r="AL980" s="441"/>
      <c r="AM980" s="441"/>
      <c r="AN980" s="441"/>
      <c r="AO980" s="441"/>
      <c r="AP980" s="441"/>
      <c r="AQ980" s="441"/>
      <c r="AR980" s="441"/>
      <c r="AS980" s="441"/>
      <c r="AT980" s="441"/>
      <c r="AU980" s="441"/>
      <c r="AV980" s="441"/>
      <c r="AW980" s="441"/>
      <c r="AX980" s="441"/>
      <c r="AY980" s="441"/>
      <c r="AZ980" s="441"/>
      <c r="BA980" s="441"/>
      <c r="BB980" s="441"/>
      <c r="BC980" s="441"/>
      <c r="BD980" s="441"/>
      <c r="BE980" s="441"/>
      <c r="BF980" s="441"/>
    </row>
    <row r="981">
      <c r="A981" s="798"/>
      <c r="B981" s="795"/>
      <c r="C981" s="795"/>
      <c r="D981" s="795"/>
      <c r="E981" s="795"/>
      <c r="F981" s="795"/>
      <c r="G981" s="795"/>
      <c r="H981" s="795"/>
      <c r="I981" s="796"/>
      <c r="J981" s="441"/>
      <c r="K981" s="441"/>
      <c r="L981" s="797"/>
      <c r="M981" s="441"/>
      <c r="N981" s="441"/>
      <c r="O981" s="441"/>
      <c r="P981" s="441"/>
      <c r="Q981" s="441"/>
      <c r="R981" s="426"/>
      <c r="S981" s="441"/>
      <c r="T981" s="441"/>
      <c r="U981" s="441"/>
      <c r="V981" s="441"/>
      <c r="W981" s="441"/>
      <c r="X981" s="441"/>
      <c r="Y981" s="441"/>
      <c r="Z981" s="441"/>
      <c r="AA981" s="441"/>
      <c r="AB981" s="441"/>
      <c r="AC981" s="441"/>
      <c r="AD981" s="441"/>
      <c r="AE981" s="441"/>
      <c r="AF981" s="441"/>
      <c r="AG981" s="441"/>
      <c r="AH981" s="441"/>
      <c r="AI981" s="441"/>
      <c r="AJ981" s="441"/>
      <c r="AK981" s="441"/>
      <c r="AL981" s="441"/>
      <c r="AM981" s="441"/>
      <c r="AN981" s="441"/>
      <c r="AO981" s="441"/>
      <c r="AP981" s="441"/>
      <c r="AQ981" s="441"/>
      <c r="AR981" s="441"/>
      <c r="AS981" s="441"/>
      <c r="AT981" s="441"/>
      <c r="AU981" s="441"/>
      <c r="AV981" s="441"/>
      <c r="AW981" s="441"/>
      <c r="AX981" s="441"/>
      <c r="AY981" s="441"/>
      <c r="AZ981" s="441"/>
      <c r="BA981" s="441"/>
      <c r="BB981" s="441"/>
      <c r="BC981" s="441"/>
      <c r="BD981" s="441"/>
      <c r="BE981" s="441"/>
      <c r="BF981" s="441"/>
    </row>
    <row r="982">
      <c r="A982" s="798"/>
      <c r="B982" s="795"/>
      <c r="C982" s="795"/>
      <c r="D982" s="795"/>
      <c r="E982" s="795"/>
      <c r="F982" s="795"/>
      <c r="G982" s="795"/>
      <c r="H982" s="795"/>
      <c r="I982" s="796"/>
      <c r="J982" s="441"/>
      <c r="K982" s="441"/>
      <c r="L982" s="797"/>
      <c r="M982" s="441"/>
      <c r="N982" s="441"/>
      <c r="O982" s="441"/>
      <c r="P982" s="441"/>
      <c r="Q982" s="441"/>
      <c r="R982" s="426"/>
      <c r="S982" s="441"/>
      <c r="T982" s="441"/>
      <c r="U982" s="441"/>
      <c r="V982" s="441"/>
      <c r="W982" s="441"/>
      <c r="X982" s="441"/>
      <c r="Y982" s="441"/>
      <c r="Z982" s="441"/>
      <c r="AA982" s="441"/>
      <c r="AB982" s="441"/>
      <c r="AC982" s="441"/>
      <c r="AD982" s="441"/>
      <c r="AE982" s="441"/>
      <c r="AF982" s="441"/>
      <c r="AG982" s="441"/>
      <c r="AH982" s="441"/>
      <c r="AI982" s="441"/>
      <c r="AJ982" s="441"/>
      <c r="AK982" s="441"/>
      <c r="AL982" s="441"/>
      <c r="AM982" s="441"/>
      <c r="AN982" s="441"/>
      <c r="AO982" s="441"/>
      <c r="AP982" s="441"/>
      <c r="AQ982" s="441"/>
      <c r="AR982" s="441"/>
      <c r="AS982" s="441"/>
      <c r="AT982" s="441"/>
      <c r="AU982" s="441"/>
      <c r="AV982" s="441"/>
      <c r="AW982" s="441"/>
      <c r="AX982" s="441"/>
      <c r="AY982" s="441"/>
      <c r="AZ982" s="441"/>
      <c r="BA982" s="441"/>
      <c r="BB982" s="441"/>
      <c r="BC982" s="441"/>
      <c r="BD982" s="441"/>
      <c r="BE982" s="441"/>
      <c r="BF982" s="441"/>
    </row>
    <row r="983">
      <c r="A983" s="798"/>
      <c r="B983" s="795"/>
      <c r="C983" s="795"/>
      <c r="D983" s="795"/>
      <c r="E983" s="795"/>
      <c r="F983" s="795"/>
      <c r="G983" s="795"/>
      <c r="H983" s="795"/>
      <c r="I983" s="796"/>
      <c r="J983" s="441"/>
      <c r="K983" s="441"/>
      <c r="L983" s="797"/>
      <c r="M983" s="441"/>
      <c r="N983" s="441"/>
      <c r="O983" s="441"/>
      <c r="P983" s="441"/>
      <c r="Q983" s="441"/>
      <c r="R983" s="426"/>
      <c r="S983" s="441"/>
      <c r="T983" s="441"/>
      <c r="U983" s="441"/>
      <c r="V983" s="441"/>
      <c r="W983" s="441"/>
      <c r="X983" s="441"/>
      <c r="Y983" s="441"/>
      <c r="Z983" s="441"/>
      <c r="AA983" s="441"/>
      <c r="AB983" s="441"/>
      <c r="AC983" s="441"/>
      <c r="AD983" s="441"/>
      <c r="AE983" s="441"/>
      <c r="AF983" s="441"/>
      <c r="AG983" s="441"/>
      <c r="AH983" s="441"/>
      <c r="AI983" s="441"/>
      <c r="AJ983" s="441"/>
      <c r="AK983" s="441"/>
      <c r="AL983" s="441"/>
      <c r="AM983" s="441"/>
      <c r="AN983" s="441"/>
      <c r="AO983" s="441"/>
      <c r="AP983" s="441"/>
      <c r="AQ983" s="441"/>
      <c r="AR983" s="441"/>
      <c r="AS983" s="441"/>
      <c r="AT983" s="441"/>
      <c r="AU983" s="441"/>
      <c r="AV983" s="441"/>
      <c r="AW983" s="441"/>
      <c r="AX983" s="441"/>
      <c r="AY983" s="441"/>
      <c r="AZ983" s="441"/>
      <c r="BA983" s="441"/>
      <c r="BB983" s="441"/>
      <c r="BC983" s="441"/>
      <c r="BD983" s="441"/>
      <c r="BE983" s="441"/>
      <c r="BF983" s="441"/>
    </row>
    <row r="984">
      <c r="A984" s="798"/>
      <c r="B984" s="795"/>
      <c r="C984" s="795"/>
      <c r="D984" s="795"/>
      <c r="E984" s="795"/>
      <c r="F984" s="795"/>
      <c r="G984" s="795"/>
      <c r="H984" s="795"/>
      <c r="I984" s="796"/>
      <c r="J984" s="441"/>
      <c r="K984" s="441"/>
      <c r="L984" s="797"/>
      <c r="M984" s="441"/>
      <c r="N984" s="441"/>
      <c r="O984" s="441"/>
      <c r="P984" s="441"/>
      <c r="Q984" s="441"/>
      <c r="R984" s="426"/>
      <c r="S984" s="441"/>
      <c r="T984" s="441"/>
      <c r="U984" s="441"/>
      <c r="V984" s="441"/>
      <c r="W984" s="441"/>
      <c r="X984" s="441"/>
      <c r="Y984" s="441"/>
      <c r="Z984" s="441"/>
      <c r="AA984" s="441"/>
      <c r="AB984" s="441"/>
      <c r="AC984" s="441"/>
      <c r="AD984" s="441"/>
      <c r="AE984" s="441"/>
      <c r="AF984" s="441"/>
      <c r="AG984" s="441"/>
      <c r="AH984" s="441"/>
      <c r="AI984" s="441"/>
      <c r="AJ984" s="441"/>
      <c r="AK984" s="441"/>
      <c r="AL984" s="441"/>
      <c r="AM984" s="441"/>
      <c r="AN984" s="441"/>
      <c r="AO984" s="441"/>
      <c r="AP984" s="441"/>
      <c r="AQ984" s="441"/>
      <c r="AR984" s="441"/>
      <c r="AS984" s="441"/>
      <c r="AT984" s="441"/>
      <c r="AU984" s="441"/>
      <c r="AV984" s="441"/>
      <c r="AW984" s="441"/>
      <c r="AX984" s="441"/>
      <c r="AY984" s="441"/>
      <c r="AZ984" s="441"/>
      <c r="BA984" s="441"/>
      <c r="BB984" s="441"/>
      <c r="BC984" s="441"/>
      <c r="BD984" s="441"/>
      <c r="BE984" s="441"/>
      <c r="BF984" s="441"/>
    </row>
    <row r="985">
      <c r="A985" s="798"/>
      <c r="B985" s="795"/>
      <c r="C985" s="795"/>
      <c r="D985" s="795"/>
      <c r="E985" s="795"/>
      <c r="F985" s="795"/>
      <c r="G985" s="795"/>
      <c r="H985" s="795"/>
      <c r="I985" s="796"/>
      <c r="J985" s="441"/>
      <c r="K985" s="441"/>
      <c r="L985" s="797"/>
      <c r="M985" s="441"/>
      <c r="N985" s="441"/>
      <c r="O985" s="441"/>
      <c r="P985" s="441"/>
      <c r="Q985" s="441"/>
      <c r="R985" s="426"/>
      <c r="S985" s="441"/>
      <c r="T985" s="441"/>
      <c r="U985" s="441"/>
      <c r="V985" s="441"/>
      <c r="W985" s="441"/>
      <c r="X985" s="441"/>
      <c r="Y985" s="441"/>
      <c r="Z985" s="441"/>
      <c r="AA985" s="441"/>
      <c r="AB985" s="441"/>
      <c r="AC985" s="441"/>
      <c r="AD985" s="441"/>
      <c r="AE985" s="441"/>
      <c r="AF985" s="441"/>
      <c r="AG985" s="441"/>
      <c r="AH985" s="441"/>
      <c r="AI985" s="441"/>
      <c r="AJ985" s="441"/>
      <c r="AK985" s="441"/>
      <c r="AL985" s="441"/>
      <c r="AM985" s="441"/>
      <c r="AN985" s="441"/>
      <c r="AO985" s="441"/>
      <c r="AP985" s="441"/>
      <c r="AQ985" s="441"/>
      <c r="AR985" s="441"/>
      <c r="AS985" s="441"/>
      <c r="AT985" s="441"/>
      <c r="AU985" s="441"/>
      <c r="AV985" s="441"/>
      <c r="AW985" s="441"/>
      <c r="AX985" s="441"/>
      <c r="AY985" s="441"/>
      <c r="AZ985" s="441"/>
      <c r="BA985" s="441"/>
      <c r="BB985" s="441"/>
      <c r="BC985" s="441"/>
      <c r="BD985" s="441"/>
      <c r="BE985" s="441"/>
      <c r="BF985" s="441"/>
    </row>
    <row r="986">
      <c r="A986" s="798"/>
      <c r="B986" s="795"/>
      <c r="C986" s="795"/>
      <c r="D986" s="795"/>
      <c r="E986" s="795"/>
      <c r="F986" s="795"/>
      <c r="G986" s="795"/>
      <c r="H986" s="795"/>
      <c r="I986" s="796"/>
      <c r="J986" s="441"/>
      <c r="K986" s="441"/>
      <c r="L986" s="797"/>
      <c r="M986" s="441"/>
      <c r="N986" s="441"/>
      <c r="O986" s="441"/>
      <c r="P986" s="441"/>
      <c r="Q986" s="441"/>
      <c r="R986" s="426"/>
      <c r="S986" s="441"/>
      <c r="T986" s="441"/>
      <c r="U986" s="441"/>
      <c r="V986" s="441"/>
      <c r="W986" s="441"/>
      <c r="X986" s="441"/>
      <c r="Y986" s="441"/>
      <c r="Z986" s="441"/>
      <c r="AA986" s="441"/>
      <c r="AB986" s="441"/>
      <c r="AC986" s="441"/>
      <c r="AD986" s="441"/>
      <c r="AE986" s="441"/>
      <c r="AF986" s="441"/>
      <c r="AG986" s="441"/>
      <c r="AH986" s="441"/>
      <c r="AI986" s="441"/>
      <c r="AJ986" s="441"/>
      <c r="AK986" s="441"/>
      <c r="AL986" s="441"/>
      <c r="AM986" s="441"/>
      <c r="AN986" s="441"/>
      <c r="AO986" s="441"/>
      <c r="AP986" s="441"/>
      <c r="AQ986" s="441"/>
      <c r="AR986" s="441"/>
      <c r="AS986" s="441"/>
      <c r="AT986" s="441"/>
      <c r="AU986" s="441"/>
      <c r="AV986" s="441"/>
      <c r="AW986" s="441"/>
      <c r="AX986" s="441"/>
      <c r="AY986" s="441"/>
      <c r="AZ986" s="441"/>
      <c r="BA986" s="441"/>
      <c r="BB986" s="441"/>
      <c r="BC986" s="441"/>
      <c r="BD986" s="441"/>
      <c r="BE986" s="441"/>
      <c r="BF986" s="441"/>
    </row>
    <row r="987">
      <c r="A987" s="798"/>
      <c r="B987" s="795"/>
      <c r="C987" s="795"/>
      <c r="D987" s="795"/>
      <c r="E987" s="795"/>
      <c r="F987" s="795"/>
      <c r="G987" s="795"/>
      <c r="H987" s="795"/>
      <c r="I987" s="796"/>
      <c r="J987" s="441"/>
      <c r="K987" s="441"/>
      <c r="L987" s="797"/>
      <c r="M987" s="441"/>
      <c r="N987" s="441"/>
      <c r="O987" s="441"/>
      <c r="P987" s="441"/>
      <c r="Q987" s="441"/>
      <c r="R987" s="426"/>
      <c r="S987" s="441"/>
      <c r="T987" s="441"/>
      <c r="U987" s="441"/>
      <c r="V987" s="441"/>
      <c r="W987" s="441"/>
      <c r="X987" s="441"/>
      <c r="Y987" s="441"/>
      <c r="Z987" s="441"/>
      <c r="AA987" s="441"/>
      <c r="AB987" s="441"/>
      <c r="AC987" s="441"/>
      <c r="AD987" s="441"/>
      <c r="AE987" s="441"/>
      <c r="AF987" s="441"/>
      <c r="AG987" s="441"/>
      <c r="AH987" s="441"/>
      <c r="AI987" s="441"/>
      <c r="AJ987" s="441"/>
      <c r="AK987" s="441"/>
      <c r="AL987" s="441"/>
      <c r="AM987" s="441"/>
      <c r="AN987" s="441"/>
      <c r="AO987" s="441"/>
      <c r="AP987" s="441"/>
      <c r="AQ987" s="441"/>
      <c r="AR987" s="441"/>
      <c r="AS987" s="441"/>
      <c r="AT987" s="441"/>
      <c r="AU987" s="441"/>
      <c r="AV987" s="441"/>
      <c r="AW987" s="441"/>
      <c r="AX987" s="441"/>
      <c r="AY987" s="441"/>
      <c r="AZ987" s="441"/>
      <c r="BA987" s="441"/>
      <c r="BB987" s="441"/>
      <c r="BC987" s="441"/>
      <c r="BD987" s="441"/>
      <c r="BE987" s="441"/>
      <c r="BF987" s="441"/>
    </row>
    <row r="988">
      <c r="A988" s="798"/>
      <c r="B988" s="795"/>
      <c r="C988" s="795"/>
      <c r="D988" s="795"/>
      <c r="E988" s="795"/>
      <c r="F988" s="795"/>
      <c r="G988" s="795"/>
      <c r="H988" s="795"/>
      <c r="I988" s="796"/>
      <c r="J988" s="441"/>
      <c r="K988" s="441"/>
      <c r="L988" s="797"/>
      <c r="M988" s="441"/>
      <c r="N988" s="441"/>
      <c r="O988" s="441"/>
      <c r="P988" s="441"/>
      <c r="Q988" s="441"/>
      <c r="R988" s="426"/>
      <c r="S988" s="441"/>
      <c r="T988" s="441"/>
      <c r="U988" s="441"/>
      <c r="V988" s="441"/>
      <c r="W988" s="441"/>
      <c r="X988" s="441"/>
      <c r="Y988" s="441"/>
      <c r="Z988" s="441"/>
      <c r="AA988" s="441"/>
      <c r="AB988" s="441"/>
      <c r="AC988" s="441"/>
      <c r="AD988" s="441"/>
      <c r="AE988" s="441"/>
      <c r="AF988" s="441"/>
      <c r="AG988" s="441"/>
      <c r="AH988" s="441"/>
      <c r="AI988" s="441"/>
      <c r="AJ988" s="441"/>
      <c r="AK988" s="441"/>
      <c r="AL988" s="441"/>
      <c r="AM988" s="441"/>
      <c r="AN988" s="441"/>
      <c r="AO988" s="441"/>
      <c r="AP988" s="441"/>
      <c r="AQ988" s="441"/>
      <c r="AR988" s="441"/>
      <c r="AS988" s="441"/>
      <c r="AT988" s="441"/>
      <c r="AU988" s="441"/>
      <c r="AV988" s="441"/>
      <c r="AW988" s="441"/>
      <c r="AX988" s="441"/>
      <c r="AY988" s="441"/>
      <c r="AZ988" s="441"/>
      <c r="BA988" s="441"/>
      <c r="BB988" s="441"/>
      <c r="BC988" s="441"/>
      <c r="BD988" s="441"/>
      <c r="BE988" s="441"/>
      <c r="BF988" s="441"/>
    </row>
    <row r="989">
      <c r="A989" s="798"/>
      <c r="B989" s="795"/>
      <c r="C989" s="795"/>
      <c r="D989" s="795"/>
      <c r="E989" s="795"/>
      <c r="F989" s="795"/>
      <c r="G989" s="795"/>
      <c r="H989" s="795"/>
      <c r="I989" s="796"/>
      <c r="J989" s="441"/>
      <c r="K989" s="441"/>
      <c r="L989" s="797"/>
      <c r="M989" s="441"/>
      <c r="N989" s="441"/>
      <c r="O989" s="441"/>
      <c r="P989" s="441"/>
      <c r="Q989" s="441"/>
      <c r="R989" s="426"/>
      <c r="S989" s="441"/>
      <c r="T989" s="441"/>
      <c r="U989" s="441"/>
      <c r="V989" s="441"/>
      <c r="W989" s="441"/>
      <c r="X989" s="441"/>
      <c r="Y989" s="441"/>
      <c r="Z989" s="441"/>
      <c r="AA989" s="441"/>
      <c r="AB989" s="441"/>
      <c r="AC989" s="441"/>
      <c r="AD989" s="441"/>
      <c r="AE989" s="441"/>
      <c r="AF989" s="441"/>
      <c r="AG989" s="441"/>
      <c r="AH989" s="441"/>
      <c r="AI989" s="441"/>
      <c r="AJ989" s="441"/>
      <c r="AK989" s="441"/>
      <c r="AL989" s="441"/>
      <c r="AM989" s="441"/>
      <c r="AN989" s="441"/>
      <c r="AO989" s="441"/>
      <c r="AP989" s="441"/>
      <c r="AQ989" s="441"/>
      <c r="AR989" s="441"/>
      <c r="AS989" s="441"/>
      <c r="AT989" s="441"/>
      <c r="AU989" s="441"/>
      <c r="AV989" s="441"/>
      <c r="AW989" s="441"/>
      <c r="AX989" s="441"/>
      <c r="AY989" s="441"/>
      <c r="AZ989" s="441"/>
      <c r="BA989" s="441"/>
      <c r="BB989" s="441"/>
      <c r="BC989" s="441"/>
      <c r="BD989" s="441"/>
      <c r="BE989" s="441"/>
      <c r="BF989" s="441"/>
    </row>
    <row r="990">
      <c r="A990" s="798"/>
      <c r="B990" s="795"/>
      <c r="C990" s="795"/>
      <c r="D990" s="795"/>
      <c r="E990" s="795"/>
      <c r="F990" s="795"/>
      <c r="G990" s="795"/>
      <c r="H990" s="795"/>
      <c r="I990" s="796"/>
      <c r="J990" s="441"/>
      <c r="K990" s="441"/>
      <c r="L990" s="797"/>
      <c r="M990" s="441"/>
      <c r="N990" s="441"/>
      <c r="O990" s="441"/>
      <c r="P990" s="441"/>
      <c r="Q990" s="441"/>
      <c r="R990" s="426"/>
      <c r="S990" s="441"/>
      <c r="T990" s="441"/>
      <c r="U990" s="441"/>
      <c r="V990" s="441"/>
      <c r="W990" s="441"/>
      <c r="X990" s="441"/>
      <c r="Y990" s="441"/>
      <c r="Z990" s="441"/>
      <c r="AA990" s="441"/>
      <c r="AB990" s="441"/>
      <c r="AC990" s="441"/>
      <c r="AD990" s="441"/>
      <c r="AE990" s="441"/>
      <c r="AF990" s="441"/>
      <c r="AG990" s="441"/>
      <c r="AH990" s="441"/>
      <c r="AI990" s="441"/>
      <c r="AJ990" s="441"/>
      <c r="AK990" s="441"/>
      <c r="AL990" s="441"/>
      <c r="AM990" s="441"/>
      <c r="AN990" s="441"/>
      <c r="AO990" s="441"/>
      <c r="AP990" s="441"/>
      <c r="AQ990" s="441"/>
      <c r="AR990" s="441"/>
      <c r="AS990" s="441"/>
      <c r="AT990" s="441"/>
      <c r="AU990" s="441"/>
      <c r="AV990" s="441"/>
      <c r="AW990" s="441"/>
      <c r="AX990" s="441"/>
      <c r="AY990" s="441"/>
      <c r="AZ990" s="441"/>
      <c r="BA990" s="441"/>
      <c r="BB990" s="441"/>
      <c r="BC990" s="441"/>
      <c r="BD990" s="441"/>
      <c r="BE990" s="441"/>
      <c r="BF990" s="441"/>
    </row>
    <row r="991">
      <c r="A991" s="798"/>
      <c r="B991" s="795"/>
      <c r="C991" s="795"/>
      <c r="D991" s="795"/>
      <c r="E991" s="795"/>
      <c r="F991" s="795"/>
      <c r="G991" s="795"/>
      <c r="H991" s="795"/>
      <c r="I991" s="796"/>
      <c r="J991" s="441"/>
      <c r="K991" s="441"/>
      <c r="L991" s="797"/>
      <c r="M991" s="441"/>
      <c r="N991" s="441"/>
      <c r="O991" s="441"/>
      <c r="P991" s="441"/>
      <c r="Q991" s="441"/>
      <c r="R991" s="426"/>
      <c r="S991" s="441"/>
      <c r="T991" s="441"/>
      <c r="U991" s="441"/>
      <c r="V991" s="441"/>
      <c r="W991" s="441"/>
      <c r="X991" s="441"/>
      <c r="Y991" s="441"/>
      <c r="Z991" s="441"/>
      <c r="AA991" s="441"/>
      <c r="AB991" s="441"/>
      <c r="AC991" s="441"/>
      <c r="AD991" s="441"/>
      <c r="AE991" s="441"/>
      <c r="AF991" s="441"/>
      <c r="AG991" s="441"/>
      <c r="AH991" s="441"/>
      <c r="AI991" s="441"/>
      <c r="AJ991" s="441"/>
      <c r="AK991" s="441"/>
      <c r="AL991" s="441"/>
      <c r="AM991" s="441"/>
      <c r="AN991" s="441"/>
      <c r="AO991" s="441"/>
      <c r="AP991" s="441"/>
      <c r="AQ991" s="441"/>
      <c r="AR991" s="441"/>
      <c r="AS991" s="441"/>
      <c r="AT991" s="441"/>
      <c r="AU991" s="441"/>
      <c r="AV991" s="441"/>
      <c r="AW991" s="441"/>
      <c r="AX991" s="441"/>
      <c r="AY991" s="441"/>
      <c r="AZ991" s="441"/>
      <c r="BA991" s="441"/>
      <c r="BB991" s="441"/>
      <c r="BC991" s="441"/>
      <c r="BD991" s="441"/>
      <c r="BE991" s="441"/>
      <c r="BF991" s="441"/>
    </row>
    <row r="992">
      <c r="A992" s="798"/>
      <c r="B992" s="795"/>
      <c r="C992" s="795"/>
      <c r="D992" s="795"/>
      <c r="E992" s="795"/>
      <c r="F992" s="795"/>
      <c r="G992" s="795"/>
      <c r="H992" s="795"/>
      <c r="I992" s="796"/>
      <c r="J992" s="441"/>
      <c r="K992" s="441"/>
      <c r="L992" s="797"/>
      <c r="M992" s="441"/>
      <c r="N992" s="441"/>
      <c r="O992" s="441"/>
      <c r="P992" s="441"/>
      <c r="Q992" s="441"/>
      <c r="R992" s="426"/>
      <c r="S992" s="441"/>
      <c r="T992" s="441"/>
      <c r="U992" s="441"/>
      <c r="V992" s="441"/>
      <c r="W992" s="441"/>
      <c r="X992" s="441"/>
      <c r="Y992" s="441"/>
      <c r="Z992" s="441"/>
      <c r="AA992" s="441"/>
      <c r="AB992" s="441"/>
      <c r="AC992" s="441"/>
      <c r="AD992" s="441"/>
      <c r="AE992" s="441"/>
      <c r="AF992" s="441"/>
      <c r="AG992" s="441"/>
      <c r="AH992" s="441"/>
      <c r="AI992" s="441"/>
      <c r="AJ992" s="441"/>
      <c r="AK992" s="441"/>
      <c r="AL992" s="441"/>
      <c r="AM992" s="441"/>
      <c r="AN992" s="441"/>
      <c r="AO992" s="441"/>
      <c r="AP992" s="441"/>
      <c r="AQ992" s="441"/>
      <c r="AR992" s="441"/>
      <c r="AS992" s="441"/>
      <c r="AT992" s="441"/>
      <c r="AU992" s="441"/>
      <c r="AV992" s="441"/>
      <c r="AW992" s="441"/>
      <c r="AX992" s="441"/>
      <c r="AY992" s="441"/>
      <c r="AZ992" s="441"/>
      <c r="BA992" s="441"/>
      <c r="BB992" s="441"/>
      <c r="BC992" s="441"/>
      <c r="BD992" s="441"/>
      <c r="BE992" s="441"/>
      <c r="BF992" s="441"/>
    </row>
    <row r="993">
      <c r="A993" s="798"/>
      <c r="B993" s="795"/>
      <c r="C993" s="795"/>
      <c r="D993" s="795"/>
      <c r="E993" s="795"/>
      <c r="F993" s="795"/>
      <c r="G993" s="795"/>
      <c r="H993" s="795"/>
      <c r="I993" s="796"/>
      <c r="J993" s="441"/>
      <c r="K993" s="441"/>
      <c r="L993" s="797"/>
      <c r="M993" s="441"/>
      <c r="N993" s="441"/>
      <c r="O993" s="441"/>
      <c r="P993" s="441"/>
      <c r="Q993" s="441"/>
      <c r="R993" s="426"/>
      <c r="S993" s="441"/>
      <c r="T993" s="441"/>
      <c r="U993" s="441"/>
      <c r="V993" s="441"/>
      <c r="W993" s="441"/>
      <c r="X993" s="441"/>
      <c r="Y993" s="441"/>
      <c r="Z993" s="441"/>
      <c r="AA993" s="441"/>
      <c r="AB993" s="441"/>
      <c r="AC993" s="441"/>
      <c r="AD993" s="441"/>
      <c r="AE993" s="441"/>
      <c r="AF993" s="441"/>
      <c r="AG993" s="441"/>
      <c r="AH993" s="441"/>
      <c r="AI993" s="441"/>
      <c r="AJ993" s="441"/>
      <c r="AK993" s="441"/>
      <c r="AL993" s="441"/>
      <c r="AM993" s="441"/>
      <c r="AN993" s="441"/>
      <c r="AO993" s="441"/>
      <c r="AP993" s="441"/>
      <c r="AQ993" s="441"/>
      <c r="AR993" s="441"/>
      <c r="AS993" s="441"/>
      <c r="AT993" s="441"/>
      <c r="AU993" s="441"/>
      <c r="AV993" s="441"/>
      <c r="AW993" s="441"/>
      <c r="AX993" s="441"/>
      <c r="AY993" s="441"/>
      <c r="AZ993" s="441"/>
      <c r="BA993" s="441"/>
      <c r="BB993" s="441"/>
      <c r="BC993" s="441"/>
      <c r="BD993" s="441"/>
      <c r="BE993" s="441"/>
      <c r="BF993" s="441"/>
    </row>
    <row r="994">
      <c r="A994" s="798"/>
      <c r="B994" s="795"/>
      <c r="C994" s="795"/>
      <c r="D994" s="795"/>
      <c r="E994" s="795"/>
      <c r="F994" s="795"/>
      <c r="G994" s="795"/>
      <c r="H994" s="795"/>
      <c r="I994" s="796"/>
      <c r="J994" s="441"/>
      <c r="K994" s="441"/>
      <c r="L994" s="797"/>
      <c r="M994" s="441"/>
      <c r="N994" s="441"/>
      <c r="O994" s="441"/>
      <c r="P994" s="441"/>
      <c r="Q994" s="441"/>
      <c r="R994" s="426"/>
      <c r="S994" s="441"/>
      <c r="T994" s="441"/>
      <c r="U994" s="441"/>
      <c r="V994" s="441"/>
      <c r="W994" s="441"/>
      <c r="X994" s="441"/>
      <c r="Y994" s="441"/>
      <c r="Z994" s="441"/>
      <c r="AA994" s="441"/>
      <c r="AB994" s="441"/>
      <c r="AC994" s="441"/>
      <c r="AD994" s="441"/>
      <c r="AE994" s="441"/>
      <c r="AF994" s="441"/>
      <c r="AG994" s="441"/>
      <c r="AH994" s="441"/>
      <c r="AI994" s="441"/>
      <c r="AJ994" s="441"/>
      <c r="AK994" s="441"/>
      <c r="AL994" s="441"/>
      <c r="AM994" s="441"/>
      <c r="AN994" s="441"/>
      <c r="AO994" s="441"/>
      <c r="AP994" s="441"/>
      <c r="AQ994" s="441"/>
      <c r="AR994" s="441"/>
      <c r="AS994" s="441"/>
      <c r="AT994" s="441"/>
      <c r="AU994" s="441"/>
      <c r="AV994" s="441"/>
      <c r="AW994" s="441"/>
      <c r="AX994" s="441"/>
      <c r="AY994" s="441"/>
      <c r="AZ994" s="441"/>
      <c r="BA994" s="441"/>
      <c r="BB994" s="441"/>
      <c r="BC994" s="441"/>
      <c r="BD994" s="441"/>
      <c r="BE994" s="441"/>
      <c r="BF994" s="441"/>
    </row>
    <row r="995">
      <c r="A995" s="798"/>
      <c r="B995" s="795"/>
      <c r="C995" s="795"/>
      <c r="D995" s="795"/>
      <c r="E995" s="795"/>
      <c r="F995" s="795"/>
      <c r="G995" s="795"/>
      <c r="H995" s="795"/>
      <c r="I995" s="796"/>
      <c r="J995" s="441"/>
      <c r="K995" s="441"/>
      <c r="L995" s="797"/>
      <c r="M995" s="441"/>
      <c r="N995" s="441"/>
      <c r="O995" s="441"/>
      <c r="P995" s="441"/>
      <c r="Q995" s="441"/>
      <c r="R995" s="426"/>
      <c r="S995" s="441"/>
      <c r="T995" s="441"/>
      <c r="U995" s="441"/>
      <c r="V995" s="441"/>
      <c r="W995" s="441"/>
      <c r="X995" s="441"/>
      <c r="Y995" s="441"/>
      <c r="Z995" s="441"/>
      <c r="AA995" s="441"/>
      <c r="AB995" s="441"/>
      <c r="AC995" s="441"/>
      <c r="AD995" s="441"/>
      <c r="AE995" s="441"/>
      <c r="AF995" s="441"/>
      <c r="AG995" s="441"/>
      <c r="AH995" s="441"/>
      <c r="AI995" s="441"/>
      <c r="AJ995" s="441"/>
      <c r="AK995" s="441"/>
      <c r="AL995" s="441"/>
      <c r="AM995" s="441"/>
      <c r="AN995" s="441"/>
      <c r="AO995" s="441"/>
      <c r="AP995" s="441"/>
      <c r="AQ995" s="441"/>
      <c r="AR995" s="441"/>
      <c r="AS995" s="441"/>
      <c r="AT995" s="441"/>
      <c r="AU995" s="441"/>
      <c r="AV995" s="441"/>
      <c r="AW995" s="441"/>
      <c r="AX995" s="441"/>
      <c r="AY995" s="441"/>
      <c r="AZ995" s="441"/>
      <c r="BA995" s="441"/>
      <c r="BB995" s="441"/>
      <c r="BC995" s="441"/>
      <c r="BD995" s="441"/>
      <c r="BE995" s="441"/>
      <c r="BF995" s="441"/>
    </row>
    <row r="996">
      <c r="A996" s="798"/>
      <c r="B996" s="795"/>
      <c r="C996" s="795"/>
      <c r="D996" s="795"/>
      <c r="E996" s="795"/>
      <c r="F996" s="795"/>
      <c r="G996" s="795"/>
      <c r="H996" s="795"/>
      <c r="I996" s="796"/>
      <c r="J996" s="441"/>
      <c r="K996" s="441"/>
      <c r="L996" s="797"/>
      <c r="M996" s="441"/>
      <c r="N996" s="441"/>
      <c r="O996" s="441"/>
      <c r="P996" s="441"/>
      <c r="Q996" s="441"/>
      <c r="R996" s="426"/>
      <c r="S996" s="441"/>
      <c r="T996" s="441"/>
      <c r="U996" s="441"/>
      <c r="V996" s="441"/>
      <c r="W996" s="441"/>
      <c r="X996" s="441"/>
      <c r="Y996" s="441"/>
      <c r="Z996" s="441"/>
      <c r="AA996" s="441"/>
      <c r="AB996" s="441"/>
      <c r="AC996" s="441"/>
      <c r="AD996" s="441"/>
      <c r="AE996" s="441"/>
      <c r="AF996" s="441"/>
      <c r="AG996" s="441"/>
      <c r="AH996" s="441"/>
      <c r="AI996" s="441"/>
      <c r="AJ996" s="441"/>
      <c r="AK996" s="441"/>
      <c r="AL996" s="441"/>
      <c r="AM996" s="441"/>
      <c r="AN996" s="441"/>
      <c r="AO996" s="441"/>
      <c r="AP996" s="441"/>
      <c r="AQ996" s="441"/>
      <c r="AR996" s="441"/>
      <c r="AS996" s="441"/>
      <c r="AT996" s="441"/>
      <c r="AU996" s="441"/>
      <c r="AV996" s="441"/>
      <c r="AW996" s="441"/>
      <c r="AX996" s="441"/>
      <c r="AY996" s="441"/>
      <c r="AZ996" s="441"/>
      <c r="BA996" s="441"/>
      <c r="BB996" s="441"/>
      <c r="BC996" s="441"/>
      <c r="BD996" s="441"/>
      <c r="BE996" s="441"/>
      <c r="BF996" s="441"/>
    </row>
    <row r="997">
      <c r="A997" s="798"/>
      <c r="B997" s="795"/>
      <c r="C997" s="795"/>
      <c r="D997" s="795"/>
      <c r="E997" s="795"/>
      <c r="F997" s="795"/>
      <c r="G997" s="795"/>
      <c r="H997" s="795"/>
      <c r="I997" s="796"/>
      <c r="J997" s="441"/>
      <c r="K997" s="441"/>
      <c r="L997" s="797"/>
      <c r="M997" s="441"/>
      <c r="N997" s="441"/>
      <c r="O997" s="441"/>
      <c r="P997" s="441"/>
      <c r="Q997" s="441"/>
      <c r="R997" s="426"/>
      <c r="S997" s="441"/>
      <c r="T997" s="441"/>
      <c r="U997" s="441"/>
      <c r="V997" s="441"/>
      <c r="W997" s="441"/>
      <c r="X997" s="441"/>
      <c r="Y997" s="441"/>
      <c r="Z997" s="441"/>
      <c r="AA997" s="441"/>
      <c r="AB997" s="441"/>
      <c r="AC997" s="441"/>
      <c r="AD997" s="441"/>
      <c r="AE997" s="441"/>
      <c r="AF997" s="441"/>
      <c r="AG997" s="441"/>
      <c r="AH997" s="441"/>
      <c r="AI997" s="441"/>
      <c r="AJ997" s="441"/>
      <c r="AK997" s="441"/>
      <c r="AL997" s="441"/>
      <c r="AM997" s="441"/>
      <c r="AN997" s="441"/>
      <c r="AO997" s="441"/>
      <c r="AP997" s="441"/>
      <c r="AQ997" s="441"/>
      <c r="AR997" s="441"/>
      <c r="AS997" s="441"/>
      <c r="AT997" s="441"/>
      <c r="AU997" s="441"/>
      <c r="AV997" s="441"/>
      <c r="AW997" s="441"/>
      <c r="AX997" s="441"/>
      <c r="AY997" s="441"/>
      <c r="AZ997" s="441"/>
      <c r="BA997" s="441"/>
      <c r="BB997" s="441"/>
      <c r="BC997" s="441"/>
      <c r="BD997" s="441"/>
      <c r="BE997" s="441"/>
      <c r="BF997" s="441"/>
    </row>
    <row r="998">
      <c r="A998" s="798"/>
      <c r="B998" s="795"/>
      <c r="C998" s="795"/>
      <c r="D998" s="795"/>
      <c r="E998" s="795"/>
      <c r="F998" s="795"/>
      <c r="G998" s="795"/>
      <c r="H998" s="795"/>
      <c r="I998" s="796"/>
      <c r="J998" s="441"/>
      <c r="K998" s="441"/>
      <c r="L998" s="797"/>
      <c r="M998" s="441"/>
      <c r="N998" s="441"/>
      <c r="O998" s="441"/>
      <c r="P998" s="441"/>
      <c r="Q998" s="441"/>
      <c r="R998" s="426"/>
      <c r="S998" s="441"/>
      <c r="T998" s="441"/>
      <c r="U998" s="441"/>
      <c r="V998" s="441"/>
      <c r="W998" s="441"/>
      <c r="X998" s="441"/>
      <c r="Y998" s="441"/>
      <c r="Z998" s="441"/>
      <c r="AA998" s="441"/>
      <c r="AB998" s="441"/>
      <c r="AC998" s="441"/>
      <c r="AD998" s="441"/>
      <c r="AE998" s="441"/>
      <c r="AF998" s="441"/>
      <c r="AG998" s="441"/>
      <c r="AH998" s="441"/>
      <c r="AI998" s="441"/>
      <c r="AJ998" s="441"/>
      <c r="AK998" s="441"/>
      <c r="AL998" s="441"/>
      <c r="AM998" s="441"/>
      <c r="AN998" s="441"/>
      <c r="AO998" s="441"/>
      <c r="AP998" s="441"/>
      <c r="AQ998" s="441"/>
      <c r="AR998" s="441"/>
      <c r="AS998" s="441"/>
      <c r="AT998" s="441"/>
      <c r="AU998" s="441"/>
      <c r="AV998" s="441"/>
      <c r="AW998" s="441"/>
      <c r="AX998" s="441"/>
      <c r="AY998" s="441"/>
      <c r="AZ998" s="441"/>
      <c r="BA998" s="441"/>
      <c r="BB998" s="441"/>
      <c r="BC998" s="441"/>
      <c r="BD998" s="441"/>
      <c r="BE998" s="441"/>
      <c r="BF998" s="441"/>
    </row>
    <row r="999">
      <c r="A999" s="798"/>
      <c r="B999" s="795"/>
      <c r="C999" s="795"/>
      <c r="D999" s="795"/>
      <c r="E999" s="795"/>
      <c r="F999" s="795"/>
      <c r="G999" s="795"/>
      <c r="H999" s="795"/>
      <c r="I999" s="796"/>
      <c r="J999" s="441"/>
      <c r="K999" s="441"/>
      <c r="L999" s="797"/>
      <c r="M999" s="441"/>
      <c r="N999" s="441"/>
      <c r="O999" s="441"/>
      <c r="P999" s="441"/>
      <c r="Q999" s="441"/>
      <c r="R999" s="426"/>
      <c r="S999" s="441"/>
      <c r="T999" s="441"/>
      <c r="U999" s="441"/>
      <c r="V999" s="441"/>
      <c r="W999" s="441"/>
      <c r="X999" s="441"/>
      <c r="Y999" s="441"/>
      <c r="Z999" s="441"/>
      <c r="AA999" s="441"/>
      <c r="AB999" s="441"/>
      <c r="AC999" s="441"/>
      <c r="AD999" s="441"/>
      <c r="AE999" s="441"/>
      <c r="AF999" s="441"/>
      <c r="AG999" s="441"/>
      <c r="AH999" s="441"/>
      <c r="AI999" s="441"/>
      <c r="AJ999" s="441"/>
      <c r="AK999" s="441"/>
      <c r="AL999" s="441"/>
      <c r="AM999" s="441"/>
      <c r="AN999" s="441"/>
      <c r="AO999" s="441"/>
      <c r="AP999" s="441"/>
      <c r="AQ999" s="441"/>
      <c r="AR999" s="441"/>
      <c r="AS999" s="441"/>
      <c r="AT999" s="441"/>
      <c r="AU999" s="441"/>
      <c r="AV999" s="441"/>
      <c r="AW999" s="441"/>
      <c r="AX999" s="441"/>
      <c r="AY999" s="441"/>
      <c r="AZ999" s="441"/>
      <c r="BA999" s="441"/>
      <c r="BB999" s="441"/>
      <c r="BC999" s="441"/>
      <c r="BD999" s="441"/>
      <c r="BE999" s="441"/>
      <c r="BF999" s="441"/>
    </row>
    <row r="1000">
      <c r="A1000" s="798"/>
      <c r="B1000" s="795"/>
      <c r="C1000" s="795"/>
      <c r="D1000" s="795"/>
      <c r="E1000" s="795"/>
      <c r="F1000" s="795"/>
      <c r="G1000" s="795"/>
      <c r="H1000" s="795"/>
      <c r="I1000" s="796"/>
      <c r="J1000" s="441"/>
      <c r="K1000" s="441"/>
      <c r="L1000" s="797"/>
      <c r="M1000" s="441"/>
      <c r="N1000" s="441"/>
      <c r="O1000" s="441"/>
      <c r="P1000" s="441"/>
      <c r="Q1000" s="441"/>
      <c r="R1000" s="426"/>
      <c r="S1000" s="441"/>
      <c r="T1000" s="441"/>
      <c r="U1000" s="441"/>
      <c r="V1000" s="441"/>
      <c r="W1000" s="441"/>
      <c r="X1000" s="441"/>
      <c r="Y1000" s="441"/>
      <c r="Z1000" s="441"/>
      <c r="AA1000" s="441"/>
      <c r="AB1000" s="441"/>
      <c r="AC1000" s="441"/>
      <c r="AD1000" s="441"/>
      <c r="AE1000" s="441"/>
      <c r="AF1000" s="441"/>
      <c r="AG1000" s="441"/>
      <c r="AH1000" s="441"/>
      <c r="AI1000" s="441"/>
      <c r="AJ1000" s="441"/>
      <c r="AK1000" s="441"/>
      <c r="AL1000" s="441"/>
      <c r="AM1000" s="441"/>
      <c r="AN1000" s="441"/>
      <c r="AO1000" s="441"/>
      <c r="AP1000" s="441"/>
      <c r="AQ1000" s="441"/>
      <c r="AR1000" s="441"/>
      <c r="AS1000" s="441"/>
      <c r="AT1000" s="441"/>
      <c r="AU1000" s="441"/>
      <c r="AV1000" s="441"/>
      <c r="AW1000" s="441"/>
      <c r="AX1000" s="441"/>
      <c r="AY1000" s="441"/>
      <c r="AZ1000" s="441"/>
      <c r="BA1000" s="441"/>
      <c r="BB1000" s="441"/>
      <c r="BC1000" s="441"/>
      <c r="BD1000" s="441"/>
      <c r="BE1000" s="441"/>
      <c r="BF1000" s="441"/>
    </row>
    <row r="1001">
      <c r="A1001" s="798"/>
      <c r="B1001" s="795"/>
      <c r="C1001" s="795"/>
      <c r="D1001" s="795"/>
      <c r="E1001" s="795"/>
      <c r="F1001" s="795"/>
      <c r="G1001" s="795"/>
      <c r="H1001" s="795"/>
      <c r="I1001" s="796"/>
      <c r="J1001" s="441"/>
      <c r="K1001" s="441"/>
      <c r="L1001" s="797"/>
      <c r="M1001" s="441"/>
      <c r="N1001" s="441"/>
      <c r="O1001" s="441"/>
      <c r="P1001" s="441"/>
      <c r="Q1001" s="441"/>
      <c r="R1001" s="426"/>
      <c r="S1001" s="441"/>
      <c r="T1001" s="441"/>
      <c r="U1001" s="441"/>
      <c r="V1001" s="441"/>
      <c r="W1001" s="441"/>
      <c r="X1001" s="441"/>
      <c r="Y1001" s="441"/>
      <c r="Z1001" s="441"/>
      <c r="AA1001" s="441"/>
      <c r="AB1001" s="441"/>
      <c r="AC1001" s="441"/>
      <c r="AD1001" s="441"/>
      <c r="AE1001" s="441"/>
      <c r="AF1001" s="441"/>
      <c r="AG1001" s="441"/>
      <c r="AH1001" s="441"/>
      <c r="AI1001" s="441"/>
      <c r="AJ1001" s="441"/>
      <c r="AK1001" s="441"/>
      <c r="AL1001" s="441"/>
      <c r="AM1001" s="441"/>
      <c r="AN1001" s="441"/>
      <c r="AO1001" s="441"/>
      <c r="AP1001" s="441"/>
      <c r="AQ1001" s="441"/>
      <c r="AR1001" s="441"/>
      <c r="AS1001" s="441"/>
      <c r="AT1001" s="441"/>
      <c r="AU1001" s="441"/>
      <c r="AV1001" s="441"/>
      <c r="AW1001" s="441"/>
      <c r="AX1001" s="441"/>
      <c r="AY1001" s="441"/>
      <c r="AZ1001" s="441"/>
      <c r="BA1001" s="441"/>
      <c r="BB1001" s="441"/>
      <c r="BC1001" s="441"/>
      <c r="BD1001" s="441"/>
      <c r="BE1001" s="441"/>
      <c r="BF1001" s="441"/>
    </row>
    <row r="1002">
      <c r="A1002" s="798"/>
      <c r="B1002" s="795"/>
      <c r="C1002" s="795"/>
      <c r="D1002" s="795"/>
      <c r="E1002" s="795"/>
      <c r="F1002" s="795"/>
      <c r="G1002" s="795"/>
      <c r="H1002" s="795"/>
      <c r="I1002" s="796"/>
      <c r="J1002" s="441"/>
      <c r="K1002" s="441"/>
      <c r="L1002" s="797"/>
      <c r="M1002" s="441"/>
      <c r="N1002" s="441"/>
      <c r="O1002" s="441"/>
      <c r="P1002" s="441"/>
      <c r="Q1002" s="441"/>
      <c r="R1002" s="426"/>
      <c r="S1002" s="441"/>
      <c r="T1002" s="441"/>
      <c r="U1002" s="441"/>
      <c r="V1002" s="441"/>
      <c r="W1002" s="441"/>
      <c r="X1002" s="441"/>
      <c r="Y1002" s="441"/>
      <c r="Z1002" s="441"/>
      <c r="AA1002" s="441"/>
      <c r="AB1002" s="441"/>
      <c r="AC1002" s="441"/>
      <c r="AD1002" s="441"/>
      <c r="AE1002" s="441"/>
      <c r="AF1002" s="441"/>
      <c r="AG1002" s="441"/>
      <c r="AH1002" s="441"/>
      <c r="AI1002" s="441"/>
      <c r="AJ1002" s="441"/>
      <c r="AK1002" s="441"/>
      <c r="AL1002" s="441"/>
      <c r="AM1002" s="441"/>
      <c r="AN1002" s="441"/>
      <c r="AO1002" s="441"/>
      <c r="AP1002" s="441"/>
      <c r="AQ1002" s="441"/>
      <c r="AR1002" s="441"/>
      <c r="AS1002" s="441"/>
      <c r="AT1002" s="441"/>
      <c r="AU1002" s="441"/>
      <c r="AV1002" s="441"/>
      <c r="AW1002" s="441"/>
      <c r="AX1002" s="441"/>
      <c r="AY1002" s="441"/>
      <c r="AZ1002" s="441"/>
      <c r="BA1002" s="441"/>
      <c r="BB1002" s="441"/>
      <c r="BC1002" s="441"/>
      <c r="BD1002" s="441"/>
      <c r="BE1002" s="441"/>
      <c r="BF1002" s="441"/>
    </row>
    <row r="1003">
      <c r="A1003" s="798"/>
      <c r="B1003" s="795"/>
      <c r="C1003" s="795"/>
      <c r="D1003" s="795"/>
      <c r="E1003" s="795"/>
      <c r="F1003" s="795"/>
      <c r="G1003" s="795"/>
      <c r="H1003" s="795"/>
      <c r="I1003" s="796"/>
      <c r="J1003" s="441"/>
      <c r="K1003" s="441"/>
      <c r="L1003" s="797"/>
      <c r="M1003" s="441"/>
      <c r="N1003" s="441"/>
      <c r="O1003" s="441"/>
      <c r="P1003" s="441"/>
      <c r="Q1003" s="441"/>
      <c r="R1003" s="426"/>
      <c r="S1003" s="441"/>
      <c r="T1003" s="441"/>
      <c r="U1003" s="441"/>
      <c r="V1003" s="441"/>
      <c r="W1003" s="441"/>
      <c r="X1003" s="441"/>
      <c r="Y1003" s="441"/>
      <c r="Z1003" s="441"/>
      <c r="AA1003" s="441"/>
      <c r="AB1003" s="441"/>
      <c r="AC1003" s="441"/>
      <c r="AD1003" s="441"/>
      <c r="AE1003" s="441"/>
      <c r="AF1003" s="441"/>
      <c r="AG1003" s="441"/>
      <c r="AH1003" s="441"/>
      <c r="AI1003" s="441"/>
      <c r="AJ1003" s="441"/>
      <c r="AK1003" s="441"/>
      <c r="AL1003" s="441"/>
      <c r="AM1003" s="441"/>
      <c r="AN1003" s="441"/>
      <c r="AO1003" s="441"/>
      <c r="AP1003" s="441"/>
      <c r="AQ1003" s="441"/>
      <c r="AR1003" s="441"/>
      <c r="AS1003" s="441"/>
      <c r="AT1003" s="441"/>
      <c r="AU1003" s="441"/>
      <c r="AV1003" s="441"/>
      <c r="AW1003" s="441"/>
      <c r="AX1003" s="441"/>
      <c r="AY1003" s="441"/>
      <c r="AZ1003" s="441"/>
      <c r="BA1003" s="441"/>
      <c r="BB1003" s="441"/>
      <c r="BC1003" s="441"/>
      <c r="BD1003" s="441"/>
      <c r="BE1003" s="441"/>
      <c r="BF1003" s="441"/>
    </row>
    <row r="1004">
      <c r="A1004" s="798"/>
      <c r="B1004" s="795"/>
      <c r="C1004" s="795"/>
      <c r="D1004" s="795"/>
      <c r="E1004" s="795"/>
      <c r="F1004" s="795"/>
      <c r="G1004" s="795"/>
      <c r="H1004" s="795"/>
      <c r="I1004" s="796"/>
      <c r="J1004" s="441"/>
      <c r="K1004" s="441"/>
      <c r="L1004" s="797"/>
      <c r="M1004" s="441"/>
      <c r="N1004" s="441"/>
      <c r="O1004" s="441"/>
      <c r="P1004" s="441"/>
      <c r="Q1004" s="441"/>
      <c r="R1004" s="426"/>
      <c r="S1004" s="441"/>
      <c r="T1004" s="441"/>
      <c r="U1004" s="441"/>
      <c r="V1004" s="441"/>
      <c r="W1004" s="441"/>
      <c r="X1004" s="441"/>
      <c r="Y1004" s="441"/>
      <c r="Z1004" s="441"/>
      <c r="AA1004" s="441"/>
      <c r="AB1004" s="441"/>
      <c r="AC1004" s="441"/>
      <c r="AD1004" s="441"/>
      <c r="AE1004" s="441"/>
      <c r="AF1004" s="441"/>
      <c r="AG1004" s="441"/>
      <c r="AH1004" s="441"/>
      <c r="AI1004" s="441"/>
      <c r="AJ1004" s="441"/>
      <c r="AK1004" s="441"/>
      <c r="AL1004" s="441"/>
      <c r="AM1004" s="441"/>
      <c r="AN1004" s="441"/>
      <c r="AO1004" s="441"/>
      <c r="AP1004" s="441"/>
      <c r="AQ1004" s="441"/>
      <c r="AR1004" s="441"/>
      <c r="AS1004" s="441"/>
      <c r="AT1004" s="441"/>
      <c r="AU1004" s="441"/>
      <c r="AV1004" s="441"/>
      <c r="AW1004" s="441"/>
      <c r="AX1004" s="441"/>
      <c r="AY1004" s="441"/>
      <c r="AZ1004" s="441"/>
      <c r="BA1004" s="441"/>
      <c r="BB1004" s="441"/>
      <c r="BC1004" s="441"/>
      <c r="BD1004" s="441"/>
      <c r="BE1004" s="441"/>
      <c r="BF1004" s="441"/>
    </row>
    <row r="1005">
      <c r="A1005" s="798"/>
      <c r="B1005" s="795"/>
      <c r="C1005" s="795"/>
      <c r="D1005" s="795"/>
      <c r="E1005" s="795"/>
      <c r="F1005" s="795"/>
      <c r="G1005" s="795"/>
      <c r="H1005" s="795"/>
      <c r="I1005" s="796"/>
      <c r="J1005" s="441"/>
      <c r="K1005" s="441"/>
      <c r="L1005" s="797"/>
      <c r="M1005" s="441"/>
      <c r="N1005" s="441"/>
      <c r="O1005" s="441"/>
      <c r="P1005" s="441"/>
      <c r="Q1005" s="441"/>
      <c r="R1005" s="426"/>
      <c r="S1005" s="441"/>
      <c r="T1005" s="441"/>
      <c r="U1005" s="441"/>
      <c r="V1005" s="441"/>
      <c r="W1005" s="441"/>
      <c r="X1005" s="441"/>
      <c r="Y1005" s="441"/>
      <c r="Z1005" s="441"/>
      <c r="AA1005" s="441"/>
      <c r="AB1005" s="441"/>
      <c r="AC1005" s="441"/>
      <c r="AD1005" s="441"/>
      <c r="AE1005" s="441"/>
      <c r="AF1005" s="441"/>
      <c r="AG1005" s="441"/>
      <c r="AH1005" s="441"/>
      <c r="AI1005" s="441"/>
      <c r="AJ1005" s="441"/>
      <c r="AK1005" s="441"/>
      <c r="AL1005" s="441"/>
      <c r="AM1005" s="441"/>
      <c r="AN1005" s="441"/>
      <c r="AO1005" s="441"/>
      <c r="AP1005" s="441"/>
      <c r="AQ1005" s="441"/>
      <c r="AR1005" s="441"/>
      <c r="AS1005" s="441"/>
      <c r="AT1005" s="441"/>
      <c r="AU1005" s="441"/>
      <c r="AV1005" s="441"/>
      <c r="AW1005" s="441"/>
      <c r="AX1005" s="441"/>
      <c r="AY1005" s="441"/>
      <c r="AZ1005" s="441"/>
      <c r="BA1005" s="441"/>
      <c r="BB1005" s="441"/>
      <c r="BC1005" s="441"/>
      <c r="BD1005" s="441"/>
      <c r="BE1005" s="441"/>
      <c r="BF1005" s="441"/>
    </row>
    <row r="1006">
      <c r="A1006" s="798"/>
      <c r="B1006" s="795"/>
      <c r="C1006" s="795"/>
      <c r="D1006" s="795"/>
      <c r="E1006" s="795"/>
      <c r="F1006" s="795"/>
      <c r="G1006" s="795"/>
      <c r="H1006" s="795"/>
      <c r="I1006" s="796"/>
      <c r="J1006" s="441"/>
      <c r="K1006" s="441"/>
      <c r="L1006" s="797"/>
      <c r="M1006" s="441"/>
      <c r="N1006" s="441"/>
      <c r="O1006" s="441"/>
      <c r="P1006" s="441"/>
      <c r="Q1006" s="441"/>
      <c r="R1006" s="426"/>
      <c r="S1006" s="441"/>
      <c r="T1006" s="441"/>
      <c r="U1006" s="441"/>
      <c r="V1006" s="441"/>
      <c r="W1006" s="441"/>
      <c r="X1006" s="441"/>
      <c r="Y1006" s="441"/>
      <c r="Z1006" s="441"/>
      <c r="AA1006" s="441"/>
      <c r="AB1006" s="441"/>
      <c r="AC1006" s="441"/>
      <c r="AD1006" s="441"/>
      <c r="AE1006" s="441"/>
      <c r="AF1006" s="441"/>
      <c r="AG1006" s="441"/>
      <c r="AH1006" s="441"/>
      <c r="AI1006" s="441"/>
      <c r="AJ1006" s="441"/>
      <c r="AK1006" s="441"/>
      <c r="AL1006" s="441"/>
      <c r="AM1006" s="441"/>
      <c r="AN1006" s="441"/>
      <c r="AO1006" s="441"/>
      <c r="AP1006" s="441"/>
      <c r="AQ1006" s="441"/>
      <c r="AR1006" s="441"/>
      <c r="AS1006" s="441"/>
      <c r="AT1006" s="441"/>
      <c r="AU1006" s="441"/>
      <c r="AV1006" s="441"/>
      <c r="AW1006" s="441"/>
      <c r="AX1006" s="441"/>
      <c r="AY1006" s="441"/>
      <c r="AZ1006" s="441"/>
      <c r="BA1006" s="441"/>
      <c r="BB1006" s="441"/>
      <c r="BC1006" s="441"/>
      <c r="BD1006" s="441"/>
      <c r="BE1006" s="441"/>
      <c r="BF1006" s="441"/>
    </row>
    <row r="1007">
      <c r="A1007" s="798"/>
      <c r="B1007" s="795"/>
      <c r="C1007" s="795"/>
      <c r="D1007" s="795"/>
      <c r="E1007" s="795"/>
      <c r="F1007" s="795"/>
      <c r="G1007" s="795"/>
      <c r="H1007" s="795"/>
      <c r="I1007" s="796"/>
      <c r="J1007" s="441"/>
      <c r="K1007" s="441"/>
      <c r="L1007" s="797"/>
      <c r="M1007" s="441"/>
      <c r="N1007" s="441"/>
      <c r="O1007" s="441"/>
      <c r="P1007" s="441"/>
      <c r="Q1007" s="441"/>
      <c r="R1007" s="426"/>
      <c r="S1007" s="441"/>
      <c r="T1007" s="441"/>
      <c r="U1007" s="441"/>
      <c r="V1007" s="441"/>
      <c r="W1007" s="441"/>
      <c r="X1007" s="441"/>
      <c r="Y1007" s="441"/>
      <c r="Z1007" s="441"/>
      <c r="AA1007" s="441"/>
      <c r="AB1007" s="441"/>
      <c r="AC1007" s="441"/>
      <c r="AD1007" s="441"/>
      <c r="AE1007" s="441"/>
      <c r="AF1007" s="441"/>
      <c r="AG1007" s="441"/>
      <c r="AH1007" s="441"/>
      <c r="AI1007" s="441"/>
      <c r="AJ1007" s="441"/>
      <c r="AK1007" s="441"/>
      <c r="AL1007" s="441"/>
      <c r="AM1007" s="441"/>
      <c r="AN1007" s="441"/>
      <c r="AO1007" s="441"/>
      <c r="AP1007" s="441"/>
      <c r="AQ1007" s="441"/>
      <c r="AR1007" s="441"/>
      <c r="AS1007" s="441"/>
      <c r="AT1007" s="441"/>
      <c r="AU1007" s="441"/>
      <c r="AV1007" s="441"/>
      <c r="AW1007" s="441"/>
      <c r="AX1007" s="441"/>
      <c r="AY1007" s="441"/>
      <c r="AZ1007" s="441"/>
      <c r="BA1007" s="441"/>
      <c r="BB1007" s="441"/>
      <c r="BC1007" s="441"/>
      <c r="BD1007" s="441"/>
      <c r="BE1007" s="441"/>
      <c r="BF1007" s="441"/>
    </row>
    <row r="1008">
      <c r="A1008" s="798"/>
      <c r="B1008" s="795"/>
      <c r="C1008" s="795"/>
      <c r="D1008" s="795"/>
      <c r="E1008" s="795"/>
      <c r="F1008" s="795"/>
      <c r="G1008" s="795"/>
      <c r="H1008" s="795"/>
      <c r="I1008" s="796"/>
      <c r="J1008" s="441"/>
      <c r="K1008" s="441"/>
      <c r="L1008" s="797"/>
      <c r="M1008" s="441"/>
      <c r="N1008" s="441"/>
      <c r="O1008" s="441"/>
      <c r="P1008" s="441"/>
      <c r="Q1008" s="441"/>
      <c r="R1008" s="426"/>
      <c r="S1008" s="441"/>
      <c r="T1008" s="441"/>
      <c r="U1008" s="441"/>
      <c r="V1008" s="441"/>
      <c r="W1008" s="441"/>
      <c r="X1008" s="441"/>
      <c r="Y1008" s="441"/>
      <c r="Z1008" s="441"/>
      <c r="AA1008" s="441"/>
      <c r="AB1008" s="441"/>
      <c r="AC1008" s="441"/>
      <c r="AD1008" s="441"/>
      <c r="AE1008" s="441"/>
      <c r="AF1008" s="441"/>
      <c r="AG1008" s="441"/>
      <c r="AH1008" s="441"/>
      <c r="AI1008" s="441"/>
      <c r="AJ1008" s="441"/>
      <c r="AK1008" s="441"/>
      <c r="AL1008" s="441"/>
      <c r="AM1008" s="441"/>
      <c r="AN1008" s="441"/>
      <c r="AO1008" s="441"/>
      <c r="AP1008" s="441"/>
      <c r="AQ1008" s="441"/>
      <c r="AR1008" s="441"/>
      <c r="AS1008" s="441"/>
      <c r="AT1008" s="441"/>
      <c r="AU1008" s="441"/>
      <c r="AV1008" s="441"/>
      <c r="AW1008" s="441"/>
      <c r="AX1008" s="441"/>
      <c r="AY1008" s="441"/>
      <c r="AZ1008" s="441"/>
      <c r="BA1008" s="441"/>
      <c r="BB1008" s="441"/>
      <c r="BC1008" s="441"/>
      <c r="BD1008" s="441"/>
      <c r="BE1008" s="441"/>
      <c r="BF1008" s="441"/>
    </row>
    <row r="1009">
      <c r="A1009" s="798"/>
      <c r="B1009" s="795"/>
      <c r="C1009" s="795"/>
      <c r="D1009" s="795"/>
      <c r="E1009" s="795"/>
      <c r="F1009" s="795"/>
      <c r="G1009" s="795"/>
      <c r="H1009" s="795"/>
      <c r="I1009" s="796"/>
      <c r="J1009" s="441"/>
      <c r="K1009" s="441"/>
      <c r="L1009" s="797"/>
      <c r="M1009" s="441"/>
      <c r="N1009" s="441"/>
      <c r="O1009" s="441"/>
      <c r="P1009" s="441"/>
      <c r="Q1009" s="441"/>
      <c r="R1009" s="426"/>
      <c r="S1009" s="441"/>
      <c r="T1009" s="441"/>
      <c r="U1009" s="441"/>
      <c r="V1009" s="441"/>
      <c r="W1009" s="441"/>
      <c r="X1009" s="441"/>
      <c r="Y1009" s="441"/>
      <c r="Z1009" s="441"/>
      <c r="AA1009" s="441"/>
      <c r="AB1009" s="441"/>
      <c r="AC1009" s="441"/>
      <c r="AD1009" s="441"/>
      <c r="AE1009" s="441"/>
      <c r="AF1009" s="441"/>
      <c r="AG1009" s="441"/>
      <c r="AH1009" s="441"/>
      <c r="AI1009" s="441"/>
      <c r="AJ1009" s="441"/>
      <c r="AK1009" s="441"/>
      <c r="AL1009" s="441"/>
      <c r="AM1009" s="441"/>
      <c r="AN1009" s="441"/>
      <c r="AO1009" s="441"/>
      <c r="AP1009" s="441"/>
      <c r="AQ1009" s="441"/>
      <c r="AR1009" s="441"/>
      <c r="AS1009" s="441"/>
      <c r="AT1009" s="441"/>
      <c r="AU1009" s="441"/>
      <c r="AV1009" s="441"/>
      <c r="AW1009" s="441"/>
      <c r="AX1009" s="441"/>
      <c r="AY1009" s="441"/>
      <c r="AZ1009" s="441"/>
      <c r="BA1009" s="441"/>
      <c r="BB1009" s="441"/>
      <c r="BC1009" s="441"/>
      <c r="BD1009" s="441"/>
      <c r="BE1009" s="441"/>
      <c r="BF1009" s="441"/>
    </row>
    <row r="1010">
      <c r="A1010" s="798"/>
      <c r="B1010" s="795"/>
      <c r="C1010" s="795"/>
      <c r="D1010" s="795"/>
      <c r="E1010" s="795"/>
      <c r="F1010" s="795"/>
      <c r="G1010" s="795"/>
      <c r="H1010" s="795"/>
      <c r="I1010" s="796"/>
      <c r="J1010" s="441"/>
      <c r="K1010" s="441"/>
      <c r="L1010" s="797"/>
      <c r="M1010" s="441"/>
      <c r="N1010" s="441"/>
      <c r="O1010" s="441"/>
      <c r="P1010" s="441"/>
      <c r="Q1010" s="441"/>
      <c r="R1010" s="426"/>
      <c r="S1010" s="441"/>
      <c r="T1010" s="441"/>
      <c r="U1010" s="441"/>
      <c r="V1010" s="441"/>
      <c r="W1010" s="441"/>
      <c r="X1010" s="441"/>
      <c r="Y1010" s="441"/>
      <c r="Z1010" s="441"/>
      <c r="AA1010" s="441"/>
      <c r="AB1010" s="441"/>
      <c r="AC1010" s="441"/>
      <c r="AD1010" s="441"/>
      <c r="AE1010" s="441"/>
      <c r="AF1010" s="441"/>
      <c r="AG1010" s="441"/>
      <c r="AH1010" s="441"/>
      <c r="AI1010" s="441"/>
      <c r="AJ1010" s="441"/>
      <c r="AK1010" s="441"/>
      <c r="AL1010" s="441"/>
      <c r="AM1010" s="441"/>
      <c r="AN1010" s="441"/>
      <c r="AO1010" s="441"/>
      <c r="AP1010" s="441"/>
      <c r="AQ1010" s="441"/>
      <c r="AR1010" s="441"/>
      <c r="AS1010" s="441"/>
      <c r="AT1010" s="441"/>
      <c r="AU1010" s="441"/>
      <c r="AV1010" s="441"/>
      <c r="AW1010" s="441"/>
      <c r="AX1010" s="441"/>
      <c r="AY1010" s="441"/>
      <c r="AZ1010" s="441"/>
      <c r="BA1010" s="441"/>
      <c r="BB1010" s="441"/>
      <c r="BC1010" s="441"/>
      <c r="BD1010" s="441"/>
      <c r="BE1010" s="441"/>
      <c r="BF1010" s="441"/>
    </row>
    <row r="1011">
      <c r="A1011" s="798"/>
      <c r="B1011" s="795"/>
      <c r="C1011" s="795"/>
      <c r="D1011" s="795"/>
      <c r="E1011" s="795"/>
      <c r="F1011" s="795"/>
      <c r="G1011" s="795"/>
      <c r="H1011" s="795"/>
      <c r="I1011" s="796"/>
      <c r="J1011" s="441"/>
      <c r="K1011" s="441"/>
      <c r="L1011" s="797"/>
      <c r="M1011" s="441"/>
      <c r="N1011" s="441"/>
      <c r="O1011" s="441"/>
      <c r="P1011" s="441"/>
      <c r="Q1011" s="441"/>
      <c r="R1011" s="426"/>
      <c r="S1011" s="441"/>
      <c r="T1011" s="441"/>
      <c r="U1011" s="441"/>
      <c r="V1011" s="441"/>
      <c r="W1011" s="441"/>
      <c r="X1011" s="441"/>
      <c r="Y1011" s="441"/>
      <c r="Z1011" s="441"/>
      <c r="AA1011" s="441"/>
      <c r="AB1011" s="441"/>
      <c r="AC1011" s="441"/>
      <c r="AD1011" s="441"/>
      <c r="AE1011" s="441"/>
      <c r="AF1011" s="441"/>
      <c r="AG1011" s="441"/>
      <c r="AH1011" s="441"/>
      <c r="AI1011" s="441"/>
      <c r="AJ1011" s="441"/>
      <c r="AK1011" s="441"/>
      <c r="AL1011" s="441"/>
      <c r="AM1011" s="441"/>
      <c r="AN1011" s="441"/>
      <c r="AO1011" s="441"/>
      <c r="AP1011" s="441"/>
      <c r="AQ1011" s="441"/>
      <c r="AR1011" s="441"/>
      <c r="AS1011" s="441"/>
      <c r="AT1011" s="441"/>
      <c r="AU1011" s="441"/>
      <c r="AV1011" s="441"/>
      <c r="AW1011" s="441"/>
      <c r="AX1011" s="441"/>
      <c r="AY1011" s="441"/>
      <c r="AZ1011" s="441"/>
      <c r="BA1011" s="441"/>
      <c r="BB1011" s="441"/>
      <c r="BC1011" s="441"/>
      <c r="BD1011" s="441"/>
      <c r="BE1011" s="441"/>
      <c r="BF1011" s="441"/>
    </row>
    <row r="1012">
      <c r="A1012" s="798"/>
      <c r="B1012" s="795"/>
      <c r="C1012" s="795"/>
      <c r="D1012" s="795"/>
      <c r="E1012" s="795"/>
      <c r="F1012" s="795"/>
      <c r="G1012" s="795"/>
      <c r="H1012" s="795"/>
      <c r="I1012" s="796"/>
      <c r="J1012" s="441"/>
      <c r="K1012" s="441"/>
      <c r="L1012" s="797"/>
      <c r="M1012" s="441"/>
      <c r="N1012" s="441"/>
      <c r="O1012" s="441"/>
      <c r="P1012" s="441"/>
      <c r="Q1012" s="441"/>
      <c r="R1012" s="426"/>
      <c r="S1012" s="441"/>
      <c r="T1012" s="441"/>
      <c r="U1012" s="441"/>
      <c r="V1012" s="441"/>
      <c r="W1012" s="441"/>
      <c r="X1012" s="441"/>
      <c r="Y1012" s="441"/>
      <c r="Z1012" s="441"/>
      <c r="AA1012" s="441"/>
      <c r="AB1012" s="441"/>
      <c r="AC1012" s="441"/>
      <c r="AD1012" s="441"/>
      <c r="AE1012" s="441"/>
      <c r="AF1012" s="441"/>
      <c r="AG1012" s="441"/>
      <c r="AH1012" s="441"/>
      <c r="AI1012" s="441"/>
      <c r="AJ1012" s="441"/>
      <c r="AK1012" s="441"/>
      <c r="AL1012" s="441"/>
      <c r="AM1012" s="441"/>
      <c r="AN1012" s="441"/>
      <c r="AO1012" s="441"/>
      <c r="AP1012" s="441"/>
      <c r="AQ1012" s="441"/>
      <c r="AR1012" s="441"/>
      <c r="AS1012" s="441"/>
      <c r="AT1012" s="441"/>
      <c r="AU1012" s="441"/>
      <c r="AV1012" s="441"/>
      <c r="AW1012" s="441"/>
      <c r="AX1012" s="441"/>
      <c r="AY1012" s="441"/>
      <c r="AZ1012" s="441"/>
      <c r="BA1012" s="441"/>
      <c r="BB1012" s="441"/>
      <c r="BC1012" s="441"/>
      <c r="BD1012" s="441"/>
      <c r="BE1012" s="441"/>
      <c r="BF1012" s="441"/>
    </row>
    <row r="1013">
      <c r="A1013" s="798"/>
      <c r="B1013" s="795"/>
      <c r="C1013" s="795"/>
      <c r="D1013" s="795"/>
      <c r="E1013" s="795"/>
      <c r="F1013" s="795"/>
      <c r="G1013" s="795"/>
      <c r="H1013" s="795"/>
      <c r="I1013" s="796"/>
      <c r="J1013" s="441"/>
      <c r="K1013" s="441"/>
      <c r="L1013" s="797"/>
      <c r="M1013" s="441"/>
      <c r="N1013" s="441"/>
      <c r="O1013" s="441"/>
      <c r="P1013" s="441"/>
      <c r="Q1013" s="441"/>
      <c r="R1013" s="426"/>
      <c r="S1013" s="441"/>
      <c r="T1013" s="441"/>
      <c r="U1013" s="441"/>
      <c r="V1013" s="441"/>
      <c r="W1013" s="441"/>
      <c r="X1013" s="441"/>
      <c r="Y1013" s="441"/>
      <c r="Z1013" s="441"/>
      <c r="AA1013" s="441"/>
      <c r="AB1013" s="441"/>
      <c r="AC1013" s="441"/>
      <c r="AD1013" s="441"/>
      <c r="AE1013" s="441"/>
      <c r="AF1013" s="441"/>
      <c r="AG1013" s="441"/>
      <c r="AH1013" s="441"/>
      <c r="AI1013" s="441"/>
      <c r="AJ1013" s="441"/>
      <c r="AK1013" s="441"/>
      <c r="AL1013" s="441"/>
      <c r="AM1013" s="441"/>
      <c r="AN1013" s="441"/>
      <c r="AO1013" s="441"/>
      <c r="AP1013" s="441"/>
      <c r="AQ1013" s="441"/>
      <c r="AR1013" s="441"/>
      <c r="AS1013" s="441"/>
      <c r="AT1013" s="441"/>
      <c r="AU1013" s="441"/>
      <c r="AV1013" s="441"/>
      <c r="AW1013" s="441"/>
      <c r="AX1013" s="441"/>
      <c r="AY1013" s="441"/>
      <c r="AZ1013" s="441"/>
      <c r="BA1013" s="441"/>
      <c r="BB1013" s="441"/>
      <c r="BC1013" s="441"/>
      <c r="BD1013" s="441"/>
      <c r="BE1013" s="441"/>
      <c r="BF1013" s="441"/>
    </row>
    <row r="1014">
      <c r="A1014" s="798"/>
      <c r="B1014" s="795"/>
      <c r="C1014" s="795"/>
      <c r="D1014" s="795"/>
      <c r="E1014" s="795"/>
      <c r="F1014" s="795"/>
      <c r="G1014" s="795"/>
      <c r="H1014" s="795"/>
      <c r="I1014" s="796"/>
      <c r="J1014" s="441"/>
      <c r="K1014" s="441"/>
      <c r="L1014" s="797"/>
      <c r="M1014" s="441"/>
      <c r="N1014" s="441"/>
      <c r="O1014" s="441"/>
      <c r="P1014" s="441"/>
      <c r="Q1014" s="441"/>
      <c r="R1014" s="426"/>
      <c r="S1014" s="441"/>
      <c r="T1014" s="441"/>
      <c r="U1014" s="441"/>
      <c r="V1014" s="441"/>
      <c r="W1014" s="441"/>
      <c r="X1014" s="441"/>
      <c r="Y1014" s="441"/>
      <c r="Z1014" s="441"/>
      <c r="AA1014" s="441"/>
      <c r="AB1014" s="441"/>
      <c r="AC1014" s="441"/>
      <c r="AD1014" s="441"/>
      <c r="AE1014" s="441"/>
      <c r="AF1014" s="441"/>
      <c r="AG1014" s="441"/>
      <c r="AH1014" s="441"/>
      <c r="AI1014" s="441"/>
      <c r="AJ1014" s="441"/>
      <c r="AK1014" s="441"/>
      <c r="AL1014" s="441"/>
      <c r="AM1014" s="441"/>
      <c r="AN1014" s="441"/>
      <c r="AO1014" s="441"/>
      <c r="AP1014" s="441"/>
      <c r="AQ1014" s="441"/>
      <c r="AR1014" s="441"/>
      <c r="AS1014" s="441"/>
      <c r="AT1014" s="441"/>
      <c r="AU1014" s="441"/>
      <c r="AV1014" s="441"/>
      <c r="AW1014" s="441"/>
      <c r="AX1014" s="441"/>
      <c r="AY1014" s="441"/>
      <c r="AZ1014" s="441"/>
      <c r="BA1014" s="441"/>
      <c r="BB1014" s="441"/>
      <c r="BC1014" s="441"/>
      <c r="BD1014" s="441"/>
      <c r="BE1014" s="441"/>
      <c r="BF1014" s="441"/>
    </row>
    <row r="1015">
      <c r="A1015" s="798"/>
      <c r="B1015" s="795"/>
      <c r="C1015" s="795"/>
      <c r="D1015" s="795"/>
      <c r="E1015" s="795"/>
      <c r="F1015" s="795"/>
      <c r="G1015" s="795"/>
      <c r="H1015" s="795"/>
      <c r="I1015" s="796"/>
      <c r="J1015" s="441"/>
      <c r="K1015" s="441"/>
      <c r="L1015" s="797"/>
      <c r="M1015" s="441"/>
      <c r="N1015" s="441"/>
      <c r="O1015" s="441"/>
      <c r="P1015" s="441"/>
      <c r="Q1015" s="441"/>
      <c r="R1015" s="426"/>
      <c r="S1015" s="441"/>
      <c r="T1015" s="441"/>
      <c r="U1015" s="441"/>
      <c r="V1015" s="441"/>
      <c r="W1015" s="441"/>
      <c r="X1015" s="441"/>
      <c r="Y1015" s="441"/>
      <c r="Z1015" s="441"/>
      <c r="AA1015" s="441"/>
      <c r="AB1015" s="441"/>
      <c r="AC1015" s="441"/>
      <c r="AD1015" s="441"/>
      <c r="AE1015" s="441"/>
      <c r="AF1015" s="441"/>
      <c r="AG1015" s="441"/>
      <c r="AH1015" s="441"/>
      <c r="AI1015" s="441"/>
      <c r="AJ1015" s="441"/>
      <c r="AK1015" s="441"/>
      <c r="AL1015" s="441"/>
      <c r="AM1015" s="441"/>
      <c r="AN1015" s="441"/>
      <c r="AO1015" s="441"/>
      <c r="AP1015" s="441"/>
      <c r="AQ1015" s="441"/>
      <c r="AR1015" s="441"/>
      <c r="AS1015" s="441"/>
      <c r="AT1015" s="441"/>
      <c r="AU1015" s="441"/>
      <c r="AV1015" s="441"/>
      <c r="AW1015" s="441"/>
      <c r="AX1015" s="441"/>
      <c r="AY1015" s="441"/>
      <c r="AZ1015" s="441"/>
      <c r="BA1015" s="441"/>
      <c r="BB1015" s="441"/>
      <c r="BC1015" s="441"/>
      <c r="BD1015" s="441"/>
      <c r="BE1015" s="441"/>
      <c r="BF1015" s="441"/>
    </row>
    <row r="1016">
      <c r="A1016" s="798"/>
      <c r="B1016" s="795"/>
      <c r="C1016" s="795"/>
      <c r="D1016" s="795"/>
      <c r="E1016" s="795"/>
      <c r="F1016" s="795"/>
      <c r="G1016" s="795"/>
      <c r="H1016" s="795"/>
      <c r="I1016" s="796"/>
      <c r="J1016" s="441"/>
      <c r="K1016" s="441"/>
      <c r="L1016" s="797"/>
      <c r="M1016" s="441"/>
      <c r="N1016" s="441"/>
      <c r="O1016" s="441"/>
      <c r="P1016" s="441"/>
      <c r="Q1016" s="441"/>
      <c r="R1016" s="426"/>
      <c r="S1016" s="441"/>
      <c r="T1016" s="441"/>
      <c r="U1016" s="441"/>
      <c r="V1016" s="441"/>
      <c r="W1016" s="441"/>
      <c r="X1016" s="441"/>
      <c r="Y1016" s="441"/>
      <c r="Z1016" s="441"/>
      <c r="AA1016" s="441"/>
      <c r="AB1016" s="441"/>
      <c r="AC1016" s="441"/>
      <c r="AD1016" s="441"/>
      <c r="AE1016" s="441"/>
      <c r="AF1016" s="441"/>
      <c r="AG1016" s="441"/>
      <c r="AH1016" s="441"/>
      <c r="AI1016" s="441"/>
      <c r="AJ1016" s="441"/>
      <c r="AK1016" s="441"/>
      <c r="AL1016" s="441"/>
      <c r="AM1016" s="441"/>
      <c r="AN1016" s="441"/>
      <c r="AO1016" s="441"/>
      <c r="AP1016" s="441"/>
      <c r="AQ1016" s="441"/>
      <c r="AR1016" s="441"/>
      <c r="AS1016" s="441"/>
      <c r="AT1016" s="441"/>
      <c r="AU1016" s="441"/>
      <c r="AV1016" s="441"/>
      <c r="AW1016" s="441"/>
      <c r="AX1016" s="441"/>
      <c r="AY1016" s="441"/>
      <c r="AZ1016" s="441"/>
      <c r="BA1016" s="441"/>
      <c r="BB1016" s="441"/>
      <c r="BC1016" s="441"/>
      <c r="BD1016" s="441"/>
      <c r="BE1016" s="441"/>
      <c r="BF1016" s="441"/>
    </row>
    <row r="1017">
      <c r="A1017" s="798"/>
      <c r="B1017" s="795"/>
      <c r="C1017" s="795"/>
      <c r="D1017" s="795"/>
      <c r="E1017" s="795"/>
      <c r="F1017" s="795"/>
      <c r="G1017" s="795"/>
      <c r="H1017" s="795"/>
      <c r="I1017" s="796"/>
      <c r="J1017" s="441"/>
      <c r="K1017" s="441"/>
      <c r="L1017" s="797"/>
      <c r="M1017" s="441"/>
      <c r="N1017" s="441"/>
      <c r="O1017" s="441"/>
      <c r="P1017" s="441"/>
      <c r="Q1017" s="441"/>
      <c r="R1017" s="426"/>
      <c r="S1017" s="441"/>
      <c r="T1017" s="441"/>
      <c r="U1017" s="441"/>
      <c r="V1017" s="441"/>
      <c r="W1017" s="441"/>
      <c r="X1017" s="441"/>
      <c r="Y1017" s="441"/>
      <c r="Z1017" s="441"/>
      <c r="AA1017" s="441"/>
      <c r="AB1017" s="441"/>
      <c r="AC1017" s="441"/>
      <c r="AD1017" s="441"/>
      <c r="AE1017" s="441"/>
      <c r="AF1017" s="441"/>
      <c r="AG1017" s="441"/>
      <c r="AH1017" s="441"/>
      <c r="AI1017" s="441"/>
      <c r="AJ1017" s="441"/>
      <c r="AK1017" s="441"/>
      <c r="AL1017" s="441"/>
      <c r="AM1017" s="441"/>
      <c r="AN1017" s="441"/>
      <c r="AO1017" s="441"/>
      <c r="AP1017" s="441"/>
      <c r="AQ1017" s="441"/>
      <c r="AR1017" s="441"/>
      <c r="AS1017" s="441"/>
      <c r="AT1017" s="441"/>
      <c r="AU1017" s="441"/>
      <c r="AV1017" s="441"/>
      <c r="AW1017" s="441"/>
      <c r="AX1017" s="441"/>
      <c r="AY1017" s="441"/>
      <c r="AZ1017" s="441"/>
      <c r="BA1017" s="441"/>
      <c r="BB1017" s="441"/>
      <c r="BC1017" s="441"/>
      <c r="BD1017" s="441"/>
      <c r="BE1017" s="441"/>
      <c r="BF1017" s="441"/>
    </row>
    <row r="1018">
      <c r="A1018" s="798"/>
      <c r="B1018" s="795"/>
      <c r="C1018" s="795"/>
      <c r="D1018" s="795"/>
      <c r="E1018" s="795"/>
      <c r="F1018" s="795"/>
      <c r="G1018" s="795"/>
      <c r="H1018" s="795"/>
      <c r="I1018" s="796"/>
      <c r="J1018" s="441"/>
      <c r="K1018" s="441"/>
      <c r="L1018" s="797"/>
      <c r="M1018" s="441"/>
      <c r="N1018" s="441"/>
      <c r="O1018" s="441"/>
      <c r="P1018" s="441"/>
      <c r="Q1018" s="441"/>
      <c r="R1018" s="426"/>
      <c r="S1018" s="441"/>
      <c r="T1018" s="441"/>
      <c r="U1018" s="441"/>
      <c r="V1018" s="441"/>
      <c r="W1018" s="441"/>
      <c r="X1018" s="441"/>
      <c r="Y1018" s="441"/>
      <c r="Z1018" s="441"/>
      <c r="AA1018" s="441"/>
      <c r="AB1018" s="441"/>
      <c r="AC1018" s="441"/>
      <c r="AD1018" s="441"/>
      <c r="AE1018" s="441"/>
      <c r="AF1018" s="441"/>
      <c r="AG1018" s="441"/>
      <c r="AH1018" s="441"/>
      <c r="AI1018" s="441"/>
      <c r="AJ1018" s="441"/>
      <c r="AK1018" s="441"/>
      <c r="AL1018" s="441"/>
      <c r="AM1018" s="441"/>
      <c r="AN1018" s="441"/>
      <c r="AO1018" s="441"/>
      <c r="AP1018" s="441"/>
      <c r="AQ1018" s="441"/>
      <c r="AR1018" s="441"/>
      <c r="AS1018" s="441"/>
      <c r="AT1018" s="441"/>
      <c r="AU1018" s="441"/>
      <c r="AV1018" s="441"/>
      <c r="AW1018" s="441"/>
      <c r="AX1018" s="441"/>
      <c r="AY1018" s="441"/>
      <c r="AZ1018" s="441"/>
      <c r="BA1018" s="441"/>
      <c r="BB1018" s="441"/>
      <c r="BC1018" s="441"/>
      <c r="BD1018" s="441"/>
      <c r="BE1018" s="441"/>
      <c r="BF1018" s="441"/>
    </row>
    <row r="1019">
      <c r="A1019" s="798"/>
      <c r="B1019" s="795"/>
      <c r="C1019" s="795"/>
      <c r="D1019" s="795"/>
      <c r="E1019" s="795"/>
      <c r="F1019" s="795"/>
      <c r="G1019" s="795"/>
      <c r="H1019" s="795"/>
      <c r="I1019" s="796"/>
      <c r="J1019" s="441"/>
      <c r="K1019" s="441"/>
      <c r="L1019" s="797"/>
      <c r="M1019" s="441"/>
      <c r="N1019" s="441"/>
      <c r="O1019" s="441"/>
      <c r="P1019" s="441"/>
      <c r="Q1019" s="441"/>
      <c r="R1019" s="426"/>
      <c r="S1019" s="441"/>
      <c r="T1019" s="441"/>
      <c r="U1019" s="441"/>
      <c r="V1019" s="441"/>
      <c r="W1019" s="441"/>
      <c r="X1019" s="441"/>
      <c r="Y1019" s="441"/>
      <c r="Z1019" s="441"/>
      <c r="AA1019" s="441"/>
      <c r="AB1019" s="441"/>
      <c r="AC1019" s="441"/>
      <c r="AD1019" s="441"/>
      <c r="AE1019" s="441"/>
      <c r="AF1019" s="441"/>
      <c r="AG1019" s="441"/>
      <c r="AH1019" s="441"/>
      <c r="AI1019" s="441"/>
      <c r="AJ1019" s="441"/>
      <c r="AK1019" s="441"/>
      <c r="AL1019" s="441"/>
      <c r="AM1019" s="441"/>
      <c r="AN1019" s="441"/>
      <c r="AO1019" s="441"/>
      <c r="AP1019" s="441"/>
      <c r="AQ1019" s="441"/>
      <c r="AR1019" s="441"/>
      <c r="AS1019" s="441"/>
      <c r="AT1019" s="441"/>
      <c r="AU1019" s="441"/>
      <c r="AV1019" s="441"/>
      <c r="AW1019" s="441"/>
      <c r="AX1019" s="441"/>
      <c r="AY1019" s="441"/>
      <c r="AZ1019" s="441"/>
      <c r="BA1019" s="441"/>
      <c r="BB1019" s="441"/>
      <c r="BC1019" s="441"/>
      <c r="BD1019" s="441"/>
      <c r="BE1019" s="441"/>
      <c r="BF1019" s="441"/>
    </row>
    <row r="1020">
      <c r="A1020" s="798"/>
      <c r="B1020" s="795"/>
      <c r="C1020" s="795"/>
      <c r="D1020" s="795"/>
      <c r="E1020" s="795"/>
      <c r="F1020" s="795"/>
      <c r="G1020" s="795"/>
      <c r="H1020" s="795"/>
      <c r="I1020" s="796"/>
      <c r="J1020" s="441"/>
      <c r="K1020" s="441"/>
      <c r="L1020" s="797"/>
      <c r="M1020" s="441"/>
      <c r="N1020" s="441"/>
      <c r="O1020" s="441"/>
      <c r="P1020" s="441"/>
      <c r="Q1020" s="441"/>
      <c r="R1020" s="426"/>
      <c r="S1020" s="441"/>
      <c r="T1020" s="441"/>
      <c r="U1020" s="441"/>
      <c r="V1020" s="441"/>
      <c r="W1020" s="441"/>
      <c r="X1020" s="441"/>
      <c r="Y1020" s="441"/>
      <c r="Z1020" s="441"/>
      <c r="AA1020" s="441"/>
      <c r="AB1020" s="441"/>
      <c r="AC1020" s="441"/>
      <c r="AD1020" s="441"/>
      <c r="AE1020" s="441"/>
      <c r="AF1020" s="441"/>
      <c r="AG1020" s="441"/>
      <c r="AH1020" s="441"/>
      <c r="AI1020" s="441"/>
      <c r="AJ1020" s="441"/>
      <c r="AK1020" s="441"/>
      <c r="AL1020" s="441"/>
      <c r="AM1020" s="441"/>
      <c r="AN1020" s="441"/>
      <c r="AO1020" s="441"/>
      <c r="AP1020" s="441"/>
      <c r="AQ1020" s="441"/>
      <c r="AR1020" s="441"/>
      <c r="AS1020" s="441"/>
      <c r="AT1020" s="441"/>
      <c r="AU1020" s="441"/>
      <c r="AV1020" s="441"/>
      <c r="AW1020" s="441"/>
      <c r="AX1020" s="441"/>
      <c r="AY1020" s="441"/>
      <c r="AZ1020" s="441"/>
      <c r="BA1020" s="441"/>
      <c r="BB1020" s="441"/>
      <c r="BC1020" s="441"/>
      <c r="BD1020" s="441"/>
      <c r="BE1020" s="441"/>
      <c r="BF1020" s="441"/>
    </row>
    <row r="1021">
      <c r="A1021" s="798"/>
      <c r="B1021" s="795"/>
      <c r="C1021" s="795"/>
      <c r="D1021" s="795"/>
      <c r="E1021" s="795"/>
      <c r="F1021" s="795"/>
      <c r="G1021" s="795"/>
      <c r="H1021" s="795"/>
      <c r="I1021" s="796"/>
      <c r="J1021" s="441"/>
      <c r="K1021" s="441"/>
      <c r="L1021" s="797"/>
      <c r="M1021" s="441"/>
      <c r="N1021" s="441"/>
      <c r="O1021" s="441"/>
      <c r="P1021" s="441"/>
      <c r="Q1021" s="441"/>
      <c r="R1021" s="426"/>
      <c r="S1021" s="441"/>
      <c r="T1021" s="441"/>
      <c r="U1021" s="441"/>
      <c r="V1021" s="441"/>
      <c r="W1021" s="441"/>
      <c r="X1021" s="441"/>
      <c r="Y1021" s="441"/>
      <c r="Z1021" s="441"/>
      <c r="AA1021" s="441"/>
      <c r="AB1021" s="441"/>
      <c r="AC1021" s="441"/>
      <c r="AD1021" s="441"/>
      <c r="AE1021" s="441"/>
      <c r="AF1021" s="441"/>
      <c r="AG1021" s="441"/>
      <c r="AH1021" s="441"/>
      <c r="AI1021" s="441"/>
      <c r="AJ1021" s="441"/>
      <c r="AK1021" s="441"/>
      <c r="AL1021" s="441"/>
      <c r="AM1021" s="441"/>
      <c r="AN1021" s="441"/>
      <c r="AO1021" s="441"/>
      <c r="AP1021" s="441"/>
      <c r="AQ1021" s="441"/>
      <c r="AR1021" s="441"/>
      <c r="AS1021" s="441"/>
      <c r="AT1021" s="441"/>
      <c r="AU1021" s="441"/>
      <c r="AV1021" s="441"/>
      <c r="AW1021" s="441"/>
      <c r="AX1021" s="441"/>
      <c r="AY1021" s="441"/>
      <c r="AZ1021" s="441"/>
      <c r="BA1021" s="441"/>
      <c r="BB1021" s="441"/>
      <c r="BC1021" s="441"/>
      <c r="BD1021" s="441"/>
      <c r="BE1021" s="441"/>
      <c r="BF1021" s="441"/>
    </row>
    <row r="1022">
      <c r="A1022" s="798"/>
      <c r="B1022" s="795"/>
      <c r="C1022" s="795"/>
      <c r="D1022" s="795"/>
      <c r="E1022" s="795"/>
      <c r="F1022" s="795"/>
      <c r="G1022" s="795"/>
      <c r="H1022" s="795"/>
      <c r="I1022" s="796"/>
      <c r="J1022" s="441"/>
      <c r="K1022" s="441"/>
      <c r="L1022" s="797"/>
      <c r="M1022" s="441"/>
      <c r="N1022" s="441"/>
      <c r="O1022" s="441"/>
      <c r="P1022" s="441"/>
      <c r="Q1022" s="441"/>
      <c r="R1022" s="426"/>
      <c r="S1022" s="441"/>
      <c r="T1022" s="441"/>
      <c r="U1022" s="441"/>
      <c r="V1022" s="441"/>
      <c r="W1022" s="441"/>
      <c r="X1022" s="441"/>
      <c r="Y1022" s="441"/>
      <c r="Z1022" s="441"/>
      <c r="AA1022" s="441"/>
      <c r="AB1022" s="441"/>
      <c r="AC1022" s="441"/>
      <c r="AD1022" s="441"/>
      <c r="AE1022" s="441"/>
      <c r="AF1022" s="441"/>
      <c r="AG1022" s="441"/>
      <c r="AH1022" s="441"/>
      <c r="AI1022" s="441"/>
      <c r="AJ1022" s="441"/>
      <c r="AK1022" s="441"/>
      <c r="AL1022" s="441"/>
      <c r="AM1022" s="441"/>
      <c r="AN1022" s="441"/>
      <c r="AO1022" s="441"/>
      <c r="AP1022" s="441"/>
      <c r="AQ1022" s="441"/>
      <c r="AR1022" s="441"/>
      <c r="AS1022" s="441"/>
      <c r="AT1022" s="441"/>
      <c r="AU1022" s="441"/>
      <c r="AV1022" s="441"/>
      <c r="AW1022" s="441"/>
      <c r="AX1022" s="441"/>
      <c r="AY1022" s="441"/>
      <c r="AZ1022" s="441"/>
      <c r="BA1022" s="441"/>
      <c r="BB1022" s="441"/>
      <c r="BC1022" s="441"/>
      <c r="BD1022" s="441"/>
      <c r="BE1022" s="441"/>
      <c r="BF1022" s="441"/>
    </row>
    <row r="1023">
      <c r="A1023" s="798"/>
      <c r="B1023" s="795"/>
      <c r="C1023" s="795"/>
      <c r="D1023" s="795"/>
      <c r="E1023" s="795"/>
      <c r="F1023" s="795"/>
      <c r="G1023" s="795"/>
      <c r="H1023" s="795"/>
      <c r="I1023" s="796"/>
      <c r="J1023" s="441"/>
      <c r="K1023" s="441"/>
      <c r="L1023" s="797"/>
      <c r="M1023" s="441"/>
      <c r="N1023" s="441"/>
      <c r="O1023" s="441"/>
      <c r="P1023" s="441"/>
      <c r="Q1023" s="441"/>
      <c r="R1023" s="426"/>
      <c r="S1023" s="441"/>
      <c r="T1023" s="441"/>
      <c r="U1023" s="441"/>
      <c r="V1023" s="441"/>
      <c r="W1023" s="441"/>
      <c r="X1023" s="441"/>
      <c r="Y1023" s="441"/>
      <c r="Z1023" s="441"/>
      <c r="AA1023" s="441"/>
      <c r="AB1023" s="441"/>
      <c r="AC1023" s="441"/>
      <c r="AD1023" s="441"/>
      <c r="AE1023" s="441"/>
      <c r="AF1023" s="441"/>
      <c r="AG1023" s="441"/>
      <c r="AH1023" s="441"/>
      <c r="AI1023" s="441"/>
      <c r="AJ1023" s="441"/>
      <c r="AK1023" s="441"/>
      <c r="AL1023" s="441"/>
      <c r="AM1023" s="4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row>
    <row r="1024">
      <c r="A1024" s="798"/>
      <c r="B1024" s="795"/>
      <c r="C1024" s="795"/>
      <c r="D1024" s="795"/>
      <c r="E1024" s="795"/>
      <c r="F1024" s="795"/>
      <c r="G1024" s="795"/>
      <c r="H1024" s="795"/>
      <c r="I1024" s="796"/>
      <c r="J1024" s="441"/>
      <c r="K1024" s="441"/>
      <c r="L1024" s="797"/>
      <c r="M1024" s="441"/>
      <c r="N1024" s="441"/>
      <c r="O1024" s="441"/>
      <c r="P1024" s="441"/>
      <c r="Q1024" s="441"/>
      <c r="R1024" s="426"/>
      <c r="S1024" s="441"/>
      <c r="T1024" s="441"/>
      <c r="U1024" s="441"/>
      <c r="V1024" s="441"/>
      <c r="W1024" s="441"/>
      <c r="X1024" s="441"/>
      <c r="Y1024" s="441"/>
      <c r="Z1024" s="441"/>
      <c r="AA1024" s="441"/>
      <c r="AB1024" s="441"/>
      <c r="AC1024" s="441"/>
      <c r="AD1024" s="441"/>
      <c r="AE1024" s="441"/>
      <c r="AF1024" s="441"/>
      <c r="AG1024" s="441"/>
      <c r="AH1024" s="441"/>
      <c r="AI1024" s="441"/>
      <c r="AJ1024" s="441"/>
      <c r="AK1024" s="441"/>
      <c r="AL1024" s="441"/>
      <c r="AM1024" s="441"/>
      <c r="AN1024" s="441"/>
      <c r="AO1024" s="441"/>
      <c r="AP1024" s="441"/>
      <c r="AQ1024" s="441"/>
      <c r="AR1024" s="441"/>
      <c r="AS1024" s="441"/>
      <c r="AT1024" s="441"/>
      <c r="AU1024" s="441"/>
      <c r="AV1024" s="441"/>
      <c r="AW1024" s="441"/>
      <c r="AX1024" s="441"/>
      <c r="AY1024" s="441"/>
      <c r="AZ1024" s="441"/>
      <c r="BA1024" s="441"/>
      <c r="BB1024" s="441"/>
      <c r="BC1024" s="441"/>
      <c r="BD1024" s="441"/>
      <c r="BE1024" s="441"/>
      <c r="BF1024" s="441"/>
    </row>
    <row r="1025">
      <c r="A1025" s="798"/>
      <c r="B1025" s="795"/>
      <c r="C1025" s="795"/>
      <c r="D1025" s="795"/>
      <c r="E1025" s="795"/>
      <c r="F1025" s="795"/>
      <c r="G1025" s="795"/>
      <c r="H1025" s="795"/>
      <c r="I1025" s="796"/>
      <c r="J1025" s="441"/>
      <c r="K1025" s="441"/>
      <c r="L1025" s="797"/>
      <c r="M1025" s="441"/>
      <c r="N1025" s="441"/>
      <c r="O1025" s="441"/>
      <c r="P1025" s="441"/>
      <c r="Q1025" s="441"/>
      <c r="R1025" s="426"/>
      <c r="S1025" s="441"/>
      <c r="T1025" s="441"/>
      <c r="U1025" s="441"/>
      <c r="V1025" s="441"/>
      <c r="W1025" s="441"/>
      <c r="X1025" s="441"/>
      <c r="Y1025" s="441"/>
      <c r="Z1025" s="441"/>
      <c r="AA1025" s="441"/>
      <c r="AB1025" s="441"/>
      <c r="AC1025" s="441"/>
      <c r="AD1025" s="441"/>
      <c r="AE1025" s="441"/>
      <c r="AF1025" s="441"/>
      <c r="AG1025" s="441"/>
      <c r="AH1025" s="441"/>
      <c r="AI1025" s="441"/>
      <c r="AJ1025" s="441"/>
      <c r="AK1025" s="441"/>
      <c r="AL1025" s="441"/>
      <c r="AM1025" s="441"/>
      <c r="AN1025" s="441"/>
      <c r="AO1025" s="441"/>
      <c r="AP1025" s="441"/>
      <c r="AQ1025" s="441"/>
      <c r="AR1025" s="441"/>
      <c r="AS1025" s="441"/>
      <c r="AT1025" s="441"/>
      <c r="AU1025" s="441"/>
      <c r="AV1025" s="441"/>
      <c r="AW1025" s="441"/>
      <c r="AX1025" s="441"/>
      <c r="AY1025" s="441"/>
      <c r="AZ1025" s="441"/>
      <c r="BA1025" s="441"/>
      <c r="BB1025" s="441"/>
      <c r="BC1025" s="441"/>
      <c r="BD1025" s="441"/>
      <c r="BE1025" s="441"/>
      <c r="BF1025" s="441"/>
    </row>
    <row r="1026">
      <c r="A1026" s="798"/>
      <c r="B1026" s="795"/>
      <c r="C1026" s="795"/>
      <c r="D1026" s="795"/>
      <c r="E1026" s="795"/>
      <c r="F1026" s="795"/>
      <c r="G1026" s="795"/>
      <c r="H1026" s="795"/>
      <c r="I1026" s="796"/>
      <c r="J1026" s="441"/>
      <c r="K1026" s="441"/>
      <c r="L1026" s="797"/>
      <c r="M1026" s="441"/>
      <c r="N1026" s="441"/>
      <c r="O1026" s="441"/>
      <c r="P1026" s="441"/>
      <c r="Q1026" s="441"/>
      <c r="R1026" s="426"/>
      <c r="S1026" s="441"/>
      <c r="T1026" s="441"/>
      <c r="U1026" s="441"/>
      <c r="V1026" s="441"/>
      <c r="W1026" s="441"/>
      <c r="X1026" s="441"/>
      <c r="Y1026" s="441"/>
      <c r="Z1026" s="441"/>
      <c r="AA1026" s="441"/>
      <c r="AB1026" s="441"/>
      <c r="AC1026" s="441"/>
      <c r="AD1026" s="441"/>
      <c r="AE1026" s="441"/>
      <c r="AF1026" s="441"/>
      <c r="AG1026" s="441"/>
      <c r="AH1026" s="441"/>
      <c r="AI1026" s="441"/>
      <c r="AJ1026" s="441"/>
      <c r="AK1026" s="441"/>
      <c r="AL1026" s="441"/>
      <c r="AM1026" s="441"/>
      <c r="AN1026" s="441"/>
      <c r="AO1026" s="441"/>
      <c r="AP1026" s="441"/>
      <c r="AQ1026" s="441"/>
      <c r="AR1026" s="441"/>
      <c r="AS1026" s="441"/>
      <c r="AT1026" s="441"/>
      <c r="AU1026" s="441"/>
      <c r="AV1026" s="441"/>
      <c r="AW1026" s="441"/>
      <c r="AX1026" s="441"/>
      <c r="AY1026" s="441"/>
      <c r="AZ1026" s="441"/>
      <c r="BA1026" s="441"/>
      <c r="BB1026" s="441"/>
      <c r="BC1026" s="441"/>
      <c r="BD1026" s="441"/>
      <c r="BE1026" s="441"/>
      <c r="BF1026" s="441"/>
    </row>
    <row r="1027">
      <c r="A1027" s="798"/>
      <c r="B1027" s="795"/>
      <c r="C1027" s="795"/>
      <c r="D1027" s="795"/>
      <c r="E1027" s="795"/>
      <c r="F1027" s="795"/>
      <c r="G1027" s="795"/>
      <c r="H1027" s="795"/>
      <c r="I1027" s="796"/>
      <c r="J1027" s="441"/>
      <c r="K1027" s="441"/>
      <c r="L1027" s="797"/>
      <c r="M1027" s="441"/>
      <c r="N1027" s="441"/>
      <c r="O1027" s="441"/>
      <c r="P1027" s="441"/>
      <c r="Q1027" s="441"/>
      <c r="R1027" s="426"/>
      <c r="S1027" s="441"/>
      <c r="T1027" s="441"/>
      <c r="U1027" s="441"/>
      <c r="V1027" s="441"/>
      <c r="W1027" s="441"/>
      <c r="X1027" s="441"/>
      <c r="Y1027" s="441"/>
      <c r="Z1027" s="441"/>
      <c r="AA1027" s="441"/>
      <c r="AB1027" s="441"/>
      <c r="AC1027" s="441"/>
      <c r="AD1027" s="441"/>
      <c r="AE1027" s="441"/>
      <c r="AF1027" s="441"/>
      <c r="AG1027" s="441"/>
      <c r="AH1027" s="441"/>
      <c r="AI1027" s="441"/>
      <c r="AJ1027" s="441"/>
      <c r="AK1027" s="441"/>
      <c r="AL1027" s="441"/>
      <c r="AM1027" s="441"/>
      <c r="AN1027" s="441"/>
      <c r="AO1027" s="441"/>
      <c r="AP1027" s="441"/>
      <c r="AQ1027" s="441"/>
      <c r="AR1027" s="441"/>
      <c r="AS1027" s="441"/>
      <c r="AT1027" s="441"/>
      <c r="AU1027" s="441"/>
      <c r="AV1027" s="441"/>
      <c r="AW1027" s="441"/>
      <c r="AX1027" s="441"/>
      <c r="AY1027" s="441"/>
      <c r="AZ1027" s="441"/>
      <c r="BA1027" s="441"/>
      <c r="BB1027" s="441"/>
      <c r="BC1027" s="441"/>
      <c r="BD1027" s="441"/>
      <c r="BE1027" s="441"/>
      <c r="BF1027" s="441"/>
    </row>
    <row r="1028">
      <c r="A1028" s="798"/>
      <c r="B1028" s="795"/>
      <c r="C1028" s="795"/>
      <c r="D1028" s="795"/>
      <c r="E1028" s="795"/>
      <c r="F1028" s="795"/>
      <c r="G1028" s="795"/>
      <c r="H1028" s="795"/>
      <c r="I1028" s="796"/>
      <c r="J1028" s="441"/>
      <c r="K1028" s="441"/>
      <c r="L1028" s="797"/>
      <c r="M1028" s="441"/>
      <c r="N1028" s="441"/>
      <c r="O1028" s="441"/>
      <c r="P1028" s="441"/>
      <c r="Q1028" s="441"/>
      <c r="R1028" s="426"/>
      <c r="S1028" s="441"/>
      <c r="T1028" s="441"/>
      <c r="U1028" s="441"/>
      <c r="V1028" s="441"/>
      <c r="W1028" s="441"/>
      <c r="X1028" s="441"/>
      <c r="Y1028" s="441"/>
      <c r="Z1028" s="441"/>
      <c r="AA1028" s="441"/>
      <c r="AB1028" s="441"/>
      <c r="AC1028" s="441"/>
      <c r="AD1028" s="441"/>
      <c r="AE1028" s="441"/>
      <c r="AF1028" s="441"/>
      <c r="AG1028" s="441"/>
      <c r="AH1028" s="441"/>
      <c r="AI1028" s="441"/>
      <c r="AJ1028" s="441"/>
      <c r="AK1028" s="441"/>
      <c r="AL1028" s="441"/>
      <c r="AM1028" s="441"/>
      <c r="AN1028" s="441"/>
      <c r="AO1028" s="441"/>
      <c r="AP1028" s="441"/>
      <c r="AQ1028" s="441"/>
      <c r="AR1028" s="441"/>
      <c r="AS1028" s="441"/>
      <c r="AT1028" s="441"/>
      <c r="AU1028" s="441"/>
      <c r="AV1028" s="441"/>
      <c r="AW1028" s="441"/>
      <c r="AX1028" s="441"/>
      <c r="AY1028" s="441"/>
      <c r="AZ1028" s="441"/>
      <c r="BA1028" s="441"/>
      <c r="BB1028" s="441"/>
      <c r="BC1028" s="441"/>
      <c r="BD1028" s="441"/>
      <c r="BE1028" s="441"/>
      <c r="BF1028" s="441"/>
    </row>
    <row r="1029">
      <c r="A1029" s="798"/>
      <c r="B1029" s="795"/>
      <c r="C1029" s="795"/>
      <c r="D1029" s="795"/>
      <c r="E1029" s="795"/>
      <c r="F1029" s="795"/>
      <c r="G1029" s="795"/>
      <c r="H1029" s="795"/>
      <c r="I1029" s="796"/>
      <c r="J1029" s="441"/>
      <c r="K1029" s="441"/>
      <c r="L1029" s="797"/>
      <c r="M1029" s="441"/>
      <c r="N1029" s="441"/>
      <c r="O1029" s="441"/>
      <c r="P1029" s="441"/>
      <c r="Q1029" s="441"/>
      <c r="R1029" s="426"/>
      <c r="S1029" s="441"/>
      <c r="T1029" s="441"/>
      <c r="U1029" s="441"/>
      <c r="V1029" s="441"/>
      <c r="W1029" s="441"/>
      <c r="X1029" s="441"/>
      <c r="Y1029" s="441"/>
      <c r="Z1029" s="441"/>
      <c r="AA1029" s="441"/>
      <c r="AB1029" s="441"/>
      <c r="AC1029" s="441"/>
      <c r="AD1029" s="441"/>
      <c r="AE1029" s="441"/>
      <c r="AF1029" s="441"/>
      <c r="AG1029" s="441"/>
      <c r="AH1029" s="441"/>
      <c r="AI1029" s="441"/>
      <c r="AJ1029" s="441"/>
      <c r="AK1029" s="441"/>
      <c r="AL1029" s="441"/>
      <c r="AM1029" s="441"/>
      <c r="AN1029" s="441"/>
      <c r="AO1029" s="441"/>
      <c r="AP1029" s="441"/>
      <c r="AQ1029" s="441"/>
      <c r="AR1029" s="441"/>
      <c r="AS1029" s="441"/>
      <c r="AT1029" s="441"/>
      <c r="AU1029" s="441"/>
      <c r="AV1029" s="441"/>
      <c r="AW1029" s="441"/>
      <c r="AX1029" s="441"/>
      <c r="AY1029" s="441"/>
      <c r="AZ1029" s="441"/>
      <c r="BA1029" s="441"/>
      <c r="BB1029" s="441"/>
      <c r="BC1029" s="441"/>
      <c r="BD1029" s="441"/>
      <c r="BE1029" s="441"/>
      <c r="BF1029" s="441"/>
    </row>
    <row r="1030">
      <c r="A1030" s="798"/>
      <c r="B1030" s="795"/>
      <c r="C1030" s="795"/>
      <c r="D1030" s="795"/>
      <c r="E1030" s="795"/>
      <c r="F1030" s="795"/>
      <c r="G1030" s="795"/>
      <c r="H1030" s="795"/>
      <c r="I1030" s="796"/>
      <c r="J1030" s="441"/>
      <c r="K1030" s="441"/>
      <c r="L1030" s="797"/>
      <c r="M1030" s="441"/>
      <c r="N1030" s="441"/>
      <c r="O1030" s="441"/>
      <c r="P1030" s="441"/>
      <c r="Q1030" s="441"/>
      <c r="R1030" s="426"/>
      <c r="S1030" s="441"/>
      <c r="T1030" s="441"/>
      <c r="U1030" s="441"/>
      <c r="V1030" s="441"/>
      <c r="W1030" s="441"/>
      <c r="X1030" s="441"/>
      <c r="Y1030" s="441"/>
      <c r="Z1030" s="441"/>
      <c r="AA1030" s="441"/>
      <c r="AB1030" s="441"/>
      <c r="AC1030" s="441"/>
      <c r="AD1030" s="441"/>
      <c r="AE1030" s="441"/>
      <c r="AF1030" s="441"/>
      <c r="AG1030" s="441"/>
      <c r="AH1030" s="441"/>
      <c r="AI1030" s="441"/>
      <c r="AJ1030" s="441"/>
      <c r="AK1030" s="441"/>
      <c r="AL1030" s="441"/>
      <c r="AM1030" s="441"/>
      <c r="AN1030" s="441"/>
      <c r="AO1030" s="441"/>
      <c r="AP1030" s="441"/>
      <c r="AQ1030" s="441"/>
      <c r="AR1030" s="441"/>
      <c r="AS1030" s="441"/>
      <c r="AT1030" s="441"/>
      <c r="AU1030" s="441"/>
      <c r="AV1030" s="441"/>
      <c r="AW1030" s="441"/>
      <c r="AX1030" s="441"/>
      <c r="AY1030" s="441"/>
      <c r="AZ1030" s="441"/>
      <c r="BA1030" s="441"/>
      <c r="BB1030" s="441"/>
      <c r="BC1030" s="441"/>
      <c r="BD1030" s="441"/>
      <c r="BE1030" s="441"/>
      <c r="BF1030" s="441"/>
    </row>
    <row r="1031">
      <c r="A1031" s="798"/>
      <c r="B1031" s="795"/>
      <c r="C1031" s="795"/>
      <c r="D1031" s="795"/>
      <c r="E1031" s="795"/>
      <c r="F1031" s="795"/>
      <c r="G1031" s="795"/>
      <c r="H1031" s="795"/>
      <c r="I1031" s="796"/>
      <c r="J1031" s="441"/>
      <c r="K1031" s="441"/>
      <c r="L1031" s="797"/>
      <c r="M1031" s="441"/>
      <c r="N1031" s="441"/>
      <c r="O1031" s="441"/>
      <c r="P1031" s="441"/>
      <c r="Q1031" s="441"/>
      <c r="R1031" s="426"/>
      <c r="S1031" s="441"/>
      <c r="T1031" s="441"/>
      <c r="U1031" s="441"/>
      <c r="V1031" s="441"/>
      <c r="W1031" s="441"/>
      <c r="X1031" s="441"/>
      <c r="Y1031" s="441"/>
      <c r="Z1031" s="441"/>
      <c r="AA1031" s="441"/>
      <c r="AB1031" s="441"/>
      <c r="AC1031" s="441"/>
      <c r="AD1031" s="441"/>
      <c r="AE1031" s="441"/>
      <c r="AF1031" s="441"/>
      <c r="AG1031" s="441"/>
      <c r="AH1031" s="441"/>
      <c r="AI1031" s="441"/>
      <c r="AJ1031" s="441"/>
      <c r="AK1031" s="441"/>
      <c r="AL1031" s="441"/>
      <c r="AM1031" s="441"/>
      <c r="AN1031" s="441"/>
      <c r="AO1031" s="441"/>
      <c r="AP1031" s="441"/>
      <c r="AQ1031" s="441"/>
      <c r="AR1031" s="441"/>
      <c r="AS1031" s="441"/>
      <c r="AT1031" s="441"/>
      <c r="AU1031" s="441"/>
      <c r="AV1031" s="441"/>
      <c r="AW1031" s="441"/>
      <c r="AX1031" s="441"/>
      <c r="AY1031" s="441"/>
      <c r="AZ1031" s="441"/>
      <c r="BA1031" s="441"/>
      <c r="BB1031" s="441"/>
      <c r="BC1031" s="441"/>
      <c r="BD1031" s="441"/>
      <c r="BE1031" s="441"/>
      <c r="BF1031" s="441"/>
    </row>
    <row r="1032">
      <c r="A1032" s="798"/>
      <c r="B1032" s="795"/>
      <c r="C1032" s="795"/>
      <c r="D1032" s="795"/>
      <c r="E1032" s="795"/>
      <c r="F1032" s="795"/>
      <c r="G1032" s="795"/>
      <c r="H1032" s="795"/>
      <c r="I1032" s="796"/>
      <c r="J1032" s="441"/>
      <c r="K1032" s="441"/>
      <c r="L1032" s="797"/>
      <c r="M1032" s="441"/>
      <c r="N1032" s="441"/>
      <c r="O1032" s="441"/>
      <c r="P1032" s="441"/>
      <c r="Q1032" s="441"/>
      <c r="R1032" s="426"/>
      <c r="S1032" s="441"/>
      <c r="T1032" s="441"/>
      <c r="U1032" s="441"/>
      <c r="V1032" s="441"/>
      <c r="W1032" s="441"/>
      <c r="X1032" s="441"/>
      <c r="Y1032" s="441"/>
      <c r="Z1032" s="441"/>
      <c r="AA1032" s="441"/>
      <c r="AB1032" s="441"/>
      <c r="AC1032" s="441"/>
      <c r="AD1032" s="441"/>
      <c r="AE1032" s="441"/>
      <c r="AF1032" s="441"/>
      <c r="AG1032" s="441"/>
      <c r="AH1032" s="441"/>
      <c r="AI1032" s="441"/>
      <c r="AJ1032" s="441"/>
      <c r="AK1032" s="441"/>
      <c r="AL1032" s="441"/>
      <c r="AM1032" s="441"/>
      <c r="AN1032" s="441"/>
      <c r="AO1032" s="441"/>
      <c r="AP1032" s="441"/>
      <c r="AQ1032" s="441"/>
      <c r="AR1032" s="441"/>
      <c r="AS1032" s="441"/>
      <c r="AT1032" s="441"/>
      <c r="AU1032" s="441"/>
      <c r="AV1032" s="441"/>
      <c r="AW1032" s="441"/>
      <c r="AX1032" s="441"/>
      <c r="AY1032" s="441"/>
      <c r="AZ1032" s="441"/>
      <c r="BA1032" s="441"/>
      <c r="BB1032" s="441"/>
      <c r="BC1032" s="441"/>
      <c r="BD1032" s="441"/>
      <c r="BE1032" s="441"/>
      <c r="BF1032" s="441"/>
    </row>
    <row r="1033">
      <c r="A1033" s="798"/>
      <c r="B1033" s="795"/>
      <c r="C1033" s="795"/>
      <c r="D1033" s="795"/>
      <c r="E1033" s="795"/>
      <c r="F1033" s="795"/>
      <c r="G1033" s="795"/>
      <c r="H1033" s="795"/>
      <c r="I1033" s="796"/>
      <c r="J1033" s="441"/>
      <c r="K1033" s="441"/>
      <c r="L1033" s="797"/>
      <c r="M1033" s="441"/>
      <c r="N1033" s="441"/>
      <c r="O1033" s="441"/>
      <c r="P1033" s="441"/>
      <c r="Q1033" s="441"/>
      <c r="R1033" s="426"/>
      <c r="S1033" s="441"/>
      <c r="T1033" s="441"/>
      <c r="U1033" s="441"/>
      <c r="V1033" s="441"/>
      <c r="W1033" s="441"/>
      <c r="X1033" s="441"/>
      <c r="Y1033" s="441"/>
      <c r="Z1033" s="441"/>
      <c r="AA1033" s="441"/>
      <c r="AB1033" s="441"/>
      <c r="AC1033" s="441"/>
      <c r="AD1033" s="441"/>
      <c r="AE1033" s="441"/>
      <c r="AF1033" s="441"/>
      <c r="AG1033" s="441"/>
      <c r="AH1033" s="441"/>
      <c r="AI1033" s="441"/>
      <c r="AJ1033" s="441"/>
      <c r="AK1033" s="441"/>
      <c r="AL1033" s="441"/>
      <c r="AM1033" s="441"/>
      <c r="AN1033" s="441"/>
      <c r="AO1033" s="441"/>
      <c r="AP1033" s="441"/>
      <c r="AQ1033" s="441"/>
      <c r="AR1033" s="441"/>
      <c r="AS1033" s="441"/>
      <c r="AT1033" s="441"/>
      <c r="AU1033" s="441"/>
      <c r="AV1033" s="441"/>
      <c r="AW1033" s="441"/>
      <c r="AX1033" s="441"/>
      <c r="AY1033" s="441"/>
      <c r="AZ1033" s="441"/>
      <c r="BA1033" s="441"/>
      <c r="BB1033" s="441"/>
      <c r="BC1033" s="441"/>
      <c r="BD1033" s="441"/>
      <c r="BE1033" s="441"/>
      <c r="BF1033" s="441"/>
    </row>
    <row r="1034">
      <c r="A1034" s="798"/>
      <c r="B1034" s="795"/>
      <c r="C1034" s="795"/>
      <c r="D1034" s="795"/>
      <c r="E1034" s="795"/>
      <c r="F1034" s="795"/>
      <c r="G1034" s="795"/>
      <c r="H1034" s="795"/>
      <c r="I1034" s="796"/>
      <c r="J1034" s="441"/>
      <c r="K1034" s="441"/>
      <c r="L1034" s="797"/>
      <c r="M1034" s="441"/>
      <c r="N1034" s="441"/>
      <c r="O1034" s="441"/>
      <c r="P1034" s="441"/>
      <c r="Q1034" s="441"/>
      <c r="R1034" s="426"/>
      <c r="S1034" s="441"/>
      <c r="T1034" s="441"/>
      <c r="U1034" s="441"/>
      <c r="V1034" s="441"/>
      <c r="W1034" s="441"/>
      <c r="X1034" s="441"/>
      <c r="Y1034" s="441"/>
      <c r="Z1034" s="441"/>
      <c r="AA1034" s="441"/>
      <c r="AB1034" s="441"/>
      <c r="AC1034" s="441"/>
      <c r="AD1034" s="441"/>
      <c r="AE1034" s="441"/>
      <c r="AF1034" s="441"/>
      <c r="AG1034" s="441"/>
      <c r="AH1034" s="441"/>
      <c r="AI1034" s="441"/>
      <c r="AJ1034" s="441"/>
      <c r="AK1034" s="441"/>
      <c r="AL1034" s="441"/>
      <c r="AM1034" s="441"/>
      <c r="AN1034" s="441"/>
      <c r="AO1034" s="441"/>
      <c r="AP1034" s="441"/>
      <c r="AQ1034" s="441"/>
      <c r="AR1034" s="441"/>
      <c r="AS1034" s="441"/>
      <c r="AT1034" s="441"/>
      <c r="AU1034" s="441"/>
      <c r="AV1034" s="441"/>
      <c r="AW1034" s="441"/>
      <c r="AX1034" s="441"/>
      <c r="AY1034" s="441"/>
      <c r="AZ1034" s="441"/>
      <c r="BA1034" s="441"/>
      <c r="BB1034" s="441"/>
      <c r="BC1034" s="441"/>
      <c r="BD1034" s="441"/>
      <c r="BE1034" s="441"/>
      <c r="BF1034" s="441"/>
    </row>
    <row r="1035">
      <c r="A1035" s="798"/>
      <c r="B1035" s="795"/>
      <c r="C1035" s="795"/>
      <c r="D1035" s="795"/>
      <c r="E1035" s="795"/>
      <c r="F1035" s="795"/>
      <c r="G1035" s="795"/>
      <c r="H1035" s="795"/>
      <c r="I1035" s="796"/>
      <c r="J1035" s="441"/>
      <c r="K1035" s="441"/>
      <c r="L1035" s="797"/>
      <c r="M1035" s="441"/>
      <c r="N1035" s="441"/>
      <c r="O1035" s="441"/>
      <c r="P1035" s="441"/>
      <c r="Q1035" s="441"/>
      <c r="R1035" s="426"/>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row>
    <row r="1036">
      <c r="A1036" s="798"/>
      <c r="B1036" s="795"/>
      <c r="C1036" s="795"/>
      <c r="D1036" s="795"/>
      <c r="E1036" s="795"/>
      <c r="F1036" s="795"/>
      <c r="G1036" s="795"/>
      <c r="H1036" s="795"/>
      <c r="I1036" s="796"/>
      <c r="J1036" s="441"/>
      <c r="K1036" s="441"/>
      <c r="L1036" s="797"/>
      <c r="M1036" s="441"/>
      <c r="N1036" s="441"/>
      <c r="O1036" s="441"/>
      <c r="P1036" s="441"/>
      <c r="Q1036" s="441"/>
      <c r="R1036" s="426"/>
      <c r="S1036" s="441"/>
      <c r="T1036" s="441"/>
      <c r="U1036" s="441"/>
      <c r="V1036" s="441"/>
      <c r="W1036" s="441"/>
      <c r="X1036" s="441"/>
      <c r="Y1036" s="441"/>
      <c r="Z1036" s="441"/>
      <c r="AA1036" s="441"/>
      <c r="AB1036" s="441"/>
      <c r="AC1036" s="441"/>
      <c r="AD1036" s="441"/>
      <c r="AE1036" s="441"/>
      <c r="AF1036" s="441"/>
      <c r="AG1036" s="441"/>
      <c r="AH1036" s="441"/>
      <c r="AI1036" s="441"/>
      <c r="AJ1036" s="441"/>
      <c r="AK1036" s="441"/>
      <c r="AL1036" s="441"/>
      <c r="AM1036" s="441"/>
      <c r="AN1036" s="441"/>
      <c r="AO1036" s="441"/>
      <c r="AP1036" s="441"/>
      <c r="AQ1036" s="441"/>
      <c r="AR1036" s="441"/>
      <c r="AS1036" s="441"/>
      <c r="AT1036" s="441"/>
      <c r="AU1036" s="441"/>
      <c r="AV1036" s="441"/>
      <c r="AW1036" s="441"/>
      <c r="AX1036" s="441"/>
      <c r="AY1036" s="441"/>
      <c r="AZ1036" s="441"/>
      <c r="BA1036" s="441"/>
      <c r="BB1036" s="441"/>
      <c r="BC1036" s="441"/>
      <c r="BD1036" s="441"/>
      <c r="BE1036" s="441"/>
      <c r="BF1036" s="441"/>
    </row>
    <row r="1037">
      <c r="A1037" s="798"/>
      <c r="B1037" s="795"/>
      <c r="C1037" s="795"/>
      <c r="D1037" s="795"/>
      <c r="E1037" s="795"/>
      <c r="F1037" s="795"/>
      <c r="G1037" s="795"/>
      <c r="H1037" s="795"/>
      <c r="I1037" s="796"/>
      <c r="J1037" s="441"/>
      <c r="K1037" s="441"/>
      <c r="L1037" s="797"/>
      <c r="M1037" s="441"/>
      <c r="N1037" s="441"/>
      <c r="O1037" s="441"/>
      <c r="P1037" s="441"/>
      <c r="Q1037" s="441"/>
      <c r="R1037" s="426"/>
      <c r="S1037" s="441"/>
      <c r="T1037" s="441"/>
      <c r="U1037" s="441"/>
      <c r="V1037" s="441"/>
      <c r="W1037" s="441"/>
      <c r="X1037" s="441"/>
      <c r="Y1037" s="441"/>
      <c r="Z1037" s="441"/>
      <c r="AA1037" s="441"/>
      <c r="AB1037" s="441"/>
      <c r="AC1037" s="441"/>
      <c r="AD1037" s="441"/>
      <c r="AE1037" s="441"/>
      <c r="AF1037" s="441"/>
      <c r="AG1037" s="441"/>
      <c r="AH1037" s="441"/>
      <c r="AI1037" s="441"/>
      <c r="AJ1037" s="441"/>
      <c r="AK1037" s="441"/>
      <c r="AL1037" s="441"/>
      <c r="AM1037" s="441"/>
      <c r="AN1037" s="441"/>
      <c r="AO1037" s="441"/>
      <c r="AP1037" s="441"/>
      <c r="AQ1037" s="441"/>
      <c r="AR1037" s="441"/>
      <c r="AS1037" s="441"/>
      <c r="AT1037" s="441"/>
      <c r="AU1037" s="441"/>
      <c r="AV1037" s="441"/>
      <c r="AW1037" s="441"/>
      <c r="AX1037" s="441"/>
      <c r="AY1037" s="441"/>
      <c r="AZ1037" s="441"/>
      <c r="BA1037" s="441"/>
      <c r="BB1037" s="441"/>
      <c r="BC1037" s="441"/>
      <c r="BD1037" s="441"/>
      <c r="BE1037" s="441"/>
      <c r="BF1037" s="441"/>
    </row>
    <row r="1038">
      <c r="A1038" s="798"/>
      <c r="B1038" s="795"/>
      <c r="C1038" s="795"/>
      <c r="D1038" s="795"/>
      <c r="E1038" s="795"/>
      <c r="F1038" s="795"/>
      <c r="G1038" s="795"/>
      <c r="H1038" s="795"/>
      <c r="I1038" s="796"/>
      <c r="J1038" s="441"/>
      <c r="K1038" s="441"/>
      <c r="L1038" s="797"/>
      <c r="M1038" s="441"/>
      <c r="N1038" s="441"/>
      <c r="O1038" s="441"/>
      <c r="P1038" s="441"/>
      <c r="Q1038" s="441"/>
      <c r="R1038" s="426"/>
      <c r="S1038" s="441"/>
      <c r="T1038" s="441"/>
      <c r="U1038" s="441"/>
      <c r="V1038" s="441"/>
      <c r="W1038" s="441"/>
      <c r="X1038" s="441"/>
      <c r="Y1038" s="441"/>
      <c r="Z1038" s="441"/>
      <c r="AA1038" s="441"/>
      <c r="AB1038" s="441"/>
      <c r="AC1038" s="441"/>
      <c r="AD1038" s="441"/>
      <c r="AE1038" s="441"/>
      <c r="AF1038" s="441"/>
      <c r="AG1038" s="441"/>
      <c r="AH1038" s="441"/>
      <c r="AI1038" s="441"/>
      <c r="AJ1038" s="441"/>
      <c r="AK1038" s="441"/>
      <c r="AL1038" s="441"/>
      <c r="AM1038" s="441"/>
      <c r="AN1038" s="441"/>
      <c r="AO1038" s="441"/>
      <c r="AP1038" s="441"/>
      <c r="AQ1038" s="441"/>
      <c r="AR1038" s="441"/>
      <c r="AS1038" s="441"/>
      <c r="AT1038" s="441"/>
      <c r="AU1038" s="441"/>
      <c r="AV1038" s="441"/>
      <c r="AW1038" s="441"/>
      <c r="AX1038" s="441"/>
      <c r="AY1038" s="441"/>
      <c r="AZ1038" s="441"/>
      <c r="BA1038" s="441"/>
      <c r="BB1038" s="441"/>
      <c r="BC1038" s="441"/>
      <c r="BD1038" s="441"/>
      <c r="BE1038" s="441"/>
      <c r="BF1038" s="441"/>
    </row>
    <row r="1039">
      <c r="A1039" s="798"/>
      <c r="B1039" s="795"/>
      <c r="C1039" s="795"/>
      <c r="D1039" s="795"/>
      <c r="E1039" s="795"/>
      <c r="F1039" s="795"/>
      <c r="G1039" s="795"/>
      <c r="H1039" s="795"/>
      <c r="I1039" s="796"/>
      <c r="J1039" s="441"/>
      <c r="K1039" s="441"/>
      <c r="L1039" s="797"/>
      <c r="M1039" s="441"/>
      <c r="N1039" s="441"/>
      <c r="O1039" s="441"/>
      <c r="P1039" s="441"/>
      <c r="Q1039" s="441"/>
      <c r="R1039" s="426"/>
      <c r="S1039" s="441"/>
      <c r="T1039" s="441"/>
      <c r="U1039" s="441"/>
      <c r="V1039" s="441"/>
      <c r="W1039" s="441"/>
      <c r="X1039" s="441"/>
      <c r="Y1039" s="441"/>
      <c r="Z1039" s="441"/>
      <c r="AA1039" s="441"/>
      <c r="AB1039" s="441"/>
      <c r="AC1039" s="441"/>
      <c r="AD1039" s="441"/>
      <c r="AE1039" s="441"/>
      <c r="AF1039" s="441"/>
      <c r="AG1039" s="441"/>
      <c r="AH1039" s="441"/>
      <c r="AI1039" s="441"/>
      <c r="AJ1039" s="441"/>
      <c r="AK1039" s="441"/>
      <c r="AL1039" s="441"/>
      <c r="AM1039" s="441"/>
      <c r="AN1039" s="441"/>
      <c r="AO1039" s="441"/>
      <c r="AP1039" s="441"/>
      <c r="AQ1039" s="441"/>
      <c r="AR1039" s="441"/>
      <c r="AS1039" s="441"/>
      <c r="AT1039" s="441"/>
      <c r="AU1039" s="441"/>
      <c r="AV1039" s="441"/>
      <c r="AW1039" s="441"/>
      <c r="AX1039" s="441"/>
      <c r="AY1039" s="441"/>
      <c r="AZ1039" s="441"/>
      <c r="BA1039" s="441"/>
      <c r="BB1039" s="441"/>
      <c r="BC1039" s="441"/>
      <c r="BD1039" s="441"/>
      <c r="BE1039" s="441"/>
      <c r="BF1039" s="441"/>
    </row>
    <row r="1040">
      <c r="A1040" s="798"/>
      <c r="B1040" s="795"/>
      <c r="C1040" s="795"/>
      <c r="D1040" s="795"/>
      <c r="E1040" s="795"/>
      <c r="F1040" s="795"/>
      <c r="G1040" s="795"/>
      <c r="H1040" s="795"/>
      <c r="I1040" s="796"/>
      <c r="J1040" s="441"/>
      <c r="K1040" s="441"/>
      <c r="L1040" s="797"/>
      <c r="M1040" s="441"/>
      <c r="N1040" s="441"/>
      <c r="O1040" s="441"/>
      <c r="P1040" s="441"/>
      <c r="Q1040" s="441"/>
      <c r="R1040" s="426"/>
      <c r="S1040" s="441"/>
      <c r="T1040" s="441"/>
      <c r="U1040" s="441"/>
      <c r="V1040" s="441"/>
      <c r="W1040" s="441"/>
      <c r="X1040" s="441"/>
      <c r="Y1040" s="441"/>
      <c r="Z1040" s="441"/>
      <c r="AA1040" s="441"/>
      <c r="AB1040" s="441"/>
      <c r="AC1040" s="441"/>
      <c r="AD1040" s="441"/>
      <c r="AE1040" s="441"/>
      <c r="AF1040" s="441"/>
      <c r="AG1040" s="441"/>
      <c r="AH1040" s="441"/>
      <c r="AI1040" s="441"/>
      <c r="AJ1040" s="441"/>
      <c r="AK1040" s="441"/>
      <c r="AL1040" s="441"/>
      <c r="AM1040" s="441"/>
      <c r="AN1040" s="441"/>
      <c r="AO1040" s="441"/>
      <c r="AP1040" s="441"/>
      <c r="AQ1040" s="441"/>
      <c r="AR1040" s="441"/>
      <c r="AS1040" s="441"/>
      <c r="AT1040" s="441"/>
      <c r="AU1040" s="441"/>
      <c r="AV1040" s="441"/>
      <c r="AW1040" s="441"/>
      <c r="AX1040" s="441"/>
      <c r="AY1040" s="441"/>
      <c r="AZ1040" s="441"/>
      <c r="BA1040" s="441"/>
      <c r="BB1040" s="441"/>
      <c r="BC1040" s="441"/>
      <c r="BD1040" s="441"/>
      <c r="BE1040" s="441"/>
      <c r="BF1040" s="441"/>
    </row>
    <row r="1041">
      <c r="A1041" s="798"/>
      <c r="B1041" s="795"/>
      <c r="C1041" s="795"/>
      <c r="D1041" s="795"/>
      <c r="E1041" s="795"/>
      <c r="F1041" s="795"/>
      <c r="G1041" s="795"/>
      <c r="H1041" s="795"/>
      <c r="I1041" s="796"/>
      <c r="J1041" s="441"/>
      <c r="K1041" s="441"/>
      <c r="L1041" s="797"/>
      <c r="M1041" s="441"/>
      <c r="N1041" s="441"/>
      <c r="O1041" s="441"/>
      <c r="P1041" s="441"/>
      <c r="Q1041" s="441"/>
      <c r="R1041" s="426"/>
      <c r="S1041" s="441"/>
      <c r="T1041" s="441"/>
      <c r="U1041" s="441"/>
      <c r="V1041" s="441"/>
      <c r="W1041" s="441"/>
      <c r="X1041" s="441"/>
      <c r="Y1041" s="441"/>
      <c r="Z1041" s="441"/>
      <c r="AA1041" s="441"/>
      <c r="AB1041" s="441"/>
      <c r="AC1041" s="441"/>
      <c r="AD1041" s="441"/>
      <c r="AE1041" s="441"/>
      <c r="AF1041" s="441"/>
      <c r="AG1041" s="441"/>
      <c r="AH1041" s="441"/>
      <c r="AI1041" s="441"/>
      <c r="AJ1041" s="441"/>
      <c r="AK1041" s="441"/>
      <c r="AL1041" s="441"/>
      <c r="AM1041" s="441"/>
      <c r="AN1041" s="441"/>
      <c r="AO1041" s="441"/>
      <c r="AP1041" s="441"/>
      <c r="AQ1041" s="441"/>
      <c r="AR1041" s="441"/>
      <c r="AS1041" s="441"/>
      <c r="AT1041" s="441"/>
      <c r="AU1041" s="441"/>
      <c r="AV1041" s="441"/>
      <c r="AW1041" s="441"/>
      <c r="AX1041" s="441"/>
      <c r="AY1041" s="441"/>
      <c r="AZ1041" s="441"/>
      <c r="BA1041" s="441"/>
      <c r="BB1041" s="441"/>
      <c r="BC1041" s="441"/>
      <c r="BD1041" s="441"/>
      <c r="BE1041" s="441"/>
      <c r="BF1041" s="441"/>
    </row>
    <row r="1042">
      <c r="A1042" s="798"/>
      <c r="B1042" s="795"/>
      <c r="C1042" s="795"/>
      <c r="D1042" s="795"/>
      <c r="E1042" s="795"/>
      <c r="F1042" s="795"/>
      <c r="G1042" s="795"/>
      <c r="H1042" s="795"/>
      <c r="I1042" s="796"/>
      <c r="J1042" s="441"/>
      <c r="K1042" s="441"/>
      <c r="L1042" s="797"/>
      <c r="M1042" s="441"/>
      <c r="N1042" s="441"/>
      <c r="O1042" s="441"/>
      <c r="P1042" s="441"/>
      <c r="Q1042" s="441"/>
      <c r="R1042" s="426"/>
      <c r="S1042" s="441"/>
      <c r="T1042" s="441"/>
      <c r="U1042" s="441"/>
      <c r="V1042" s="441"/>
      <c r="W1042" s="441"/>
      <c r="X1042" s="441"/>
      <c r="Y1042" s="441"/>
      <c r="Z1042" s="441"/>
      <c r="AA1042" s="441"/>
      <c r="AB1042" s="441"/>
      <c r="AC1042" s="441"/>
      <c r="AD1042" s="441"/>
      <c r="AE1042" s="441"/>
      <c r="AF1042" s="441"/>
      <c r="AG1042" s="441"/>
      <c r="AH1042" s="441"/>
      <c r="AI1042" s="441"/>
      <c r="AJ1042" s="441"/>
      <c r="AK1042" s="441"/>
      <c r="AL1042" s="441"/>
      <c r="AM1042" s="441"/>
      <c r="AN1042" s="441"/>
      <c r="AO1042" s="441"/>
      <c r="AP1042" s="441"/>
      <c r="AQ1042" s="441"/>
      <c r="AR1042" s="441"/>
      <c r="AS1042" s="441"/>
      <c r="AT1042" s="441"/>
      <c r="AU1042" s="441"/>
      <c r="AV1042" s="441"/>
      <c r="AW1042" s="441"/>
      <c r="AX1042" s="441"/>
      <c r="AY1042" s="441"/>
      <c r="AZ1042" s="441"/>
      <c r="BA1042" s="441"/>
      <c r="BB1042" s="441"/>
      <c r="BC1042" s="441"/>
      <c r="BD1042" s="441"/>
      <c r="BE1042" s="441"/>
      <c r="BF1042" s="441"/>
    </row>
    <row r="1043">
      <c r="A1043" s="798"/>
      <c r="B1043" s="795"/>
      <c r="C1043" s="795"/>
      <c r="D1043" s="795"/>
      <c r="E1043" s="795"/>
      <c r="F1043" s="795"/>
      <c r="G1043" s="795"/>
      <c r="H1043" s="795"/>
      <c r="I1043" s="796"/>
      <c r="J1043" s="441"/>
      <c r="K1043" s="441"/>
      <c r="L1043" s="797"/>
      <c r="M1043" s="441"/>
      <c r="N1043" s="441"/>
      <c r="O1043" s="441"/>
      <c r="P1043" s="441"/>
      <c r="Q1043" s="441"/>
      <c r="R1043" s="426"/>
      <c r="S1043" s="441"/>
      <c r="T1043" s="441"/>
      <c r="U1043" s="441"/>
      <c r="V1043" s="441"/>
      <c r="W1043" s="441"/>
      <c r="X1043" s="441"/>
      <c r="Y1043" s="441"/>
      <c r="Z1043" s="441"/>
      <c r="AA1043" s="441"/>
      <c r="AB1043" s="441"/>
      <c r="AC1043" s="441"/>
      <c r="AD1043" s="441"/>
      <c r="AE1043" s="441"/>
      <c r="AF1043" s="441"/>
      <c r="AG1043" s="441"/>
      <c r="AH1043" s="441"/>
      <c r="AI1043" s="441"/>
      <c r="AJ1043" s="441"/>
      <c r="AK1043" s="441"/>
      <c r="AL1043" s="441"/>
      <c r="AM1043" s="441"/>
      <c r="AN1043" s="441"/>
      <c r="AO1043" s="441"/>
      <c r="AP1043" s="441"/>
      <c r="AQ1043" s="441"/>
      <c r="AR1043" s="441"/>
      <c r="AS1043" s="441"/>
      <c r="AT1043" s="441"/>
      <c r="AU1043" s="441"/>
      <c r="AV1043" s="441"/>
      <c r="AW1043" s="441"/>
      <c r="AX1043" s="441"/>
      <c r="AY1043" s="441"/>
      <c r="AZ1043" s="441"/>
      <c r="BA1043" s="441"/>
      <c r="BB1043" s="441"/>
      <c r="BC1043" s="441"/>
      <c r="BD1043" s="441"/>
      <c r="BE1043" s="441"/>
      <c r="BF1043" s="441"/>
    </row>
    <row r="1044">
      <c r="A1044" s="798"/>
      <c r="B1044" s="795"/>
      <c r="C1044" s="795"/>
      <c r="D1044" s="795"/>
      <c r="E1044" s="795"/>
      <c r="F1044" s="795"/>
      <c r="G1044" s="795"/>
      <c r="H1044" s="795"/>
      <c r="I1044" s="796"/>
      <c r="J1044" s="441"/>
      <c r="K1044" s="441"/>
      <c r="L1044" s="797"/>
      <c r="M1044" s="441"/>
      <c r="N1044" s="441"/>
      <c r="O1044" s="441"/>
      <c r="P1044" s="441"/>
      <c r="Q1044" s="441"/>
      <c r="R1044" s="426"/>
      <c r="S1044" s="441"/>
      <c r="T1044" s="441"/>
      <c r="U1044" s="441"/>
      <c r="V1044" s="441"/>
      <c r="W1044" s="441"/>
      <c r="X1044" s="441"/>
      <c r="Y1044" s="441"/>
      <c r="Z1044" s="441"/>
      <c r="AA1044" s="441"/>
      <c r="AB1044" s="441"/>
      <c r="AC1044" s="441"/>
      <c r="AD1044" s="441"/>
      <c r="AE1044" s="441"/>
      <c r="AF1044" s="441"/>
      <c r="AG1044" s="441"/>
      <c r="AH1044" s="441"/>
      <c r="AI1044" s="441"/>
      <c r="AJ1044" s="441"/>
      <c r="AK1044" s="441"/>
      <c r="AL1044" s="441"/>
      <c r="AM1044" s="441"/>
      <c r="AN1044" s="441"/>
      <c r="AO1044" s="441"/>
      <c r="AP1044" s="441"/>
      <c r="AQ1044" s="441"/>
      <c r="AR1044" s="441"/>
      <c r="AS1044" s="441"/>
      <c r="AT1044" s="441"/>
      <c r="AU1044" s="441"/>
      <c r="AV1044" s="441"/>
      <c r="AW1044" s="441"/>
      <c r="AX1044" s="441"/>
      <c r="AY1044" s="441"/>
      <c r="AZ1044" s="441"/>
      <c r="BA1044" s="441"/>
      <c r="BB1044" s="441"/>
      <c r="BC1044" s="441"/>
      <c r="BD1044" s="441"/>
      <c r="BE1044" s="441"/>
      <c r="BF1044" s="441"/>
    </row>
    <row r="1045">
      <c r="A1045" s="798"/>
      <c r="B1045" s="795"/>
      <c r="C1045" s="795"/>
      <c r="D1045" s="795"/>
      <c r="E1045" s="795"/>
      <c r="F1045" s="795"/>
      <c r="G1045" s="795"/>
      <c r="H1045" s="795"/>
      <c r="I1045" s="796"/>
      <c r="J1045" s="441"/>
      <c r="K1045" s="441"/>
      <c r="L1045" s="797"/>
      <c r="M1045" s="441"/>
      <c r="N1045" s="441"/>
      <c r="O1045" s="441"/>
      <c r="P1045" s="441"/>
      <c r="Q1045" s="441"/>
      <c r="R1045" s="426"/>
      <c r="S1045" s="441"/>
      <c r="T1045" s="441"/>
      <c r="U1045" s="441"/>
      <c r="V1045" s="441"/>
      <c r="W1045" s="441"/>
      <c r="X1045" s="441"/>
      <c r="Y1045" s="441"/>
      <c r="Z1045" s="441"/>
      <c r="AA1045" s="441"/>
      <c r="AB1045" s="441"/>
      <c r="AC1045" s="441"/>
      <c r="AD1045" s="441"/>
      <c r="AE1045" s="441"/>
      <c r="AF1045" s="441"/>
      <c r="AG1045" s="441"/>
      <c r="AH1045" s="441"/>
      <c r="AI1045" s="441"/>
      <c r="AJ1045" s="441"/>
      <c r="AK1045" s="441"/>
      <c r="AL1045" s="441"/>
      <c r="AM1045" s="441"/>
      <c r="AN1045" s="441"/>
      <c r="AO1045" s="441"/>
      <c r="AP1045" s="441"/>
      <c r="AQ1045" s="441"/>
      <c r="AR1045" s="441"/>
      <c r="AS1045" s="441"/>
      <c r="AT1045" s="441"/>
      <c r="AU1045" s="441"/>
      <c r="AV1045" s="441"/>
      <c r="AW1045" s="441"/>
      <c r="AX1045" s="441"/>
      <c r="AY1045" s="441"/>
      <c r="AZ1045" s="441"/>
      <c r="BA1045" s="441"/>
      <c r="BB1045" s="441"/>
      <c r="BC1045" s="441"/>
      <c r="BD1045" s="441"/>
      <c r="BE1045" s="441"/>
      <c r="BF1045" s="441"/>
    </row>
    <row r="1046">
      <c r="A1046" s="798"/>
      <c r="B1046" s="795"/>
      <c r="C1046" s="795"/>
      <c r="D1046" s="795"/>
      <c r="E1046" s="795"/>
      <c r="F1046" s="795"/>
      <c r="G1046" s="795"/>
      <c r="H1046" s="795"/>
      <c r="I1046" s="796"/>
      <c r="J1046" s="441"/>
      <c r="K1046" s="441"/>
      <c r="L1046" s="797"/>
      <c r="M1046" s="441"/>
      <c r="N1046" s="441"/>
      <c r="O1046" s="441"/>
      <c r="P1046" s="441"/>
      <c r="Q1046" s="441"/>
      <c r="R1046" s="426"/>
      <c r="S1046" s="441"/>
      <c r="T1046" s="441"/>
      <c r="U1046" s="441"/>
      <c r="V1046" s="441"/>
      <c r="W1046" s="441"/>
      <c r="X1046" s="441"/>
      <c r="Y1046" s="441"/>
      <c r="Z1046" s="441"/>
      <c r="AA1046" s="441"/>
      <c r="AB1046" s="441"/>
      <c r="AC1046" s="441"/>
      <c r="AD1046" s="441"/>
      <c r="AE1046" s="441"/>
      <c r="AF1046" s="441"/>
      <c r="AG1046" s="441"/>
      <c r="AH1046" s="441"/>
      <c r="AI1046" s="441"/>
      <c r="AJ1046" s="441"/>
      <c r="AK1046" s="441"/>
      <c r="AL1046" s="441"/>
      <c r="AM1046" s="441"/>
      <c r="AN1046" s="441"/>
      <c r="AO1046" s="441"/>
      <c r="AP1046" s="441"/>
      <c r="AQ1046" s="441"/>
      <c r="AR1046" s="441"/>
      <c r="AS1046" s="441"/>
      <c r="AT1046" s="441"/>
      <c r="AU1046" s="441"/>
      <c r="AV1046" s="441"/>
      <c r="AW1046" s="441"/>
      <c r="AX1046" s="441"/>
      <c r="AY1046" s="441"/>
      <c r="AZ1046" s="441"/>
      <c r="BA1046" s="441"/>
      <c r="BB1046" s="441"/>
      <c r="BC1046" s="441"/>
      <c r="BD1046" s="441"/>
      <c r="BE1046" s="441"/>
      <c r="BF1046" s="441"/>
    </row>
    <row r="1047">
      <c r="A1047" s="798"/>
      <c r="B1047" s="795"/>
      <c r="C1047" s="795"/>
      <c r="D1047" s="795"/>
      <c r="E1047" s="795"/>
      <c r="F1047" s="795"/>
      <c r="G1047" s="795"/>
      <c r="H1047" s="795"/>
      <c r="I1047" s="796"/>
      <c r="J1047" s="441"/>
      <c r="K1047" s="441"/>
      <c r="L1047" s="797"/>
      <c r="M1047" s="441"/>
      <c r="N1047" s="441"/>
      <c r="O1047" s="441"/>
      <c r="P1047" s="441"/>
      <c r="Q1047" s="441"/>
      <c r="R1047" s="426"/>
      <c r="S1047" s="441"/>
      <c r="T1047" s="441"/>
      <c r="U1047" s="441"/>
      <c r="V1047" s="441"/>
      <c r="W1047" s="441"/>
      <c r="X1047" s="441"/>
      <c r="Y1047" s="441"/>
      <c r="Z1047" s="441"/>
      <c r="AA1047" s="441"/>
      <c r="AB1047" s="441"/>
      <c r="AC1047" s="441"/>
      <c r="AD1047" s="441"/>
      <c r="AE1047" s="441"/>
      <c r="AF1047" s="441"/>
      <c r="AG1047" s="441"/>
      <c r="AH1047" s="441"/>
      <c r="AI1047" s="441"/>
      <c r="AJ1047" s="441"/>
      <c r="AK1047" s="441"/>
      <c r="AL1047" s="441"/>
      <c r="AM1047" s="441"/>
      <c r="AN1047" s="441"/>
      <c r="AO1047" s="441"/>
      <c r="AP1047" s="441"/>
      <c r="AQ1047" s="441"/>
      <c r="AR1047" s="441"/>
      <c r="AS1047" s="441"/>
      <c r="AT1047" s="441"/>
      <c r="AU1047" s="441"/>
      <c r="AV1047" s="441"/>
      <c r="AW1047" s="441"/>
      <c r="AX1047" s="441"/>
      <c r="AY1047" s="441"/>
      <c r="AZ1047" s="441"/>
      <c r="BA1047" s="441"/>
      <c r="BB1047" s="441"/>
      <c r="BC1047" s="441"/>
      <c r="BD1047" s="441"/>
      <c r="BE1047" s="441"/>
      <c r="BF1047" s="441"/>
    </row>
    <row r="1048">
      <c r="A1048" s="798"/>
      <c r="B1048" s="795"/>
      <c r="C1048" s="795"/>
      <c r="D1048" s="795"/>
      <c r="E1048" s="795"/>
      <c r="F1048" s="795"/>
      <c r="G1048" s="795"/>
      <c r="H1048" s="795"/>
      <c r="I1048" s="796"/>
      <c r="J1048" s="441"/>
      <c r="K1048" s="441"/>
      <c r="L1048" s="797"/>
      <c r="M1048" s="441"/>
      <c r="N1048" s="441"/>
      <c r="O1048" s="441"/>
      <c r="P1048" s="441"/>
      <c r="Q1048" s="441"/>
      <c r="R1048" s="426"/>
      <c r="S1048" s="441"/>
      <c r="T1048" s="441"/>
      <c r="U1048" s="441"/>
      <c r="V1048" s="441"/>
      <c r="W1048" s="441"/>
      <c r="X1048" s="441"/>
      <c r="Y1048" s="441"/>
      <c r="Z1048" s="441"/>
      <c r="AA1048" s="441"/>
      <c r="AB1048" s="441"/>
      <c r="AC1048" s="441"/>
      <c r="AD1048" s="441"/>
      <c r="AE1048" s="441"/>
      <c r="AF1048" s="441"/>
      <c r="AG1048" s="441"/>
      <c r="AH1048" s="441"/>
      <c r="AI1048" s="441"/>
      <c r="AJ1048" s="441"/>
      <c r="AK1048" s="441"/>
      <c r="AL1048" s="441"/>
      <c r="AM1048" s="441"/>
      <c r="AN1048" s="441"/>
      <c r="AO1048" s="441"/>
      <c r="AP1048" s="441"/>
      <c r="AQ1048" s="441"/>
      <c r="AR1048" s="441"/>
      <c r="AS1048" s="441"/>
      <c r="AT1048" s="441"/>
      <c r="AU1048" s="441"/>
      <c r="AV1048" s="441"/>
      <c r="AW1048" s="441"/>
      <c r="AX1048" s="441"/>
      <c r="AY1048" s="441"/>
      <c r="AZ1048" s="441"/>
      <c r="BA1048" s="441"/>
      <c r="BB1048" s="441"/>
      <c r="BC1048" s="441"/>
      <c r="BD1048" s="441"/>
      <c r="BE1048" s="441"/>
      <c r="BF1048" s="441"/>
    </row>
    <row r="1049">
      <c r="A1049" s="798"/>
      <c r="B1049" s="795"/>
      <c r="C1049" s="795"/>
      <c r="D1049" s="795"/>
      <c r="E1049" s="795"/>
      <c r="F1049" s="795"/>
      <c r="G1049" s="795"/>
      <c r="H1049" s="795"/>
      <c r="I1049" s="796"/>
      <c r="J1049" s="441"/>
      <c r="K1049" s="441"/>
      <c r="L1049" s="797"/>
      <c r="M1049" s="441"/>
      <c r="N1049" s="441"/>
      <c r="O1049" s="441"/>
      <c r="P1049" s="441"/>
      <c r="Q1049" s="441"/>
      <c r="R1049" s="426"/>
      <c r="S1049" s="441"/>
      <c r="T1049" s="441"/>
      <c r="U1049" s="441"/>
      <c r="V1049" s="441"/>
      <c r="W1049" s="441"/>
      <c r="X1049" s="441"/>
      <c r="Y1049" s="441"/>
      <c r="Z1049" s="441"/>
      <c r="AA1049" s="441"/>
      <c r="AB1049" s="441"/>
      <c r="AC1049" s="441"/>
      <c r="AD1049" s="441"/>
      <c r="AE1049" s="441"/>
      <c r="AF1049" s="441"/>
      <c r="AG1049" s="441"/>
      <c r="AH1049" s="441"/>
      <c r="AI1049" s="441"/>
      <c r="AJ1049" s="441"/>
      <c r="AK1049" s="441"/>
      <c r="AL1049" s="441"/>
      <c r="AM1049" s="441"/>
      <c r="AN1049" s="441"/>
      <c r="AO1049" s="441"/>
      <c r="AP1049" s="441"/>
      <c r="AQ1049" s="441"/>
      <c r="AR1049" s="441"/>
      <c r="AS1049" s="441"/>
      <c r="AT1049" s="441"/>
      <c r="AU1049" s="441"/>
      <c r="AV1049" s="441"/>
      <c r="AW1049" s="441"/>
      <c r="AX1049" s="441"/>
      <c r="AY1049" s="441"/>
      <c r="AZ1049" s="441"/>
      <c r="BA1049" s="441"/>
      <c r="BB1049" s="441"/>
      <c r="BC1049" s="441"/>
      <c r="BD1049" s="441"/>
      <c r="BE1049" s="441"/>
      <c r="BF1049" s="441"/>
    </row>
    <row r="1050">
      <c r="A1050" s="798"/>
      <c r="B1050" s="795"/>
      <c r="C1050" s="795"/>
      <c r="D1050" s="795"/>
      <c r="E1050" s="795"/>
      <c r="F1050" s="795"/>
      <c r="G1050" s="795"/>
      <c r="H1050" s="795"/>
      <c r="I1050" s="796"/>
      <c r="J1050" s="441"/>
      <c r="K1050" s="441"/>
      <c r="L1050" s="797"/>
      <c r="M1050" s="441"/>
      <c r="N1050" s="441"/>
      <c r="O1050" s="441"/>
      <c r="P1050" s="441"/>
      <c r="Q1050" s="441"/>
      <c r="R1050" s="426"/>
      <c r="S1050" s="441"/>
      <c r="T1050" s="441"/>
      <c r="U1050" s="441"/>
      <c r="V1050" s="441"/>
      <c r="W1050" s="441"/>
      <c r="X1050" s="441"/>
      <c r="Y1050" s="441"/>
      <c r="Z1050" s="441"/>
      <c r="AA1050" s="441"/>
      <c r="AB1050" s="441"/>
      <c r="AC1050" s="441"/>
      <c r="AD1050" s="441"/>
      <c r="AE1050" s="441"/>
      <c r="AF1050" s="441"/>
      <c r="AG1050" s="441"/>
      <c r="AH1050" s="441"/>
      <c r="AI1050" s="441"/>
      <c r="AJ1050" s="441"/>
      <c r="AK1050" s="441"/>
      <c r="AL1050" s="441"/>
      <c r="AM1050" s="441"/>
      <c r="AN1050" s="441"/>
      <c r="AO1050" s="441"/>
      <c r="AP1050" s="441"/>
      <c r="AQ1050" s="441"/>
      <c r="AR1050" s="441"/>
      <c r="AS1050" s="441"/>
      <c r="AT1050" s="441"/>
      <c r="AU1050" s="441"/>
      <c r="AV1050" s="441"/>
      <c r="AW1050" s="441"/>
      <c r="AX1050" s="441"/>
      <c r="AY1050" s="441"/>
      <c r="AZ1050" s="441"/>
      <c r="BA1050" s="441"/>
      <c r="BB1050" s="441"/>
      <c r="BC1050" s="441"/>
      <c r="BD1050" s="441"/>
      <c r="BE1050" s="441"/>
      <c r="BF1050" s="441"/>
    </row>
    <row r="1051">
      <c r="A1051" s="798"/>
      <c r="B1051" s="795"/>
      <c r="C1051" s="795"/>
      <c r="D1051" s="795"/>
      <c r="E1051" s="795"/>
      <c r="F1051" s="795"/>
      <c r="G1051" s="795"/>
      <c r="H1051" s="795"/>
      <c r="I1051" s="796"/>
      <c r="J1051" s="441"/>
      <c r="K1051" s="441"/>
      <c r="L1051" s="797"/>
      <c r="M1051" s="441"/>
      <c r="N1051" s="441"/>
      <c r="O1051" s="441"/>
      <c r="P1051" s="441"/>
      <c r="Q1051" s="441"/>
      <c r="R1051" s="426"/>
      <c r="S1051" s="441"/>
      <c r="T1051" s="441"/>
      <c r="U1051" s="441"/>
      <c r="V1051" s="441"/>
      <c r="W1051" s="441"/>
      <c r="X1051" s="441"/>
      <c r="Y1051" s="441"/>
      <c r="Z1051" s="441"/>
      <c r="AA1051" s="441"/>
      <c r="AB1051" s="441"/>
      <c r="AC1051" s="441"/>
      <c r="AD1051" s="441"/>
      <c r="AE1051" s="441"/>
      <c r="AF1051" s="441"/>
      <c r="AG1051" s="441"/>
      <c r="AH1051" s="441"/>
      <c r="AI1051" s="441"/>
      <c r="AJ1051" s="441"/>
      <c r="AK1051" s="441"/>
      <c r="AL1051" s="441"/>
      <c r="AM1051" s="441"/>
      <c r="AN1051" s="441"/>
      <c r="AO1051" s="441"/>
      <c r="AP1051" s="441"/>
      <c r="AQ1051" s="441"/>
      <c r="AR1051" s="441"/>
      <c r="AS1051" s="441"/>
      <c r="AT1051" s="441"/>
      <c r="AU1051" s="441"/>
      <c r="AV1051" s="441"/>
      <c r="AW1051" s="441"/>
      <c r="AX1051" s="441"/>
      <c r="AY1051" s="441"/>
      <c r="AZ1051" s="441"/>
      <c r="BA1051" s="441"/>
      <c r="BB1051" s="441"/>
      <c r="BC1051" s="441"/>
      <c r="BD1051" s="441"/>
      <c r="BE1051" s="441"/>
      <c r="BF1051" s="441"/>
    </row>
    <row r="1052">
      <c r="A1052" s="798"/>
      <c r="B1052" s="795"/>
      <c r="C1052" s="795"/>
      <c r="D1052" s="795"/>
      <c r="E1052" s="795"/>
      <c r="F1052" s="795"/>
      <c r="G1052" s="795"/>
      <c r="H1052" s="795"/>
      <c r="I1052" s="796"/>
      <c r="J1052" s="441"/>
      <c r="K1052" s="441"/>
      <c r="L1052" s="797"/>
      <c r="M1052" s="441"/>
      <c r="N1052" s="441"/>
      <c r="O1052" s="441"/>
      <c r="P1052" s="441"/>
      <c r="Q1052" s="441"/>
      <c r="R1052" s="426"/>
      <c r="S1052" s="441"/>
      <c r="T1052" s="441"/>
      <c r="U1052" s="441"/>
      <c r="V1052" s="441"/>
      <c r="W1052" s="441"/>
      <c r="X1052" s="441"/>
      <c r="Y1052" s="441"/>
      <c r="Z1052" s="441"/>
      <c r="AA1052" s="441"/>
      <c r="AB1052" s="441"/>
      <c r="AC1052" s="441"/>
      <c r="AD1052" s="441"/>
      <c r="AE1052" s="441"/>
      <c r="AF1052" s="441"/>
      <c r="AG1052" s="441"/>
      <c r="AH1052" s="441"/>
      <c r="AI1052" s="441"/>
      <c r="AJ1052" s="441"/>
      <c r="AK1052" s="441"/>
      <c r="AL1052" s="441"/>
      <c r="AM1052" s="441"/>
      <c r="AN1052" s="441"/>
      <c r="AO1052" s="441"/>
      <c r="AP1052" s="441"/>
      <c r="AQ1052" s="441"/>
      <c r="AR1052" s="441"/>
      <c r="AS1052" s="441"/>
      <c r="AT1052" s="441"/>
      <c r="AU1052" s="441"/>
      <c r="AV1052" s="441"/>
      <c r="AW1052" s="441"/>
      <c r="AX1052" s="441"/>
      <c r="AY1052" s="441"/>
      <c r="AZ1052" s="441"/>
      <c r="BA1052" s="441"/>
      <c r="BB1052" s="441"/>
      <c r="BC1052" s="441"/>
      <c r="BD1052" s="441"/>
      <c r="BE1052" s="441"/>
      <c r="BF1052" s="441"/>
    </row>
    <row r="1053">
      <c r="A1053" s="798"/>
      <c r="B1053" s="795"/>
      <c r="C1053" s="795"/>
      <c r="D1053" s="795"/>
      <c r="E1053" s="795"/>
      <c r="F1053" s="795"/>
      <c r="G1053" s="795"/>
      <c r="H1053" s="795"/>
      <c r="I1053" s="796"/>
      <c r="J1053" s="441"/>
      <c r="K1053" s="441"/>
      <c r="L1053" s="797"/>
      <c r="M1053" s="441"/>
      <c r="N1053" s="441"/>
      <c r="O1053" s="441"/>
      <c r="P1053" s="441"/>
      <c r="Q1053" s="441"/>
      <c r="R1053" s="426"/>
      <c r="S1053" s="441"/>
      <c r="T1053" s="441"/>
      <c r="U1053" s="441"/>
      <c r="V1053" s="441"/>
      <c r="W1053" s="441"/>
      <c r="X1053" s="441"/>
      <c r="Y1053" s="441"/>
      <c r="Z1053" s="441"/>
      <c r="AA1053" s="441"/>
      <c r="AB1053" s="441"/>
      <c r="AC1053" s="441"/>
      <c r="AD1053" s="441"/>
      <c r="AE1053" s="441"/>
      <c r="AF1053" s="441"/>
      <c r="AG1053" s="441"/>
      <c r="AH1053" s="441"/>
      <c r="AI1053" s="441"/>
      <c r="AJ1053" s="441"/>
      <c r="AK1053" s="441"/>
      <c r="AL1053" s="441"/>
      <c r="AM1053" s="441"/>
      <c r="AN1053" s="441"/>
      <c r="AO1053" s="441"/>
      <c r="AP1053" s="441"/>
      <c r="AQ1053" s="441"/>
      <c r="AR1053" s="441"/>
      <c r="AS1053" s="441"/>
      <c r="AT1053" s="441"/>
      <c r="AU1053" s="441"/>
      <c r="AV1053" s="441"/>
      <c r="AW1053" s="441"/>
      <c r="AX1053" s="441"/>
      <c r="AY1053" s="441"/>
      <c r="AZ1053" s="441"/>
      <c r="BA1053" s="441"/>
      <c r="BB1053" s="441"/>
      <c r="BC1053" s="441"/>
      <c r="BD1053" s="441"/>
      <c r="BE1053" s="441"/>
      <c r="BF1053" s="441"/>
    </row>
    <row r="1054">
      <c r="A1054" s="798"/>
      <c r="B1054" s="795"/>
      <c r="C1054" s="795"/>
      <c r="D1054" s="795"/>
      <c r="E1054" s="795"/>
      <c r="F1054" s="795"/>
      <c r="G1054" s="795"/>
      <c r="H1054" s="795"/>
      <c r="I1054" s="796"/>
      <c r="J1054" s="441"/>
      <c r="K1054" s="441"/>
      <c r="L1054" s="797"/>
      <c r="M1054" s="441"/>
      <c r="N1054" s="441"/>
      <c r="O1054" s="441"/>
      <c r="P1054" s="441"/>
      <c r="Q1054" s="441"/>
      <c r="R1054" s="426"/>
      <c r="S1054" s="441"/>
      <c r="T1054" s="441"/>
      <c r="U1054" s="441"/>
      <c r="V1054" s="441"/>
      <c r="W1054" s="441"/>
      <c r="X1054" s="441"/>
      <c r="Y1054" s="441"/>
      <c r="Z1054" s="441"/>
      <c r="AA1054" s="441"/>
      <c r="AB1054" s="441"/>
      <c r="AC1054" s="441"/>
      <c r="AD1054" s="441"/>
      <c r="AE1054" s="441"/>
      <c r="AF1054" s="441"/>
      <c r="AG1054" s="441"/>
      <c r="AH1054" s="441"/>
      <c r="AI1054" s="441"/>
      <c r="AJ1054" s="441"/>
      <c r="AK1054" s="441"/>
      <c r="AL1054" s="441"/>
      <c r="AM1054" s="441"/>
      <c r="AN1054" s="441"/>
      <c r="AO1054" s="441"/>
      <c r="AP1054" s="441"/>
      <c r="AQ1054" s="441"/>
      <c r="AR1054" s="441"/>
      <c r="AS1054" s="441"/>
      <c r="AT1054" s="441"/>
      <c r="AU1054" s="441"/>
      <c r="AV1054" s="441"/>
      <c r="AW1054" s="441"/>
      <c r="AX1054" s="441"/>
      <c r="AY1054" s="441"/>
      <c r="AZ1054" s="441"/>
      <c r="BA1054" s="441"/>
      <c r="BB1054" s="441"/>
      <c r="BC1054" s="441"/>
      <c r="BD1054" s="441"/>
      <c r="BE1054" s="441"/>
      <c r="BF1054" s="441"/>
    </row>
    <row r="1055">
      <c r="A1055" s="798"/>
      <c r="B1055" s="795"/>
      <c r="C1055" s="795"/>
      <c r="D1055" s="795"/>
      <c r="E1055" s="795"/>
      <c r="F1055" s="795"/>
      <c r="G1055" s="795"/>
      <c r="H1055" s="795"/>
      <c r="I1055" s="796"/>
      <c r="J1055" s="441"/>
      <c r="K1055" s="441"/>
      <c r="L1055" s="797"/>
      <c r="M1055" s="441"/>
      <c r="N1055" s="441"/>
      <c r="O1055" s="441"/>
      <c r="P1055" s="441"/>
      <c r="Q1055" s="441"/>
      <c r="R1055" s="426"/>
      <c r="S1055" s="441"/>
      <c r="T1055" s="441"/>
      <c r="U1055" s="441"/>
      <c r="V1055" s="441"/>
      <c r="W1055" s="441"/>
      <c r="X1055" s="441"/>
      <c r="Y1055" s="441"/>
      <c r="Z1055" s="441"/>
      <c r="AA1055" s="441"/>
      <c r="AB1055" s="441"/>
      <c r="AC1055" s="441"/>
      <c r="AD1055" s="441"/>
      <c r="AE1055" s="441"/>
      <c r="AF1055" s="441"/>
      <c r="AG1055" s="441"/>
      <c r="AH1055" s="441"/>
      <c r="AI1055" s="441"/>
      <c r="AJ1055" s="441"/>
      <c r="AK1055" s="441"/>
      <c r="AL1055" s="441"/>
      <c r="AM1055" s="441"/>
      <c r="AN1055" s="441"/>
      <c r="AO1055" s="441"/>
      <c r="AP1055" s="441"/>
      <c r="AQ1055" s="441"/>
      <c r="AR1055" s="441"/>
      <c r="AS1055" s="441"/>
      <c r="AT1055" s="441"/>
      <c r="AU1055" s="441"/>
      <c r="AV1055" s="441"/>
      <c r="AW1055" s="441"/>
      <c r="AX1055" s="441"/>
      <c r="AY1055" s="441"/>
      <c r="AZ1055" s="441"/>
      <c r="BA1055" s="441"/>
      <c r="BB1055" s="441"/>
      <c r="BC1055" s="441"/>
      <c r="BD1055" s="441"/>
      <c r="BE1055" s="441"/>
      <c r="BF1055" s="441"/>
    </row>
    <row r="1056">
      <c r="A1056" s="798"/>
      <c r="B1056" s="795"/>
      <c r="C1056" s="795"/>
      <c r="D1056" s="795"/>
      <c r="E1056" s="795"/>
      <c r="F1056" s="795"/>
      <c r="G1056" s="795"/>
      <c r="H1056" s="795"/>
      <c r="I1056" s="796"/>
      <c r="J1056" s="441"/>
      <c r="K1056" s="441"/>
      <c r="L1056" s="797"/>
      <c r="M1056" s="441"/>
      <c r="N1056" s="441"/>
      <c r="O1056" s="441"/>
      <c r="P1056" s="441"/>
      <c r="Q1056" s="441"/>
      <c r="R1056" s="426"/>
      <c r="S1056" s="441"/>
      <c r="T1056" s="441"/>
      <c r="U1056" s="441"/>
      <c r="V1056" s="441"/>
      <c r="W1056" s="441"/>
      <c r="X1056" s="441"/>
      <c r="Y1056" s="441"/>
      <c r="Z1056" s="441"/>
      <c r="AA1056" s="441"/>
      <c r="AB1056" s="441"/>
      <c r="AC1056" s="441"/>
      <c r="AD1056" s="441"/>
      <c r="AE1056" s="441"/>
      <c r="AF1056" s="441"/>
      <c r="AG1056" s="441"/>
      <c r="AH1056" s="441"/>
      <c r="AI1056" s="441"/>
      <c r="AJ1056" s="441"/>
      <c r="AK1056" s="441"/>
      <c r="AL1056" s="441"/>
      <c r="AM1056" s="441"/>
      <c r="AN1056" s="441"/>
      <c r="AO1056" s="441"/>
      <c r="AP1056" s="441"/>
      <c r="AQ1056" s="441"/>
      <c r="AR1056" s="441"/>
      <c r="AS1056" s="441"/>
      <c r="AT1056" s="441"/>
      <c r="AU1056" s="441"/>
      <c r="AV1056" s="441"/>
      <c r="AW1056" s="441"/>
      <c r="AX1056" s="441"/>
      <c r="AY1056" s="441"/>
      <c r="AZ1056" s="441"/>
      <c r="BA1056" s="441"/>
      <c r="BB1056" s="441"/>
      <c r="BC1056" s="441"/>
      <c r="BD1056" s="441"/>
      <c r="BE1056" s="441"/>
      <c r="BF1056" s="441"/>
    </row>
    <row r="1057">
      <c r="A1057" s="798"/>
      <c r="B1057" s="795"/>
      <c r="C1057" s="795"/>
      <c r="D1057" s="795"/>
      <c r="E1057" s="795"/>
      <c r="F1057" s="795"/>
      <c r="G1057" s="795"/>
      <c r="H1057" s="795"/>
      <c r="I1057" s="796"/>
      <c r="J1057" s="441"/>
      <c r="K1057" s="441"/>
      <c r="L1057" s="797"/>
      <c r="M1057" s="441"/>
      <c r="N1057" s="441"/>
      <c r="O1057" s="441"/>
      <c r="P1057" s="441"/>
      <c r="Q1057" s="441"/>
      <c r="R1057" s="426"/>
      <c r="S1057" s="441"/>
      <c r="T1057" s="441"/>
      <c r="U1057" s="441"/>
      <c r="V1057" s="441"/>
      <c r="W1057" s="441"/>
      <c r="X1057" s="441"/>
      <c r="Y1057" s="441"/>
      <c r="Z1057" s="441"/>
      <c r="AA1057" s="441"/>
      <c r="AB1057" s="441"/>
      <c r="AC1057" s="441"/>
      <c r="AD1057" s="441"/>
      <c r="AE1057" s="441"/>
      <c r="AF1057" s="441"/>
      <c r="AG1057" s="441"/>
      <c r="AH1057" s="441"/>
      <c r="AI1057" s="441"/>
      <c r="AJ1057" s="441"/>
      <c r="AK1057" s="441"/>
      <c r="AL1057" s="441"/>
      <c r="AM1057" s="441"/>
      <c r="AN1057" s="441"/>
      <c r="AO1057" s="441"/>
      <c r="AP1057" s="441"/>
      <c r="AQ1057" s="441"/>
      <c r="AR1057" s="441"/>
      <c r="AS1057" s="441"/>
      <c r="AT1057" s="441"/>
      <c r="AU1057" s="441"/>
      <c r="AV1057" s="441"/>
      <c r="AW1057" s="441"/>
      <c r="AX1057" s="441"/>
      <c r="AY1057" s="441"/>
      <c r="AZ1057" s="441"/>
      <c r="BA1057" s="441"/>
      <c r="BB1057" s="441"/>
      <c r="BC1057" s="441"/>
      <c r="BD1057" s="441"/>
      <c r="BE1057" s="441"/>
      <c r="BF1057" s="441"/>
    </row>
    <row r="1058">
      <c r="A1058" s="798"/>
      <c r="B1058" s="795"/>
      <c r="C1058" s="795"/>
      <c r="D1058" s="795"/>
      <c r="E1058" s="795"/>
      <c r="F1058" s="795"/>
      <c r="G1058" s="795"/>
      <c r="H1058" s="795"/>
      <c r="I1058" s="796"/>
      <c r="J1058" s="441"/>
      <c r="K1058" s="441"/>
      <c r="L1058" s="797"/>
      <c r="M1058" s="441"/>
      <c r="N1058" s="441"/>
      <c r="O1058" s="441"/>
      <c r="P1058" s="441"/>
      <c r="Q1058" s="441"/>
      <c r="R1058" s="426"/>
      <c r="S1058" s="441"/>
      <c r="T1058" s="441"/>
      <c r="U1058" s="441"/>
      <c r="V1058" s="441"/>
      <c r="W1058" s="441"/>
      <c r="X1058" s="441"/>
      <c r="Y1058" s="441"/>
      <c r="Z1058" s="441"/>
      <c r="AA1058" s="441"/>
      <c r="AB1058" s="441"/>
      <c r="AC1058" s="441"/>
      <c r="AD1058" s="441"/>
      <c r="AE1058" s="441"/>
      <c r="AF1058" s="441"/>
      <c r="AG1058" s="441"/>
      <c r="AH1058" s="441"/>
      <c r="AI1058" s="441"/>
      <c r="AJ1058" s="441"/>
      <c r="AK1058" s="441"/>
      <c r="AL1058" s="441"/>
      <c r="AM1058" s="441"/>
      <c r="AN1058" s="441"/>
      <c r="AO1058" s="441"/>
      <c r="AP1058" s="441"/>
      <c r="AQ1058" s="441"/>
      <c r="AR1058" s="441"/>
      <c r="AS1058" s="441"/>
      <c r="AT1058" s="441"/>
      <c r="AU1058" s="441"/>
      <c r="AV1058" s="441"/>
      <c r="AW1058" s="441"/>
      <c r="AX1058" s="441"/>
      <c r="AY1058" s="441"/>
      <c r="AZ1058" s="441"/>
      <c r="BA1058" s="441"/>
      <c r="BB1058" s="441"/>
      <c r="BC1058" s="441"/>
      <c r="BD1058" s="441"/>
      <c r="BE1058" s="441"/>
      <c r="BF1058" s="441"/>
    </row>
    <row r="1059">
      <c r="A1059" s="798"/>
      <c r="B1059" s="795"/>
      <c r="C1059" s="795"/>
      <c r="D1059" s="795"/>
      <c r="E1059" s="795"/>
      <c r="F1059" s="795"/>
      <c r="G1059" s="795"/>
      <c r="H1059" s="795"/>
      <c r="I1059" s="796"/>
      <c r="J1059" s="441"/>
      <c r="K1059" s="441"/>
      <c r="L1059" s="797"/>
      <c r="M1059" s="441"/>
      <c r="N1059" s="441"/>
      <c r="O1059" s="441"/>
      <c r="P1059" s="441"/>
      <c r="Q1059" s="441"/>
      <c r="R1059" s="426"/>
      <c r="S1059" s="441"/>
      <c r="T1059" s="441"/>
      <c r="U1059" s="441"/>
      <c r="V1059" s="441"/>
      <c r="W1059" s="441"/>
      <c r="X1059" s="441"/>
      <c r="Y1059" s="441"/>
      <c r="Z1059" s="441"/>
      <c r="AA1059" s="441"/>
      <c r="AB1059" s="441"/>
      <c r="AC1059" s="441"/>
      <c r="AD1059" s="441"/>
      <c r="AE1059" s="441"/>
      <c r="AF1059" s="441"/>
      <c r="AG1059" s="441"/>
      <c r="AH1059" s="441"/>
      <c r="AI1059" s="441"/>
      <c r="AJ1059" s="441"/>
      <c r="AK1059" s="441"/>
      <c r="AL1059" s="441"/>
      <c r="AM1059" s="441"/>
      <c r="AN1059" s="441"/>
      <c r="AO1059" s="441"/>
      <c r="AP1059" s="441"/>
      <c r="AQ1059" s="441"/>
      <c r="AR1059" s="441"/>
      <c r="AS1059" s="441"/>
      <c r="AT1059" s="441"/>
      <c r="AU1059" s="441"/>
      <c r="AV1059" s="441"/>
      <c r="AW1059" s="441"/>
      <c r="AX1059" s="441"/>
      <c r="AY1059" s="441"/>
      <c r="AZ1059" s="441"/>
      <c r="BA1059" s="441"/>
      <c r="BB1059" s="441"/>
      <c r="BC1059" s="441"/>
      <c r="BD1059" s="441"/>
      <c r="BE1059" s="441"/>
      <c r="BF1059" s="441"/>
    </row>
    <row r="1060">
      <c r="A1060" s="798"/>
      <c r="B1060" s="795"/>
      <c r="C1060" s="795"/>
      <c r="D1060" s="795"/>
      <c r="E1060" s="795"/>
      <c r="F1060" s="795"/>
      <c r="G1060" s="795"/>
      <c r="H1060" s="795"/>
      <c r="I1060" s="796"/>
      <c r="J1060" s="441"/>
      <c r="K1060" s="441"/>
      <c r="L1060" s="797"/>
      <c r="M1060" s="441"/>
      <c r="N1060" s="441"/>
      <c r="O1060" s="441"/>
      <c r="P1060" s="441"/>
      <c r="Q1060" s="441"/>
      <c r="R1060" s="426"/>
      <c r="S1060" s="441"/>
      <c r="T1060" s="441"/>
      <c r="U1060" s="441"/>
      <c r="V1060" s="441"/>
      <c r="W1060" s="441"/>
      <c r="X1060" s="441"/>
      <c r="Y1060" s="441"/>
      <c r="Z1060" s="441"/>
      <c r="AA1060" s="441"/>
      <c r="AB1060" s="441"/>
      <c r="AC1060" s="441"/>
      <c r="AD1060" s="441"/>
      <c r="AE1060" s="441"/>
      <c r="AF1060" s="441"/>
      <c r="AG1060" s="441"/>
      <c r="AH1060" s="441"/>
      <c r="AI1060" s="441"/>
      <c r="AJ1060" s="441"/>
      <c r="AK1060" s="441"/>
      <c r="AL1060" s="441"/>
      <c r="AM1060" s="441"/>
      <c r="AN1060" s="441"/>
      <c r="AO1060" s="441"/>
      <c r="AP1060" s="441"/>
      <c r="AQ1060" s="441"/>
      <c r="AR1060" s="441"/>
      <c r="AS1060" s="441"/>
      <c r="AT1060" s="441"/>
      <c r="AU1060" s="441"/>
      <c r="AV1060" s="441"/>
      <c r="AW1060" s="441"/>
      <c r="AX1060" s="441"/>
      <c r="AY1060" s="441"/>
      <c r="AZ1060" s="441"/>
      <c r="BA1060" s="441"/>
      <c r="BB1060" s="441"/>
      <c r="BC1060" s="441"/>
      <c r="BD1060" s="441"/>
      <c r="BE1060" s="441"/>
      <c r="BF1060" s="441"/>
    </row>
    <row r="1061">
      <c r="A1061" s="798"/>
      <c r="B1061" s="795"/>
      <c r="C1061" s="795"/>
      <c r="D1061" s="795"/>
      <c r="E1061" s="795"/>
      <c r="F1061" s="795"/>
      <c r="G1061" s="795"/>
      <c r="H1061" s="795"/>
      <c r="I1061" s="796"/>
      <c r="J1061" s="441"/>
      <c r="K1061" s="441"/>
      <c r="L1061" s="797"/>
      <c r="M1061" s="441"/>
      <c r="N1061" s="441"/>
      <c r="O1061" s="441"/>
      <c r="P1061" s="441"/>
      <c r="Q1061" s="441"/>
      <c r="R1061" s="426"/>
      <c r="S1061" s="441"/>
      <c r="T1061" s="441"/>
      <c r="U1061" s="441"/>
      <c r="V1061" s="441"/>
      <c r="W1061" s="441"/>
      <c r="X1061" s="441"/>
      <c r="Y1061" s="441"/>
      <c r="Z1061" s="441"/>
      <c r="AA1061" s="441"/>
      <c r="AB1061" s="441"/>
      <c r="AC1061" s="441"/>
      <c r="AD1061" s="441"/>
      <c r="AE1061" s="441"/>
      <c r="AF1061" s="441"/>
      <c r="AG1061" s="441"/>
      <c r="AH1061" s="441"/>
      <c r="AI1061" s="441"/>
      <c r="AJ1061" s="441"/>
      <c r="AK1061" s="441"/>
      <c r="AL1061" s="441"/>
      <c r="AM1061" s="441"/>
      <c r="AN1061" s="441"/>
      <c r="AO1061" s="441"/>
      <c r="AP1061" s="441"/>
      <c r="AQ1061" s="441"/>
      <c r="AR1061" s="441"/>
      <c r="AS1061" s="441"/>
      <c r="AT1061" s="441"/>
      <c r="AU1061" s="441"/>
      <c r="AV1061" s="441"/>
      <c r="AW1061" s="441"/>
      <c r="AX1061" s="441"/>
      <c r="AY1061" s="441"/>
      <c r="AZ1061" s="441"/>
      <c r="BA1061" s="441"/>
      <c r="BB1061" s="441"/>
      <c r="BC1061" s="441"/>
      <c r="BD1061" s="441"/>
      <c r="BE1061" s="441"/>
      <c r="BF1061" s="441"/>
    </row>
    <row r="1062">
      <c r="A1062" s="798"/>
      <c r="B1062" s="795"/>
      <c r="C1062" s="795"/>
      <c r="D1062" s="795"/>
      <c r="E1062" s="795"/>
      <c r="F1062" s="795"/>
      <c r="G1062" s="795"/>
      <c r="H1062" s="795"/>
      <c r="I1062" s="796"/>
      <c r="J1062" s="441"/>
      <c r="K1062" s="441"/>
      <c r="L1062" s="797"/>
      <c r="M1062" s="441"/>
      <c r="N1062" s="441"/>
      <c r="O1062" s="441"/>
      <c r="P1062" s="441"/>
      <c r="Q1062" s="441"/>
      <c r="R1062" s="426"/>
      <c r="S1062" s="441"/>
      <c r="T1062" s="441"/>
      <c r="U1062" s="441"/>
      <c r="V1062" s="441"/>
      <c r="W1062" s="441"/>
      <c r="X1062" s="441"/>
      <c r="Y1062" s="441"/>
      <c r="Z1062" s="441"/>
      <c r="AA1062" s="441"/>
      <c r="AB1062" s="441"/>
      <c r="AC1062" s="441"/>
      <c r="AD1062" s="441"/>
      <c r="AE1062" s="441"/>
      <c r="AF1062" s="441"/>
      <c r="AG1062" s="441"/>
      <c r="AH1062" s="441"/>
      <c r="AI1062" s="441"/>
      <c r="AJ1062" s="441"/>
      <c r="AK1062" s="441"/>
      <c r="AL1062" s="441"/>
      <c r="AM1062" s="441"/>
      <c r="AN1062" s="441"/>
      <c r="AO1062" s="441"/>
      <c r="AP1062" s="441"/>
      <c r="AQ1062" s="441"/>
      <c r="AR1062" s="441"/>
      <c r="AS1062" s="441"/>
      <c r="AT1062" s="441"/>
      <c r="AU1062" s="441"/>
      <c r="AV1062" s="441"/>
      <c r="AW1062" s="441"/>
      <c r="AX1062" s="441"/>
      <c r="AY1062" s="441"/>
      <c r="AZ1062" s="441"/>
      <c r="BA1062" s="441"/>
      <c r="BB1062" s="441"/>
      <c r="BC1062" s="441"/>
      <c r="BD1062" s="441"/>
      <c r="BE1062" s="441"/>
      <c r="BF1062" s="441"/>
    </row>
    <row r="1063">
      <c r="A1063" s="798"/>
      <c r="B1063" s="795"/>
      <c r="C1063" s="795"/>
      <c r="D1063" s="795"/>
      <c r="E1063" s="795"/>
      <c r="F1063" s="795"/>
      <c r="G1063" s="795"/>
      <c r="H1063" s="795"/>
      <c r="I1063" s="796"/>
      <c r="J1063" s="441"/>
      <c r="K1063" s="441"/>
      <c r="L1063" s="797"/>
      <c r="M1063" s="441"/>
      <c r="N1063" s="441"/>
      <c r="O1063" s="441"/>
      <c r="P1063" s="441"/>
      <c r="Q1063" s="441"/>
      <c r="R1063" s="426"/>
      <c r="S1063" s="441"/>
      <c r="T1063" s="441"/>
      <c r="U1063" s="441"/>
      <c r="V1063" s="441"/>
      <c r="W1063" s="441"/>
      <c r="X1063" s="441"/>
      <c r="Y1063" s="441"/>
      <c r="Z1063" s="441"/>
      <c r="AA1063" s="441"/>
      <c r="AB1063" s="441"/>
      <c r="AC1063" s="441"/>
      <c r="AD1063" s="441"/>
      <c r="AE1063" s="441"/>
      <c r="AF1063" s="441"/>
      <c r="AG1063" s="441"/>
      <c r="AH1063" s="441"/>
      <c r="AI1063" s="441"/>
      <c r="AJ1063" s="441"/>
      <c r="AK1063" s="441"/>
      <c r="AL1063" s="441"/>
      <c r="AM1063" s="441"/>
      <c r="AN1063" s="441"/>
      <c r="AO1063" s="441"/>
      <c r="AP1063" s="441"/>
      <c r="AQ1063" s="441"/>
      <c r="AR1063" s="441"/>
      <c r="AS1063" s="441"/>
      <c r="AT1063" s="441"/>
      <c r="AU1063" s="441"/>
      <c r="AV1063" s="441"/>
      <c r="AW1063" s="441"/>
      <c r="AX1063" s="441"/>
      <c r="AY1063" s="441"/>
      <c r="AZ1063" s="441"/>
      <c r="BA1063" s="441"/>
      <c r="BB1063" s="441"/>
      <c r="BC1063" s="441"/>
      <c r="BD1063" s="441"/>
      <c r="BE1063" s="441"/>
      <c r="BF1063" s="441"/>
    </row>
    <row r="1064">
      <c r="A1064" s="798"/>
      <c r="B1064" s="795"/>
      <c r="C1064" s="795"/>
      <c r="D1064" s="795"/>
      <c r="E1064" s="795"/>
      <c r="F1064" s="795"/>
      <c r="G1064" s="795"/>
      <c r="H1064" s="795"/>
      <c r="I1064" s="796"/>
      <c r="J1064" s="441"/>
      <c r="K1064" s="441"/>
      <c r="L1064" s="797"/>
      <c r="M1064" s="441"/>
      <c r="N1064" s="441"/>
      <c r="O1064" s="441"/>
      <c r="P1064" s="441"/>
      <c r="Q1064" s="441"/>
      <c r="R1064" s="426"/>
      <c r="S1064" s="441"/>
      <c r="T1064" s="441"/>
      <c r="U1064" s="441"/>
      <c r="V1064" s="441"/>
      <c r="W1064" s="441"/>
      <c r="X1064" s="441"/>
      <c r="Y1064" s="441"/>
      <c r="Z1064" s="441"/>
      <c r="AA1064" s="441"/>
      <c r="AB1064" s="441"/>
      <c r="AC1064" s="441"/>
      <c r="AD1064" s="441"/>
      <c r="AE1064" s="441"/>
      <c r="AF1064" s="441"/>
      <c r="AG1064" s="441"/>
      <c r="AH1064" s="441"/>
      <c r="AI1064" s="441"/>
      <c r="AJ1064" s="441"/>
      <c r="AK1064" s="441"/>
      <c r="AL1064" s="441"/>
      <c r="AM1064" s="441"/>
      <c r="AN1064" s="441"/>
      <c r="AO1064" s="441"/>
      <c r="AP1064" s="441"/>
      <c r="AQ1064" s="441"/>
      <c r="AR1064" s="441"/>
      <c r="AS1064" s="441"/>
      <c r="AT1064" s="441"/>
      <c r="AU1064" s="441"/>
      <c r="AV1064" s="441"/>
      <c r="AW1064" s="441"/>
      <c r="AX1064" s="441"/>
      <c r="AY1064" s="441"/>
      <c r="AZ1064" s="441"/>
      <c r="BA1064" s="441"/>
      <c r="BB1064" s="441"/>
      <c r="BC1064" s="441"/>
      <c r="BD1064" s="441"/>
      <c r="BE1064" s="441"/>
      <c r="BF1064" s="441"/>
    </row>
    <row r="1065">
      <c r="A1065" s="798"/>
      <c r="B1065" s="795"/>
      <c r="C1065" s="795"/>
      <c r="D1065" s="795"/>
      <c r="E1065" s="795"/>
      <c r="F1065" s="795"/>
      <c r="G1065" s="795"/>
      <c r="H1065" s="795"/>
      <c r="I1065" s="796"/>
      <c r="J1065" s="441"/>
      <c r="K1065" s="441"/>
      <c r="L1065" s="797"/>
      <c r="M1065" s="441"/>
      <c r="N1065" s="441"/>
      <c r="O1065" s="441"/>
      <c r="P1065" s="441"/>
      <c r="Q1065" s="441"/>
      <c r="R1065" s="426"/>
      <c r="S1065" s="441"/>
      <c r="T1065" s="441"/>
      <c r="U1065" s="441"/>
      <c r="V1065" s="441"/>
      <c r="W1065" s="441"/>
      <c r="X1065" s="441"/>
      <c r="Y1065" s="441"/>
      <c r="Z1065" s="441"/>
      <c r="AA1065" s="441"/>
      <c r="AB1065" s="441"/>
      <c r="AC1065" s="441"/>
      <c r="AD1065" s="441"/>
      <c r="AE1065" s="441"/>
      <c r="AF1065" s="441"/>
      <c r="AG1065" s="441"/>
      <c r="AH1065" s="441"/>
      <c r="AI1065" s="441"/>
      <c r="AJ1065" s="441"/>
      <c r="AK1065" s="441"/>
      <c r="AL1065" s="441"/>
      <c r="AM1065" s="441"/>
      <c r="AN1065" s="441"/>
      <c r="AO1065" s="441"/>
      <c r="AP1065" s="441"/>
      <c r="AQ1065" s="441"/>
      <c r="AR1065" s="441"/>
      <c r="AS1065" s="441"/>
      <c r="AT1065" s="441"/>
      <c r="AU1065" s="441"/>
      <c r="AV1065" s="441"/>
      <c r="AW1065" s="441"/>
      <c r="AX1065" s="441"/>
      <c r="AY1065" s="441"/>
      <c r="AZ1065" s="441"/>
      <c r="BA1065" s="441"/>
      <c r="BB1065" s="441"/>
      <c r="BC1065" s="441"/>
      <c r="BD1065" s="441"/>
      <c r="BE1065" s="441"/>
      <c r="BF1065" s="441"/>
    </row>
    <row r="1066">
      <c r="A1066" s="798"/>
      <c r="B1066" s="795"/>
      <c r="C1066" s="795"/>
      <c r="D1066" s="795"/>
      <c r="E1066" s="795"/>
      <c r="F1066" s="795"/>
      <c r="G1066" s="795"/>
      <c r="H1066" s="795"/>
      <c r="I1066" s="796"/>
      <c r="J1066" s="441"/>
      <c r="K1066" s="441"/>
      <c r="L1066" s="797"/>
      <c r="M1066" s="441"/>
      <c r="N1066" s="441"/>
      <c r="O1066" s="441"/>
      <c r="P1066" s="441"/>
      <c r="Q1066" s="441"/>
      <c r="R1066" s="426"/>
      <c r="S1066" s="441"/>
      <c r="T1066" s="441"/>
      <c r="U1066" s="441"/>
      <c r="V1066" s="441"/>
      <c r="W1066" s="441"/>
      <c r="X1066" s="441"/>
      <c r="Y1066" s="441"/>
      <c r="Z1066" s="441"/>
      <c r="AA1066" s="441"/>
      <c r="AB1066" s="441"/>
      <c r="AC1066" s="441"/>
      <c r="AD1066" s="441"/>
      <c r="AE1066" s="441"/>
      <c r="AF1066" s="441"/>
      <c r="AG1066" s="441"/>
      <c r="AH1066" s="441"/>
      <c r="AI1066" s="441"/>
      <c r="AJ1066" s="441"/>
      <c r="AK1066" s="441"/>
      <c r="AL1066" s="441"/>
      <c r="AM1066" s="441"/>
      <c r="AN1066" s="441"/>
      <c r="AO1066" s="441"/>
      <c r="AP1066" s="441"/>
      <c r="AQ1066" s="441"/>
      <c r="AR1066" s="441"/>
      <c r="AS1066" s="441"/>
      <c r="AT1066" s="441"/>
      <c r="AU1066" s="441"/>
      <c r="AV1066" s="441"/>
      <c r="AW1066" s="441"/>
      <c r="AX1066" s="441"/>
      <c r="AY1066" s="441"/>
      <c r="AZ1066" s="441"/>
      <c r="BA1066" s="441"/>
      <c r="BB1066" s="441"/>
      <c r="BC1066" s="441"/>
      <c r="BD1066" s="441"/>
      <c r="BE1066" s="441"/>
      <c r="BF1066" s="441"/>
    </row>
    <row r="1067">
      <c r="A1067" s="798"/>
      <c r="B1067" s="795"/>
      <c r="C1067" s="795"/>
      <c r="D1067" s="795"/>
      <c r="E1067" s="795"/>
      <c r="F1067" s="795"/>
      <c r="G1067" s="795"/>
      <c r="H1067" s="795"/>
      <c r="I1067" s="796"/>
      <c r="J1067" s="441"/>
      <c r="K1067" s="441"/>
      <c r="L1067" s="797"/>
      <c r="M1067" s="441"/>
      <c r="N1067" s="441"/>
      <c r="O1067" s="441"/>
      <c r="P1067" s="441"/>
      <c r="Q1067" s="441"/>
      <c r="R1067" s="426"/>
      <c r="S1067" s="441"/>
      <c r="T1067" s="441"/>
      <c r="U1067" s="441"/>
      <c r="V1067" s="441"/>
      <c r="W1067" s="441"/>
      <c r="X1067" s="441"/>
      <c r="Y1067" s="441"/>
      <c r="Z1067" s="441"/>
      <c r="AA1067" s="441"/>
      <c r="AB1067" s="441"/>
      <c r="AC1067" s="441"/>
      <c r="AD1067" s="441"/>
      <c r="AE1067" s="441"/>
      <c r="AF1067" s="441"/>
      <c r="AG1067" s="441"/>
      <c r="AH1067" s="441"/>
      <c r="AI1067" s="441"/>
      <c r="AJ1067" s="441"/>
      <c r="AK1067" s="441"/>
      <c r="AL1067" s="441"/>
      <c r="AM1067" s="441"/>
      <c r="AN1067" s="441"/>
      <c r="AO1067" s="441"/>
      <c r="AP1067" s="441"/>
      <c r="AQ1067" s="441"/>
      <c r="AR1067" s="441"/>
      <c r="AS1067" s="441"/>
      <c r="AT1067" s="441"/>
      <c r="AU1067" s="441"/>
      <c r="AV1067" s="441"/>
      <c r="AW1067" s="441"/>
      <c r="AX1067" s="441"/>
      <c r="AY1067" s="441"/>
      <c r="AZ1067" s="441"/>
      <c r="BA1067" s="441"/>
      <c r="BB1067" s="441"/>
      <c r="BC1067" s="441"/>
      <c r="BD1067" s="441"/>
      <c r="BE1067" s="441"/>
      <c r="BF1067" s="441"/>
    </row>
    <row r="1068">
      <c r="A1068" s="798"/>
      <c r="B1068" s="795"/>
      <c r="C1068" s="795"/>
      <c r="D1068" s="795"/>
      <c r="E1068" s="795"/>
      <c r="F1068" s="795"/>
      <c r="G1068" s="795"/>
      <c r="H1068" s="795"/>
      <c r="I1068" s="796"/>
      <c r="J1068" s="441"/>
      <c r="K1068" s="441"/>
      <c r="L1068" s="797"/>
      <c r="M1068" s="441"/>
      <c r="N1068" s="441"/>
      <c r="O1068" s="441"/>
      <c r="P1068" s="441"/>
      <c r="Q1068" s="441"/>
      <c r="R1068" s="426"/>
      <c r="S1068" s="441"/>
      <c r="T1068" s="441"/>
      <c r="U1068" s="441"/>
      <c r="V1068" s="441"/>
      <c r="W1068" s="441"/>
      <c r="X1068" s="441"/>
      <c r="Y1068" s="441"/>
      <c r="Z1068" s="441"/>
      <c r="AA1068" s="441"/>
      <c r="AB1068" s="441"/>
      <c r="AC1068" s="441"/>
      <c r="AD1068" s="441"/>
      <c r="AE1068" s="441"/>
      <c r="AF1068" s="441"/>
      <c r="AG1068" s="441"/>
      <c r="AH1068" s="441"/>
      <c r="AI1068" s="441"/>
      <c r="AJ1068" s="441"/>
      <c r="AK1068" s="441"/>
      <c r="AL1068" s="441"/>
      <c r="AM1068" s="441"/>
      <c r="AN1068" s="441"/>
      <c r="AO1068" s="441"/>
      <c r="AP1068" s="441"/>
      <c r="AQ1068" s="441"/>
      <c r="AR1068" s="441"/>
      <c r="AS1068" s="441"/>
      <c r="AT1068" s="441"/>
      <c r="AU1068" s="441"/>
      <c r="AV1068" s="441"/>
      <c r="AW1068" s="441"/>
      <c r="AX1068" s="441"/>
      <c r="AY1068" s="441"/>
      <c r="AZ1068" s="441"/>
      <c r="BA1068" s="441"/>
      <c r="BB1068" s="441"/>
      <c r="BC1068" s="441"/>
      <c r="BD1068" s="441"/>
      <c r="BE1068" s="441"/>
      <c r="BF1068" s="441"/>
    </row>
    <row r="1069">
      <c r="A1069" s="798"/>
      <c r="B1069" s="795"/>
      <c r="C1069" s="795"/>
      <c r="D1069" s="795"/>
      <c r="E1069" s="795"/>
      <c r="F1069" s="795"/>
      <c r="G1069" s="795"/>
      <c r="H1069" s="795"/>
      <c r="I1069" s="796"/>
      <c r="J1069" s="441"/>
      <c r="K1069" s="441"/>
      <c r="L1069" s="797"/>
      <c r="M1069" s="441"/>
      <c r="N1069" s="441"/>
      <c r="O1069" s="441"/>
      <c r="P1069" s="441"/>
      <c r="Q1069" s="441"/>
      <c r="R1069" s="426"/>
      <c r="S1069" s="441"/>
      <c r="T1069" s="441"/>
      <c r="U1069" s="441"/>
      <c r="V1069" s="441"/>
      <c r="W1069" s="441"/>
      <c r="X1069" s="441"/>
      <c r="Y1069" s="441"/>
      <c r="Z1069" s="441"/>
      <c r="AA1069" s="441"/>
      <c r="AB1069" s="441"/>
      <c r="AC1069" s="441"/>
      <c r="AD1069" s="441"/>
      <c r="AE1069" s="441"/>
      <c r="AF1069" s="441"/>
      <c r="AG1069" s="441"/>
      <c r="AH1069" s="441"/>
      <c r="AI1069" s="441"/>
      <c r="AJ1069" s="441"/>
      <c r="AK1069" s="441"/>
      <c r="AL1069" s="441"/>
      <c r="AM1069" s="441"/>
      <c r="AN1069" s="441"/>
      <c r="AO1069" s="441"/>
      <c r="AP1069" s="441"/>
      <c r="AQ1069" s="441"/>
      <c r="AR1069" s="441"/>
      <c r="AS1069" s="441"/>
      <c r="AT1069" s="441"/>
      <c r="AU1069" s="441"/>
      <c r="AV1069" s="441"/>
      <c r="AW1069" s="441"/>
      <c r="AX1069" s="441"/>
      <c r="AY1069" s="441"/>
      <c r="AZ1069" s="441"/>
      <c r="BA1069" s="441"/>
      <c r="BB1069" s="441"/>
      <c r="BC1069" s="441"/>
      <c r="BD1069" s="441"/>
      <c r="BE1069" s="441"/>
      <c r="BF1069" s="441"/>
    </row>
    <row r="1070">
      <c r="A1070" s="798"/>
      <c r="B1070" s="795"/>
      <c r="C1070" s="795"/>
      <c r="D1070" s="795"/>
      <c r="E1070" s="795"/>
      <c r="F1070" s="795"/>
      <c r="G1070" s="795"/>
      <c r="H1070" s="795"/>
      <c r="I1070" s="796"/>
      <c r="J1070" s="441"/>
      <c r="K1070" s="441"/>
      <c r="L1070" s="797"/>
      <c r="M1070" s="441"/>
      <c r="N1070" s="441"/>
      <c r="O1070" s="441"/>
      <c r="P1070" s="441"/>
      <c r="Q1070" s="441"/>
      <c r="R1070" s="426"/>
      <c r="S1070" s="441"/>
      <c r="T1070" s="441"/>
      <c r="U1070" s="441"/>
      <c r="V1070" s="441"/>
      <c r="W1070" s="441"/>
      <c r="X1070" s="441"/>
      <c r="Y1070" s="441"/>
      <c r="Z1070" s="441"/>
      <c r="AA1070" s="441"/>
      <c r="AB1070" s="441"/>
      <c r="AC1070" s="441"/>
      <c r="AD1070" s="441"/>
      <c r="AE1070" s="441"/>
      <c r="AF1070" s="441"/>
      <c r="AG1070" s="441"/>
      <c r="AH1070" s="441"/>
      <c r="AI1070" s="441"/>
      <c r="AJ1070" s="441"/>
      <c r="AK1070" s="441"/>
      <c r="AL1070" s="441"/>
      <c r="AM1070" s="441"/>
      <c r="AN1070" s="441"/>
      <c r="AO1070" s="441"/>
      <c r="AP1070" s="441"/>
      <c r="AQ1070" s="441"/>
      <c r="AR1070" s="441"/>
      <c r="AS1070" s="441"/>
      <c r="AT1070" s="441"/>
      <c r="AU1070" s="441"/>
      <c r="AV1070" s="441"/>
      <c r="AW1070" s="441"/>
      <c r="AX1070" s="441"/>
      <c r="AY1070" s="441"/>
      <c r="AZ1070" s="441"/>
      <c r="BA1070" s="441"/>
      <c r="BB1070" s="441"/>
      <c r="BC1070" s="441"/>
      <c r="BD1070" s="441"/>
      <c r="BE1070" s="441"/>
      <c r="BF1070" s="441"/>
    </row>
    <row r="1071">
      <c r="A1071" s="798"/>
      <c r="B1071" s="795"/>
      <c r="C1071" s="795"/>
      <c r="D1071" s="795"/>
      <c r="E1071" s="795"/>
      <c r="F1071" s="795"/>
      <c r="G1071" s="795"/>
      <c r="H1071" s="795"/>
      <c r="I1071" s="796"/>
      <c r="J1071" s="441"/>
      <c r="K1071" s="441"/>
      <c r="L1071" s="797"/>
      <c r="M1071" s="441"/>
      <c r="N1071" s="441"/>
      <c r="O1071" s="441"/>
      <c r="P1071" s="441"/>
      <c r="Q1071" s="441"/>
      <c r="R1071" s="426"/>
      <c r="S1071" s="441"/>
      <c r="T1071" s="441"/>
      <c r="U1071" s="441"/>
      <c r="V1071" s="441"/>
      <c r="W1071" s="441"/>
      <c r="X1071" s="441"/>
      <c r="Y1071" s="441"/>
      <c r="Z1071" s="441"/>
      <c r="AA1071" s="441"/>
      <c r="AB1071" s="441"/>
      <c r="AC1071" s="441"/>
      <c r="AD1071" s="441"/>
      <c r="AE1071" s="441"/>
      <c r="AF1071" s="441"/>
      <c r="AG1071" s="441"/>
      <c r="AH1071" s="441"/>
      <c r="AI1071" s="441"/>
      <c r="AJ1071" s="441"/>
      <c r="AK1071" s="441"/>
      <c r="AL1071" s="441"/>
      <c r="AM1071" s="441"/>
      <c r="AN1071" s="441"/>
      <c r="AO1071" s="441"/>
      <c r="AP1071" s="441"/>
      <c r="AQ1071" s="441"/>
      <c r="AR1071" s="441"/>
      <c r="AS1071" s="441"/>
      <c r="AT1071" s="441"/>
      <c r="AU1071" s="441"/>
      <c r="AV1071" s="441"/>
      <c r="AW1071" s="441"/>
      <c r="AX1071" s="441"/>
      <c r="AY1071" s="441"/>
      <c r="AZ1071" s="441"/>
      <c r="BA1071" s="441"/>
      <c r="BB1071" s="441"/>
      <c r="BC1071" s="441"/>
      <c r="BD1071" s="441"/>
      <c r="BE1071" s="441"/>
      <c r="BF1071" s="441"/>
    </row>
    <row r="1072">
      <c r="A1072" s="798"/>
      <c r="B1072" s="795"/>
      <c r="C1072" s="795"/>
      <c r="D1072" s="795"/>
      <c r="E1072" s="795"/>
      <c r="F1072" s="795"/>
      <c r="G1072" s="795"/>
      <c r="H1072" s="795"/>
      <c r="I1072" s="796"/>
      <c r="J1072" s="441"/>
      <c r="K1072" s="441"/>
      <c r="L1072" s="797"/>
      <c r="M1072" s="441"/>
      <c r="N1072" s="441"/>
      <c r="O1072" s="441"/>
      <c r="P1072" s="441"/>
      <c r="Q1072" s="441"/>
      <c r="R1072" s="426"/>
      <c r="S1072" s="441"/>
      <c r="T1072" s="441"/>
      <c r="U1072" s="441"/>
      <c r="V1072" s="441"/>
      <c r="W1072" s="441"/>
      <c r="X1072" s="441"/>
      <c r="Y1072" s="441"/>
      <c r="Z1072" s="441"/>
      <c r="AA1072" s="441"/>
      <c r="AB1072" s="441"/>
      <c r="AC1072" s="441"/>
      <c r="AD1072" s="441"/>
      <c r="AE1072" s="441"/>
      <c r="AF1072" s="441"/>
      <c r="AG1072" s="441"/>
      <c r="AH1072" s="441"/>
      <c r="AI1072" s="441"/>
      <c r="AJ1072" s="441"/>
      <c r="AK1072" s="441"/>
      <c r="AL1072" s="441"/>
      <c r="AM1072" s="441"/>
      <c r="AN1072" s="441"/>
      <c r="AO1072" s="441"/>
      <c r="AP1072" s="441"/>
      <c r="AQ1072" s="441"/>
      <c r="AR1072" s="441"/>
      <c r="AS1072" s="441"/>
      <c r="AT1072" s="441"/>
      <c r="AU1072" s="441"/>
      <c r="AV1072" s="441"/>
      <c r="AW1072" s="441"/>
      <c r="AX1072" s="441"/>
      <c r="AY1072" s="441"/>
      <c r="AZ1072" s="441"/>
      <c r="BA1072" s="441"/>
      <c r="BB1072" s="441"/>
      <c r="BC1072" s="441"/>
      <c r="BD1072" s="441"/>
      <c r="BE1072" s="441"/>
      <c r="BF1072" s="441"/>
    </row>
    <row r="1073">
      <c r="A1073" s="798"/>
      <c r="B1073" s="795"/>
      <c r="C1073" s="795"/>
      <c r="D1073" s="795"/>
      <c r="E1073" s="795"/>
      <c r="F1073" s="795"/>
      <c r="G1073" s="795"/>
      <c r="H1073" s="795"/>
      <c r="I1073" s="796"/>
      <c r="J1073" s="441"/>
      <c r="K1073" s="441"/>
      <c r="L1073" s="797"/>
      <c r="M1073" s="441"/>
      <c r="N1073" s="441"/>
      <c r="O1073" s="441"/>
      <c r="P1073" s="441"/>
      <c r="Q1073" s="441"/>
      <c r="R1073" s="426"/>
      <c r="S1073" s="441"/>
      <c r="T1073" s="441"/>
      <c r="U1073" s="441"/>
      <c r="V1073" s="441"/>
      <c r="W1073" s="441"/>
      <c r="X1073" s="441"/>
      <c r="Y1073" s="441"/>
      <c r="Z1073" s="441"/>
      <c r="AA1073" s="441"/>
      <c r="AB1073" s="441"/>
      <c r="AC1073" s="441"/>
      <c r="AD1073" s="441"/>
      <c r="AE1073" s="441"/>
      <c r="AF1073" s="441"/>
      <c r="AG1073" s="441"/>
      <c r="AH1073" s="441"/>
      <c r="AI1073" s="441"/>
      <c r="AJ1073" s="441"/>
      <c r="AK1073" s="441"/>
      <c r="AL1073" s="441"/>
      <c r="AM1073" s="441"/>
      <c r="AN1073" s="441"/>
      <c r="AO1073" s="441"/>
      <c r="AP1073" s="441"/>
      <c r="AQ1073" s="441"/>
      <c r="AR1073" s="441"/>
      <c r="AS1073" s="441"/>
      <c r="AT1073" s="441"/>
      <c r="AU1073" s="441"/>
      <c r="AV1073" s="441"/>
      <c r="AW1073" s="441"/>
      <c r="AX1073" s="441"/>
      <c r="AY1073" s="441"/>
      <c r="AZ1073" s="441"/>
      <c r="BA1073" s="441"/>
      <c r="BB1073" s="441"/>
      <c r="BC1073" s="441"/>
      <c r="BD1073" s="441"/>
      <c r="BE1073" s="441"/>
      <c r="BF1073" s="441"/>
    </row>
    <row r="1074">
      <c r="A1074" s="798"/>
      <c r="B1074" s="795"/>
      <c r="C1074" s="795"/>
      <c r="D1074" s="795"/>
      <c r="E1074" s="795"/>
      <c r="F1074" s="795"/>
      <c r="G1074" s="795"/>
      <c r="H1074" s="795"/>
      <c r="I1074" s="796"/>
      <c r="J1074" s="441"/>
      <c r="K1074" s="441"/>
      <c r="L1074" s="797"/>
      <c r="M1074" s="441"/>
      <c r="N1074" s="441"/>
      <c r="O1074" s="441"/>
      <c r="P1074" s="441"/>
      <c r="Q1074" s="441"/>
      <c r="R1074" s="426"/>
      <c r="S1074" s="441"/>
      <c r="T1074" s="441"/>
      <c r="U1074" s="441"/>
      <c r="V1074" s="441"/>
      <c r="W1074" s="441"/>
      <c r="X1074" s="441"/>
      <c r="Y1074" s="441"/>
      <c r="Z1074" s="441"/>
      <c r="AA1074" s="441"/>
      <c r="AB1074" s="441"/>
      <c r="AC1074" s="441"/>
      <c r="AD1074" s="441"/>
      <c r="AE1074" s="441"/>
      <c r="AF1074" s="441"/>
      <c r="AG1074" s="441"/>
      <c r="AH1074" s="441"/>
      <c r="AI1074" s="441"/>
      <c r="AJ1074" s="441"/>
      <c r="AK1074" s="441"/>
      <c r="AL1074" s="441"/>
      <c r="AM1074" s="441"/>
      <c r="AN1074" s="441"/>
      <c r="AO1074" s="441"/>
      <c r="AP1074" s="441"/>
      <c r="AQ1074" s="441"/>
      <c r="AR1074" s="441"/>
      <c r="AS1074" s="441"/>
      <c r="AT1074" s="441"/>
      <c r="AU1074" s="441"/>
      <c r="AV1074" s="441"/>
      <c r="AW1074" s="441"/>
      <c r="AX1074" s="441"/>
      <c r="AY1074" s="441"/>
      <c r="AZ1074" s="441"/>
      <c r="BA1074" s="441"/>
      <c r="BB1074" s="441"/>
      <c r="BC1074" s="441"/>
      <c r="BD1074" s="441"/>
      <c r="BE1074" s="441"/>
      <c r="BF1074" s="441"/>
    </row>
    <row r="1075">
      <c r="A1075" s="798"/>
      <c r="B1075" s="795"/>
      <c r="C1075" s="795"/>
      <c r="D1075" s="795"/>
      <c r="E1075" s="795"/>
      <c r="F1075" s="795"/>
      <c r="G1075" s="795"/>
      <c r="H1075" s="795"/>
      <c r="I1075" s="796"/>
      <c r="J1075" s="441"/>
      <c r="K1075" s="441"/>
      <c r="L1075" s="797"/>
      <c r="M1075" s="441"/>
      <c r="N1075" s="441"/>
      <c r="O1075" s="441"/>
      <c r="P1075" s="441"/>
      <c r="Q1075" s="441"/>
      <c r="R1075" s="426"/>
      <c r="S1075" s="441"/>
      <c r="T1075" s="441"/>
      <c r="U1075" s="441"/>
      <c r="V1075" s="441"/>
      <c r="W1075" s="441"/>
      <c r="X1075" s="441"/>
      <c r="Y1075" s="441"/>
      <c r="Z1075" s="441"/>
      <c r="AA1075" s="441"/>
      <c r="AB1075" s="441"/>
      <c r="AC1075" s="441"/>
      <c r="AD1075" s="441"/>
      <c r="AE1075" s="441"/>
      <c r="AF1075" s="441"/>
      <c r="AG1075" s="441"/>
      <c r="AH1075" s="441"/>
      <c r="AI1075" s="441"/>
      <c r="AJ1075" s="441"/>
      <c r="AK1075" s="441"/>
      <c r="AL1075" s="441"/>
      <c r="AM1075" s="441"/>
      <c r="AN1075" s="441"/>
      <c r="AO1075" s="441"/>
      <c r="AP1075" s="441"/>
      <c r="AQ1075" s="441"/>
      <c r="AR1075" s="441"/>
      <c r="AS1075" s="441"/>
      <c r="AT1075" s="441"/>
      <c r="AU1075" s="441"/>
      <c r="AV1075" s="441"/>
      <c r="AW1075" s="441"/>
      <c r="AX1075" s="441"/>
      <c r="AY1075" s="441"/>
      <c r="AZ1075" s="441"/>
      <c r="BA1075" s="441"/>
      <c r="BB1075" s="441"/>
      <c r="BC1075" s="441"/>
      <c r="BD1075" s="441"/>
      <c r="BE1075" s="441"/>
      <c r="BF1075" s="441"/>
    </row>
    <row r="1076">
      <c r="A1076" s="798"/>
      <c r="B1076" s="795"/>
      <c r="C1076" s="795"/>
      <c r="D1076" s="795"/>
      <c r="E1076" s="795"/>
      <c r="F1076" s="795"/>
      <c r="G1076" s="795"/>
      <c r="H1076" s="795"/>
      <c r="I1076" s="796"/>
      <c r="J1076" s="441"/>
      <c r="K1076" s="441"/>
      <c r="L1076" s="797"/>
      <c r="M1076" s="441"/>
      <c r="N1076" s="441"/>
      <c r="O1076" s="441"/>
      <c r="P1076" s="441"/>
      <c r="Q1076" s="441"/>
      <c r="R1076" s="426"/>
      <c r="S1076" s="441"/>
      <c r="T1076" s="441"/>
      <c r="U1076" s="441"/>
      <c r="V1076" s="441"/>
      <c r="W1076" s="441"/>
      <c r="X1076" s="441"/>
      <c r="Y1076" s="441"/>
      <c r="Z1076" s="441"/>
      <c r="AA1076" s="441"/>
      <c r="AB1076" s="441"/>
      <c r="AC1076" s="441"/>
      <c r="AD1076" s="441"/>
      <c r="AE1076" s="441"/>
      <c r="AF1076" s="441"/>
      <c r="AG1076" s="441"/>
      <c r="AH1076" s="441"/>
      <c r="AI1076" s="441"/>
      <c r="AJ1076" s="441"/>
      <c r="AK1076" s="441"/>
      <c r="AL1076" s="441"/>
      <c r="AM1076" s="441"/>
      <c r="AN1076" s="441"/>
      <c r="AO1076" s="441"/>
      <c r="AP1076" s="441"/>
      <c r="AQ1076" s="441"/>
      <c r="AR1076" s="441"/>
      <c r="AS1076" s="441"/>
      <c r="AT1076" s="441"/>
      <c r="AU1076" s="441"/>
      <c r="AV1076" s="441"/>
      <c r="AW1076" s="441"/>
      <c r="AX1076" s="441"/>
      <c r="AY1076" s="441"/>
      <c r="AZ1076" s="441"/>
      <c r="BA1076" s="441"/>
      <c r="BB1076" s="441"/>
      <c r="BC1076" s="441"/>
      <c r="BD1076" s="441"/>
      <c r="BE1076" s="441"/>
      <c r="BF1076" s="441"/>
    </row>
    <row r="1077">
      <c r="A1077" s="798"/>
      <c r="B1077" s="795"/>
      <c r="C1077" s="795"/>
      <c r="D1077" s="795"/>
      <c r="E1077" s="795"/>
      <c r="F1077" s="795"/>
      <c r="G1077" s="795"/>
      <c r="H1077" s="795"/>
      <c r="I1077" s="796"/>
      <c r="J1077" s="441"/>
      <c r="K1077" s="441"/>
      <c r="L1077" s="797"/>
      <c r="M1077" s="441"/>
      <c r="N1077" s="441"/>
      <c r="O1077" s="441"/>
      <c r="P1077" s="441"/>
      <c r="Q1077" s="441"/>
      <c r="R1077" s="426"/>
      <c r="S1077" s="441"/>
      <c r="T1077" s="441"/>
      <c r="U1077" s="441"/>
      <c r="V1077" s="441"/>
      <c r="W1077" s="441"/>
      <c r="X1077" s="441"/>
      <c r="Y1077" s="441"/>
      <c r="Z1077" s="441"/>
      <c r="AA1077" s="441"/>
      <c r="AB1077" s="441"/>
      <c r="AC1077" s="441"/>
      <c r="AD1077" s="441"/>
      <c r="AE1077" s="441"/>
      <c r="AF1077" s="441"/>
      <c r="AG1077" s="441"/>
      <c r="AH1077" s="441"/>
      <c r="AI1077" s="441"/>
      <c r="AJ1077" s="441"/>
      <c r="AK1077" s="441"/>
      <c r="AL1077" s="441"/>
      <c r="AM1077" s="441"/>
      <c r="AN1077" s="441"/>
      <c r="AO1077" s="441"/>
      <c r="AP1077" s="441"/>
      <c r="AQ1077" s="441"/>
      <c r="AR1077" s="441"/>
      <c r="AS1077" s="441"/>
      <c r="AT1077" s="441"/>
      <c r="AU1077" s="441"/>
      <c r="AV1077" s="441"/>
      <c r="AW1077" s="441"/>
      <c r="AX1077" s="441"/>
      <c r="AY1077" s="441"/>
      <c r="AZ1077" s="441"/>
      <c r="BA1077" s="441"/>
      <c r="BB1077" s="441"/>
      <c r="BC1077" s="441"/>
      <c r="BD1077" s="441"/>
      <c r="BE1077" s="441"/>
      <c r="BF1077" s="441"/>
    </row>
    <row r="1078">
      <c r="A1078" s="798"/>
      <c r="B1078" s="795"/>
      <c r="C1078" s="795"/>
      <c r="D1078" s="795"/>
      <c r="E1078" s="795"/>
      <c r="F1078" s="795"/>
      <c r="G1078" s="795"/>
      <c r="H1078" s="795"/>
      <c r="I1078" s="796"/>
      <c r="J1078" s="441"/>
      <c r="K1078" s="441"/>
      <c r="L1078" s="797"/>
      <c r="M1078" s="441"/>
      <c r="N1078" s="441"/>
      <c r="O1078" s="441"/>
      <c r="P1078" s="441"/>
      <c r="Q1078" s="441"/>
      <c r="R1078" s="426"/>
      <c r="S1078" s="441"/>
      <c r="T1078" s="441"/>
      <c r="U1078" s="441"/>
      <c r="V1078" s="441"/>
      <c r="W1078" s="441"/>
      <c r="X1078" s="441"/>
      <c r="Y1078" s="441"/>
      <c r="Z1078" s="441"/>
      <c r="AA1078" s="441"/>
      <c r="AB1078" s="441"/>
      <c r="AC1078" s="441"/>
      <c r="AD1078" s="441"/>
      <c r="AE1078" s="441"/>
      <c r="AF1078" s="441"/>
      <c r="AG1078" s="441"/>
      <c r="AH1078" s="441"/>
      <c r="AI1078" s="441"/>
      <c r="AJ1078" s="441"/>
      <c r="AK1078" s="441"/>
      <c r="AL1078" s="441"/>
      <c r="AM1078" s="441"/>
      <c r="AN1078" s="441"/>
      <c r="AO1078" s="441"/>
      <c r="AP1078" s="441"/>
      <c r="AQ1078" s="441"/>
      <c r="AR1078" s="441"/>
      <c r="AS1078" s="441"/>
      <c r="AT1078" s="441"/>
      <c r="AU1078" s="441"/>
      <c r="AV1078" s="441"/>
      <c r="AW1078" s="441"/>
      <c r="AX1078" s="441"/>
      <c r="AY1078" s="441"/>
      <c r="AZ1078" s="441"/>
      <c r="BA1078" s="441"/>
      <c r="BB1078" s="441"/>
      <c r="BC1078" s="441"/>
      <c r="BD1078" s="441"/>
      <c r="BE1078" s="441"/>
      <c r="BF1078" s="441"/>
    </row>
    <row r="1079">
      <c r="A1079" s="798"/>
      <c r="B1079" s="795"/>
      <c r="C1079" s="795"/>
      <c r="D1079" s="795"/>
      <c r="E1079" s="795"/>
      <c r="F1079" s="795"/>
      <c r="G1079" s="795"/>
      <c r="H1079" s="795"/>
      <c r="I1079" s="796"/>
      <c r="J1079" s="441"/>
      <c r="K1079" s="441"/>
      <c r="L1079" s="797"/>
      <c r="M1079" s="441"/>
      <c r="N1079" s="441"/>
      <c r="O1079" s="441"/>
      <c r="P1079" s="441"/>
      <c r="Q1079" s="441"/>
      <c r="R1079" s="426"/>
      <c r="S1079" s="441"/>
      <c r="T1079" s="441"/>
      <c r="U1079" s="441"/>
      <c r="V1079" s="441"/>
      <c r="W1079" s="441"/>
      <c r="X1079" s="441"/>
      <c r="Y1079" s="441"/>
      <c r="Z1079" s="441"/>
      <c r="AA1079" s="441"/>
      <c r="AB1079" s="441"/>
      <c r="AC1079" s="441"/>
      <c r="AD1079" s="441"/>
      <c r="AE1079" s="441"/>
      <c r="AF1079" s="441"/>
      <c r="AG1079" s="441"/>
      <c r="AH1079" s="441"/>
      <c r="AI1079" s="441"/>
      <c r="AJ1079" s="441"/>
      <c r="AK1079" s="441"/>
      <c r="AL1079" s="441"/>
      <c r="AM1079" s="441"/>
      <c r="AN1079" s="441"/>
      <c r="AO1079" s="441"/>
      <c r="AP1079" s="441"/>
      <c r="AQ1079" s="441"/>
      <c r="AR1079" s="441"/>
      <c r="AS1079" s="441"/>
      <c r="AT1079" s="441"/>
      <c r="AU1079" s="441"/>
      <c r="AV1079" s="441"/>
      <c r="AW1079" s="441"/>
      <c r="AX1079" s="441"/>
      <c r="AY1079" s="441"/>
      <c r="AZ1079" s="441"/>
      <c r="BA1079" s="441"/>
      <c r="BB1079" s="441"/>
      <c r="BC1079" s="441"/>
      <c r="BD1079" s="441"/>
      <c r="BE1079" s="441"/>
      <c r="BF1079" s="441"/>
    </row>
    <row r="1080">
      <c r="A1080" s="798"/>
      <c r="B1080" s="795"/>
      <c r="C1080" s="795"/>
      <c r="D1080" s="795"/>
      <c r="E1080" s="795"/>
      <c r="F1080" s="795"/>
      <c r="G1080" s="795"/>
      <c r="H1080" s="795"/>
      <c r="I1080" s="796"/>
      <c r="J1080" s="441"/>
      <c r="K1080" s="441"/>
      <c r="L1080" s="797"/>
      <c r="M1080" s="441"/>
      <c r="N1080" s="441"/>
      <c r="O1080" s="441"/>
      <c r="P1080" s="441"/>
      <c r="Q1080" s="441"/>
      <c r="R1080" s="426"/>
      <c r="S1080" s="441"/>
      <c r="T1080" s="441"/>
      <c r="U1080" s="441"/>
      <c r="V1080" s="441"/>
      <c r="W1080" s="441"/>
      <c r="X1080" s="441"/>
      <c r="Y1080" s="441"/>
      <c r="Z1080" s="441"/>
      <c r="AA1080" s="441"/>
      <c r="AB1080" s="441"/>
      <c r="AC1080" s="441"/>
      <c r="AD1080" s="441"/>
      <c r="AE1080" s="441"/>
      <c r="AF1080" s="441"/>
      <c r="AG1080" s="441"/>
      <c r="AH1080" s="441"/>
      <c r="AI1080" s="441"/>
      <c r="AJ1080" s="441"/>
      <c r="AK1080" s="441"/>
      <c r="AL1080" s="441"/>
      <c r="AM1080" s="441"/>
      <c r="AN1080" s="441"/>
      <c r="AO1080" s="441"/>
      <c r="AP1080" s="441"/>
      <c r="AQ1080" s="441"/>
      <c r="AR1080" s="441"/>
      <c r="AS1080" s="441"/>
      <c r="AT1080" s="441"/>
      <c r="AU1080" s="441"/>
      <c r="AV1080" s="441"/>
      <c r="AW1080" s="441"/>
      <c r="AX1080" s="441"/>
      <c r="AY1080" s="441"/>
      <c r="AZ1080" s="441"/>
      <c r="BA1080" s="441"/>
      <c r="BB1080" s="441"/>
      <c r="BC1080" s="441"/>
      <c r="BD1080" s="441"/>
      <c r="BE1080" s="441"/>
      <c r="BF1080" s="441"/>
    </row>
    <row r="1081">
      <c r="A1081" s="798"/>
      <c r="B1081" s="795"/>
      <c r="C1081" s="795"/>
      <c r="D1081" s="795"/>
      <c r="E1081" s="795"/>
      <c r="F1081" s="795"/>
      <c r="G1081" s="795"/>
      <c r="H1081" s="795"/>
      <c r="I1081" s="796"/>
      <c r="J1081" s="441"/>
      <c r="K1081" s="441"/>
      <c r="L1081" s="797"/>
      <c r="M1081" s="441"/>
      <c r="N1081" s="441"/>
      <c r="O1081" s="441"/>
      <c r="P1081" s="441"/>
      <c r="Q1081" s="441"/>
      <c r="R1081" s="426"/>
      <c r="S1081" s="441"/>
      <c r="T1081" s="441"/>
      <c r="U1081" s="441"/>
      <c r="V1081" s="441"/>
      <c r="W1081" s="441"/>
      <c r="X1081" s="441"/>
      <c r="Y1081" s="441"/>
      <c r="Z1081" s="441"/>
      <c r="AA1081" s="441"/>
      <c r="AB1081" s="441"/>
      <c r="AC1081" s="441"/>
      <c r="AD1081" s="441"/>
      <c r="AE1081" s="441"/>
      <c r="AF1081" s="441"/>
      <c r="AG1081" s="441"/>
      <c r="AH1081" s="441"/>
      <c r="AI1081" s="441"/>
      <c r="AJ1081" s="441"/>
      <c r="AK1081" s="441"/>
      <c r="AL1081" s="441"/>
      <c r="AM1081" s="441"/>
      <c r="AN1081" s="441"/>
      <c r="AO1081" s="441"/>
      <c r="AP1081" s="441"/>
      <c r="AQ1081" s="441"/>
      <c r="AR1081" s="441"/>
      <c r="AS1081" s="441"/>
      <c r="AT1081" s="441"/>
      <c r="AU1081" s="441"/>
      <c r="AV1081" s="441"/>
      <c r="AW1081" s="441"/>
      <c r="AX1081" s="441"/>
      <c r="AY1081" s="441"/>
      <c r="AZ1081" s="441"/>
      <c r="BA1081" s="441"/>
      <c r="BB1081" s="441"/>
      <c r="BC1081" s="441"/>
      <c r="BD1081" s="441"/>
      <c r="BE1081" s="441"/>
      <c r="BF1081" s="441"/>
    </row>
    <row r="1082">
      <c r="A1082" s="798"/>
      <c r="B1082" s="795"/>
      <c r="C1082" s="795"/>
      <c r="D1082" s="795"/>
      <c r="E1082" s="795"/>
      <c r="F1082" s="795"/>
      <c r="G1082" s="795"/>
      <c r="H1082" s="795"/>
      <c r="I1082" s="796"/>
      <c r="J1082" s="441"/>
      <c r="K1082" s="441"/>
      <c r="L1082" s="797"/>
      <c r="M1082" s="441"/>
      <c r="N1082" s="441"/>
      <c r="O1082" s="441"/>
      <c r="P1082" s="441"/>
      <c r="Q1082" s="441"/>
      <c r="R1082" s="426"/>
      <c r="S1082" s="441"/>
      <c r="T1082" s="441"/>
      <c r="U1082" s="441"/>
      <c r="V1082" s="441"/>
      <c r="W1082" s="441"/>
      <c r="X1082" s="441"/>
      <c r="Y1082" s="441"/>
      <c r="Z1082" s="441"/>
      <c r="AA1082" s="441"/>
      <c r="AB1082" s="441"/>
      <c r="AC1082" s="441"/>
      <c r="AD1082" s="441"/>
      <c r="AE1082" s="441"/>
      <c r="AF1082" s="441"/>
      <c r="AG1082" s="441"/>
      <c r="AH1082" s="441"/>
      <c r="AI1082" s="441"/>
      <c r="AJ1082" s="441"/>
      <c r="AK1082" s="441"/>
      <c r="AL1082" s="441"/>
      <c r="AM1082" s="441"/>
      <c r="AN1082" s="441"/>
      <c r="AO1082" s="441"/>
      <c r="AP1082" s="441"/>
      <c r="AQ1082" s="441"/>
      <c r="AR1082" s="441"/>
      <c r="AS1082" s="441"/>
      <c r="AT1082" s="441"/>
      <c r="AU1082" s="441"/>
      <c r="AV1082" s="441"/>
      <c r="AW1082" s="441"/>
      <c r="AX1082" s="441"/>
      <c r="AY1082" s="441"/>
      <c r="AZ1082" s="441"/>
      <c r="BA1082" s="441"/>
      <c r="BB1082" s="441"/>
      <c r="BC1082" s="441"/>
      <c r="BD1082" s="441"/>
      <c r="BE1082" s="441"/>
      <c r="BF1082" s="441"/>
    </row>
    <row r="1083">
      <c r="A1083" s="798"/>
      <c r="B1083" s="795"/>
      <c r="C1083" s="795"/>
      <c r="D1083" s="795"/>
      <c r="E1083" s="795"/>
      <c r="F1083" s="795"/>
      <c r="G1083" s="795"/>
      <c r="H1083" s="795"/>
      <c r="I1083" s="796"/>
      <c r="J1083" s="441"/>
      <c r="K1083" s="441"/>
      <c r="L1083" s="797"/>
      <c r="M1083" s="441"/>
      <c r="N1083" s="441"/>
      <c r="O1083" s="441"/>
      <c r="P1083" s="441"/>
      <c r="Q1083" s="441"/>
      <c r="R1083" s="426"/>
      <c r="S1083" s="441"/>
      <c r="T1083" s="441"/>
      <c r="U1083" s="441"/>
      <c r="V1083" s="441"/>
      <c r="W1083" s="441"/>
      <c r="X1083" s="441"/>
      <c r="Y1083" s="441"/>
      <c r="Z1083" s="441"/>
      <c r="AA1083" s="441"/>
      <c r="AB1083" s="441"/>
      <c r="AC1083" s="441"/>
      <c r="AD1083" s="441"/>
      <c r="AE1083" s="441"/>
      <c r="AF1083" s="441"/>
      <c r="AG1083" s="441"/>
      <c r="AH1083" s="441"/>
      <c r="AI1083" s="441"/>
      <c r="AJ1083" s="441"/>
      <c r="AK1083" s="441"/>
      <c r="AL1083" s="441"/>
      <c r="AM1083" s="441"/>
      <c r="AN1083" s="441"/>
      <c r="AO1083" s="441"/>
      <c r="AP1083" s="441"/>
      <c r="AQ1083" s="441"/>
      <c r="AR1083" s="441"/>
      <c r="AS1083" s="441"/>
      <c r="AT1083" s="441"/>
      <c r="AU1083" s="441"/>
      <c r="AV1083" s="441"/>
      <c r="AW1083" s="441"/>
      <c r="AX1083" s="441"/>
      <c r="AY1083" s="441"/>
      <c r="AZ1083" s="441"/>
      <c r="BA1083" s="441"/>
      <c r="BB1083" s="441"/>
      <c r="BC1083" s="441"/>
      <c r="BD1083" s="441"/>
      <c r="BE1083" s="441"/>
      <c r="BF1083" s="441"/>
    </row>
    <row r="1084">
      <c r="A1084" s="798"/>
      <c r="B1084" s="795"/>
      <c r="C1084" s="795"/>
      <c r="D1084" s="795"/>
      <c r="E1084" s="795"/>
      <c r="F1084" s="795"/>
      <c r="G1084" s="795"/>
      <c r="H1084" s="795"/>
      <c r="I1084" s="796"/>
      <c r="J1084" s="441"/>
      <c r="K1084" s="441"/>
      <c r="L1084" s="797"/>
      <c r="M1084" s="441"/>
      <c r="N1084" s="441"/>
      <c r="O1084" s="441"/>
      <c r="P1084" s="441"/>
      <c r="Q1084" s="441"/>
      <c r="R1084" s="426"/>
      <c r="S1084" s="441"/>
      <c r="T1084" s="441"/>
      <c r="U1084" s="441"/>
      <c r="V1084" s="441"/>
      <c r="W1084" s="441"/>
      <c r="X1084" s="441"/>
      <c r="Y1084" s="441"/>
      <c r="Z1084" s="441"/>
      <c r="AA1084" s="441"/>
      <c r="AB1084" s="441"/>
      <c r="AC1084" s="441"/>
      <c r="AD1084" s="441"/>
      <c r="AE1084" s="441"/>
      <c r="AF1084" s="441"/>
      <c r="AG1084" s="441"/>
      <c r="AH1084" s="441"/>
      <c r="AI1084" s="441"/>
      <c r="AJ1084" s="441"/>
      <c r="AK1084" s="441"/>
      <c r="AL1084" s="441"/>
      <c r="AM1084" s="441"/>
      <c r="AN1084" s="441"/>
      <c r="AO1084" s="441"/>
      <c r="AP1084" s="441"/>
      <c r="AQ1084" s="441"/>
      <c r="AR1084" s="441"/>
      <c r="AS1084" s="441"/>
      <c r="AT1084" s="441"/>
      <c r="AU1084" s="441"/>
      <c r="AV1084" s="441"/>
      <c r="AW1084" s="441"/>
      <c r="AX1084" s="441"/>
      <c r="AY1084" s="441"/>
      <c r="AZ1084" s="441"/>
      <c r="BA1084" s="441"/>
      <c r="BB1084" s="441"/>
      <c r="BC1084" s="441"/>
      <c r="BD1084" s="441"/>
      <c r="BE1084" s="441"/>
      <c r="BF1084" s="441"/>
    </row>
    <row r="1085">
      <c r="A1085" s="798"/>
      <c r="B1085" s="795"/>
      <c r="C1085" s="795"/>
      <c r="D1085" s="795"/>
      <c r="E1085" s="795"/>
      <c r="F1085" s="795"/>
      <c r="G1085" s="795"/>
      <c r="H1085" s="795"/>
      <c r="I1085" s="796"/>
      <c r="J1085" s="441"/>
      <c r="K1085" s="441"/>
      <c r="L1085" s="797"/>
      <c r="M1085" s="441"/>
      <c r="N1085" s="441"/>
      <c r="O1085" s="441"/>
      <c r="P1085" s="441"/>
      <c r="Q1085" s="441"/>
      <c r="R1085" s="426"/>
      <c r="S1085" s="441"/>
      <c r="T1085" s="441"/>
      <c r="U1085" s="441"/>
      <c r="V1085" s="441"/>
      <c r="W1085" s="441"/>
      <c r="X1085" s="441"/>
      <c r="Y1085" s="441"/>
      <c r="Z1085" s="441"/>
      <c r="AA1085" s="441"/>
      <c r="AB1085" s="441"/>
      <c r="AC1085" s="441"/>
      <c r="AD1085" s="441"/>
      <c r="AE1085" s="441"/>
      <c r="AF1085" s="441"/>
      <c r="AG1085" s="441"/>
      <c r="AH1085" s="441"/>
      <c r="AI1085" s="441"/>
      <c r="AJ1085" s="441"/>
      <c r="AK1085" s="441"/>
      <c r="AL1085" s="441"/>
      <c r="AM1085" s="441"/>
      <c r="AN1085" s="441"/>
      <c r="AO1085" s="441"/>
      <c r="AP1085" s="441"/>
      <c r="AQ1085" s="441"/>
      <c r="AR1085" s="441"/>
      <c r="AS1085" s="441"/>
      <c r="AT1085" s="441"/>
      <c r="AU1085" s="441"/>
      <c r="AV1085" s="441"/>
      <c r="AW1085" s="441"/>
      <c r="AX1085" s="441"/>
      <c r="AY1085" s="441"/>
      <c r="AZ1085" s="441"/>
      <c r="BA1085" s="441"/>
      <c r="BB1085" s="441"/>
      <c r="BC1085" s="441"/>
      <c r="BD1085" s="441"/>
      <c r="BE1085" s="441"/>
      <c r="BF1085" s="441"/>
    </row>
    <row r="1086">
      <c r="A1086" s="798"/>
      <c r="B1086" s="795"/>
      <c r="C1086" s="795"/>
      <c r="D1086" s="795"/>
      <c r="E1086" s="795"/>
      <c r="F1086" s="795"/>
      <c r="G1086" s="795"/>
      <c r="H1086" s="795"/>
      <c r="I1086" s="796"/>
      <c r="J1086" s="441"/>
      <c r="K1086" s="441"/>
      <c r="L1086" s="797"/>
      <c r="M1086" s="441"/>
      <c r="N1086" s="441"/>
      <c r="O1086" s="441"/>
      <c r="P1086" s="441"/>
      <c r="Q1086" s="441"/>
      <c r="R1086" s="426"/>
      <c r="S1086" s="441"/>
      <c r="T1086" s="441"/>
      <c r="U1086" s="441"/>
      <c r="V1086" s="441"/>
      <c r="W1086" s="441"/>
      <c r="X1086" s="441"/>
      <c r="Y1086" s="441"/>
      <c r="Z1086" s="441"/>
      <c r="AA1086" s="441"/>
      <c r="AB1086" s="441"/>
      <c r="AC1086" s="441"/>
      <c r="AD1086" s="441"/>
      <c r="AE1086" s="441"/>
      <c r="AF1086" s="441"/>
      <c r="AG1086" s="441"/>
      <c r="AH1086" s="441"/>
      <c r="AI1086" s="441"/>
      <c r="AJ1086" s="441"/>
      <c r="AK1086" s="441"/>
      <c r="AL1086" s="441"/>
      <c r="AM1086" s="441"/>
      <c r="AN1086" s="441"/>
      <c r="AO1086" s="441"/>
      <c r="AP1086" s="441"/>
      <c r="AQ1086" s="441"/>
      <c r="AR1086" s="441"/>
      <c r="AS1086" s="441"/>
      <c r="AT1086" s="441"/>
      <c r="AU1086" s="441"/>
      <c r="AV1086" s="441"/>
      <c r="AW1086" s="441"/>
      <c r="AX1086" s="441"/>
      <c r="AY1086" s="441"/>
      <c r="AZ1086" s="441"/>
      <c r="BA1086" s="441"/>
      <c r="BB1086" s="441"/>
      <c r="BC1086" s="441"/>
      <c r="BD1086" s="441"/>
      <c r="BE1086" s="441"/>
      <c r="BF1086" s="441"/>
    </row>
    <row r="1087">
      <c r="A1087" s="798"/>
      <c r="B1087" s="795"/>
      <c r="C1087" s="795"/>
      <c r="D1087" s="795"/>
      <c r="E1087" s="795"/>
      <c r="F1087" s="795"/>
      <c r="G1087" s="795"/>
      <c r="H1087" s="795"/>
      <c r="I1087" s="796"/>
      <c r="J1087" s="441"/>
      <c r="K1087" s="441"/>
      <c r="L1087" s="797"/>
      <c r="M1087" s="441"/>
      <c r="N1087" s="441"/>
      <c r="O1087" s="441"/>
      <c r="P1087" s="441"/>
      <c r="Q1087" s="441"/>
      <c r="R1087" s="426"/>
      <c r="S1087" s="441"/>
      <c r="T1087" s="441"/>
      <c r="U1087" s="441"/>
      <c r="V1087" s="441"/>
      <c r="W1087" s="441"/>
      <c r="X1087" s="441"/>
      <c r="Y1087" s="441"/>
      <c r="Z1087" s="441"/>
      <c r="AA1087" s="441"/>
      <c r="AB1087" s="441"/>
      <c r="AC1087" s="441"/>
      <c r="AD1087" s="441"/>
      <c r="AE1087" s="441"/>
      <c r="AF1087" s="441"/>
      <c r="AG1087" s="441"/>
      <c r="AH1087" s="441"/>
      <c r="AI1087" s="441"/>
      <c r="AJ1087" s="441"/>
      <c r="AK1087" s="441"/>
      <c r="AL1087" s="441"/>
      <c r="AM1087" s="441"/>
      <c r="AN1087" s="441"/>
      <c r="AO1087" s="441"/>
      <c r="AP1087" s="441"/>
      <c r="AQ1087" s="441"/>
      <c r="AR1087" s="441"/>
      <c r="AS1087" s="441"/>
      <c r="AT1087" s="441"/>
      <c r="AU1087" s="441"/>
      <c r="AV1087" s="441"/>
      <c r="AW1087" s="441"/>
      <c r="AX1087" s="441"/>
      <c r="AY1087" s="441"/>
      <c r="AZ1087" s="441"/>
      <c r="BA1087" s="441"/>
      <c r="BB1087" s="441"/>
      <c r="BC1087" s="441"/>
      <c r="BD1087" s="441"/>
      <c r="BE1087" s="441"/>
      <c r="BF1087" s="441"/>
    </row>
    <row r="1088">
      <c r="A1088" s="798"/>
      <c r="B1088" s="795"/>
      <c r="C1088" s="795"/>
      <c r="D1088" s="795"/>
      <c r="E1088" s="795"/>
      <c r="F1088" s="795"/>
      <c r="G1088" s="795"/>
      <c r="H1088" s="795"/>
      <c r="I1088" s="796"/>
      <c r="J1088" s="441"/>
      <c r="K1088" s="441"/>
      <c r="L1088" s="797"/>
      <c r="M1088" s="441"/>
      <c r="N1088" s="441"/>
      <c r="O1088" s="441"/>
      <c r="P1088" s="441"/>
      <c r="Q1088" s="441"/>
      <c r="R1088" s="426"/>
      <c r="S1088" s="441"/>
      <c r="T1088" s="441"/>
      <c r="U1088" s="441"/>
      <c r="V1088" s="441"/>
      <c r="W1088" s="441"/>
      <c r="X1088" s="441"/>
      <c r="Y1088" s="441"/>
      <c r="Z1088" s="441"/>
      <c r="AA1088" s="441"/>
      <c r="AB1088" s="441"/>
      <c r="AC1088" s="441"/>
      <c r="AD1088" s="441"/>
      <c r="AE1088" s="441"/>
      <c r="AF1088" s="441"/>
      <c r="AG1088" s="441"/>
      <c r="AH1088" s="441"/>
      <c r="AI1088" s="441"/>
      <c r="AJ1088" s="441"/>
      <c r="AK1088" s="441"/>
      <c r="AL1088" s="441"/>
      <c r="AM1088" s="441"/>
      <c r="AN1088" s="441"/>
      <c r="AO1088" s="441"/>
      <c r="AP1088" s="441"/>
      <c r="AQ1088" s="441"/>
      <c r="AR1088" s="441"/>
      <c r="AS1088" s="441"/>
      <c r="AT1088" s="441"/>
      <c r="AU1088" s="441"/>
      <c r="AV1088" s="441"/>
      <c r="AW1088" s="441"/>
      <c r="AX1088" s="441"/>
      <c r="AY1088" s="441"/>
      <c r="AZ1088" s="441"/>
      <c r="BA1088" s="441"/>
      <c r="BB1088" s="441"/>
      <c r="BC1088" s="441"/>
      <c r="BD1088" s="441"/>
      <c r="BE1088" s="441"/>
      <c r="BF1088" s="441"/>
    </row>
    <row r="1089">
      <c r="A1089" s="798"/>
      <c r="B1089" s="795"/>
      <c r="C1089" s="795"/>
      <c r="D1089" s="795"/>
      <c r="E1089" s="795"/>
      <c r="F1089" s="795"/>
      <c r="G1089" s="795"/>
      <c r="H1089" s="795"/>
      <c r="I1089" s="796"/>
      <c r="J1089" s="441"/>
      <c r="K1089" s="441"/>
      <c r="L1089" s="797"/>
      <c r="M1089" s="441"/>
      <c r="N1089" s="441"/>
      <c r="O1089" s="441"/>
      <c r="P1089" s="441"/>
      <c r="Q1089" s="441"/>
      <c r="R1089" s="426"/>
      <c r="S1089" s="441"/>
      <c r="T1089" s="441"/>
      <c r="U1089" s="441"/>
      <c r="V1089" s="441"/>
      <c r="W1089" s="441"/>
      <c r="X1089" s="441"/>
      <c r="Y1089" s="441"/>
      <c r="Z1089" s="441"/>
      <c r="AA1089" s="441"/>
      <c r="AB1089" s="441"/>
      <c r="AC1089" s="441"/>
      <c r="AD1089" s="441"/>
      <c r="AE1089" s="441"/>
      <c r="AF1089" s="441"/>
      <c r="AG1089" s="441"/>
      <c r="AH1089" s="441"/>
      <c r="AI1089" s="441"/>
      <c r="AJ1089" s="441"/>
      <c r="AK1089" s="441"/>
      <c r="AL1089" s="441"/>
      <c r="AM1089" s="441"/>
      <c r="AN1089" s="441"/>
      <c r="AO1089" s="441"/>
      <c r="AP1089" s="441"/>
      <c r="AQ1089" s="441"/>
      <c r="AR1089" s="441"/>
      <c r="AS1089" s="441"/>
      <c r="AT1089" s="441"/>
      <c r="AU1089" s="441"/>
      <c r="AV1089" s="441"/>
      <c r="AW1089" s="441"/>
      <c r="AX1089" s="441"/>
      <c r="AY1089" s="441"/>
      <c r="AZ1089" s="441"/>
      <c r="BA1089" s="441"/>
      <c r="BB1089" s="441"/>
      <c r="BC1089" s="441"/>
      <c r="BD1089" s="441"/>
      <c r="BE1089" s="441"/>
      <c r="BF1089" s="441"/>
    </row>
    <row r="1090">
      <c r="A1090" s="798"/>
      <c r="B1090" s="795"/>
      <c r="C1090" s="795"/>
      <c r="D1090" s="795"/>
      <c r="E1090" s="795"/>
      <c r="F1090" s="795"/>
      <c r="G1090" s="795"/>
      <c r="H1090" s="795"/>
      <c r="I1090" s="796"/>
      <c r="J1090" s="441"/>
      <c r="K1090" s="441"/>
      <c r="L1090" s="797"/>
      <c r="M1090" s="441"/>
      <c r="N1090" s="441"/>
      <c r="O1090" s="441"/>
      <c r="P1090" s="441"/>
      <c r="Q1090" s="441"/>
      <c r="R1090" s="426"/>
      <c r="S1090" s="441"/>
      <c r="T1090" s="441"/>
      <c r="U1090" s="441"/>
      <c r="V1090" s="441"/>
      <c r="W1090" s="441"/>
      <c r="X1090" s="441"/>
      <c r="Y1090" s="441"/>
      <c r="Z1090" s="441"/>
      <c r="AA1090" s="441"/>
      <c r="AB1090" s="441"/>
      <c r="AC1090" s="441"/>
      <c r="AD1090" s="441"/>
      <c r="AE1090" s="441"/>
      <c r="AF1090" s="441"/>
      <c r="AG1090" s="441"/>
      <c r="AH1090" s="441"/>
      <c r="AI1090" s="441"/>
      <c r="AJ1090" s="441"/>
      <c r="AK1090" s="441"/>
      <c r="AL1090" s="441"/>
      <c r="AM1090" s="441"/>
      <c r="AN1090" s="441"/>
      <c r="AO1090" s="441"/>
      <c r="AP1090" s="441"/>
      <c r="AQ1090" s="441"/>
      <c r="AR1090" s="441"/>
      <c r="AS1090" s="441"/>
      <c r="AT1090" s="441"/>
      <c r="AU1090" s="441"/>
      <c r="AV1090" s="441"/>
      <c r="AW1090" s="441"/>
      <c r="AX1090" s="441"/>
      <c r="AY1090" s="441"/>
      <c r="AZ1090" s="441"/>
      <c r="BA1090" s="441"/>
      <c r="BB1090" s="441"/>
      <c r="BC1090" s="441"/>
      <c r="BD1090" s="441"/>
      <c r="BE1090" s="441"/>
      <c r="BF1090" s="441"/>
    </row>
    <row r="1091">
      <c r="A1091" s="798"/>
      <c r="B1091" s="795"/>
      <c r="C1091" s="795"/>
      <c r="D1091" s="795"/>
      <c r="E1091" s="795"/>
      <c r="F1091" s="795"/>
      <c r="G1091" s="795"/>
      <c r="H1091" s="795"/>
      <c r="I1091" s="796"/>
      <c r="J1091" s="441"/>
      <c r="K1091" s="441"/>
      <c r="L1091" s="797"/>
      <c r="M1091" s="441"/>
      <c r="N1091" s="441"/>
      <c r="O1091" s="441"/>
      <c r="P1091" s="441"/>
      <c r="Q1091" s="441"/>
      <c r="R1091" s="426"/>
      <c r="S1091" s="441"/>
      <c r="T1091" s="441"/>
      <c r="U1091" s="441"/>
      <c r="V1091" s="441"/>
      <c r="W1091" s="441"/>
      <c r="X1091" s="441"/>
      <c r="Y1091" s="441"/>
      <c r="Z1091" s="441"/>
      <c r="AA1091" s="441"/>
      <c r="AB1091" s="441"/>
      <c r="AC1091" s="441"/>
      <c r="AD1091" s="441"/>
      <c r="AE1091" s="441"/>
      <c r="AF1091" s="441"/>
      <c r="AG1091" s="441"/>
      <c r="AH1091" s="441"/>
      <c r="AI1091" s="441"/>
      <c r="AJ1091" s="441"/>
      <c r="AK1091" s="441"/>
      <c r="AL1091" s="441"/>
      <c r="AM1091" s="441"/>
      <c r="AN1091" s="441"/>
      <c r="AO1091" s="441"/>
      <c r="AP1091" s="441"/>
      <c r="AQ1091" s="441"/>
      <c r="AR1091" s="441"/>
      <c r="AS1091" s="441"/>
      <c r="AT1091" s="441"/>
      <c r="AU1091" s="441"/>
      <c r="AV1091" s="441"/>
      <c r="AW1091" s="441"/>
      <c r="AX1091" s="441"/>
      <c r="AY1091" s="441"/>
      <c r="AZ1091" s="441"/>
      <c r="BA1091" s="441"/>
      <c r="BB1091" s="441"/>
      <c r="BC1091" s="441"/>
      <c r="BD1091" s="441"/>
      <c r="BE1091" s="441"/>
      <c r="BF1091" s="441"/>
    </row>
    <row r="1092">
      <c r="A1092" s="798"/>
      <c r="B1092" s="795"/>
      <c r="C1092" s="795"/>
      <c r="D1092" s="795"/>
      <c r="E1092" s="795"/>
      <c r="F1092" s="795"/>
      <c r="G1092" s="795"/>
      <c r="H1092" s="795"/>
      <c r="I1092" s="796"/>
      <c r="J1092" s="441"/>
      <c r="K1092" s="441"/>
      <c r="L1092" s="797"/>
      <c r="M1092" s="441"/>
      <c r="N1092" s="441"/>
      <c r="O1092" s="441"/>
      <c r="P1092" s="441"/>
      <c r="Q1092" s="441"/>
      <c r="R1092" s="426"/>
      <c r="S1092" s="441"/>
      <c r="T1092" s="441"/>
      <c r="U1092" s="441"/>
      <c r="V1092" s="441"/>
      <c r="W1092" s="441"/>
      <c r="X1092" s="441"/>
      <c r="Y1092" s="441"/>
      <c r="Z1092" s="441"/>
      <c r="AA1092" s="441"/>
      <c r="AB1092" s="441"/>
      <c r="AC1092" s="441"/>
      <c r="AD1092" s="441"/>
      <c r="AE1092" s="441"/>
      <c r="AF1092" s="441"/>
      <c r="AG1092" s="441"/>
      <c r="AH1092" s="441"/>
      <c r="AI1092" s="441"/>
      <c r="AJ1092" s="441"/>
      <c r="AK1092" s="441"/>
      <c r="AL1092" s="441"/>
      <c r="AM1092" s="441"/>
      <c r="AN1092" s="441"/>
      <c r="AO1092" s="441"/>
      <c r="AP1092" s="441"/>
      <c r="AQ1092" s="441"/>
      <c r="AR1092" s="441"/>
      <c r="AS1092" s="441"/>
      <c r="AT1092" s="441"/>
      <c r="AU1092" s="441"/>
      <c r="AV1092" s="441"/>
      <c r="AW1092" s="441"/>
      <c r="AX1092" s="441"/>
      <c r="AY1092" s="441"/>
      <c r="AZ1092" s="441"/>
      <c r="BA1092" s="441"/>
      <c r="BB1092" s="441"/>
      <c r="BC1092" s="441"/>
      <c r="BD1092" s="441"/>
      <c r="BE1092" s="441"/>
      <c r="BF1092" s="441"/>
    </row>
    <row r="1093">
      <c r="A1093" s="798"/>
      <c r="B1093" s="795"/>
      <c r="C1093" s="795"/>
      <c r="D1093" s="795"/>
      <c r="E1093" s="795"/>
      <c r="F1093" s="795"/>
      <c r="G1093" s="795"/>
      <c r="H1093" s="795"/>
      <c r="I1093" s="796"/>
      <c r="J1093" s="441"/>
      <c r="K1093" s="441"/>
      <c r="L1093" s="797"/>
      <c r="M1093" s="441"/>
      <c r="N1093" s="441"/>
      <c r="O1093" s="441"/>
      <c r="P1093" s="441"/>
      <c r="Q1093" s="441"/>
      <c r="R1093" s="426"/>
      <c r="S1093" s="441"/>
      <c r="T1093" s="441"/>
      <c r="U1093" s="441"/>
      <c r="V1093" s="441"/>
      <c r="W1093" s="441"/>
      <c r="X1093" s="441"/>
      <c r="Y1093" s="441"/>
      <c r="Z1093" s="441"/>
      <c r="AA1093" s="441"/>
      <c r="AB1093" s="441"/>
      <c r="AC1093" s="441"/>
      <c r="AD1093" s="441"/>
      <c r="AE1093" s="441"/>
      <c r="AF1093" s="441"/>
      <c r="AG1093" s="441"/>
      <c r="AH1093" s="441"/>
      <c r="AI1093" s="441"/>
      <c r="AJ1093" s="441"/>
      <c r="AK1093" s="441"/>
      <c r="AL1093" s="441"/>
      <c r="AM1093" s="441"/>
      <c r="AN1093" s="441"/>
      <c r="AO1093" s="441"/>
      <c r="AP1093" s="441"/>
      <c r="AQ1093" s="441"/>
      <c r="AR1093" s="441"/>
      <c r="AS1093" s="441"/>
      <c r="AT1093" s="441"/>
      <c r="AU1093" s="441"/>
      <c r="AV1093" s="441"/>
      <c r="AW1093" s="441"/>
      <c r="AX1093" s="441"/>
      <c r="AY1093" s="441"/>
      <c r="AZ1093" s="441"/>
      <c r="BA1093" s="441"/>
      <c r="BB1093" s="441"/>
      <c r="BC1093" s="441"/>
      <c r="BD1093" s="441"/>
      <c r="BE1093" s="441"/>
      <c r="BF1093" s="441"/>
    </row>
    <row r="1094">
      <c r="A1094" s="798"/>
      <c r="B1094" s="795"/>
      <c r="C1094" s="795"/>
      <c r="D1094" s="795"/>
      <c r="E1094" s="795"/>
      <c r="F1094" s="795"/>
      <c r="G1094" s="795"/>
      <c r="H1094" s="795"/>
      <c r="I1094" s="796"/>
      <c r="J1094" s="441"/>
      <c r="K1094" s="441"/>
      <c r="L1094" s="797"/>
      <c r="M1094" s="441"/>
      <c r="N1094" s="441"/>
      <c r="O1094" s="441"/>
      <c r="P1094" s="441"/>
      <c r="Q1094" s="441"/>
      <c r="R1094" s="426"/>
      <c r="S1094" s="441"/>
      <c r="T1094" s="441"/>
      <c r="U1094" s="441"/>
      <c r="V1094" s="441"/>
      <c r="W1094" s="441"/>
      <c r="X1094" s="441"/>
      <c r="Y1094" s="441"/>
      <c r="Z1094" s="441"/>
      <c r="AA1094" s="441"/>
      <c r="AB1094" s="441"/>
      <c r="AC1094" s="441"/>
      <c r="AD1094" s="441"/>
      <c r="AE1094" s="441"/>
      <c r="AF1094" s="441"/>
      <c r="AG1094" s="441"/>
      <c r="AH1094" s="441"/>
      <c r="AI1094" s="441"/>
      <c r="AJ1094" s="441"/>
      <c r="AK1094" s="441"/>
      <c r="AL1094" s="441"/>
      <c r="AM1094" s="441"/>
      <c r="AN1094" s="441"/>
      <c r="AO1094" s="441"/>
      <c r="AP1094" s="441"/>
      <c r="AQ1094" s="441"/>
      <c r="AR1094" s="441"/>
      <c r="AS1094" s="441"/>
      <c r="AT1094" s="441"/>
      <c r="AU1094" s="441"/>
      <c r="AV1094" s="441"/>
      <c r="AW1094" s="441"/>
      <c r="AX1094" s="441"/>
      <c r="AY1094" s="441"/>
      <c r="AZ1094" s="441"/>
      <c r="BA1094" s="441"/>
      <c r="BB1094" s="441"/>
      <c r="BC1094" s="441"/>
      <c r="BD1094" s="441"/>
      <c r="BE1094" s="441"/>
      <c r="BF1094" s="441"/>
    </row>
    <row r="1095">
      <c r="A1095" s="798"/>
      <c r="B1095" s="795"/>
      <c r="C1095" s="795"/>
      <c r="D1095" s="795"/>
      <c r="E1095" s="795"/>
      <c r="F1095" s="795"/>
      <c r="G1095" s="795"/>
      <c r="H1095" s="795"/>
      <c r="I1095" s="796"/>
      <c r="J1095" s="441"/>
      <c r="K1095" s="441"/>
      <c r="L1095" s="797"/>
      <c r="M1095" s="441"/>
      <c r="N1095" s="441"/>
      <c r="O1095" s="441"/>
      <c r="P1095" s="441"/>
      <c r="Q1095" s="441"/>
      <c r="R1095" s="426"/>
      <c r="S1095" s="441"/>
      <c r="T1095" s="441"/>
      <c r="U1095" s="441"/>
      <c r="V1095" s="441"/>
      <c r="W1095" s="441"/>
      <c r="X1095" s="441"/>
      <c r="Y1095" s="441"/>
      <c r="Z1095" s="441"/>
      <c r="AA1095" s="441"/>
      <c r="AB1095" s="441"/>
      <c r="AC1095" s="441"/>
      <c r="AD1095" s="441"/>
      <c r="AE1095" s="441"/>
      <c r="AF1095" s="441"/>
      <c r="AG1095" s="441"/>
      <c r="AH1095" s="441"/>
      <c r="AI1095" s="441"/>
      <c r="AJ1095" s="441"/>
      <c r="AK1095" s="441"/>
      <c r="AL1095" s="441"/>
      <c r="AM1095" s="441"/>
      <c r="AN1095" s="441"/>
      <c r="AO1095" s="441"/>
      <c r="AP1095" s="441"/>
      <c r="AQ1095" s="441"/>
      <c r="AR1095" s="441"/>
      <c r="AS1095" s="441"/>
      <c r="AT1095" s="441"/>
      <c r="AU1095" s="441"/>
      <c r="AV1095" s="441"/>
      <c r="AW1095" s="441"/>
      <c r="AX1095" s="441"/>
      <c r="AY1095" s="441"/>
      <c r="AZ1095" s="441"/>
      <c r="BA1095" s="441"/>
      <c r="BB1095" s="441"/>
      <c r="BC1095" s="441"/>
      <c r="BD1095" s="441"/>
      <c r="BE1095" s="441"/>
      <c r="BF1095" s="441"/>
    </row>
    <row r="1096">
      <c r="A1096" s="798"/>
      <c r="B1096" s="795"/>
      <c r="C1096" s="795"/>
      <c r="D1096" s="795"/>
      <c r="E1096" s="795"/>
      <c r="F1096" s="795"/>
      <c r="G1096" s="795"/>
      <c r="H1096" s="795"/>
      <c r="I1096" s="796"/>
      <c r="J1096" s="441"/>
      <c r="K1096" s="441"/>
      <c r="L1096" s="797"/>
      <c r="M1096" s="441"/>
      <c r="N1096" s="441"/>
      <c r="O1096" s="441"/>
      <c r="P1096" s="441"/>
      <c r="Q1096" s="441"/>
      <c r="R1096" s="426"/>
      <c r="S1096" s="441"/>
      <c r="T1096" s="441"/>
      <c r="U1096" s="441"/>
      <c r="V1096" s="441"/>
      <c r="W1096" s="441"/>
      <c r="X1096" s="441"/>
      <c r="Y1096" s="441"/>
      <c r="Z1096" s="441"/>
      <c r="AA1096" s="441"/>
      <c r="AB1096" s="441"/>
      <c r="AC1096" s="441"/>
      <c r="AD1096" s="441"/>
      <c r="AE1096" s="441"/>
      <c r="AF1096" s="441"/>
      <c r="AG1096" s="441"/>
      <c r="AH1096" s="441"/>
      <c r="AI1096" s="441"/>
      <c r="AJ1096" s="441"/>
      <c r="AK1096" s="441"/>
      <c r="AL1096" s="441"/>
      <c r="AM1096" s="441"/>
      <c r="AN1096" s="441"/>
      <c r="AO1096" s="441"/>
      <c r="AP1096" s="441"/>
      <c r="AQ1096" s="441"/>
      <c r="AR1096" s="441"/>
      <c r="AS1096" s="441"/>
      <c r="AT1096" s="441"/>
      <c r="AU1096" s="441"/>
      <c r="AV1096" s="441"/>
      <c r="AW1096" s="441"/>
      <c r="AX1096" s="441"/>
      <c r="AY1096" s="441"/>
      <c r="AZ1096" s="441"/>
      <c r="BA1096" s="441"/>
      <c r="BB1096" s="441"/>
      <c r="BC1096" s="441"/>
      <c r="BD1096" s="441"/>
      <c r="BE1096" s="441"/>
      <c r="BF1096" s="441"/>
    </row>
    <row r="1097">
      <c r="A1097" s="798"/>
      <c r="B1097" s="795"/>
      <c r="C1097" s="795"/>
      <c r="D1097" s="795"/>
      <c r="E1097" s="795"/>
      <c r="F1097" s="795"/>
      <c r="G1097" s="795"/>
      <c r="H1097" s="795"/>
      <c r="I1097" s="796"/>
      <c r="J1097" s="441"/>
      <c r="K1097" s="441"/>
      <c r="L1097" s="797"/>
      <c r="M1097" s="441"/>
      <c r="N1097" s="441"/>
      <c r="O1097" s="441"/>
      <c r="P1097" s="441"/>
      <c r="Q1097" s="441"/>
      <c r="R1097" s="426"/>
      <c r="S1097" s="441"/>
      <c r="T1097" s="441"/>
      <c r="U1097" s="441"/>
      <c r="V1097" s="441"/>
      <c r="W1097" s="441"/>
      <c r="X1097" s="441"/>
      <c r="Y1097" s="441"/>
      <c r="Z1097" s="441"/>
      <c r="AA1097" s="441"/>
      <c r="AB1097" s="441"/>
      <c r="AC1097" s="441"/>
      <c r="AD1097" s="441"/>
      <c r="AE1097" s="441"/>
      <c r="AF1097" s="441"/>
      <c r="AG1097" s="441"/>
      <c r="AH1097" s="441"/>
      <c r="AI1097" s="441"/>
      <c r="AJ1097" s="441"/>
      <c r="AK1097" s="441"/>
      <c r="AL1097" s="441"/>
      <c r="AM1097" s="441"/>
      <c r="AN1097" s="441"/>
      <c r="AO1097" s="441"/>
      <c r="AP1097" s="441"/>
      <c r="AQ1097" s="441"/>
      <c r="AR1097" s="441"/>
      <c r="AS1097" s="441"/>
      <c r="AT1097" s="441"/>
      <c r="AU1097" s="441"/>
      <c r="AV1097" s="441"/>
      <c r="AW1097" s="441"/>
      <c r="AX1097" s="441"/>
      <c r="AY1097" s="441"/>
      <c r="AZ1097" s="441"/>
      <c r="BA1097" s="441"/>
      <c r="BB1097" s="441"/>
      <c r="BC1097" s="441"/>
      <c r="BD1097" s="441"/>
      <c r="BE1097" s="441"/>
      <c r="BF1097" s="441"/>
    </row>
    <row r="1098">
      <c r="A1098" s="798"/>
      <c r="B1098" s="795"/>
      <c r="C1098" s="795"/>
      <c r="D1098" s="795"/>
      <c r="E1098" s="795"/>
      <c r="F1098" s="795"/>
      <c r="G1098" s="795"/>
      <c r="H1098" s="795"/>
      <c r="I1098" s="796"/>
      <c r="J1098" s="441"/>
      <c r="K1098" s="441"/>
      <c r="L1098" s="797"/>
      <c r="M1098" s="441"/>
      <c r="N1098" s="441"/>
      <c r="O1098" s="441"/>
      <c r="P1098" s="441"/>
      <c r="Q1098" s="441"/>
      <c r="R1098" s="426"/>
      <c r="S1098" s="441"/>
      <c r="T1098" s="441"/>
      <c r="U1098" s="441"/>
      <c r="V1098" s="441"/>
      <c r="W1098" s="441"/>
      <c r="X1098" s="441"/>
      <c r="Y1098" s="441"/>
      <c r="Z1098" s="441"/>
      <c r="AA1098" s="441"/>
      <c r="AB1098" s="441"/>
      <c r="AC1098" s="441"/>
      <c r="AD1098" s="441"/>
      <c r="AE1098" s="441"/>
      <c r="AF1098" s="441"/>
      <c r="AG1098" s="441"/>
      <c r="AH1098" s="441"/>
      <c r="AI1098" s="441"/>
      <c r="AJ1098" s="441"/>
      <c r="AK1098" s="441"/>
      <c r="AL1098" s="441"/>
      <c r="AM1098" s="441"/>
      <c r="AN1098" s="441"/>
      <c r="AO1098" s="441"/>
      <c r="AP1098" s="441"/>
      <c r="AQ1098" s="441"/>
      <c r="AR1098" s="441"/>
      <c r="AS1098" s="441"/>
      <c r="AT1098" s="441"/>
      <c r="AU1098" s="441"/>
      <c r="AV1098" s="441"/>
      <c r="AW1098" s="441"/>
      <c r="AX1098" s="441"/>
      <c r="AY1098" s="441"/>
      <c r="AZ1098" s="441"/>
      <c r="BA1098" s="441"/>
      <c r="BB1098" s="441"/>
      <c r="BC1098" s="441"/>
      <c r="BD1098" s="441"/>
      <c r="BE1098" s="441"/>
      <c r="BF1098" s="441"/>
    </row>
    <row r="1099">
      <c r="A1099" s="798"/>
      <c r="B1099" s="795"/>
      <c r="C1099" s="795"/>
      <c r="D1099" s="795"/>
      <c r="E1099" s="795"/>
      <c r="F1099" s="795"/>
      <c r="G1099" s="795"/>
      <c r="H1099" s="795"/>
      <c r="I1099" s="796"/>
      <c r="J1099" s="441"/>
      <c r="K1099" s="441"/>
      <c r="L1099" s="797"/>
      <c r="M1099" s="441"/>
      <c r="N1099" s="441"/>
      <c r="O1099" s="441"/>
      <c r="P1099" s="441"/>
      <c r="Q1099" s="441"/>
      <c r="R1099" s="426"/>
      <c r="S1099" s="441"/>
      <c r="T1099" s="441"/>
      <c r="U1099" s="441"/>
      <c r="V1099" s="441"/>
      <c r="W1099" s="441"/>
      <c r="X1099" s="441"/>
      <c r="Y1099" s="441"/>
      <c r="Z1099" s="441"/>
      <c r="AA1099" s="441"/>
      <c r="AB1099" s="441"/>
      <c r="AC1099" s="441"/>
      <c r="AD1099" s="441"/>
      <c r="AE1099" s="441"/>
      <c r="AF1099" s="441"/>
      <c r="AG1099" s="441"/>
      <c r="AH1099" s="441"/>
      <c r="AI1099" s="441"/>
      <c r="AJ1099" s="441"/>
      <c r="AK1099" s="441"/>
      <c r="AL1099" s="441"/>
      <c r="AM1099" s="441"/>
      <c r="AN1099" s="441"/>
      <c r="AO1099" s="441"/>
      <c r="AP1099" s="441"/>
      <c r="AQ1099" s="441"/>
      <c r="AR1099" s="441"/>
      <c r="AS1099" s="441"/>
      <c r="AT1099" s="441"/>
      <c r="AU1099" s="441"/>
      <c r="AV1099" s="441"/>
      <c r="AW1099" s="441"/>
      <c r="AX1099" s="441"/>
      <c r="AY1099" s="441"/>
      <c r="AZ1099" s="441"/>
      <c r="BA1099" s="441"/>
      <c r="BB1099" s="441"/>
      <c r="BC1099" s="441"/>
      <c r="BD1099" s="441"/>
      <c r="BE1099" s="441"/>
      <c r="BF1099" s="441"/>
    </row>
    <row r="1100">
      <c r="A1100" s="798"/>
      <c r="B1100" s="795"/>
      <c r="C1100" s="795"/>
      <c r="D1100" s="795"/>
      <c r="E1100" s="795"/>
      <c r="F1100" s="795"/>
      <c r="G1100" s="795"/>
      <c r="H1100" s="795"/>
      <c r="I1100" s="796"/>
      <c r="J1100" s="441"/>
      <c r="K1100" s="441"/>
      <c r="L1100" s="797"/>
      <c r="M1100" s="441"/>
      <c r="N1100" s="441"/>
      <c r="O1100" s="441"/>
      <c r="P1100" s="441"/>
      <c r="Q1100" s="441"/>
      <c r="R1100" s="426"/>
      <c r="S1100" s="441"/>
      <c r="T1100" s="441"/>
      <c r="U1100" s="441"/>
      <c r="V1100" s="441"/>
      <c r="W1100" s="441"/>
      <c r="X1100" s="441"/>
      <c r="Y1100" s="441"/>
      <c r="Z1100" s="441"/>
      <c r="AA1100" s="441"/>
      <c r="AB1100" s="441"/>
      <c r="AC1100" s="441"/>
      <c r="AD1100" s="441"/>
      <c r="AE1100" s="441"/>
      <c r="AF1100" s="441"/>
      <c r="AG1100" s="441"/>
      <c r="AH1100" s="441"/>
      <c r="AI1100" s="441"/>
      <c r="AJ1100" s="441"/>
      <c r="AK1100" s="441"/>
      <c r="AL1100" s="441"/>
      <c r="AM1100" s="441"/>
      <c r="AN1100" s="441"/>
      <c r="AO1100" s="441"/>
      <c r="AP1100" s="441"/>
      <c r="AQ1100" s="441"/>
      <c r="AR1100" s="441"/>
      <c r="AS1100" s="441"/>
      <c r="AT1100" s="441"/>
      <c r="AU1100" s="441"/>
      <c r="AV1100" s="441"/>
      <c r="AW1100" s="441"/>
      <c r="AX1100" s="441"/>
      <c r="AY1100" s="441"/>
      <c r="AZ1100" s="441"/>
      <c r="BA1100" s="441"/>
      <c r="BB1100" s="441"/>
      <c r="BC1100" s="441"/>
      <c r="BD1100" s="441"/>
      <c r="BE1100" s="441"/>
      <c r="BF1100" s="441"/>
    </row>
    <row r="1101">
      <c r="A1101" s="798"/>
      <c r="B1101" s="795"/>
      <c r="C1101" s="795"/>
      <c r="D1101" s="795"/>
      <c r="E1101" s="795"/>
      <c r="F1101" s="795"/>
      <c r="G1101" s="795"/>
      <c r="H1101" s="795"/>
      <c r="I1101" s="796"/>
      <c r="J1101" s="441"/>
      <c r="K1101" s="441"/>
      <c r="L1101" s="797"/>
      <c r="M1101" s="441"/>
      <c r="N1101" s="441"/>
      <c r="O1101" s="441"/>
      <c r="P1101" s="441"/>
      <c r="Q1101" s="441"/>
      <c r="R1101" s="426"/>
      <c r="S1101" s="441"/>
      <c r="T1101" s="441"/>
      <c r="U1101" s="441"/>
      <c r="V1101" s="441"/>
      <c r="W1101" s="441"/>
      <c r="X1101" s="441"/>
      <c r="Y1101" s="441"/>
      <c r="Z1101" s="441"/>
      <c r="AA1101" s="441"/>
      <c r="AB1101" s="441"/>
      <c r="AC1101" s="441"/>
      <c r="AD1101" s="441"/>
      <c r="AE1101" s="441"/>
      <c r="AF1101" s="441"/>
      <c r="AG1101" s="441"/>
      <c r="AH1101" s="441"/>
      <c r="AI1101" s="441"/>
      <c r="AJ1101" s="441"/>
      <c r="AK1101" s="441"/>
      <c r="AL1101" s="441"/>
      <c r="AM1101" s="441"/>
      <c r="AN1101" s="441"/>
      <c r="AO1101" s="441"/>
      <c r="AP1101" s="441"/>
      <c r="AQ1101" s="441"/>
      <c r="AR1101" s="441"/>
      <c r="AS1101" s="441"/>
      <c r="AT1101" s="441"/>
      <c r="AU1101" s="441"/>
      <c r="AV1101" s="441"/>
      <c r="AW1101" s="441"/>
      <c r="AX1101" s="441"/>
      <c r="AY1101" s="441"/>
      <c r="AZ1101" s="441"/>
      <c r="BA1101" s="441"/>
      <c r="BB1101" s="441"/>
      <c r="BC1101" s="441"/>
      <c r="BD1101" s="441"/>
      <c r="BE1101" s="441"/>
      <c r="BF1101" s="441"/>
    </row>
    <row r="1102">
      <c r="A1102" s="798"/>
      <c r="B1102" s="795"/>
      <c r="C1102" s="795"/>
      <c r="D1102" s="795"/>
      <c r="E1102" s="795"/>
      <c r="F1102" s="795"/>
      <c r="G1102" s="795"/>
      <c r="H1102" s="795"/>
      <c r="I1102" s="796"/>
      <c r="J1102" s="441"/>
      <c r="K1102" s="441"/>
      <c r="L1102" s="797"/>
      <c r="M1102" s="441"/>
      <c r="N1102" s="441"/>
      <c r="O1102" s="441"/>
      <c r="P1102" s="441"/>
      <c r="Q1102" s="441"/>
      <c r="R1102" s="426"/>
      <c r="S1102" s="441"/>
      <c r="T1102" s="441"/>
      <c r="U1102" s="441"/>
      <c r="V1102" s="441"/>
      <c r="W1102" s="441"/>
      <c r="X1102" s="441"/>
      <c r="Y1102" s="441"/>
      <c r="Z1102" s="441"/>
      <c r="AA1102" s="441"/>
      <c r="AB1102" s="441"/>
      <c r="AC1102" s="441"/>
      <c r="AD1102" s="441"/>
      <c r="AE1102" s="441"/>
      <c r="AF1102" s="441"/>
      <c r="AG1102" s="441"/>
      <c r="AH1102" s="441"/>
      <c r="AI1102" s="441"/>
      <c r="AJ1102" s="441"/>
      <c r="AK1102" s="441"/>
      <c r="AL1102" s="441"/>
      <c r="AM1102" s="441"/>
      <c r="AN1102" s="441"/>
      <c r="AO1102" s="441"/>
      <c r="AP1102" s="441"/>
      <c r="AQ1102" s="441"/>
      <c r="AR1102" s="441"/>
      <c r="AS1102" s="441"/>
      <c r="AT1102" s="441"/>
      <c r="AU1102" s="441"/>
      <c r="AV1102" s="441"/>
      <c r="AW1102" s="441"/>
      <c r="AX1102" s="441"/>
      <c r="AY1102" s="441"/>
      <c r="AZ1102" s="441"/>
      <c r="BA1102" s="441"/>
      <c r="BB1102" s="441"/>
      <c r="BC1102" s="441"/>
      <c r="BD1102" s="441"/>
      <c r="BE1102" s="441"/>
      <c r="BF1102" s="441"/>
    </row>
    <row r="1103">
      <c r="A1103" s="798"/>
      <c r="B1103" s="795"/>
      <c r="C1103" s="795"/>
      <c r="D1103" s="795"/>
      <c r="E1103" s="795"/>
      <c r="F1103" s="795"/>
      <c r="G1103" s="795"/>
      <c r="H1103" s="795"/>
      <c r="I1103" s="796"/>
      <c r="J1103" s="441"/>
      <c r="K1103" s="441"/>
      <c r="L1103" s="797"/>
      <c r="M1103" s="441"/>
      <c r="N1103" s="441"/>
      <c r="O1103" s="441"/>
      <c r="P1103" s="441"/>
      <c r="Q1103" s="441"/>
      <c r="R1103" s="426"/>
      <c r="S1103" s="441"/>
      <c r="T1103" s="441"/>
      <c r="U1103" s="441"/>
      <c r="V1103" s="441"/>
      <c r="W1103" s="441"/>
      <c r="X1103" s="441"/>
      <c r="Y1103" s="441"/>
      <c r="Z1103" s="441"/>
      <c r="AA1103" s="441"/>
      <c r="AB1103" s="441"/>
      <c r="AC1103" s="441"/>
      <c r="AD1103" s="441"/>
      <c r="AE1103" s="441"/>
      <c r="AF1103" s="441"/>
      <c r="AG1103" s="441"/>
      <c r="AH1103" s="441"/>
      <c r="AI1103" s="441"/>
      <c r="AJ1103" s="441"/>
      <c r="AK1103" s="441"/>
      <c r="AL1103" s="441"/>
      <c r="AM1103" s="441"/>
      <c r="AN1103" s="441"/>
      <c r="AO1103" s="441"/>
      <c r="AP1103" s="441"/>
      <c r="AQ1103" s="441"/>
      <c r="AR1103" s="441"/>
      <c r="AS1103" s="441"/>
      <c r="AT1103" s="441"/>
      <c r="AU1103" s="441"/>
      <c r="AV1103" s="441"/>
      <c r="AW1103" s="441"/>
      <c r="AX1103" s="441"/>
      <c r="AY1103" s="441"/>
      <c r="AZ1103" s="441"/>
      <c r="BA1103" s="441"/>
      <c r="BB1103" s="441"/>
      <c r="BC1103" s="441"/>
      <c r="BD1103" s="441"/>
      <c r="BE1103" s="441"/>
      <c r="BF1103" s="441"/>
    </row>
    <row r="1104">
      <c r="A1104" s="798"/>
      <c r="B1104" s="795"/>
      <c r="C1104" s="795"/>
      <c r="D1104" s="795"/>
      <c r="E1104" s="795"/>
      <c r="F1104" s="795"/>
      <c r="G1104" s="795"/>
      <c r="H1104" s="795"/>
      <c r="I1104" s="796"/>
      <c r="J1104" s="441"/>
      <c r="K1104" s="441"/>
      <c r="L1104" s="797"/>
      <c r="M1104" s="441"/>
      <c r="N1104" s="441"/>
      <c r="O1104" s="441"/>
      <c r="P1104" s="441"/>
      <c r="Q1104" s="441"/>
      <c r="R1104" s="426"/>
      <c r="S1104" s="441"/>
      <c r="T1104" s="441"/>
      <c r="U1104" s="441"/>
      <c r="V1104" s="441"/>
      <c r="W1104" s="441"/>
      <c r="X1104" s="441"/>
      <c r="Y1104" s="441"/>
      <c r="Z1104" s="441"/>
      <c r="AA1104" s="441"/>
      <c r="AB1104" s="441"/>
      <c r="AC1104" s="441"/>
      <c r="AD1104" s="441"/>
      <c r="AE1104" s="441"/>
      <c r="AF1104" s="441"/>
      <c r="AG1104" s="441"/>
      <c r="AH1104" s="441"/>
      <c r="AI1104" s="441"/>
      <c r="AJ1104" s="441"/>
      <c r="AK1104" s="441"/>
      <c r="AL1104" s="441"/>
      <c r="AM1104" s="441"/>
      <c r="AN1104" s="441"/>
      <c r="AO1104" s="441"/>
      <c r="AP1104" s="441"/>
      <c r="AQ1104" s="441"/>
      <c r="AR1104" s="441"/>
      <c r="AS1104" s="441"/>
      <c r="AT1104" s="441"/>
      <c r="AU1104" s="441"/>
      <c r="AV1104" s="441"/>
      <c r="AW1104" s="441"/>
      <c r="AX1104" s="441"/>
      <c r="AY1104" s="441"/>
      <c r="AZ1104" s="441"/>
      <c r="BA1104" s="441"/>
      <c r="BB1104" s="441"/>
      <c r="BC1104" s="441"/>
      <c r="BD1104" s="441"/>
      <c r="BE1104" s="441"/>
      <c r="BF1104" s="441"/>
    </row>
    <row r="1105">
      <c r="A1105" s="798"/>
      <c r="B1105" s="795"/>
      <c r="C1105" s="795"/>
      <c r="D1105" s="795"/>
      <c r="E1105" s="795"/>
      <c r="F1105" s="795"/>
      <c r="G1105" s="795"/>
      <c r="H1105" s="795"/>
      <c r="I1105" s="796"/>
      <c r="J1105" s="441"/>
      <c r="K1105" s="441"/>
      <c r="L1105" s="797"/>
      <c r="M1105" s="441"/>
      <c r="N1105" s="441"/>
      <c r="O1105" s="441"/>
      <c r="P1105" s="441"/>
      <c r="Q1105" s="441"/>
      <c r="R1105" s="426"/>
      <c r="S1105" s="441"/>
      <c r="T1105" s="441"/>
      <c r="U1105" s="441"/>
      <c r="V1105" s="441"/>
      <c r="W1105" s="441"/>
      <c r="X1105" s="441"/>
      <c r="Y1105" s="441"/>
      <c r="Z1105" s="441"/>
      <c r="AA1105" s="441"/>
      <c r="AB1105" s="441"/>
      <c r="AC1105" s="441"/>
      <c r="AD1105" s="441"/>
      <c r="AE1105" s="441"/>
      <c r="AF1105" s="441"/>
      <c r="AG1105" s="441"/>
      <c r="AH1105" s="441"/>
      <c r="AI1105" s="441"/>
      <c r="AJ1105" s="441"/>
      <c r="AK1105" s="441"/>
      <c r="AL1105" s="441"/>
      <c r="AM1105" s="441"/>
      <c r="AN1105" s="441"/>
      <c r="AO1105" s="441"/>
      <c r="AP1105" s="441"/>
      <c r="AQ1105" s="441"/>
      <c r="AR1105" s="441"/>
      <c r="AS1105" s="441"/>
      <c r="AT1105" s="441"/>
      <c r="AU1105" s="441"/>
      <c r="AV1105" s="441"/>
      <c r="AW1105" s="441"/>
      <c r="AX1105" s="441"/>
      <c r="AY1105" s="441"/>
      <c r="AZ1105" s="441"/>
      <c r="BA1105" s="441"/>
      <c r="BB1105" s="441"/>
      <c r="BC1105" s="441"/>
      <c r="BD1105" s="441"/>
      <c r="BE1105" s="441"/>
      <c r="BF1105" s="441"/>
    </row>
    <row r="1106">
      <c r="A1106" s="798"/>
      <c r="B1106" s="795"/>
      <c r="C1106" s="795"/>
      <c r="D1106" s="795"/>
      <c r="E1106" s="795"/>
      <c r="F1106" s="795"/>
      <c r="G1106" s="795"/>
      <c r="H1106" s="795"/>
      <c r="I1106" s="796"/>
      <c r="J1106" s="441"/>
      <c r="K1106" s="441"/>
      <c r="L1106" s="797"/>
      <c r="M1106" s="441"/>
      <c r="N1106" s="441"/>
      <c r="O1106" s="441"/>
      <c r="P1106" s="441"/>
      <c r="Q1106" s="441"/>
      <c r="R1106" s="426"/>
      <c r="S1106" s="441"/>
      <c r="T1106" s="441"/>
      <c r="U1106" s="441"/>
      <c r="V1106" s="441"/>
      <c r="W1106" s="441"/>
      <c r="X1106" s="441"/>
      <c r="Y1106" s="441"/>
      <c r="Z1106" s="441"/>
      <c r="AA1106" s="441"/>
      <c r="AB1106" s="441"/>
      <c r="AC1106" s="441"/>
      <c r="AD1106" s="441"/>
      <c r="AE1106" s="441"/>
      <c r="AF1106" s="441"/>
      <c r="AG1106" s="441"/>
      <c r="AH1106" s="441"/>
      <c r="AI1106" s="441"/>
      <c r="AJ1106" s="441"/>
      <c r="AK1106" s="441"/>
      <c r="AL1106" s="441"/>
      <c r="AM1106" s="441"/>
      <c r="AN1106" s="441"/>
      <c r="AO1106" s="441"/>
      <c r="AP1106" s="441"/>
      <c r="AQ1106" s="441"/>
      <c r="AR1106" s="441"/>
      <c r="AS1106" s="441"/>
      <c r="AT1106" s="441"/>
      <c r="AU1106" s="441"/>
      <c r="AV1106" s="441"/>
      <c r="AW1106" s="441"/>
      <c r="AX1106" s="441"/>
      <c r="AY1106" s="441"/>
      <c r="AZ1106" s="441"/>
      <c r="BA1106" s="441"/>
      <c r="BB1106" s="441"/>
      <c r="BC1106" s="441"/>
      <c r="BD1106" s="441"/>
      <c r="BE1106" s="441"/>
      <c r="BF1106" s="441"/>
    </row>
    <row r="1107">
      <c r="A1107" s="798"/>
      <c r="B1107" s="795"/>
      <c r="C1107" s="795"/>
      <c r="D1107" s="795"/>
      <c r="E1107" s="795"/>
      <c r="F1107" s="795"/>
      <c r="G1107" s="795"/>
      <c r="H1107" s="795"/>
      <c r="I1107" s="796"/>
      <c r="J1107" s="441"/>
      <c r="K1107" s="441"/>
      <c r="L1107" s="797"/>
      <c r="M1107" s="441"/>
      <c r="N1107" s="441"/>
      <c r="O1107" s="441"/>
      <c r="P1107" s="441"/>
      <c r="Q1107" s="441"/>
      <c r="R1107" s="426"/>
      <c r="S1107" s="441"/>
      <c r="T1107" s="441"/>
      <c r="U1107" s="441"/>
      <c r="V1107" s="441"/>
      <c r="W1107" s="441"/>
      <c r="X1107" s="441"/>
      <c r="Y1107" s="441"/>
      <c r="Z1107" s="441"/>
      <c r="AA1107" s="441"/>
      <c r="AB1107" s="441"/>
      <c r="AC1107" s="441"/>
      <c r="AD1107" s="441"/>
      <c r="AE1107" s="441"/>
      <c r="AF1107" s="441"/>
      <c r="AG1107" s="441"/>
      <c r="AH1107" s="441"/>
      <c r="AI1107" s="441"/>
      <c r="AJ1107" s="441"/>
      <c r="AK1107" s="441"/>
      <c r="AL1107" s="441"/>
      <c r="AM1107" s="441"/>
      <c r="AN1107" s="441"/>
      <c r="AO1107" s="441"/>
      <c r="AP1107" s="441"/>
      <c r="AQ1107" s="441"/>
      <c r="AR1107" s="441"/>
      <c r="AS1107" s="441"/>
      <c r="AT1107" s="441"/>
      <c r="AU1107" s="441"/>
      <c r="AV1107" s="441"/>
      <c r="AW1107" s="441"/>
      <c r="AX1107" s="441"/>
      <c r="AY1107" s="441"/>
      <c r="AZ1107" s="441"/>
      <c r="BA1107" s="441"/>
      <c r="BB1107" s="441"/>
      <c r="BC1107" s="441"/>
      <c r="BD1107" s="441"/>
      <c r="BE1107" s="441"/>
      <c r="BF1107" s="441"/>
    </row>
    <row r="1108">
      <c r="A1108" s="798"/>
      <c r="B1108" s="795"/>
      <c r="C1108" s="795"/>
      <c r="D1108" s="795"/>
      <c r="E1108" s="795"/>
      <c r="F1108" s="795"/>
      <c r="G1108" s="795"/>
      <c r="H1108" s="795"/>
      <c r="I1108" s="796"/>
      <c r="J1108" s="441"/>
      <c r="K1108" s="441"/>
      <c r="L1108" s="797"/>
      <c r="M1108" s="441"/>
      <c r="N1108" s="441"/>
      <c r="O1108" s="441"/>
      <c r="P1108" s="441"/>
      <c r="Q1108" s="441"/>
      <c r="R1108" s="426"/>
      <c r="S1108" s="441"/>
      <c r="T1108" s="441"/>
      <c r="U1108" s="441"/>
      <c r="V1108" s="441"/>
      <c r="W1108" s="441"/>
      <c r="X1108" s="441"/>
      <c r="Y1108" s="441"/>
      <c r="Z1108" s="441"/>
      <c r="AA1108" s="441"/>
      <c r="AB1108" s="441"/>
      <c r="AC1108" s="441"/>
      <c r="AD1108" s="441"/>
      <c r="AE1108" s="441"/>
      <c r="AF1108" s="441"/>
      <c r="AG1108" s="441"/>
      <c r="AH1108" s="441"/>
      <c r="AI1108" s="441"/>
      <c r="AJ1108" s="441"/>
      <c r="AK1108" s="441"/>
      <c r="AL1108" s="441"/>
      <c r="AM1108" s="441"/>
      <c r="AN1108" s="441"/>
      <c r="AO1108" s="441"/>
      <c r="AP1108" s="441"/>
      <c r="AQ1108" s="441"/>
      <c r="AR1108" s="441"/>
      <c r="AS1108" s="441"/>
      <c r="AT1108" s="441"/>
      <c r="AU1108" s="441"/>
      <c r="AV1108" s="441"/>
      <c r="AW1108" s="441"/>
      <c r="AX1108" s="441"/>
      <c r="AY1108" s="441"/>
      <c r="AZ1108" s="441"/>
      <c r="BA1108" s="441"/>
      <c r="BB1108" s="441"/>
      <c r="BC1108" s="441"/>
      <c r="BD1108" s="441"/>
      <c r="BE1108" s="441"/>
      <c r="BF1108" s="441"/>
    </row>
    <row r="1109">
      <c r="A1109" s="798"/>
      <c r="B1109" s="795"/>
      <c r="C1109" s="795"/>
      <c r="D1109" s="795"/>
      <c r="E1109" s="795"/>
      <c r="F1109" s="795"/>
      <c r="G1109" s="795"/>
      <c r="H1109" s="795"/>
      <c r="I1109" s="796"/>
      <c r="J1109" s="441"/>
      <c r="K1109" s="441"/>
      <c r="L1109" s="797"/>
      <c r="M1109" s="441"/>
      <c r="N1109" s="441"/>
      <c r="O1109" s="441"/>
      <c r="P1109" s="441"/>
      <c r="Q1109" s="441"/>
      <c r="R1109" s="426"/>
      <c r="S1109" s="441"/>
      <c r="T1109" s="441"/>
      <c r="U1109" s="441"/>
      <c r="V1109" s="441"/>
      <c r="W1109" s="441"/>
      <c r="X1109" s="441"/>
      <c r="Y1109" s="441"/>
      <c r="Z1109" s="441"/>
      <c r="AA1109" s="441"/>
      <c r="AB1109" s="441"/>
      <c r="AC1109" s="441"/>
      <c r="AD1109" s="441"/>
      <c r="AE1109" s="441"/>
      <c r="AF1109" s="441"/>
      <c r="AG1109" s="441"/>
      <c r="AH1109" s="441"/>
      <c r="AI1109" s="441"/>
      <c r="AJ1109" s="441"/>
      <c r="AK1109" s="441"/>
      <c r="AL1109" s="441"/>
      <c r="AM1109" s="441"/>
      <c r="AN1109" s="441"/>
      <c r="AO1109" s="441"/>
      <c r="AP1109" s="441"/>
      <c r="AQ1109" s="441"/>
      <c r="AR1109" s="441"/>
      <c r="AS1109" s="441"/>
      <c r="AT1109" s="441"/>
      <c r="AU1109" s="441"/>
      <c r="AV1109" s="441"/>
      <c r="AW1109" s="441"/>
      <c r="AX1109" s="441"/>
      <c r="AY1109" s="441"/>
      <c r="AZ1109" s="441"/>
      <c r="BA1109" s="441"/>
      <c r="BB1109" s="441"/>
      <c r="BC1109" s="441"/>
      <c r="BD1109" s="441"/>
      <c r="BE1109" s="441"/>
      <c r="BF1109" s="441"/>
    </row>
    <row r="1110">
      <c r="A1110" s="798"/>
      <c r="B1110" s="795"/>
      <c r="C1110" s="795"/>
      <c r="D1110" s="795"/>
      <c r="E1110" s="795"/>
      <c r="F1110" s="795"/>
      <c r="G1110" s="795"/>
      <c r="H1110" s="795"/>
      <c r="I1110" s="796"/>
      <c r="J1110" s="441"/>
      <c r="K1110" s="441"/>
      <c r="L1110" s="797"/>
      <c r="M1110" s="441"/>
      <c r="N1110" s="441"/>
      <c r="O1110" s="441"/>
      <c r="P1110" s="441"/>
      <c r="Q1110" s="441"/>
      <c r="R1110" s="426"/>
      <c r="S1110" s="441"/>
      <c r="T1110" s="441"/>
      <c r="U1110" s="441"/>
      <c r="V1110" s="441"/>
      <c r="W1110" s="441"/>
      <c r="X1110" s="441"/>
      <c r="Y1110" s="441"/>
      <c r="Z1110" s="441"/>
      <c r="AA1110" s="441"/>
      <c r="AB1110" s="441"/>
      <c r="AC1110" s="441"/>
      <c r="AD1110" s="441"/>
      <c r="AE1110" s="441"/>
      <c r="AF1110" s="441"/>
      <c r="AG1110" s="441"/>
      <c r="AH1110" s="441"/>
      <c r="AI1110" s="441"/>
      <c r="AJ1110" s="441"/>
      <c r="AK1110" s="441"/>
      <c r="AL1110" s="441"/>
      <c r="AM1110" s="441"/>
      <c r="AN1110" s="441"/>
      <c r="AO1110" s="441"/>
      <c r="AP1110" s="441"/>
      <c r="AQ1110" s="441"/>
      <c r="AR1110" s="441"/>
      <c r="AS1110" s="441"/>
      <c r="AT1110" s="441"/>
      <c r="AU1110" s="441"/>
      <c r="AV1110" s="441"/>
      <c r="AW1110" s="441"/>
      <c r="AX1110" s="441"/>
      <c r="AY1110" s="441"/>
      <c r="AZ1110" s="441"/>
      <c r="BA1110" s="441"/>
      <c r="BB1110" s="441"/>
      <c r="BC1110" s="441"/>
      <c r="BD1110" s="441"/>
      <c r="BE1110" s="441"/>
      <c r="BF1110" s="441"/>
    </row>
    <row r="1111">
      <c r="A1111" s="798"/>
      <c r="B1111" s="795"/>
      <c r="C1111" s="795"/>
      <c r="D1111" s="795"/>
      <c r="E1111" s="795"/>
      <c r="F1111" s="795"/>
      <c r="G1111" s="795"/>
      <c r="H1111" s="795"/>
      <c r="I1111" s="796"/>
      <c r="J1111" s="441"/>
      <c r="K1111" s="441"/>
      <c r="L1111" s="797"/>
      <c r="M1111" s="441"/>
      <c r="N1111" s="441"/>
      <c r="O1111" s="441"/>
      <c r="P1111" s="441"/>
      <c r="Q1111" s="441"/>
      <c r="R1111" s="426"/>
      <c r="S1111" s="441"/>
      <c r="T1111" s="441"/>
      <c r="U1111" s="441"/>
      <c r="V1111" s="441"/>
      <c r="W1111" s="441"/>
      <c r="X1111" s="441"/>
      <c r="Y1111" s="441"/>
      <c r="Z1111" s="441"/>
      <c r="AA1111" s="441"/>
      <c r="AB1111" s="441"/>
      <c r="AC1111" s="441"/>
      <c r="AD1111" s="441"/>
      <c r="AE1111" s="441"/>
      <c r="AF1111" s="441"/>
      <c r="AG1111" s="441"/>
      <c r="AH1111" s="441"/>
      <c r="AI1111" s="441"/>
      <c r="AJ1111" s="441"/>
      <c r="AK1111" s="441"/>
      <c r="AL1111" s="441"/>
      <c r="AM1111" s="441"/>
      <c r="AN1111" s="441"/>
      <c r="AO1111" s="441"/>
      <c r="AP1111" s="441"/>
      <c r="AQ1111" s="441"/>
      <c r="AR1111" s="441"/>
      <c r="AS1111" s="441"/>
      <c r="AT1111" s="441"/>
      <c r="AU1111" s="441"/>
      <c r="AV1111" s="441"/>
      <c r="AW1111" s="441"/>
      <c r="AX1111" s="441"/>
      <c r="AY1111" s="441"/>
      <c r="AZ1111" s="441"/>
      <c r="BA1111" s="441"/>
      <c r="BB1111" s="441"/>
      <c r="BC1111" s="441"/>
      <c r="BD1111" s="441"/>
      <c r="BE1111" s="441"/>
      <c r="BF1111" s="441"/>
    </row>
    <row r="1112">
      <c r="A1112" s="798"/>
      <c r="B1112" s="795"/>
      <c r="C1112" s="795"/>
      <c r="D1112" s="795"/>
      <c r="E1112" s="795"/>
      <c r="F1112" s="795"/>
      <c r="G1112" s="795"/>
      <c r="H1112" s="795"/>
      <c r="I1112" s="796"/>
      <c r="J1112" s="441"/>
      <c r="K1112" s="441"/>
      <c r="L1112" s="797"/>
      <c r="M1112" s="441"/>
      <c r="N1112" s="441"/>
      <c r="O1112" s="441"/>
      <c r="P1112" s="441"/>
      <c r="Q1112" s="441"/>
      <c r="R1112" s="426"/>
      <c r="S1112" s="441"/>
      <c r="T1112" s="441"/>
      <c r="U1112" s="441"/>
      <c r="V1112" s="441"/>
      <c r="W1112" s="441"/>
      <c r="X1112" s="441"/>
      <c r="Y1112" s="441"/>
      <c r="Z1112" s="441"/>
      <c r="AA1112" s="441"/>
      <c r="AB1112" s="441"/>
      <c r="AC1112" s="441"/>
      <c r="AD1112" s="441"/>
      <c r="AE1112" s="441"/>
      <c r="AF1112" s="441"/>
      <c r="AG1112" s="441"/>
      <c r="AH1112" s="441"/>
      <c r="AI1112" s="441"/>
      <c r="AJ1112" s="441"/>
      <c r="AK1112" s="441"/>
      <c r="AL1112" s="441"/>
      <c r="AM1112" s="441"/>
      <c r="AN1112" s="441"/>
      <c r="AO1112" s="441"/>
      <c r="AP1112" s="441"/>
      <c r="AQ1112" s="441"/>
      <c r="AR1112" s="441"/>
      <c r="AS1112" s="441"/>
      <c r="AT1112" s="441"/>
      <c r="AU1112" s="441"/>
      <c r="AV1112" s="441"/>
      <c r="AW1112" s="441"/>
      <c r="AX1112" s="441"/>
      <c r="AY1112" s="441"/>
      <c r="AZ1112" s="441"/>
      <c r="BA1112" s="441"/>
      <c r="BB1112" s="441"/>
      <c r="BC1112" s="441"/>
      <c r="BD1112" s="441"/>
      <c r="BE1112" s="441"/>
      <c r="BF1112" s="441"/>
    </row>
    <row r="1113">
      <c r="A1113" s="798"/>
      <c r="B1113" s="795"/>
      <c r="C1113" s="795"/>
      <c r="D1113" s="795"/>
      <c r="E1113" s="795"/>
      <c r="F1113" s="795"/>
      <c r="G1113" s="795"/>
      <c r="H1113" s="795"/>
      <c r="I1113" s="796"/>
      <c r="J1113" s="441"/>
      <c r="K1113" s="441"/>
      <c r="L1113" s="797"/>
      <c r="M1113" s="441"/>
      <c r="N1113" s="441"/>
      <c r="O1113" s="441"/>
      <c r="P1113" s="441"/>
      <c r="Q1113" s="441"/>
      <c r="R1113" s="426"/>
      <c r="S1113" s="441"/>
      <c r="T1113" s="441"/>
      <c r="U1113" s="441"/>
      <c r="V1113" s="441"/>
      <c r="W1113" s="441"/>
      <c r="X1113" s="441"/>
      <c r="Y1113" s="441"/>
      <c r="Z1113" s="441"/>
      <c r="AA1113" s="441"/>
      <c r="AB1113" s="441"/>
      <c r="AC1113" s="441"/>
      <c r="AD1113" s="441"/>
      <c r="AE1113" s="441"/>
      <c r="AF1113" s="441"/>
      <c r="AG1113" s="441"/>
      <c r="AH1113" s="441"/>
      <c r="AI1113" s="441"/>
      <c r="AJ1113" s="441"/>
      <c r="AK1113" s="441"/>
      <c r="AL1113" s="441"/>
      <c r="AM1113" s="441"/>
      <c r="AN1113" s="441"/>
      <c r="AO1113" s="441"/>
      <c r="AP1113" s="441"/>
      <c r="AQ1113" s="441"/>
      <c r="AR1113" s="441"/>
      <c r="AS1113" s="441"/>
      <c r="AT1113" s="441"/>
      <c r="AU1113" s="441"/>
      <c r="AV1113" s="441"/>
      <c r="AW1113" s="441"/>
      <c r="AX1113" s="441"/>
      <c r="AY1113" s="441"/>
      <c r="AZ1113" s="441"/>
      <c r="BA1113" s="441"/>
      <c r="BB1113" s="441"/>
      <c r="BC1113" s="441"/>
      <c r="BD1113" s="441"/>
      <c r="BE1113" s="441"/>
      <c r="BF1113" s="441"/>
    </row>
    <row r="1114">
      <c r="A1114" s="798"/>
      <c r="B1114" s="795"/>
      <c r="C1114" s="795"/>
      <c r="D1114" s="795"/>
      <c r="E1114" s="795"/>
      <c r="F1114" s="795"/>
      <c r="G1114" s="795"/>
      <c r="H1114" s="795"/>
      <c r="I1114" s="796"/>
      <c r="J1114" s="441"/>
      <c r="K1114" s="441"/>
      <c r="L1114" s="797"/>
      <c r="M1114" s="441"/>
      <c r="N1114" s="441"/>
      <c r="O1114" s="441"/>
      <c r="P1114" s="441"/>
      <c r="Q1114" s="441"/>
      <c r="R1114" s="426"/>
      <c r="S1114" s="441"/>
      <c r="T1114" s="441"/>
      <c r="U1114" s="441"/>
      <c r="V1114" s="441"/>
      <c r="W1114" s="441"/>
      <c r="X1114" s="441"/>
      <c r="Y1114" s="441"/>
      <c r="Z1114" s="441"/>
      <c r="AA1114" s="441"/>
      <c r="AB1114" s="441"/>
      <c r="AC1114" s="441"/>
      <c r="AD1114" s="441"/>
      <c r="AE1114" s="441"/>
      <c r="AF1114" s="441"/>
      <c r="AG1114" s="441"/>
      <c r="AH1114" s="441"/>
      <c r="AI1114" s="441"/>
      <c r="AJ1114" s="441"/>
      <c r="AK1114" s="441"/>
      <c r="AL1114" s="441"/>
      <c r="AM1114" s="441"/>
      <c r="AN1114" s="441"/>
      <c r="AO1114" s="441"/>
      <c r="AP1114" s="441"/>
      <c r="AQ1114" s="441"/>
      <c r="AR1114" s="441"/>
      <c r="AS1114" s="441"/>
      <c r="AT1114" s="441"/>
      <c r="AU1114" s="441"/>
      <c r="AV1114" s="441"/>
      <c r="AW1114" s="441"/>
      <c r="AX1114" s="441"/>
      <c r="AY1114" s="441"/>
      <c r="AZ1114" s="441"/>
      <c r="BA1114" s="441"/>
      <c r="BB1114" s="441"/>
      <c r="BC1114" s="441"/>
      <c r="BD1114" s="441"/>
      <c r="BE1114" s="441"/>
      <c r="BF1114" s="441"/>
    </row>
    <row r="1115">
      <c r="A1115" s="798"/>
      <c r="B1115" s="795"/>
      <c r="C1115" s="795"/>
      <c r="D1115" s="795"/>
      <c r="E1115" s="795"/>
      <c r="F1115" s="795"/>
      <c r="G1115" s="795"/>
      <c r="H1115" s="795"/>
      <c r="I1115" s="796"/>
      <c r="J1115" s="441"/>
      <c r="K1115" s="441"/>
      <c r="L1115" s="797"/>
      <c r="M1115" s="441"/>
      <c r="N1115" s="441"/>
      <c r="O1115" s="441"/>
      <c r="P1115" s="441"/>
      <c r="Q1115" s="441"/>
      <c r="R1115" s="426"/>
      <c r="S1115" s="441"/>
      <c r="T1115" s="441"/>
      <c r="U1115" s="441"/>
      <c r="V1115" s="441"/>
      <c r="W1115" s="441"/>
      <c r="X1115" s="441"/>
      <c r="Y1115" s="441"/>
      <c r="Z1115" s="441"/>
      <c r="AA1115" s="441"/>
      <c r="AB1115" s="441"/>
      <c r="AC1115" s="441"/>
      <c r="AD1115" s="441"/>
      <c r="AE1115" s="441"/>
      <c r="AF1115" s="441"/>
      <c r="AG1115" s="441"/>
      <c r="AH1115" s="441"/>
      <c r="AI1115" s="441"/>
      <c r="AJ1115" s="441"/>
      <c r="AK1115" s="441"/>
      <c r="AL1115" s="441"/>
      <c r="AM1115" s="441"/>
      <c r="AN1115" s="441"/>
      <c r="AO1115" s="441"/>
      <c r="AP1115" s="441"/>
      <c r="AQ1115" s="441"/>
      <c r="AR1115" s="441"/>
      <c r="AS1115" s="441"/>
      <c r="AT1115" s="441"/>
      <c r="AU1115" s="441"/>
      <c r="AV1115" s="441"/>
      <c r="AW1115" s="441"/>
      <c r="AX1115" s="441"/>
      <c r="AY1115" s="441"/>
      <c r="AZ1115" s="441"/>
      <c r="BA1115" s="441"/>
      <c r="BB1115" s="441"/>
      <c r="BC1115" s="441"/>
      <c r="BD1115" s="441"/>
      <c r="BE1115" s="441"/>
      <c r="BF1115" s="441"/>
    </row>
    <row r="1116">
      <c r="A1116" s="798"/>
      <c r="B1116" s="795"/>
      <c r="C1116" s="795"/>
      <c r="D1116" s="795"/>
      <c r="E1116" s="795"/>
      <c r="F1116" s="795"/>
      <c r="G1116" s="795"/>
      <c r="H1116" s="795"/>
      <c r="I1116" s="796"/>
      <c r="J1116" s="441"/>
      <c r="K1116" s="441"/>
      <c r="L1116" s="797"/>
      <c r="M1116" s="441"/>
      <c r="N1116" s="441"/>
      <c r="O1116" s="441"/>
      <c r="P1116" s="441"/>
      <c r="Q1116" s="441"/>
      <c r="R1116" s="426"/>
      <c r="S1116" s="441"/>
      <c r="T1116" s="441"/>
      <c r="U1116" s="441"/>
      <c r="V1116" s="441"/>
      <c r="W1116" s="441"/>
      <c r="X1116" s="441"/>
      <c r="Y1116" s="441"/>
      <c r="Z1116" s="441"/>
      <c r="AA1116" s="441"/>
      <c r="AB1116" s="441"/>
      <c r="AC1116" s="441"/>
      <c r="AD1116" s="441"/>
      <c r="AE1116" s="441"/>
      <c r="AF1116" s="441"/>
      <c r="AG1116" s="441"/>
      <c r="AH1116" s="441"/>
      <c r="AI1116" s="441"/>
      <c r="AJ1116" s="441"/>
      <c r="AK1116" s="441"/>
      <c r="AL1116" s="441"/>
      <c r="AM1116" s="441"/>
      <c r="AN1116" s="441"/>
      <c r="AO1116" s="441"/>
      <c r="AP1116" s="441"/>
      <c r="AQ1116" s="441"/>
      <c r="AR1116" s="441"/>
      <c r="AS1116" s="441"/>
      <c r="AT1116" s="441"/>
      <c r="AU1116" s="441"/>
      <c r="AV1116" s="441"/>
      <c r="AW1116" s="441"/>
      <c r="AX1116" s="441"/>
      <c r="AY1116" s="441"/>
      <c r="AZ1116" s="441"/>
      <c r="BA1116" s="441"/>
      <c r="BB1116" s="441"/>
      <c r="BC1116" s="441"/>
      <c r="BD1116" s="441"/>
      <c r="BE1116" s="441"/>
      <c r="BF1116" s="441"/>
    </row>
    <row r="1117">
      <c r="A1117" s="798"/>
      <c r="B1117" s="795"/>
      <c r="C1117" s="795"/>
      <c r="D1117" s="795"/>
      <c r="E1117" s="795"/>
      <c r="F1117" s="795"/>
      <c r="G1117" s="795"/>
      <c r="H1117" s="795"/>
      <c r="I1117" s="796"/>
      <c r="J1117" s="441"/>
      <c r="K1117" s="441"/>
      <c r="L1117" s="797"/>
      <c r="M1117" s="441"/>
      <c r="N1117" s="441"/>
      <c r="O1117" s="441"/>
      <c r="P1117" s="441"/>
      <c r="Q1117" s="441"/>
      <c r="R1117" s="426"/>
      <c r="S1117" s="441"/>
      <c r="T1117" s="441"/>
      <c r="U1117" s="441"/>
      <c r="V1117" s="441"/>
      <c r="W1117" s="441"/>
      <c r="X1117" s="441"/>
      <c r="Y1117" s="441"/>
      <c r="Z1117" s="441"/>
      <c r="AA1117" s="441"/>
      <c r="AB1117" s="441"/>
      <c r="AC1117" s="441"/>
      <c r="AD1117" s="441"/>
      <c r="AE1117" s="441"/>
      <c r="AF1117" s="441"/>
      <c r="AG1117" s="441"/>
      <c r="AH1117" s="441"/>
      <c r="AI1117" s="441"/>
      <c r="AJ1117" s="441"/>
      <c r="AK1117" s="441"/>
      <c r="AL1117" s="441"/>
      <c r="AM1117" s="441"/>
      <c r="AN1117" s="441"/>
      <c r="AO1117" s="441"/>
      <c r="AP1117" s="441"/>
      <c r="AQ1117" s="441"/>
      <c r="AR1117" s="441"/>
      <c r="AS1117" s="441"/>
      <c r="AT1117" s="441"/>
      <c r="AU1117" s="441"/>
      <c r="AV1117" s="441"/>
      <c r="AW1117" s="441"/>
      <c r="AX1117" s="441"/>
      <c r="AY1117" s="441"/>
      <c r="AZ1117" s="441"/>
      <c r="BA1117" s="441"/>
      <c r="BB1117" s="441"/>
      <c r="BC1117" s="441"/>
      <c r="BD1117" s="441"/>
      <c r="BE1117" s="441"/>
      <c r="BF1117" s="441"/>
    </row>
    <row r="1118">
      <c r="A1118" s="798"/>
      <c r="B1118" s="795"/>
      <c r="C1118" s="795"/>
      <c r="D1118" s="795"/>
      <c r="E1118" s="795"/>
      <c r="F1118" s="795"/>
      <c r="G1118" s="795"/>
      <c r="H1118" s="795"/>
      <c r="I1118" s="796"/>
      <c r="J1118" s="441"/>
      <c r="K1118" s="441"/>
      <c r="L1118" s="797"/>
      <c r="M1118" s="441"/>
      <c r="N1118" s="441"/>
      <c r="O1118" s="441"/>
      <c r="P1118" s="441"/>
      <c r="Q1118" s="441"/>
      <c r="R1118" s="426"/>
      <c r="S1118" s="441"/>
      <c r="T1118" s="441"/>
      <c r="U1118" s="441"/>
      <c r="V1118" s="441"/>
      <c r="W1118" s="441"/>
      <c r="X1118" s="441"/>
      <c r="Y1118" s="441"/>
      <c r="Z1118" s="441"/>
      <c r="AA1118" s="441"/>
      <c r="AB1118" s="441"/>
      <c r="AC1118" s="441"/>
      <c r="AD1118" s="441"/>
      <c r="AE1118" s="441"/>
      <c r="AF1118" s="441"/>
      <c r="AG1118" s="441"/>
      <c r="AH1118" s="441"/>
      <c r="AI1118" s="441"/>
      <c r="AJ1118" s="441"/>
      <c r="AK1118" s="441"/>
      <c r="AL1118" s="441"/>
      <c r="AM1118" s="441"/>
      <c r="AN1118" s="441"/>
      <c r="AO1118" s="441"/>
      <c r="AP1118" s="441"/>
      <c r="AQ1118" s="441"/>
      <c r="AR1118" s="441"/>
      <c r="AS1118" s="441"/>
      <c r="AT1118" s="441"/>
      <c r="AU1118" s="441"/>
      <c r="AV1118" s="441"/>
      <c r="AW1118" s="441"/>
      <c r="AX1118" s="441"/>
      <c r="AY1118" s="441"/>
      <c r="AZ1118" s="441"/>
      <c r="BA1118" s="441"/>
      <c r="BB1118" s="441"/>
      <c r="BC1118" s="441"/>
      <c r="BD1118" s="441"/>
      <c r="BE1118" s="441"/>
      <c r="BF1118" s="441"/>
    </row>
    <row r="1119">
      <c r="A1119" s="798"/>
      <c r="B1119" s="795"/>
      <c r="C1119" s="795"/>
      <c r="D1119" s="795"/>
      <c r="E1119" s="795"/>
      <c r="F1119" s="795"/>
      <c r="G1119" s="795"/>
      <c r="H1119" s="795"/>
      <c r="I1119" s="796"/>
      <c r="J1119" s="441"/>
      <c r="K1119" s="441"/>
      <c r="L1119" s="797"/>
      <c r="M1119" s="441"/>
      <c r="N1119" s="441"/>
      <c r="O1119" s="441"/>
      <c r="P1119" s="441"/>
      <c r="Q1119" s="441"/>
      <c r="R1119" s="426"/>
      <c r="S1119" s="441"/>
      <c r="T1119" s="441"/>
      <c r="U1119" s="441"/>
      <c r="V1119" s="441"/>
      <c r="W1119" s="441"/>
      <c r="X1119" s="441"/>
      <c r="Y1119" s="441"/>
      <c r="Z1119" s="441"/>
      <c r="AA1119" s="441"/>
      <c r="AB1119" s="441"/>
      <c r="AC1119" s="441"/>
      <c r="AD1119" s="441"/>
      <c r="AE1119" s="441"/>
      <c r="AF1119" s="441"/>
      <c r="AG1119" s="441"/>
      <c r="AH1119" s="441"/>
      <c r="AI1119" s="441"/>
      <c r="AJ1119" s="441"/>
      <c r="AK1119" s="441"/>
      <c r="AL1119" s="441"/>
      <c r="AM1119" s="441"/>
      <c r="AN1119" s="441"/>
      <c r="AO1119" s="441"/>
      <c r="AP1119" s="441"/>
      <c r="AQ1119" s="441"/>
      <c r="AR1119" s="441"/>
      <c r="AS1119" s="441"/>
      <c r="AT1119" s="441"/>
      <c r="AU1119" s="441"/>
      <c r="AV1119" s="441"/>
      <c r="AW1119" s="441"/>
      <c r="AX1119" s="441"/>
      <c r="AY1119" s="441"/>
      <c r="AZ1119" s="441"/>
      <c r="BA1119" s="441"/>
      <c r="BB1119" s="441"/>
      <c r="BC1119" s="441"/>
      <c r="BD1119" s="441"/>
      <c r="BE1119" s="441"/>
      <c r="BF1119" s="441"/>
    </row>
    <row r="1120">
      <c r="A1120" s="798"/>
      <c r="B1120" s="795"/>
      <c r="C1120" s="795"/>
      <c r="D1120" s="795"/>
      <c r="E1120" s="795"/>
      <c r="F1120" s="795"/>
      <c r="G1120" s="795"/>
      <c r="H1120" s="795"/>
      <c r="I1120" s="796"/>
      <c r="J1120" s="441"/>
      <c r="K1120" s="441"/>
      <c r="L1120" s="797"/>
      <c r="M1120" s="441"/>
      <c r="N1120" s="441"/>
      <c r="O1120" s="441"/>
      <c r="P1120" s="441"/>
      <c r="Q1120" s="441"/>
      <c r="R1120" s="426"/>
      <c r="S1120" s="441"/>
      <c r="T1120" s="441"/>
      <c r="U1120" s="441"/>
      <c r="V1120" s="441"/>
      <c r="W1120" s="441"/>
      <c r="X1120" s="441"/>
      <c r="Y1120" s="441"/>
      <c r="Z1120" s="441"/>
      <c r="AA1120" s="441"/>
      <c r="AB1120" s="441"/>
      <c r="AC1120" s="441"/>
      <c r="AD1120" s="441"/>
      <c r="AE1120" s="441"/>
      <c r="AF1120" s="441"/>
      <c r="AG1120" s="441"/>
      <c r="AH1120" s="441"/>
      <c r="AI1120" s="441"/>
      <c r="AJ1120" s="441"/>
      <c r="AK1120" s="441"/>
      <c r="AL1120" s="441"/>
      <c r="AM1120" s="441"/>
      <c r="AN1120" s="441"/>
      <c r="AO1120" s="441"/>
      <c r="AP1120" s="441"/>
      <c r="AQ1120" s="441"/>
      <c r="AR1120" s="441"/>
      <c r="AS1120" s="441"/>
      <c r="AT1120" s="441"/>
      <c r="AU1120" s="441"/>
      <c r="AV1120" s="441"/>
      <c r="AW1120" s="441"/>
      <c r="AX1120" s="441"/>
      <c r="AY1120" s="441"/>
      <c r="AZ1120" s="441"/>
      <c r="BA1120" s="441"/>
      <c r="BB1120" s="441"/>
      <c r="BC1120" s="441"/>
      <c r="BD1120" s="441"/>
      <c r="BE1120" s="441"/>
      <c r="BF1120" s="441"/>
    </row>
    <row r="1121">
      <c r="A1121" s="798"/>
      <c r="B1121" s="795"/>
      <c r="C1121" s="795"/>
      <c r="D1121" s="795"/>
      <c r="E1121" s="795"/>
      <c r="F1121" s="795"/>
      <c r="G1121" s="795"/>
      <c r="H1121" s="795"/>
      <c r="I1121" s="796"/>
      <c r="J1121" s="441"/>
      <c r="K1121" s="441"/>
      <c r="L1121" s="797"/>
      <c r="M1121" s="441"/>
      <c r="N1121" s="441"/>
      <c r="O1121" s="441"/>
      <c r="P1121" s="441"/>
      <c r="Q1121" s="441"/>
      <c r="R1121" s="426"/>
      <c r="S1121" s="441"/>
      <c r="T1121" s="441"/>
      <c r="U1121" s="441"/>
      <c r="V1121" s="441"/>
      <c r="W1121" s="441"/>
      <c r="X1121" s="441"/>
      <c r="Y1121" s="441"/>
      <c r="Z1121" s="441"/>
      <c r="AA1121" s="441"/>
      <c r="AB1121" s="441"/>
      <c r="AC1121" s="441"/>
      <c r="AD1121" s="441"/>
      <c r="AE1121" s="441"/>
      <c r="AF1121" s="441"/>
      <c r="AG1121" s="441"/>
      <c r="AH1121" s="441"/>
      <c r="AI1121" s="441"/>
      <c r="AJ1121" s="441"/>
      <c r="AK1121" s="441"/>
      <c r="AL1121" s="441"/>
      <c r="AM1121" s="441"/>
      <c r="AN1121" s="441"/>
      <c r="AO1121" s="441"/>
      <c r="AP1121" s="441"/>
      <c r="AQ1121" s="441"/>
      <c r="AR1121" s="441"/>
      <c r="AS1121" s="441"/>
      <c r="AT1121" s="441"/>
      <c r="AU1121" s="441"/>
      <c r="AV1121" s="441"/>
      <c r="AW1121" s="441"/>
      <c r="AX1121" s="441"/>
      <c r="AY1121" s="441"/>
      <c r="AZ1121" s="441"/>
      <c r="BA1121" s="441"/>
      <c r="BB1121" s="441"/>
      <c r="BC1121" s="441"/>
      <c r="BD1121" s="441"/>
      <c r="BE1121" s="441"/>
      <c r="BF1121" s="441"/>
    </row>
    <row r="1122">
      <c r="A1122" s="798"/>
      <c r="B1122" s="795"/>
      <c r="C1122" s="795"/>
      <c r="D1122" s="795"/>
      <c r="E1122" s="795"/>
      <c r="F1122" s="795"/>
      <c r="G1122" s="795"/>
      <c r="H1122" s="795"/>
      <c r="I1122" s="796"/>
      <c r="J1122" s="441"/>
      <c r="K1122" s="441"/>
      <c r="L1122" s="797"/>
      <c r="M1122" s="441"/>
      <c r="N1122" s="441"/>
      <c r="O1122" s="441"/>
      <c r="P1122" s="441"/>
      <c r="Q1122" s="441"/>
      <c r="R1122" s="426"/>
      <c r="S1122" s="441"/>
      <c r="T1122" s="441"/>
      <c r="U1122" s="441"/>
      <c r="V1122" s="441"/>
      <c r="W1122" s="441"/>
      <c r="X1122" s="441"/>
      <c r="Y1122" s="441"/>
      <c r="Z1122" s="441"/>
      <c r="AA1122" s="441"/>
      <c r="AB1122" s="441"/>
      <c r="AC1122" s="441"/>
      <c r="AD1122" s="441"/>
      <c r="AE1122" s="441"/>
      <c r="AF1122" s="441"/>
      <c r="AG1122" s="441"/>
      <c r="AH1122" s="441"/>
      <c r="AI1122" s="441"/>
      <c r="AJ1122" s="441"/>
      <c r="AK1122" s="441"/>
      <c r="AL1122" s="441"/>
      <c r="AM1122" s="441"/>
      <c r="AN1122" s="441"/>
      <c r="AO1122" s="441"/>
      <c r="AP1122" s="441"/>
      <c r="AQ1122" s="441"/>
      <c r="AR1122" s="441"/>
      <c r="AS1122" s="441"/>
      <c r="AT1122" s="441"/>
      <c r="AU1122" s="441"/>
      <c r="AV1122" s="441"/>
      <c r="AW1122" s="441"/>
      <c r="AX1122" s="441"/>
      <c r="AY1122" s="441"/>
      <c r="AZ1122" s="441"/>
      <c r="BA1122" s="441"/>
      <c r="BB1122" s="441"/>
      <c r="BC1122" s="441"/>
      <c r="BD1122" s="441"/>
      <c r="BE1122" s="441"/>
      <c r="BF1122" s="441"/>
    </row>
    <row r="1123">
      <c r="A1123" s="798"/>
      <c r="B1123" s="795"/>
      <c r="C1123" s="795"/>
      <c r="D1123" s="795"/>
      <c r="E1123" s="795"/>
      <c r="F1123" s="795"/>
      <c r="G1123" s="795"/>
      <c r="H1123" s="795"/>
      <c r="I1123" s="796"/>
      <c r="J1123" s="441"/>
      <c r="K1123" s="441"/>
      <c r="L1123" s="797"/>
      <c r="M1123" s="441"/>
      <c r="N1123" s="441"/>
      <c r="O1123" s="441"/>
      <c r="P1123" s="441"/>
      <c r="Q1123" s="441"/>
      <c r="R1123" s="426"/>
      <c r="S1123" s="441"/>
      <c r="T1123" s="441"/>
      <c r="U1123" s="441"/>
      <c r="V1123" s="441"/>
      <c r="W1123" s="441"/>
      <c r="X1123" s="441"/>
      <c r="Y1123" s="441"/>
      <c r="Z1123" s="441"/>
      <c r="AA1123" s="441"/>
      <c r="AB1123" s="441"/>
      <c r="AC1123" s="441"/>
      <c r="AD1123" s="441"/>
      <c r="AE1123" s="441"/>
      <c r="AF1123" s="441"/>
      <c r="AG1123" s="441"/>
      <c r="AH1123" s="441"/>
      <c r="AI1123" s="441"/>
      <c r="AJ1123" s="441"/>
      <c r="AK1123" s="441"/>
      <c r="AL1123" s="441"/>
      <c r="AM1123" s="441"/>
      <c r="AN1123" s="441"/>
      <c r="AO1123" s="441"/>
      <c r="AP1123" s="441"/>
      <c r="AQ1123" s="441"/>
      <c r="AR1123" s="441"/>
      <c r="AS1123" s="441"/>
      <c r="AT1123" s="441"/>
      <c r="AU1123" s="441"/>
      <c r="AV1123" s="441"/>
      <c r="AW1123" s="441"/>
      <c r="AX1123" s="441"/>
      <c r="AY1123" s="441"/>
      <c r="AZ1123" s="441"/>
      <c r="BA1123" s="441"/>
      <c r="BB1123" s="441"/>
      <c r="BC1123" s="441"/>
      <c r="BD1123" s="441"/>
      <c r="BE1123" s="441"/>
      <c r="BF1123" s="441"/>
    </row>
    <row r="1124">
      <c r="A1124" s="798"/>
      <c r="B1124" s="795"/>
      <c r="C1124" s="795"/>
      <c r="D1124" s="795"/>
      <c r="E1124" s="795"/>
      <c r="F1124" s="795"/>
      <c r="G1124" s="795"/>
      <c r="H1124" s="795"/>
      <c r="I1124" s="796"/>
      <c r="J1124" s="441"/>
      <c r="K1124" s="441"/>
      <c r="L1124" s="797"/>
      <c r="M1124" s="441"/>
      <c r="N1124" s="441"/>
      <c r="O1124" s="441"/>
      <c r="P1124" s="441"/>
      <c r="Q1124" s="441"/>
      <c r="R1124" s="426"/>
      <c r="S1124" s="441"/>
      <c r="T1124" s="441"/>
      <c r="U1124" s="441"/>
      <c r="V1124" s="441"/>
      <c r="W1124" s="441"/>
      <c r="X1124" s="441"/>
      <c r="Y1124" s="441"/>
      <c r="Z1124" s="441"/>
      <c r="AA1124" s="441"/>
      <c r="AB1124" s="441"/>
      <c r="AC1124" s="441"/>
      <c r="AD1124" s="441"/>
      <c r="AE1124" s="441"/>
      <c r="AF1124" s="441"/>
      <c r="AG1124" s="441"/>
      <c r="AH1124" s="441"/>
      <c r="AI1124" s="441"/>
      <c r="AJ1124" s="441"/>
      <c r="AK1124" s="441"/>
      <c r="AL1124" s="441"/>
      <c r="AM1124" s="441"/>
      <c r="AN1124" s="441"/>
      <c r="AO1124" s="441"/>
      <c r="AP1124" s="441"/>
      <c r="AQ1124" s="441"/>
      <c r="AR1124" s="441"/>
      <c r="AS1124" s="441"/>
      <c r="AT1124" s="441"/>
      <c r="AU1124" s="441"/>
      <c r="AV1124" s="441"/>
      <c r="AW1124" s="441"/>
      <c r="AX1124" s="441"/>
      <c r="AY1124" s="441"/>
      <c r="AZ1124" s="441"/>
      <c r="BA1124" s="441"/>
      <c r="BB1124" s="441"/>
      <c r="BC1124" s="441"/>
      <c r="BD1124" s="441"/>
      <c r="BE1124" s="441"/>
      <c r="BF1124" s="441"/>
    </row>
    <row r="1125">
      <c r="A1125" s="798"/>
      <c r="B1125" s="795"/>
      <c r="C1125" s="795"/>
      <c r="D1125" s="795"/>
      <c r="E1125" s="795"/>
      <c r="F1125" s="795"/>
      <c r="G1125" s="795"/>
      <c r="H1125" s="795"/>
      <c r="I1125" s="796"/>
      <c r="J1125" s="441"/>
      <c r="K1125" s="441"/>
      <c r="L1125" s="797"/>
      <c r="M1125" s="441"/>
      <c r="N1125" s="441"/>
      <c r="O1125" s="441"/>
      <c r="P1125" s="441"/>
      <c r="Q1125" s="441"/>
      <c r="R1125" s="426"/>
      <c r="S1125" s="441"/>
      <c r="T1125" s="441"/>
      <c r="U1125" s="441"/>
      <c r="V1125" s="441"/>
      <c r="W1125" s="441"/>
      <c r="X1125" s="441"/>
      <c r="Y1125" s="441"/>
      <c r="Z1125" s="441"/>
      <c r="AA1125" s="441"/>
      <c r="AB1125" s="441"/>
      <c r="AC1125" s="441"/>
      <c r="AD1125" s="441"/>
      <c r="AE1125" s="441"/>
      <c r="AF1125" s="441"/>
      <c r="AG1125" s="441"/>
      <c r="AH1125" s="441"/>
      <c r="AI1125" s="441"/>
      <c r="AJ1125" s="441"/>
      <c r="AK1125" s="441"/>
      <c r="AL1125" s="441"/>
      <c r="AM1125" s="441"/>
      <c r="AN1125" s="441"/>
      <c r="AO1125" s="441"/>
      <c r="AP1125" s="441"/>
      <c r="AQ1125" s="441"/>
      <c r="AR1125" s="441"/>
      <c r="AS1125" s="441"/>
      <c r="AT1125" s="441"/>
      <c r="AU1125" s="441"/>
      <c r="AV1125" s="441"/>
      <c r="AW1125" s="441"/>
      <c r="AX1125" s="441"/>
      <c r="AY1125" s="441"/>
      <c r="AZ1125" s="441"/>
      <c r="BA1125" s="441"/>
      <c r="BB1125" s="441"/>
      <c r="BC1125" s="441"/>
      <c r="BD1125" s="441"/>
      <c r="BE1125" s="441"/>
      <c r="BF1125" s="441"/>
    </row>
    <row r="1126">
      <c r="A1126" s="798"/>
      <c r="B1126" s="795"/>
      <c r="C1126" s="795"/>
      <c r="D1126" s="795"/>
      <c r="E1126" s="795"/>
      <c r="F1126" s="795"/>
      <c r="G1126" s="795"/>
      <c r="H1126" s="795"/>
      <c r="I1126" s="796"/>
      <c r="J1126" s="441"/>
      <c r="K1126" s="441"/>
      <c r="L1126" s="797"/>
      <c r="M1126" s="441"/>
      <c r="N1126" s="441"/>
      <c r="O1126" s="441"/>
      <c r="P1126" s="441"/>
      <c r="Q1126" s="441"/>
      <c r="R1126" s="426"/>
      <c r="S1126" s="441"/>
      <c r="T1126" s="441"/>
      <c r="U1126" s="441"/>
      <c r="V1126" s="441"/>
      <c r="W1126" s="441"/>
      <c r="X1126" s="441"/>
      <c r="Y1126" s="441"/>
      <c r="Z1126" s="441"/>
      <c r="AA1126" s="441"/>
      <c r="AB1126" s="441"/>
      <c r="AC1126" s="441"/>
      <c r="AD1126" s="441"/>
      <c r="AE1126" s="441"/>
      <c r="AF1126" s="441"/>
      <c r="AG1126" s="441"/>
      <c r="AH1126" s="441"/>
      <c r="AI1126" s="441"/>
      <c r="AJ1126" s="441"/>
      <c r="AK1126" s="441"/>
      <c r="AL1126" s="441"/>
      <c r="AM1126" s="441"/>
      <c r="AN1126" s="441"/>
      <c r="AO1126" s="441"/>
      <c r="AP1126" s="441"/>
      <c r="AQ1126" s="441"/>
      <c r="AR1126" s="441"/>
      <c r="AS1126" s="441"/>
      <c r="AT1126" s="441"/>
      <c r="AU1126" s="441"/>
      <c r="AV1126" s="441"/>
      <c r="AW1126" s="441"/>
      <c r="AX1126" s="441"/>
      <c r="AY1126" s="441"/>
      <c r="AZ1126" s="441"/>
      <c r="BA1126" s="441"/>
      <c r="BB1126" s="441"/>
      <c r="BC1126" s="441"/>
      <c r="BD1126" s="441"/>
      <c r="BE1126" s="441"/>
      <c r="BF1126" s="441"/>
    </row>
    <row r="1127">
      <c r="A1127" s="798"/>
      <c r="B1127" s="795"/>
      <c r="C1127" s="795"/>
      <c r="D1127" s="795"/>
      <c r="E1127" s="795"/>
      <c r="F1127" s="795"/>
      <c r="G1127" s="795"/>
      <c r="H1127" s="795"/>
      <c r="I1127" s="796"/>
      <c r="J1127" s="441"/>
      <c r="K1127" s="441"/>
      <c r="L1127" s="797"/>
      <c r="M1127" s="441"/>
      <c r="N1127" s="441"/>
      <c r="O1127" s="441"/>
      <c r="P1127" s="441"/>
      <c r="Q1127" s="441"/>
      <c r="R1127" s="426"/>
      <c r="S1127" s="441"/>
      <c r="T1127" s="441"/>
      <c r="U1127" s="441"/>
      <c r="V1127" s="441"/>
      <c r="W1127" s="441"/>
      <c r="X1127" s="441"/>
      <c r="Y1127" s="441"/>
      <c r="Z1127" s="441"/>
      <c r="AA1127" s="441"/>
      <c r="AB1127" s="441"/>
      <c r="AC1127" s="441"/>
      <c r="AD1127" s="441"/>
      <c r="AE1127" s="441"/>
      <c r="AF1127" s="441"/>
      <c r="AG1127" s="441"/>
      <c r="AH1127" s="441"/>
      <c r="AI1127" s="441"/>
      <c r="AJ1127" s="441"/>
      <c r="AK1127" s="441"/>
      <c r="AL1127" s="441"/>
      <c r="AM1127" s="441"/>
      <c r="AN1127" s="441"/>
      <c r="AO1127" s="441"/>
      <c r="AP1127" s="441"/>
      <c r="AQ1127" s="441"/>
      <c r="AR1127" s="441"/>
      <c r="AS1127" s="441"/>
      <c r="AT1127" s="441"/>
      <c r="AU1127" s="441"/>
      <c r="AV1127" s="441"/>
      <c r="AW1127" s="441"/>
      <c r="AX1127" s="441"/>
      <c r="AY1127" s="441"/>
      <c r="AZ1127" s="441"/>
      <c r="BA1127" s="441"/>
      <c r="BB1127" s="441"/>
      <c r="BC1127" s="441"/>
      <c r="BD1127" s="441"/>
      <c r="BE1127" s="441"/>
      <c r="BF1127" s="441"/>
    </row>
    <row r="1128">
      <c r="A1128" s="798"/>
      <c r="B1128" s="795"/>
      <c r="C1128" s="795"/>
      <c r="D1128" s="795"/>
      <c r="E1128" s="795"/>
      <c r="F1128" s="795"/>
      <c r="G1128" s="795"/>
      <c r="H1128" s="795"/>
      <c r="I1128" s="796"/>
      <c r="J1128" s="441"/>
      <c r="K1128" s="441"/>
      <c r="L1128" s="797"/>
      <c r="M1128" s="441"/>
      <c r="N1128" s="441"/>
      <c r="O1128" s="441"/>
      <c r="P1128" s="441"/>
      <c r="Q1128" s="441"/>
      <c r="R1128" s="426"/>
      <c r="S1128" s="441"/>
      <c r="T1128" s="441"/>
      <c r="U1128" s="441"/>
      <c r="V1128" s="441"/>
      <c r="W1128" s="441"/>
      <c r="X1128" s="441"/>
      <c r="Y1128" s="441"/>
      <c r="Z1128" s="441"/>
      <c r="AA1128" s="441"/>
      <c r="AB1128" s="441"/>
      <c r="AC1128" s="441"/>
      <c r="AD1128" s="441"/>
      <c r="AE1128" s="441"/>
      <c r="AF1128" s="441"/>
      <c r="AG1128" s="441"/>
      <c r="AH1128" s="441"/>
      <c r="AI1128" s="441"/>
      <c r="AJ1128" s="441"/>
      <c r="AK1128" s="441"/>
      <c r="AL1128" s="441"/>
      <c r="AM1128" s="441"/>
      <c r="AN1128" s="441"/>
      <c r="AO1128" s="441"/>
      <c r="AP1128" s="441"/>
      <c r="AQ1128" s="441"/>
      <c r="AR1128" s="441"/>
      <c r="AS1128" s="441"/>
      <c r="AT1128" s="441"/>
      <c r="AU1128" s="441"/>
      <c r="AV1128" s="441"/>
      <c r="AW1128" s="441"/>
      <c r="AX1128" s="441"/>
      <c r="AY1128" s="441"/>
      <c r="AZ1128" s="441"/>
      <c r="BA1128" s="441"/>
      <c r="BB1128" s="441"/>
      <c r="BC1128" s="441"/>
      <c r="BD1128" s="441"/>
      <c r="BE1128" s="441"/>
      <c r="BF1128" s="441"/>
    </row>
    <row r="1129">
      <c r="A1129" s="798"/>
      <c r="B1129" s="795"/>
      <c r="C1129" s="795"/>
      <c r="D1129" s="795"/>
      <c r="E1129" s="795"/>
      <c r="F1129" s="795"/>
      <c r="G1129" s="795"/>
      <c r="H1129" s="795"/>
      <c r="I1129" s="796"/>
      <c r="J1129" s="441"/>
      <c r="K1129" s="441"/>
      <c r="L1129" s="797"/>
      <c r="M1129" s="441"/>
      <c r="N1129" s="441"/>
      <c r="O1129" s="441"/>
      <c r="P1129" s="441"/>
      <c r="Q1129" s="441"/>
      <c r="R1129" s="426"/>
      <c r="S1129" s="441"/>
      <c r="T1129" s="441"/>
      <c r="U1129" s="441"/>
      <c r="V1129" s="441"/>
      <c r="W1129" s="441"/>
      <c r="X1129" s="441"/>
      <c r="Y1129" s="441"/>
      <c r="Z1129" s="441"/>
      <c r="AA1129" s="441"/>
      <c r="AB1129" s="441"/>
      <c r="AC1129" s="441"/>
      <c r="AD1129" s="441"/>
      <c r="AE1129" s="441"/>
      <c r="AF1129" s="441"/>
      <c r="AG1129" s="441"/>
      <c r="AH1129" s="441"/>
      <c r="AI1129" s="441"/>
      <c r="AJ1129" s="441"/>
      <c r="AK1129" s="441"/>
      <c r="AL1129" s="441"/>
      <c r="AM1129" s="441"/>
      <c r="AN1129" s="441"/>
      <c r="AO1129" s="441"/>
      <c r="AP1129" s="441"/>
      <c r="AQ1129" s="441"/>
      <c r="AR1129" s="441"/>
      <c r="AS1129" s="441"/>
      <c r="AT1129" s="441"/>
      <c r="AU1129" s="441"/>
      <c r="AV1129" s="441"/>
      <c r="AW1129" s="441"/>
      <c r="AX1129" s="441"/>
      <c r="AY1129" s="441"/>
      <c r="AZ1129" s="441"/>
      <c r="BA1129" s="441"/>
      <c r="BB1129" s="441"/>
      <c r="BC1129" s="441"/>
      <c r="BD1129" s="441"/>
      <c r="BE1129" s="441"/>
      <c r="BF1129" s="441"/>
    </row>
    <row r="1130">
      <c r="A1130" s="798"/>
      <c r="B1130" s="795"/>
      <c r="C1130" s="795"/>
      <c r="D1130" s="795"/>
      <c r="E1130" s="795"/>
      <c r="F1130" s="795"/>
      <c r="G1130" s="795"/>
      <c r="H1130" s="795"/>
      <c r="I1130" s="796"/>
      <c r="J1130" s="441"/>
      <c r="K1130" s="441"/>
      <c r="L1130" s="797"/>
      <c r="M1130" s="441"/>
      <c r="N1130" s="441"/>
      <c r="O1130" s="441"/>
      <c r="P1130" s="441"/>
      <c r="Q1130" s="441"/>
      <c r="R1130" s="426"/>
      <c r="S1130" s="441"/>
      <c r="T1130" s="441"/>
      <c r="U1130" s="441"/>
      <c r="V1130" s="441"/>
      <c r="W1130" s="441"/>
      <c r="X1130" s="441"/>
      <c r="Y1130" s="441"/>
      <c r="Z1130" s="441"/>
      <c r="AA1130" s="441"/>
      <c r="AB1130" s="441"/>
      <c r="AC1130" s="441"/>
      <c r="AD1130" s="441"/>
      <c r="AE1130" s="441"/>
      <c r="AF1130" s="441"/>
      <c r="AG1130" s="441"/>
      <c r="AH1130" s="441"/>
      <c r="AI1130" s="441"/>
      <c r="AJ1130" s="441"/>
      <c r="AK1130" s="441"/>
      <c r="AL1130" s="441"/>
      <c r="AM1130" s="441"/>
      <c r="AN1130" s="441"/>
      <c r="AO1130" s="441"/>
      <c r="AP1130" s="441"/>
      <c r="AQ1130" s="441"/>
      <c r="AR1130" s="441"/>
      <c r="AS1130" s="441"/>
      <c r="AT1130" s="441"/>
      <c r="AU1130" s="441"/>
      <c r="AV1130" s="441"/>
      <c r="AW1130" s="441"/>
      <c r="AX1130" s="441"/>
      <c r="AY1130" s="441"/>
      <c r="AZ1130" s="441"/>
      <c r="BA1130" s="441"/>
      <c r="BB1130" s="441"/>
      <c r="BC1130" s="441"/>
      <c r="BD1130" s="441"/>
      <c r="BE1130" s="441"/>
      <c r="BF1130" s="441"/>
    </row>
    <row r="1131">
      <c r="A1131" s="798"/>
      <c r="B1131" s="795"/>
      <c r="C1131" s="795"/>
      <c r="D1131" s="795"/>
      <c r="E1131" s="795"/>
      <c r="F1131" s="795"/>
      <c r="G1131" s="795"/>
      <c r="H1131" s="795"/>
      <c r="I1131" s="796"/>
      <c r="J1131" s="441"/>
      <c r="K1131" s="441"/>
      <c r="L1131" s="797"/>
      <c r="M1131" s="441"/>
      <c r="N1131" s="441"/>
      <c r="O1131" s="441"/>
      <c r="P1131" s="441"/>
      <c r="Q1131" s="441"/>
      <c r="R1131" s="426"/>
      <c r="S1131" s="441"/>
      <c r="T1131" s="441"/>
      <c r="U1131" s="441"/>
      <c r="V1131" s="441"/>
      <c r="W1131" s="441"/>
      <c r="X1131" s="441"/>
      <c r="Y1131" s="441"/>
      <c r="Z1131" s="441"/>
      <c r="AA1131" s="441"/>
      <c r="AB1131" s="441"/>
      <c r="AC1131" s="441"/>
      <c r="AD1131" s="441"/>
      <c r="AE1131" s="441"/>
      <c r="AF1131" s="441"/>
      <c r="AG1131" s="441"/>
      <c r="AH1131" s="441"/>
      <c r="AI1131" s="441"/>
      <c r="AJ1131" s="441"/>
      <c r="AK1131" s="441"/>
      <c r="AL1131" s="441"/>
      <c r="AM1131" s="441"/>
      <c r="AN1131" s="441"/>
      <c r="AO1131" s="441"/>
      <c r="AP1131" s="441"/>
      <c r="AQ1131" s="441"/>
      <c r="AR1131" s="441"/>
      <c r="AS1131" s="441"/>
      <c r="AT1131" s="441"/>
      <c r="AU1131" s="441"/>
      <c r="AV1131" s="441"/>
      <c r="AW1131" s="441"/>
      <c r="AX1131" s="441"/>
      <c r="AY1131" s="441"/>
      <c r="AZ1131" s="441"/>
      <c r="BA1131" s="441"/>
      <c r="BB1131" s="441"/>
      <c r="BC1131" s="441"/>
      <c r="BD1131" s="441"/>
      <c r="BE1131" s="441"/>
      <c r="BF1131" s="441"/>
    </row>
    <row r="1132">
      <c r="A1132" s="798"/>
      <c r="B1132" s="795"/>
      <c r="C1132" s="795"/>
      <c r="D1132" s="795"/>
      <c r="E1132" s="795"/>
      <c r="F1132" s="795"/>
      <c r="G1132" s="795"/>
      <c r="H1132" s="795"/>
      <c r="I1132" s="796"/>
      <c r="J1132" s="441"/>
      <c r="K1132" s="441"/>
      <c r="L1132" s="797"/>
      <c r="M1132" s="441"/>
      <c r="N1132" s="441"/>
      <c r="O1132" s="441"/>
      <c r="P1132" s="441"/>
      <c r="Q1132" s="441"/>
      <c r="R1132" s="426"/>
      <c r="S1132" s="441"/>
      <c r="T1132" s="441"/>
      <c r="U1132" s="441"/>
      <c r="V1132" s="441"/>
      <c r="W1132" s="441"/>
      <c r="X1132" s="441"/>
      <c r="Y1132" s="441"/>
      <c r="Z1132" s="441"/>
      <c r="AA1132" s="441"/>
      <c r="AB1132" s="441"/>
      <c r="AC1132" s="441"/>
      <c r="AD1132" s="441"/>
      <c r="AE1132" s="441"/>
      <c r="AF1132" s="441"/>
      <c r="AG1132" s="441"/>
      <c r="AH1132" s="441"/>
      <c r="AI1132" s="441"/>
      <c r="AJ1132" s="441"/>
      <c r="AK1132" s="441"/>
      <c r="AL1132" s="441"/>
      <c r="AM1132" s="441"/>
      <c r="AN1132" s="441"/>
      <c r="AO1132" s="441"/>
      <c r="AP1132" s="441"/>
      <c r="AQ1132" s="441"/>
      <c r="AR1132" s="441"/>
      <c r="AS1132" s="441"/>
      <c r="AT1132" s="441"/>
      <c r="AU1132" s="441"/>
      <c r="AV1132" s="441"/>
      <c r="AW1132" s="441"/>
      <c r="AX1132" s="441"/>
      <c r="AY1132" s="441"/>
      <c r="AZ1132" s="441"/>
      <c r="BA1132" s="441"/>
      <c r="BB1132" s="441"/>
      <c r="BC1132" s="441"/>
      <c r="BD1132" s="441"/>
      <c r="BE1132" s="441"/>
      <c r="BF1132" s="441"/>
    </row>
    <row r="1133">
      <c r="A1133" s="798"/>
      <c r="B1133" s="795"/>
      <c r="C1133" s="795"/>
      <c r="D1133" s="795"/>
      <c r="E1133" s="795"/>
      <c r="F1133" s="795"/>
      <c r="G1133" s="795"/>
      <c r="H1133" s="795"/>
      <c r="I1133" s="796"/>
      <c r="J1133" s="441"/>
      <c r="K1133" s="441"/>
      <c r="L1133" s="797"/>
      <c r="M1133" s="441"/>
      <c r="N1133" s="441"/>
      <c r="O1133" s="441"/>
      <c r="P1133" s="441"/>
      <c r="Q1133" s="441"/>
      <c r="R1133" s="426"/>
      <c r="S1133" s="441"/>
      <c r="T1133" s="441"/>
      <c r="U1133" s="441"/>
      <c r="V1133" s="441"/>
      <c r="W1133" s="441"/>
      <c r="X1133" s="441"/>
      <c r="Y1133" s="441"/>
      <c r="Z1133" s="441"/>
      <c r="AA1133" s="441"/>
      <c r="AB1133" s="441"/>
      <c r="AC1133" s="441"/>
      <c r="AD1133" s="441"/>
      <c r="AE1133" s="441"/>
      <c r="AF1133" s="441"/>
      <c r="AG1133" s="441"/>
      <c r="AH1133" s="441"/>
      <c r="AI1133" s="441"/>
      <c r="AJ1133" s="441"/>
      <c r="AK1133" s="441"/>
      <c r="AL1133" s="441"/>
      <c r="AM1133" s="441"/>
      <c r="AN1133" s="441"/>
      <c r="AO1133" s="441"/>
      <c r="AP1133" s="441"/>
      <c r="AQ1133" s="441"/>
      <c r="AR1133" s="441"/>
      <c r="AS1133" s="441"/>
      <c r="AT1133" s="441"/>
      <c r="AU1133" s="441"/>
      <c r="AV1133" s="441"/>
      <c r="AW1133" s="441"/>
      <c r="AX1133" s="441"/>
      <c r="AY1133" s="441"/>
      <c r="AZ1133" s="441"/>
      <c r="BA1133" s="441"/>
      <c r="BB1133" s="441"/>
      <c r="BC1133" s="441"/>
      <c r="BD1133" s="441"/>
      <c r="BE1133" s="441"/>
      <c r="BF1133" s="441"/>
    </row>
    <row r="1134">
      <c r="A1134" s="798"/>
      <c r="B1134" s="795"/>
      <c r="C1134" s="795"/>
      <c r="D1134" s="795"/>
      <c r="E1134" s="795"/>
      <c r="F1134" s="795"/>
      <c r="G1134" s="795"/>
      <c r="H1134" s="795"/>
      <c r="I1134" s="796"/>
      <c r="J1134" s="441"/>
      <c r="K1134" s="441"/>
      <c r="L1134" s="797"/>
      <c r="M1134" s="441"/>
      <c r="N1134" s="441"/>
      <c r="O1134" s="441"/>
      <c r="P1134" s="441"/>
      <c r="Q1134" s="441"/>
      <c r="R1134" s="426"/>
      <c r="S1134" s="441"/>
      <c r="T1134" s="441"/>
      <c r="U1134" s="441"/>
      <c r="V1134" s="441"/>
      <c r="W1134" s="441"/>
      <c r="X1134" s="441"/>
      <c r="Y1134" s="441"/>
      <c r="Z1134" s="441"/>
      <c r="AA1134" s="441"/>
      <c r="AB1134" s="441"/>
      <c r="AC1134" s="441"/>
      <c r="AD1134" s="441"/>
      <c r="AE1134" s="441"/>
      <c r="AF1134" s="441"/>
      <c r="AG1134" s="441"/>
      <c r="AH1134" s="441"/>
      <c r="AI1134" s="441"/>
      <c r="AJ1134" s="441"/>
      <c r="AK1134" s="441"/>
      <c r="AL1134" s="441"/>
      <c r="AM1134" s="441"/>
      <c r="AN1134" s="441"/>
      <c r="AO1134" s="441"/>
      <c r="AP1134" s="441"/>
      <c r="AQ1134" s="441"/>
      <c r="AR1134" s="441"/>
      <c r="AS1134" s="441"/>
      <c r="AT1134" s="441"/>
      <c r="AU1134" s="441"/>
      <c r="AV1134" s="441"/>
      <c r="AW1134" s="441"/>
      <c r="AX1134" s="441"/>
      <c r="AY1134" s="441"/>
      <c r="AZ1134" s="441"/>
      <c r="BA1134" s="441"/>
      <c r="BB1134" s="441"/>
      <c r="BC1134" s="441"/>
      <c r="BD1134" s="441"/>
      <c r="BE1134" s="441"/>
      <c r="BF1134" s="441"/>
    </row>
    <row r="1135">
      <c r="A1135" s="798"/>
      <c r="B1135" s="795"/>
      <c r="C1135" s="795"/>
      <c r="D1135" s="795"/>
      <c r="E1135" s="795"/>
      <c r="F1135" s="795"/>
      <c r="G1135" s="795"/>
      <c r="H1135" s="795"/>
      <c r="I1135" s="796"/>
      <c r="J1135" s="441"/>
      <c r="K1135" s="441"/>
      <c r="L1135" s="797"/>
      <c r="M1135" s="441"/>
      <c r="N1135" s="441"/>
      <c r="O1135" s="441"/>
      <c r="P1135" s="441"/>
      <c r="Q1135" s="441"/>
      <c r="R1135" s="426"/>
      <c r="S1135" s="441"/>
      <c r="T1135" s="441"/>
      <c r="U1135" s="441"/>
      <c r="V1135" s="441"/>
      <c r="W1135" s="441"/>
      <c r="X1135" s="441"/>
      <c r="Y1135" s="441"/>
      <c r="Z1135" s="441"/>
      <c r="AA1135" s="441"/>
      <c r="AB1135" s="441"/>
      <c r="AC1135" s="441"/>
      <c r="AD1135" s="441"/>
      <c r="AE1135" s="441"/>
      <c r="AF1135" s="441"/>
      <c r="AG1135" s="441"/>
      <c r="AH1135" s="441"/>
      <c r="AI1135" s="441"/>
      <c r="AJ1135" s="441"/>
      <c r="AK1135" s="441"/>
      <c r="AL1135" s="441"/>
      <c r="AM1135" s="441"/>
      <c r="AN1135" s="441"/>
      <c r="AO1135" s="441"/>
      <c r="AP1135" s="441"/>
      <c r="AQ1135" s="441"/>
      <c r="AR1135" s="441"/>
      <c r="AS1135" s="441"/>
      <c r="AT1135" s="441"/>
      <c r="AU1135" s="441"/>
      <c r="AV1135" s="441"/>
      <c r="AW1135" s="441"/>
      <c r="AX1135" s="441"/>
      <c r="AY1135" s="441"/>
      <c r="AZ1135" s="441"/>
      <c r="BA1135" s="441"/>
      <c r="BB1135" s="441"/>
      <c r="BC1135" s="441"/>
      <c r="BD1135" s="441"/>
      <c r="BE1135" s="441"/>
      <c r="BF1135" s="441"/>
    </row>
    <row r="1136">
      <c r="A1136" s="798"/>
      <c r="B1136" s="795"/>
      <c r="C1136" s="795"/>
      <c r="D1136" s="795"/>
      <c r="E1136" s="795"/>
      <c r="F1136" s="795"/>
      <c r="G1136" s="795"/>
      <c r="H1136" s="795"/>
      <c r="I1136" s="796"/>
      <c r="J1136" s="441"/>
      <c r="K1136" s="441"/>
      <c r="L1136" s="797"/>
      <c r="M1136" s="441"/>
      <c r="N1136" s="441"/>
      <c r="O1136" s="441"/>
      <c r="P1136" s="441"/>
      <c r="Q1136" s="441"/>
      <c r="R1136" s="426"/>
      <c r="S1136" s="441"/>
      <c r="T1136" s="441"/>
      <c r="U1136" s="441"/>
      <c r="V1136" s="441"/>
      <c r="W1136" s="441"/>
      <c r="X1136" s="441"/>
      <c r="Y1136" s="441"/>
      <c r="Z1136" s="441"/>
      <c r="AA1136" s="441"/>
      <c r="AB1136" s="441"/>
      <c r="AC1136" s="441"/>
      <c r="AD1136" s="441"/>
      <c r="AE1136" s="441"/>
      <c r="AF1136" s="441"/>
      <c r="AG1136" s="441"/>
      <c r="AH1136" s="441"/>
      <c r="AI1136" s="441"/>
      <c r="AJ1136" s="441"/>
      <c r="AK1136" s="441"/>
      <c r="AL1136" s="441"/>
      <c r="AM1136" s="441"/>
      <c r="AN1136" s="441"/>
      <c r="AO1136" s="441"/>
      <c r="AP1136" s="441"/>
      <c r="AQ1136" s="441"/>
      <c r="AR1136" s="441"/>
      <c r="AS1136" s="441"/>
      <c r="AT1136" s="441"/>
      <c r="AU1136" s="441"/>
      <c r="AV1136" s="441"/>
      <c r="AW1136" s="441"/>
      <c r="AX1136" s="441"/>
      <c r="AY1136" s="441"/>
      <c r="AZ1136" s="441"/>
      <c r="BA1136" s="441"/>
      <c r="BB1136" s="441"/>
      <c r="BC1136" s="441"/>
      <c r="BD1136" s="441"/>
      <c r="BE1136" s="441"/>
      <c r="BF1136" s="441"/>
    </row>
    <row r="1137">
      <c r="A1137" s="798"/>
      <c r="B1137" s="795"/>
      <c r="C1137" s="795"/>
      <c r="D1137" s="795"/>
      <c r="E1137" s="795"/>
      <c r="F1137" s="795"/>
      <c r="G1137" s="795"/>
      <c r="H1137" s="795"/>
      <c r="I1137" s="796"/>
      <c r="J1137" s="441"/>
      <c r="K1137" s="441"/>
      <c r="L1137" s="797"/>
      <c r="M1137" s="441"/>
      <c r="N1137" s="441"/>
      <c r="O1137" s="441"/>
      <c r="P1137" s="441"/>
      <c r="Q1137" s="441"/>
      <c r="R1137" s="426"/>
      <c r="S1137" s="441"/>
      <c r="T1137" s="441"/>
      <c r="U1137" s="441"/>
      <c r="V1137" s="441"/>
      <c r="W1137" s="441"/>
      <c r="X1137" s="441"/>
      <c r="Y1137" s="441"/>
      <c r="Z1137" s="441"/>
      <c r="AA1137" s="441"/>
      <c r="AB1137" s="441"/>
      <c r="AC1137" s="441"/>
      <c r="AD1137" s="441"/>
      <c r="AE1137" s="441"/>
      <c r="AF1137" s="441"/>
      <c r="AG1137" s="441"/>
      <c r="AH1137" s="441"/>
      <c r="AI1137" s="441"/>
      <c r="AJ1137" s="441"/>
      <c r="AK1137" s="441"/>
      <c r="AL1137" s="441"/>
      <c r="AM1137" s="441"/>
      <c r="AN1137" s="441"/>
      <c r="AO1137" s="441"/>
      <c r="AP1137" s="441"/>
      <c r="AQ1137" s="441"/>
      <c r="AR1137" s="441"/>
      <c r="AS1137" s="441"/>
      <c r="AT1137" s="441"/>
      <c r="AU1137" s="441"/>
      <c r="AV1137" s="441"/>
      <c r="AW1137" s="441"/>
      <c r="AX1137" s="441"/>
      <c r="AY1137" s="441"/>
      <c r="AZ1137" s="441"/>
      <c r="BA1137" s="441"/>
      <c r="BB1137" s="441"/>
      <c r="BC1137" s="441"/>
      <c r="BD1137" s="441"/>
      <c r="BE1137" s="441"/>
      <c r="BF1137" s="441"/>
    </row>
    <row r="1138">
      <c r="A1138" s="798"/>
      <c r="B1138" s="795"/>
      <c r="C1138" s="795"/>
      <c r="D1138" s="795"/>
      <c r="E1138" s="795"/>
      <c r="F1138" s="795"/>
      <c r="G1138" s="795"/>
      <c r="H1138" s="795"/>
      <c r="I1138" s="796"/>
      <c r="J1138" s="441"/>
      <c r="K1138" s="441"/>
      <c r="L1138" s="797"/>
      <c r="M1138" s="441"/>
      <c r="N1138" s="441"/>
      <c r="O1138" s="441"/>
      <c r="P1138" s="441"/>
      <c r="Q1138" s="441"/>
      <c r="R1138" s="426"/>
      <c r="S1138" s="441"/>
      <c r="T1138" s="441"/>
      <c r="U1138" s="441"/>
      <c r="V1138" s="441"/>
      <c r="W1138" s="441"/>
      <c r="X1138" s="441"/>
      <c r="Y1138" s="441"/>
      <c r="Z1138" s="441"/>
      <c r="AA1138" s="441"/>
      <c r="AB1138" s="441"/>
      <c r="AC1138" s="441"/>
      <c r="AD1138" s="441"/>
      <c r="AE1138" s="441"/>
      <c r="AF1138" s="441"/>
      <c r="AG1138" s="441"/>
      <c r="AH1138" s="441"/>
      <c r="AI1138" s="441"/>
      <c r="AJ1138" s="441"/>
      <c r="AK1138" s="441"/>
      <c r="AL1138" s="441"/>
      <c r="AM1138" s="441"/>
      <c r="AN1138" s="441"/>
      <c r="AO1138" s="441"/>
      <c r="AP1138" s="441"/>
      <c r="AQ1138" s="441"/>
      <c r="AR1138" s="441"/>
      <c r="AS1138" s="441"/>
      <c r="AT1138" s="441"/>
      <c r="AU1138" s="441"/>
      <c r="AV1138" s="441"/>
      <c r="AW1138" s="441"/>
      <c r="AX1138" s="441"/>
      <c r="AY1138" s="441"/>
      <c r="AZ1138" s="441"/>
      <c r="BA1138" s="441"/>
      <c r="BB1138" s="441"/>
      <c r="BC1138" s="441"/>
      <c r="BD1138" s="441"/>
      <c r="BE1138" s="441"/>
      <c r="BF1138" s="441"/>
    </row>
    <row r="1139">
      <c r="A1139" s="798"/>
      <c r="B1139" s="795"/>
      <c r="C1139" s="795"/>
      <c r="D1139" s="795"/>
      <c r="E1139" s="795"/>
      <c r="F1139" s="795"/>
      <c r="G1139" s="795"/>
      <c r="H1139" s="795"/>
      <c r="I1139" s="796"/>
      <c r="J1139" s="441"/>
      <c r="K1139" s="441"/>
      <c r="L1139" s="797"/>
      <c r="M1139" s="441"/>
      <c r="N1139" s="441"/>
      <c r="O1139" s="441"/>
      <c r="P1139" s="441"/>
      <c r="Q1139" s="441"/>
      <c r="R1139" s="426"/>
      <c r="S1139" s="441"/>
      <c r="T1139" s="441"/>
      <c r="U1139" s="441"/>
      <c r="V1139" s="441"/>
      <c r="W1139" s="441"/>
      <c r="X1139" s="441"/>
      <c r="Y1139" s="441"/>
      <c r="Z1139" s="441"/>
      <c r="AA1139" s="441"/>
      <c r="AB1139" s="441"/>
      <c r="AC1139" s="441"/>
      <c r="AD1139" s="441"/>
      <c r="AE1139" s="441"/>
      <c r="AF1139" s="441"/>
      <c r="AG1139" s="441"/>
      <c r="AH1139" s="441"/>
      <c r="AI1139" s="441"/>
      <c r="AJ1139" s="441"/>
      <c r="AK1139" s="441"/>
      <c r="AL1139" s="441"/>
      <c r="AM1139" s="441"/>
      <c r="AN1139" s="441"/>
      <c r="AO1139" s="441"/>
      <c r="AP1139" s="441"/>
      <c r="AQ1139" s="441"/>
      <c r="AR1139" s="441"/>
      <c r="AS1139" s="441"/>
      <c r="AT1139" s="441"/>
      <c r="AU1139" s="441"/>
      <c r="AV1139" s="441"/>
      <c r="AW1139" s="441"/>
      <c r="AX1139" s="441"/>
      <c r="AY1139" s="441"/>
      <c r="AZ1139" s="441"/>
      <c r="BA1139" s="441"/>
      <c r="BB1139" s="441"/>
      <c r="BC1139" s="441"/>
      <c r="BD1139" s="441"/>
      <c r="BE1139" s="441"/>
      <c r="BF1139" s="441"/>
    </row>
    <row r="1140">
      <c r="A1140" s="798"/>
      <c r="B1140" s="795"/>
      <c r="C1140" s="795"/>
      <c r="D1140" s="795"/>
      <c r="E1140" s="795"/>
      <c r="F1140" s="795"/>
      <c r="G1140" s="795"/>
      <c r="H1140" s="795"/>
      <c r="I1140" s="796"/>
      <c r="J1140" s="441"/>
      <c r="K1140" s="441"/>
      <c r="L1140" s="797"/>
      <c r="M1140" s="441"/>
      <c r="N1140" s="441"/>
      <c r="O1140" s="441"/>
      <c r="P1140" s="441"/>
      <c r="Q1140" s="441"/>
      <c r="R1140" s="426"/>
      <c r="S1140" s="441"/>
      <c r="T1140" s="441"/>
      <c r="U1140" s="441"/>
      <c r="V1140" s="441"/>
      <c r="W1140" s="441"/>
      <c r="X1140" s="441"/>
      <c r="Y1140" s="441"/>
      <c r="Z1140" s="441"/>
      <c r="AA1140" s="441"/>
      <c r="AB1140" s="441"/>
      <c r="AC1140" s="441"/>
      <c r="AD1140" s="441"/>
      <c r="AE1140" s="441"/>
      <c r="AF1140" s="441"/>
      <c r="AG1140" s="441"/>
      <c r="AH1140" s="441"/>
      <c r="AI1140" s="441"/>
      <c r="AJ1140" s="441"/>
      <c r="AK1140" s="441"/>
      <c r="AL1140" s="441"/>
      <c r="AM1140" s="441"/>
      <c r="AN1140" s="441"/>
      <c r="AO1140" s="441"/>
      <c r="AP1140" s="441"/>
      <c r="AQ1140" s="441"/>
      <c r="AR1140" s="441"/>
      <c r="AS1140" s="441"/>
      <c r="AT1140" s="441"/>
      <c r="AU1140" s="441"/>
      <c r="AV1140" s="441"/>
      <c r="AW1140" s="441"/>
      <c r="AX1140" s="441"/>
      <c r="AY1140" s="441"/>
      <c r="AZ1140" s="441"/>
      <c r="BA1140" s="441"/>
      <c r="BB1140" s="441"/>
      <c r="BC1140" s="441"/>
      <c r="BD1140" s="441"/>
      <c r="BE1140" s="441"/>
      <c r="BF1140" s="441"/>
    </row>
    <row r="1141">
      <c r="A1141" s="798"/>
      <c r="B1141" s="795"/>
      <c r="C1141" s="795"/>
      <c r="D1141" s="795"/>
      <c r="E1141" s="795"/>
      <c r="F1141" s="795"/>
      <c r="G1141" s="795"/>
      <c r="H1141" s="795"/>
      <c r="I1141" s="796"/>
      <c r="J1141" s="441"/>
      <c r="K1141" s="441"/>
      <c r="L1141" s="797"/>
      <c r="M1141" s="441"/>
      <c r="N1141" s="441"/>
      <c r="O1141" s="441"/>
      <c r="P1141" s="441"/>
      <c r="Q1141" s="441"/>
      <c r="R1141" s="426"/>
      <c r="S1141" s="441"/>
      <c r="T1141" s="441"/>
      <c r="U1141" s="441"/>
      <c r="V1141" s="441"/>
      <c r="W1141" s="441"/>
      <c r="X1141" s="441"/>
      <c r="Y1141" s="441"/>
      <c r="Z1141" s="441"/>
      <c r="AA1141" s="441"/>
      <c r="AB1141" s="441"/>
      <c r="AC1141" s="441"/>
      <c r="AD1141" s="441"/>
      <c r="AE1141" s="441"/>
      <c r="AF1141" s="441"/>
      <c r="AG1141" s="441"/>
      <c r="AH1141" s="441"/>
      <c r="AI1141" s="441"/>
      <c r="AJ1141" s="441"/>
      <c r="AK1141" s="441"/>
      <c r="AL1141" s="441"/>
      <c r="AM1141" s="441"/>
      <c r="AN1141" s="441"/>
      <c r="AO1141" s="441"/>
      <c r="AP1141" s="441"/>
      <c r="AQ1141" s="441"/>
      <c r="AR1141" s="441"/>
      <c r="AS1141" s="441"/>
      <c r="AT1141" s="441"/>
      <c r="AU1141" s="441"/>
      <c r="AV1141" s="441"/>
      <c r="AW1141" s="441"/>
      <c r="AX1141" s="441"/>
      <c r="AY1141" s="441"/>
      <c r="AZ1141" s="441"/>
      <c r="BA1141" s="441"/>
      <c r="BB1141" s="441"/>
      <c r="BC1141" s="441"/>
      <c r="BD1141" s="441"/>
      <c r="BE1141" s="441"/>
      <c r="BF1141" s="441"/>
    </row>
    <row r="1142">
      <c r="A1142" s="798"/>
      <c r="B1142" s="795"/>
      <c r="C1142" s="795"/>
      <c r="D1142" s="795"/>
      <c r="E1142" s="795"/>
      <c r="F1142" s="795"/>
      <c r="G1142" s="795"/>
      <c r="H1142" s="795"/>
      <c r="I1142" s="796"/>
      <c r="J1142" s="441"/>
      <c r="K1142" s="441"/>
      <c r="L1142" s="797"/>
      <c r="M1142" s="441"/>
      <c r="N1142" s="441"/>
      <c r="O1142" s="441"/>
      <c r="P1142" s="441"/>
      <c r="Q1142" s="441"/>
      <c r="R1142" s="426"/>
      <c r="S1142" s="441"/>
      <c r="T1142" s="441"/>
      <c r="U1142" s="441"/>
      <c r="V1142" s="441"/>
      <c r="W1142" s="441"/>
      <c r="X1142" s="441"/>
      <c r="Y1142" s="441"/>
      <c r="Z1142" s="441"/>
      <c r="AA1142" s="441"/>
      <c r="AB1142" s="441"/>
      <c r="AC1142" s="441"/>
      <c r="AD1142" s="441"/>
      <c r="AE1142" s="441"/>
      <c r="AF1142" s="441"/>
      <c r="AG1142" s="441"/>
      <c r="AH1142" s="441"/>
      <c r="AI1142" s="441"/>
      <c r="AJ1142" s="441"/>
      <c r="AK1142" s="441"/>
      <c r="AL1142" s="441"/>
      <c r="AM1142" s="441"/>
      <c r="AN1142" s="441"/>
      <c r="AO1142" s="441"/>
      <c r="AP1142" s="441"/>
      <c r="AQ1142" s="441"/>
      <c r="AR1142" s="441"/>
      <c r="AS1142" s="441"/>
      <c r="AT1142" s="441"/>
      <c r="AU1142" s="441"/>
      <c r="AV1142" s="441"/>
      <c r="AW1142" s="441"/>
      <c r="AX1142" s="441"/>
      <c r="AY1142" s="441"/>
      <c r="AZ1142" s="441"/>
      <c r="BA1142" s="441"/>
      <c r="BB1142" s="441"/>
      <c r="BC1142" s="441"/>
      <c r="BD1142" s="441"/>
      <c r="BE1142" s="441"/>
      <c r="BF1142" s="441"/>
    </row>
    <row r="1143">
      <c r="A1143" s="798"/>
      <c r="B1143" s="795"/>
      <c r="C1143" s="795"/>
      <c r="D1143" s="795"/>
      <c r="E1143" s="795"/>
      <c r="F1143" s="795"/>
      <c r="G1143" s="795"/>
      <c r="H1143" s="795"/>
      <c r="I1143" s="796"/>
      <c r="J1143" s="441"/>
      <c r="K1143" s="441"/>
      <c r="L1143" s="797"/>
      <c r="M1143" s="441"/>
      <c r="N1143" s="441"/>
      <c r="O1143" s="441"/>
      <c r="P1143" s="441"/>
      <c r="Q1143" s="441"/>
      <c r="R1143" s="426"/>
      <c r="S1143" s="441"/>
      <c r="T1143" s="441"/>
      <c r="U1143" s="441"/>
      <c r="V1143" s="441"/>
      <c r="W1143" s="441"/>
      <c r="X1143" s="441"/>
      <c r="Y1143" s="441"/>
      <c r="Z1143" s="441"/>
      <c r="AA1143" s="441"/>
      <c r="AB1143" s="441"/>
      <c r="AC1143" s="441"/>
      <c r="AD1143" s="441"/>
      <c r="AE1143" s="441"/>
      <c r="AF1143" s="441"/>
      <c r="AG1143" s="441"/>
      <c r="AH1143" s="441"/>
      <c r="AI1143" s="441"/>
      <c r="AJ1143" s="441"/>
      <c r="AK1143" s="441"/>
      <c r="AL1143" s="441"/>
      <c r="AM1143" s="441"/>
      <c r="AN1143" s="441"/>
      <c r="AO1143" s="441"/>
      <c r="AP1143" s="441"/>
      <c r="AQ1143" s="441"/>
      <c r="AR1143" s="441"/>
      <c r="AS1143" s="441"/>
      <c r="AT1143" s="441"/>
      <c r="AU1143" s="441"/>
      <c r="AV1143" s="441"/>
      <c r="AW1143" s="441"/>
      <c r="AX1143" s="441"/>
      <c r="AY1143" s="441"/>
      <c r="AZ1143" s="441"/>
      <c r="BA1143" s="441"/>
      <c r="BB1143" s="441"/>
      <c r="BC1143" s="441"/>
      <c r="BD1143" s="441"/>
      <c r="BE1143" s="441"/>
      <c r="BF1143" s="441"/>
    </row>
    <row r="1144">
      <c r="A1144" s="798"/>
      <c r="B1144" s="795"/>
      <c r="C1144" s="795"/>
      <c r="D1144" s="795"/>
      <c r="E1144" s="795"/>
      <c r="F1144" s="795"/>
      <c r="G1144" s="795"/>
      <c r="H1144" s="795"/>
      <c r="I1144" s="796"/>
      <c r="J1144" s="441"/>
      <c r="K1144" s="441"/>
      <c r="L1144" s="797"/>
      <c r="M1144" s="441"/>
      <c r="N1144" s="441"/>
      <c r="O1144" s="441"/>
      <c r="P1144" s="441"/>
      <c r="Q1144" s="441"/>
      <c r="R1144" s="426"/>
      <c r="S1144" s="441"/>
      <c r="T1144" s="441"/>
      <c r="U1144" s="441"/>
      <c r="V1144" s="441"/>
      <c r="W1144" s="441"/>
      <c r="X1144" s="441"/>
      <c r="Y1144" s="441"/>
      <c r="Z1144" s="441"/>
      <c r="AA1144" s="441"/>
      <c r="AB1144" s="441"/>
      <c r="AC1144" s="441"/>
      <c r="AD1144" s="441"/>
      <c r="AE1144" s="441"/>
      <c r="AF1144" s="441"/>
      <c r="AG1144" s="441"/>
      <c r="AH1144" s="441"/>
      <c r="AI1144" s="441"/>
      <c r="AJ1144" s="441"/>
      <c r="AK1144" s="441"/>
      <c r="AL1144" s="441"/>
      <c r="AM1144" s="441"/>
      <c r="AN1144" s="441"/>
      <c r="AO1144" s="441"/>
      <c r="AP1144" s="441"/>
      <c r="AQ1144" s="441"/>
      <c r="AR1144" s="441"/>
      <c r="AS1144" s="441"/>
      <c r="AT1144" s="441"/>
      <c r="AU1144" s="441"/>
      <c r="AV1144" s="441"/>
      <c r="AW1144" s="441"/>
      <c r="AX1144" s="441"/>
      <c r="AY1144" s="441"/>
      <c r="AZ1144" s="441"/>
      <c r="BA1144" s="441"/>
      <c r="BB1144" s="441"/>
      <c r="BC1144" s="441"/>
      <c r="BD1144" s="441"/>
      <c r="BE1144" s="441"/>
      <c r="BF1144" s="441"/>
    </row>
    <row r="1145">
      <c r="A1145" s="798"/>
      <c r="B1145" s="795"/>
      <c r="C1145" s="795"/>
      <c r="D1145" s="795"/>
      <c r="E1145" s="795"/>
      <c r="F1145" s="795"/>
      <c r="G1145" s="795"/>
      <c r="H1145" s="795"/>
      <c r="I1145" s="796"/>
      <c r="J1145" s="441"/>
      <c r="K1145" s="441"/>
      <c r="L1145" s="797"/>
      <c r="M1145" s="441"/>
      <c r="N1145" s="441"/>
      <c r="O1145" s="441"/>
      <c r="P1145" s="441"/>
      <c r="Q1145" s="441"/>
      <c r="R1145" s="426"/>
      <c r="S1145" s="441"/>
      <c r="T1145" s="441"/>
      <c r="U1145" s="441"/>
      <c r="V1145" s="441"/>
      <c r="W1145" s="441"/>
      <c r="X1145" s="441"/>
      <c r="Y1145" s="441"/>
      <c r="Z1145" s="441"/>
      <c r="AA1145" s="441"/>
      <c r="AB1145" s="441"/>
      <c r="AC1145" s="441"/>
      <c r="AD1145" s="441"/>
      <c r="AE1145" s="441"/>
      <c r="AF1145" s="441"/>
      <c r="AG1145" s="441"/>
      <c r="AH1145" s="441"/>
      <c r="AI1145" s="441"/>
      <c r="AJ1145" s="441"/>
      <c r="AK1145" s="441"/>
      <c r="AL1145" s="441"/>
      <c r="AM1145" s="441"/>
      <c r="AN1145" s="441"/>
      <c r="AO1145" s="441"/>
      <c r="AP1145" s="441"/>
      <c r="AQ1145" s="441"/>
      <c r="AR1145" s="441"/>
      <c r="AS1145" s="441"/>
      <c r="AT1145" s="441"/>
      <c r="AU1145" s="441"/>
      <c r="AV1145" s="441"/>
      <c r="AW1145" s="441"/>
      <c r="AX1145" s="441"/>
      <c r="AY1145" s="441"/>
      <c r="AZ1145" s="441"/>
      <c r="BA1145" s="441"/>
      <c r="BB1145" s="441"/>
      <c r="BC1145" s="441"/>
      <c r="BD1145" s="441"/>
      <c r="BE1145" s="441"/>
      <c r="BF1145" s="441"/>
    </row>
    <row r="1146">
      <c r="A1146" s="798"/>
      <c r="B1146" s="795"/>
      <c r="C1146" s="795"/>
      <c r="D1146" s="795"/>
      <c r="E1146" s="795"/>
      <c r="F1146" s="795"/>
      <c r="G1146" s="795"/>
      <c r="H1146" s="795"/>
      <c r="I1146" s="796"/>
      <c r="J1146" s="441"/>
      <c r="K1146" s="441"/>
      <c r="L1146" s="797"/>
      <c r="M1146" s="441"/>
      <c r="N1146" s="441"/>
      <c r="O1146" s="441"/>
      <c r="P1146" s="441"/>
      <c r="Q1146" s="441"/>
      <c r="R1146" s="426"/>
      <c r="S1146" s="441"/>
      <c r="T1146" s="441"/>
      <c r="U1146" s="441"/>
      <c r="V1146" s="441"/>
      <c r="W1146" s="441"/>
      <c r="X1146" s="441"/>
      <c r="Y1146" s="441"/>
      <c r="Z1146" s="441"/>
      <c r="AA1146" s="441"/>
      <c r="AB1146" s="441"/>
      <c r="AC1146" s="441"/>
      <c r="AD1146" s="441"/>
      <c r="AE1146" s="441"/>
      <c r="AF1146" s="441"/>
      <c r="AG1146" s="441"/>
      <c r="AH1146" s="441"/>
      <c r="AI1146" s="441"/>
      <c r="AJ1146" s="441"/>
      <c r="AK1146" s="441"/>
      <c r="AL1146" s="441"/>
      <c r="AM1146" s="441"/>
      <c r="AN1146" s="441"/>
      <c r="AO1146" s="441"/>
      <c r="AP1146" s="441"/>
      <c r="AQ1146" s="441"/>
      <c r="AR1146" s="441"/>
      <c r="AS1146" s="441"/>
      <c r="AT1146" s="441"/>
      <c r="AU1146" s="441"/>
      <c r="AV1146" s="441"/>
      <c r="AW1146" s="441"/>
      <c r="AX1146" s="441"/>
      <c r="AY1146" s="441"/>
      <c r="AZ1146" s="441"/>
      <c r="BA1146" s="441"/>
      <c r="BB1146" s="441"/>
      <c r="BC1146" s="441"/>
      <c r="BD1146" s="441"/>
      <c r="BE1146" s="441"/>
      <c r="BF1146" s="441"/>
    </row>
    <row r="1147">
      <c r="A1147" s="798"/>
      <c r="B1147" s="795"/>
      <c r="C1147" s="795"/>
      <c r="D1147" s="795"/>
      <c r="E1147" s="795"/>
      <c r="F1147" s="795"/>
      <c r="G1147" s="795"/>
      <c r="H1147" s="795"/>
      <c r="I1147" s="796"/>
      <c r="J1147" s="441"/>
      <c r="K1147" s="441"/>
      <c r="L1147" s="797"/>
      <c r="M1147" s="441"/>
      <c r="N1147" s="441"/>
      <c r="O1147" s="441"/>
      <c r="P1147" s="441"/>
      <c r="Q1147" s="441"/>
      <c r="R1147" s="426"/>
      <c r="S1147" s="441"/>
      <c r="T1147" s="441"/>
      <c r="U1147" s="441"/>
      <c r="V1147" s="441"/>
      <c r="W1147" s="441"/>
      <c r="X1147" s="441"/>
      <c r="Y1147" s="441"/>
      <c r="Z1147" s="441"/>
      <c r="AA1147" s="441"/>
      <c r="AB1147" s="441"/>
      <c r="AC1147" s="441"/>
      <c r="AD1147" s="441"/>
      <c r="AE1147" s="441"/>
      <c r="AF1147" s="441"/>
      <c r="AG1147" s="441"/>
      <c r="AH1147" s="441"/>
      <c r="AI1147" s="441"/>
      <c r="AJ1147" s="441"/>
      <c r="AK1147" s="441"/>
      <c r="AL1147" s="441"/>
      <c r="AM1147" s="441"/>
      <c r="AN1147" s="441"/>
      <c r="AO1147" s="441"/>
      <c r="AP1147" s="441"/>
      <c r="AQ1147" s="441"/>
      <c r="AR1147" s="441"/>
      <c r="AS1147" s="441"/>
      <c r="AT1147" s="441"/>
      <c r="AU1147" s="441"/>
      <c r="AV1147" s="441"/>
      <c r="AW1147" s="441"/>
      <c r="AX1147" s="441"/>
      <c r="AY1147" s="441"/>
      <c r="AZ1147" s="441"/>
      <c r="BA1147" s="441"/>
      <c r="BB1147" s="441"/>
      <c r="BC1147" s="441"/>
      <c r="BD1147" s="441"/>
      <c r="BE1147" s="441"/>
      <c r="BF1147" s="441"/>
    </row>
    <row r="1148">
      <c r="A1148" s="798"/>
      <c r="B1148" s="795"/>
      <c r="C1148" s="795"/>
      <c r="D1148" s="795"/>
      <c r="E1148" s="795"/>
      <c r="F1148" s="795"/>
      <c r="G1148" s="795"/>
      <c r="H1148" s="795"/>
      <c r="I1148" s="796"/>
      <c r="J1148" s="441"/>
      <c r="K1148" s="441"/>
      <c r="L1148" s="797"/>
      <c r="M1148" s="441"/>
      <c r="N1148" s="441"/>
      <c r="O1148" s="441"/>
      <c r="P1148" s="441"/>
      <c r="Q1148" s="441"/>
      <c r="R1148" s="426"/>
      <c r="S1148" s="441"/>
      <c r="T1148" s="441"/>
      <c r="U1148" s="441"/>
      <c r="V1148" s="441"/>
      <c r="W1148" s="441"/>
      <c r="X1148" s="441"/>
      <c r="Y1148" s="441"/>
      <c r="Z1148" s="441"/>
      <c r="AA1148" s="441"/>
      <c r="AB1148" s="441"/>
      <c r="AC1148" s="441"/>
      <c r="AD1148" s="441"/>
      <c r="AE1148" s="441"/>
      <c r="AF1148" s="441"/>
      <c r="AG1148" s="441"/>
      <c r="AH1148" s="441"/>
      <c r="AI1148" s="441"/>
      <c r="AJ1148" s="441"/>
      <c r="AK1148" s="441"/>
      <c r="AL1148" s="441"/>
      <c r="AM1148" s="441"/>
      <c r="AN1148" s="441"/>
      <c r="AO1148" s="441"/>
      <c r="AP1148" s="441"/>
      <c r="AQ1148" s="441"/>
      <c r="AR1148" s="441"/>
      <c r="AS1148" s="441"/>
      <c r="AT1148" s="441"/>
      <c r="AU1148" s="441"/>
      <c r="AV1148" s="441"/>
      <c r="AW1148" s="441"/>
      <c r="AX1148" s="441"/>
      <c r="AY1148" s="441"/>
      <c r="AZ1148" s="441"/>
      <c r="BA1148" s="441"/>
      <c r="BB1148" s="441"/>
      <c r="BC1148" s="441"/>
      <c r="BD1148" s="441"/>
      <c r="BE1148" s="441"/>
      <c r="BF1148" s="441"/>
    </row>
    <row r="1149">
      <c r="A1149" s="798"/>
      <c r="B1149" s="795"/>
      <c r="C1149" s="795"/>
      <c r="D1149" s="795"/>
      <c r="E1149" s="795"/>
      <c r="F1149" s="795"/>
      <c r="G1149" s="795"/>
      <c r="H1149" s="795"/>
      <c r="I1149" s="796"/>
      <c r="J1149" s="441"/>
      <c r="K1149" s="441"/>
      <c r="L1149" s="797"/>
      <c r="M1149" s="441"/>
      <c r="N1149" s="441"/>
      <c r="O1149" s="441"/>
      <c r="P1149" s="441"/>
      <c r="Q1149" s="441"/>
      <c r="R1149" s="426"/>
      <c r="S1149" s="441"/>
      <c r="T1149" s="441"/>
      <c r="U1149" s="441"/>
      <c r="V1149" s="441"/>
      <c r="W1149" s="441"/>
      <c r="X1149" s="441"/>
      <c r="Y1149" s="441"/>
      <c r="Z1149" s="441"/>
      <c r="AA1149" s="441"/>
      <c r="AB1149" s="441"/>
      <c r="AC1149" s="441"/>
      <c r="AD1149" s="441"/>
      <c r="AE1149" s="441"/>
      <c r="AF1149" s="441"/>
      <c r="AG1149" s="441"/>
      <c r="AH1149" s="441"/>
      <c r="AI1149" s="441"/>
      <c r="AJ1149" s="441"/>
      <c r="AK1149" s="441"/>
      <c r="AL1149" s="441"/>
      <c r="AM1149" s="441"/>
      <c r="AN1149" s="441"/>
      <c r="AO1149" s="441"/>
      <c r="AP1149" s="441"/>
      <c r="AQ1149" s="441"/>
      <c r="AR1149" s="441"/>
      <c r="AS1149" s="441"/>
      <c r="AT1149" s="441"/>
      <c r="AU1149" s="441"/>
      <c r="AV1149" s="441"/>
      <c r="AW1149" s="441"/>
      <c r="AX1149" s="441"/>
      <c r="AY1149" s="441"/>
      <c r="AZ1149" s="441"/>
      <c r="BA1149" s="441"/>
      <c r="BB1149" s="441"/>
      <c r="BC1149" s="441"/>
      <c r="BD1149" s="441"/>
      <c r="BE1149" s="441"/>
      <c r="BF1149" s="441"/>
    </row>
    <row r="1150">
      <c r="A1150" s="798"/>
      <c r="B1150" s="795"/>
      <c r="C1150" s="795"/>
      <c r="D1150" s="795"/>
      <c r="E1150" s="795"/>
      <c r="F1150" s="795"/>
      <c r="G1150" s="795"/>
      <c r="H1150" s="795"/>
      <c r="I1150" s="796"/>
      <c r="J1150" s="441"/>
      <c r="K1150" s="441"/>
      <c r="L1150" s="797"/>
      <c r="M1150" s="441"/>
      <c r="N1150" s="441"/>
      <c r="O1150" s="441"/>
      <c r="P1150" s="441"/>
      <c r="Q1150" s="441"/>
      <c r="R1150" s="426"/>
      <c r="S1150" s="441"/>
      <c r="T1150" s="441"/>
      <c r="U1150" s="441"/>
      <c r="V1150" s="441"/>
      <c r="W1150" s="441"/>
      <c r="X1150" s="441"/>
      <c r="Y1150" s="441"/>
      <c r="Z1150" s="441"/>
      <c r="AA1150" s="441"/>
      <c r="AB1150" s="441"/>
      <c r="AC1150" s="441"/>
      <c r="AD1150" s="441"/>
      <c r="AE1150" s="441"/>
      <c r="AF1150" s="441"/>
      <c r="AG1150" s="441"/>
      <c r="AH1150" s="441"/>
      <c r="AI1150" s="441"/>
      <c r="AJ1150" s="441"/>
      <c r="AK1150" s="441"/>
      <c r="AL1150" s="441"/>
      <c r="AM1150" s="441"/>
      <c r="AN1150" s="441"/>
      <c r="AO1150" s="441"/>
      <c r="AP1150" s="441"/>
      <c r="AQ1150" s="441"/>
      <c r="AR1150" s="441"/>
      <c r="AS1150" s="441"/>
      <c r="AT1150" s="441"/>
      <c r="AU1150" s="441"/>
      <c r="AV1150" s="441"/>
      <c r="AW1150" s="441"/>
      <c r="AX1150" s="441"/>
      <c r="AY1150" s="441"/>
      <c r="AZ1150" s="441"/>
      <c r="BA1150" s="441"/>
      <c r="BB1150" s="441"/>
      <c r="BC1150" s="441"/>
      <c r="BD1150" s="441"/>
      <c r="BE1150" s="441"/>
      <c r="BF1150" s="441"/>
    </row>
    <row r="1151">
      <c r="A1151" s="798"/>
      <c r="B1151" s="795"/>
      <c r="C1151" s="795"/>
      <c r="D1151" s="795"/>
      <c r="E1151" s="795"/>
      <c r="F1151" s="795"/>
      <c r="G1151" s="795"/>
      <c r="H1151" s="795"/>
      <c r="I1151" s="796"/>
      <c r="J1151" s="441"/>
      <c r="K1151" s="441"/>
      <c r="L1151" s="797"/>
      <c r="M1151" s="441"/>
      <c r="N1151" s="441"/>
      <c r="O1151" s="441"/>
      <c r="P1151" s="441"/>
      <c r="Q1151" s="441"/>
      <c r="R1151" s="426"/>
      <c r="S1151" s="441"/>
      <c r="T1151" s="441"/>
      <c r="U1151" s="441"/>
      <c r="V1151" s="441"/>
      <c r="W1151" s="441"/>
      <c r="X1151" s="441"/>
      <c r="Y1151" s="441"/>
      <c r="Z1151" s="441"/>
      <c r="AA1151" s="441"/>
      <c r="AB1151" s="441"/>
      <c r="AC1151" s="441"/>
      <c r="AD1151" s="441"/>
      <c r="AE1151" s="441"/>
      <c r="AF1151" s="441"/>
      <c r="AG1151" s="441"/>
      <c r="AH1151" s="441"/>
      <c r="AI1151" s="441"/>
      <c r="AJ1151" s="441"/>
      <c r="AK1151" s="441"/>
      <c r="AL1151" s="441"/>
      <c r="AM1151" s="441"/>
      <c r="AN1151" s="441"/>
      <c r="AO1151" s="441"/>
      <c r="AP1151" s="441"/>
      <c r="AQ1151" s="441"/>
      <c r="AR1151" s="441"/>
      <c r="AS1151" s="441"/>
      <c r="AT1151" s="441"/>
      <c r="AU1151" s="441"/>
      <c r="AV1151" s="441"/>
      <c r="AW1151" s="441"/>
      <c r="AX1151" s="441"/>
      <c r="AY1151" s="441"/>
      <c r="AZ1151" s="441"/>
      <c r="BA1151" s="441"/>
      <c r="BB1151" s="441"/>
      <c r="BC1151" s="441"/>
      <c r="BD1151" s="441"/>
      <c r="BE1151" s="441"/>
      <c r="BF1151" s="441"/>
    </row>
    <row r="1152">
      <c r="A1152" s="798"/>
      <c r="B1152" s="795"/>
      <c r="C1152" s="795"/>
      <c r="D1152" s="795"/>
      <c r="E1152" s="795"/>
      <c r="F1152" s="795"/>
      <c r="G1152" s="795"/>
      <c r="H1152" s="795"/>
      <c r="I1152" s="796"/>
      <c r="J1152" s="441"/>
      <c r="K1152" s="441"/>
      <c r="L1152" s="797"/>
      <c r="M1152" s="441"/>
      <c r="N1152" s="441"/>
      <c r="O1152" s="441"/>
      <c r="P1152" s="441"/>
      <c r="Q1152" s="441"/>
      <c r="R1152" s="426"/>
      <c r="S1152" s="441"/>
      <c r="T1152" s="441"/>
      <c r="U1152" s="441"/>
      <c r="V1152" s="441"/>
      <c r="W1152" s="441"/>
      <c r="X1152" s="441"/>
      <c r="Y1152" s="441"/>
      <c r="Z1152" s="441"/>
      <c r="AA1152" s="441"/>
      <c r="AB1152" s="441"/>
      <c r="AC1152" s="441"/>
      <c r="AD1152" s="441"/>
      <c r="AE1152" s="441"/>
      <c r="AF1152" s="441"/>
      <c r="AG1152" s="441"/>
      <c r="AH1152" s="441"/>
      <c r="AI1152" s="441"/>
      <c r="AJ1152" s="441"/>
      <c r="AK1152" s="441"/>
      <c r="AL1152" s="441"/>
      <c r="AM1152" s="441"/>
      <c r="AN1152" s="441"/>
      <c r="AO1152" s="441"/>
      <c r="AP1152" s="441"/>
      <c r="AQ1152" s="441"/>
      <c r="AR1152" s="441"/>
      <c r="AS1152" s="441"/>
      <c r="AT1152" s="441"/>
      <c r="AU1152" s="441"/>
      <c r="AV1152" s="441"/>
      <c r="AW1152" s="441"/>
      <c r="AX1152" s="441"/>
      <c r="AY1152" s="441"/>
      <c r="AZ1152" s="441"/>
      <c r="BA1152" s="441"/>
      <c r="BB1152" s="441"/>
      <c r="BC1152" s="441"/>
      <c r="BD1152" s="441"/>
      <c r="BE1152" s="441"/>
      <c r="BF1152" s="441"/>
    </row>
    <row r="1153">
      <c r="A1153" s="798"/>
      <c r="B1153" s="795"/>
      <c r="C1153" s="795"/>
      <c r="D1153" s="795"/>
      <c r="E1153" s="795"/>
      <c r="F1153" s="795"/>
      <c r="G1153" s="795"/>
      <c r="H1153" s="795"/>
      <c r="I1153" s="796"/>
      <c r="J1153" s="441"/>
      <c r="K1153" s="441"/>
      <c r="L1153" s="797"/>
      <c r="M1153" s="441"/>
      <c r="N1153" s="441"/>
      <c r="O1153" s="441"/>
      <c r="P1153" s="441"/>
      <c r="Q1153" s="441"/>
      <c r="R1153" s="426"/>
      <c r="S1153" s="441"/>
      <c r="T1153" s="441"/>
      <c r="U1153" s="441"/>
      <c r="V1153" s="441"/>
      <c r="W1153" s="441"/>
      <c r="X1153" s="441"/>
      <c r="Y1153" s="441"/>
      <c r="Z1153" s="441"/>
      <c r="AA1153" s="441"/>
      <c r="AB1153" s="441"/>
      <c r="AC1153" s="441"/>
      <c r="AD1153" s="441"/>
      <c r="AE1153" s="441"/>
      <c r="AF1153" s="441"/>
      <c r="AG1153" s="441"/>
      <c r="AH1153" s="441"/>
      <c r="AI1153" s="441"/>
      <c r="AJ1153" s="441"/>
      <c r="AK1153" s="441"/>
      <c r="AL1153" s="441"/>
      <c r="AM1153" s="441"/>
      <c r="AN1153" s="441"/>
      <c r="AO1153" s="441"/>
      <c r="AP1153" s="441"/>
      <c r="AQ1153" s="441"/>
      <c r="AR1153" s="441"/>
      <c r="AS1153" s="441"/>
      <c r="AT1153" s="441"/>
      <c r="AU1153" s="441"/>
      <c r="AV1153" s="441"/>
      <c r="AW1153" s="441"/>
      <c r="AX1153" s="441"/>
      <c r="AY1153" s="441"/>
      <c r="AZ1153" s="441"/>
      <c r="BA1153" s="441"/>
      <c r="BB1153" s="441"/>
      <c r="BC1153" s="441"/>
      <c r="BD1153" s="441"/>
      <c r="BE1153" s="441"/>
      <c r="BF1153" s="441"/>
    </row>
    <row r="1154">
      <c r="A1154" s="798"/>
      <c r="B1154" s="795"/>
      <c r="C1154" s="795"/>
      <c r="D1154" s="795"/>
      <c r="E1154" s="795"/>
      <c r="F1154" s="795"/>
      <c r="G1154" s="795"/>
      <c r="H1154" s="795"/>
      <c r="I1154" s="796"/>
      <c r="J1154" s="441"/>
      <c r="K1154" s="441"/>
      <c r="L1154" s="797"/>
      <c r="M1154" s="441"/>
      <c r="N1154" s="441"/>
      <c r="O1154" s="441"/>
      <c r="P1154" s="441"/>
      <c r="Q1154" s="441"/>
      <c r="R1154" s="426"/>
      <c r="S1154" s="441"/>
      <c r="T1154" s="441"/>
      <c r="U1154" s="441"/>
      <c r="V1154" s="441"/>
      <c r="W1154" s="441"/>
      <c r="X1154" s="441"/>
      <c r="Y1154" s="441"/>
      <c r="Z1154" s="441"/>
      <c r="AA1154" s="441"/>
      <c r="AB1154" s="441"/>
      <c r="AC1154" s="441"/>
      <c r="AD1154" s="441"/>
      <c r="AE1154" s="441"/>
      <c r="AF1154" s="441"/>
      <c r="AG1154" s="441"/>
      <c r="AH1154" s="441"/>
      <c r="AI1154" s="441"/>
      <c r="AJ1154" s="441"/>
      <c r="AK1154" s="441"/>
      <c r="AL1154" s="441"/>
      <c r="AM1154" s="441"/>
      <c r="AN1154" s="441"/>
      <c r="AO1154" s="441"/>
      <c r="AP1154" s="441"/>
      <c r="AQ1154" s="441"/>
      <c r="AR1154" s="441"/>
      <c r="AS1154" s="441"/>
      <c r="AT1154" s="441"/>
      <c r="AU1154" s="441"/>
      <c r="AV1154" s="441"/>
      <c r="AW1154" s="441"/>
      <c r="AX1154" s="441"/>
      <c r="AY1154" s="441"/>
      <c r="AZ1154" s="441"/>
      <c r="BA1154" s="441"/>
      <c r="BB1154" s="441"/>
      <c r="BC1154" s="441"/>
      <c r="BD1154" s="441"/>
      <c r="BE1154" s="441"/>
      <c r="BF1154" s="441"/>
    </row>
    <row r="1155">
      <c r="A1155" s="798"/>
      <c r="B1155" s="795"/>
      <c r="C1155" s="795"/>
      <c r="D1155" s="795"/>
      <c r="E1155" s="795"/>
      <c r="F1155" s="795"/>
      <c r="G1155" s="795"/>
      <c r="H1155" s="795"/>
      <c r="I1155" s="796"/>
      <c r="J1155" s="441"/>
      <c r="K1155" s="441"/>
      <c r="L1155" s="797"/>
      <c r="M1155" s="441"/>
      <c r="N1155" s="441"/>
      <c r="O1155" s="441"/>
      <c r="P1155" s="441"/>
      <c r="Q1155" s="441"/>
      <c r="R1155" s="426"/>
      <c r="S1155" s="441"/>
      <c r="T1155" s="441"/>
      <c r="U1155" s="441"/>
      <c r="V1155" s="441"/>
      <c r="W1155" s="441"/>
      <c r="X1155" s="441"/>
      <c r="Y1155" s="441"/>
      <c r="Z1155" s="441"/>
      <c r="AA1155" s="441"/>
      <c r="AB1155" s="441"/>
      <c r="AC1155" s="441"/>
      <c r="AD1155" s="441"/>
      <c r="AE1155" s="441"/>
      <c r="AF1155" s="441"/>
      <c r="AG1155" s="441"/>
      <c r="AH1155" s="441"/>
      <c r="AI1155" s="441"/>
      <c r="AJ1155" s="441"/>
      <c r="AK1155" s="441"/>
      <c r="AL1155" s="441"/>
      <c r="AM1155" s="441"/>
      <c r="AN1155" s="441"/>
      <c r="AO1155" s="441"/>
      <c r="AP1155" s="441"/>
      <c r="AQ1155" s="441"/>
      <c r="AR1155" s="441"/>
      <c r="AS1155" s="441"/>
      <c r="AT1155" s="441"/>
      <c r="AU1155" s="441"/>
      <c r="AV1155" s="441"/>
      <c r="AW1155" s="441"/>
      <c r="AX1155" s="441"/>
      <c r="AY1155" s="441"/>
      <c r="AZ1155" s="441"/>
      <c r="BA1155" s="441"/>
      <c r="BB1155" s="441"/>
      <c r="BC1155" s="441"/>
      <c r="BD1155" s="441"/>
      <c r="BE1155" s="441"/>
      <c r="BF1155" s="441"/>
    </row>
    <row r="1156">
      <c r="A1156" s="798"/>
      <c r="B1156" s="795"/>
      <c r="C1156" s="795"/>
      <c r="D1156" s="795"/>
      <c r="E1156" s="795"/>
      <c r="F1156" s="795"/>
      <c r="G1156" s="795"/>
      <c r="H1156" s="795"/>
      <c r="I1156" s="796"/>
      <c r="J1156" s="441"/>
      <c r="K1156" s="441"/>
      <c r="L1156" s="797"/>
      <c r="M1156" s="441"/>
      <c r="N1156" s="441"/>
      <c r="O1156" s="441"/>
      <c r="P1156" s="441"/>
      <c r="Q1156" s="441"/>
      <c r="R1156" s="426"/>
      <c r="S1156" s="441"/>
      <c r="T1156" s="441"/>
      <c r="U1156" s="441"/>
      <c r="V1156" s="441"/>
      <c r="W1156" s="441"/>
      <c r="X1156" s="441"/>
      <c r="Y1156" s="441"/>
      <c r="Z1156" s="441"/>
      <c r="AA1156" s="441"/>
      <c r="AB1156" s="441"/>
      <c r="AC1156" s="441"/>
      <c r="AD1156" s="441"/>
      <c r="AE1156" s="441"/>
      <c r="AF1156" s="441"/>
      <c r="AG1156" s="441"/>
      <c r="AH1156" s="441"/>
      <c r="AI1156" s="441"/>
      <c r="AJ1156" s="441"/>
      <c r="AK1156" s="441"/>
      <c r="AL1156" s="441"/>
      <c r="AM1156" s="441"/>
      <c r="AN1156" s="441"/>
      <c r="AO1156" s="441"/>
      <c r="AP1156" s="441"/>
      <c r="AQ1156" s="441"/>
      <c r="AR1156" s="441"/>
      <c r="AS1156" s="441"/>
      <c r="AT1156" s="441"/>
      <c r="AU1156" s="441"/>
      <c r="AV1156" s="441"/>
      <c r="AW1156" s="441"/>
      <c r="AX1156" s="441"/>
      <c r="AY1156" s="441"/>
      <c r="AZ1156" s="441"/>
      <c r="BA1156" s="441"/>
      <c r="BB1156" s="441"/>
      <c r="BC1156" s="441"/>
      <c r="BD1156" s="441"/>
      <c r="BE1156" s="441"/>
      <c r="BF1156" s="441"/>
    </row>
    <row r="1157">
      <c r="A1157" s="798"/>
      <c r="B1157" s="795"/>
      <c r="C1157" s="795"/>
      <c r="D1157" s="795"/>
      <c r="E1157" s="795"/>
      <c r="F1157" s="795"/>
      <c r="G1157" s="795"/>
      <c r="H1157" s="795"/>
      <c r="I1157" s="796"/>
      <c r="J1157" s="441"/>
      <c r="K1157" s="441"/>
      <c r="L1157" s="797"/>
      <c r="M1157" s="441"/>
      <c r="N1157" s="441"/>
      <c r="O1157" s="441"/>
      <c r="P1157" s="441"/>
      <c r="Q1157" s="441"/>
      <c r="R1157" s="426"/>
      <c r="S1157" s="441"/>
      <c r="T1157" s="441"/>
      <c r="U1157" s="441"/>
      <c r="V1157" s="441"/>
      <c r="W1157" s="441"/>
      <c r="X1157" s="441"/>
      <c r="Y1157" s="441"/>
      <c r="Z1157" s="441"/>
      <c r="AA1157" s="441"/>
      <c r="AB1157" s="441"/>
      <c r="AC1157" s="441"/>
      <c r="AD1157" s="441"/>
      <c r="AE1157" s="441"/>
      <c r="AF1157" s="441"/>
      <c r="AG1157" s="441"/>
      <c r="AH1157" s="441"/>
      <c r="AI1157" s="441"/>
      <c r="AJ1157" s="441"/>
      <c r="AK1157" s="441"/>
      <c r="AL1157" s="441"/>
      <c r="AM1157" s="441"/>
      <c r="AN1157" s="441"/>
      <c r="AO1157" s="441"/>
      <c r="AP1157" s="441"/>
      <c r="AQ1157" s="441"/>
      <c r="AR1157" s="441"/>
      <c r="AS1157" s="441"/>
      <c r="AT1157" s="441"/>
      <c r="AU1157" s="441"/>
      <c r="AV1157" s="441"/>
      <c r="AW1157" s="441"/>
      <c r="AX1157" s="441"/>
      <c r="AY1157" s="441"/>
      <c r="AZ1157" s="441"/>
      <c r="BA1157" s="441"/>
      <c r="BB1157" s="441"/>
      <c r="BC1157" s="441"/>
      <c r="BD1157" s="441"/>
      <c r="BE1157" s="441"/>
      <c r="BF1157" s="441"/>
    </row>
    <row r="1158">
      <c r="A1158" s="798"/>
      <c r="B1158" s="795"/>
      <c r="C1158" s="795"/>
      <c r="D1158" s="795"/>
      <c r="E1158" s="795"/>
      <c r="F1158" s="795"/>
      <c r="G1158" s="795"/>
      <c r="H1158" s="795"/>
      <c r="I1158" s="796"/>
      <c r="J1158" s="441"/>
      <c r="K1158" s="441"/>
      <c r="L1158" s="797"/>
      <c r="M1158" s="441"/>
      <c r="N1158" s="441"/>
      <c r="O1158" s="441"/>
      <c r="P1158" s="441"/>
      <c r="Q1158" s="441"/>
      <c r="R1158" s="426"/>
      <c r="S1158" s="441"/>
      <c r="T1158" s="441"/>
      <c r="U1158" s="441"/>
      <c r="V1158" s="441"/>
      <c r="W1158" s="441"/>
      <c r="X1158" s="441"/>
      <c r="Y1158" s="441"/>
      <c r="Z1158" s="441"/>
      <c r="AA1158" s="441"/>
      <c r="AB1158" s="441"/>
      <c r="AC1158" s="441"/>
      <c r="AD1158" s="441"/>
      <c r="AE1158" s="441"/>
      <c r="AF1158" s="441"/>
      <c r="AG1158" s="441"/>
      <c r="AH1158" s="441"/>
      <c r="AI1158" s="441"/>
      <c r="AJ1158" s="441"/>
      <c r="AK1158" s="441"/>
      <c r="AL1158" s="441"/>
      <c r="AM1158" s="441"/>
      <c r="AN1158" s="441"/>
      <c r="AO1158" s="441"/>
      <c r="AP1158" s="441"/>
      <c r="AQ1158" s="441"/>
      <c r="AR1158" s="441"/>
      <c r="AS1158" s="441"/>
      <c r="AT1158" s="441"/>
      <c r="AU1158" s="441"/>
      <c r="AV1158" s="441"/>
      <c r="AW1158" s="441"/>
      <c r="AX1158" s="441"/>
      <c r="AY1158" s="441"/>
      <c r="AZ1158" s="441"/>
      <c r="BA1158" s="441"/>
      <c r="BB1158" s="441"/>
      <c r="BC1158" s="441"/>
      <c r="BD1158" s="441"/>
      <c r="BE1158" s="441"/>
      <c r="BF1158" s="441"/>
    </row>
    <row r="1159">
      <c r="A1159" s="798"/>
      <c r="B1159" s="795"/>
      <c r="C1159" s="795"/>
      <c r="D1159" s="795"/>
      <c r="E1159" s="795"/>
      <c r="F1159" s="795"/>
      <c r="G1159" s="795"/>
      <c r="H1159" s="795"/>
      <c r="I1159" s="796"/>
      <c r="J1159" s="441"/>
      <c r="K1159" s="441"/>
      <c r="L1159" s="797"/>
      <c r="M1159" s="441"/>
      <c r="N1159" s="441"/>
      <c r="O1159" s="441"/>
      <c r="P1159" s="441"/>
      <c r="Q1159" s="441"/>
      <c r="R1159" s="426"/>
      <c r="S1159" s="441"/>
      <c r="T1159" s="441"/>
      <c r="U1159" s="441"/>
      <c r="V1159" s="441"/>
      <c r="W1159" s="441"/>
      <c r="X1159" s="441"/>
      <c r="Y1159" s="441"/>
      <c r="Z1159" s="441"/>
      <c r="AA1159" s="441"/>
      <c r="AB1159" s="441"/>
      <c r="AC1159" s="441"/>
      <c r="AD1159" s="441"/>
      <c r="AE1159" s="441"/>
      <c r="AF1159" s="441"/>
      <c r="AG1159" s="441"/>
      <c r="AH1159" s="441"/>
      <c r="AI1159" s="441"/>
      <c r="AJ1159" s="441"/>
      <c r="AK1159" s="441"/>
      <c r="AL1159" s="441"/>
      <c r="AM1159" s="441"/>
      <c r="AN1159" s="441"/>
      <c r="AO1159" s="441"/>
      <c r="AP1159" s="441"/>
      <c r="AQ1159" s="441"/>
      <c r="AR1159" s="441"/>
      <c r="AS1159" s="441"/>
      <c r="AT1159" s="441"/>
      <c r="AU1159" s="441"/>
      <c r="AV1159" s="441"/>
      <c r="AW1159" s="441"/>
      <c r="AX1159" s="441"/>
      <c r="AY1159" s="441"/>
      <c r="AZ1159" s="441"/>
      <c r="BA1159" s="441"/>
      <c r="BB1159" s="441"/>
      <c r="BC1159" s="441"/>
      <c r="BD1159" s="441"/>
      <c r="BE1159" s="441"/>
      <c r="BF1159" s="441"/>
    </row>
    <row r="1160">
      <c r="A1160" s="798"/>
      <c r="B1160" s="795"/>
      <c r="C1160" s="795"/>
      <c r="D1160" s="795"/>
      <c r="E1160" s="795"/>
      <c r="F1160" s="795"/>
      <c r="G1160" s="795"/>
      <c r="H1160" s="795"/>
      <c r="I1160" s="796"/>
      <c r="J1160" s="441"/>
      <c r="K1160" s="441"/>
      <c r="L1160" s="797"/>
      <c r="M1160" s="441"/>
      <c r="N1160" s="441"/>
      <c r="O1160" s="441"/>
      <c r="P1160" s="441"/>
      <c r="Q1160" s="441"/>
      <c r="R1160" s="426"/>
      <c r="S1160" s="441"/>
      <c r="T1160" s="441"/>
      <c r="U1160" s="441"/>
      <c r="V1160" s="441"/>
      <c r="W1160" s="441"/>
      <c r="X1160" s="441"/>
      <c r="Y1160" s="441"/>
      <c r="Z1160" s="441"/>
      <c r="AA1160" s="441"/>
      <c r="AB1160" s="441"/>
      <c r="AC1160" s="441"/>
      <c r="AD1160" s="441"/>
      <c r="AE1160" s="441"/>
      <c r="AF1160" s="441"/>
      <c r="AG1160" s="441"/>
      <c r="AH1160" s="441"/>
      <c r="AI1160" s="441"/>
      <c r="AJ1160" s="441"/>
      <c r="AK1160" s="441"/>
      <c r="AL1160" s="441"/>
      <c r="AM1160" s="441"/>
      <c r="AN1160" s="441"/>
      <c r="AO1160" s="441"/>
      <c r="AP1160" s="441"/>
      <c r="AQ1160" s="441"/>
      <c r="AR1160" s="441"/>
      <c r="AS1160" s="441"/>
      <c r="AT1160" s="441"/>
      <c r="AU1160" s="441"/>
      <c r="AV1160" s="441"/>
      <c r="AW1160" s="441"/>
      <c r="AX1160" s="441"/>
      <c r="AY1160" s="441"/>
      <c r="AZ1160" s="441"/>
      <c r="BA1160" s="441"/>
      <c r="BB1160" s="441"/>
      <c r="BC1160" s="441"/>
      <c r="BD1160" s="441"/>
      <c r="BE1160" s="441"/>
      <c r="BF1160" s="441"/>
    </row>
    <row r="1161">
      <c r="A1161" s="798"/>
      <c r="B1161" s="795"/>
      <c r="C1161" s="795"/>
      <c r="D1161" s="795"/>
      <c r="E1161" s="795"/>
      <c r="F1161" s="795"/>
      <c r="G1161" s="795"/>
      <c r="H1161" s="795"/>
      <c r="I1161" s="796"/>
      <c r="J1161" s="441"/>
      <c r="K1161" s="441"/>
      <c r="L1161" s="797"/>
      <c r="M1161" s="441"/>
      <c r="N1161" s="441"/>
      <c r="O1161" s="441"/>
      <c r="P1161" s="441"/>
      <c r="Q1161" s="441"/>
      <c r="R1161" s="426"/>
      <c r="S1161" s="441"/>
      <c r="T1161" s="441"/>
      <c r="U1161" s="441"/>
      <c r="V1161" s="441"/>
      <c r="W1161" s="441"/>
      <c r="X1161" s="441"/>
      <c r="Y1161" s="441"/>
      <c r="Z1161" s="441"/>
      <c r="AA1161" s="441"/>
      <c r="AB1161" s="441"/>
      <c r="AC1161" s="441"/>
      <c r="AD1161" s="441"/>
      <c r="AE1161" s="441"/>
      <c r="AF1161" s="441"/>
      <c r="AG1161" s="441"/>
      <c r="AH1161" s="441"/>
      <c r="AI1161" s="441"/>
      <c r="AJ1161" s="441"/>
      <c r="AK1161" s="441"/>
      <c r="AL1161" s="441"/>
      <c r="AM1161" s="441"/>
      <c r="AN1161" s="441"/>
      <c r="AO1161" s="441"/>
      <c r="AP1161" s="441"/>
      <c r="AQ1161" s="441"/>
      <c r="AR1161" s="441"/>
      <c r="AS1161" s="441"/>
      <c r="AT1161" s="441"/>
      <c r="AU1161" s="441"/>
      <c r="AV1161" s="441"/>
      <c r="AW1161" s="441"/>
      <c r="AX1161" s="441"/>
      <c r="AY1161" s="441"/>
      <c r="AZ1161" s="441"/>
      <c r="BA1161" s="441"/>
      <c r="BB1161" s="441"/>
      <c r="BC1161" s="441"/>
      <c r="BD1161" s="441"/>
      <c r="BE1161" s="441"/>
      <c r="BF1161" s="441"/>
    </row>
    <row r="1162">
      <c r="A1162" s="798"/>
      <c r="B1162" s="795"/>
      <c r="C1162" s="795"/>
      <c r="D1162" s="795"/>
      <c r="E1162" s="795"/>
      <c r="F1162" s="795"/>
      <c r="G1162" s="795"/>
      <c r="H1162" s="795"/>
      <c r="I1162" s="796"/>
      <c r="J1162" s="441"/>
      <c r="K1162" s="441"/>
      <c r="L1162" s="797"/>
      <c r="M1162" s="441"/>
      <c r="N1162" s="441"/>
      <c r="O1162" s="441"/>
      <c r="P1162" s="441"/>
      <c r="Q1162" s="441"/>
      <c r="R1162" s="426"/>
      <c r="S1162" s="441"/>
      <c r="T1162" s="441"/>
      <c r="U1162" s="441"/>
      <c r="V1162" s="441"/>
      <c r="W1162" s="441"/>
      <c r="X1162" s="441"/>
      <c r="Y1162" s="441"/>
      <c r="Z1162" s="441"/>
      <c r="AA1162" s="441"/>
      <c r="AB1162" s="441"/>
      <c r="AC1162" s="441"/>
      <c r="AD1162" s="441"/>
      <c r="AE1162" s="441"/>
      <c r="AF1162" s="441"/>
      <c r="AG1162" s="441"/>
      <c r="AH1162" s="441"/>
      <c r="AI1162" s="441"/>
      <c r="AJ1162" s="441"/>
      <c r="AK1162" s="441"/>
      <c r="AL1162" s="441"/>
      <c r="AM1162" s="441"/>
      <c r="AN1162" s="441"/>
      <c r="AO1162" s="441"/>
      <c r="AP1162" s="441"/>
      <c r="AQ1162" s="441"/>
      <c r="AR1162" s="441"/>
      <c r="AS1162" s="441"/>
      <c r="AT1162" s="441"/>
      <c r="AU1162" s="441"/>
      <c r="AV1162" s="441"/>
      <c r="AW1162" s="441"/>
      <c r="AX1162" s="441"/>
      <c r="AY1162" s="441"/>
      <c r="AZ1162" s="441"/>
      <c r="BA1162" s="441"/>
      <c r="BB1162" s="441"/>
      <c r="BC1162" s="441"/>
      <c r="BD1162" s="441"/>
      <c r="BE1162" s="441"/>
      <c r="BF1162" s="441"/>
    </row>
    <row r="1163">
      <c r="A1163" s="798"/>
      <c r="B1163" s="795"/>
      <c r="C1163" s="795"/>
      <c r="D1163" s="795"/>
      <c r="E1163" s="795"/>
      <c r="F1163" s="795"/>
      <c r="G1163" s="795"/>
      <c r="H1163" s="795"/>
      <c r="I1163" s="796"/>
      <c r="J1163" s="441"/>
      <c r="K1163" s="441"/>
      <c r="L1163" s="797"/>
      <c r="M1163" s="441"/>
      <c r="N1163" s="441"/>
      <c r="O1163" s="441"/>
      <c r="P1163" s="441"/>
      <c r="Q1163" s="441"/>
      <c r="R1163" s="426"/>
      <c r="S1163" s="441"/>
      <c r="T1163" s="441"/>
      <c r="U1163" s="441"/>
      <c r="V1163" s="441"/>
      <c r="W1163" s="441"/>
      <c r="X1163" s="441"/>
      <c r="Y1163" s="441"/>
      <c r="Z1163" s="441"/>
      <c r="AA1163" s="441"/>
      <c r="AB1163" s="441"/>
      <c r="AC1163" s="441"/>
      <c r="AD1163" s="441"/>
      <c r="AE1163" s="441"/>
      <c r="AF1163" s="441"/>
      <c r="AG1163" s="441"/>
      <c r="AH1163" s="441"/>
      <c r="AI1163" s="441"/>
      <c r="AJ1163" s="441"/>
      <c r="AK1163" s="441"/>
      <c r="AL1163" s="441"/>
      <c r="AM1163" s="441"/>
      <c r="AN1163" s="441"/>
      <c r="AO1163" s="441"/>
      <c r="AP1163" s="441"/>
      <c r="AQ1163" s="441"/>
      <c r="AR1163" s="441"/>
      <c r="AS1163" s="441"/>
      <c r="AT1163" s="441"/>
      <c r="AU1163" s="441"/>
      <c r="AV1163" s="441"/>
      <c r="AW1163" s="441"/>
      <c r="AX1163" s="441"/>
      <c r="AY1163" s="441"/>
      <c r="AZ1163" s="441"/>
      <c r="BA1163" s="441"/>
      <c r="BB1163" s="441"/>
      <c r="BC1163" s="441"/>
      <c r="BD1163" s="441"/>
      <c r="BE1163" s="441"/>
      <c r="BF1163" s="441"/>
    </row>
    <row r="1164">
      <c r="A1164" s="798"/>
      <c r="B1164" s="795"/>
      <c r="C1164" s="795"/>
      <c r="D1164" s="795"/>
      <c r="E1164" s="795"/>
      <c r="F1164" s="795"/>
      <c r="G1164" s="795"/>
      <c r="H1164" s="795"/>
      <c r="I1164" s="796"/>
      <c r="J1164" s="441"/>
      <c r="K1164" s="441"/>
      <c r="L1164" s="797"/>
      <c r="M1164" s="441"/>
      <c r="N1164" s="441"/>
      <c r="O1164" s="441"/>
      <c r="P1164" s="441"/>
      <c r="Q1164" s="441"/>
      <c r="R1164" s="426"/>
      <c r="S1164" s="441"/>
      <c r="T1164" s="441"/>
      <c r="U1164" s="441"/>
      <c r="V1164" s="441"/>
      <c r="W1164" s="441"/>
      <c r="X1164" s="441"/>
      <c r="Y1164" s="441"/>
      <c r="Z1164" s="441"/>
      <c r="AA1164" s="441"/>
      <c r="AB1164" s="441"/>
      <c r="AC1164" s="441"/>
      <c r="AD1164" s="441"/>
      <c r="AE1164" s="441"/>
      <c r="AF1164" s="441"/>
      <c r="AG1164" s="441"/>
      <c r="AH1164" s="441"/>
      <c r="AI1164" s="441"/>
      <c r="AJ1164" s="441"/>
      <c r="AK1164" s="441"/>
      <c r="AL1164" s="441"/>
      <c r="AM1164" s="441"/>
      <c r="AN1164" s="441"/>
      <c r="AO1164" s="441"/>
      <c r="AP1164" s="441"/>
      <c r="AQ1164" s="441"/>
      <c r="AR1164" s="441"/>
      <c r="AS1164" s="441"/>
      <c r="AT1164" s="441"/>
      <c r="AU1164" s="441"/>
      <c r="AV1164" s="441"/>
      <c r="AW1164" s="441"/>
      <c r="AX1164" s="441"/>
      <c r="AY1164" s="441"/>
      <c r="AZ1164" s="441"/>
      <c r="BA1164" s="441"/>
      <c r="BB1164" s="441"/>
      <c r="BC1164" s="441"/>
      <c r="BD1164" s="441"/>
      <c r="BE1164" s="441"/>
      <c r="BF1164" s="441"/>
    </row>
    <row r="1165">
      <c r="A1165" s="798"/>
      <c r="B1165" s="795"/>
      <c r="C1165" s="795"/>
      <c r="D1165" s="795"/>
      <c r="E1165" s="795"/>
      <c r="F1165" s="795"/>
      <c r="G1165" s="795"/>
      <c r="H1165" s="795"/>
      <c r="I1165" s="796"/>
      <c r="J1165" s="441"/>
      <c r="K1165" s="441"/>
      <c r="L1165" s="797"/>
      <c r="M1165" s="441"/>
      <c r="N1165" s="441"/>
      <c r="O1165" s="441"/>
      <c r="P1165" s="441"/>
      <c r="Q1165" s="441"/>
      <c r="R1165" s="426"/>
      <c r="S1165" s="441"/>
      <c r="T1165" s="441"/>
      <c r="U1165" s="441"/>
      <c r="V1165" s="441"/>
      <c r="W1165" s="441"/>
      <c r="X1165" s="441"/>
      <c r="Y1165" s="441"/>
      <c r="Z1165" s="441"/>
      <c r="AA1165" s="441"/>
      <c r="AB1165" s="441"/>
      <c r="AC1165" s="441"/>
      <c r="AD1165" s="441"/>
      <c r="AE1165" s="441"/>
      <c r="AF1165" s="441"/>
      <c r="AG1165" s="441"/>
      <c r="AH1165" s="441"/>
      <c r="AI1165" s="441"/>
      <c r="AJ1165" s="441"/>
      <c r="AK1165" s="441"/>
      <c r="AL1165" s="441"/>
      <c r="AM1165" s="441"/>
      <c r="AN1165" s="441"/>
      <c r="AO1165" s="441"/>
      <c r="AP1165" s="441"/>
      <c r="AQ1165" s="441"/>
      <c r="AR1165" s="441"/>
      <c r="AS1165" s="441"/>
      <c r="AT1165" s="441"/>
      <c r="AU1165" s="441"/>
      <c r="AV1165" s="441"/>
      <c r="AW1165" s="441"/>
      <c r="AX1165" s="441"/>
      <c r="AY1165" s="441"/>
      <c r="AZ1165" s="441"/>
      <c r="BA1165" s="441"/>
      <c r="BB1165" s="441"/>
      <c r="BC1165" s="441"/>
      <c r="BD1165" s="441"/>
      <c r="BE1165" s="441"/>
      <c r="BF1165" s="441"/>
    </row>
    <row r="1166">
      <c r="A1166" s="798"/>
      <c r="B1166" s="795"/>
      <c r="C1166" s="795"/>
      <c r="D1166" s="795"/>
      <c r="E1166" s="795"/>
      <c r="F1166" s="795"/>
      <c r="G1166" s="795"/>
      <c r="H1166" s="795"/>
      <c r="I1166" s="796"/>
      <c r="J1166" s="441"/>
      <c r="K1166" s="441"/>
      <c r="L1166" s="797"/>
      <c r="M1166" s="441"/>
      <c r="N1166" s="441"/>
      <c r="O1166" s="441"/>
      <c r="P1166" s="441"/>
      <c r="Q1166" s="441"/>
      <c r="R1166" s="426"/>
      <c r="S1166" s="441"/>
      <c r="T1166" s="441"/>
      <c r="U1166" s="441"/>
      <c r="V1166" s="441"/>
      <c r="W1166" s="441"/>
      <c r="X1166" s="441"/>
      <c r="Y1166" s="441"/>
      <c r="Z1166" s="441"/>
      <c r="AA1166" s="441"/>
      <c r="AB1166" s="441"/>
      <c r="AC1166" s="441"/>
      <c r="AD1166" s="441"/>
      <c r="AE1166" s="441"/>
      <c r="AF1166" s="441"/>
      <c r="AG1166" s="441"/>
      <c r="AH1166" s="441"/>
      <c r="AI1166" s="441"/>
      <c r="AJ1166" s="441"/>
      <c r="AK1166" s="441"/>
      <c r="AL1166" s="441"/>
      <c r="AM1166" s="441"/>
      <c r="AN1166" s="441"/>
      <c r="AO1166" s="441"/>
      <c r="AP1166" s="441"/>
      <c r="AQ1166" s="441"/>
      <c r="AR1166" s="441"/>
      <c r="AS1166" s="441"/>
      <c r="AT1166" s="441"/>
      <c r="AU1166" s="441"/>
      <c r="AV1166" s="441"/>
      <c r="AW1166" s="441"/>
      <c r="AX1166" s="441"/>
      <c r="AY1166" s="441"/>
      <c r="AZ1166" s="441"/>
      <c r="BA1166" s="441"/>
      <c r="BB1166" s="441"/>
      <c r="BC1166" s="441"/>
      <c r="BD1166" s="441"/>
      <c r="BE1166" s="441"/>
      <c r="BF1166" s="441"/>
    </row>
    <row r="1167">
      <c r="A1167" s="798"/>
      <c r="B1167" s="795"/>
      <c r="C1167" s="795"/>
      <c r="D1167" s="795"/>
      <c r="E1167" s="795"/>
      <c r="F1167" s="795"/>
      <c r="G1167" s="795"/>
      <c r="H1167" s="795"/>
      <c r="I1167" s="796"/>
      <c r="J1167" s="441"/>
      <c r="K1167" s="441"/>
      <c r="L1167" s="797"/>
      <c r="M1167" s="441"/>
      <c r="N1167" s="441"/>
      <c r="O1167" s="441"/>
      <c r="P1167" s="441"/>
      <c r="Q1167" s="441"/>
      <c r="R1167" s="426"/>
      <c r="S1167" s="441"/>
      <c r="T1167" s="441"/>
      <c r="U1167" s="441"/>
      <c r="V1167" s="441"/>
      <c r="W1167" s="441"/>
      <c r="X1167" s="441"/>
      <c r="Y1167" s="441"/>
      <c r="Z1167" s="441"/>
      <c r="AA1167" s="441"/>
      <c r="AB1167" s="441"/>
      <c r="AC1167" s="441"/>
      <c r="AD1167" s="441"/>
      <c r="AE1167" s="441"/>
      <c r="AF1167" s="441"/>
      <c r="AG1167" s="441"/>
      <c r="AH1167" s="441"/>
      <c r="AI1167" s="441"/>
      <c r="AJ1167" s="441"/>
      <c r="AK1167" s="441"/>
      <c r="AL1167" s="441"/>
      <c r="AM1167" s="441"/>
      <c r="AN1167" s="441"/>
      <c r="AO1167" s="441"/>
      <c r="AP1167" s="441"/>
      <c r="AQ1167" s="441"/>
      <c r="AR1167" s="441"/>
      <c r="AS1167" s="441"/>
      <c r="AT1167" s="441"/>
      <c r="AU1167" s="441"/>
      <c r="AV1167" s="441"/>
      <c r="AW1167" s="441"/>
      <c r="AX1167" s="441"/>
      <c r="AY1167" s="441"/>
      <c r="AZ1167" s="441"/>
      <c r="BA1167" s="441"/>
      <c r="BB1167" s="441"/>
      <c r="BC1167" s="441"/>
      <c r="BD1167" s="441"/>
      <c r="BE1167" s="441"/>
      <c r="BF1167" s="441"/>
    </row>
    <row r="1168">
      <c r="A1168" s="798"/>
      <c r="B1168" s="795"/>
      <c r="C1168" s="795"/>
      <c r="D1168" s="795"/>
      <c r="E1168" s="795"/>
      <c r="F1168" s="795"/>
      <c r="G1168" s="795"/>
      <c r="H1168" s="795"/>
      <c r="I1168" s="796"/>
      <c r="J1168" s="441"/>
      <c r="K1168" s="441"/>
      <c r="L1168" s="797"/>
      <c r="M1168" s="441"/>
      <c r="N1168" s="441"/>
      <c r="O1168" s="441"/>
      <c r="P1168" s="441"/>
      <c r="Q1168" s="441"/>
      <c r="R1168" s="426"/>
      <c r="S1168" s="441"/>
      <c r="T1168" s="441"/>
      <c r="U1168" s="441"/>
      <c r="V1168" s="441"/>
      <c r="W1168" s="441"/>
      <c r="X1168" s="441"/>
      <c r="Y1168" s="441"/>
      <c r="Z1168" s="441"/>
      <c r="AA1168" s="441"/>
      <c r="AB1168" s="441"/>
      <c r="AC1168" s="441"/>
      <c r="AD1168" s="441"/>
      <c r="AE1168" s="441"/>
      <c r="AF1168" s="441"/>
      <c r="AG1168" s="441"/>
      <c r="AH1168" s="441"/>
      <c r="AI1168" s="441"/>
      <c r="AJ1168" s="441"/>
      <c r="AK1168" s="441"/>
      <c r="AL1168" s="441"/>
      <c r="AM1168" s="441"/>
      <c r="AN1168" s="441"/>
      <c r="AO1168" s="441"/>
      <c r="AP1168" s="441"/>
      <c r="AQ1168" s="441"/>
      <c r="AR1168" s="441"/>
      <c r="AS1168" s="441"/>
      <c r="AT1168" s="441"/>
      <c r="AU1168" s="441"/>
      <c r="AV1168" s="441"/>
      <c r="AW1168" s="441"/>
      <c r="AX1168" s="441"/>
      <c r="AY1168" s="441"/>
      <c r="AZ1168" s="441"/>
      <c r="BA1168" s="441"/>
      <c r="BB1168" s="441"/>
      <c r="BC1168" s="441"/>
      <c r="BD1168" s="441"/>
      <c r="BE1168" s="441"/>
      <c r="BF1168" s="441"/>
    </row>
    <row r="1169">
      <c r="A1169" s="798"/>
      <c r="B1169" s="795"/>
      <c r="C1169" s="795"/>
      <c r="D1169" s="795"/>
      <c r="E1169" s="795"/>
      <c r="F1169" s="795"/>
      <c r="G1169" s="795"/>
      <c r="H1169" s="795"/>
      <c r="I1169" s="796"/>
      <c r="J1169" s="441"/>
      <c r="K1169" s="441"/>
      <c r="L1169" s="797"/>
      <c r="M1169" s="441"/>
      <c r="N1169" s="441"/>
      <c r="O1169" s="441"/>
      <c r="P1169" s="441"/>
      <c r="Q1169" s="441"/>
      <c r="R1169" s="426"/>
      <c r="S1169" s="441"/>
      <c r="T1169" s="441"/>
      <c r="U1169" s="441"/>
      <c r="V1169" s="441"/>
      <c r="W1169" s="441"/>
      <c r="X1169" s="441"/>
      <c r="Y1169" s="441"/>
      <c r="Z1169" s="441"/>
      <c r="AA1169" s="441"/>
      <c r="AB1169" s="441"/>
      <c r="AC1169" s="441"/>
      <c r="AD1169" s="441"/>
      <c r="AE1169" s="441"/>
      <c r="AF1169" s="441"/>
      <c r="AG1169" s="441"/>
      <c r="AH1169" s="441"/>
      <c r="AI1169" s="441"/>
      <c r="AJ1169" s="441"/>
      <c r="AK1169" s="441"/>
      <c r="AL1169" s="441"/>
      <c r="AM1169" s="441"/>
      <c r="AN1169" s="441"/>
      <c r="AO1169" s="441"/>
      <c r="AP1169" s="441"/>
      <c r="AQ1169" s="441"/>
      <c r="AR1169" s="441"/>
      <c r="AS1169" s="441"/>
      <c r="AT1169" s="441"/>
      <c r="AU1169" s="441"/>
      <c r="AV1169" s="441"/>
      <c r="AW1169" s="441"/>
      <c r="AX1169" s="441"/>
      <c r="AY1169" s="441"/>
      <c r="AZ1169" s="441"/>
      <c r="BA1169" s="441"/>
      <c r="BB1169" s="441"/>
      <c r="BC1169" s="441"/>
      <c r="BD1169" s="441"/>
      <c r="BE1169" s="441"/>
      <c r="BF1169" s="441"/>
    </row>
    <row r="1170">
      <c r="A1170" s="798"/>
      <c r="B1170" s="795"/>
      <c r="C1170" s="795"/>
      <c r="D1170" s="795"/>
      <c r="E1170" s="795"/>
      <c r="F1170" s="795"/>
      <c r="G1170" s="795"/>
      <c r="H1170" s="795"/>
      <c r="I1170" s="796"/>
      <c r="J1170" s="441"/>
      <c r="K1170" s="441"/>
      <c r="L1170" s="797"/>
      <c r="M1170" s="441"/>
      <c r="N1170" s="441"/>
      <c r="O1170" s="441"/>
      <c r="P1170" s="441"/>
      <c r="Q1170" s="441"/>
      <c r="R1170" s="426"/>
      <c r="S1170" s="441"/>
      <c r="T1170" s="441"/>
      <c r="U1170" s="441"/>
      <c r="V1170" s="441"/>
      <c r="W1170" s="441"/>
      <c r="X1170" s="441"/>
      <c r="Y1170" s="441"/>
      <c r="Z1170" s="441"/>
      <c r="AA1170" s="441"/>
      <c r="AB1170" s="441"/>
      <c r="AC1170" s="441"/>
      <c r="AD1170" s="441"/>
      <c r="AE1170" s="441"/>
      <c r="AF1170" s="441"/>
      <c r="AG1170" s="441"/>
      <c r="AH1170" s="441"/>
      <c r="AI1170" s="441"/>
      <c r="AJ1170" s="441"/>
      <c r="AK1170" s="441"/>
      <c r="AL1170" s="441"/>
      <c r="AM1170" s="441"/>
      <c r="AN1170" s="441"/>
      <c r="AO1170" s="441"/>
      <c r="AP1170" s="441"/>
      <c r="AQ1170" s="441"/>
      <c r="AR1170" s="441"/>
      <c r="AS1170" s="441"/>
      <c r="AT1170" s="441"/>
      <c r="AU1170" s="441"/>
      <c r="AV1170" s="441"/>
      <c r="AW1170" s="441"/>
      <c r="AX1170" s="441"/>
      <c r="AY1170" s="441"/>
      <c r="AZ1170" s="441"/>
      <c r="BA1170" s="441"/>
      <c r="BB1170" s="441"/>
      <c r="BC1170" s="441"/>
      <c r="BD1170" s="441"/>
      <c r="BE1170" s="441"/>
      <c r="BF1170" s="441"/>
    </row>
    <row r="1171">
      <c r="A1171" s="798"/>
      <c r="B1171" s="795"/>
      <c r="C1171" s="795"/>
      <c r="D1171" s="795"/>
      <c r="E1171" s="795"/>
      <c r="F1171" s="795"/>
      <c r="G1171" s="795"/>
      <c r="H1171" s="795"/>
      <c r="I1171" s="796"/>
      <c r="J1171" s="441"/>
      <c r="K1171" s="441"/>
      <c r="L1171" s="797"/>
      <c r="M1171" s="441"/>
      <c r="N1171" s="441"/>
      <c r="O1171" s="441"/>
      <c r="P1171" s="441"/>
      <c r="Q1171" s="441"/>
      <c r="R1171" s="426"/>
      <c r="S1171" s="441"/>
      <c r="T1171" s="441"/>
      <c r="U1171" s="441"/>
      <c r="V1171" s="441"/>
      <c r="W1171" s="441"/>
      <c r="X1171" s="441"/>
      <c r="Y1171" s="441"/>
      <c r="Z1171" s="441"/>
      <c r="AA1171" s="441"/>
      <c r="AB1171" s="441"/>
      <c r="AC1171" s="441"/>
      <c r="AD1171" s="441"/>
      <c r="AE1171" s="441"/>
      <c r="AF1171" s="441"/>
      <c r="AG1171" s="441"/>
      <c r="AH1171" s="441"/>
      <c r="AI1171" s="441"/>
      <c r="AJ1171" s="441"/>
      <c r="AK1171" s="441"/>
      <c r="AL1171" s="441"/>
      <c r="AM1171" s="441"/>
      <c r="AN1171" s="441"/>
      <c r="AO1171" s="441"/>
      <c r="AP1171" s="441"/>
      <c r="AQ1171" s="441"/>
      <c r="AR1171" s="441"/>
      <c r="AS1171" s="441"/>
      <c r="AT1171" s="441"/>
      <c r="AU1171" s="441"/>
      <c r="AV1171" s="441"/>
      <c r="AW1171" s="441"/>
      <c r="AX1171" s="441"/>
      <c r="AY1171" s="441"/>
      <c r="AZ1171" s="441"/>
      <c r="BA1171" s="441"/>
      <c r="BB1171" s="441"/>
      <c r="BC1171" s="441"/>
      <c r="BD1171" s="441"/>
      <c r="BE1171" s="441"/>
      <c r="BF1171" s="441"/>
    </row>
    <row r="1172">
      <c r="A1172" s="798"/>
      <c r="B1172" s="795"/>
      <c r="C1172" s="795"/>
      <c r="D1172" s="795"/>
      <c r="E1172" s="795"/>
      <c r="F1172" s="795"/>
      <c r="G1172" s="795"/>
      <c r="H1172" s="795"/>
      <c r="I1172" s="796"/>
      <c r="J1172" s="441"/>
      <c r="K1172" s="441"/>
      <c r="L1172" s="797"/>
      <c r="M1172" s="441"/>
      <c r="N1172" s="441"/>
      <c r="O1172" s="441"/>
      <c r="P1172" s="441"/>
      <c r="Q1172" s="441"/>
      <c r="R1172" s="426"/>
      <c r="S1172" s="441"/>
      <c r="T1172" s="441"/>
      <c r="U1172" s="441"/>
      <c r="V1172" s="441"/>
      <c r="W1172" s="441"/>
      <c r="X1172" s="441"/>
      <c r="Y1172" s="441"/>
      <c r="Z1172" s="441"/>
      <c r="AA1172" s="441"/>
      <c r="AB1172" s="441"/>
      <c r="AC1172" s="441"/>
      <c r="AD1172" s="441"/>
      <c r="AE1172" s="441"/>
      <c r="AF1172" s="441"/>
      <c r="AG1172" s="441"/>
      <c r="AH1172" s="441"/>
      <c r="AI1172" s="441"/>
      <c r="AJ1172" s="441"/>
      <c r="AK1172" s="441"/>
      <c r="AL1172" s="441"/>
      <c r="AM1172" s="441"/>
      <c r="AN1172" s="441"/>
      <c r="AO1172" s="441"/>
      <c r="AP1172" s="441"/>
      <c r="AQ1172" s="441"/>
      <c r="AR1172" s="441"/>
      <c r="AS1172" s="441"/>
      <c r="AT1172" s="441"/>
      <c r="AU1172" s="441"/>
      <c r="AV1172" s="441"/>
      <c r="AW1172" s="441"/>
      <c r="AX1172" s="441"/>
      <c r="AY1172" s="441"/>
      <c r="AZ1172" s="441"/>
      <c r="BA1172" s="441"/>
      <c r="BB1172" s="441"/>
      <c r="BC1172" s="441"/>
      <c r="BD1172" s="441"/>
      <c r="BE1172" s="441"/>
      <c r="BF1172" s="441"/>
    </row>
    <row r="1173">
      <c r="A1173" s="798"/>
      <c r="B1173" s="795"/>
      <c r="C1173" s="795"/>
      <c r="D1173" s="795"/>
      <c r="E1173" s="795"/>
      <c r="F1173" s="795"/>
      <c r="G1173" s="795"/>
      <c r="H1173" s="795"/>
      <c r="I1173" s="796"/>
      <c r="J1173" s="441"/>
      <c r="K1173" s="441"/>
      <c r="L1173" s="797"/>
      <c r="M1173" s="441"/>
      <c r="N1173" s="441"/>
      <c r="O1173" s="441"/>
      <c r="P1173" s="441"/>
      <c r="Q1173" s="441"/>
      <c r="R1173" s="426"/>
      <c r="S1173" s="441"/>
      <c r="T1173" s="441"/>
      <c r="U1173" s="441"/>
      <c r="V1173" s="441"/>
      <c r="W1173" s="441"/>
      <c r="X1173" s="441"/>
      <c r="Y1173" s="441"/>
      <c r="Z1173" s="441"/>
      <c r="AA1173" s="441"/>
      <c r="AB1173" s="441"/>
      <c r="AC1173" s="441"/>
      <c r="AD1173" s="441"/>
      <c r="AE1173" s="441"/>
      <c r="AF1173" s="441"/>
      <c r="AG1173" s="441"/>
      <c r="AH1173" s="441"/>
      <c r="AI1173" s="441"/>
      <c r="AJ1173" s="441"/>
      <c r="AK1173" s="441"/>
      <c r="AL1173" s="441"/>
      <c r="AM1173" s="441"/>
      <c r="AN1173" s="441"/>
      <c r="AO1173" s="441"/>
      <c r="AP1173" s="441"/>
      <c r="AQ1173" s="441"/>
      <c r="AR1173" s="441"/>
      <c r="AS1173" s="441"/>
      <c r="AT1173" s="441"/>
      <c r="AU1173" s="441"/>
      <c r="AV1173" s="441"/>
      <c r="AW1173" s="441"/>
      <c r="AX1173" s="441"/>
      <c r="AY1173" s="441"/>
      <c r="AZ1173" s="441"/>
      <c r="BA1173" s="441"/>
      <c r="BB1173" s="441"/>
      <c r="BC1173" s="441"/>
      <c r="BD1173" s="441"/>
      <c r="BE1173" s="441"/>
      <c r="BF1173" s="441"/>
    </row>
    <row r="1174">
      <c r="A1174" s="798"/>
      <c r="B1174" s="795"/>
      <c r="C1174" s="795"/>
      <c r="D1174" s="795"/>
      <c r="E1174" s="795"/>
      <c r="F1174" s="795"/>
      <c r="G1174" s="795"/>
      <c r="H1174" s="795"/>
      <c r="I1174" s="796"/>
      <c r="J1174" s="441"/>
      <c r="K1174" s="441"/>
      <c r="L1174" s="797"/>
      <c r="M1174" s="441"/>
      <c r="N1174" s="441"/>
      <c r="O1174" s="441"/>
      <c r="P1174" s="441"/>
      <c r="Q1174" s="441"/>
      <c r="R1174" s="426"/>
      <c r="S1174" s="441"/>
      <c r="T1174" s="441"/>
      <c r="U1174" s="441"/>
      <c r="V1174" s="441"/>
      <c r="W1174" s="441"/>
      <c r="X1174" s="441"/>
      <c r="Y1174" s="441"/>
      <c r="Z1174" s="441"/>
      <c r="AA1174" s="441"/>
      <c r="AB1174" s="441"/>
      <c r="AC1174" s="441"/>
      <c r="AD1174" s="441"/>
      <c r="AE1174" s="441"/>
      <c r="AF1174" s="441"/>
      <c r="AG1174" s="441"/>
      <c r="AH1174" s="441"/>
      <c r="AI1174" s="441"/>
      <c r="AJ1174" s="441"/>
      <c r="AK1174" s="441"/>
      <c r="AL1174" s="441"/>
      <c r="AM1174" s="441"/>
      <c r="AN1174" s="441"/>
      <c r="AO1174" s="441"/>
      <c r="AP1174" s="441"/>
      <c r="AQ1174" s="441"/>
      <c r="AR1174" s="441"/>
      <c r="AS1174" s="441"/>
      <c r="AT1174" s="441"/>
      <c r="AU1174" s="441"/>
      <c r="AV1174" s="441"/>
      <c r="AW1174" s="441"/>
      <c r="AX1174" s="441"/>
      <c r="AY1174" s="441"/>
      <c r="AZ1174" s="441"/>
      <c r="BA1174" s="441"/>
      <c r="BB1174" s="441"/>
      <c r="BC1174" s="441"/>
      <c r="BD1174" s="441"/>
      <c r="BE1174" s="441"/>
      <c r="BF1174" s="441"/>
    </row>
    <row r="1175">
      <c r="A1175" s="798"/>
      <c r="B1175" s="795"/>
      <c r="C1175" s="795"/>
      <c r="D1175" s="795"/>
      <c r="E1175" s="795"/>
      <c r="F1175" s="795"/>
      <c r="G1175" s="795"/>
      <c r="H1175" s="795"/>
      <c r="I1175" s="796"/>
      <c r="J1175" s="441"/>
      <c r="K1175" s="441"/>
      <c r="L1175" s="797"/>
      <c r="M1175" s="441"/>
      <c r="N1175" s="441"/>
      <c r="O1175" s="441"/>
      <c r="P1175" s="441"/>
      <c r="Q1175" s="441"/>
      <c r="R1175" s="426"/>
      <c r="S1175" s="441"/>
      <c r="T1175" s="441"/>
      <c r="U1175" s="441"/>
      <c r="V1175" s="441"/>
      <c r="W1175" s="441"/>
      <c r="X1175" s="441"/>
      <c r="Y1175" s="441"/>
      <c r="Z1175" s="441"/>
      <c r="AA1175" s="441"/>
      <c r="AB1175" s="441"/>
      <c r="AC1175" s="441"/>
      <c r="AD1175" s="441"/>
      <c r="AE1175" s="441"/>
      <c r="AF1175" s="441"/>
      <c r="AG1175" s="441"/>
      <c r="AH1175" s="441"/>
      <c r="AI1175" s="441"/>
      <c r="AJ1175" s="441"/>
      <c r="AK1175" s="441"/>
      <c r="AL1175" s="441"/>
      <c r="AM1175" s="441"/>
      <c r="AN1175" s="441"/>
      <c r="AO1175" s="441"/>
      <c r="AP1175" s="441"/>
      <c r="AQ1175" s="441"/>
      <c r="AR1175" s="441"/>
      <c r="AS1175" s="441"/>
      <c r="AT1175" s="441"/>
      <c r="AU1175" s="441"/>
      <c r="AV1175" s="441"/>
      <c r="AW1175" s="441"/>
      <c r="AX1175" s="441"/>
      <c r="AY1175" s="441"/>
      <c r="AZ1175" s="441"/>
      <c r="BA1175" s="441"/>
      <c r="BB1175" s="441"/>
      <c r="BC1175" s="441"/>
      <c r="BD1175" s="441"/>
      <c r="BE1175" s="441"/>
      <c r="BF1175" s="441"/>
    </row>
    <row r="1176">
      <c r="A1176" s="798"/>
      <c r="B1176" s="795"/>
      <c r="C1176" s="795"/>
      <c r="D1176" s="795"/>
      <c r="E1176" s="795"/>
      <c r="F1176" s="795"/>
      <c r="G1176" s="795"/>
      <c r="H1176" s="795"/>
      <c r="I1176" s="796"/>
      <c r="J1176" s="441"/>
      <c r="K1176" s="441"/>
      <c r="L1176" s="797"/>
      <c r="M1176" s="441"/>
      <c r="N1176" s="441"/>
      <c r="O1176" s="441"/>
      <c r="P1176" s="441"/>
      <c r="Q1176" s="441"/>
      <c r="R1176" s="426"/>
      <c r="S1176" s="441"/>
      <c r="T1176" s="441"/>
      <c r="U1176" s="441"/>
      <c r="V1176" s="441"/>
      <c r="W1176" s="441"/>
      <c r="X1176" s="441"/>
      <c r="Y1176" s="441"/>
      <c r="Z1176" s="441"/>
      <c r="AA1176" s="441"/>
      <c r="AB1176" s="441"/>
      <c r="AC1176" s="441"/>
      <c r="AD1176" s="441"/>
      <c r="AE1176" s="441"/>
      <c r="AF1176" s="441"/>
      <c r="AG1176" s="441"/>
      <c r="AH1176" s="441"/>
      <c r="AI1176" s="441"/>
      <c r="AJ1176" s="441"/>
      <c r="AK1176" s="441"/>
      <c r="AL1176" s="441"/>
      <c r="AM1176" s="441"/>
      <c r="AN1176" s="441"/>
      <c r="AO1176" s="441"/>
      <c r="AP1176" s="441"/>
      <c r="AQ1176" s="441"/>
      <c r="AR1176" s="441"/>
      <c r="AS1176" s="441"/>
      <c r="AT1176" s="441"/>
      <c r="AU1176" s="441"/>
      <c r="AV1176" s="441"/>
      <c r="AW1176" s="441"/>
      <c r="AX1176" s="441"/>
      <c r="AY1176" s="441"/>
      <c r="AZ1176" s="441"/>
      <c r="BA1176" s="441"/>
      <c r="BB1176" s="441"/>
      <c r="BC1176" s="441"/>
      <c r="BD1176" s="441"/>
      <c r="BE1176" s="441"/>
      <c r="BF1176" s="441"/>
    </row>
    <row r="1177">
      <c r="A1177" s="798"/>
      <c r="B1177" s="795"/>
      <c r="C1177" s="795"/>
      <c r="D1177" s="795"/>
      <c r="E1177" s="795"/>
      <c r="F1177" s="795"/>
      <c r="G1177" s="795"/>
      <c r="H1177" s="795"/>
      <c r="I1177" s="796"/>
      <c r="J1177" s="441"/>
      <c r="K1177" s="441"/>
      <c r="L1177" s="797"/>
      <c r="M1177" s="441"/>
      <c r="N1177" s="441"/>
      <c r="O1177" s="441"/>
      <c r="P1177" s="441"/>
      <c r="Q1177" s="441"/>
      <c r="R1177" s="426"/>
      <c r="S1177" s="441"/>
      <c r="T1177" s="441"/>
      <c r="U1177" s="441"/>
      <c r="V1177" s="441"/>
      <c r="W1177" s="441"/>
      <c r="X1177" s="441"/>
      <c r="Y1177" s="441"/>
      <c r="Z1177" s="441"/>
      <c r="AA1177" s="441"/>
      <c r="AB1177" s="441"/>
      <c r="AC1177" s="441"/>
      <c r="AD1177" s="441"/>
      <c r="AE1177" s="441"/>
      <c r="AF1177" s="441"/>
      <c r="AG1177" s="441"/>
      <c r="AH1177" s="441"/>
      <c r="AI1177" s="441"/>
      <c r="AJ1177" s="441"/>
      <c r="AK1177" s="441"/>
      <c r="AL1177" s="441"/>
      <c r="AM1177" s="441"/>
      <c r="AN1177" s="441"/>
      <c r="AO1177" s="441"/>
      <c r="AP1177" s="441"/>
      <c r="AQ1177" s="441"/>
      <c r="AR1177" s="441"/>
      <c r="AS1177" s="441"/>
      <c r="AT1177" s="441"/>
      <c r="AU1177" s="441"/>
      <c r="AV1177" s="441"/>
      <c r="AW1177" s="441"/>
      <c r="AX1177" s="441"/>
      <c r="AY1177" s="441"/>
      <c r="AZ1177" s="441"/>
      <c r="BA1177" s="441"/>
      <c r="BB1177" s="441"/>
      <c r="BC1177" s="441"/>
      <c r="BD1177" s="441"/>
      <c r="BE1177" s="441"/>
      <c r="BF1177" s="441"/>
    </row>
    <row r="1178">
      <c r="A1178" s="798"/>
      <c r="B1178" s="795"/>
      <c r="C1178" s="795"/>
      <c r="D1178" s="795"/>
      <c r="E1178" s="795"/>
      <c r="F1178" s="795"/>
      <c r="G1178" s="795"/>
      <c r="H1178" s="795"/>
      <c r="I1178" s="796"/>
      <c r="J1178" s="441"/>
      <c r="K1178" s="441"/>
      <c r="L1178" s="797"/>
      <c r="M1178" s="441"/>
      <c r="N1178" s="441"/>
      <c r="O1178" s="441"/>
      <c r="P1178" s="441"/>
      <c r="Q1178" s="441"/>
      <c r="R1178" s="426"/>
      <c r="S1178" s="441"/>
      <c r="T1178" s="441"/>
      <c r="U1178" s="441"/>
      <c r="V1178" s="441"/>
      <c r="W1178" s="441"/>
      <c r="X1178" s="441"/>
      <c r="Y1178" s="441"/>
      <c r="Z1178" s="441"/>
      <c r="AA1178" s="441"/>
      <c r="AB1178" s="441"/>
      <c r="AC1178" s="441"/>
      <c r="AD1178" s="441"/>
      <c r="AE1178" s="441"/>
      <c r="AF1178" s="441"/>
      <c r="AG1178" s="441"/>
      <c r="AH1178" s="441"/>
      <c r="AI1178" s="441"/>
      <c r="AJ1178" s="441"/>
      <c r="AK1178" s="441"/>
      <c r="AL1178" s="441"/>
      <c r="AM1178" s="441"/>
      <c r="AN1178" s="441"/>
      <c r="AO1178" s="441"/>
      <c r="AP1178" s="441"/>
      <c r="AQ1178" s="441"/>
      <c r="AR1178" s="441"/>
      <c r="AS1178" s="441"/>
      <c r="AT1178" s="441"/>
      <c r="AU1178" s="441"/>
      <c r="AV1178" s="441"/>
      <c r="AW1178" s="441"/>
      <c r="AX1178" s="441"/>
      <c r="AY1178" s="441"/>
      <c r="AZ1178" s="441"/>
      <c r="BA1178" s="441"/>
      <c r="BB1178" s="441"/>
      <c r="BC1178" s="441"/>
      <c r="BD1178" s="441"/>
      <c r="BE1178" s="441"/>
      <c r="BF1178" s="441"/>
    </row>
    <row r="1179">
      <c r="A1179" s="798"/>
      <c r="B1179" s="795"/>
      <c r="C1179" s="795"/>
      <c r="D1179" s="795"/>
      <c r="E1179" s="795"/>
      <c r="F1179" s="795"/>
      <c r="G1179" s="795"/>
      <c r="H1179" s="795"/>
      <c r="I1179" s="796"/>
      <c r="J1179" s="441"/>
      <c r="K1179" s="441"/>
      <c r="L1179" s="797"/>
      <c r="M1179" s="441"/>
      <c r="N1179" s="441"/>
      <c r="O1179" s="441"/>
      <c r="P1179" s="441"/>
      <c r="Q1179" s="441"/>
      <c r="R1179" s="426"/>
      <c r="S1179" s="441"/>
      <c r="T1179" s="441"/>
      <c r="U1179" s="441"/>
      <c r="V1179" s="441"/>
      <c r="W1179" s="441"/>
      <c r="X1179" s="441"/>
      <c r="Y1179" s="441"/>
      <c r="Z1179" s="441"/>
      <c r="AA1179" s="441"/>
      <c r="AB1179" s="441"/>
      <c r="AC1179" s="441"/>
      <c r="AD1179" s="441"/>
      <c r="AE1179" s="441"/>
      <c r="AF1179" s="441"/>
      <c r="AG1179" s="441"/>
      <c r="AH1179" s="441"/>
      <c r="AI1179" s="441"/>
      <c r="AJ1179" s="441"/>
      <c r="AK1179" s="441"/>
      <c r="AL1179" s="441"/>
      <c r="AM1179" s="441"/>
      <c r="AN1179" s="441"/>
      <c r="AO1179" s="441"/>
      <c r="AP1179" s="441"/>
      <c r="AQ1179" s="441"/>
      <c r="AR1179" s="441"/>
      <c r="AS1179" s="441"/>
      <c r="AT1179" s="441"/>
      <c r="AU1179" s="441"/>
      <c r="AV1179" s="441"/>
      <c r="AW1179" s="441"/>
      <c r="AX1179" s="441"/>
      <c r="AY1179" s="441"/>
      <c r="AZ1179" s="441"/>
      <c r="BA1179" s="441"/>
      <c r="BB1179" s="441"/>
      <c r="BC1179" s="441"/>
      <c r="BD1179" s="441"/>
      <c r="BE1179" s="441"/>
      <c r="BF1179" s="441"/>
    </row>
    <row r="1180">
      <c r="A1180" s="798"/>
      <c r="B1180" s="795"/>
      <c r="C1180" s="795"/>
      <c r="D1180" s="795"/>
      <c r="E1180" s="795"/>
      <c r="F1180" s="795"/>
      <c r="G1180" s="795"/>
      <c r="H1180" s="795"/>
      <c r="I1180" s="796"/>
      <c r="J1180" s="441"/>
      <c r="K1180" s="441"/>
      <c r="L1180" s="797"/>
      <c r="M1180" s="441"/>
      <c r="N1180" s="441"/>
      <c r="O1180" s="441"/>
      <c r="P1180" s="441"/>
      <c r="Q1180" s="441"/>
      <c r="R1180" s="426"/>
      <c r="S1180" s="441"/>
      <c r="T1180" s="441"/>
      <c r="U1180" s="441"/>
      <c r="V1180" s="441"/>
      <c r="W1180" s="441"/>
      <c r="X1180" s="441"/>
      <c r="Y1180" s="441"/>
      <c r="Z1180" s="441"/>
      <c r="AA1180" s="441"/>
      <c r="AB1180" s="441"/>
      <c r="AC1180" s="441"/>
      <c r="AD1180" s="441"/>
      <c r="AE1180" s="441"/>
      <c r="AF1180" s="441"/>
      <c r="AG1180" s="441"/>
      <c r="AH1180" s="441"/>
      <c r="AI1180" s="441"/>
      <c r="AJ1180" s="441"/>
      <c r="AK1180" s="441"/>
      <c r="AL1180" s="441"/>
      <c r="AM1180" s="441"/>
      <c r="AN1180" s="441"/>
      <c r="AO1180" s="441"/>
      <c r="AP1180" s="441"/>
      <c r="AQ1180" s="441"/>
      <c r="AR1180" s="441"/>
      <c r="AS1180" s="441"/>
      <c r="AT1180" s="441"/>
      <c r="AU1180" s="441"/>
      <c r="AV1180" s="441"/>
      <c r="AW1180" s="441"/>
      <c r="AX1180" s="441"/>
      <c r="AY1180" s="441"/>
      <c r="AZ1180" s="441"/>
      <c r="BA1180" s="441"/>
      <c r="BB1180" s="441"/>
      <c r="BC1180" s="441"/>
      <c r="BD1180" s="441"/>
      <c r="BE1180" s="441"/>
      <c r="BF1180" s="441"/>
    </row>
    <row r="1181">
      <c r="A1181" s="798"/>
      <c r="B1181" s="795"/>
      <c r="C1181" s="795"/>
      <c r="D1181" s="795"/>
      <c r="E1181" s="795"/>
      <c r="F1181" s="795"/>
      <c r="G1181" s="795"/>
      <c r="H1181" s="795"/>
      <c r="I1181" s="796"/>
      <c r="J1181" s="441"/>
      <c r="K1181" s="441"/>
      <c r="L1181" s="797"/>
      <c r="M1181" s="441"/>
      <c r="N1181" s="441"/>
      <c r="O1181" s="441"/>
      <c r="P1181" s="441"/>
      <c r="Q1181" s="441"/>
      <c r="R1181" s="426"/>
      <c r="S1181" s="441"/>
      <c r="T1181" s="441"/>
      <c r="U1181" s="441"/>
      <c r="V1181" s="441"/>
      <c r="W1181" s="441"/>
      <c r="X1181" s="441"/>
      <c r="Y1181" s="441"/>
      <c r="Z1181" s="441"/>
      <c r="AA1181" s="441"/>
      <c r="AB1181" s="441"/>
      <c r="AC1181" s="441"/>
      <c r="AD1181" s="441"/>
      <c r="AE1181" s="441"/>
      <c r="AF1181" s="441"/>
      <c r="AG1181" s="441"/>
      <c r="AH1181" s="441"/>
      <c r="AI1181" s="441"/>
      <c r="AJ1181" s="441"/>
      <c r="AK1181" s="441"/>
      <c r="AL1181" s="441"/>
      <c r="AM1181" s="441"/>
      <c r="AN1181" s="441"/>
      <c r="AO1181" s="441"/>
      <c r="AP1181" s="441"/>
      <c r="AQ1181" s="441"/>
      <c r="AR1181" s="441"/>
      <c r="AS1181" s="441"/>
      <c r="AT1181" s="441"/>
      <c r="AU1181" s="441"/>
      <c r="AV1181" s="441"/>
      <c r="AW1181" s="441"/>
      <c r="AX1181" s="441"/>
      <c r="AY1181" s="441"/>
      <c r="AZ1181" s="441"/>
      <c r="BA1181" s="441"/>
      <c r="BB1181" s="441"/>
      <c r="BC1181" s="441"/>
      <c r="BD1181" s="441"/>
      <c r="BE1181" s="441"/>
      <c r="BF1181" s="441"/>
    </row>
    <row r="1182">
      <c r="A1182" s="798"/>
      <c r="B1182" s="795"/>
      <c r="C1182" s="795"/>
      <c r="D1182" s="795"/>
      <c r="E1182" s="795"/>
      <c r="F1182" s="795"/>
      <c r="G1182" s="795"/>
      <c r="H1182" s="795"/>
      <c r="I1182" s="796"/>
      <c r="J1182" s="441"/>
      <c r="K1182" s="441"/>
      <c r="L1182" s="797"/>
      <c r="M1182" s="441"/>
      <c r="N1182" s="441"/>
      <c r="O1182" s="441"/>
      <c r="P1182" s="441"/>
      <c r="Q1182" s="441"/>
      <c r="R1182" s="426"/>
      <c r="S1182" s="441"/>
      <c r="T1182" s="441"/>
      <c r="U1182" s="441"/>
      <c r="V1182" s="441"/>
      <c r="W1182" s="441"/>
      <c r="X1182" s="441"/>
      <c r="Y1182" s="441"/>
      <c r="Z1182" s="441"/>
      <c r="AA1182" s="441"/>
      <c r="AB1182" s="441"/>
      <c r="AC1182" s="441"/>
      <c r="AD1182" s="441"/>
      <c r="AE1182" s="441"/>
      <c r="AF1182" s="441"/>
      <c r="AG1182" s="441"/>
      <c r="AH1182" s="441"/>
      <c r="AI1182" s="441"/>
      <c r="AJ1182" s="441"/>
      <c r="AK1182" s="441"/>
      <c r="AL1182" s="441"/>
      <c r="AM1182" s="441"/>
      <c r="AN1182" s="441"/>
      <c r="AO1182" s="441"/>
      <c r="AP1182" s="441"/>
      <c r="AQ1182" s="441"/>
      <c r="AR1182" s="441"/>
      <c r="AS1182" s="441"/>
      <c r="AT1182" s="441"/>
      <c r="AU1182" s="441"/>
      <c r="AV1182" s="441"/>
      <c r="AW1182" s="441"/>
      <c r="AX1182" s="441"/>
      <c r="AY1182" s="441"/>
      <c r="AZ1182" s="441"/>
      <c r="BA1182" s="441"/>
      <c r="BB1182" s="441"/>
      <c r="BC1182" s="441"/>
      <c r="BD1182" s="441"/>
      <c r="BE1182" s="441"/>
      <c r="BF1182" s="441"/>
    </row>
    <row r="1183">
      <c r="A1183" s="798"/>
      <c r="B1183" s="795"/>
      <c r="C1183" s="795"/>
      <c r="D1183" s="795"/>
      <c r="E1183" s="795"/>
      <c r="F1183" s="795"/>
      <c r="G1183" s="795"/>
      <c r="H1183" s="795"/>
      <c r="I1183" s="796"/>
      <c r="J1183" s="441"/>
      <c r="K1183" s="441"/>
      <c r="L1183" s="797"/>
      <c r="M1183" s="441"/>
      <c r="N1183" s="441"/>
      <c r="O1183" s="441"/>
      <c r="P1183" s="441"/>
      <c r="Q1183" s="441"/>
      <c r="R1183" s="426"/>
      <c r="S1183" s="441"/>
      <c r="T1183" s="441"/>
      <c r="U1183" s="441"/>
      <c r="V1183" s="441"/>
      <c r="W1183" s="441"/>
      <c r="X1183" s="441"/>
      <c r="Y1183" s="441"/>
      <c r="Z1183" s="441"/>
      <c r="AA1183" s="441"/>
      <c r="AB1183" s="441"/>
      <c r="AC1183" s="441"/>
      <c r="AD1183" s="441"/>
      <c r="AE1183" s="441"/>
      <c r="AF1183" s="441"/>
      <c r="AG1183" s="441"/>
      <c r="AH1183" s="441"/>
      <c r="AI1183" s="441"/>
      <c r="AJ1183" s="441"/>
      <c r="AK1183" s="441"/>
      <c r="AL1183" s="441"/>
      <c r="AM1183" s="441"/>
      <c r="AN1183" s="441"/>
      <c r="AO1183" s="441"/>
      <c r="AP1183" s="441"/>
      <c r="AQ1183" s="441"/>
      <c r="AR1183" s="441"/>
      <c r="AS1183" s="441"/>
      <c r="AT1183" s="441"/>
      <c r="AU1183" s="441"/>
      <c r="AV1183" s="441"/>
      <c r="AW1183" s="441"/>
      <c r="AX1183" s="441"/>
      <c r="AY1183" s="441"/>
      <c r="AZ1183" s="441"/>
      <c r="BA1183" s="441"/>
      <c r="BB1183" s="441"/>
      <c r="BC1183" s="441"/>
      <c r="BD1183" s="441"/>
      <c r="BE1183" s="441"/>
      <c r="BF1183" s="441"/>
    </row>
    <row r="1184">
      <c r="A1184" s="798"/>
      <c r="B1184" s="795"/>
      <c r="C1184" s="795"/>
      <c r="D1184" s="795"/>
      <c r="E1184" s="795"/>
      <c r="F1184" s="795"/>
      <c r="G1184" s="795"/>
      <c r="H1184" s="795"/>
      <c r="I1184" s="796"/>
      <c r="J1184" s="441"/>
      <c r="K1184" s="441"/>
      <c r="L1184" s="797"/>
      <c r="M1184" s="441"/>
      <c r="N1184" s="441"/>
      <c r="O1184" s="441"/>
      <c r="P1184" s="441"/>
      <c r="Q1184" s="441"/>
      <c r="R1184" s="426"/>
      <c r="S1184" s="441"/>
      <c r="T1184" s="441"/>
      <c r="U1184" s="441"/>
      <c r="V1184" s="441"/>
      <c r="W1184" s="441"/>
      <c r="X1184" s="441"/>
      <c r="Y1184" s="441"/>
      <c r="Z1184" s="441"/>
      <c r="AA1184" s="441"/>
      <c r="AB1184" s="441"/>
      <c r="AC1184" s="441"/>
      <c r="AD1184" s="441"/>
      <c r="AE1184" s="441"/>
      <c r="AF1184" s="441"/>
      <c r="AG1184" s="441"/>
      <c r="AH1184" s="441"/>
      <c r="AI1184" s="441"/>
      <c r="AJ1184" s="441"/>
      <c r="AK1184" s="441"/>
      <c r="AL1184" s="441"/>
      <c r="AM1184" s="441"/>
      <c r="AN1184" s="441"/>
      <c r="AO1184" s="441"/>
      <c r="AP1184" s="441"/>
      <c r="AQ1184" s="441"/>
      <c r="AR1184" s="441"/>
      <c r="AS1184" s="441"/>
      <c r="AT1184" s="441"/>
      <c r="AU1184" s="441"/>
      <c r="AV1184" s="441"/>
      <c r="AW1184" s="441"/>
      <c r="AX1184" s="441"/>
      <c r="AY1184" s="441"/>
      <c r="AZ1184" s="441"/>
      <c r="BA1184" s="441"/>
      <c r="BB1184" s="441"/>
      <c r="BC1184" s="441"/>
      <c r="BD1184" s="441"/>
      <c r="BE1184" s="441"/>
      <c r="BF1184" s="441"/>
    </row>
    <row r="1185">
      <c r="A1185" s="798"/>
      <c r="B1185" s="795"/>
      <c r="C1185" s="795"/>
      <c r="D1185" s="795"/>
      <c r="E1185" s="795"/>
      <c r="F1185" s="795"/>
      <c r="G1185" s="795"/>
      <c r="H1185" s="795"/>
      <c r="I1185" s="796"/>
      <c r="J1185" s="441"/>
      <c r="K1185" s="441"/>
      <c r="L1185" s="797"/>
      <c r="M1185" s="441"/>
      <c r="N1185" s="441"/>
      <c r="O1185" s="441"/>
      <c r="P1185" s="441"/>
      <c r="Q1185" s="441"/>
      <c r="R1185" s="426"/>
      <c r="S1185" s="441"/>
      <c r="T1185" s="441"/>
      <c r="U1185" s="441"/>
      <c r="V1185" s="441"/>
      <c r="W1185" s="441"/>
      <c r="X1185" s="441"/>
      <c r="Y1185" s="441"/>
      <c r="Z1185" s="441"/>
      <c r="AA1185" s="441"/>
      <c r="AB1185" s="441"/>
      <c r="AC1185" s="441"/>
      <c r="AD1185" s="441"/>
      <c r="AE1185" s="441"/>
      <c r="AF1185" s="441"/>
      <c r="AG1185" s="441"/>
      <c r="AH1185" s="441"/>
      <c r="AI1185" s="441"/>
      <c r="AJ1185" s="441"/>
      <c r="AK1185" s="441"/>
      <c r="AL1185" s="441"/>
      <c r="AM1185" s="441"/>
      <c r="AN1185" s="441"/>
      <c r="AO1185" s="441"/>
      <c r="AP1185" s="441"/>
      <c r="AQ1185" s="441"/>
      <c r="AR1185" s="441"/>
      <c r="AS1185" s="441"/>
      <c r="AT1185" s="441"/>
      <c r="AU1185" s="441"/>
      <c r="AV1185" s="441"/>
      <c r="AW1185" s="441"/>
      <c r="AX1185" s="441"/>
      <c r="AY1185" s="441"/>
      <c r="AZ1185" s="441"/>
      <c r="BA1185" s="441"/>
      <c r="BB1185" s="441"/>
      <c r="BC1185" s="441"/>
      <c r="BD1185" s="441"/>
      <c r="BE1185" s="441"/>
      <c r="BF1185" s="441"/>
    </row>
    <row r="1186">
      <c r="A1186" s="798"/>
      <c r="B1186" s="795"/>
      <c r="C1186" s="795"/>
      <c r="D1186" s="795"/>
      <c r="E1186" s="795"/>
      <c r="F1186" s="795"/>
      <c r="G1186" s="795"/>
      <c r="H1186" s="795"/>
      <c r="I1186" s="796"/>
      <c r="J1186" s="441"/>
      <c r="K1186" s="441"/>
      <c r="L1186" s="797"/>
      <c r="M1186" s="441"/>
      <c r="N1186" s="441"/>
      <c r="O1186" s="441"/>
      <c r="P1186" s="441"/>
      <c r="Q1186" s="441"/>
      <c r="R1186" s="426"/>
      <c r="S1186" s="441"/>
      <c r="T1186" s="441"/>
      <c r="U1186" s="441"/>
      <c r="V1186" s="441"/>
      <c r="W1186" s="441"/>
      <c r="X1186" s="441"/>
      <c r="Y1186" s="441"/>
      <c r="Z1186" s="441"/>
      <c r="AA1186" s="441"/>
      <c r="AB1186" s="441"/>
      <c r="AC1186" s="441"/>
      <c r="AD1186" s="441"/>
      <c r="AE1186" s="441"/>
      <c r="AF1186" s="441"/>
      <c r="AG1186" s="441"/>
      <c r="AH1186" s="441"/>
      <c r="AI1186" s="441"/>
      <c r="AJ1186" s="441"/>
      <c r="AK1186" s="441"/>
      <c r="AL1186" s="441"/>
      <c r="AM1186" s="441"/>
      <c r="AN1186" s="441"/>
      <c r="AO1186" s="441"/>
      <c r="AP1186" s="441"/>
      <c r="AQ1186" s="441"/>
      <c r="AR1186" s="441"/>
      <c r="AS1186" s="441"/>
      <c r="AT1186" s="441"/>
      <c r="AU1186" s="441"/>
      <c r="AV1186" s="441"/>
      <c r="AW1186" s="441"/>
      <c r="AX1186" s="441"/>
      <c r="AY1186" s="441"/>
      <c r="AZ1186" s="441"/>
      <c r="BA1186" s="441"/>
      <c r="BB1186" s="441"/>
      <c r="BC1186" s="441"/>
      <c r="BD1186" s="441"/>
      <c r="BE1186" s="441"/>
      <c r="BF1186" s="441"/>
    </row>
    <row r="1187">
      <c r="A1187" s="798"/>
      <c r="B1187" s="795"/>
      <c r="C1187" s="795"/>
      <c r="D1187" s="795"/>
      <c r="E1187" s="795"/>
      <c r="F1187" s="795"/>
      <c r="G1187" s="795"/>
      <c r="H1187" s="795"/>
      <c r="I1187" s="796"/>
      <c r="J1187" s="441"/>
      <c r="K1187" s="441"/>
      <c r="L1187" s="797"/>
      <c r="M1187" s="441"/>
      <c r="N1187" s="441"/>
      <c r="O1187" s="441"/>
      <c r="P1187" s="441"/>
      <c r="Q1187" s="441"/>
      <c r="R1187" s="426"/>
      <c r="S1187" s="441"/>
      <c r="T1187" s="441"/>
      <c r="U1187" s="441"/>
      <c r="V1187" s="441"/>
      <c r="W1187" s="441"/>
      <c r="X1187" s="441"/>
      <c r="Y1187" s="441"/>
      <c r="Z1187" s="441"/>
      <c r="AA1187" s="441"/>
      <c r="AB1187" s="441"/>
      <c r="AC1187" s="441"/>
      <c r="AD1187" s="441"/>
      <c r="AE1187" s="441"/>
      <c r="AF1187" s="441"/>
      <c r="AG1187" s="441"/>
      <c r="AH1187" s="441"/>
      <c r="AI1187" s="441"/>
      <c r="AJ1187" s="441"/>
      <c r="AK1187" s="441"/>
      <c r="AL1187" s="441"/>
      <c r="AM1187" s="441"/>
      <c r="AN1187" s="441"/>
      <c r="AO1187" s="441"/>
      <c r="AP1187" s="441"/>
      <c r="AQ1187" s="441"/>
      <c r="AR1187" s="441"/>
      <c r="AS1187" s="441"/>
      <c r="AT1187" s="441"/>
      <c r="AU1187" s="441"/>
      <c r="AV1187" s="441"/>
      <c r="AW1187" s="441"/>
      <c r="AX1187" s="441"/>
      <c r="AY1187" s="441"/>
      <c r="AZ1187" s="441"/>
      <c r="BA1187" s="441"/>
      <c r="BB1187" s="441"/>
      <c r="BC1187" s="441"/>
      <c r="BD1187" s="441"/>
      <c r="BE1187" s="441"/>
      <c r="BF1187" s="441"/>
    </row>
    <row r="1188">
      <c r="A1188" s="798"/>
      <c r="B1188" s="795"/>
      <c r="C1188" s="795"/>
      <c r="D1188" s="795"/>
      <c r="E1188" s="795"/>
      <c r="F1188" s="795"/>
      <c r="G1188" s="795"/>
      <c r="H1188" s="795"/>
      <c r="I1188" s="796"/>
      <c r="J1188" s="441"/>
      <c r="K1188" s="441"/>
      <c r="L1188" s="797"/>
      <c r="M1188" s="441"/>
      <c r="N1188" s="441"/>
      <c r="O1188" s="441"/>
      <c r="P1188" s="441"/>
      <c r="Q1188" s="441"/>
      <c r="R1188" s="426"/>
      <c r="S1188" s="441"/>
      <c r="T1188" s="441"/>
      <c r="U1188" s="441"/>
      <c r="V1188" s="441"/>
      <c r="W1188" s="441"/>
      <c r="X1188" s="441"/>
      <c r="Y1188" s="441"/>
      <c r="Z1188" s="441"/>
      <c r="AA1188" s="441"/>
      <c r="AB1188" s="441"/>
      <c r="AC1188" s="441"/>
      <c r="AD1188" s="441"/>
      <c r="AE1188" s="441"/>
      <c r="AF1188" s="441"/>
      <c r="AG1188" s="441"/>
      <c r="AH1188" s="441"/>
      <c r="AI1188" s="441"/>
      <c r="AJ1188" s="441"/>
      <c r="AK1188" s="441"/>
      <c r="AL1188" s="441"/>
      <c r="AM1188" s="441"/>
      <c r="AN1188" s="441"/>
      <c r="AO1188" s="441"/>
      <c r="AP1188" s="441"/>
      <c r="AQ1188" s="441"/>
      <c r="AR1188" s="441"/>
      <c r="AS1188" s="441"/>
      <c r="AT1188" s="441"/>
      <c r="AU1188" s="441"/>
      <c r="AV1188" s="441"/>
      <c r="AW1188" s="441"/>
      <c r="AX1188" s="441"/>
      <c r="AY1188" s="441"/>
      <c r="AZ1188" s="441"/>
      <c r="BA1188" s="441"/>
      <c r="BB1188" s="441"/>
      <c r="BC1188" s="441"/>
      <c r="BD1188" s="441"/>
      <c r="BE1188" s="441"/>
      <c r="BF1188" s="441"/>
    </row>
    <row r="1189">
      <c r="A1189" s="798"/>
      <c r="B1189" s="795"/>
      <c r="C1189" s="795"/>
      <c r="D1189" s="795"/>
      <c r="E1189" s="795"/>
      <c r="F1189" s="795"/>
      <c r="G1189" s="795"/>
      <c r="H1189" s="795"/>
      <c r="I1189" s="796"/>
      <c r="J1189" s="441"/>
      <c r="K1189" s="441"/>
      <c r="L1189" s="797"/>
      <c r="M1189" s="441"/>
      <c r="N1189" s="441"/>
      <c r="O1189" s="441"/>
      <c r="P1189" s="441"/>
      <c r="Q1189" s="441"/>
      <c r="R1189" s="426"/>
      <c r="S1189" s="441"/>
      <c r="T1189" s="441"/>
      <c r="U1189" s="441"/>
      <c r="V1189" s="441"/>
      <c r="W1189" s="441"/>
      <c r="X1189" s="441"/>
      <c r="Y1189" s="441"/>
      <c r="Z1189" s="441"/>
      <c r="AA1189" s="441"/>
      <c r="AB1189" s="441"/>
      <c r="AC1189" s="441"/>
      <c r="AD1189" s="441"/>
      <c r="AE1189" s="441"/>
      <c r="AF1189" s="441"/>
      <c r="AG1189" s="441"/>
      <c r="AH1189" s="441"/>
      <c r="AI1189" s="441"/>
      <c r="AJ1189" s="441"/>
      <c r="AK1189" s="441"/>
      <c r="AL1189" s="441"/>
      <c r="AM1189" s="441"/>
      <c r="AN1189" s="441"/>
      <c r="AO1189" s="441"/>
      <c r="AP1189" s="441"/>
      <c r="AQ1189" s="441"/>
      <c r="AR1189" s="441"/>
      <c r="AS1189" s="441"/>
      <c r="AT1189" s="441"/>
      <c r="AU1189" s="441"/>
      <c r="AV1189" s="441"/>
      <c r="AW1189" s="441"/>
      <c r="AX1189" s="441"/>
      <c r="AY1189" s="441"/>
      <c r="AZ1189" s="441"/>
      <c r="BA1189" s="441"/>
      <c r="BB1189" s="441"/>
      <c r="BC1189" s="441"/>
      <c r="BD1189" s="441"/>
      <c r="BE1189" s="441"/>
      <c r="BF1189" s="441"/>
    </row>
    <row r="1190">
      <c r="A1190" s="798"/>
      <c r="B1190" s="795"/>
      <c r="C1190" s="795"/>
      <c r="D1190" s="795"/>
      <c r="E1190" s="795"/>
      <c r="F1190" s="795"/>
      <c r="G1190" s="795"/>
      <c r="H1190" s="795"/>
      <c r="I1190" s="796"/>
      <c r="J1190" s="441"/>
      <c r="K1190" s="441"/>
      <c r="L1190" s="797"/>
      <c r="M1190" s="441"/>
      <c r="N1190" s="441"/>
      <c r="O1190" s="441"/>
      <c r="P1190" s="441"/>
      <c r="Q1190" s="441"/>
      <c r="R1190" s="426"/>
      <c r="S1190" s="441"/>
      <c r="T1190" s="441"/>
      <c r="U1190" s="441"/>
      <c r="V1190" s="441"/>
      <c r="W1190" s="441"/>
      <c r="X1190" s="441"/>
      <c r="Y1190" s="441"/>
      <c r="Z1190" s="441"/>
      <c r="AA1190" s="441"/>
      <c r="AB1190" s="441"/>
      <c r="AC1190" s="441"/>
      <c r="AD1190" s="441"/>
      <c r="AE1190" s="441"/>
      <c r="AF1190" s="441"/>
      <c r="AG1190" s="441"/>
      <c r="AH1190" s="441"/>
      <c r="AI1190" s="441"/>
      <c r="AJ1190" s="441"/>
      <c r="AK1190" s="441"/>
      <c r="AL1190" s="441"/>
      <c r="AM1190" s="441"/>
      <c r="AN1190" s="441"/>
      <c r="AO1190" s="441"/>
      <c r="AP1190" s="441"/>
      <c r="AQ1190" s="441"/>
      <c r="AR1190" s="441"/>
      <c r="AS1190" s="441"/>
      <c r="AT1190" s="441"/>
      <c r="AU1190" s="441"/>
      <c r="AV1190" s="441"/>
      <c r="AW1190" s="441"/>
      <c r="AX1190" s="441"/>
      <c r="AY1190" s="441"/>
      <c r="AZ1190" s="441"/>
      <c r="BA1190" s="441"/>
      <c r="BB1190" s="441"/>
      <c r="BC1190" s="441"/>
      <c r="BD1190" s="441"/>
      <c r="BE1190" s="441"/>
      <c r="BF1190" s="441"/>
    </row>
    <row r="1191">
      <c r="A1191" s="798"/>
      <c r="B1191" s="795"/>
      <c r="C1191" s="795"/>
      <c r="D1191" s="795"/>
      <c r="E1191" s="795"/>
      <c r="F1191" s="795"/>
      <c r="G1191" s="795"/>
      <c r="H1191" s="795"/>
      <c r="I1191" s="796"/>
      <c r="J1191" s="441"/>
      <c r="K1191" s="441"/>
      <c r="L1191" s="797"/>
      <c r="M1191" s="441"/>
      <c r="N1191" s="441"/>
      <c r="O1191" s="441"/>
      <c r="P1191" s="441"/>
      <c r="Q1191" s="441"/>
      <c r="R1191" s="426"/>
      <c r="S1191" s="441"/>
      <c r="T1191" s="441"/>
      <c r="U1191" s="441"/>
      <c r="V1191" s="441"/>
      <c r="W1191" s="441"/>
      <c r="X1191" s="441"/>
      <c r="Y1191" s="441"/>
      <c r="Z1191" s="441"/>
      <c r="AA1191" s="441"/>
      <c r="AB1191" s="441"/>
      <c r="AC1191" s="441"/>
      <c r="AD1191" s="441"/>
      <c r="AE1191" s="441"/>
      <c r="AF1191" s="441"/>
      <c r="AG1191" s="441"/>
      <c r="AH1191" s="441"/>
      <c r="AI1191" s="441"/>
      <c r="AJ1191" s="441"/>
      <c r="AK1191" s="441"/>
      <c r="AL1191" s="441"/>
      <c r="AM1191" s="441"/>
      <c r="AN1191" s="441"/>
      <c r="AO1191" s="441"/>
      <c r="AP1191" s="441"/>
      <c r="AQ1191" s="441"/>
      <c r="AR1191" s="441"/>
      <c r="AS1191" s="441"/>
      <c r="AT1191" s="441"/>
      <c r="AU1191" s="441"/>
      <c r="AV1191" s="441"/>
      <c r="AW1191" s="441"/>
      <c r="AX1191" s="441"/>
      <c r="AY1191" s="441"/>
      <c r="AZ1191" s="441"/>
      <c r="BA1191" s="441"/>
      <c r="BB1191" s="441"/>
      <c r="BC1191" s="441"/>
      <c r="BD1191" s="441"/>
      <c r="BE1191" s="441"/>
      <c r="BF1191" s="441"/>
    </row>
    <row r="1192">
      <c r="A1192" s="798"/>
      <c r="B1192" s="795"/>
      <c r="C1192" s="795"/>
      <c r="D1192" s="795"/>
      <c r="E1192" s="795"/>
      <c r="F1192" s="795"/>
      <c r="G1192" s="795"/>
      <c r="H1192" s="795"/>
      <c r="I1192" s="796"/>
      <c r="J1192" s="441"/>
      <c r="K1192" s="441"/>
      <c r="L1192" s="797"/>
      <c r="M1192" s="441"/>
      <c r="N1192" s="441"/>
      <c r="O1192" s="441"/>
      <c r="P1192" s="441"/>
      <c r="Q1192" s="441"/>
      <c r="R1192" s="426"/>
      <c r="S1192" s="441"/>
      <c r="T1192" s="441"/>
      <c r="U1192" s="441"/>
      <c r="V1192" s="441"/>
      <c r="W1192" s="441"/>
      <c r="X1192" s="441"/>
      <c r="Y1192" s="441"/>
      <c r="Z1192" s="441"/>
      <c r="AA1192" s="441"/>
      <c r="AB1192" s="441"/>
      <c r="AC1192" s="441"/>
      <c r="AD1192" s="441"/>
      <c r="AE1192" s="441"/>
      <c r="AF1192" s="441"/>
      <c r="AG1192" s="441"/>
      <c r="AH1192" s="441"/>
      <c r="AI1192" s="441"/>
      <c r="AJ1192" s="441"/>
      <c r="AK1192" s="441"/>
      <c r="AL1192" s="441"/>
      <c r="AM1192" s="441"/>
      <c r="AN1192" s="441"/>
      <c r="AO1192" s="441"/>
      <c r="AP1192" s="441"/>
      <c r="AQ1192" s="441"/>
      <c r="AR1192" s="441"/>
      <c r="AS1192" s="441"/>
      <c r="AT1192" s="441"/>
      <c r="AU1192" s="441"/>
      <c r="AV1192" s="441"/>
      <c r="AW1192" s="441"/>
      <c r="AX1192" s="441"/>
      <c r="AY1192" s="441"/>
      <c r="AZ1192" s="441"/>
      <c r="BA1192" s="441"/>
      <c r="BB1192" s="441"/>
      <c r="BC1192" s="441"/>
      <c r="BD1192" s="441"/>
      <c r="BE1192" s="441"/>
      <c r="BF1192" s="441"/>
    </row>
    <row r="1193">
      <c r="A1193" s="798"/>
      <c r="B1193" s="795"/>
      <c r="C1193" s="795"/>
      <c r="D1193" s="795"/>
      <c r="E1193" s="795"/>
      <c r="F1193" s="795"/>
      <c r="G1193" s="795"/>
      <c r="H1193" s="795"/>
      <c r="I1193" s="796"/>
      <c r="J1193" s="441"/>
      <c r="K1193" s="441"/>
      <c r="L1193" s="797"/>
      <c r="M1193" s="441"/>
      <c r="N1193" s="441"/>
      <c r="O1193" s="441"/>
      <c r="P1193" s="441"/>
      <c r="Q1193" s="441"/>
      <c r="R1193" s="426"/>
      <c r="S1193" s="441"/>
      <c r="T1193" s="441"/>
      <c r="U1193" s="441"/>
      <c r="V1193" s="441"/>
      <c r="W1193" s="441"/>
      <c r="X1193" s="441"/>
      <c r="Y1193" s="441"/>
      <c r="Z1193" s="441"/>
      <c r="AA1193" s="441"/>
      <c r="AB1193" s="441"/>
      <c r="AC1193" s="441"/>
      <c r="AD1193" s="441"/>
      <c r="AE1193" s="441"/>
      <c r="AF1193" s="441"/>
      <c r="AG1193" s="441"/>
      <c r="AH1193" s="441"/>
      <c r="AI1193" s="441"/>
      <c r="AJ1193" s="441"/>
      <c r="AK1193" s="441"/>
      <c r="AL1193" s="441"/>
      <c r="AM1193" s="441"/>
      <c r="AN1193" s="441"/>
      <c r="AO1193" s="441"/>
      <c r="AP1193" s="441"/>
      <c r="AQ1193" s="441"/>
      <c r="AR1193" s="441"/>
      <c r="AS1193" s="441"/>
      <c r="AT1193" s="441"/>
      <c r="AU1193" s="441"/>
      <c r="AV1193" s="441"/>
      <c r="AW1193" s="441"/>
      <c r="AX1193" s="441"/>
      <c r="AY1193" s="441"/>
      <c r="AZ1193" s="441"/>
      <c r="BA1193" s="441"/>
      <c r="BB1193" s="441"/>
      <c r="BC1193" s="441"/>
      <c r="BD1193" s="441"/>
      <c r="BE1193" s="441"/>
      <c r="BF1193" s="441"/>
    </row>
    <row r="1194">
      <c r="A1194" s="798"/>
      <c r="B1194" s="795"/>
      <c r="C1194" s="795"/>
      <c r="D1194" s="795"/>
      <c r="E1194" s="795"/>
      <c r="F1194" s="795"/>
      <c r="G1194" s="795"/>
      <c r="H1194" s="795"/>
      <c r="I1194" s="796"/>
      <c r="J1194" s="441"/>
      <c r="K1194" s="441"/>
      <c r="L1194" s="797"/>
      <c r="M1194" s="441"/>
      <c r="N1194" s="441"/>
      <c r="O1194" s="441"/>
      <c r="P1194" s="441"/>
      <c r="Q1194" s="441"/>
      <c r="R1194" s="426"/>
      <c r="S1194" s="441"/>
      <c r="T1194" s="441"/>
      <c r="U1194" s="441"/>
      <c r="V1194" s="441"/>
      <c r="W1194" s="441"/>
      <c r="X1194" s="441"/>
      <c r="Y1194" s="441"/>
      <c r="Z1194" s="441"/>
      <c r="AA1194" s="441"/>
      <c r="AB1194" s="441"/>
      <c r="AC1194" s="441"/>
      <c r="AD1194" s="441"/>
      <c r="AE1194" s="441"/>
      <c r="AF1194" s="441"/>
      <c r="AG1194" s="441"/>
      <c r="AH1194" s="441"/>
      <c r="AI1194" s="441"/>
      <c r="AJ1194" s="441"/>
      <c r="AK1194" s="441"/>
      <c r="AL1194" s="441"/>
      <c r="AM1194" s="441"/>
      <c r="AN1194" s="441"/>
      <c r="AO1194" s="441"/>
      <c r="AP1194" s="441"/>
      <c r="AQ1194" s="441"/>
      <c r="AR1194" s="441"/>
      <c r="AS1194" s="441"/>
      <c r="AT1194" s="441"/>
      <c r="AU1194" s="441"/>
      <c r="AV1194" s="441"/>
      <c r="AW1194" s="441"/>
      <c r="AX1194" s="441"/>
      <c r="AY1194" s="441"/>
      <c r="AZ1194" s="441"/>
      <c r="BA1194" s="441"/>
      <c r="BB1194" s="441"/>
      <c r="BC1194" s="441"/>
      <c r="BD1194" s="441"/>
      <c r="BE1194" s="441"/>
      <c r="BF1194" s="441"/>
    </row>
    <row r="1195">
      <c r="A1195" s="798"/>
      <c r="B1195" s="795"/>
      <c r="C1195" s="795"/>
      <c r="D1195" s="795"/>
      <c r="E1195" s="795"/>
      <c r="F1195" s="795"/>
      <c r="G1195" s="795"/>
      <c r="H1195" s="795"/>
      <c r="I1195" s="796"/>
      <c r="J1195" s="441"/>
      <c r="K1195" s="441"/>
      <c r="L1195" s="797"/>
      <c r="M1195" s="441"/>
      <c r="N1195" s="441"/>
      <c r="O1195" s="441"/>
      <c r="P1195" s="441"/>
      <c r="Q1195" s="441"/>
      <c r="R1195" s="426"/>
      <c r="S1195" s="441"/>
      <c r="T1195" s="441"/>
      <c r="U1195" s="441"/>
      <c r="V1195" s="441"/>
      <c r="W1195" s="441"/>
      <c r="X1195" s="441"/>
      <c r="Y1195" s="441"/>
      <c r="Z1195" s="441"/>
      <c r="AA1195" s="441"/>
      <c r="AB1195" s="441"/>
      <c r="AC1195" s="441"/>
      <c r="AD1195" s="441"/>
      <c r="AE1195" s="441"/>
      <c r="AF1195" s="441"/>
      <c r="AG1195" s="441"/>
      <c r="AH1195" s="441"/>
      <c r="AI1195" s="441"/>
      <c r="AJ1195" s="441"/>
      <c r="AK1195" s="441"/>
      <c r="AL1195" s="441"/>
      <c r="AM1195" s="441"/>
      <c r="AN1195" s="441"/>
      <c r="AO1195" s="441"/>
      <c r="AP1195" s="441"/>
      <c r="AQ1195" s="441"/>
      <c r="AR1195" s="441"/>
      <c r="AS1195" s="441"/>
      <c r="AT1195" s="441"/>
      <c r="AU1195" s="441"/>
      <c r="AV1195" s="441"/>
      <c r="AW1195" s="441"/>
      <c r="AX1195" s="441"/>
      <c r="AY1195" s="441"/>
      <c r="AZ1195" s="441"/>
      <c r="BA1195" s="441"/>
      <c r="BB1195" s="441"/>
      <c r="BC1195" s="441"/>
      <c r="BD1195" s="441"/>
      <c r="BE1195" s="441"/>
      <c r="BF1195" s="441"/>
    </row>
    <row r="1196">
      <c r="A1196" s="798"/>
      <c r="B1196" s="795"/>
      <c r="C1196" s="795"/>
      <c r="D1196" s="795"/>
      <c r="E1196" s="795"/>
      <c r="F1196" s="795"/>
      <c r="G1196" s="795"/>
      <c r="H1196" s="795"/>
      <c r="I1196" s="796"/>
      <c r="J1196" s="441"/>
      <c r="K1196" s="441"/>
      <c r="L1196" s="797"/>
      <c r="M1196" s="441"/>
      <c r="N1196" s="441"/>
      <c r="O1196" s="441"/>
      <c r="P1196" s="441"/>
      <c r="Q1196" s="441"/>
      <c r="R1196" s="426"/>
      <c r="S1196" s="441"/>
      <c r="T1196" s="441"/>
      <c r="U1196" s="441"/>
      <c r="V1196" s="441"/>
      <c r="W1196" s="441"/>
      <c r="X1196" s="441"/>
      <c r="Y1196" s="441"/>
      <c r="Z1196" s="441"/>
      <c r="AA1196" s="441"/>
      <c r="AB1196" s="441"/>
      <c r="AC1196" s="441"/>
      <c r="AD1196" s="441"/>
      <c r="AE1196" s="441"/>
      <c r="AF1196" s="441"/>
      <c r="AG1196" s="441"/>
      <c r="AH1196" s="441"/>
      <c r="AI1196" s="441"/>
      <c r="AJ1196" s="441"/>
      <c r="AK1196" s="441"/>
      <c r="AL1196" s="441"/>
      <c r="AM1196" s="441"/>
      <c r="AN1196" s="441"/>
      <c r="AO1196" s="441"/>
      <c r="AP1196" s="441"/>
      <c r="AQ1196" s="441"/>
      <c r="AR1196" s="441"/>
      <c r="AS1196" s="441"/>
      <c r="AT1196" s="441"/>
      <c r="AU1196" s="441"/>
      <c r="AV1196" s="441"/>
      <c r="AW1196" s="441"/>
      <c r="AX1196" s="441"/>
      <c r="AY1196" s="441"/>
      <c r="AZ1196" s="441"/>
      <c r="BA1196" s="441"/>
      <c r="BB1196" s="441"/>
      <c r="BC1196" s="441"/>
      <c r="BD1196" s="441"/>
      <c r="BE1196" s="441"/>
      <c r="BF1196" s="441"/>
    </row>
    <row r="1197">
      <c r="A1197" s="798"/>
      <c r="B1197" s="795"/>
      <c r="C1197" s="795"/>
      <c r="D1197" s="795"/>
      <c r="E1197" s="795"/>
      <c r="F1197" s="795"/>
      <c r="G1197" s="795"/>
      <c r="H1197" s="795"/>
      <c r="I1197" s="796"/>
      <c r="J1197" s="441"/>
      <c r="K1197" s="441"/>
      <c r="L1197" s="797"/>
      <c r="M1197" s="441"/>
      <c r="N1197" s="441"/>
      <c r="O1197" s="441"/>
      <c r="P1197" s="441"/>
      <c r="Q1197" s="441"/>
      <c r="R1197" s="426"/>
      <c r="S1197" s="441"/>
      <c r="T1197" s="441"/>
      <c r="U1197" s="441"/>
      <c r="V1197" s="441"/>
      <c r="W1197" s="441"/>
      <c r="X1197" s="441"/>
      <c r="Y1197" s="441"/>
      <c r="Z1197" s="441"/>
      <c r="AA1197" s="441"/>
      <c r="AB1197" s="441"/>
      <c r="AC1197" s="441"/>
      <c r="AD1197" s="441"/>
      <c r="AE1197" s="441"/>
      <c r="AF1197" s="441"/>
      <c r="AG1197" s="441"/>
      <c r="AH1197" s="441"/>
      <c r="AI1197" s="441"/>
      <c r="AJ1197" s="441"/>
      <c r="AK1197" s="441"/>
      <c r="AL1197" s="441"/>
      <c r="AM1197" s="441"/>
      <c r="AN1197" s="441"/>
      <c r="AO1197" s="441"/>
      <c r="AP1197" s="441"/>
      <c r="AQ1197" s="441"/>
      <c r="AR1197" s="441"/>
      <c r="AS1197" s="441"/>
      <c r="AT1197" s="441"/>
      <c r="AU1197" s="441"/>
      <c r="AV1197" s="441"/>
      <c r="AW1197" s="441"/>
      <c r="AX1197" s="441"/>
      <c r="AY1197" s="441"/>
      <c r="AZ1197" s="441"/>
      <c r="BA1197" s="441"/>
      <c r="BB1197" s="441"/>
      <c r="BC1197" s="441"/>
      <c r="BD1197" s="441"/>
      <c r="BE1197" s="441"/>
      <c r="BF1197" s="441"/>
    </row>
    <row r="1198">
      <c r="A1198" s="798"/>
      <c r="B1198" s="795"/>
      <c r="C1198" s="795"/>
      <c r="D1198" s="795"/>
      <c r="E1198" s="795"/>
      <c r="F1198" s="795"/>
      <c r="G1198" s="795"/>
      <c r="H1198" s="795"/>
      <c r="I1198" s="796"/>
      <c r="J1198" s="441"/>
      <c r="K1198" s="441"/>
      <c r="L1198" s="797"/>
      <c r="M1198" s="441"/>
      <c r="N1198" s="441"/>
      <c r="O1198" s="441"/>
      <c r="P1198" s="441"/>
      <c r="Q1198" s="441"/>
      <c r="R1198" s="426"/>
      <c r="S1198" s="441"/>
      <c r="T1198" s="441"/>
      <c r="U1198" s="441"/>
      <c r="V1198" s="441"/>
      <c r="W1198" s="441"/>
      <c r="X1198" s="441"/>
      <c r="Y1198" s="441"/>
      <c r="Z1198" s="441"/>
      <c r="AA1198" s="441"/>
      <c r="AB1198" s="441"/>
      <c r="AC1198" s="441"/>
      <c r="AD1198" s="441"/>
      <c r="AE1198" s="441"/>
      <c r="AF1198" s="441"/>
      <c r="AG1198" s="441"/>
      <c r="AH1198" s="441"/>
      <c r="AI1198" s="441"/>
      <c r="AJ1198" s="441"/>
      <c r="AK1198" s="441"/>
      <c r="AL1198" s="441"/>
      <c r="AM1198" s="441"/>
      <c r="AN1198" s="441"/>
      <c r="AO1198" s="441"/>
      <c r="AP1198" s="441"/>
      <c r="AQ1198" s="441"/>
      <c r="AR1198" s="441"/>
      <c r="AS1198" s="441"/>
      <c r="AT1198" s="441"/>
      <c r="AU1198" s="441"/>
      <c r="AV1198" s="441"/>
      <c r="AW1198" s="441"/>
      <c r="AX1198" s="441"/>
      <c r="AY1198" s="441"/>
      <c r="AZ1198" s="441"/>
      <c r="BA1198" s="441"/>
      <c r="BB1198" s="441"/>
      <c r="BC1198" s="441"/>
      <c r="BD1198" s="441"/>
      <c r="BE1198" s="441"/>
      <c r="BF1198" s="441"/>
    </row>
    <row r="1199">
      <c r="A1199" s="798"/>
      <c r="B1199" s="795"/>
      <c r="C1199" s="795"/>
      <c r="D1199" s="795"/>
      <c r="E1199" s="795"/>
      <c r="F1199" s="795"/>
      <c r="G1199" s="795"/>
      <c r="H1199" s="795"/>
      <c r="I1199" s="796"/>
      <c r="J1199" s="441"/>
      <c r="K1199" s="441"/>
      <c r="L1199" s="797"/>
      <c r="M1199" s="441"/>
      <c r="N1199" s="441"/>
      <c r="O1199" s="441"/>
      <c r="P1199" s="441"/>
      <c r="Q1199" s="441"/>
      <c r="R1199" s="426"/>
      <c r="S1199" s="441"/>
      <c r="T1199" s="441"/>
      <c r="U1199" s="441"/>
      <c r="V1199" s="441"/>
      <c r="W1199" s="441"/>
      <c r="X1199" s="441"/>
      <c r="Y1199" s="441"/>
      <c r="Z1199" s="441"/>
      <c r="AA1199" s="441"/>
      <c r="AB1199" s="441"/>
      <c r="AC1199" s="441"/>
      <c r="AD1199" s="441"/>
      <c r="AE1199" s="441"/>
      <c r="AF1199" s="441"/>
      <c r="AG1199" s="441"/>
      <c r="AH1199" s="441"/>
      <c r="AI1199" s="441"/>
      <c r="AJ1199" s="441"/>
      <c r="AK1199" s="441"/>
      <c r="AL1199" s="441"/>
      <c r="AM1199" s="441"/>
      <c r="AN1199" s="441"/>
      <c r="AO1199" s="441"/>
      <c r="AP1199" s="441"/>
      <c r="AQ1199" s="441"/>
      <c r="AR1199" s="441"/>
      <c r="AS1199" s="441"/>
      <c r="AT1199" s="441"/>
      <c r="AU1199" s="441"/>
      <c r="AV1199" s="441"/>
      <c r="AW1199" s="441"/>
      <c r="AX1199" s="441"/>
      <c r="AY1199" s="441"/>
      <c r="AZ1199" s="441"/>
      <c r="BA1199" s="441"/>
      <c r="BB1199" s="441"/>
      <c r="BC1199" s="441"/>
      <c r="BD1199" s="441"/>
      <c r="BE1199" s="441"/>
      <c r="BF1199" s="441"/>
    </row>
    <row r="1200">
      <c r="A1200" s="798"/>
      <c r="B1200" s="795"/>
      <c r="C1200" s="795"/>
      <c r="D1200" s="795"/>
      <c r="E1200" s="795"/>
      <c r="F1200" s="795"/>
      <c r="G1200" s="795"/>
      <c r="H1200" s="795"/>
      <c r="I1200" s="796"/>
      <c r="J1200" s="441"/>
      <c r="K1200" s="441"/>
      <c r="L1200" s="797"/>
      <c r="M1200" s="441"/>
      <c r="N1200" s="441"/>
      <c r="O1200" s="441"/>
      <c r="P1200" s="441"/>
      <c r="Q1200" s="441"/>
      <c r="R1200" s="426"/>
      <c r="S1200" s="441"/>
      <c r="T1200" s="441"/>
      <c r="U1200" s="441"/>
      <c r="V1200" s="441"/>
      <c r="W1200" s="441"/>
      <c r="X1200" s="441"/>
      <c r="Y1200" s="441"/>
      <c r="Z1200" s="441"/>
      <c r="AA1200" s="441"/>
      <c r="AB1200" s="441"/>
      <c r="AC1200" s="441"/>
      <c r="AD1200" s="441"/>
      <c r="AE1200" s="441"/>
      <c r="AF1200" s="441"/>
      <c r="AG1200" s="441"/>
      <c r="AH1200" s="441"/>
      <c r="AI1200" s="441"/>
      <c r="AJ1200" s="441"/>
      <c r="AK1200" s="441"/>
      <c r="AL1200" s="441"/>
      <c r="AM1200" s="441"/>
      <c r="AN1200" s="441"/>
      <c r="AO1200" s="441"/>
      <c r="AP1200" s="441"/>
      <c r="AQ1200" s="441"/>
      <c r="AR1200" s="441"/>
      <c r="AS1200" s="441"/>
      <c r="AT1200" s="441"/>
      <c r="AU1200" s="441"/>
      <c r="AV1200" s="441"/>
      <c r="AW1200" s="441"/>
      <c r="AX1200" s="441"/>
      <c r="AY1200" s="441"/>
      <c r="AZ1200" s="441"/>
      <c r="BA1200" s="441"/>
      <c r="BB1200" s="441"/>
      <c r="BC1200" s="441"/>
      <c r="BD1200" s="441"/>
      <c r="BE1200" s="441"/>
      <c r="BF1200" s="441"/>
    </row>
    <row r="1201">
      <c r="A1201" s="798"/>
      <c r="B1201" s="795"/>
      <c r="C1201" s="795"/>
      <c r="D1201" s="795"/>
      <c r="E1201" s="795"/>
      <c r="F1201" s="795"/>
      <c r="G1201" s="795"/>
      <c r="H1201" s="795"/>
      <c r="I1201" s="796"/>
      <c r="J1201" s="441"/>
      <c r="K1201" s="441"/>
      <c r="L1201" s="797"/>
      <c r="M1201" s="441"/>
      <c r="N1201" s="441"/>
      <c r="O1201" s="441"/>
      <c r="P1201" s="441"/>
      <c r="Q1201" s="441"/>
      <c r="R1201" s="426"/>
      <c r="S1201" s="441"/>
      <c r="T1201" s="441"/>
      <c r="U1201" s="441"/>
      <c r="V1201" s="441"/>
      <c r="W1201" s="441"/>
      <c r="X1201" s="441"/>
      <c r="Y1201" s="441"/>
      <c r="Z1201" s="441"/>
      <c r="AA1201" s="441"/>
      <c r="AB1201" s="441"/>
      <c r="AC1201" s="441"/>
      <c r="AD1201" s="441"/>
      <c r="AE1201" s="441"/>
      <c r="AF1201" s="441"/>
      <c r="AG1201" s="441"/>
      <c r="AH1201" s="441"/>
      <c r="AI1201" s="441"/>
      <c r="AJ1201" s="441"/>
      <c r="AK1201" s="441"/>
      <c r="AL1201" s="441"/>
      <c r="AM1201" s="441"/>
      <c r="AN1201" s="441"/>
      <c r="AO1201" s="441"/>
      <c r="AP1201" s="441"/>
      <c r="AQ1201" s="441"/>
      <c r="AR1201" s="441"/>
      <c r="AS1201" s="441"/>
      <c r="AT1201" s="441"/>
      <c r="AU1201" s="441"/>
      <c r="AV1201" s="441"/>
      <c r="AW1201" s="441"/>
      <c r="AX1201" s="441"/>
      <c r="AY1201" s="441"/>
      <c r="AZ1201" s="441"/>
      <c r="BA1201" s="441"/>
      <c r="BB1201" s="441"/>
      <c r="BC1201" s="441"/>
      <c r="BD1201" s="441"/>
      <c r="BE1201" s="441"/>
      <c r="BF1201" s="441"/>
    </row>
    <row r="1202">
      <c r="A1202" s="798"/>
      <c r="B1202" s="795"/>
      <c r="C1202" s="795"/>
      <c r="D1202" s="795"/>
      <c r="E1202" s="795"/>
      <c r="F1202" s="795"/>
      <c r="G1202" s="795"/>
      <c r="H1202" s="795"/>
      <c r="I1202" s="796"/>
      <c r="J1202" s="441"/>
      <c r="K1202" s="441"/>
      <c r="L1202" s="797"/>
      <c r="M1202" s="441"/>
      <c r="N1202" s="441"/>
      <c r="O1202" s="441"/>
      <c r="P1202" s="441"/>
      <c r="Q1202" s="441"/>
      <c r="R1202" s="426"/>
      <c r="S1202" s="441"/>
      <c r="T1202" s="441"/>
      <c r="U1202" s="441"/>
      <c r="V1202" s="441"/>
      <c r="W1202" s="441"/>
      <c r="X1202" s="441"/>
      <c r="Y1202" s="441"/>
      <c r="Z1202" s="441"/>
      <c r="AA1202" s="441"/>
      <c r="AB1202" s="441"/>
      <c r="AC1202" s="441"/>
      <c r="AD1202" s="441"/>
      <c r="AE1202" s="441"/>
      <c r="AF1202" s="441"/>
      <c r="AG1202" s="441"/>
      <c r="AH1202" s="441"/>
      <c r="AI1202" s="441"/>
      <c r="AJ1202" s="441"/>
      <c r="AK1202" s="441"/>
      <c r="AL1202" s="441"/>
      <c r="AM1202" s="441"/>
      <c r="AN1202" s="441"/>
      <c r="AO1202" s="441"/>
      <c r="AP1202" s="441"/>
      <c r="AQ1202" s="441"/>
      <c r="AR1202" s="441"/>
      <c r="AS1202" s="441"/>
      <c r="AT1202" s="441"/>
      <c r="AU1202" s="441"/>
      <c r="AV1202" s="441"/>
      <c r="AW1202" s="441"/>
      <c r="AX1202" s="441"/>
      <c r="AY1202" s="441"/>
      <c r="AZ1202" s="441"/>
      <c r="BA1202" s="441"/>
      <c r="BB1202" s="441"/>
      <c r="BC1202" s="441"/>
      <c r="BD1202" s="441"/>
      <c r="BE1202" s="441"/>
      <c r="BF1202" s="441"/>
    </row>
    <row r="1203">
      <c r="A1203" s="798"/>
      <c r="B1203" s="795"/>
      <c r="C1203" s="795"/>
      <c r="D1203" s="795"/>
      <c r="E1203" s="795"/>
      <c r="F1203" s="795"/>
      <c r="G1203" s="795"/>
      <c r="H1203" s="795"/>
      <c r="I1203" s="796"/>
      <c r="J1203" s="441"/>
      <c r="K1203" s="441"/>
      <c r="L1203" s="797"/>
      <c r="M1203" s="441"/>
      <c r="N1203" s="441"/>
      <c r="O1203" s="441"/>
      <c r="P1203" s="441"/>
      <c r="Q1203" s="441"/>
      <c r="R1203" s="426"/>
      <c r="S1203" s="441"/>
      <c r="T1203" s="441"/>
      <c r="U1203" s="441"/>
      <c r="V1203" s="441"/>
      <c r="W1203" s="441"/>
      <c r="X1203" s="441"/>
      <c r="Y1203" s="441"/>
      <c r="Z1203" s="441"/>
      <c r="AA1203" s="441"/>
      <c r="AB1203" s="441"/>
      <c r="AC1203" s="441"/>
      <c r="AD1203" s="441"/>
      <c r="AE1203" s="441"/>
      <c r="AF1203" s="441"/>
      <c r="AG1203" s="441"/>
      <c r="AH1203" s="441"/>
      <c r="AI1203" s="441"/>
      <c r="AJ1203" s="441"/>
      <c r="AK1203" s="441"/>
      <c r="AL1203" s="441"/>
      <c r="AM1203" s="441"/>
      <c r="AN1203" s="441"/>
      <c r="AO1203" s="441"/>
      <c r="AP1203" s="441"/>
      <c r="AQ1203" s="441"/>
      <c r="AR1203" s="441"/>
      <c r="AS1203" s="441"/>
      <c r="AT1203" s="441"/>
      <c r="AU1203" s="441"/>
      <c r="AV1203" s="441"/>
      <c r="AW1203" s="441"/>
      <c r="AX1203" s="441"/>
      <c r="AY1203" s="441"/>
      <c r="AZ1203" s="441"/>
      <c r="BA1203" s="441"/>
      <c r="BB1203" s="441"/>
      <c r="BC1203" s="441"/>
      <c r="BD1203" s="441"/>
      <c r="BE1203" s="441"/>
      <c r="BF1203" s="441"/>
    </row>
    <row r="1204">
      <c r="A1204" s="798"/>
      <c r="B1204" s="795"/>
      <c r="C1204" s="795"/>
      <c r="D1204" s="795"/>
      <c r="E1204" s="795"/>
      <c r="F1204" s="795"/>
      <c r="G1204" s="795"/>
      <c r="H1204" s="795"/>
      <c r="I1204" s="796"/>
      <c r="J1204" s="441"/>
      <c r="K1204" s="441"/>
      <c r="L1204" s="797"/>
      <c r="M1204" s="441"/>
      <c r="N1204" s="441"/>
      <c r="O1204" s="441"/>
      <c r="P1204" s="441"/>
      <c r="Q1204" s="441"/>
      <c r="R1204" s="426"/>
      <c r="S1204" s="441"/>
      <c r="T1204" s="441"/>
      <c r="U1204" s="441"/>
      <c r="V1204" s="441"/>
      <c r="W1204" s="441"/>
      <c r="X1204" s="441"/>
      <c r="Y1204" s="441"/>
      <c r="Z1204" s="441"/>
      <c r="AA1204" s="441"/>
      <c r="AB1204" s="441"/>
      <c r="AC1204" s="441"/>
      <c r="AD1204" s="441"/>
      <c r="AE1204" s="441"/>
      <c r="AF1204" s="441"/>
      <c r="AG1204" s="441"/>
      <c r="AH1204" s="441"/>
      <c r="AI1204" s="441"/>
      <c r="AJ1204" s="441"/>
      <c r="AK1204" s="441"/>
      <c r="AL1204" s="441"/>
      <c r="AM1204" s="441"/>
      <c r="AN1204" s="441"/>
      <c r="AO1204" s="441"/>
      <c r="AP1204" s="441"/>
      <c r="AQ1204" s="441"/>
      <c r="AR1204" s="441"/>
      <c r="AS1204" s="441"/>
      <c r="AT1204" s="441"/>
      <c r="AU1204" s="441"/>
      <c r="AV1204" s="441"/>
      <c r="AW1204" s="441"/>
      <c r="AX1204" s="441"/>
      <c r="AY1204" s="441"/>
      <c r="AZ1204" s="441"/>
      <c r="BA1204" s="441"/>
      <c r="BB1204" s="441"/>
      <c r="BC1204" s="441"/>
      <c r="BD1204" s="441"/>
      <c r="BE1204" s="441"/>
      <c r="BF1204" s="441"/>
    </row>
    <row r="1205">
      <c r="A1205" s="798"/>
      <c r="B1205" s="795"/>
      <c r="C1205" s="795"/>
      <c r="D1205" s="795"/>
      <c r="E1205" s="795"/>
      <c r="F1205" s="795"/>
      <c r="G1205" s="795"/>
      <c r="H1205" s="795"/>
      <c r="I1205" s="796"/>
      <c r="J1205" s="441"/>
      <c r="K1205" s="441"/>
      <c r="L1205" s="797"/>
      <c r="M1205" s="441"/>
      <c r="N1205" s="441"/>
      <c r="O1205" s="441"/>
      <c r="P1205" s="441"/>
      <c r="Q1205" s="441"/>
      <c r="R1205" s="426"/>
      <c r="S1205" s="441"/>
      <c r="T1205" s="441"/>
      <c r="U1205" s="441"/>
      <c r="V1205" s="441"/>
      <c r="W1205" s="441"/>
      <c r="X1205" s="441"/>
      <c r="Y1205" s="441"/>
      <c r="Z1205" s="441"/>
      <c r="AA1205" s="441"/>
      <c r="AB1205" s="441"/>
      <c r="AC1205" s="441"/>
      <c r="AD1205" s="441"/>
      <c r="AE1205" s="441"/>
      <c r="AF1205" s="441"/>
      <c r="AG1205" s="441"/>
      <c r="AH1205" s="441"/>
      <c r="AI1205" s="441"/>
      <c r="AJ1205" s="441"/>
      <c r="AK1205" s="441"/>
      <c r="AL1205" s="441"/>
      <c r="AM1205" s="441"/>
      <c r="AN1205" s="441"/>
      <c r="AO1205" s="441"/>
      <c r="AP1205" s="441"/>
      <c r="AQ1205" s="441"/>
      <c r="AR1205" s="441"/>
      <c r="AS1205" s="441"/>
      <c r="AT1205" s="441"/>
      <c r="AU1205" s="441"/>
      <c r="AV1205" s="441"/>
      <c r="AW1205" s="441"/>
      <c r="AX1205" s="441"/>
      <c r="AY1205" s="441"/>
      <c r="AZ1205" s="441"/>
      <c r="BA1205" s="441"/>
      <c r="BB1205" s="441"/>
      <c r="BC1205" s="441"/>
      <c r="BD1205" s="441"/>
      <c r="BE1205" s="441"/>
      <c r="BF1205" s="441"/>
    </row>
    <row r="1206">
      <c r="A1206" s="798"/>
      <c r="B1206" s="795"/>
      <c r="C1206" s="795"/>
      <c r="D1206" s="795"/>
      <c r="E1206" s="795"/>
      <c r="F1206" s="795"/>
      <c r="G1206" s="795"/>
      <c r="H1206" s="795"/>
      <c r="I1206" s="796"/>
      <c r="J1206" s="441"/>
      <c r="K1206" s="441"/>
      <c r="L1206" s="797"/>
      <c r="M1206" s="441"/>
      <c r="N1206" s="441"/>
      <c r="O1206" s="441"/>
      <c r="P1206" s="441"/>
      <c r="Q1206" s="441"/>
      <c r="R1206" s="426"/>
      <c r="S1206" s="441"/>
      <c r="T1206" s="441"/>
      <c r="U1206" s="441"/>
      <c r="V1206" s="441"/>
      <c r="W1206" s="441"/>
      <c r="X1206" s="441"/>
      <c r="Y1206" s="441"/>
      <c r="Z1206" s="441"/>
      <c r="AA1206" s="441"/>
      <c r="AB1206" s="441"/>
      <c r="AC1206" s="441"/>
      <c r="AD1206" s="441"/>
      <c r="AE1206" s="441"/>
      <c r="AF1206" s="441"/>
      <c r="AG1206" s="441"/>
      <c r="AH1206" s="441"/>
      <c r="AI1206" s="441"/>
      <c r="AJ1206" s="441"/>
      <c r="AK1206" s="441"/>
      <c r="AL1206" s="441"/>
      <c r="AM1206" s="441"/>
      <c r="AN1206" s="441"/>
      <c r="AO1206" s="441"/>
      <c r="AP1206" s="441"/>
      <c r="AQ1206" s="441"/>
      <c r="AR1206" s="441"/>
      <c r="AS1206" s="441"/>
      <c r="AT1206" s="441"/>
      <c r="AU1206" s="441"/>
      <c r="AV1206" s="441"/>
      <c r="AW1206" s="441"/>
      <c r="AX1206" s="441"/>
      <c r="AY1206" s="441"/>
      <c r="AZ1206" s="441"/>
      <c r="BA1206" s="441"/>
      <c r="BB1206" s="441"/>
      <c r="BC1206" s="441"/>
      <c r="BD1206" s="441"/>
      <c r="BE1206" s="441"/>
      <c r="BF1206" s="441"/>
    </row>
    <row r="1207">
      <c r="A1207" s="798"/>
      <c r="B1207" s="795"/>
      <c r="C1207" s="795"/>
      <c r="D1207" s="795"/>
      <c r="E1207" s="795"/>
      <c r="F1207" s="795"/>
      <c r="G1207" s="795"/>
      <c r="H1207" s="795"/>
      <c r="I1207" s="796"/>
      <c r="J1207" s="441"/>
      <c r="K1207" s="441"/>
      <c r="L1207" s="797"/>
      <c r="M1207" s="441"/>
      <c r="N1207" s="441"/>
      <c r="O1207" s="441"/>
      <c r="P1207" s="441"/>
      <c r="Q1207" s="441"/>
      <c r="R1207" s="426"/>
      <c r="S1207" s="441"/>
      <c r="T1207" s="441"/>
      <c r="U1207" s="441"/>
      <c r="V1207" s="441"/>
      <c r="W1207" s="441"/>
      <c r="X1207" s="441"/>
      <c r="Y1207" s="441"/>
      <c r="Z1207" s="441"/>
      <c r="AA1207" s="441"/>
      <c r="AB1207" s="441"/>
      <c r="AC1207" s="441"/>
      <c r="AD1207" s="441"/>
      <c r="AE1207" s="441"/>
      <c r="AF1207" s="441"/>
      <c r="AG1207" s="441"/>
      <c r="AH1207" s="441"/>
      <c r="AI1207" s="441"/>
      <c r="AJ1207" s="441"/>
      <c r="AK1207" s="441"/>
      <c r="AL1207" s="441"/>
      <c r="AM1207" s="441"/>
      <c r="AN1207" s="441"/>
      <c r="AO1207" s="441"/>
      <c r="AP1207" s="441"/>
      <c r="AQ1207" s="441"/>
      <c r="AR1207" s="441"/>
      <c r="AS1207" s="441"/>
      <c r="AT1207" s="441"/>
      <c r="AU1207" s="441"/>
      <c r="AV1207" s="441"/>
      <c r="AW1207" s="441"/>
      <c r="AX1207" s="441"/>
      <c r="AY1207" s="441"/>
      <c r="AZ1207" s="441"/>
      <c r="BA1207" s="441"/>
      <c r="BB1207" s="441"/>
      <c r="BC1207" s="441"/>
      <c r="BD1207" s="441"/>
      <c r="BE1207" s="441"/>
      <c r="BF1207" s="441"/>
    </row>
    <row r="1208">
      <c r="A1208" s="798"/>
      <c r="B1208" s="795"/>
      <c r="C1208" s="795"/>
      <c r="D1208" s="795"/>
      <c r="E1208" s="795"/>
      <c r="F1208" s="795"/>
      <c r="G1208" s="795"/>
      <c r="H1208" s="795"/>
      <c r="I1208" s="796"/>
      <c r="J1208" s="441"/>
      <c r="K1208" s="441"/>
      <c r="L1208" s="797"/>
      <c r="M1208" s="441"/>
      <c r="N1208" s="441"/>
      <c r="O1208" s="441"/>
      <c r="P1208" s="441"/>
      <c r="Q1208" s="441"/>
      <c r="R1208" s="426"/>
      <c r="S1208" s="441"/>
      <c r="T1208" s="441"/>
      <c r="U1208" s="441"/>
      <c r="V1208" s="441"/>
      <c r="W1208" s="441"/>
      <c r="X1208" s="441"/>
      <c r="Y1208" s="441"/>
      <c r="Z1208" s="441"/>
      <c r="AA1208" s="441"/>
      <c r="AB1208" s="441"/>
      <c r="AC1208" s="441"/>
      <c r="AD1208" s="441"/>
      <c r="AE1208" s="441"/>
      <c r="AF1208" s="441"/>
      <c r="AG1208" s="441"/>
      <c r="AH1208" s="441"/>
      <c r="AI1208" s="441"/>
      <c r="AJ1208" s="441"/>
      <c r="AK1208" s="441"/>
      <c r="AL1208" s="441"/>
      <c r="AM1208" s="441"/>
      <c r="AN1208" s="441"/>
      <c r="AO1208" s="441"/>
      <c r="AP1208" s="441"/>
      <c r="AQ1208" s="441"/>
      <c r="AR1208" s="441"/>
      <c r="AS1208" s="441"/>
      <c r="AT1208" s="441"/>
      <c r="AU1208" s="441"/>
      <c r="AV1208" s="441"/>
      <c r="AW1208" s="441"/>
      <c r="AX1208" s="441"/>
      <c r="AY1208" s="441"/>
      <c r="AZ1208" s="441"/>
      <c r="BA1208" s="441"/>
      <c r="BB1208" s="441"/>
      <c r="BC1208" s="441"/>
      <c r="BD1208" s="441"/>
      <c r="BE1208" s="441"/>
      <c r="BF1208" s="441"/>
    </row>
    <row r="1209">
      <c r="A1209" s="798"/>
      <c r="B1209" s="795"/>
      <c r="C1209" s="795"/>
      <c r="D1209" s="795"/>
      <c r="E1209" s="795"/>
      <c r="F1209" s="795"/>
      <c r="G1209" s="795"/>
      <c r="H1209" s="795"/>
      <c r="I1209" s="796"/>
      <c r="J1209" s="441"/>
      <c r="K1209" s="441"/>
      <c r="L1209" s="797"/>
      <c r="M1209" s="441"/>
      <c r="N1209" s="441"/>
      <c r="O1209" s="441"/>
      <c r="P1209" s="441"/>
      <c r="Q1209" s="441"/>
      <c r="R1209" s="426"/>
      <c r="S1209" s="441"/>
      <c r="T1209" s="441"/>
      <c r="U1209" s="441"/>
      <c r="V1209" s="441"/>
      <c r="W1209" s="441"/>
      <c r="X1209" s="441"/>
      <c r="Y1209" s="441"/>
      <c r="Z1209" s="441"/>
      <c r="AA1209" s="441"/>
      <c r="AB1209" s="441"/>
      <c r="AC1209" s="441"/>
      <c r="AD1209" s="441"/>
      <c r="AE1209" s="441"/>
      <c r="AF1209" s="441"/>
      <c r="AG1209" s="441"/>
      <c r="AH1209" s="441"/>
      <c r="AI1209" s="441"/>
      <c r="AJ1209" s="441"/>
      <c r="AK1209" s="441"/>
      <c r="AL1209" s="441"/>
      <c r="AM1209" s="441"/>
      <c r="AN1209" s="441"/>
      <c r="AO1209" s="441"/>
      <c r="AP1209" s="441"/>
      <c r="AQ1209" s="441"/>
      <c r="AR1209" s="441"/>
      <c r="AS1209" s="441"/>
      <c r="AT1209" s="441"/>
      <c r="AU1209" s="441"/>
      <c r="AV1209" s="441"/>
      <c r="AW1209" s="441"/>
      <c r="AX1209" s="441"/>
      <c r="AY1209" s="441"/>
      <c r="AZ1209" s="441"/>
      <c r="BA1209" s="441"/>
      <c r="BB1209" s="441"/>
      <c r="BC1209" s="441"/>
      <c r="BD1209" s="441"/>
      <c r="BE1209" s="441"/>
      <c r="BF1209" s="441"/>
    </row>
    <row r="1210">
      <c r="A1210" s="798"/>
      <c r="B1210" s="795"/>
      <c r="C1210" s="795"/>
      <c r="D1210" s="795"/>
      <c r="E1210" s="795"/>
      <c r="F1210" s="795"/>
      <c r="G1210" s="795"/>
      <c r="H1210" s="795"/>
      <c r="I1210" s="796"/>
      <c r="J1210" s="441"/>
      <c r="K1210" s="441"/>
      <c r="L1210" s="797"/>
      <c r="M1210" s="441"/>
      <c r="N1210" s="441"/>
      <c r="O1210" s="441"/>
      <c r="P1210" s="441"/>
      <c r="Q1210" s="441"/>
      <c r="R1210" s="426"/>
      <c r="S1210" s="441"/>
      <c r="T1210" s="441"/>
      <c r="U1210" s="441"/>
      <c r="V1210" s="441"/>
      <c r="W1210" s="441"/>
      <c r="X1210" s="441"/>
      <c r="Y1210" s="441"/>
      <c r="Z1210" s="441"/>
      <c r="AA1210" s="441"/>
      <c r="AB1210" s="441"/>
      <c r="AC1210" s="441"/>
      <c r="AD1210" s="441"/>
      <c r="AE1210" s="441"/>
      <c r="AF1210" s="441"/>
      <c r="AG1210" s="441"/>
      <c r="AH1210" s="441"/>
      <c r="AI1210" s="441"/>
      <c r="AJ1210" s="441"/>
      <c r="AK1210" s="441"/>
      <c r="AL1210" s="441"/>
      <c r="AM1210" s="441"/>
      <c r="AN1210" s="441"/>
      <c r="AO1210" s="441"/>
      <c r="AP1210" s="441"/>
      <c r="AQ1210" s="441"/>
      <c r="AR1210" s="441"/>
      <c r="AS1210" s="441"/>
      <c r="AT1210" s="441"/>
      <c r="AU1210" s="441"/>
      <c r="AV1210" s="441"/>
      <c r="AW1210" s="441"/>
      <c r="AX1210" s="441"/>
      <c r="AY1210" s="441"/>
      <c r="AZ1210" s="441"/>
      <c r="BA1210" s="441"/>
      <c r="BB1210" s="441"/>
      <c r="BC1210" s="441"/>
      <c r="BD1210" s="441"/>
      <c r="BE1210" s="441"/>
      <c r="BF1210" s="441"/>
    </row>
    <row r="1211">
      <c r="A1211" s="798"/>
      <c r="B1211" s="795"/>
      <c r="C1211" s="795"/>
      <c r="D1211" s="795"/>
      <c r="E1211" s="795"/>
      <c r="F1211" s="795"/>
      <c r="G1211" s="795"/>
      <c r="H1211" s="795"/>
      <c r="I1211" s="796"/>
      <c r="J1211" s="441"/>
      <c r="K1211" s="441"/>
      <c r="L1211" s="797"/>
      <c r="M1211" s="441"/>
      <c r="N1211" s="441"/>
      <c r="O1211" s="441"/>
      <c r="P1211" s="441"/>
      <c r="Q1211" s="441"/>
      <c r="R1211" s="426"/>
      <c r="S1211" s="441"/>
      <c r="T1211" s="441"/>
      <c r="U1211" s="441"/>
      <c r="V1211" s="441"/>
      <c r="W1211" s="441"/>
      <c r="X1211" s="441"/>
      <c r="Y1211" s="441"/>
      <c r="Z1211" s="441"/>
      <c r="AA1211" s="441"/>
      <c r="AB1211" s="441"/>
      <c r="AC1211" s="441"/>
      <c r="AD1211" s="441"/>
      <c r="AE1211" s="441"/>
      <c r="AF1211" s="441"/>
      <c r="AG1211" s="441"/>
      <c r="AH1211" s="441"/>
      <c r="AI1211" s="441"/>
      <c r="AJ1211" s="441"/>
      <c r="AK1211" s="441"/>
      <c r="AL1211" s="441"/>
      <c r="AM1211" s="441"/>
      <c r="AN1211" s="441"/>
      <c r="AO1211" s="441"/>
      <c r="AP1211" s="441"/>
      <c r="AQ1211" s="441"/>
      <c r="AR1211" s="441"/>
      <c r="AS1211" s="441"/>
      <c r="AT1211" s="441"/>
      <c r="AU1211" s="441"/>
      <c r="AV1211" s="441"/>
      <c r="AW1211" s="441"/>
      <c r="AX1211" s="441"/>
      <c r="AY1211" s="441"/>
      <c r="AZ1211" s="441"/>
      <c r="BA1211" s="441"/>
      <c r="BB1211" s="441"/>
      <c r="BC1211" s="441"/>
      <c r="BD1211" s="441"/>
      <c r="BE1211" s="441"/>
      <c r="BF1211" s="441"/>
    </row>
    <row r="1212">
      <c r="A1212" s="798"/>
      <c r="B1212" s="795"/>
      <c r="C1212" s="795"/>
      <c r="D1212" s="795"/>
      <c r="E1212" s="795"/>
      <c r="F1212" s="795"/>
      <c r="G1212" s="795"/>
      <c r="H1212" s="795"/>
      <c r="I1212" s="796"/>
      <c r="J1212" s="441"/>
      <c r="K1212" s="441"/>
      <c r="L1212" s="797"/>
      <c r="M1212" s="441"/>
      <c r="N1212" s="441"/>
      <c r="O1212" s="441"/>
      <c r="P1212" s="441"/>
      <c r="Q1212" s="441"/>
      <c r="R1212" s="426"/>
      <c r="S1212" s="441"/>
      <c r="T1212" s="441"/>
      <c r="U1212" s="441"/>
      <c r="V1212" s="441"/>
      <c r="W1212" s="441"/>
      <c r="X1212" s="441"/>
      <c r="Y1212" s="441"/>
      <c r="Z1212" s="441"/>
      <c r="AA1212" s="441"/>
      <c r="AB1212" s="441"/>
      <c r="AC1212" s="441"/>
      <c r="AD1212" s="441"/>
      <c r="AE1212" s="441"/>
      <c r="AF1212" s="441"/>
      <c r="AG1212" s="441"/>
      <c r="AH1212" s="441"/>
      <c r="AI1212" s="441"/>
      <c r="AJ1212" s="441"/>
      <c r="AK1212" s="441"/>
      <c r="AL1212" s="441"/>
      <c r="AM1212" s="441"/>
      <c r="AN1212" s="441"/>
      <c r="AO1212" s="441"/>
      <c r="AP1212" s="441"/>
      <c r="AQ1212" s="441"/>
      <c r="AR1212" s="441"/>
      <c r="AS1212" s="441"/>
      <c r="AT1212" s="441"/>
      <c r="AU1212" s="441"/>
      <c r="AV1212" s="441"/>
      <c r="AW1212" s="441"/>
      <c r="AX1212" s="441"/>
      <c r="AY1212" s="441"/>
      <c r="AZ1212" s="441"/>
      <c r="BA1212" s="441"/>
      <c r="BB1212" s="441"/>
      <c r="BC1212" s="441"/>
      <c r="BD1212" s="441"/>
      <c r="BE1212" s="441"/>
      <c r="BF1212" s="441"/>
    </row>
    <row r="1213">
      <c r="A1213" s="798"/>
      <c r="B1213" s="795"/>
      <c r="C1213" s="795"/>
      <c r="D1213" s="795"/>
      <c r="E1213" s="795"/>
      <c r="F1213" s="795"/>
      <c r="G1213" s="795"/>
      <c r="H1213" s="795"/>
      <c r="I1213" s="796"/>
      <c r="J1213" s="441"/>
      <c r="K1213" s="441"/>
      <c r="L1213" s="797"/>
      <c r="M1213" s="441"/>
      <c r="N1213" s="441"/>
      <c r="O1213" s="441"/>
      <c r="P1213" s="441"/>
      <c r="Q1213" s="441"/>
      <c r="R1213" s="426"/>
      <c r="S1213" s="441"/>
      <c r="T1213" s="441"/>
      <c r="U1213" s="441"/>
      <c r="V1213" s="441"/>
      <c r="W1213" s="441"/>
      <c r="X1213" s="441"/>
      <c r="Y1213" s="441"/>
      <c r="Z1213" s="441"/>
      <c r="AA1213" s="441"/>
      <c r="AB1213" s="441"/>
      <c r="AC1213" s="441"/>
      <c r="AD1213" s="441"/>
      <c r="AE1213" s="441"/>
      <c r="AF1213" s="441"/>
      <c r="AG1213" s="441"/>
      <c r="AH1213" s="441"/>
      <c r="AI1213" s="441"/>
      <c r="AJ1213" s="441"/>
      <c r="AK1213" s="441"/>
      <c r="AL1213" s="441"/>
      <c r="AM1213" s="441"/>
      <c r="AN1213" s="441"/>
      <c r="AO1213" s="441"/>
      <c r="AP1213" s="441"/>
      <c r="AQ1213" s="441"/>
      <c r="AR1213" s="441"/>
      <c r="AS1213" s="441"/>
      <c r="AT1213" s="441"/>
      <c r="AU1213" s="441"/>
      <c r="AV1213" s="441"/>
      <c r="AW1213" s="441"/>
      <c r="AX1213" s="441"/>
      <c r="AY1213" s="441"/>
      <c r="AZ1213" s="441"/>
      <c r="BA1213" s="441"/>
      <c r="BB1213" s="441"/>
      <c r="BC1213" s="441"/>
      <c r="BD1213" s="441"/>
      <c r="BE1213" s="441"/>
      <c r="BF1213" s="441"/>
    </row>
    <row r="1214">
      <c r="A1214" s="798"/>
      <c r="B1214" s="795"/>
      <c r="C1214" s="795"/>
      <c r="D1214" s="795"/>
      <c r="E1214" s="795"/>
      <c r="F1214" s="795"/>
      <c r="G1214" s="795"/>
      <c r="H1214" s="795"/>
      <c r="I1214" s="796"/>
      <c r="J1214" s="441"/>
      <c r="K1214" s="441"/>
      <c r="L1214" s="797"/>
      <c r="M1214" s="441"/>
      <c r="N1214" s="441"/>
      <c r="O1214" s="441"/>
      <c r="P1214" s="441"/>
      <c r="Q1214" s="441"/>
      <c r="R1214" s="426"/>
      <c r="S1214" s="441"/>
      <c r="T1214" s="441"/>
      <c r="U1214" s="441"/>
      <c r="V1214" s="441"/>
      <c r="W1214" s="441"/>
      <c r="X1214" s="441"/>
      <c r="Y1214" s="441"/>
      <c r="Z1214" s="441"/>
      <c r="AA1214" s="441"/>
      <c r="AB1214" s="441"/>
      <c r="AC1214" s="441"/>
      <c r="AD1214" s="441"/>
      <c r="AE1214" s="441"/>
      <c r="AF1214" s="441"/>
      <c r="AG1214" s="441"/>
      <c r="AH1214" s="441"/>
      <c r="AI1214" s="441"/>
      <c r="AJ1214" s="441"/>
      <c r="AK1214" s="441"/>
      <c r="AL1214" s="441"/>
      <c r="AM1214" s="441"/>
      <c r="AN1214" s="441"/>
      <c r="AO1214" s="441"/>
      <c r="AP1214" s="441"/>
      <c r="AQ1214" s="441"/>
      <c r="AR1214" s="441"/>
      <c r="AS1214" s="441"/>
      <c r="AT1214" s="441"/>
      <c r="AU1214" s="441"/>
      <c r="AV1214" s="441"/>
      <c r="AW1214" s="441"/>
      <c r="AX1214" s="441"/>
      <c r="AY1214" s="441"/>
      <c r="AZ1214" s="441"/>
      <c r="BA1214" s="441"/>
      <c r="BB1214" s="441"/>
      <c r="BC1214" s="441"/>
      <c r="BD1214" s="441"/>
      <c r="BE1214" s="441"/>
      <c r="BF1214" s="441"/>
    </row>
    <row r="1215">
      <c r="A1215" s="798"/>
      <c r="B1215" s="795"/>
      <c r="C1215" s="795"/>
      <c r="D1215" s="795"/>
      <c r="E1215" s="795"/>
      <c r="F1215" s="795"/>
      <c r="G1215" s="795"/>
      <c r="H1215" s="795"/>
      <c r="I1215" s="796"/>
      <c r="J1215" s="441"/>
      <c r="K1215" s="441"/>
      <c r="L1215" s="797"/>
      <c r="M1215" s="441"/>
      <c r="N1215" s="441"/>
      <c r="O1215" s="441"/>
      <c r="P1215" s="441"/>
      <c r="Q1215" s="441"/>
      <c r="R1215" s="426"/>
      <c r="S1215" s="441"/>
      <c r="T1215" s="441"/>
      <c r="U1215" s="441"/>
      <c r="V1215" s="441"/>
      <c r="W1215" s="441"/>
      <c r="X1215" s="441"/>
      <c r="Y1215" s="441"/>
      <c r="Z1215" s="441"/>
      <c r="AA1215" s="441"/>
      <c r="AB1215" s="441"/>
      <c r="AC1215" s="441"/>
      <c r="AD1215" s="441"/>
      <c r="AE1215" s="441"/>
      <c r="AF1215" s="441"/>
      <c r="AG1215" s="441"/>
      <c r="AH1215" s="441"/>
      <c r="AI1215" s="441"/>
      <c r="AJ1215" s="441"/>
      <c r="AK1215" s="441"/>
      <c r="AL1215" s="441"/>
      <c r="AM1215" s="441"/>
      <c r="AN1215" s="441"/>
      <c r="AO1215" s="441"/>
      <c r="AP1215" s="441"/>
      <c r="AQ1215" s="441"/>
      <c r="AR1215" s="441"/>
      <c r="AS1215" s="441"/>
      <c r="AT1215" s="441"/>
      <c r="AU1215" s="441"/>
      <c r="AV1215" s="441"/>
      <c r="AW1215" s="441"/>
      <c r="AX1215" s="441"/>
      <c r="AY1215" s="441"/>
      <c r="AZ1215" s="441"/>
      <c r="BA1215" s="441"/>
      <c r="BB1215" s="441"/>
      <c r="BC1215" s="441"/>
      <c r="BD1215" s="441"/>
      <c r="BE1215" s="441"/>
      <c r="BF1215" s="441"/>
    </row>
    <row r="1216">
      <c r="A1216" s="798"/>
      <c r="B1216" s="795"/>
      <c r="C1216" s="795"/>
      <c r="D1216" s="795"/>
      <c r="E1216" s="795"/>
      <c r="F1216" s="795"/>
      <c r="G1216" s="795"/>
      <c r="H1216" s="795"/>
      <c r="I1216" s="796"/>
      <c r="J1216" s="441"/>
      <c r="K1216" s="441"/>
      <c r="L1216" s="797"/>
      <c r="M1216" s="441"/>
      <c r="N1216" s="441"/>
      <c r="O1216" s="441"/>
      <c r="P1216" s="441"/>
      <c r="Q1216" s="441"/>
      <c r="R1216" s="426"/>
      <c r="S1216" s="441"/>
      <c r="T1216" s="441"/>
      <c r="U1216" s="441"/>
      <c r="V1216" s="441"/>
      <c r="W1216" s="441"/>
      <c r="X1216" s="441"/>
      <c r="Y1216" s="441"/>
      <c r="Z1216" s="441"/>
      <c r="AA1216" s="441"/>
      <c r="AB1216" s="441"/>
      <c r="AC1216" s="441"/>
      <c r="AD1216" s="441"/>
      <c r="AE1216" s="441"/>
      <c r="AF1216" s="441"/>
      <c r="AG1216" s="441"/>
      <c r="AH1216" s="441"/>
      <c r="AI1216" s="441"/>
      <c r="AJ1216" s="441"/>
      <c r="AK1216" s="441"/>
      <c r="AL1216" s="441"/>
      <c r="AM1216" s="441"/>
      <c r="AN1216" s="441"/>
      <c r="AO1216" s="441"/>
      <c r="AP1216" s="441"/>
      <c r="AQ1216" s="441"/>
      <c r="AR1216" s="441"/>
      <c r="AS1216" s="441"/>
      <c r="AT1216" s="441"/>
      <c r="AU1216" s="441"/>
      <c r="AV1216" s="441"/>
      <c r="AW1216" s="441"/>
      <c r="AX1216" s="441"/>
      <c r="AY1216" s="441"/>
      <c r="AZ1216" s="441"/>
      <c r="BA1216" s="441"/>
      <c r="BB1216" s="441"/>
      <c r="BC1216" s="441"/>
      <c r="BD1216" s="441"/>
      <c r="BE1216" s="441"/>
      <c r="BF1216" s="441"/>
    </row>
    <row r="1217">
      <c r="A1217" s="798"/>
      <c r="B1217" s="795"/>
      <c r="C1217" s="795"/>
      <c r="D1217" s="795"/>
      <c r="E1217" s="795"/>
      <c r="F1217" s="795"/>
      <c r="G1217" s="795"/>
      <c r="H1217" s="795"/>
      <c r="I1217" s="796"/>
      <c r="J1217" s="441"/>
      <c r="K1217" s="441"/>
      <c r="L1217" s="797"/>
      <c r="M1217" s="441"/>
      <c r="N1217" s="441"/>
      <c r="O1217" s="441"/>
      <c r="P1217" s="441"/>
      <c r="Q1217" s="441"/>
      <c r="R1217" s="426"/>
      <c r="S1217" s="441"/>
      <c r="T1217" s="441"/>
      <c r="U1217" s="441"/>
      <c r="V1217" s="441"/>
      <c r="W1217" s="441"/>
      <c r="X1217" s="441"/>
      <c r="Y1217" s="441"/>
      <c r="Z1217" s="441"/>
      <c r="AA1217" s="441"/>
      <c r="AB1217" s="441"/>
      <c r="AC1217" s="441"/>
      <c r="AD1217" s="441"/>
      <c r="AE1217" s="441"/>
      <c r="AF1217" s="441"/>
      <c r="AG1217" s="441"/>
      <c r="AH1217" s="441"/>
      <c r="AI1217" s="441"/>
      <c r="AJ1217" s="441"/>
      <c r="AK1217" s="441"/>
      <c r="AL1217" s="441"/>
      <c r="AM1217" s="441"/>
      <c r="AN1217" s="441"/>
      <c r="AO1217" s="441"/>
      <c r="AP1217" s="441"/>
      <c r="AQ1217" s="441"/>
      <c r="AR1217" s="441"/>
      <c r="AS1217" s="441"/>
      <c r="AT1217" s="441"/>
      <c r="AU1217" s="441"/>
      <c r="AV1217" s="441"/>
      <c r="AW1217" s="441"/>
      <c r="AX1217" s="441"/>
      <c r="AY1217" s="441"/>
      <c r="AZ1217" s="441"/>
      <c r="BA1217" s="441"/>
      <c r="BB1217" s="441"/>
      <c r="BC1217" s="441"/>
      <c r="BD1217" s="441"/>
      <c r="BE1217" s="441"/>
      <c r="BF1217" s="441"/>
    </row>
    <row r="1218">
      <c r="A1218" s="798"/>
      <c r="B1218" s="795"/>
      <c r="C1218" s="795"/>
      <c r="D1218" s="795"/>
      <c r="E1218" s="795"/>
      <c r="F1218" s="795"/>
      <c r="G1218" s="795"/>
      <c r="H1218" s="795"/>
      <c r="I1218" s="796"/>
      <c r="J1218" s="441"/>
      <c r="K1218" s="441"/>
      <c r="L1218" s="797"/>
      <c r="M1218" s="441"/>
      <c r="N1218" s="441"/>
      <c r="O1218" s="441"/>
      <c r="P1218" s="441"/>
      <c r="Q1218" s="441"/>
      <c r="R1218" s="426"/>
      <c r="S1218" s="441"/>
      <c r="T1218" s="441"/>
      <c r="U1218" s="441"/>
      <c r="V1218" s="441"/>
      <c r="W1218" s="441"/>
      <c r="X1218" s="441"/>
      <c r="Y1218" s="441"/>
      <c r="Z1218" s="441"/>
      <c r="AA1218" s="441"/>
      <c r="AB1218" s="441"/>
      <c r="AC1218" s="441"/>
      <c r="AD1218" s="441"/>
      <c r="AE1218" s="441"/>
      <c r="AF1218" s="441"/>
      <c r="AG1218" s="441"/>
      <c r="AH1218" s="441"/>
      <c r="AI1218" s="441"/>
      <c r="AJ1218" s="441"/>
      <c r="AK1218" s="441"/>
      <c r="AL1218" s="441"/>
      <c r="AM1218" s="441"/>
      <c r="AN1218" s="441"/>
      <c r="AO1218" s="441"/>
      <c r="AP1218" s="441"/>
      <c r="AQ1218" s="441"/>
      <c r="AR1218" s="441"/>
      <c r="AS1218" s="441"/>
      <c r="AT1218" s="441"/>
      <c r="AU1218" s="441"/>
      <c r="AV1218" s="441"/>
      <c r="AW1218" s="441"/>
      <c r="AX1218" s="441"/>
      <c r="AY1218" s="441"/>
      <c r="AZ1218" s="441"/>
      <c r="BA1218" s="441"/>
      <c r="BB1218" s="441"/>
      <c r="BC1218" s="441"/>
      <c r="BD1218" s="441"/>
      <c r="BE1218" s="441"/>
      <c r="BF1218" s="441"/>
    </row>
    <row r="1219">
      <c r="A1219" s="798"/>
      <c r="B1219" s="795"/>
      <c r="C1219" s="795"/>
      <c r="D1219" s="795"/>
      <c r="E1219" s="795"/>
      <c r="F1219" s="795"/>
      <c r="G1219" s="795"/>
      <c r="H1219" s="795"/>
      <c r="I1219" s="796"/>
      <c r="J1219" s="441"/>
      <c r="K1219" s="441"/>
      <c r="L1219" s="797"/>
      <c r="M1219" s="441"/>
      <c r="N1219" s="441"/>
      <c r="O1219" s="441"/>
      <c r="P1219" s="441"/>
      <c r="Q1219" s="441"/>
      <c r="R1219" s="426"/>
      <c r="S1219" s="441"/>
      <c r="T1219" s="441"/>
      <c r="U1219" s="441"/>
      <c r="V1219" s="441"/>
      <c r="W1219" s="441"/>
      <c r="X1219" s="441"/>
      <c r="Y1219" s="441"/>
      <c r="Z1219" s="441"/>
      <c r="AA1219" s="441"/>
      <c r="AB1219" s="441"/>
      <c r="AC1219" s="441"/>
      <c r="AD1219" s="441"/>
      <c r="AE1219" s="441"/>
      <c r="AF1219" s="441"/>
      <c r="AG1219" s="441"/>
      <c r="AH1219" s="441"/>
      <c r="AI1219" s="441"/>
      <c r="AJ1219" s="441"/>
      <c r="AK1219" s="441"/>
      <c r="AL1219" s="441"/>
      <c r="AM1219" s="441"/>
      <c r="AN1219" s="441"/>
      <c r="AO1219" s="441"/>
      <c r="AP1219" s="441"/>
      <c r="AQ1219" s="441"/>
      <c r="AR1219" s="441"/>
      <c r="AS1219" s="441"/>
      <c r="AT1219" s="441"/>
      <c r="AU1219" s="441"/>
      <c r="AV1219" s="441"/>
      <c r="AW1219" s="441"/>
      <c r="AX1219" s="441"/>
      <c r="AY1219" s="441"/>
      <c r="AZ1219" s="441"/>
      <c r="BA1219" s="441"/>
      <c r="BB1219" s="441"/>
      <c r="BC1219" s="441"/>
      <c r="BD1219" s="441"/>
      <c r="BE1219" s="441"/>
      <c r="BF1219" s="441"/>
    </row>
    <row r="1220">
      <c r="A1220" s="798"/>
      <c r="B1220" s="795"/>
      <c r="C1220" s="795"/>
      <c r="D1220" s="795"/>
      <c r="E1220" s="795"/>
      <c r="F1220" s="795"/>
      <c r="G1220" s="795"/>
      <c r="H1220" s="795"/>
      <c r="I1220" s="796"/>
      <c r="J1220" s="441"/>
      <c r="K1220" s="441"/>
      <c r="L1220" s="797"/>
      <c r="M1220" s="441"/>
      <c r="N1220" s="441"/>
      <c r="O1220" s="441"/>
      <c r="P1220" s="441"/>
      <c r="Q1220" s="441"/>
      <c r="R1220" s="426"/>
      <c r="S1220" s="441"/>
      <c r="T1220" s="441"/>
      <c r="U1220" s="441"/>
      <c r="V1220" s="441"/>
      <c r="W1220" s="441"/>
      <c r="X1220" s="441"/>
      <c r="Y1220" s="441"/>
      <c r="Z1220" s="441"/>
      <c r="AA1220" s="441"/>
      <c r="AB1220" s="441"/>
      <c r="AC1220" s="441"/>
      <c r="AD1220" s="441"/>
      <c r="AE1220" s="441"/>
      <c r="AF1220" s="441"/>
      <c r="AG1220" s="441"/>
      <c r="AH1220" s="441"/>
      <c r="AI1220" s="441"/>
      <c r="AJ1220" s="441"/>
      <c r="AK1220" s="441"/>
      <c r="AL1220" s="441"/>
      <c r="AM1220" s="441"/>
      <c r="AN1220" s="441"/>
      <c r="AO1220" s="441"/>
      <c r="AP1220" s="441"/>
      <c r="AQ1220" s="441"/>
      <c r="AR1220" s="441"/>
      <c r="AS1220" s="441"/>
      <c r="AT1220" s="441"/>
      <c r="AU1220" s="441"/>
      <c r="AV1220" s="441"/>
      <c r="AW1220" s="441"/>
      <c r="AX1220" s="441"/>
      <c r="AY1220" s="441"/>
      <c r="AZ1220" s="441"/>
      <c r="BA1220" s="441"/>
      <c r="BB1220" s="441"/>
      <c r="BC1220" s="441"/>
      <c r="BD1220" s="441"/>
      <c r="BE1220" s="441"/>
      <c r="BF1220" s="441"/>
    </row>
    <row r="1221">
      <c r="A1221" s="798"/>
      <c r="B1221" s="795"/>
      <c r="C1221" s="795"/>
      <c r="D1221" s="795"/>
      <c r="E1221" s="795"/>
      <c r="F1221" s="795"/>
      <c r="G1221" s="795"/>
      <c r="H1221" s="795"/>
      <c r="I1221" s="796"/>
      <c r="J1221" s="441"/>
      <c r="K1221" s="441"/>
      <c r="L1221" s="797"/>
      <c r="M1221" s="441"/>
      <c r="N1221" s="441"/>
      <c r="O1221" s="441"/>
      <c r="P1221" s="441"/>
      <c r="Q1221" s="441"/>
      <c r="R1221" s="426"/>
      <c r="S1221" s="441"/>
      <c r="T1221" s="441"/>
      <c r="U1221" s="441"/>
      <c r="V1221" s="441"/>
      <c r="W1221" s="441"/>
      <c r="X1221" s="441"/>
      <c r="Y1221" s="441"/>
      <c r="Z1221" s="441"/>
      <c r="AA1221" s="441"/>
      <c r="AB1221" s="441"/>
      <c r="AC1221" s="441"/>
      <c r="AD1221" s="441"/>
      <c r="AE1221" s="441"/>
      <c r="AF1221" s="441"/>
      <c r="AG1221" s="441"/>
      <c r="AH1221" s="441"/>
      <c r="AI1221" s="441"/>
      <c r="AJ1221" s="441"/>
      <c r="AK1221" s="441"/>
      <c r="AL1221" s="441"/>
      <c r="AM1221" s="441"/>
      <c r="AN1221" s="441"/>
      <c r="AO1221" s="441"/>
      <c r="AP1221" s="441"/>
      <c r="AQ1221" s="441"/>
      <c r="AR1221" s="441"/>
      <c r="AS1221" s="441"/>
      <c r="AT1221" s="441"/>
      <c r="AU1221" s="441"/>
      <c r="AV1221" s="441"/>
      <c r="AW1221" s="441"/>
      <c r="AX1221" s="441"/>
      <c r="AY1221" s="441"/>
      <c r="AZ1221" s="441"/>
      <c r="BA1221" s="441"/>
      <c r="BB1221" s="441"/>
      <c r="BC1221" s="441"/>
      <c r="BD1221" s="441"/>
      <c r="BE1221" s="441"/>
      <c r="BF1221" s="441"/>
    </row>
    <row r="1222">
      <c r="A1222" s="798"/>
      <c r="B1222" s="795"/>
      <c r="C1222" s="795"/>
      <c r="D1222" s="795"/>
      <c r="E1222" s="795"/>
      <c r="F1222" s="795"/>
      <c r="G1222" s="795"/>
      <c r="H1222" s="795"/>
      <c r="I1222" s="796"/>
      <c r="J1222" s="441"/>
      <c r="K1222" s="441"/>
      <c r="L1222" s="797"/>
      <c r="M1222" s="441"/>
      <c r="N1222" s="441"/>
      <c r="O1222" s="441"/>
      <c r="P1222" s="441"/>
      <c r="Q1222" s="441"/>
      <c r="R1222" s="426"/>
      <c r="S1222" s="441"/>
      <c r="T1222" s="441"/>
      <c r="U1222" s="441"/>
      <c r="V1222" s="441"/>
      <c r="W1222" s="441"/>
      <c r="X1222" s="441"/>
      <c r="Y1222" s="441"/>
      <c r="Z1222" s="441"/>
      <c r="AA1222" s="441"/>
      <c r="AB1222" s="441"/>
      <c r="AC1222" s="441"/>
      <c r="AD1222" s="441"/>
      <c r="AE1222" s="441"/>
      <c r="AF1222" s="441"/>
      <c r="AG1222" s="441"/>
      <c r="AH1222" s="441"/>
      <c r="AI1222" s="441"/>
      <c r="AJ1222" s="441"/>
      <c r="AK1222" s="441"/>
      <c r="AL1222" s="441"/>
      <c r="AM1222" s="441"/>
      <c r="AN1222" s="441"/>
      <c r="AO1222" s="441"/>
      <c r="AP1222" s="441"/>
      <c r="AQ1222" s="441"/>
      <c r="AR1222" s="441"/>
      <c r="AS1222" s="441"/>
      <c r="AT1222" s="441"/>
      <c r="AU1222" s="441"/>
      <c r="AV1222" s="441"/>
      <c r="AW1222" s="441"/>
      <c r="AX1222" s="441"/>
      <c r="AY1222" s="441"/>
      <c r="AZ1222" s="441"/>
      <c r="BA1222" s="441"/>
      <c r="BB1222" s="441"/>
      <c r="BC1222" s="441"/>
      <c r="BD1222" s="441"/>
      <c r="BE1222" s="441"/>
      <c r="BF1222" s="441"/>
    </row>
    <row r="1223">
      <c r="A1223" s="798"/>
      <c r="B1223" s="795"/>
      <c r="C1223" s="795"/>
      <c r="D1223" s="795"/>
      <c r="E1223" s="795"/>
      <c r="F1223" s="795"/>
      <c r="G1223" s="795"/>
      <c r="H1223" s="795"/>
      <c r="I1223" s="796"/>
      <c r="J1223" s="441"/>
      <c r="K1223" s="441"/>
      <c r="L1223" s="797"/>
      <c r="M1223" s="441"/>
      <c r="N1223" s="441"/>
      <c r="O1223" s="441"/>
      <c r="P1223" s="441"/>
      <c r="Q1223" s="441"/>
      <c r="R1223" s="426"/>
      <c r="S1223" s="441"/>
      <c r="T1223" s="441"/>
      <c r="U1223" s="441"/>
      <c r="V1223" s="441"/>
      <c r="W1223" s="441"/>
      <c r="X1223" s="441"/>
      <c r="Y1223" s="441"/>
      <c r="Z1223" s="441"/>
      <c r="AA1223" s="441"/>
      <c r="AB1223" s="441"/>
      <c r="AC1223" s="441"/>
      <c r="AD1223" s="441"/>
      <c r="AE1223" s="441"/>
      <c r="AF1223" s="441"/>
      <c r="AG1223" s="441"/>
      <c r="AH1223" s="441"/>
      <c r="AI1223" s="441"/>
      <c r="AJ1223" s="441"/>
      <c r="AK1223" s="441"/>
      <c r="AL1223" s="441"/>
      <c r="AM1223" s="441"/>
      <c r="AN1223" s="441"/>
      <c r="AO1223" s="441"/>
      <c r="AP1223" s="441"/>
      <c r="AQ1223" s="441"/>
      <c r="AR1223" s="441"/>
      <c r="AS1223" s="441"/>
      <c r="AT1223" s="441"/>
      <c r="AU1223" s="441"/>
      <c r="AV1223" s="441"/>
      <c r="AW1223" s="441"/>
      <c r="AX1223" s="441"/>
      <c r="AY1223" s="441"/>
      <c r="AZ1223" s="441"/>
      <c r="BA1223" s="441"/>
      <c r="BB1223" s="441"/>
      <c r="BC1223" s="441"/>
      <c r="BD1223" s="441"/>
      <c r="BE1223" s="441"/>
      <c r="BF1223" s="441"/>
    </row>
    <row r="1224">
      <c r="A1224" s="798"/>
      <c r="B1224" s="795"/>
      <c r="C1224" s="795"/>
      <c r="D1224" s="795"/>
      <c r="E1224" s="795"/>
      <c r="F1224" s="795"/>
      <c r="G1224" s="795"/>
      <c r="H1224" s="795"/>
      <c r="I1224" s="796"/>
      <c r="J1224" s="441"/>
      <c r="K1224" s="441"/>
      <c r="L1224" s="797"/>
      <c r="M1224" s="441"/>
      <c r="N1224" s="441"/>
      <c r="O1224" s="441"/>
      <c r="P1224" s="441"/>
      <c r="Q1224" s="441"/>
      <c r="R1224" s="426"/>
      <c r="S1224" s="441"/>
      <c r="T1224" s="441"/>
      <c r="U1224" s="441"/>
      <c r="V1224" s="441"/>
      <c r="W1224" s="441"/>
      <c r="X1224" s="441"/>
      <c r="Y1224" s="441"/>
      <c r="Z1224" s="441"/>
      <c r="AA1224" s="441"/>
      <c r="AB1224" s="441"/>
      <c r="AC1224" s="441"/>
      <c r="AD1224" s="441"/>
      <c r="AE1224" s="441"/>
      <c r="AF1224" s="441"/>
      <c r="AG1224" s="441"/>
      <c r="AH1224" s="441"/>
      <c r="AI1224" s="441"/>
      <c r="AJ1224" s="441"/>
      <c r="AK1224" s="441"/>
      <c r="AL1224" s="441"/>
      <c r="AM1224" s="441"/>
      <c r="AN1224" s="441"/>
      <c r="AO1224" s="441"/>
      <c r="AP1224" s="441"/>
      <c r="AQ1224" s="441"/>
      <c r="AR1224" s="441"/>
      <c r="AS1224" s="441"/>
      <c r="AT1224" s="441"/>
      <c r="AU1224" s="441"/>
      <c r="AV1224" s="441"/>
      <c r="AW1224" s="441"/>
      <c r="AX1224" s="441"/>
      <c r="AY1224" s="441"/>
      <c r="AZ1224" s="441"/>
      <c r="BA1224" s="441"/>
      <c r="BB1224" s="441"/>
      <c r="BC1224" s="441"/>
      <c r="BD1224" s="441"/>
      <c r="BE1224" s="441"/>
      <c r="BF1224" s="441"/>
    </row>
    <row r="1225">
      <c r="A1225" s="798"/>
      <c r="B1225" s="795"/>
      <c r="C1225" s="795"/>
      <c r="D1225" s="795"/>
      <c r="E1225" s="795"/>
      <c r="F1225" s="795"/>
      <c r="G1225" s="795"/>
      <c r="H1225" s="795"/>
      <c r="I1225" s="796"/>
      <c r="J1225" s="441"/>
      <c r="K1225" s="441"/>
      <c r="L1225" s="797"/>
      <c r="M1225" s="441"/>
      <c r="N1225" s="441"/>
      <c r="O1225" s="441"/>
      <c r="P1225" s="441"/>
      <c r="Q1225" s="441"/>
      <c r="R1225" s="426"/>
      <c r="S1225" s="441"/>
      <c r="T1225" s="441"/>
      <c r="U1225" s="441"/>
      <c r="V1225" s="441"/>
      <c r="W1225" s="441"/>
      <c r="X1225" s="441"/>
      <c r="Y1225" s="441"/>
      <c r="Z1225" s="441"/>
      <c r="AA1225" s="441"/>
      <c r="AB1225" s="441"/>
      <c r="AC1225" s="441"/>
      <c r="AD1225" s="441"/>
      <c r="AE1225" s="441"/>
      <c r="AF1225" s="441"/>
      <c r="AG1225" s="441"/>
      <c r="AH1225" s="441"/>
      <c r="AI1225" s="441"/>
      <c r="AJ1225" s="441"/>
      <c r="AK1225" s="441"/>
      <c r="AL1225" s="441"/>
      <c r="AM1225" s="441"/>
      <c r="AN1225" s="441"/>
      <c r="AO1225" s="441"/>
      <c r="AP1225" s="441"/>
      <c r="AQ1225" s="441"/>
      <c r="AR1225" s="441"/>
      <c r="AS1225" s="441"/>
      <c r="AT1225" s="441"/>
      <c r="AU1225" s="441"/>
      <c r="AV1225" s="441"/>
      <c r="AW1225" s="441"/>
      <c r="AX1225" s="441"/>
      <c r="AY1225" s="441"/>
      <c r="AZ1225" s="441"/>
      <c r="BA1225" s="441"/>
      <c r="BB1225" s="441"/>
      <c r="BC1225" s="441"/>
      <c r="BD1225" s="441"/>
      <c r="BE1225" s="441"/>
      <c r="BF1225" s="441"/>
    </row>
    <row r="1226">
      <c r="A1226" s="798"/>
      <c r="B1226" s="795"/>
      <c r="C1226" s="795"/>
      <c r="D1226" s="795"/>
      <c r="E1226" s="795"/>
      <c r="F1226" s="795"/>
      <c r="G1226" s="795"/>
      <c r="H1226" s="795"/>
      <c r="I1226" s="796"/>
      <c r="J1226" s="441"/>
      <c r="K1226" s="441"/>
      <c r="L1226" s="797"/>
      <c r="M1226" s="441"/>
      <c r="N1226" s="441"/>
      <c r="O1226" s="441"/>
      <c r="P1226" s="441"/>
      <c r="Q1226" s="441"/>
      <c r="R1226" s="426"/>
      <c r="S1226" s="441"/>
      <c r="T1226" s="441"/>
      <c r="U1226" s="441"/>
      <c r="V1226" s="441"/>
      <c r="W1226" s="441"/>
      <c r="X1226" s="441"/>
      <c r="Y1226" s="441"/>
      <c r="Z1226" s="441"/>
      <c r="AA1226" s="441"/>
      <c r="AB1226" s="441"/>
      <c r="AC1226" s="441"/>
      <c r="AD1226" s="441"/>
      <c r="AE1226" s="441"/>
      <c r="AF1226" s="441"/>
      <c r="AG1226" s="441"/>
      <c r="AH1226" s="441"/>
      <c r="AI1226" s="441"/>
      <c r="AJ1226" s="441"/>
      <c r="AK1226" s="441"/>
      <c r="AL1226" s="441"/>
      <c r="AM1226" s="441"/>
      <c r="AN1226" s="441"/>
      <c r="AO1226" s="441"/>
      <c r="AP1226" s="441"/>
      <c r="AQ1226" s="441"/>
      <c r="AR1226" s="441"/>
      <c r="AS1226" s="441"/>
      <c r="AT1226" s="441"/>
      <c r="AU1226" s="441"/>
      <c r="AV1226" s="441"/>
      <c r="AW1226" s="441"/>
      <c r="AX1226" s="441"/>
      <c r="AY1226" s="441"/>
      <c r="AZ1226" s="441"/>
      <c r="BA1226" s="441"/>
      <c r="BB1226" s="441"/>
      <c r="BC1226" s="441"/>
      <c r="BD1226" s="441"/>
      <c r="BE1226" s="441"/>
      <c r="BF1226" s="441"/>
    </row>
    <row r="1227">
      <c r="A1227" s="798"/>
      <c r="B1227" s="795"/>
      <c r="C1227" s="795"/>
      <c r="D1227" s="795"/>
      <c r="E1227" s="795"/>
      <c r="F1227" s="795"/>
      <c r="G1227" s="795"/>
      <c r="H1227" s="795"/>
      <c r="I1227" s="796"/>
      <c r="J1227" s="441"/>
      <c r="K1227" s="441"/>
      <c r="L1227" s="797"/>
      <c r="M1227" s="441"/>
      <c r="N1227" s="441"/>
      <c r="O1227" s="441"/>
      <c r="P1227" s="441"/>
      <c r="Q1227" s="441"/>
      <c r="R1227" s="426"/>
      <c r="S1227" s="441"/>
      <c r="T1227" s="441"/>
      <c r="U1227" s="441"/>
      <c r="V1227" s="441"/>
      <c r="W1227" s="441"/>
      <c r="X1227" s="441"/>
      <c r="Y1227" s="441"/>
      <c r="Z1227" s="441"/>
      <c r="AA1227" s="441"/>
      <c r="AB1227" s="441"/>
      <c r="AC1227" s="441"/>
      <c r="AD1227" s="441"/>
      <c r="AE1227" s="441"/>
      <c r="AF1227" s="441"/>
      <c r="AG1227" s="441"/>
      <c r="AH1227" s="441"/>
      <c r="AI1227" s="441"/>
      <c r="AJ1227" s="441"/>
      <c r="AK1227" s="441"/>
      <c r="AL1227" s="441"/>
      <c r="AM1227" s="441"/>
      <c r="AN1227" s="441"/>
      <c r="AO1227" s="441"/>
      <c r="AP1227" s="441"/>
      <c r="AQ1227" s="441"/>
      <c r="AR1227" s="441"/>
      <c r="AS1227" s="441"/>
      <c r="AT1227" s="441"/>
      <c r="AU1227" s="441"/>
      <c r="AV1227" s="441"/>
      <c r="AW1227" s="441"/>
      <c r="AX1227" s="441"/>
      <c r="AY1227" s="441"/>
      <c r="AZ1227" s="441"/>
      <c r="BA1227" s="441"/>
      <c r="BB1227" s="441"/>
      <c r="BC1227" s="441"/>
      <c r="BD1227" s="441"/>
      <c r="BE1227" s="441"/>
      <c r="BF1227" s="441"/>
    </row>
    <row r="1228">
      <c r="A1228" s="798"/>
      <c r="B1228" s="795"/>
      <c r="C1228" s="795"/>
      <c r="D1228" s="795"/>
      <c r="E1228" s="795"/>
      <c r="F1228" s="795"/>
      <c r="G1228" s="795"/>
      <c r="H1228" s="795"/>
      <c r="I1228" s="796"/>
      <c r="J1228" s="441"/>
      <c r="K1228" s="441"/>
      <c r="L1228" s="797"/>
      <c r="M1228" s="441"/>
      <c r="N1228" s="441"/>
      <c r="O1228" s="441"/>
      <c r="P1228" s="441"/>
      <c r="Q1228" s="441"/>
      <c r="R1228" s="426"/>
      <c r="S1228" s="441"/>
      <c r="T1228" s="441"/>
      <c r="U1228" s="441"/>
      <c r="V1228" s="441"/>
      <c r="W1228" s="441"/>
      <c r="X1228" s="441"/>
      <c r="Y1228" s="441"/>
      <c r="Z1228" s="441"/>
      <c r="AA1228" s="441"/>
      <c r="AB1228" s="441"/>
      <c r="AC1228" s="441"/>
      <c r="AD1228" s="441"/>
      <c r="AE1228" s="441"/>
      <c r="AF1228" s="441"/>
      <c r="AG1228" s="441"/>
      <c r="AH1228" s="441"/>
      <c r="AI1228" s="441"/>
      <c r="AJ1228" s="441"/>
      <c r="AK1228" s="441"/>
      <c r="AL1228" s="441"/>
      <c r="AM1228" s="441"/>
      <c r="AN1228" s="441"/>
      <c r="AO1228" s="441"/>
      <c r="AP1228" s="441"/>
      <c r="AQ1228" s="441"/>
      <c r="AR1228" s="441"/>
      <c r="AS1228" s="441"/>
      <c r="AT1228" s="441"/>
      <c r="AU1228" s="441"/>
      <c r="AV1228" s="441"/>
      <c r="AW1228" s="441"/>
      <c r="AX1228" s="441"/>
      <c r="AY1228" s="441"/>
      <c r="AZ1228" s="441"/>
      <c r="BA1228" s="441"/>
      <c r="BB1228" s="441"/>
      <c r="BC1228" s="441"/>
      <c r="BD1228" s="441"/>
      <c r="BE1228" s="441"/>
      <c r="BF1228" s="441"/>
    </row>
    <row r="1229">
      <c r="A1229" s="798"/>
      <c r="B1229" s="795"/>
      <c r="C1229" s="795"/>
      <c r="D1229" s="795"/>
      <c r="E1229" s="795"/>
      <c r="F1229" s="795"/>
      <c r="G1229" s="795"/>
      <c r="H1229" s="795"/>
      <c r="I1229" s="796"/>
      <c r="J1229" s="441"/>
      <c r="K1229" s="441"/>
      <c r="L1229" s="797"/>
      <c r="M1229" s="441"/>
      <c r="N1229" s="441"/>
      <c r="O1229" s="441"/>
      <c r="P1229" s="441"/>
      <c r="Q1229" s="441"/>
      <c r="R1229" s="426"/>
      <c r="S1229" s="441"/>
      <c r="T1229" s="441"/>
      <c r="U1229" s="441"/>
      <c r="V1229" s="441"/>
      <c r="W1229" s="441"/>
      <c r="X1229" s="441"/>
      <c r="Y1229" s="441"/>
      <c r="Z1229" s="441"/>
      <c r="AA1229" s="441"/>
      <c r="AB1229" s="441"/>
      <c r="AC1229" s="441"/>
      <c r="AD1229" s="441"/>
      <c r="AE1229" s="441"/>
      <c r="AF1229" s="441"/>
      <c r="AG1229" s="441"/>
      <c r="AH1229" s="441"/>
      <c r="AI1229" s="441"/>
      <c r="AJ1229" s="441"/>
      <c r="AK1229" s="441"/>
      <c r="AL1229" s="441"/>
      <c r="AM1229" s="441"/>
      <c r="AN1229" s="441"/>
      <c r="AO1229" s="441"/>
      <c r="AP1229" s="441"/>
      <c r="AQ1229" s="441"/>
      <c r="AR1229" s="441"/>
      <c r="AS1229" s="441"/>
      <c r="AT1229" s="441"/>
      <c r="AU1229" s="441"/>
      <c r="AV1229" s="441"/>
      <c r="AW1229" s="441"/>
      <c r="AX1229" s="441"/>
      <c r="AY1229" s="441"/>
      <c r="AZ1229" s="441"/>
      <c r="BA1229" s="441"/>
      <c r="BB1229" s="441"/>
      <c r="BC1229" s="441"/>
      <c r="BD1229" s="441"/>
      <c r="BE1229" s="441"/>
      <c r="BF1229" s="441"/>
    </row>
    <row r="1230">
      <c r="A1230" s="798"/>
      <c r="B1230" s="795"/>
      <c r="C1230" s="795"/>
      <c r="D1230" s="795"/>
      <c r="E1230" s="795"/>
      <c r="F1230" s="795"/>
      <c r="G1230" s="795"/>
      <c r="H1230" s="795"/>
      <c r="I1230" s="796"/>
      <c r="J1230" s="441"/>
      <c r="K1230" s="441"/>
      <c r="L1230" s="797"/>
      <c r="M1230" s="441"/>
      <c r="N1230" s="441"/>
      <c r="O1230" s="441"/>
      <c r="P1230" s="441"/>
      <c r="Q1230" s="441"/>
      <c r="R1230" s="426"/>
      <c r="S1230" s="441"/>
      <c r="T1230" s="441"/>
      <c r="U1230" s="441"/>
      <c r="V1230" s="441"/>
      <c r="W1230" s="441"/>
      <c r="X1230" s="441"/>
      <c r="Y1230" s="441"/>
      <c r="Z1230" s="441"/>
      <c r="AA1230" s="441"/>
      <c r="AB1230" s="441"/>
      <c r="AC1230" s="441"/>
      <c r="AD1230" s="441"/>
      <c r="AE1230" s="441"/>
      <c r="AF1230" s="441"/>
      <c r="AG1230" s="441"/>
      <c r="AH1230" s="441"/>
      <c r="AI1230" s="441"/>
      <c r="AJ1230" s="441"/>
      <c r="AK1230" s="441"/>
      <c r="AL1230" s="441"/>
      <c r="AM1230" s="441"/>
      <c r="AN1230" s="441"/>
      <c r="AO1230" s="441"/>
      <c r="AP1230" s="441"/>
      <c r="AQ1230" s="441"/>
      <c r="AR1230" s="441"/>
      <c r="AS1230" s="441"/>
      <c r="AT1230" s="441"/>
      <c r="AU1230" s="441"/>
      <c r="AV1230" s="441"/>
      <c r="AW1230" s="441"/>
      <c r="AX1230" s="441"/>
      <c r="AY1230" s="441"/>
      <c r="AZ1230" s="441"/>
      <c r="BA1230" s="441"/>
      <c r="BB1230" s="441"/>
      <c r="BC1230" s="441"/>
      <c r="BD1230" s="441"/>
      <c r="BE1230" s="441"/>
      <c r="BF1230" s="441"/>
    </row>
    <row r="1231">
      <c r="A1231" s="798"/>
      <c r="B1231" s="795"/>
      <c r="C1231" s="795"/>
      <c r="D1231" s="795"/>
      <c r="E1231" s="795"/>
      <c r="F1231" s="795"/>
      <c r="G1231" s="795"/>
      <c r="H1231" s="795"/>
      <c r="I1231" s="796"/>
      <c r="J1231" s="441"/>
      <c r="K1231" s="441"/>
      <c r="L1231" s="797"/>
      <c r="M1231" s="441"/>
      <c r="N1231" s="441"/>
      <c r="O1231" s="441"/>
      <c r="P1231" s="441"/>
      <c r="Q1231" s="441"/>
      <c r="R1231" s="426"/>
      <c r="S1231" s="441"/>
      <c r="T1231" s="441"/>
      <c r="U1231" s="441"/>
      <c r="V1231" s="441"/>
      <c r="W1231" s="441"/>
      <c r="X1231" s="441"/>
      <c r="Y1231" s="441"/>
      <c r="Z1231" s="441"/>
      <c r="AA1231" s="441"/>
      <c r="AB1231" s="441"/>
      <c r="AC1231" s="441"/>
      <c r="AD1231" s="441"/>
      <c r="AE1231" s="441"/>
      <c r="AF1231" s="441"/>
      <c r="AG1231" s="441"/>
      <c r="AH1231" s="441"/>
      <c r="AI1231" s="441"/>
      <c r="AJ1231" s="441"/>
      <c r="AK1231" s="441"/>
      <c r="AL1231" s="441"/>
      <c r="AM1231" s="441"/>
      <c r="AN1231" s="441"/>
      <c r="AO1231" s="441"/>
      <c r="AP1231" s="441"/>
      <c r="AQ1231" s="441"/>
      <c r="AR1231" s="441"/>
      <c r="AS1231" s="441"/>
      <c r="AT1231" s="441"/>
      <c r="AU1231" s="441"/>
      <c r="AV1231" s="441"/>
      <c r="AW1231" s="441"/>
      <c r="AX1231" s="441"/>
      <c r="AY1231" s="441"/>
      <c r="AZ1231" s="441"/>
      <c r="BA1231" s="441"/>
      <c r="BB1231" s="441"/>
      <c r="BC1231" s="441"/>
      <c r="BD1231" s="441"/>
      <c r="BE1231" s="441"/>
      <c r="BF1231" s="441"/>
    </row>
    <row r="1232">
      <c r="A1232" s="798"/>
      <c r="B1232" s="795"/>
      <c r="C1232" s="795"/>
      <c r="D1232" s="795"/>
      <c r="E1232" s="795"/>
      <c r="F1232" s="795"/>
      <c r="G1232" s="795"/>
      <c r="H1232" s="795"/>
      <c r="I1232" s="796"/>
      <c r="J1232" s="441"/>
      <c r="K1232" s="441"/>
      <c r="L1232" s="797"/>
      <c r="M1232" s="441"/>
      <c r="N1232" s="441"/>
      <c r="O1232" s="441"/>
      <c r="P1232" s="441"/>
      <c r="Q1232" s="441"/>
      <c r="R1232" s="426"/>
      <c r="S1232" s="441"/>
      <c r="T1232" s="441"/>
      <c r="U1232" s="441"/>
      <c r="V1232" s="441"/>
      <c r="W1232" s="441"/>
      <c r="X1232" s="441"/>
      <c r="Y1232" s="441"/>
      <c r="Z1232" s="441"/>
      <c r="AA1232" s="441"/>
      <c r="AB1232" s="441"/>
      <c r="AC1232" s="441"/>
      <c r="AD1232" s="441"/>
      <c r="AE1232" s="441"/>
      <c r="AF1232" s="441"/>
      <c r="AG1232" s="441"/>
      <c r="AH1232" s="441"/>
      <c r="AI1232" s="441"/>
      <c r="AJ1232" s="441"/>
      <c r="AK1232" s="441"/>
      <c r="AL1232" s="441"/>
      <c r="AM1232" s="441"/>
      <c r="AN1232" s="441"/>
      <c r="AO1232" s="441"/>
      <c r="AP1232" s="441"/>
      <c r="AQ1232" s="441"/>
      <c r="AR1232" s="441"/>
      <c r="AS1232" s="441"/>
      <c r="AT1232" s="441"/>
      <c r="AU1232" s="441"/>
      <c r="AV1232" s="441"/>
      <c r="AW1232" s="441"/>
      <c r="AX1232" s="441"/>
      <c r="AY1232" s="441"/>
      <c r="AZ1232" s="441"/>
      <c r="BA1232" s="441"/>
      <c r="BB1232" s="441"/>
      <c r="BC1232" s="441"/>
      <c r="BD1232" s="441"/>
      <c r="BE1232" s="441"/>
      <c r="BF1232" s="441"/>
    </row>
    <row r="1233">
      <c r="A1233" s="798"/>
      <c r="B1233" s="795"/>
      <c r="C1233" s="795"/>
      <c r="D1233" s="795"/>
      <c r="E1233" s="795"/>
      <c r="F1233" s="795"/>
      <c r="G1233" s="795"/>
      <c r="H1233" s="795"/>
      <c r="I1233" s="796"/>
      <c r="J1233" s="441"/>
      <c r="K1233" s="441"/>
      <c r="L1233" s="797"/>
      <c r="M1233" s="441"/>
      <c r="N1233" s="441"/>
      <c r="O1233" s="441"/>
      <c r="P1233" s="441"/>
      <c r="Q1233" s="441"/>
      <c r="R1233" s="426"/>
      <c r="S1233" s="441"/>
      <c r="T1233" s="441"/>
      <c r="U1233" s="441"/>
      <c r="V1233" s="441"/>
      <c r="W1233" s="441"/>
      <c r="X1233" s="441"/>
      <c r="Y1233" s="441"/>
      <c r="Z1233" s="441"/>
      <c r="AA1233" s="441"/>
      <c r="AB1233" s="441"/>
      <c r="AC1233" s="441"/>
      <c r="AD1233" s="441"/>
      <c r="AE1233" s="441"/>
      <c r="AF1233" s="441"/>
      <c r="AG1233" s="441"/>
      <c r="AH1233" s="441"/>
      <c r="AI1233" s="441"/>
      <c r="AJ1233" s="441"/>
      <c r="AK1233" s="441"/>
      <c r="AL1233" s="441"/>
      <c r="AM1233" s="441"/>
      <c r="AN1233" s="441"/>
      <c r="AO1233" s="441"/>
      <c r="AP1233" s="441"/>
      <c r="AQ1233" s="441"/>
      <c r="AR1233" s="441"/>
      <c r="AS1233" s="441"/>
      <c r="AT1233" s="441"/>
      <c r="AU1233" s="441"/>
      <c r="AV1233" s="441"/>
      <c r="AW1233" s="441"/>
      <c r="AX1233" s="441"/>
      <c r="AY1233" s="441"/>
      <c r="AZ1233" s="441"/>
      <c r="BA1233" s="441"/>
      <c r="BB1233" s="441"/>
      <c r="BC1233" s="441"/>
      <c r="BD1233" s="441"/>
      <c r="BE1233" s="441"/>
      <c r="BF1233" s="441"/>
    </row>
    <row r="1234">
      <c r="A1234" s="798"/>
      <c r="B1234" s="795"/>
      <c r="C1234" s="795"/>
      <c r="D1234" s="795"/>
      <c r="E1234" s="795"/>
      <c r="F1234" s="795"/>
      <c r="G1234" s="795"/>
      <c r="H1234" s="795"/>
      <c r="I1234" s="796"/>
      <c r="J1234" s="441"/>
      <c r="K1234" s="441"/>
      <c r="L1234" s="797"/>
      <c r="M1234" s="441"/>
      <c r="N1234" s="441"/>
      <c r="O1234" s="441"/>
      <c r="P1234" s="441"/>
      <c r="Q1234" s="441"/>
      <c r="R1234" s="426"/>
      <c r="S1234" s="441"/>
      <c r="T1234" s="441"/>
      <c r="U1234" s="441"/>
      <c r="V1234" s="441"/>
      <c r="W1234" s="441"/>
      <c r="X1234" s="441"/>
      <c r="Y1234" s="441"/>
      <c r="Z1234" s="441"/>
      <c r="AA1234" s="441"/>
      <c r="AB1234" s="441"/>
      <c r="AC1234" s="441"/>
      <c r="AD1234" s="441"/>
      <c r="AE1234" s="441"/>
      <c r="AF1234" s="441"/>
      <c r="AG1234" s="441"/>
      <c r="AH1234" s="441"/>
      <c r="AI1234" s="441"/>
      <c r="AJ1234" s="441"/>
      <c r="AK1234" s="441"/>
      <c r="AL1234" s="441"/>
      <c r="AM1234" s="441"/>
      <c r="AN1234" s="441"/>
      <c r="AO1234" s="441"/>
      <c r="AP1234" s="441"/>
      <c r="AQ1234" s="441"/>
      <c r="AR1234" s="441"/>
      <c r="AS1234" s="441"/>
      <c r="AT1234" s="441"/>
      <c r="AU1234" s="441"/>
      <c r="AV1234" s="441"/>
      <c r="AW1234" s="441"/>
      <c r="AX1234" s="441"/>
      <c r="AY1234" s="441"/>
      <c r="AZ1234" s="441"/>
      <c r="BA1234" s="441"/>
      <c r="BB1234" s="441"/>
      <c r="BC1234" s="441"/>
      <c r="BD1234" s="441"/>
      <c r="BE1234" s="441"/>
      <c r="BF1234" s="441"/>
    </row>
    <row r="1235">
      <c r="A1235" s="798"/>
      <c r="B1235" s="795"/>
      <c r="C1235" s="795"/>
      <c r="D1235" s="795"/>
      <c r="E1235" s="795"/>
      <c r="F1235" s="795"/>
      <c r="G1235" s="795"/>
      <c r="H1235" s="795"/>
      <c r="I1235" s="796"/>
      <c r="J1235" s="441"/>
      <c r="K1235" s="441"/>
      <c r="L1235" s="797"/>
      <c r="M1235" s="441"/>
      <c r="N1235" s="441"/>
      <c r="O1235" s="441"/>
      <c r="P1235" s="441"/>
      <c r="Q1235" s="441"/>
      <c r="R1235" s="426"/>
      <c r="S1235" s="441"/>
      <c r="T1235" s="441"/>
      <c r="U1235" s="441"/>
      <c r="V1235" s="441"/>
      <c r="W1235" s="441"/>
      <c r="X1235" s="441"/>
      <c r="Y1235" s="441"/>
      <c r="Z1235" s="441"/>
      <c r="AA1235" s="441"/>
      <c r="AB1235" s="441"/>
      <c r="AC1235" s="441"/>
      <c r="AD1235" s="441"/>
      <c r="AE1235" s="441"/>
      <c r="AF1235" s="441"/>
      <c r="AG1235" s="441"/>
      <c r="AH1235" s="441"/>
      <c r="AI1235" s="441"/>
      <c r="AJ1235" s="441"/>
      <c r="AK1235" s="441"/>
      <c r="AL1235" s="441"/>
      <c r="AM1235" s="441"/>
      <c r="AN1235" s="441"/>
      <c r="AO1235" s="441"/>
      <c r="AP1235" s="441"/>
      <c r="AQ1235" s="441"/>
      <c r="AR1235" s="441"/>
      <c r="AS1235" s="441"/>
      <c r="AT1235" s="441"/>
      <c r="AU1235" s="441"/>
      <c r="AV1235" s="441"/>
      <c r="AW1235" s="441"/>
      <c r="AX1235" s="441"/>
      <c r="AY1235" s="441"/>
      <c r="AZ1235" s="441"/>
      <c r="BA1235" s="441"/>
      <c r="BB1235" s="441"/>
      <c r="BC1235" s="441"/>
      <c r="BD1235" s="441"/>
      <c r="BE1235" s="441"/>
      <c r="BF1235" s="441"/>
    </row>
    <row r="1236">
      <c r="A1236" s="798"/>
      <c r="B1236" s="795"/>
      <c r="C1236" s="795"/>
      <c r="D1236" s="795"/>
      <c r="E1236" s="795"/>
      <c r="F1236" s="795"/>
      <c r="G1236" s="795"/>
      <c r="H1236" s="795"/>
      <c r="I1236" s="796"/>
      <c r="J1236" s="441"/>
      <c r="K1236" s="441"/>
      <c r="L1236" s="797"/>
      <c r="M1236" s="441"/>
      <c r="N1236" s="441"/>
      <c r="O1236" s="441"/>
      <c r="P1236" s="441"/>
      <c r="Q1236" s="441"/>
      <c r="R1236" s="426"/>
      <c r="S1236" s="441"/>
      <c r="T1236" s="441"/>
      <c r="U1236" s="441"/>
      <c r="V1236" s="441"/>
      <c r="W1236" s="441"/>
      <c r="X1236" s="441"/>
      <c r="Y1236" s="441"/>
      <c r="Z1236" s="441"/>
      <c r="AA1236" s="441"/>
      <c r="AB1236" s="441"/>
      <c r="AC1236" s="441"/>
      <c r="AD1236" s="441"/>
      <c r="AE1236" s="441"/>
      <c r="AF1236" s="441"/>
      <c r="AG1236" s="441"/>
      <c r="AH1236" s="441"/>
      <c r="AI1236" s="441"/>
      <c r="AJ1236" s="441"/>
      <c r="AK1236" s="441"/>
      <c r="AL1236" s="441"/>
      <c r="AM1236" s="441"/>
      <c r="AN1236" s="441"/>
      <c r="AO1236" s="441"/>
      <c r="AP1236" s="441"/>
      <c r="AQ1236" s="441"/>
      <c r="AR1236" s="441"/>
      <c r="AS1236" s="441"/>
      <c r="AT1236" s="441"/>
      <c r="AU1236" s="441"/>
      <c r="AV1236" s="441"/>
      <c r="AW1236" s="441"/>
      <c r="AX1236" s="441"/>
      <c r="AY1236" s="441"/>
      <c r="AZ1236" s="441"/>
      <c r="BA1236" s="441"/>
      <c r="BB1236" s="441"/>
      <c r="BC1236" s="441"/>
      <c r="BD1236" s="441"/>
      <c r="BE1236" s="441"/>
      <c r="BF1236" s="441"/>
    </row>
    <row r="1237">
      <c r="A1237" s="798"/>
      <c r="B1237" s="795"/>
      <c r="C1237" s="795"/>
      <c r="D1237" s="795"/>
      <c r="E1237" s="795"/>
      <c r="F1237" s="795"/>
      <c r="G1237" s="795"/>
      <c r="H1237" s="795"/>
      <c r="I1237" s="796"/>
      <c r="J1237" s="441"/>
      <c r="K1237" s="441"/>
      <c r="L1237" s="797"/>
      <c r="M1237" s="441"/>
      <c r="N1237" s="441"/>
      <c r="O1237" s="441"/>
      <c r="P1237" s="441"/>
      <c r="Q1237" s="441"/>
      <c r="R1237" s="426"/>
      <c r="S1237" s="441"/>
      <c r="T1237" s="441"/>
      <c r="U1237" s="441"/>
      <c r="V1237" s="441"/>
      <c r="W1237" s="441"/>
      <c r="X1237" s="441"/>
      <c r="Y1237" s="441"/>
      <c r="Z1237" s="441"/>
      <c r="AA1237" s="441"/>
      <c r="AB1237" s="441"/>
      <c r="AC1237" s="441"/>
      <c r="AD1237" s="441"/>
      <c r="AE1237" s="441"/>
      <c r="AF1237" s="441"/>
      <c r="AG1237" s="441"/>
      <c r="AH1237" s="441"/>
      <c r="AI1237" s="441"/>
      <c r="AJ1237" s="441"/>
      <c r="AK1237" s="441"/>
      <c r="AL1237" s="441"/>
      <c r="AM1237" s="441"/>
      <c r="AN1237" s="441"/>
      <c r="AO1237" s="441"/>
      <c r="AP1237" s="441"/>
      <c r="AQ1237" s="441"/>
      <c r="AR1237" s="441"/>
      <c r="AS1237" s="441"/>
      <c r="AT1237" s="441"/>
      <c r="AU1237" s="441"/>
      <c r="AV1237" s="441"/>
      <c r="AW1237" s="441"/>
      <c r="AX1237" s="441"/>
      <c r="AY1237" s="441"/>
      <c r="AZ1237" s="441"/>
      <c r="BA1237" s="441"/>
      <c r="BB1237" s="441"/>
      <c r="BC1237" s="441"/>
      <c r="BD1237" s="441"/>
      <c r="BE1237" s="441"/>
      <c r="BF1237" s="441"/>
    </row>
    <row r="1238">
      <c r="A1238" s="798"/>
      <c r="B1238" s="795"/>
      <c r="C1238" s="795"/>
      <c r="D1238" s="795"/>
      <c r="E1238" s="795"/>
      <c r="F1238" s="795"/>
      <c r="G1238" s="795"/>
      <c r="H1238" s="795"/>
      <c r="I1238" s="796"/>
      <c r="J1238" s="441"/>
      <c r="K1238" s="441"/>
      <c r="L1238" s="797"/>
      <c r="M1238" s="441"/>
      <c r="N1238" s="441"/>
      <c r="O1238" s="441"/>
      <c r="P1238" s="441"/>
      <c r="Q1238" s="441"/>
      <c r="R1238" s="426"/>
      <c r="S1238" s="441"/>
      <c r="T1238" s="441"/>
      <c r="U1238" s="441"/>
      <c r="V1238" s="441"/>
      <c r="W1238" s="441"/>
      <c r="X1238" s="441"/>
      <c r="Y1238" s="441"/>
      <c r="Z1238" s="441"/>
      <c r="AA1238" s="441"/>
      <c r="AB1238" s="441"/>
      <c r="AC1238" s="441"/>
      <c r="AD1238" s="441"/>
      <c r="AE1238" s="441"/>
      <c r="AF1238" s="441"/>
      <c r="AG1238" s="441"/>
      <c r="AH1238" s="441"/>
      <c r="AI1238" s="441"/>
      <c r="AJ1238" s="441"/>
      <c r="AK1238" s="441"/>
      <c r="AL1238" s="441"/>
      <c r="AM1238" s="441"/>
      <c r="AN1238" s="441"/>
      <c r="AO1238" s="441"/>
      <c r="AP1238" s="441"/>
      <c r="AQ1238" s="441"/>
      <c r="AR1238" s="441"/>
      <c r="AS1238" s="441"/>
      <c r="AT1238" s="441"/>
      <c r="AU1238" s="441"/>
      <c r="AV1238" s="441"/>
      <c r="AW1238" s="441"/>
      <c r="AX1238" s="441"/>
      <c r="AY1238" s="441"/>
      <c r="AZ1238" s="441"/>
      <c r="BA1238" s="441"/>
      <c r="BB1238" s="441"/>
      <c r="BC1238" s="441"/>
      <c r="BD1238" s="441"/>
      <c r="BE1238" s="441"/>
      <c r="BF1238" s="441"/>
    </row>
    <row r="1239">
      <c r="A1239" s="798"/>
      <c r="B1239" s="795"/>
      <c r="C1239" s="795"/>
      <c r="D1239" s="795"/>
      <c r="E1239" s="795"/>
      <c r="F1239" s="795"/>
      <c r="G1239" s="795"/>
      <c r="H1239" s="795"/>
      <c r="I1239" s="796"/>
      <c r="J1239" s="441"/>
      <c r="K1239" s="441"/>
      <c r="L1239" s="797"/>
      <c r="M1239" s="441"/>
      <c r="N1239" s="441"/>
      <c r="O1239" s="441"/>
      <c r="P1239" s="441"/>
      <c r="Q1239" s="441"/>
      <c r="R1239" s="426"/>
      <c r="S1239" s="441"/>
      <c r="T1239" s="441"/>
      <c r="U1239" s="441"/>
      <c r="V1239" s="441"/>
      <c r="W1239" s="441"/>
      <c r="X1239" s="441"/>
      <c r="Y1239" s="441"/>
      <c r="Z1239" s="441"/>
      <c r="AA1239" s="441"/>
      <c r="AB1239" s="441"/>
      <c r="AC1239" s="441"/>
      <c r="AD1239" s="441"/>
      <c r="AE1239" s="441"/>
      <c r="AF1239" s="441"/>
      <c r="AG1239" s="441"/>
      <c r="AH1239" s="441"/>
      <c r="AI1239" s="441"/>
      <c r="AJ1239" s="441"/>
      <c r="AK1239" s="441"/>
      <c r="AL1239" s="441"/>
      <c r="AM1239" s="441"/>
      <c r="AN1239" s="441"/>
      <c r="AO1239" s="441"/>
      <c r="AP1239" s="441"/>
      <c r="AQ1239" s="441"/>
      <c r="AR1239" s="441"/>
      <c r="AS1239" s="441"/>
      <c r="AT1239" s="441"/>
      <c r="AU1239" s="441"/>
      <c r="AV1239" s="441"/>
      <c r="AW1239" s="441"/>
      <c r="AX1239" s="441"/>
      <c r="AY1239" s="441"/>
      <c r="AZ1239" s="441"/>
      <c r="BA1239" s="441"/>
      <c r="BB1239" s="441"/>
      <c r="BC1239" s="441"/>
      <c r="BD1239" s="441"/>
      <c r="BE1239" s="441"/>
      <c r="BF1239" s="441"/>
    </row>
    <row r="1240">
      <c r="A1240" s="798"/>
      <c r="B1240" s="795"/>
      <c r="C1240" s="795"/>
      <c r="D1240" s="795"/>
      <c r="E1240" s="795"/>
      <c r="F1240" s="795"/>
      <c r="G1240" s="795"/>
      <c r="H1240" s="795"/>
      <c r="I1240" s="796"/>
      <c r="J1240" s="441"/>
      <c r="K1240" s="441"/>
      <c r="L1240" s="797"/>
      <c r="M1240" s="441"/>
      <c r="N1240" s="441"/>
      <c r="O1240" s="441"/>
      <c r="P1240" s="441"/>
      <c r="Q1240" s="441"/>
      <c r="R1240" s="426"/>
      <c r="S1240" s="441"/>
      <c r="T1240" s="441"/>
      <c r="U1240" s="441"/>
      <c r="V1240" s="441"/>
      <c r="W1240" s="441"/>
      <c r="X1240" s="441"/>
      <c r="Y1240" s="441"/>
      <c r="Z1240" s="441"/>
      <c r="AA1240" s="441"/>
      <c r="AB1240" s="441"/>
      <c r="AC1240" s="441"/>
      <c r="AD1240" s="441"/>
      <c r="AE1240" s="441"/>
      <c r="AF1240" s="441"/>
      <c r="AG1240" s="441"/>
      <c r="AH1240" s="441"/>
      <c r="AI1240" s="441"/>
      <c r="AJ1240" s="441"/>
      <c r="AK1240" s="441"/>
      <c r="AL1240" s="441"/>
      <c r="AM1240" s="441"/>
      <c r="AN1240" s="441"/>
      <c r="AO1240" s="441"/>
      <c r="AP1240" s="441"/>
      <c r="AQ1240" s="441"/>
      <c r="AR1240" s="441"/>
      <c r="AS1240" s="441"/>
      <c r="AT1240" s="441"/>
      <c r="AU1240" s="441"/>
      <c r="AV1240" s="441"/>
      <c r="AW1240" s="441"/>
      <c r="AX1240" s="441"/>
      <c r="AY1240" s="441"/>
      <c r="AZ1240" s="441"/>
      <c r="BA1240" s="441"/>
      <c r="BB1240" s="441"/>
      <c r="BC1240" s="441"/>
      <c r="BD1240" s="441"/>
      <c r="BE1240" s="441"/>
      <c r="BF1240" s="441"/>
    </row>
    <row r="1241">
      <c r="A1241" s="798"/>
      <c r="B1241" s="795"/>
      <c r="C1241" s="795"/>
      <c r="D1241" s="795"/>
      <c r="E1241" s="795"/>
      <c r="F1241" s="795"/>
      <c r="G1241" s="795"/>
      <c r="H1241" s="795"/>
      <c r="I1241" s="796"/>
      <c r="J1241" s="441"/>
      <c r="K1241" s="441"/>
      <c r="L1241" s="797"/>
      <c r="M1241" s="441"/>
      <c r="N1241" s="441"/>
      <c r="O1241" s="441"/>
      <c r="P1241" s="441"/>
      <c r="Q1241" s="441"/>
      <c r="R1241" s="426"/>
      <c r="S1241" s="441"/>
      <c r="T1241" s="441"/>
      <c r="U1241" s="441"/>
      <c r="V1241" s="441"/>
      <c r="W1241" s="441"/>
      <c r="X1241" s="441"/>
      <c r="Y1241" s="441"/>
      <c r="Z1241" s="441"/>
      <c r="AA1241" s="441"/>
      <c r="AB1241" s="441"/>
      <c r="AC1241" s="441"/>
      <c r="AD1241" s="441"/>
      <c r="AE1241" s="441"/>
      <c r="AF1241" s="441"/>
      <c r="AG1241" s="441"/>
      <c r="AH1241" s="441"/>
      <c r="AI1241" s="441"/>
      <c r="AJ1241" s="441"/>
      <c r="AK1241" s="441"/>
      <c r="AL1241" s="441"/>
      <c r="AM1241" s="441"/>
      <c r="AN1241" s="441"/>
      <c r="AO1241" s="441"/>
      <c r="AP1241" s="441"/>
      <c r="AQ1241" s="441"/>
      <c r="AR1241" s="441"/>
      <c r="AS1241" s="441"/>
      <c r="AT1241" s="441"/>
      <c r="AU1241" s="441"/>
      <c r="AV1241" s="441"/>
      <c r="AW1241" s="441"/>
      <c r="AX1241" s="441"/>
      <c r="AY1241" s="441"/>
      <c r="AZ1241" s="441"/>
      <c r="BA1241" s="441"/>
      <c r="BB1241" s="441"/>
      <c r="BC1241" s="441"/>
      <c r="BD1241" s="441"/>
      <c r="BE1241" s="441"/>
      <c r="BF1241" s="441"/>
    </row>
    <row r="1242">
      <c r="A1242" s="798"/>
      <c r="B1242" s="795"/>
      <c r="C1242" s="795"/>
      <c r="D1242" s="795"/>
      <c r="E1242" s="795"/>
      <c r="F1242" s="795"/>
      <c r="G1242" s="795"/>
      <c r="H1242" s="795"/>
      <c r="I1242" s="796"/>
      <c r="J1242" s="441"/>
      <c r="K1242" s="441"/>
      <c r="L1242" s="797"/>
      <c r="M1242" s="441"/>
      <c r="N1242" s="441"/>
      <c r="O1242" s="441"/>
      <c r="P1242" s="441"/>
      <c r="Q1242" s="441"/>
      <c r="R1242" s="426"/>
      <c r="S1242" s="441"/>
      <c r="T1242" s="441"/>
      <c r="U1242" s="441"/>
      <c r="V1242" s="441"/>
      <c r="W1242" s="441"/>
      <c r="X1242" s="441"/>
      <c r="Y1242" s="441"/>
      <c r="Z1242" s="441"/>
      <c r="AA1242" s="441"/>
      <c r="AB1242" s="441"/>
      <c r="AC1242" s="441"/>
      <c r="AD1242" s="441"/>
      <c r="AE1242" s="441"/>
      <c r="AF1242" s="441"/>
      <c r="AG1242" s="441"/>
      <c r="AH1242" s="441"/>
      <c r="AI1242" s="441"/>
      <c r="AJ1242" s="441"/>
      <c r="AK1242" s="441"/>
      <c r="AL1242" s="441"/>
      <c r="AM1242" s="441"/>
      <c r="AN1242" s="441"/>
      <c r="AO1242" s="441"/>
      <c r="AP1242" s="441"/>
      <c r="AQ1242" s="441"/>
      <c r="AR1242" s="441"/>
      <c r="AS1242" s="441"/>
      <c r="AT1242" s="441"/>
      <c r="AU1242" s="441"/>
      <c r="AV1242" s="441"/>
      <c r="AW1242" s="441"/>
      <c r="AX1242" s="441"/>
      <c r="AY1242" s="441"/>
      <c r="AZ1242" s="441"/>
      <c r="BA1242" s="441"/>
      <c r="BB1242" s="441"/>
      <c r="BC1242" s="441"/>
      <c r="BD1242" s="441"/>
      <c r="BE1242" s="441"/>
      <c r="BF1242" s="441"/>
    </row>
    <row r="1243">
      <c r="A1243" s="798"/>
      <c r="B1243" s="795"/>
      <c r="C1243" s="795"/>
      <c r="D1243" s="795"/>
      <c r="E1243" s="795"/>
      <c r="F1243" s="795"/>
      <c r="G1243" s="795"/>
      <c r="H1243" s="795"/>
      <c r="I1243" s="796"/>
      <c r="J1243" s="441"/>
      <c r="K1243" s="441"/>
      <c r="L1243" s="797"/>
      <c r="M1243" s="441"/>
      <c r="N1243" s="441"/>
      <c r="O1243" s="441"/>
      <c r="P1243" s="441"/>
      <c r="Q1243" s="441"/>
      <c r="R1243" s="426"/>
      <c r="S1243" s="441"/>
      <c r="T1243" s="441"/>
      <c r="U1243" s="441"/>
      <c r="V1243" s="441"/>
      <c r="W1243" s="441"/>
      <c r="X1243" s="441"/>
      <c r="Y1243" s="441"/>
      <c r="Z1243" s="441"/>
      <c r="AA1243" s="441"/>
      <c r="AB1243" s="441"/>
      <c r="AC1243" s="441"/>
      <c r="AD1243" s="441"/>
      <c r="AE1243" s="441"/>
      <c r="AF1243" s="441"/>
      <c r="AG1243" s="441"/>
      <c r="AH1243" s="441"/>
      <c r="AI1243" s="441"/>
      <c r="AJ1243" s="441"/>
      <c r="AK1243" s="441"/>
      <c r="AL1243" s="441"/>
      <c r="AM1243" s="441"/>
      <c r="AN1243" s="441"/>
      <c r="AO1243" s="441"/>
      <c r="AP1243" s="441"/>
      <c r="AQ1243" s="441"/>
      <c r="AR1243" s="441"/>
      <c r="AS1243" s="441"/>
      <c r="AT1243" s="441"/>
      <c r="AU1243" s="441"/>
      <c r="AV1243" s="441"/>
      <c r="AW1243" s="441"/>
      <c r="AX1243" s="441"/>
      <c r="AY1243" s="441"/>
      <c r="AZ1243" s="441"/>
      <c r="BA1243" s="441"/>
      <c r="BB1243" s="441"/>
      <c r="BC1243" s="441"/>
      <c r="BD1243" s="441"/>
      <c r="BE1243" s="441"/>
      <c r="BF1243" s="441"/>
    </row>
    <row r="1244">
      <c r="A1244" s="798"/>
      <c r="B1244" s="795"/>
      <c r="C1244" s="795"/>
      <c r="D1244" s="795"/>
      <c r="E1244" s="795"/>
      <c r="F1244" s="795"/>
      <c r="G1244" s="795"/>
      <c r="H1244" s="795"/>
      <c r="I1244" s="796"/>
      <c r="J1244" s="441"/>
      <c r="K1244" s="441"/>
      <c r="L1244" s="797"/>
      <c r="M1244" s="441"/>
      <c r="N1244" s="441"/>
      <c r="O1244" s="441"/>
      <c r="P1244" s="441"/>
      <c r="Q1244" s="441"/>
      <c r="R1244" s="426"/>
      <c r="S1244" s="441"/>
      <c r="T1244" s="441"/>
      <c r="U1244" s="441"/>
      <c r="V1244" s="441"/>
      <c r="W1244" s="441"/>
      <c r="X1244" s="441"/>
      <c r="Y1244" s="441"/>
      <c r="Z1244" s="441"/>
      <c r="AA1244" s="441"/>
      <c r="AB1244" s="441"/>
      <c r="AC1244" s="441"/>
      <c r="AD1244" s="441"/>
      <c r="AE1244" s="441"/>
      <c r="AF1244" s="441"/>
      <c r="AG1244" s="441"/>
      <c r="AH1244" s="441"/>
      <c r="AI1244" s="441"/>
      <c r="AJ1244" s="441"/>
      <c r="AK1244" s="441"/>
      <c r="AL1244" s="441"/>
      <c r="AM1244" s="441"/>
      <c r="AN1244" s="441"/>
      <c r="AO1244" s="441"/>
      <c r="AP1244" s="441"/>
      <c r="AQ1244" s="441"/>
      <c r="AR1244" s="441"/>
      <c r="AS1244" s="441"/>
      <c r="AT1244" s="441"/>
      <c r="AU1244" s="441"/>
      <c r="AV1244" s="441"/>
      <c r="AW1244" s="441"/>
      <c r="AX1244" s="441"/>
      <c r="AY1244" s="441"/>
      <c r="AZ1244" s="441"/>
      <c r="BA1244" s="441"/>
      <c r="BB1244" s="441"/>
      <c r="BC1244" s="441"/>
      <c r="BD1244" s="441"/>
      <c r="BE1244" s="441"/>
      <c r="BF1244" s="441"/>
    </row>
    <row r="1245">
      <c r="A1245" s="798"/>
      <c r="B1245" s="795"/>
      <c r="C1245" s="795"/>
      <c r="D1245" s="795"/>
      <c r="E1245" s="795"/>
      <c r="F1245" s="795"/>
      <c r="G1245" s="795"/>
      <c r="H1245" s="795"/>
      <c r="I1245" s="796"/>
      <c r="J1245" s="441"/>
      <c r="K1245" s="441"/>
      <c r="L1245" s="797"/>
      <c r="M1245" s="441"/>
      <c r="N1245" s="441"/>
      <c r="O1245" s="441"/>
      <c r="P1245" s="441"/>
      <c r="Q1245" s="441"/>
      <c r="R1245" s="426"/>
      <c r="S1245" s="441"/>
      <c r="T1245" s="441"/>
      <c r="U1245" s="441"/>
      <c r="V1245" s="441"/>
      <c r="W1245" s="441"/>
      <c r="X1245" s="441"/>
      <c r="Y1245" s="441"/>
      <c r="Z1245" s="441"/>
      <c r="AA1245" s="441"/>
      <c r="AB1245" s="441"/>
      <c r="AC1245" s="441"/>
      <c r="AD1245" s="441"/>
      <c r="AE1245" s="441"/>
      <c r="AF1245" s="441"/>
      <c r="AG1245" s="441"/>
      <c r="AH1245" s="441"/>
      <c r="AI1245" s="441"/>
      <c r="AJ1245" s="441"/>
      <c r="AK1245" s="441"/>
      <c r="AL1245" s="441"/>
      <c r="AM1245" s="441"/>
      <c r="AN1245" s="441"/>
      <c r="AO1245" s="441"/>
      <c r="AP1245" s="441"/>
      <c r="AQ1245" s="441"/>
      <c r="AR1245" s="441"/>
      <c r="AS1245" s="441"/>
      <c r="AT1245" s="441"/>
      <c r="AU1245" s="441"/>
      <c r="AV1245" s="441"/>
      <c r="AW1245" s="441"/>
      <c r="AX1245" s="441"/>
      <c r="AY1245" s="441"/>
      <c r="AZ1245" s="441"/>
      <c r="BA1245" s="441"/>
      <c r="BB1245" s="441"/>
      <c r="BC1245" s="441"/>
      <c r="BD1245" s="441"/>
      <c r="BE1245" s="441"/>
      <c r="BF1245" s="441"/>
    </row>
    <row r="1246">
      <c r="A1246" s="798"/>
      <c r="B1246" s="795"/>
      <c r="C1246" s="795"/>
      <c r="D1246" s="795"/>
      <c r="E1246" s="795"/>
      <c r="F1246" s="795"/>
      <c r="G1246" s="795"/>
      <c r="H1246" s="795"/>
      <c r="I1246" s="796"/>
      <c r="J1246" s="441"/>
      <c r="K1246" s="441"/>
      <c r="L1246" s="797"/>
      <c r="M1246" s="441"/>
      <c r="N1246" s="441"/>
      <c r="O1246" s="441"/>
      <c r="P1246" s="441"/>
      <c r="Q1246" s="441"/>
      <c r="R1246" s="426"/>
      <c r="S1246" s="441"/>
      <c r="T1246" s="441"/>
      <c r="U1246" s="441"/>
      <c r="V1246" s="441"/>
      <c r="W1246" s="441"/>
      <c r="X1246" s="441"/>
      <c r="Y1246" s="441"/>
      <c r="Z1246" s="441"/>
      <c r="AA1246" s="441"/>
      <c r="AB1246" s="441"/>
      <c r="AC1246" s="441"/>
      <c r="AD1246" s="441"/>
      <c r="AE1246" s="441"/>
      <c r="AF1246" s="441"/>
      <c r="AG1246" s="441"/>
      <c r="AH1246" s="441"/>
      <c r="AI1246" s="441"/>
      <c r="AJ1246" s="441"/>
      <c r="AK1246" s="441"/>
      <c r="AL1246" s="441"/>
      <c r="AM1246" s="441"/>
      <c r="AN1246" s="441"/>
      <c r="AO1246" s="441"/>
      <c r="AP1246" s="441"/>
      <c r="AQ1246" s="441"/>
      <c r="AR1246" s="441"/>
      <c r="AS1246" s="441"/>
      <c r="AT1246" s="441"/>
      <c r="AU1246" s="441"/>
      <c r="AV1246" s="441"/>
      <c r="AW1246" s="441"/>
      <c r="AX1246" s="441"/>
      <c r="AY1246" s="441"/>
      <c r="AZ1246" s="441"/>
      <c r="BA1246" s="441"/>
      <c r="BB1246" s="441"/>
      <c r="BC1246" s="441"/>
      <c r="BD1246" s="441"/>
      <c r="BE1246" s="441"/>
      <c r="BF1246" s="441"/>
    </row>
    <row r="1247">
      <c r="A1247" s="798"/>
      <c r="B1247" s="795"/>
      <c r="C1247" s="795"/>
      <c r="D1247" s="795"/>
      <c r="E1247" s="795"/>
      <c r="F1247" s="795"/>
      <c r="G1247" s="795"/>
      <c r="H1247" s="795"/>
      <c r="I1247" s="796"/>
      <c r="J1247" s="441"/>
      <c r="K1247" s="441"/>
      <c r="L1247" s="797"/>
      <c r="M1247" s="441"/>
      <c r="N1247" s="441"/>
      <c r="O1247" s="441"/>
      <c r="P1247" s="441"/>
      <c r="Q1247" s="441"/>
      <c r="R1247" s="426"/>
      <c r="S1247" s="441"/>
      <c r="T1247" s="441"/>
      <c r="U1247" s="441"/>
      <c r="V1247" s="441"/>
      <c r="W1247" s="441"/>
      <c r="X1247" s="441"/>
      <c r="Y1247" s="441"/>
      <c r="Z1247" s="441"/>
      <c r="AA1247" s="441"/>
      <c r="AB1247" s="441"/>
      <c r="AC1247" s="441"/>
      <c r="AD1247" s="441"/>
      <c r="AE1247" s="441"/>
      <c r="AF1247" s="441"/>
      <c r="AG1247" s="441"/>
      <c r="AH1247" s="441"/>
      <c r="AI1247" s="441"/>
      <c r="AJ1247" s="441"/>
      <c r="AK1247" s="441"/>
      <c r="AL1247" s="441"/>
      <c r="AM1247" s="441"/>
      <c r="AN1247" s="441"/>
      <c r="AO1247" s="441"/>
      <c r="AP1247" s="441"/>
      <c r="AQ1247" s="441"/>
      <c r="AR1247" s="441"/>
      <c r="AS1247" s="441"/>
      <c r="AT1247" s="441"/>
      <c r="AU1247" s="441"/>
      <c r="AV1247" s="441"/>
      <c r="AW1247" s="441"/>
      <c r="AX1247" s="441"/>
      <c r="AY1247" s="441"/>
      <c r="AZ1247" s="441"/>
      <c r="BA1247" s="441"/>
      <c r="BB1247" s="441"/>
      <c r="BC1247" s="441"/>
      <c r="BD1247" s="441"/>
      <c r="BE1247" s="441"/>
      <c r="BF1247" s="441"/>
    </row>
    <row r="1248">
      <c r="A1248" s="798"/>
      <c r="B1248" s="795"/>
      <c r="C1248" s="795"/>
      <c r="D1248" s="795"/>
      <c r="E1248" s="795"/>
      <c r="F1248" s="795"/>
      <c r="G1248" s="795"/>
      <c r="H1248" s="795"/>
      <c r="I1248" s="796"/>
      <c r="J1248" s="441"/>
      <c r="K1248" s="441"/>
      <c r="L1248" s="797"/>
      <c r="M1248" s="441"/>
      <c r="N1248" s="441"/>
      <c r="O1248" s="441"/>
      <c r="P1248" s="441"/>
      <c r="Q1248" s="441"/>
      <c r="R1248" s="426"/>
      <c r="S1248" s="441"/>
      <c r="T1248" s="441"/>
      <c r="U1248" s="441"/>
      <c r="V1248" s="441"/>
      <c r="W1248" s="441"/>
      <c r="X1248" s="441"/>
      <c r="Y1248" s="441"/>
      <c r="Z1248" s="441"/>
      <c r="AA1248" s="441"/>
      <c r="AB1248" s="441"/>
      <c r="AC1248" s="441"/>
      <c r="AD1248" s="441"/>
      <c r="AE1248" s="441"/>
      <c r="AF1248" s="441"/>
      <c r="AG1248" s="441"/>
      <c r="AH1248" s="441"/>
      <c r="AI1248" s="441"/>
      <c r="AJ1248" s="441"/>
      <c r="AK1248" s="441"/>
      <c r="AL1248" s="441"/>
      <c r="AM1248" s="441"/>
      <c r="AN1248" s="441"/>
      <c r="AO1248" s="441"/>
      <c r="AP1248" s="441"/>
      <c r="AQ1248" s="441"/>
      <c r="AR1248" s="441"/>
      <c r="AS1248" s="441"/>
      <c r="AT1248" s="441"/>
      <c r="AU1248" s="441"/>
      <c r="AV1248" s="441"/>
      <c r="AW1248" s="441"/>
      <c r="AX1248" s="441"/>
      <c r="AY1248" s="441"/>
      <c r="AZ1248" s="441"/>
      <c r="BA1248" s="441"/>
      <c r="BB1248" s="441"/>
      <c r="BC1248" s="441"/>
      <c r="BD1248" s="441"/>
      <c r="BE1248" s="441"/>
      <c r="BF1248" s="441"/>
    </row>
    <row r="1249">
      <c r="A1249" s="798"/>
      <c r="B1249" s="795"/>
      <c r="C1249" s="795"/>
      <c r="D1249" s="795"/>
      <c r="E1249" s="795"/>
      <c r="F1249" s="795"/>
      <c r="G1249" s="795"/>
      <c r="H1249" s="795"/>
      <c r="I1249" s="796"/>
      <c r="J1249" s="441"/>
      <c r="K1249" s="441"/>
      <c r="L1249" s="797"/>
      <c r="M1249" s="441"/>
      <c r="N1249" s="441"/>
      <c r="O1249" s="441"/>
      <c r="P1249" s="441"/>
      <c r="Q1249" s="441"/>
      <c r="R1249" s="426"/>
      <c r="S1249" s="441"/>
      <c r="T1249" s="441"/>
      <c r="U1249" s="441"/>
      <c r="V1249" s="441"/>
      <c r="W1249" s="441"/>
      <c r="X1249" s="441"/>
      <c r="Y1249" s="441"/>
      <c r="Z1249" s="441"/>
      <c r="AA1249" s="441"/>
      <c r="AB1249" s="441"/>
      <c r="AC1249" s="441"/>
      <c r="AD1249" s="441"/>
      <c r="AE1249" s="441"/>
      <c r="AF1249" s="441"/>
      <c r="AG1249" s="441"/>
      <c r="AH1249" s="441"/>
      <c r="AI1249" s="441"/>
      <c r="AJ1249" s="441"/>
      <c r="AK1249" s="441"/>
      <c r="AL1249" s="441"/>
      <c r="AM1249" s="441"/>
      <c r="AN1249" s="441"/>
      <c r="AO1249" s="441"/>
      <c r="AP1249" s="441"/>
      <c r="AQ1249" s="441"/>
      <c r="AR1249" s="441"/>
      <c r="AS1249" s="441"/>
      <c r="AT1249" s="441"/>
      <c r="AU1249" s="441"/>
      <c r="AV1249" s="441"/>
      <c r="AW1249" s="441"/>
      <c r="AX1249" s="441"/>
      <c r="AY1249" s="441"/>
      <c r="AZ1249" s="441"/>
      <c r="BA1249" s="441"/>
      <c r="BB1249" s="441"/>
      <c r="BC1249" s="441"/>
      <c r="BD1249" s="441"/>
      <c r="BE1249" s="441"/>
      <c r="BF1249" s="441"/>
    </row>
    <row r="1250">
      <c r="A1250" s="798"/>
      <c r="B1250" s="795"/>
      <c r="C1250" s="795"/>
      <c r="D1250" s="795"/>
      <c r="E1250" s="795"/>
      <c r="F1250" s="795"/>
      <c r="G1250" s="795"/>
      <c r="H1250" s="795"/>
      <c r="I1250" s="796"/>
      <c r="J1250" s="441"/>
      <c r="K1250" s="441"/>
      <c r="L1250" s="797"/>
      <c r="M1250" s="441"/>
      <c r="N1250" s="441"/>
      <c r="O1250" s="441"/>
      <c r="P1250" s="441"/>
      <c r="Q1250" s="441"/>
      <c r="R1250" s="426"/>
      <c r="S1250" s="441"/>
      <c r="T1250" s="441"/>
      <c r="U1250" s="441"/>
      <c r="V1250" s="441"/>
      <c r="W1250" s="441"/>
      <c r="X1250" s="441"/>
      <c r="Y1250" s="441"/>
      <c r="Z1250" s="441"/>
      <c r="AA1250" s="441"/>
      <c r="AB1250" s="441"/>
      <c r="AC1250" s="441"/>
      <c r="AD1250" s="441"/>
      <c r="AE1250" s="441"/>
      <c r="AF1250" s="441"/>
      <c r="AG1250" s="441"/>
      <c r="AH1250" s="441"/>
      <c r="AI1250" s="441"/>
      <c r="AJ1250" s="441"/>
      <c r="AK1250" s="441"/>
      <c r="AL1250" s="441"/>
      <c r="AM1250" s="441"/>
      <c r="AN1250" s="441"/>
      <c r="AO1250" s="441"/>
      <c r="AP1250" s="441"/>
      <c r="AQ1250" s="441"/>
      <c r="AR1250" s="441"/>
      <c r="AS1250" s="441"/>
      <c r="AT1250" s="441"/>
      <c r="AU1250" s="441"/>
      <c r="AV1250" s="441"/>
      <c r="AW1250" s="441"/>
      <c r="AX1250" s="441"/>
      <c r="AY1250" s="441"/>
      <c r="AZ1250" s="441"/>
      <c r="BA1250" s="441"/>
      <c r="BB1250" s="441"/>
      <c r="BC1250" s="441"/>
      <c r="BD1250" s="441"/>
      <c r="BE1250" s="441"/>
      <c r="BF1250" s="441"/>
    </row>
    <row r="1251">
      <c r="A1251" s="798"/>
      <c r="B1251" s="795"/>
      <c r="C1251" s="795"/>
      <c r="D1251" s="795"/>
      <c r="E1251" s="795"/>
      <c r="F1251" s="795"/>
      <c r="G1251" s="795"/>
      <c r="H1251" s="795"/>
      <c r="I1251" s="796"/>
      <c r="J1251" s="441"/>
      <c r="K1251" s="441"/>
      <c r="L1251" s="797"/>
      <c r="M1251" s="441"/>
      <c r="N1251" s="441"/>
      <c r="O1251" s="441"/>
      <c r="P1251" s="441"/>
      <c r="Q1251" s="441"/>
      <c r="R1251" s="426"/>
      <c r="S1251" s="441"/>
      <c r="T1251" s="441"/>
      <c r="U1251" s="441"/>
      <c r="V1251" s="441"/>
      <c r="W1251" s="441"/>
      <c r="X1251" s="441"/>
      <c r="Y1251" s="441"/>
      <c r="Z1251" s="441"/>
      <c r="AA1251" s="441"/>
      <c r="AB1251" s="441"/>
      <c r="AC1251" s="441"/>
      <c r="AD1251" s="441"/>
      <c r="AE1251" s="441"/>
      <c r="AF1251" s="441"/>
      <c r="AG1251" s="441"/>
      <c r="AH1251" s="441"/>
      <c r="AI1251" s="441"/>
      <c r="AJ1251" s="441"/>
      <c r="AK1251" s="441"/>
      <c r="AL1251" s="441"/>
      <c r="AM1251" s="441"/>
      <c r="AN1251" s="441"/>
      <c r="AO1251" s="441"/>
      <c r="AP1251" s="441"/>
      <c r="AQ1251" s="441"/>
      <c r="AR1251" s="441"/>
      <c r="AS1251" s="441"/>
      <c r="AT1251" s="441"/>
      <c r="AU1251" s="441"/>
      <c r="AV1251" s="441"/>
      <c r="AW1251" s="441"/>
      <c r="AX1251" s="441"/>
      <c r="AY1251" s="441"/>
      <c r="AZ1251" s="441"/>
      <c r="BA1251" s="441"/>
      <c r="BB1251" s="441"/>
      <c r="BC1251" s="441"/>
      <c r="BD1251" s="441"/>
      <c r="BE1251" s="441"/>
      <c r="BF1251" s="441"/>
    </row>
    <row r="1252">
      <c r="A1252" s="798"/>
      <c r="B1252" s="795"/>
      <c r="C1252" s="795"/>
      <c r="D1252" s="795"/>
      <c r="E1252" s="795"/>
      <c r="F1252" s="795"/>
      <c r="G1252" s="795"/>
      <c r="H1252" s="795"/>
      <c r="I1252" s="796"/>
      <c r="J1252" s="441"/>
      <c r="K1252" s="441"/>
      <c r="L1252" s="797"/>
      <c r="M1252" s="441"/>
      <c r="N1252" s="441"/>
      <c r="O1252" s="441"/>
      <c r="P1252" s="441"/>
      <c r="Q1252" s="441"/>
      <c r="R1252" s="426"/>
      <c r="S1252" s="441"/>
      <c r="T1252" s="441"/>
      <c r="U1252" s="441"/>
      <c r="V1252" s="441"/>
      <c r="W1252" s="441"/>
      <c r="X1252" s="441"/>
      <c r="Y1252" s="441"/>
      <c r="Z1252" s="441"/>
      <c r="AA1252" s="441"/>
      <c r="AB1252" s="441"/>
      <c r="AC1252" s="441"/>
      <c r="AD1252" s="441"/>
      <c r="AE1252" s="441"/>
      <c r="AF1252" s="441"/>
      <c r="AG1252" s="441"/>
      <c r="AH1252" s="441"/>
      <c r="AI1252" s="441"/>
      <c r="AJ1252" s="441"/>
      <c r="AK1252" s="441"/>
      <c r="AL1252" s="441"/>
      <c r="AM1252" s="441"/>
      <c r="AN1252" s="441"/>
      <c r="AO1252" s="441"/>
      <c r="AP1252" s="441"/>
      <c r="AQ1252" s="441"/>
      <c r="AR1252" s="441"/>
      <c r="AS1252" s="441"/>
      <c r="AT1252" s="441"/>
      <c r="AU1252" s="441"/>
      <c r="AV1252" s="441"/>
      <c r="AW1252" s="441"/>
      <c r="AX1252" s="441"/>
      <c r="AY1252" s="441"/>
      <c r="AZ1252" s="441"/>
      <c r="BA1252" s="441"/>
      <c r="BB1252" s="441"/>
      <c r="BC1252" s="441"/>
      <c r="BD1252" s="441"/>
      <c r="BE1252" s="441"/>
      <c r="BF1252" s="441"/>
    </row>
    <row r="1253">
      <c r="A1253" s="798"/>
      <c r="B1253" s="795"/>
      <c r="C1253" s="795"/>
      <c r="D1253" s="795"/>
      <c r="E1253" s="795"/>
      <c r="F1253" s="795"/>
      <c r="G1253" s="795"/>
      <c r="H1253" s="795"/>
      <c r="I1253" s="796"/>
      <c r="J1253" s="441"/>
      <c r="K1253" s="441"/>
      <c r="L1253" s="797"/>
      <c r="M1253" s="441"/>
      <c r="N1253" s="441"/>
      <c r="O1253" s="441"/>
      <c r="P1253" s="441"/>
      <c r="Q1253" s="441"/>
      <c r="R1253" s="426"/>
      <c r="S1253" s="441"/>
      <c r="T1253" s="441"/>
      <c r="U1253" s="441"/>
      <c r="V1253" s="441"/>
      <c r="W1253" s="441"/>
      <c r="X1253" s="441"/>
      <c r="Y1253" s="441"/>
      <c r="Z1253" s="441"/>
      <c r="AA1253" s="441"/>
      <c r="AB1253" s="441"/>
      <c r="AC1253" s="441"/>
      <c r="AD1253" s="441"/>
      <c r="AE1253" s="441"/>
      <c r="AF1253" s="441"/>
      <c r="AG1253" s="441"/>
      <c r="AH1253" s="441"/>
      <c r="AI1253" s="441"/>
      <c r="AJ1253" s="441"/>
      <c r="AK1253" s="441"/>
      <c r="AL1253" s="441"/>
      <c r="AM1253" s="441"/>
      <c r="AN1253" s="441"/>
      <c r="AO1253" s="441"/>
      <c r="AP1253" s="441"/>
      <c r="AQ1253" s="441"/>
      <c r="AR1253" s="441"/>
      <c r="AS1253" s="441"/>
      <c r="AT1253" s="441"/>
      <c r="AU1253" s="441"/>
      <c r="AV1253" s="441"/>
      <c r="AW1253" s="441"/>
      <c r="AX1253" s="441"/>
      <c r="AY1253" s="441"/>
      <c r="AZ1253" s="441"/>
      <c r="BA1253" s="441"/>
      <c r="BB1253" s="441"/>
      <c r="BC1253" s="441"/>
      <c r="BD1253" s="441"/>
      <c r="BE1253" s="441"/>
      <c r="BF1253" s="441"/>
    </row>
    <row r="1254">
      <c r="A1254" s="798"/>
      <c r="B1254" s="795"/>
      <c r="C1254" s="795"/>
      <c r="D1254" s="795"/>
      <c r="E1254" s="795"/>
      <c r="F1254" s="795"/>
      <c r="G1254" s="795"/>
      <c r="H1254" s="795"/>
      <c r="I1254" s="796"/>
      <c r="J1254" s="441"/>
      <c r="K1254" s="441"/>
      <c r="L1254" s="797"/>
      <c r="M1254" s="441"/>
      <c r="N1254" s="441"/>
      <c r="O1254" s="441"/>
      <c r="P1254" s="441"/>
      <c r="Q1254" s="441"/>
      <c r="R1254" s="426"/>
      <c r="S1254" s="441"/>
      <c r="T1254" s="441"/>
      <c r="U1254" s="441"/>
      <c r="V1254" s="441"/>
      <c r="W1254" s="441"/>
      <c r="X1254" s="441"/>
      <c r="Y1254" s="441"/>
      <c r="Z1254" s="441"/>
      <c r="AA1254" s="441"/>
      <c r="AB1254" s="441"/>
      <c r="AC1254" s="441"/>
      <c r="AD1254" s="441"/>
      <c r="AE1254" s="441"/>
      <c r="AF1254" s="441"/>
      <c r="AG1254" s="441"/>
      <c r="AH1254" s="441"/>
      <c r="AI1254" s="441"/>
      <c r="AJ1254" s="441"/>
      <c r="AK1254" s="441"/>
      <c r="AL1254" s="441"/>
      <c r="AM1254" s="441"/>
      <c r="AN1254" s="441"/>
      <c r="AO1254" s="441"/>
      <c r="AP1254" s="441"/>
      <c r="AQ1254" s="441"/>
      <c r="AR1254" s="441"/>
      <c r="AS1254" s="441"/>
      <c r="AT1254" s="441"/>
      <c r="AU1254" s="441"/>
      <c r="AV1254" s="441"/>
      <c r="AW1254" s="441"/>
      <c r="AX1254" s="441"/>
      <c r="AY1254" s="441"/>
      <c r="AZ1254" s="441"/>
      <c r="BA1254" s="441"/>
      <c r="BB1254" s="441"/>
      <c r="BC1254" s="441"/>
      <c r="BD1254" s="441"/>
      <c r="BE1254" s="441"/>
      <c r="BF1254" s="441"/>
    </row>
    <row r="1255">
      <c r="A1255" s="798"/>
      <c r="B1255" s="795"/>
      <c r="C1255" s="795"/>
      <c r="D1255" s="795"/>
      <c r="E1255" s="795"/>
      <c r="F1255" s="795"/>
      <c r="G1255" s="795"/>
      <c r="H1255" s="795"/>
      <c r="I1255" s="796"/>
      <c r="J1255" s="441"/>
      <c r="K1255" s="441"/>
      <c r="L1255" s="797"/>
      <c r="M1255" s="441"/>
      <c r="N1255" s="441"/>
      <c r="O1255" s="441"/>
      <c r="P1255" s="441"/>
      <c r="Q1255" s="441"/>
      <c r="R1255" s="426"/>
      <c r="S1255" s="441"/>
      <c r="T1255" s="441"/>
      <c r="U1255" s="441"/>
      <c r="V1255" s="441"/>
      <c r="W1255" s="441"/>
      <c r="X1255" s="441"/>
      <c r="Y1255" s="441"/>
      <c r="Z1255" s="441"/>
      <c r="AA1255" s="441"/>
      <c r="AB1255" s="441"/>
      <c r="AC1255" s="441"/>
      <c r="AD1255" s="441"/>
      <c r="AE1255" s="441"/>
      <c r="AF1255" s="441"/>
      <c r="AG1255" s="441"/>
      <c r="AH1255" s="441"/>
      <c r="AI1255" s="441"/>
      <c r="AJ1255" s="441"/>
      <c r="AK1255" s="441"/>
      <c r="AL1255" s="441"/>
      <c r="AM1255" s="441"/>
      <c r="AN1255" s="441"/>
      <c r="AO1255" s="441"/>
      <c r="AP1255" s="441"/>
      <c r="AQ1255" s="441"/>
      <c r="AR1255" s="441"/>
      <c r="AS1255" s="441"/>
      <c r="AT1255" s="441"/>
      <c r="AU1255" s="441"/>
      <c r="AV1255" s="441"/>
      <c r="AW1255" s="441"/>
      <c r="AX1255" s="441"/>
      <c r="AY1255" s="441"/>
      <c r="AZ1255" s="441"/>
      <c r="BA1255" s="441"/>
      <c r="BB1255" s="441"/>
      <c r="BC1255" s="441"/>
      <c r="BD1255" s="441"/>
      <c r="BE1255" s="441"/>
      <c r="BF1255" s="441"/>
    </row>
    <row r="1256">
      <c r="A1256" s="798"/>
      <c r="B1256" s="795"/>
      <c r="C1256" s="795"/>
      <c r="D1256" s="795"/>
      <c r="E1256" s="795"/>
      <c r="F1256" s="795"/>
      <c r="G1256" s="795"/>
      <c r="H1256" s="795"/>
      <c r="I1256" s="796"/>
      <c r="J1256" s="441"/>
      <c r="K1256" s="441"/>
      <c r="L1256" s="797"/>
      <c r="M1256" s="441"/>
      <c r="N1256" s="441"/>
      <c r="O1256" s="441"/>
      <c r="P1256" s="441"/>
      <c r="Q1256" s="441"/>
      <c r="R1256" s="426"/>
      <c r="S1256" s="441"/>
      <c r="T1256" s="441"/>
      <c r="U1256" s="441"/>
      <c r="V1256" s="441"/>
      <c r="W1256" s="441"/>
      <c r="X1256" s="441"/>
      <c r="Y1256" s="441"/>
      <c r="Z1256" s="441"/>
      <c r="AA1256" s="441"/>
      <c r="AB1256" s="441"/>
      <c r="AC1256" s="441"/>
      <c r="AD1256" s="441"/>
      <c r="AE1256" s="441"/>
      <c r="AF1256" s="441"/>
      <c r="AG1256" s="441"/>
      <c r="AH1256" s="441"/>
      <c r="AI1256" s="441"/>
      <c r="AJ1256" s="441"/>
      <c r="AK1256" s="441"/>
      <c r="AL1256" s="441"/>
      <c r="AM1256" s="441"/>
      <c r="AN1256" s="441"/>
      <c r="AO1256" s="441"/>
      <c r="AP1256" s="441"/>
      <c r="AQ1256" s="441"/>
      <c r="AR1256" s="441"/>
      <c r="AS1256" s="441"/>
      <c r="AT1256" s="441"/>
      <c r="AU1256" s="441"/>
      <c r="AV1256" s="441"/>
      <c r="AW1256" s="441"/>
      <c r="AX1256" s="441"/>
      <c r="AY1256" s="441"/>
      <c r="AZ1256" s="441"/>
      <c r="BA1256" s="441"/>
      <c r="BB1256" s="441"/>
      <c r="BC1256" s="441"/>
      <c r="BD1256" s="441"/>
      <c r="BE1256" s="441"/>
      <c r="BF1256" s="441"/>
    </row>
    <row r="1257">
      <c r="A1257" s="798"/>
      <c r="B1257" s="795"/>
      <c r="C1257" s="795"/>
      <c r="D1257" s="795"/>
      <c r="E1257" s="795"/>
      <c r="F1257" s="795"/>
      <c r="G1257" s="795"/>
      <c r="H1257" s="795"/>
      <c r="I1257" s="796"/>
      <c r="J1257" s="441"/>
      <c r="K1257" s="441"/>
      <c r="L1257" s="797"/>
      <c r="M1257" s="441"/>
      <c r="N1257" s="441"/>
      <c r="O1257" s="441"/>
      <c r="P1257" s="441"/>
      <c r="Q1257" s="441"/>
      <c r="R1257" s="426"/>
      <c r="S1257" s="441"/>
      <c r="T1257" s="441"/>
      <c r="U1257" s="441"/>
      <c r="V1257" s="441"/>
      <c r="W1257" s="441"/>
      <c r="X1257" s="441"/>
      <c r="Y1257" s="441"/>
      <c r="Z1257" s="441"/>
      <c r="AA1257" s="441"/>
      <c r="AB1257" s="441"/>
      <c r="AC1257" s="441"/>
      <c r="AD1257" s="441"/>
      <c r="AE1257" s="441"/>
      <c r="AF1257" s="441"/>
      <c r="AG1257" s="441"/>
      <c r="AH1257" s="441"/>
      <c r="AI1257" s="441"/>
      <c r="AJ1257" s="441"/>
      <c r="AK1257" s="441"/>
      <c r="AL1257" s="441"/>
      <c r="AM1257" s="441"/>
      <c r="AN1257" s="441"/>
      <c r="AO1257" s="441"/>
      <c r="AP1257" s="441"/>
      <c r="AQ1257" s="441"/>
      <c r="AR1257" s="441"/>
      <c r="AS1257" s="441"/>
      <c r="AT1257" s="441"/>
      <c r="AU1257" s="441"/>
      <c r="AV1257" s="441"/>
      <c r="AW1257" s="441"/>
      <c r="AX1257" s="441"/>
      <c r="AY1257" s="441"/>
      <c r="AZ1257" s="441"/>
      <c r="BA1257" s="441"/>
      <c r="BB1257" s="441"/>
      <c r="BC1257" s="441"/>
      <c r="BD1257" s="441"/>
      <c r="BE1257" s="441"/>
      <c r="BF1257" s="441"/>
    </row>
    <row r="1258">
      <c r="A1258" s="798"/>
      <c r="B1258" s="795"/>
      <c r="C1258" s="795"/>
      <c r="D1258" s="795"/>
      <c r="E1258" s="795"/>
      <c r="F1258" s="795"/>
      <c r="G1258" s="795"/>
      <c r="H1258" s="795"/>
      <c r="I1258" s="796"/>
      <c r="J1258" s="441"/>
      <c r="K1258" s="441"/>
      <c r="L1258" s="797"/>
      <c r="M1258" s="441"/>
      <c r="N1258" s="441"/>
      <c r="O1258" s="441"/>
      <c r="P1258" s="441"/>
      <c r="Q1258" s="441"/>
      <c r="R1258" s="426"/>
      <c r="S1258" s="441"/>
      <c r="T1258" s="441"/>
      <c r="U1258" s="441"/>
      <c r="V1258" s="441"/>
      <c r="W1258" s="441"/>
      <c r="X1258" s="441"/>
      <c r="Y1258" s="441"/>
      <c r="Z1258" s="441"/>
      <c r="AA1258" s="441"/>
      <c r="AB1258" s="441"/>
      <c r="AC1258" s="441"/>
      <c r="AD1258" s="441"/>
      <c r="AE1258" s="441"/>
      <c r="AF1258" s="441"/>
      <c r="AG1258" s="441"/>
      <c r="AH1258" s="441"/>
      <c r="AI1258" s="441"/>
      <c r="AJ1258" s="441"/>
      <c r="AK1258" s="441"/>
      <c r="AL1258" s="441"/>
      <c r="AM1258" s="441"/>
      <c r="AN1258" s="441"/>
      <c r="AO1258" s="441"/>
      <c r="AP1258" s="441"/>
      <c r="AQ1258" s="441"/>
      <c r="AR1258" s="441"/>
      <c r="AS1258" s="441"/>
      <c r="AT1258" s="441"/>
      <c r="AU1258" s="441"/>
      <c r="AV1258" s="441"/>
      <c r="AW1258" s="441"/>
      <c r="AX1258" s="441"/>
      <c r="AY1258" s="441"/>
      <c r="AZ1258" s="441"/>
      <c r="BA1258" s="441"/>
      <c r="BB1258" s="441"/>
      <c r="BC1258" s="441"/>
      <c r="BD1258" s="441"/>
      <c r="BE1258" s="441"/>
      <c r="BF1258" s="441"/>
    </row>
    <row r="1259">
      <c r="A1259" s="798"/>
      <c r="B1259" s="795"/>
      <c r="C1259" s="795"/>
      <c r="D1259" s="795"/>
      <c r="E1259" s="795"/>
      <c r="F1259" s="795"/>
      <c r="G1259" s="795"/>
      <c r="H1259" s="795"/>
      <c r="I1259" s="796"/>
      <c r="J1259" s="441"/>
      <c r="K1259" s="441"/>
      <c r="L1259" s="797"/>
      <c r="M1259" s="441"/>
      <c r="N1259" s="441"/>
      <c r="O1259" s="441"/>
      <c r="P1259" s="441"/>
      <c r="Q1259" s="441"/>
      <c r="R1259" s="426"/>
      <c r="S1259" s="441"/>
      <c r="T1259" s="441"/>
      <c r="U1259" s="441"/>
      <c r="V1259" s="441"/>
      <c r="W1259" s="441"/>
      <c r="X1259" s="441"/>
      <c r="Y1259" s="441"/>
      <c r="Z1259" s="441"/>
      <c r="AA1259" s="441"/>
      <c r="AB1259" s="441"/>
      <c r="AC1259" s="441"/>
      <c r="AD1259" s="441"/>
      <c r="AE1259" s="441"/>
      <c r="AF1259" s="441"/>
      <c r="AG1259" s="441"/>
      <c r="AH1259" s="441"/>
      <c r="AI1259" s="441"/>
      <c r="AJ1259" s="441"/>
      <c r="AK1259" s="441"/>
      <c r="AL1259" s="441"/>
      <c r="AM1259" s="441"/>
      <c r="AN1259" s="441"/>
      <c r="AO1259" s="441"/>
      <c r="AP1259" s="441"/>
      <c r="AQ1259" s="441"/>
      <c r="AR1259" s="441"/>
      <c r="AS1259" s="441"/>
      <c r="AT1259" s="441"/>
      <c r="AU1259" s="441"/>
      <c r="AV1259" s="441"/>
      <c r="AW1259" s="441"/>
      <c r="AX1259" s="441"/>
      <c r="AY1259" s="441"/>
      <c r="AZ1259" s="441"/>
      <c r="BA1259" s="441"/>
      <c r="BB1259" s="441"/>
      <c r="BC1259" s="441"/>
      <c r="BD1259" s="441"/>
      <c r="BE1259" s="441"/>
      <c r="BF1259" s="441"/>
    </row>
    <row r="1260">
      <c r="A1260" s="798"/>
      <c r="B1260" s="795"/>
      <c r="C1260" s="795"/>
      <c r="D1260" s="795"/>
      <c r="E1260" s="795"/>
      <c r="F1260" s="795"/>
      <c r="G1260" s="795"/>
      <c r="H1260" s="795"/>
      <c r="I1260" s="796"/>
      <c r="J1260" s="441"/>
      <c r="K1260" s="441"/>
      <c r="L1260" s="797"/>
      <c r="M1260" s="441"/>
      <c r="N1260" s="441"/>
      <c r="O1260" s="441"/>
      <c r="P1260" s="441"/>
      <c r="Q1260" s="441"/>
      <c r="R1260" s="426"/>
      <c r="S1260" s="441"/>
      <c r="T1260" s="441"/>
      <c r="U1260" s="441"/>
      <c r="V1260" s="441"/>
      <c r="W1260" s="441"/>
      <c r="X1260" s="441"/>
      <c r="Y1260" s="441"/>
      <c r="Z1260" s="441"/>
      <c r="AA1260" s="441"/>
      <c r="AB1260" s="441"/>
      <c r="AC1260" s="441"/>
      <c r="AD1260" s="441"/>
      <c r="AE1260" s="441"/>
      <c r="AF1260" s="441"/>
      <c r="AG1260" s="441"/>
      <c r="AH1260" s="441"/>
      <c r="AI1260" s="441"/>
      <c r="AJ1260" s="441"/>
      <c r="AK1260" s="441"/>
      <c r="AL1260" s="441"/>
      <c r="AM1260" s="441"/>
      <c r="AN1260" s="441"/>
      <c r="AO1260" s="441"/>
      <c r="AP1260" s="441"/>
      <c r="AQ1260" s="441"/>
      <c r="AR1260" s="441"/>
      <c r="AS1260" s="441"/>
      <c r="AT1260" s="441"/>
      <c r="AU1260" s="441"/>
      <c r="AV1260" s="441"/>
      <c r="AW1260" s="441"/>
      <c r="AX1260" s="441"/>
      <c r="AY1260" s="441"/>
      <c r="AZ1260" s="441"/>
      <c r="BA1260" s="441"/>
      <c r="BB1260" s="441"/>
      <c r="BC1260" s="441"/>
      <c r="BD1260" s="441"/>
      <c r="BE1260" s="441"/>
      <c r="BF1260" s="441"/>
    </row>
    <row r="1261">
      <c r="A1261" s="798"/>
      <c r="B1261" s="795"/>
      <c r="C1261" s="795"/>
      <c r="D1261" s="795"/>
      <c r="E1261" s="795"/>
      <c r="F1261" s="795"/>
      <c r="G1261" s="795"/>
      <c r="H1261" s="795"/>
      <c r="I1261" s="796"/>
      <c r="J1261" s="441"/>
      <c r="K1261" s="441"/>
      <c r="L1261" s="797"/>
      <c r="M1261" s="441"/>
      <c r="N1261" s="441"/>
      <c r="O1261" s="441"/>
      <c r="P1261" s="441"/>
      <c r="Q1261" s="441"/>
      <c r="R1261" s="426"/>
      <c r="S1261" s="441"/>
      <c r="T1261" s="441"/>
      <c r="U1261" s="441"/>
      <c r="V1261" s="441"/>
      <c r="W1261" s="441"/>
      <c r="X1261" s="441"/>
      <c r="Y1261" s="441"/>
      <c r="Z1261" s="441"/>
      <c r="AA1261" s="441"/>
      <c r="AB1261" s="441"/>
      <c r="AC1261" s="441"/>
      <c r="AD1261" s="441"/>
      <c r="AE1261" s="441"/>
      <c r="AF1261" s="441"/>
      <c r="AG1261" s="441"/>
      <c r="AH1261" s="441"/>
      <c r="AI1261" s="441"/>
      <c r="AJ1261" s="441"/>
      <c r="AK1261" s="441"/>
      <c r="AL1261" s="441"/>
      <c r="AM1261" s="441"/>
      <c r="AN1261" s="441"/>
      <c r="AO1261" s="441"/>
      <c r="AP1261" s="441"/>
      <c r="AQ1261" s="441"/>
      <c r="AR1261" s="441"/>
      <c r="AS1261" s="441"/>
      <c r="AT1261" s="441"/>
      <c r="AU1261" s="441"/>
      <c r="AV1261" s="441"/>
      <c r="AW1261" s="441"/>
      <c r="AX1261" s="441"/>
      <c r="AY1261" s="441"/>
      <c r="AZ1261" s="441"/>
      <c r="BA1261" s="441"/>
      <c r="BB1261" s="441"/>
      <c r="BC1261" s="441"/>
      <c r="BD1261" s="441"/>
      <c r="BE1261" s="441"/>
      <c r="BF1261" s="441"/>
    </row>
    <row r="1262">
      <c r="A1262" s="798"/>
      <c r="B1262" s="795"/>
      <c r="C1262" s="795"/>
      <c r="D1262" s="795"/>
      <c r="E1262" s="795"/>
      <c r="F1262" s="795"/>
      <c r="G1262" s="795"/>
      <c r="H1262" s="795"/>
      <c r="I1262" s="796"/>
      <c r="J1262" s="441"/>
      <c r="K1262" s="441"/>
      <c r="L1262" s="797"/>
      <c r="M1262" s="441"/>
      <c r="N1262" s="441"/>
      <c r="O1262" s="441"/>
      <c r="P1262" s="441"/>
      <c r="Q1262" s="441"/>
      <c r="R1262" s="426"/>
      <c r="S1262" s="441"/>
      <c r="T1262" s="441"/>
      <c r="U1262" s="441"/>
      <c r="V1262" s="441"/>
      <c r="W1262" s="441"/>
      <c r="X1262" s="441"/>
      <c r="Y1262" s="441"/>
      <c r="Z1262" s="441"/>
      <c r="AA1262" s="441"/>
      <c r="AB1262" s="441"/>
      <c r="AC1262" s="441"/>
      <c r="AD1262" s="441"/>
      <c r="AE1262" s="441"/>
      <c r="AF1262" s="441"/>
      <c r="AG1262" s="441"/>
      <c r="AH1262" s="441"/>
      <c r="AI1262" s="441"/>
      <c r="AJ1262" s="441"/>
      <c r="AK1262" s="441"/>
      <c r="AL1262" s="441"/>
      <c r="AM1262" s="441"/>
      <c r="AN1262" s="441"/>
      <c r="AO1262" s="441"/>
      <c r="AP1262" s="441"/>
      <c r="AQ1262" s="441"/>
      <c r="AR1262" s="441"/>
      <c r="AS1262" s="441"/>
      <c r="AT1262" s="441"/>
      <c r="AU1262" s="441"/>
      <c r="AV1262" s="441"/>
      <c r="AW1262" s="441"/>
      <c r="AX1262" s="441"/>
      <c r="AY1262" s="441"/>
      <c r="AZ1262" s="441"/>
      <c r="BA1262" s="441"/>
      <c r="BB1262" s="441"/>
      <c r="BC1262" s="441"/>
      <c r="BD1262" s="441"/>
      <c r="BE1262" s="441"/>
      <c r="BF1262" s="441"/>
    </row>
    <row r="1263">
      <c r="A1263" s="798"/>
      <c r="B1263" s="795"/>
      <c r="C1263" s="795"/>
      <c r="D1263" s="795"/>
      <c r="E1263" s="795"/>
      <c r="F1263" s="795"/>
      <c r="G1263" s="795"/>
      <c r="H1263" s="795"/>
      <c r="I1263" s="796"/>
      <c r="J1263" s="441"/>
      <c r="K1263" s="441"/>
      <c r="L1263" s="797"/>
      <c r="M1263" s="441"/>
      <c r="N1263" s="441"/>
      <c r="O1263" s="441"/>
      <c r="P1263" s="441"/>
      <c r="Q1263" s="441"/>
      <c r="R1263" s="426"/>
      <c r="S1263" s="441"/>
      <c r="T1263" s="441"/>
      <c r="U1263" s="441"/>
      <c r="V1263" s="441"/>
      <c r="W1263" s="441"/>
      <c r="X1263" s="441"/>
      <c r="Y1263" s="441"/>
      <c r="Z1263" s="441"/>
      <c r="AA1263" s="441"/>
      <c r="AB1263" s="441"/>
      <c r="AC1263" s="441"/>
      <c r="AD1263" s="441"/>
      <c r="AE1263" s="441"/>
      <c r="AF1263" s="441"/>
      <c r="AG1263" s="441"/>
      <c r="AH1263" s="441"/>
      <c r="AI1263" s="441"/>
      <c r="AJ1263" s="441"/>
      <c r="AK1263" s="441"/>
      <c r="AL1263" s="441"/>
      <c r="AM1263" s="441"/>
      <c r="AN1263" s="441"/>
      <c r="AO1263" s="441"/>
      <c r="AP1263" s="441"/>
      <c r="AQ1263" s="441"/>
      <c r="AR1263" s="441"/>
      <c r="AS1263" s="441"/>
      <c r="AT1263" s="441"/>
      <c r="AU1263" s="441"/>
      <c r="AV1263" s="441"/>
      <c r="AW1263" s="441"/>
      <c r="AX1263" s="441"/>
      <c r="AY1263" s="441"/>
      <c r="AZ1263" s="441"/>
      <c r="BA1263" s="441"/>
      <c r="BB1263" s="441"/>
      <c r="BC1263" s="441"/>
      <c r="BD1263" s="441"/>
      <c r="BE1263" s="441"/>
      <c r="BF1263" s="441"/>
    </row>
    <row r="1264">
      <c r="A1264" s="798"/>
      <c r="B1264" s="795"/>
      <c r="C1264" s="795"/>
      <c r="D1264" s="795"/>
      <c r="E1264" s="795"/>
      <c r="F1264" s="795"/>
      <c r="G1264" s="795"/>
      <c r="H1264" s="795"/>
      <c r="I1264" s="796"/>
      <c r="J1264" s="441"/>
      <c r="K1264" s="441"/>
      <c r="L1264" s="797"/>
      <c r="M1264" s="441"/>
      <c r="N1264" s="441"/>
      <c r="O1264" s="441"/>
      <c r="P1264" s="441"/>
      <c r="Q1264" s="441"/>
      <c r="R1264" s="426"/>
      <c r="S1264" s="441"/>
      <c r="T1264" s="441"/>
      <c r="U1264" s="441"/>
      <c r="V1264" s="441"/>
      <c r="W1264" s="441"/>
      <c r="X1264" s="441"/>
      <c r="Y1264" s="441"/>
      <c r="Z1264" s="441"/>
      <c r="AA1264" s="441"/>
      <c r="AB1264" s="441"/>
      <c r="AC1264" s="441"/>
      <c r="AD1264" s="441"/>
      <c r="AE1264" s="441"/>
      <c r="AF1264" s="441"/>
      <c r="AG1264" s="441"/>
      <c r="AH1264" s="441"/>
      <c r="AI1264" s="441"/>
      <c r="AJ1264" s="441"/>
      <c r="AK1264" s="441"/>
      <c r="AL1264" s="441"/>
      <c r="AM1264" s="441"/>
      <c r="AN1264" s="441"/>
      <c r="AO1264" s="441"/>
      <c r="AP1264" s="441"/>
      <c r="AQ1264" s="441"/>
      <c r="AR1264" s="441"/>
      <c r="AS1264" s="441"/>
      <c r="AT1264" s="441"/>
      <c r="AU1264" s="441"/>
      <c r="AV1264" s="441"/>
      <c r="AW1264" s="441"/>
      <c r="AX1264" s="441"/>
      <c r="AY1264" s="441"/>
      <c r="AZ1264" s="441"/>
      <c r="BA1264" s="441"/>
      <c r="BB1264" s="441"/>
      <c r="BC1264" s="441"/>
      <c r="BD1264" s="441"/>
      <c r="BE1264" s="441"/>
      <c r="BF1264" s="441"/>
    </row>
    <row r="1265">
      <c r="A1265" s="798"/>
      <c r="B1265" s="795"/>
      <c r="C1265" s="795"/>
      <c r="D1265" s="795"/>
      <c r="E1265" s="795"/>
      <c r="F1265" s="795"/>
      <c r="G1265" s="795"/>
      <c r="H1265" s="795"/>
      <c r="I1265" s="796"/>
      <c r="J1265" s="441"/>
      <c r="K1265" s="441"/>
      <c r="L1265" s="797"/>
      <c r="M1265" s="441"/>
      <c r="N1265" s="441"/>
      <c r="O1265" s="441"/>
      <c r="P1265" s="441"/>
      <c r="Q1265" s="441"/>
      <c r="R1265" s="426"/>
      <c r="S1265" s="441"/>
      <c r="T1265" s="441"/>
      <c r="U1265" s="441"/>
      <c r="V1265" s="441"/>
      <c r="W1265" s="441"/>
      <c r="X1265" s="441"/>
      <c r="Y1265" s="441"/>
      <c r="Z1265" s="441"/>
      <c r="AA1265" s="441"/>
      <c r="AB1265" s="441"/>
      <c r="AC1265" s="441"/>
      <c r="AD1265" s="441"/>
      <c r="AE1265" s="441"/>
      <c r="AF1265" s="441"/>
      <c r="AG1265" s="441"/>
      <c r="AH1265" s="441"/>
      <c r="AI1265" s="441"/>
      <c r="AJ1265" s="441"/>
      <c r="AK1265" s="441"/>
      <c r="AL1265" s="441"/>
      <c r="AM1265" s="441"/>
      <c r="AN1265" s="441"/>
      <c r="AO1265" s="441"/>
      <c r="AP1265" s="441"/>
      <c r="AQ1265" s="441"/>
      <c r="AR1265" s="441"/>
      <c r="AS1265" s="441"/>
      <c r="AT1265" s="441"/>
      <c r="AU1265" s="441"/>
      <c r="AV1265" s="441"/>
      <c r="AW1265" s="441"/>
      <c r="AX1265" s="441"/>
      <c r="AY1265" s="441"/>
      <c r="AZ1265" s="441"/>
      <c r="BA1265" s="441"/>
      <c r="BB1265" s="441"/>
      <c r="BC1265" s="441"/>
      <c r="BD1265" s="441"/>
      <c r="BE1265" s="441"/>
      <c r="BF1265" s="441"/>
    </row>
    <row r="1266">
      <c r="A1266" s="798"/>
      <c r="B1266" s="795"/>
      <c r="C1266" s="795"/>
      <c r="D1266" s="795"/>
      <c r="E1266" s="795"/>
      <c r="F1266" s="795"/>
      <c r="G1266" s="795"/>
      <c r="H1266" s="795"/>
      <c r="I1266" s="796"/>
      <c r="J1266" s="441"/>
      <c r="K1266" s="441"/>
      <c r="L1266" s="797"/>
      <c r="M1266" s="441"/>
      <c r="N1266" s="441"/>
      <c r="O1266" s="441"/>
      <c r="P1266" s="441"/>
      <c r="Q1266" s="441"/>
      <c r="R1266" s="426"/>
      <c r="S1266" s="441"/>
      <c r="T1266" s="441"/>
      <c r="U1266" s="441"/>
      <c r="V1266" s="441"/>
      <c r="W1266" s="441"/>
      <c r="X1266" s="441"/>
      <c r="Y1266" s="441"/>
      <c r="Z1266" s="441"/>
      <c r="AA1266" s="441"/>
      <c r="AB1266" s="441"/>
      <c r="AC1266" s="441"/>
      <c r="AD1266" s="441"/>
      <c r="AE1266" s="441"/>
      <c r="AF1266" s="441"/>
      <c r="AG1266" s="441"/>
      <c r="AH1266" s="441"/>
      <c r="AI1266" s="441"/>
      <c r="AJ1266" s="441"/>
      <c r="AK1266" s="441"/>
      <c r="AL1266" s="441"/>
      <c r="AM1266" s="441"/>
      <c r="AN1266" s="441"/>
      <c r="AO1266" s="441"/>
      <c r="AP1266" s="441"/>
      <c r="AQ1266" s="441"/>
      <c r="AR1266" s="441"/>
      <c r="AS1266" s="441"/>
      <c r="AT1266" s="441"/>
      <c r="AU1266" s="441"/>
      <c r="AV1266" s="441"/>
      <c r="AW1266" s="441"/>
      <c r="AX1266" s="441"/>
      <c r="AY1266" s="441"/>
      <c r="AZ1266" s="441"/>
      <c r="BA1266" s="441"/>
      <c r="BB1266" s="441"/>
      <c r="BC1266" s="441"/>
      <c r="BD1266" s="441"/>
      <c r="BE1266" s="441"/>
      <c r="BF1266" s="441"/>
    </row>
    <row r="1267">
      <c r="A1267" s="798"/>
      <c r="B1267" s="795"/>
      <c r="C1267" s="795"/>
      <c r="D1267" s="795"/>
      <c r="E1267" s="795"/>
      <c r="F1267" s="795"/>
      <c r="G1267" s="795"/>
      <c r="H1267" s="795"/>
      <c r="I1267" s="796"/>
      <c r="J1267" s="441"/>
      <c r="K1267" s="441"/>
      <c r="L1267" s="797"/>
      <c r="M1267" s="441"/>
      <c r="N1267" s="441"/>
      <c r="O1267" s="441"/>
      <c r="P1267" s="441"/>
      <c r="Q1267" s="441"/>
      <c r="R1267" s="426"/>
      <c r="S1267" s="441"/>
      <c r="T1267" s="441"/>
      <c r="U1267" s="441"/>
      <c r="V1267" s="441"/>
      <c r="W1267" s="441"/>
      <c r="X1267" s="441"/>
      <c r="Y1267" s="441"/>
      <c r="Z1267" s="441"/>
      <c r="AA1267" s="441"/>
      <c r="AB1267" s="441"/>
      <c r="AC1267" s="441"/>
      <c r="AD1267" s="441"/>
      <c r="AE1267" s="441"/>
      <c r="AF1267" s="441"/>
      <c r="AG1267" s="441"/>
      <c r="AH1267" s="441"/>
      <c r="AI1267" s="441"/>
      <c r="AJ1267" s="441"/>
      <c r="AK1267" s="441"/>
      <c r="AL1267" s="441"/>
      <c r="AM1267" s="441"/>
      <c r="AN1267" s="441"/>
      <c r="AO1267" s="441"/>
      <c r="AP1267" s="441"/>
      <c r="AQ1267" s="441"/>
      <c r="AR1267" s="441"/>
      <c r="AS1267" s="441"/>
      <c r="AT1267" s="441"/>
      <c r="AU1267" s="441"/>
      <c r="AV1267" s="441"/>
      <c r="AW1267" s="441"/>
      <c r="AX1267" s="441"/>
      <c r="AY1267" s="441"/>
      <c r="AZ1267" s="441"/>
      <c r="BA1267" s="441"/>
      <c r="BB1267" s="441"/>
      <c r="BC1267" s="441"/>
      <c r="BD1267" s="441"/>
      <c r="BE1267" s="441"/>
      <c r="BF1267" s="441"/>
    </row>
    <row r="1268">
      <c r="A1268" s="798"/>
      <c r="B1268" s="795"/>
      <c r="C1268" s="795"/>
      <c r="D1268" s="795"/>
      <c r="E1268" s="795"/>
      <c r="F1268" s="795"/>
      <c r="G1268" s="795"/>
      <c r="H1268" s="795"/>
      <c r="I1268" s="796"/>
      <c r="J1268" s="441"/>
      <c r="K1268" s="441"/>
      <c r="L1268" s="797"/>
      <c r="M1268" s="441"/>
      <c r="N1268" s="441"/>
      <c r="O1268" s="441"/>
      <c r="P1268" s="441"/>
      <c r="Q1268" s="441"/>
      <c r="R1268" s="426"/>
      <c r="S1268" s="441"/>
      <c r="T1268" s="441"/>
      <c r="U1268" s="441"/>
      <c r="V1268" s="441"/>
      <c r="W1268" s="441"/>
      <c r="X1268" s="441"/>
      <c r="Y1268" s="441"/>
      <c r="Z1268" s="441"/>
      <c r="AA1268" s="441"/>
      <c r="AB1268" s="441"/>
      <c r="AC1268" s="441"/>
      <c r="AD1268" s="441"/>
      <c r="AE1268" s="441"/>
      <c r="AF1268" s="441"/>
      <c r="AG1268" s="441"/>
      <c r="AH1268" s="441"/>
      <c r="AI1268" s="441"/>
      <c r="AJ1268" s="441"/>
      <c r="AK1268" s="441"/>
      <c r="AL1268" s="441"/>
      <c r="AM1268" s="441"/>
      <c r="AN1268" s="441"/>
      <c r="AO1268" s="441"/>
      <c r="AP1268" s="441"/>
      <c r="AQ1268" s="441"/>
      <c r="AR1268" s="441"/>
      <c r="AS1268" s="441"/>
      <c r="AT1268" s="441"/>
      <c r="AU1268" s="441"/>
      <c r="AV1268" s="441"/>
      <c r="AW1268" s="441"/>
      <c r="AX1268" s="441"/>
      <c r="AY1268" s="441"/>
      <c r="AZ1268" s="441"/>
      <c r="BA1268" s="441"/>
      <c r="BB1268" s="441"/>
      <c r="BC1268" s="441"/>
      <c r="BD1268" s="441"/>
      <c r="BE1268" s="441"/>
      <c r="BF1268" s="441"/>
    </row>
    <row r="1269">
      <c r="A1269" s="798"/>
      <c r="B1269" s="795"/>
      <c r="C1269" s="795"/>
      <c r="D1269" s="795"/>
      <c r="E1269" s="795"/>
      <c r="F1269" s="795"/>
      <c r="G1269" s="795"/>
      <c r="H1269" s="795"/>
      <c r="I1269" s="796"/>
      <c r="J1269" s="441"/>
      <c r="K1269" s="441"/>
      <c r="L1269" s="797"/>
      <c r="M1269" s="441"/>
      <c r="N1269" s="441"/>
      <c r="O1269" s="441"/>
      <c r="P1269" s="441"/>
      <c r="Q1269" s="441"/>
      <c r="R1269" s="426"/>
      <c r="S1269" s="441"/>
      <c r="T1269" s="441"/>
      <c r="U1269" s="441"/>
      <c r="V1269" s="441"/>
      <c r="W1269" s="441"/>
      <c r="X1269" s="441"/>
      <c r="Y1269" s="441"/>
      <c r="Z1269" s="441"/>
      <c r="AA1269" s="441"/>
      <c r="AB1269" s="441"/>
      <c r="AC1269" s="441"/>
      <c r="AD1269" s="441"/>
      <c r="AE1269" s="441"/>
      <c r="AF1269" s="441"/>
      <c r="AG1269" s="441"/>
      <c r="AH1269" s="441"/>
      <c r="AI1269" s="441"/>
      <c r="AJ1269" s="441"/>
      <c r="AK1269" s="441"/>
      <c r="AL1269" s="441"/>
      <c r="AM1269" s="441"/>
      <c r="AN1269" s="441"/>
      <c r="AO1269" s="441"/>
      <c r="AP1269" s="441"/>
      <c r="AQ1269" s="441"/>
      <c r="AR1269" s="441"/>
      <c r="AS1269" s="441"/>
      <c r="AT1269" s="441"/>
      <c r="AU1269" s="441"/>
      <c r="AV1269" s="441"/>
      <c r="AW1269" s="441"/>
      <c r="AX1269" s="441"/>
      <c r="AY1269" s="441"/>
      <c r="AZ1269" s="441"/>
      <c r="BA1269" s="441"/>
      <c r="BB1269" s="441"/>
      <c r="BC1269" s="441"/>
      <c r="BD1269" s="441"/>
      <c r="BE1269" s="441"/>
      <c r="BF1269" s="441"/>
    </row>
    <row r="1270">
      <c r="A1270" s="798"/>
      <c r="B1270" s="795"/>
      <c r="C1270" s="795"/>
      <c r="D1270" s="795"/>
      <c r="E1270" s="795"/>
      <c r="F1270" s="795"/>
      <c r="G1270" s="795"/>
      <c r="H1270" s="795"/>
      <c r="I1270" s="796"/>
      <c r="J1270" s="441"/>
      <c r="K1270" s="441"/>
      <c r="L1270" s="797"/>
      <c r="M1270" s="441"/>
      <c r="N1270" s="441"/>
      <c r="O1270" s="441"/>
      <c r="P1270" s="441"/>
      <c r="Q1270" s="441"/>
      <c r="R1270" s="426"/>
      <c r="S1270" s="441"/>
      <c r="T1270" s="441"/>
      <c r="U1270" s="441"/>
      <c r="V1270" s="441"/>
      <c r="W1270" s="441"/>
      <c r="X1270" s="441"/>
      <c r="Y1270" s="441"/>
      <c r="Z1270" s="441"/>
      <c r="AA1270" s="441"/>
      <c r="AB1270" s="441"/>
      <c r="AC1270" s="441"/>
      <c r="AD1270" s="441"/>
      <c r="AE1270" s="441"/>
      <c r="AF1270" s="441"/>
      <c r="AG1270" s="441"/>
      <c r="AH1270" s="441"/>
      <c r="AI1270" s="441"/>
      <c r="AJ1270" s="441"/>
      <c r="AK1270" s="441"/>
      <c r="AL1270" s="441"/>
      <c r="AM1270" s="441"/>
      <c r="AN1270" s="441"/>
      <c r="AO1270" s="441"/>
      <c r="AP1270" s="441"/>
      <c r="AQ1270" s="441"/>
      <c r="AR1270" s="441"/>
      <c r="AS1270" s="441"/>
      <c r="AT1270" s="441"/>
      <c r="AU1270" s="441"/>
      <c r="AV1270" s="441"/>
      <c r="AW1270" s="441"/>
      <c r="AX1270" s="441"/>
      <c r="AY1270" s="441"/>
      <c r="AZ1270" s="441"/>
      <c r="BA1270" s="441"/>
      <c r="BB1270" s="441"/>
      <c r="BC1270" s="441"/>
      <c r="BD1270" s="441"/>
      <c r="BE1270" s="441"/>
      <c r="BF1270" s="441"/>
    </row>
    <row r="1271">
      <c r="A1271" s="798"/>
      <c r="B1271" s="795"/>
      <c r="C1271" s="795"/>
      <c r="D1271" s="795"/>
      <c r="E1271" s="795"/>
      <c r="F1271" s="795"/>
      <c r="G1271" s="795"/>
      <c r="H1271" s="795"/>
      <c r="I1271" s="796"/>
      <c r="J1271" s="441"/>
      <c r="K1271" s="441"/>
      <c r="L1271" s="797"/>
      <c r="M1271" s="441"/>
      <c r="N1271" s="441"/>
      <c r="O1271" s="441"/>
      <c r="P1271" s="441"/>
      <c r="Q1271" s="441"/>
      <c r="R1271" s="426"/>
      <c r="S1271" s="441"/>
      <c r="T1271" s="441"/>
      <c r="U1271" s="441"/>
      <c r="V1271" s="441"/>
      <c r="W1271" s="441"/>
      <c r="X1271" s="441"/>
      <c r="Y1271" s="441"/>
      <c r="Z1271" s="441"/>
      <c r="AA1271" s="441"/>
      <c r="AB1271" s="441"/>
      <c r="AC1271" s="441"/>
      <c r="AD1271" s="441"/>
      <c r="AE1271" s="441"/>
      <c r="AF1271" s="441"/>
      <c r="AG1271" s="441"/>
      <c r="AH1271" s="441"/>
      <c r="AI1271" s="441"/>
      <c r="AJ1271" s="441"/>
      <c r="AK1271" s="441"/>
      <c r="AL1271" s="441"/>
      <c r="AM1271" s="441"/>
      <c r="AN1271" s="441"/>
      <c r="AO1271" s="441"/>
      <c r="AP1271" s="441"/>
      <c r="AQ1271" s="441"/>
      <c r="AR1271" s="441"/>
      <c r="AS1271" s="441"/>
      <c r="AT1271" s="441"/>
      <c r="AU1271" s="441"/>
      <c r="AV1271" s="441"/>
      <c r="AW1271" s="441"/>
      <c r="AX1271" s="441"/>
      <c r="AY1271" s="441"/>
      <c r="AZ1271" s="441"/>
      <c r="BA1271" s="441"/>
      <c r="BB1271" s="441"/>
      <c r="BC1271" s="441"/>
      <c r="BD1271" s="441"/>
      <c r="BE1271" s="441"/>
      <c r="BF1271" s="441"/>
    </row>
    <row r="1272">
      <c r="A1272" s="798"/>
      <c r="B1272" s="795"/>
      <c r="C1272" s="795"/>
      <c r="D1272" s="795"/>
      <c r="E1272" s="795"/>
      <c r="F1272" s="795"/>
      <c r="G1272" s="795"/>
      <c r="H1272" s="795"/>
      <c r="I1272" s="796"/>
      <c r="J1272" s="441"/>
      <c r="K1272" s="441"/>
      <c r="L1272" s="797"/>
      <c r="M1272" s="441"/>
      <c r="N1272" s="441"/>
      <c r="O1272" s="441"/>
      <c r="P1272" s="441"/>
      <c r="Q1272" s="441"/>
      <c r="R1272" s="426"/>
      <c r="S1272" s="441"/>
      <c r="T1272" s="441"/>
      <c r="U1272" s="441"/>
      <c r="V1272" s="441"/>
      <c r="W1272" s="441"/>
      <c r="X1272" s="441"/>
      <c r="Y1272" s="441"/>
      <c r="Z1272" s="441"/>
      <c r="AA1272" s="441"/>
      <c r="AB1272" s="441"/>
      <c r="AC1272" s="441"/>
      <c r="AD1272" s="441"/>
      <c r="AE1272" s="441"/>
      <c r="AF1272" s="441"/>
      <c r="AG1272" s="441"/>
      <c r="AH1272" s="441"/>
      <c r="AI1272" s="441"/>
      <c r="AJ1272" s="441"/>
      <c r="AK1272" s="441"/>
      <c r="AL1272" s="441"/>
      <c r="AM1272" s="441"/>
      <c r="AN1272" s="441"/>
      <c r="AO1272" s="441"/>
      <c r="AP1272" s="441"/>
      <c r="AQ1272" s="441"/>
      <c r="AR1272" s="441"/>
      <c r="AS1272" s="441"/>
      <c r="AT1272" s="441"/>
      <c r="AU1272" s="441"/>
      <c r="AV1272" s="441"/>
      <c r="AW1272" s="441"/>
      <c r="AX1272" s="441"/>
      <c r="AY1272" s="441"/>
      <c r="AZ1272" s="441"/>
      <c r="BA1272" s="441"/>
      <c r="BB1272" s="441"/>
      <c r="BC1272" s="441"/>
      <c r="BD1272" s="441"/>
      <c r="BE1272" s="441"/>
      <c r="BF1272" s="441"/>
    </row>
    <row r="1273">
      <c r="A1273" s="798"/>
      <c r="B1273" s="795"/>
      <c r="C1273" s="795"/>
      <c r="D1273" s="795"/>
      <c r="E1273" s="795"/>
      <c r="F1273" s="795"/>
      <c r="G1273" s="795"/>
      <c r="H1273" s="795"/>
      <c r="I1273" s="796"/>
      <c r="J1273" s="441"/>
      <c r="K1273" s="441"/>
      <c r="L1273" s="797"/>
      <c r="M1273" s="441"/>
      <c r="N1273" s="441"/>
      <c r="O1273" s="441"/>
      <c r="P1273" s="441"/>
      <c r="Q1273" s="441"/>
      <c r="R1273" s="426"/>
      <c r="S1273" s="441"/>
      <c r="T1273" s="441"/>
      <c r="U1273" s="441"/>
      <c r="V1273" s="441"/>
      <c r="W1273" s="441"/>
      <c r="X1273" s="441"/>
      <c r="Y1273" s="441"/>
      <c r="Z1273" s="441"/>
      <c r="AA1273" s="441"/>
      <c r="AB1273" s="441"/>
      <c r="AC1273" s="441"/>
      <c r="AD1273" s="441"/>
      <c r="AE1273" s="441"/>
      <c r="AF1273" s="441"/>
      <c r="AG1273" s="441"/>
      <c r="AH1273" s="441"/>
      <c r="AI1273" s="441"/>
      <c r="AJ1273" s="441"/>
      <c r="AK1273" s="441"/>
      <c r="AL1273" s="441"/>
      <c r="AM1273" s="441"/>
      <c r="AN1273" s="441"/>
      <c r="AO1273" s="441"/>
      <c r="AP1273" s="441"/>
      <c r="AQ1273" s="441"/>
      <c r="AR1273" s="441"/>
      <c r="AS1273" s="441"/>
      <c r="AT1273" s="441"/>
      <c r="AU1273" s="441"/>
      <c r="AV1273" s="441"/>
      <c r="AW1273" s="441"/>
      <c r="AX1273" s="441"/>
      <c r="AY1273" s="441"/>
      <c r="AZ1273" s="441"/>
      <c r="BA1273" s="441"/>
      <c r="BB1273" s="441"/>
      <c r="BC1273" s="441"/>
      <c r="BD1273" s="441"/>
      <c r="BE1273" s="441"/>
      <c r="BF1273" s="441"/>
    </row>
    <row r="1274">
      <c r="A1274" s="798"/>
      <c r="B1274" s="795"/>
      <c r="C1274" s="795"/>
      <c r="D1274" s="795"/>
      <c r="E1274" s="795"/>
      <c r="F1274" s="795"/>
      <c r="G1274" s="795"/>
      <c r="H1274" s="795"/>
      <c r="I1274" s="796"/>
      <c r="J1274" s="441"/>
      <c r="K1274" s="441"/>
      <c r="L1274" s="797"/>
      <c r="M1274" s="441"/>
      <c r="N1274" s="441"/>
      <c r="O1274" s="441"/>
      <c r="P1274" s="441"/>
      <c r="Q1274" s="441"/>
      <c r="R1274" s="426"/>
      <c r="S1274" s="441"/>
      <c r="T1274" s="441"/>
      <c r="U1274" s="441"/>
      <c r="V1274" s="441"/>
      <c r="W1274" s="441"/>
      <c r="X1274" s="441"/>
      <c r="Y1274" s="441"/>
      <c r="Z1274" s="441"/>
      <c r="AA1274" s="441"/>
      <c r="AB1274" s="441"/>
      <c r="AC1274" s="441"/>
      <c r="AD1274" s="441"/>
      <c r="AE1274" s="441"/>
      <c r="AF1274" s="441"/>
      <c r="AG1274" s="441"/>
      <c r="AH1274" s="441"/>
      <c r="AI1274" s="441"/>
      <c r="AJ1274" s="441"/>
      <c r="AK1274" s="441"/>
      <c r="AL1274" s="441"/>
      <c r="AM1274" s="441"/>
      <c r="AN1274" s="441"/>
      <c r="AO1274" s="441"/>
      <c r="AP1274" s="441"/>
      <c r="AQ1274" s="441"/>
      <c r="AR1274" s="441"/>
      <c r="AS1274" s="441"/>
      <c r="AT1274" s="441"/>
      <c r="AU1274" s="441"/>
      <c r="AV1274" s="441"/>
      <c r="AW1274" s="441"/>
      <c r="AX1274" s="441"/>
      <c r="AY1274" s="441"/>
      <c r="AZ1274" s="441"/>
      <c r="BA1274" s="441"/>
      <c r="BB1274" s="441"/>
      <c r="BC1274" s="441"/>
      <c r="BD1274" s="441"/>
      <c r="BE1274" s="441"/>
      <c r="BF1274" s="441"/>
    </row>
    <row r="1275">
      <c r="A1275" s="798"/>
      <c r="B1275" s="795"/>
      <c r="C1275" s="795"/>
      <c r="D1275" s="795"/>
      <c r="E1275" s="795"/>
      <c r="F1275" s="795"/>
      <c r="G1275" s="795"/>
      <c r="H1275" s="795"/>
      <c r="I1275" s="796"/>
      <c r="J1275" s="441"/>
      <c r="K1275" s="441"/>
      <c r="L1275" s="797"/>
      <c r="M1275" s="441"/>
      <c r="N1275" s="441"/>
      <c r="O1275" s="441"/>
      <c r="P1275" s="441"/>
      <c r="Q1275" s="441"/>
      <c r="R1275" s="426"/>
      <c r="S1275" s="441"/>
      <c r="T1275" s="441"/>
      <c r="U1275" s="441"/>
      <c r="V1275" s="441"/>
      <c r="W1275" s="441"/>
      <c r="X1275" s="441"/>
      <c r="Y1275" s="441"/>
      <c r="Z1275" s="441"/>
      <c r="AA1275" s="441"/>
      <c r="AB1275" s="441"/>
      <c r="AC1275" s="441"/>
      <c r="AD1275" s="441"/>
      <c r="AE1275" s="441"/>
      <c r="AF1275" s="441"/>
      <c r="AG1275" s="441"/>
      <c r="AH1275" s="441"/>
      <c r="AI1275" s="441"/>
      <c r="AJ1275" s="441"/>
      <c r="AK1275" s="441"/>
      <c r="AL1275" s="441"/>
      <c r="AM1275" s="441"/>
      <c r="AN1275" s="441"/>
      <c r="AO1275" s="441"/>
      <c r="AP1275" s="441"/>
      <c r="AQ1275" s="441"/>
      <c r="AR1275" s="441"/>
      <c r="AS1275" s="441"/>
      <c r="AT1275" s="441"/>
      <c r="AU1275" s="441"/>
      <c r="AV1275" s="441"/>
      <c r="AW1275" s="441"/>
      <c r="AX1275" s="441"/>
      <c r="AY1275" s="441"/>
      <c r="AZ1275" s="441"/>
      <c r="BA1275" s="441"/>
      <c r="BB1275" s="441"/>
      <c r="BC1275" s="441"/>
      <c r="BD1275" s="441"/>
      <c r="BE1275" s="441"/>
      <c r="BF1275" s="441"/>
    </row>
    <row r="1276">
      <c r="A1276" s="798"/>
      <c r="B1276" s="795"/>
      <c r="C1276" s="795"/>
      <c r="D1276" s="795"/>
      <c r="E1276" s="795"/>
      <c r="F1276" s="795"/>
      <c r="G1276" s="795"/>
      <c r="H1276" s="795"/>
      <c r="I1276" s="796"/>
      <c r="J1276" s="441"/>
      <c r="K1276" s="441"/>
      <c r="L1276" s="797"/>
      <c r="M1276" s="441"/>
      <c r="N1276" s="441"/>
      <c r="O1276" s="441"/>
      <c r="P1276" s="441"/>
      <c r="Q1276" s="441"/>
      <c r="R1276" s="426"/>
      <c r="S1276" s="441"/>
      <c r="T1276" s="441"/>
      <c r="U1276" s="441"/>
      <c r="V1276" s="441"/>
      <c r="W1276" s="441"/>
      <c r="X1276" s="441"/>
      <c r="Y1276" s="441"/>
      <c r="Z1276" s="441"/>
      <c r="AA1276" s="441"/>
      <c r="AB1276" s="441"/>
      <c r="AC1276" s="441"/>
      <c r="AD1276" s="441"/>
      <c r="AE1276" s="441"/>
      <c r="AF1276" s="441"/>
      <c r="AG1276" s="441"/>
      <c r="AH1276" s="441"/>
      <c r="AI1276" s="441"/>
      <c r="AJ1276" s="441"/>
      <c r="AK1276" s="441"/>
      <c r="AL1276" s="441"/>
      <c r="AM1276" s="441"/>
      <c r="AN1276" s="441"/>
      <c r="AO1276" s="441"/>
      <c r="AP1276" s="441"/>
      <c r="AQ1276" s="441"/>
      <c r="AR1276" s="441"/>
      <c r="AS1276" s="441"/>
      <c r="AT1276" s="441"/>
      <c r="AU1276" s="441"/>
      <c r="AV1276" s="441"/>
      <c r="AW1276" s="441"/>
      <c r="AX1276" s="441"/>
      <c r="AY1276" s="441"/>
      <c r="AZ1276" s="441"/>
      <c r="BA1276" s="441"/>
      <c r="BB1276" s="441"/>
      <c r="BC1276" s="441"/>
      <c r="BD1276" s="441"/>
      <c r="BE1276" s="441"/>
      <c r="BF1276" s="441"/>
    </row>
    <row r="1277">
      <c r="A1277" s="798"/>
      <c r="B1277" s="795"/>
      <c r="C1277" s="795"/>
      <c r="D1277" s="795"/>
      <c r="E1277" s="795"/>
      <c r="F1277" s="795"/>
      <c r="G1277" s="795"/>
      <c r="H1277" s="795"/>
      <c r="I1277" s="796"/>
      <c r="J1277" s="441"/>
      <c r="K1277" s="441"/>
      <c r="L1277" s="797"/>
      <c r="M1277" s="441"/>
      <c r="N1277" s="441"/>
      <c r="O1277" s="441"/>
      <c r="P1277" s="441"/>
      <c r="Q1277" s="441"/>
      <c r="R1277" s="426"/>
      <c r="S1277" s="441"/>
      <c r="T1277" s="441"/>
      <c r="U1277" s="441"/>
      <c r="V1277" s="441"/>
      <c r="W1277" s="441"/>
      <c r="X1277" s="441"/>
      <c r="Y1277" s="441"/>
      <c r="Z1277" s="441"/>
      <c r="AA1277" s="441"/>
      <c r="AB1277" s="441"/>
      <c r="AC1277" s="441"/>
      <c r="AD1277" s="441"/>
      <c r="AE1277" s="441"/>
      <c r="AF1277" s="441"/>
      <c r="AG1277" s="441"/>
      <c r="AH1277" s="441"/>
      <c r="AI1277" s="441"/>
      <c r="AJ1277" s="441"/>
      <c r="AK1277" s="441"/>
      <c r="AL1277" s="441"/>
      <c r="AM1277" s="441"/>
      <c r="AN1277" s="441"/>
      <c r="AO1277" s="441"/>
      <c r="AP1277" s="441"/>
      <c r="AQ1277" s="441"/>
      <c r="AR1277" s="441"/>
      <c r="AS1277" s="441"/>
      <c r="AT1277" s="441"/>
      <c r="AU1277" s="441"/>
      <c r="AV1277" s="441"/>
      <c r="AW1277" s="441"/>
      <c r="AX1277" s="441"/>
      <c r="AY1277" s="441"/>
      <c r="AZ1277" s="441"/>
      <c r="BA1277" s="441"/>
      <c r="BB1277" s="441"/>
      <c r="BC1277" s="441"/>
      <c r="BD1277" s="441"/>
      <c r="BE1277" s="441"/>
      <c r="BF1277" s="441"/>
    </row>
    <row r="1278">
      <c r="A1278" s="798"/>
      <c r="B1278" s="795"/>
      <c r="C1278" s="795"/>
      <c r="D1278" s="795"/>
      <c r="E1278" s="795"/>
      <c r="F1278" s="795"/>
      <c r="G1278" s="795"/>
      <c r="H1278" s="795"/>
      <c r="I1278" s="796"/>
      <c r="J1278" s="441"/>
      <c r="K1278" s="441"/>
      <c r="L1278" s="797"/>
      <c r="M1278" s="441"/>
      <c r="N1278" s="441"/>
      <c r="O1278" s="441"/>
      <c r="P1278" s="441"/>
      <c r="Q1278" s="441"/>
      <c r="R1278" s="426"/>
      <c r="S1278" s="441"/>
      <c r="T1278" s="441"/>
      <c r="U1278" s="441"/>
      <c r="V1278" s="441"/>
      <c r="W1278" s="441"/>
      <c r="X1278" s="441"/>
      <c r="Y1278" s="441"/>
      <c r="Z1278" s="441"/>
      <c r="AA1278" s="441"/>
      <c r="AB1278" s="441"/>
      <c r="AC1278" s="441"/>
      <c r="AD1278" s="441"/>
      <c r="AE1278" s="441"/>
      <c r="AF1278" s="441"/>
      <c r="AG1278" s="441"/>
      <c r="AH1278" s="441"/>
      <c r="AI1278" s="441"/>
      <c r="AJ1278" s="441"/>
      <c r="AK1278" s="441"/>
      <c r="AL1278" s="441"/>
      <c r="AM1278" s="441"/>
      <c r="AN1278" s="441"/>
      <c r="AO1278" s="441"/>
      <c r="AP1278" s="441"/>
      <c r="AQ1278" s="441"/>
      <c r="AR1278" s="441"/>
      <c r="AS1278" s="441"/>
      <c r="AT1278" s="441"/>
      <c r="AU1278" s="441"/>
      <c r="AV1278" s="441"/>
      <c r="AW1278" s="441"/>
      <c r="AX1278" s="441"/>
      <c r="AY1278" s="441"/>
      <c r="AZ1278" s="441"/>
      <c r="BA1278" s="441"/>
      <c r="BB1278" s="441"/>
      <c r="BC1278" s="441"/>
      <c r="BD1278" s="441"/>
      <c r="BE1278" s="441"/>
      <c r="BF1278" s="441"/>
    </row>
    <row r="1279">
      <c r="A1279" s="798"/>
      <c r="B1279" s="795"/>
      <c r="C1279" s="795"/>
      <c r="D1279" s="795"/>
      <c r="E1279" s="795"/>
      <c r="F1279" s="795"/>
      <c r="G1279" s="795"/>
      <c r="H1279" s="795"/>
      <c r="I1279" s="796"/>
      <c r="J1279" s="441"/>
      <c r="K1279" s="441"/>
      <c r="L1279" s="797"/>
      <c r="M1279" s="441"/>
      <c r="N1279" s="441"/>
      <c r="O1279" s="441"/>
      <c r="P1279" s="441"/>
      <c r="Q1279" s="441"/>
      <c r="R1279" s="426"/>
      <c r="S1279" s="441"/>
      <c r="T1279" s="441"/>
      <c r="U1279" s="441"/>
      <c r="V1279" s="441"/>
      <c r="W1279" s="441"/>
      <c r="X1279" s="441"/>
      <c r="Y1279" s="441"/>
      <c r="Z1279" s="441"/>
      <c r="AA1279" s="441"/>
      <c r="AB1279" s="441"/>
      <c r="AC1279" s="441"/>
      <c r="AD1279" s="441"/>
      <c r="AE1279" s="441"/>
      <c r="AF1279" s="441"/>
      <c r="AG1279" s="441"/>
      <c r="AH1279" s="441"/>
      <c r="AI1279" s="441"/>
      <c r="AJ1279" s="441"/>
      <c r="AK1279" s="441"/>
      <c r="AL1279" s="441"/>
      <c r="AM1279" s="441"/>
      <c r="AN1279" s="441"/>
      <c r="AO1279" s="441"/>
      <c r="AP1279" s="441"/>
      <c r="AQ1279" s="441"/>
      <c r="AR1279" s="441"/>
      <c r="AS1279" s="441"/>
      <c r="AT1279" s="441"/>
      <c r="AU1279" s="441"/>
      <c r="AV1279" s="441"/>
      <c r="AW1279" s="441"/>
      <c r="AX1279" s="441"/>
      <c r="AY1279" s="441"/>
      <c r="AZ1279" s="441"/>
      <c r="BA1279" s="441"/>
      <c r="BB1279" s="441"/>
      <c r="BC1279" s="441"/>
      <c r="BD1279" s="441"/>
      <c r="BE1279" s="441"/>
      <c r="BF1279" s="441"/>
    </row>
    <row r="1280">
      <c r="A1280" s="798"/>
      <c r="B1280" s="795"/>
      <c r="C1280" s="795"/>
      <c r="D1280" s="795"/>
      <c r="E1280" s="795"/>
      <c r="F1280" s="795"/>
      <c r="G1280" s="795"/>
      <c r="H1280" s="795"/>
      <c r="I1280" s="796"/>
      <c r="J1280" s="441"/>
      <c r="K1280" s="441"/>
      <c r="L1280" s="797"/>
      <c r="M1280" s="441"/>
      <c r="N1280" s="441"/>
      <c r="O1280" s="441"/>
      <c r="P1280" s="441"/>
      <c r="Q1280" s="441"/>
      <c r="R1280" s="426"/>
      <c r="S1280" s="441"/>
      <c r="T1280" s="441"/>
      <c r="U1280" s="441"/>
      <c r="V1280" s="441"/>
      <c r="W1280" s="441"/>
      <c r="X1280" s="441"/>
      <c r="Y1280" s="441"/>
      <c r="Z1280" s="441"/>
      <c r="AA1280" s="441"/>
      <c r="AB1280" s="441"/>
      <c r="AC1280" s="441"/>
      <c r="AD1280" s="441"/>
      <c r="AE1280" s="441"/>
      <c r="AF1280" s="441"/>
      <c r="AG1280" s="441"/>
      <c r="AH1280" s="441"/>
      <c r="AI1280" s="441"/>
      <c r="AJ1280" s="441"/>
      <c r="AK1280" s="441"/>
      <c r="AL1280" s="441"/>
      <c r="AM1280" s="441"/>
      <c r="AN1280" s="441"/>
      <c r="AO1280" s="441"/>
      <c r="AP1280" s="441"/>
      <c r="AQ1280" s="441"/>
      <c r="AR1280" s="441"/>
      <c r="AS1280" s="441"/>
      <c r="AT1280" s="441"/>
      <c r="AU1280" s="441"/>
      <c r="AV1280" s="441"/>
      <c r="AW1280" s="441"/>
      <c r="AX1280" s="441"/>
      <c r="AY1280" s="441"/>
      <c r="AZ1280" s="441"/>
      <c r="BA1280" s="441"/>
      <c r="BB1280" s="441"/>
      <c r="BC1280" s="441"/>
      <c r="BD1280" s="441"/>
      <c r="BE1280" s="441"/>
      <c r="BF1280" s="441"/>
    </row>
    <row r="1281">
      <c r="A1281" s="798"/>
      <c r="B1281" s="795"/>
      <c r="C1281" s="795"/>
      <c r="D1281" s="795"/>
      <c r="E1281" s="795"/>
      <c r="F1281" s="795"/>
      <c r="G1281" s="795"/>
      <c r="H1281" s="795"/>
      <c r="I1281" s="796"/>
      <c r="J1281" s="441"/>
      <c r="K1281" s="441"/>
      <c r="L1281" s="797"/>
      <c r="M1281" s="441"/>
      <c r="N1281" s="441"/>
      <c r="O1281" s="441"/>
      <c r="P1281" s="441"/>
      <c r="Q1281" s="441"/>
      <c r="R1281" s="426"/>
      <c r="S1281" s="441"/>
      <c r="T1281" s="441"/>
      <c r="U1281" s="441"/>
      <c r="V1281" s="441"/>
      <c r="W1281" s="441"/>
      <c r="X1281" s="441"/>
      <c r="Y1281" s="441"/>
      <c r="Z1281" s="441"/>
      <c r="AA1281" s="441"/>
      <c r="AB1281" s="441"/>
      <c r="AC1281" s="441"/>
      <c r="AD1281" s="441"/>
      <c r="AE1281" s="441"/>
      <c r="AF1281" s="441"/>
      <c r="AG1281" s="441"/>
      <c r="AH1281" s="441"/>
      <c r="AI1281" s="441"/>
      <c r="AJ1281" s="441"/>
      <c r="AK1281" s="441"/>
      <c r="AL1281" s="441"/>
      <c r="AM1281" s="441"/>
      <c r="AN1281" s="441"/>
      <c r="AO1281" s="441"/>
      <c r="AP1281" s="441"/>
      <c r="AQ1281" s="441"/>
      <c r="AR1281" s="441"/>
      <c r="AS1281" s="441"/>
      <c r="AT1281" s="441"/>
      <c r="AU1281" s="441"/>
      <c r="AV1281" s="441"/>
      <c r="AW1281" s="441"/>
      <c r="AX1281" s="441"/>
      <c r="AY1281" s="441"/>
      <c r="AZ1281" s="441"/>
      <c r="BA1281" s="441"/>
      <c r="BB1281" s="441"/>
      <c r="BC1281" s="441"/>
      <c r="BD1281" s="441"/>
      <c r="BE1281" s="441"/>
      <c r="BF1281" s="441"/>
    </row>
    <row r="1282">
      <c r="A1282" s="798"/>
      <c r="B1282" s="795"/>
      <c r="C1282" s="795"/>
      <c r="D1282" s="795"/>
      <c r="E1282" s="795"/>
      <c r="F1282" s="795"/>
      <c r="G1282" s="795"/>
      <c r="H1282" s="795"/>
      <c r="I1282" s="796"/>
      <c r="J1282" s="441"/>
      <c r="K1282" s="441"/>
      <c r="L1282" s="797"/>
      <c r="M1282" s="441"/>
      <c r="N1282" s="441"/>
      <c r="O1282" s="441"/>
      <c r="P1282" s="441"/>
      <c r="Q1282" s="441"/>
      <c r="R1282" s="426"/>
      <c r="S1282" s="441"/>
      <c r="T1282" s="441"/>
      <c r="U1282" s="441"/>
      <c r="V1282" s="441"/>
      <c r="W1282" s="441"/>
      <c r="X1282" s="441"/>
      <c r="Y1282" s="441"/>
      <c r="Z1282" s="441"/>
      <c r="AA1282" s="441"/>
      <c r="AB1282" s="441"/>
      <c r="AC1282" s="441"/>
      <c r="AD1282" s="441"/>
      <c r="AE1282" s="441"/>
      <c r="AF1282" s="441"/>
      <c r="AG1282" s="441"/>
      <c r="AH1282" s="441"/>
      <c r="AI1282" s="441"/>
      <c r="AJ1282" s="441"/>
      <c r="AK1282" s="441"/>
      <c r="AL1282" s="441"/>
      <c r="AM1282" s="441"/>
      <c r="AN1282" s="441"/>
      <c r="AO1282" s="441"/>
      <c r="AP1282" s="441"/>
      <c r="AQ1282" s="441"/>
      <c r="AR1282" s="441"/>
      <c r="AS1282" s="441"/>
      <c r="AT1282" s="441"/>
      <c r="AU1282" s="441"/>
      <c r="AV1282" s="441"/>
      <c r="AW1282" s="441"/>
      <c r="AX1282" s="441"/>
      <c r="AY1282" s="441"/>
      <c r="AZ1282" s="441"/>
      <c r="BA1282" s="441"/>
      <c r="BB1282" s="441"/>
      <c r="BC1282" s="441"/>
      <c r="BD1282" s="441"/>
      <c r="BE1282" s="441"/>
      <c r="BF1282" s="441"/>
    </row>
    <row r="1283">
      <c r="A1283" s="798"/>
      <c r="B1283" s="795"/>
      <c r="C1283" s="795"/>
      <c r="D1283" s="795"/>
      <c r="E1283" s="795"/>
      <c r="F1283" s="795"/>
      <c r="G1283" s="795"/>
      <c r="H1283" s="795"/>
      <c r="I1283" s="796"/>
      <c r="J1283" s="441"/>
      <c r="K1283" s="441"/>
      <c r="L1283" s="797"/>
      <c r="M1283" s="441"/>
      <c r="N1283" s="441"/>
      <c r="O1283" s="441"/>
      <c r="P1283" s="441"/>
      <c r="Q1283" s="441"/>
      <c r="R1283" s="426"/>
      <c r="S1283" s="441"/>
      <c r="T1283" s="441"/>
      <c r="U1283" s="441"/>
      <c r="V1283" s="441"/>
      <c r="W1283" s="441"/>
      <c r="X1283" s="441"/>
      <c r="Y1283" s="441"/>
      <c r="Z1283" s="441"/>
      <c r="AA1283" s="441"/>
      <c r="AB1283" s="441"/>
      <c r="AC1283" s="441"/>
      <c r="AD1283" s="441"/>
      <c r="AE1283" s="441"/>
      <c r="AF1283" s="441"/>
      <c r="AG1283" s="441"/>
      <c r="AH1283" s="441"/>
      <c r="AI1283" s="441"/>
      <c r="AJ1283" s="441"/>
      <c r="AK1283" s="441"/>
      <c r="AL1283" s="441"/>
      <c r="AM1283" s="441"/>
      <c r="AN1283" s="441"/>
      <c r="AO1283" s="441"/>
      <c r="AP1283" s="441"/>
      <c r="AQ1283" s="441"/>
      <c r="AR1283" s="441"/>
      <c r="AS1283" s="441"/>
      <c r="AT1283" s="441"/>
      <c r="AU1283" s="441"/>
      <c r="AV1283" s="441"/>
      <c r="AW1283" s="441"/>
      <c r="AX1283" s="441"/>
      <c r="AY1283" s="441"/>
      <c r="AZ1283" s="441"/>
      <c r="BA1283" s="441"/>
      <c r="BB1283" s="441"/>
      <c r="BC1283" s="441"/>
      <c r="BD1283" s="441"/>
      <c r="BE1283" s="441"/>
      <c r="BF1283" s="441"/>
    </row>
    <row r="1284">
      <c r="A1284" s="798"/>
      <c r="B1284" s="795"/>
      <c r="C1284" s="795"/>
      <c r="D1284" s="795"/>
      <c r="E1284" s="795"/>
      <c r="F1284" s="795"/>
      <c r="G1284" s="795"/>
      <c r="H1284" s="795"/>
      <c r="I1284" s="796"/>
      <c r="J1284" s="441"/>
      <c r="K1284" s="441"/>
      <c r="L1284" s="797"/>
      <c r="M1284" s="441"/>
      <c r="N1284" s="441"/>
      <c r="O1284" s="441"/>
      <c r="P1284" s="441"/>
      <c r="Q1284" s="441"/>
      <c r="R1284" s="426"/>
      <c r="S1284" s="441"/>
      <c r="T1284" s="441"/>
      <c r="U1284" s="441"/>
      <c r="V1284" s="441"/>
      <c r="W1284" s="441"/>
      <c r="X1284" s="441"/>
      <c r="Y1284" s="441"/>
      <c r="Z1284" s="441"/>
      <c r="AA1284" s="441"/>
      <c r="AB1284" s="441"/>
      <c r="AC1284" s="441"/>
      <c r="AD1284" s="441"/>
      <c r="AE1284" s="441"/>
      <c r="AF1284" s="441"/>
      <c r="AG1284" s="441"/>
      <c r="AH1284" s="441"/>
      <c r="AI1284" s="441"/>
      <c r="AJ1284" s="441"/>
      <c r="AK1284" s="441"/>
      <c r="AL1284" s="441"/>
      <c r="AM1284" s="441"/>
      <c r="AN1284" s="441"/>
      <c r="AO1284" s="441"/>
      <c r="AP1284" s="441"/>
      <c r="AQ1284" s="441"/>
      <c r="AR1284" s="441"/>
      <c r="AS1284" s="441"/>
      <c r="AT1284" s="441"/>
      <c r="AU1284" s="441"/>
      <c r="AV1284" s="441"/>
      <c r="AW1284" s="441"/>
      <c r="AX1284" s="441"/>
      <c r="AY1284" s="441"/>
      <c r="AZ1284" s="441"/>
      <c r="BA1284" s="441"/>
      <c r="BB1284" s="441"/>
      <c r="BC1284" s="441"/>
      <c r="BD1284" s="441"/>
      <c r="BE1284" s="441"/>
      <c r="BF1284" s="441"/>
    </row>
    <row r="1285">
      <c r="A1285" s="798"/>
      <c r="B1285" s="795"/>
      <c r="C1285" s="795"/>
      <c r="D1285" s="795"/>
      <c r="E1285" s="795"/>
      <c r="F1285" s="795"/>
      <c r="G1285" s="795"/>
      <c r="H1285" s="795"/>
      <c r="I1285" s="796"/>
      <c r="J1285" s="441"/>
      <c r="K1285" s="441"/>
      <c r="L1285" s="797"/>
      <c r="M1285" s="441"/>
      <c r="N1285" s="441"/>
      <c r="O1285" s="441"/>
      <c r="P1285" s="441"/>
      <c r="Q1285" s="441"/>
      <c r="R1285" s="426"/>
      <c r="S1285" s="441"/>
      <c r="T1285" s="441"/>
      <c r="U1285" s="441"/>
      <c r="V1285" s="441"/>
      <c r="W1285" s="441"/>
      <c r="X1285" s="441"/>
      <c r="Y1285" s="441"/>
      <c r="Z1285" s="441"/>
      <c r="AA1285" s="441"/>
      <c r="AB1285" s="441"/>
      <c r="AC1285" s="441"/>
      <c r="AD1285" s="441"/>
      <c r="AE1285" s="441"/>
      <c r="AF1285" s="441"/>
      <c r="AG1285" s="441"/>
      <c r="AH1285" s="441"/>
      <c r="AI1285" s="441"/>
      <c r="AJ1285" s="441"/>
      <c r="AK1285" s="441"/>
      <c r="AL1285" s="441"/>
      <c r="AM1285" s="441"/>
      <c r="AN1285" s="441"/>
      <c r="AO1285" s="441"/>
      <c r="AP1285" s="441"/>
      <c r="AQ1285" s="441"/>
      <c r="AR1285" s="441"/>
      <c r="AS1285" s="441"/>
      <c r="AT1285" s="441"/>
      <c r="AU1285" s="441"/>
      <c r="AV1285" s="441"/>
      <c r="AW1285" s="441"/>
      <c r="AX1285" s="441"/>
      <c r="AY1285" s="441"/>
      <c r="AZ1285" s="441"/>
      <c r="BA1285" s="441"/>
      <c r="BB1285" s="441"/>
      <c r="BC1285" s="441"/>
      <c r="BD1285" s="441"/>
      <c r="BE1285" s="441"/>
      <c r="BF1285" s="441"/>
    </row>
    <row r="1286">
      <c r="A1286" s="798"/>
      <c r="B1286" s="795"/>
      <c r="C1286" s="795"/>
      <c r="D1286" s="795"/>
      <c r="E1286" s="795"/>
      <c r="F1286" s="795"/>
      <c r="G1286" s="795"/>
      <c r="H1286" s="795"/>
      <c r="I1286" s="796"/>
      <c r="J1286" s="441"/>
      <c r="K1286" s="441"/>
      <c r="L1286" s="797"/>
      <c r="M1286" s="441"/>
      <c r="N1286" s="441"/>
      <c r="O1286" s="441"/>
      <c r="P1286" s="441"/>
      <c r="Q1286" s="441"/>
      <c r="R1286" s="426"/>
      <c r="S1286" s="441"/>
      <c r="T1286" s="441"/>
      <c r="U1286" s="441"/>
      <c r="V1286" s="441"/>
      <c r="W1286" s="441"/>
      <c r="X1286" s="441"/>
      <c r="Y1286" s="441"/>
      <c r="Z1286" s="441"/>
      <c r="AA1286" s="441"/>
      <c r="AB1286" s="441"/>
      <c r="AC1286" s="441"/>
      <c r="AD1286" s="441"/>
      <c r="AE1286" s="441"/>
      <c r="AF1286" s="441"/>
      <c r="AG1286" s="441"/>
      <c r="AH1286" s="441"/>
      <c r="AI1286" s="441"/>
      <c r="AJ1286" s="441"/>
      <c r="AK1286" s="441"/>
      <c r="AL1286" s="441"/>
      <c r="AM1286" s="441"/>
      <c r="AN1286" s="441"/>
      <c r="AO1286" s="441"/>
      <c r="AP1286" s="441"/>
      <c r="AQ1286" s="441"/>
      <c r="AR1286" s="441"/>
      <c r="AS1286" s="441"/>
      <c r="AT1286" s="441"/>
      <c r="AU1286" s="441"/>
      <c r="AV1286" s="441"/>
      <c r="AW1286" s="441"/>
      <c r="AX1286" s="441"/>
      <c r="AY1286" s="441"/>
      <c r="AZ1286" s="441"/>
      <c r="BA1286" s="441"/>
      <c r="BB1286" s="441"/>
      <c r="BC1286" s="441"/>
      <c r="BD1286" s="441"/>
      <c r="BE1286" s="441"/>
      <c r="BF1286" s="441"/>
    </row>
    <row r="1287">
      <c r="A1287" s="798"/>
      <c r="B1287" s="795"/>
      <c r="C1287" s="795"/>
      <c r="D1287" s="795"/>
      <c r="E1287" s="795"/>
      <c r="F1287" s="795"/>
      <c r="G1287" s="795"/>
      <c r="H1287" s="795"/>
      <c r="I1287" s="796"/>
      <c r="J1287" s="441"/>
      <c r="K1287" s="441"/>
      <c r="L1287" s="797"/>
      <c r="M1287" s="441"/>
      <c r="N1287" s="441"/>
      <c r="O1287" s="441"/>
      <c r="P1287" s="441"/>
      <c r="Q1287" s="441"/>
      <c r="R1287" s="426"/>
      <c r="S1287" s="441"/>
      <c r="T1287" s="441"/>
      <c r="U1287" s="441"/>
      <c r="V1287" s="441"/>
      <c r="W1287" s="441"/>
      <c r="X1287" s="441"/>
      <c r="Y1287" s="441"/>
      <c r="Z1287" s="441"/>
      <c r="AA1287" s="441"/>
      <c r="AB1287" s="441"/>
      <c r="AC1287" s="441"/>
      <c r="AD1287" s="441"/>
      <c r="AE1287" s="441"/>
      <c r="AF1287" s="441"/>
      <c r="AG1287" s="441"/>
      <c r="AH1287" s="441"/>
      <c r="AI1287" s="441"/>
      <c r="AJ1287" s="441"/>
      <c r="AK1287" s="441"/>
      <c r="AL1287" s="441"/>
      <c r="AM1287" s="441"/>
      <c r="AN1287" s="441"/>
      <c r="AO1287" s="441"/>
      <c r="AP1287" s="441"/>
      <c r="AQ1287" s="441"/>
      <c r="AR1287" s="441"/>
      <c r="AS1287" s="441"/>
      <c r="AT1287" s="441"/>
      <c r="AU1287" s="441"/>
      <c r="AV1287" s="441"/>
      <c r="AW1287" s="441"/>
      <c r="AX1287" s="441"/>
      <c r="AY1287" s="441"/>
      <c r="AZ1287" s="441"/>
      <c r="BA1287" s="441"/>
      <c r="BB1287" s="441"/>
      <c r="BC1287" s="441"/>
      <c r="BD1287" s="441"/>
      <c r="BE1287" s="441"/>
      <c r="BF1287" s="441"/>
    </row>
    <row r="1288">
      <c r="A1288" s="798"/>
      <c r="B1288" s="795"/>
      <c r="C1288" s="795"/>
      <c r="D1288" s="795"/>
      <c r="E1288" s="795"/>
      <c r="F1288" s="795"/>
      <c r="G1288" s="795"/>
      <c r="H1288" s="795"/>
      <c r="I1288" s="796"/>
      <c r="J1288" s="441"/>
      <c r="K1288" s="441"/>
      <c r="L1288" s="797"/>
      <c r="M1288" s="441"/>
      <c r="N1288" s="441"/>
      <c r="O1288" s="441"/>
      <c r="P1288" s="441"/>
      <c r="Q1288" s="441"/>
      <c r="R1288" s="426"/>
      <c r="S1288" s="441"/>
      <c r="T1288" s="441"/>
      <c r="U1288" s="441"/>
      <c r="V1288" s="441"/>
      <c r="W1288" s="441"/>
      <c r="X1288" s="441"/>
      <c r="Y1288" s="441"/>
      <c r="Z1288" s="441"/>
      <c r="AA1288" s="441"/>
      <c r="AB1288" s="441"/>
      <c r="AC1288" s="441"/>
      <c r="AD1288" s="441"/>
      <c r="AE1288" s="441"/>
      <c r="AF1288" s="441"/>
      <c r="AG1288" s="441"/>
      <c r="AH1288" s="441"/>
      <c r="AI1288" s="441"/>
      <c r="AJ1288" s="441"/>
      <c r="AK1288" s="441"/>
      <c r="AL1288" s="441"/>
      <c r="AM1288" s="441"/>
      <c r="AN1288" s="441"/>
      <c r="AO1288" s="441"/>
      <c r="AP1288" s="441"/>
      <c r="AQ1288" s="441"/>
      <c r="AR1288" s="441"/>
      <c r="AS1288" s="441"/>
      <c r="AT1288" s="441"/>
      <c r="AU1288" s="441"/>
      <c r="AV1288" s="441"/>
      <c r="AW1288" s="441"/>
      <c r="AX1288" s="441"/>
      <c r="AY1288" s="441"/>
      <c r="AZ1288" s="441"/>
      <c r="BA1288" s="441"/>
      <c r="BB1288" s="441"/>
      <c r="BC1288" s="441"/>
      <c r="BD1288" s="441"/>
      <c r="BE1288" s="441"/>
      <c r="BF1288" s="441"/>
    </row>
    <row r="1289">
      <c r="A1289" s="798"/>
      <c r="B1289" s="795"/>
      <c r="C1289" s="795"/>
      <c r="D1289" s="795"/>
      <c r="E1289" s="795"/>
      <c r="F1289" s="795"/>
      <c r="G1289" s="795"/>
      <c r="H1289" s="795"/>
      <c r="I1289" s="796"/>
      <c r="J1289" s="441"/>
      <c r="K1289" s="441"/>
      <c r="L1289" s="797"/>
      <c r="M1289" s="441"/>
      <c r="N1289" s="441"/>
      <c r="O1289" s="441"/>
      <c r="P1289" s="441"/>
      <c r="Q1289" s="441"/>
      <c r="R1289" s="426"/>
      <c r="S1289" s="441"/>
      <c r="T1289" s="441"/>
      <c r="U1289" s="441"/>
      <c r="V1289" s="441"/>
      <c r="W1289" s="441"/>
      <c r="X1289" s="441"/>
      <c r="Y1289" s="441"/>
      <c r="Z1289" s="441"/>
      <c r="AA1289" s="441"/>
      <c r="AB1289" s="441"/>
      <c r="AC1289" s="441"/>
      <c r="AD1289" s="441"/>
      <c r="AE1289" s="441"/>
      <c r="AF1289" s="441"/>
      <c r="AG1289" s="441"/>
      <c r="AH1289" s="441"/>
      <c r="AI1289" s="441"/>
      <c r="AJ1289" s="441"/>
      <c r="AK1289" s="441"/>
      <c r="AL1289" s="441"/>
      <c r="AM1289" s="441"/>
      <c r="AN1289" s="441"/>
      <c r="AO1289" s="441"/>
      <c r="AP1289" s="441"/>
      <c r="AQ1289" s="441"/>
      <c r="AR1289" s="441"/>
      <c r="AS1289" s="441"/>
      <c r="AT1289" s="441"/>
      <c r="AU1289" s="441"/>
      <c r="AV1289" s="441"/>
      <c r="AW1289" s="441"/>
      <c r="AX1289" s="441"/>
      <c r="AY1289" s="441"/>
      <c r="AZ1289" s="441"/>
      <c r="BA1289" s="441"/>
      <c r="BB1289" s="441"/>
      <c r="BC1289" s="441"/>
      <c r="BD1289" s="441"/>
      <c r="BE1289" s="441"/>
      <c r="BF1289" s="441"/>
    </row>
    <row r="1290">
      <c r="A1290" s="798"/>
      <c r="B1290" s="795"/>
      <c r="C1290" s="795"/>
      <c r="D1290" s="795"/>
      <c r="E1290" s="795"/>
      <c r="F1290" s="795"/>
      <c r="G1290" s="795"/>
      <c r="H1290" s="795"/>
      <c r="I1290" s="796"/>
      <c r="J1290" s="441"/>
      <c r="K1290" s="441"/>
      <c r="L1290" s="797"/>
      <c r="M1290" s="441"/>
      <c r="N1290" s="441"/>
      <c r="O1290" s="441"/>
      <c r="P1290" s="441"/>
      <c r="Q1290" s="441"/>
      <c r="R1290" s="426"/>
      <c r="S1290" s="441"/>
      <c r="T1290" s="441"/>
      <c r="U1290" s="441"/>
      <c r="V1290" s="441"/>
      <c r="W1290" s="441"/>
      <c r="X1290" s="441"/>
      <c r="Y1290" s="441"/>
      <c r="Z1290" s="441"/>
      <c r="AA1290" s="441"/>
      <c r="AB1290" s="441"/>
      <c r="AC1290" s="441"/>
      <c r="AD1290" s="441"/>
      <c r="AE1290" s="441"/>
      <c r="AF1290" s="441"/>
      <c r="AG1290" s="441"/>
      <c r="AH1290" s="441"/>
      <c r="AI1290" s="441"/>
      <c r="AJ1290" s="441"/>
      <c r="AK1290" s="441"/>
      <c r="AL1290" s="441"/>
      <c r="AM1290" s="441"/>
      <c r="AN1290" s="441"/>
      <c r="AO1290" s="441"/>
      <c r="AP1290" s="441"/>
      <c r="AQ1290" s="441"/>
      <c r="AR1290" s="441"/>
      <c r="AS1290" s="441"/>
      <c r="AT1290" s="441"/>
      <c r="AU1290" s="441"/>
      <c r="AV1290" s="441"/>
      <c r="AW1290" s="441"/>
      <c r="AX1290" s="441"/>
      <c r="AY1290" s="441"/>
      <c r="AZ1290" s="441"/>
      <c r="BA1290" s="441"/>
      <c r="BB1290" s="441"/>
      <c r="BC1290" s="441"/>
      <c r="BD1290" s="441"/>
      <c r="BE1290" s="441"/>
      <c r="BF1290" s="441"/>
    </row>
    <row r="1291">
      <c r="A1291" s="798"/>
      <c r="B1291" s="795"/>
      <c r="C1291" s="795"/>
      <c r="D1291" s="795"/>
      <c r="E1291" s="795"/>
      <c r="F1291" s="795"/>
      <c r="G1291" s="795"/>
      <c r="H1291" s="795"/>
      <c r="I1291" s="796"/>
      <c r="J1291" s="441"/>
      <c r="K1291" s="441"/>
      <c r="L1291" s="797"/>
      <c r="M1291" s="441"/>
      <c r="N1291" s="441"/>
      <c r="O1291" s="441"/>
      <c r="P1291" s="441"/>
      <c r="Q1291" s="441"/>
      <c r="R1291" s="426"/>
      <c r="S1291" s="441"/>
      <c r="T1291" s="441"/>
      <c r="U1291" s="441"/>
      <c r="V1291" s="441"/>
      <c r="W1291" s="441"/>
      <c r="X1291" s="441"/>
      <c r="Y1291" s="441"/>
      <c r="Z1291" s="441"/>
      <c r="AA1291" s="441"/>
      <c r="AB1291" s="441"/>
      <c r="AC1291" s="441"/>
      <c r="AD1291" s="441"/>
      <c r="AE1291" s="441"/>
      <c r="AF1291" s="441"/>
      <c r="AG1291" s="441"/>
      <c r="AH1291" s="441"/>
      <c r="AI1291" s="441"/>
      <c r="AJ1291" s="441"/>
      <c r="AK1291" s="441"/>
      <c r="AL1291" s="441"/>
      <c r="AM1291" s="441"/>
      <c r="AN1291" s="441"/>
      <c r="AO1291" s="441"/>
      <c r="AP1291" s="441"/>
      <c r="AQ1291" s="441"/>
      <c r="AR1291" s="441"/>
      <c r="AS1291" s="441"/>
      <c r="AT1291" s="441"/>
      <c r="AU1291" s="441"/>
      <c r="AV1291" s="441"/>
      <c r="AW1291" s="441"/>
      <c r="AX1291" s="441"/>
      <c r="AY1291" s="441"/>
      <c r="AZ1291" s="441"/>
      <c r="BA1291" s="441"/>
      <c r="BB1291" s="441"/>
      <c r="BC1291" s="441"/>
      <c r="BD1291" s="441"/>
      <c r="BE1291" s="441"/>
      <c r="BF1291" s="441"/>
    </row>
    <row r="1292">
      <c r="A1292" s="798"/>
      <c r="B1292" s="795"/>
      <c r="C1292" s="795"/>
      <c r="D1292" s="795"/>
      <c r="E1292" s="795"/>
      <c r="F1292" s="795"/>
      <c r="G1292" s="795"/>
      <c r="H1292" s="795"/>
      <c r="I1292" s="796"/>
      <c r="J1292" s="441"/>
      <c r="K1292" s="441"/>
      <c r="L1292" s="797"/>
      <c r="M1292" s="441"/>
      <c r="N1292" s="441"/>
      <c r="O1292" s="441"/>
      <c r="P1292" s="441"/>
      <c r="Q1292" s="441"/>
      <c r="R1292" s="426"/>
      <c r="S1292" s="441"/>
      <c r="T1292" s="441"/>
      <c r="U1292" s="441"/>
      <c r="V1292" s="441"/>
      <c r="W1292" s="441"/>
      <c r="X1292" s="441"/>
      <c r="Y1292" s="441"/>
      <c r="Z1292" s="441"/>
      <c r="AA1292" s="441"/>
      <c r="AB1292" s="441"/>
      <c r="AC1292" s="441"/>
      <c r="AD1292" s="441"/>
      <c r="AE1292" s="441"/>
      <c r="AF1292" s="441"/>
      <c r="AG1292" s="441"/>
      <c r="AH1292" s="441"/>
      <c r="AI1292" s="441"/>
      <c r="AJ1292" s="441"/>
      <c r="AK1292" s="441"/>
      <c r="AL1292" s="441"/>
      <c r="AM1292" s="441"/>
      <c r="AN1292" s="441"/>
      <c r="AO1292" s="441"/>
      <c r="AP1292" s="441"/>
      <c r="AQ1292" s="441"/>
      <c r="AR1292" s="441"/>
      <c r="AS1292" s="441"/>
      <c r="AT1292" s="441"/>
      <c r="AU1292" s="441"/>
      <c r="AV1292" s="441"/>
      <c r="AW1292" s="441"/>
      <c r="AX1292" s="441"/>
      <c r="AY1292" s="441"/>
      <c r="AZ1292" s="441"/>
      <c r="BA1292" s="441"/>
      <c r="BB1292" s="441"/>
      <c r="BC1292" s="441"/>
      <c r="BD1292" s="441"/>
      <c r="BE1292" s="441"/>
      <c r="BF1292" s="441"/>
    </row>
    <row r="1293">
      <c r="A1293" s="798"/>
      <c r="B1293" s="795"/>
      <c r="C1293" s="795"/>
      <c r="D1293" s="795"/>
      <c r="E1293" s="795"/>
      <c r="F1293" s="795"/>
      <c r="G1293" s="795"/>
      <c r="H1293" s="795"/>
      <c r="I1293" s="796"/>
      <c r="J1293" s="441"/>
      <c r="K1293" s="441"/>
      <c r="L1293" s="797"/>
      <c r="M1293" s="441"/>
      <c r="N1293" s="441"/>
      <c r="O1293" s="441"/>
      <c r="P1293" s="441"/>
      <c r="Q1293" s="441"/>
      <c r="R1293" s="426"/>
      <c r="S1293" s="441"/>
      <c r="T1293" s="441"/>
      <c r="U1293" s="441"/>
      <c r="V1293" s="441"/>
      <c r="W1293" s="441"/>
      <c r="X1293" s="441"/>
      <c r="Y1293" s="441"/>
      <c r="Z1293" s="441"/>
      <c r="AA1293" s="441"/>
      <c r="AB1293" s="441"/>
      <c r="AC1293" s="441"/>
      <c r="AD1293" s="441"/>
      <c r="AE1293" s="441"/>
      <c r="AF1293" s="441"/>
      <c r="AG1293" s="441"/>
      <c r="AH1293" s="441"/>
      <c r="AI1293" s="441"/>
      <c r="AJ1293" s="441"/>
      <c r="AK1293" s="441"/>
      <c r="AL1293" s="441"/>
      <c r="AM1293" s="441"/>
      <c r="AN1293" s="441"/>
      <c r="AO1293" s="441"/>
      <c r="AP1293" s="441"/>
      <c r="AQ1293" s="441"/>
      <c r="AR1293" s="441"/>
      <c r="AS1293" s="441"/>
      <c r="AT1293" s="441"/>
      <c r="AU1293" s="441"/>
      <c r="AV1293" s="441"/>
      <c r="AW1293" s="441"/>
      <c r="AX1293" s="441"/>
      <c r="AY1293" s="441"/>
      <c r="AZ1293" s="441"/>
      <c r="BA1293" s="441"/>
      <c r="BB1293" s="441"/>
      <c r="BC1293" s="441"/>
      <c r="BD1293" s="441"/>
      <c r="BE1293" s="441"/>
      <c r="BF1293" s="441"/>
    </row>
    <row r="1294">
      <c r="A1294" s="798"/>
      <c r="B1294" s="795"/>
      <c r="C1294" s="795"/>
      <c r="D1294" s="795"/>
      <c r="E1294" s="795"/>
      <c r="F1294" s="795"/>
      <c r="G1294" s="795"/>
      <c r="H1294" s="795"/>
      <c r="I1294" s="796"/>
      <c r="J1294" s="441"/>
      <c r="K1294" s="441"/>
      <c r="L1294" s="797"/>
      <c r="M1294" s="441"/>
      <c r="N1294" s="441"/>
      <c r="O1294" s="441"/>
      <c r="P1294" s="441"/>
      <c r="Q1294" s="441"/>
      <c r="R1294" s="426"/>
      <c r="S1294" s="441"/>
      <c r="T1294" s="441"/>
      <c r="U1294" s="441"/>
      <c r="V1294" s="441"/>
      <c r="W1294" s="441"/>
      <c r="X1294" s="441"/>
      <c r="Y1294" s="441"/>
      <c r="Z1294" s="441"/>
      <c r="AA1294" s="441"/>
      <c r="AB1294" s="441"/>
      <c r="AC1294" s="441"/>
      <c r="AD1294" s="441"/>
      <c r="AE1294" s="441"/>
      <c r="AF1294" s="441"/>
      <c r="AG1294" s="441"/>
      <c r="AH1294" s="441"/>
      <c r="AI1294" s="441"/>
      <c r="AJ1294" s="441"/>
      <c r="AK1294" s="441"/>
      <c r="AL1294" s="441"/>
      <c r="AM1294" s="441"/>
      <c r="AN1294" s="441"/>
      <c r="AO1294" s="441"/>
      <c r="AP1294" s="441"/>
      <c r="AQ1294" s="441"/>
      <c r="AR1294" s="441"/>
      <c r="AS1294" s="441"/>
      <c r="AT1294" s="441"/>
      <c r="AU1294" s="441"/>
      <c r="AV1294" s="441"/>
      <c r="AW1294" s="441"/>
      <c r="AX1294" s="441"/>
      <c r="AY1294" s="441"/>
      <c r="AZ1294" s="441"/>
      <c r="BA1294" s="441"/>
      <c r="BB1294" s="441"/>
      <c r="BC1294" s="441"/>
      <c r="BD1294" s="441"/>
      <c r="BE1294" s="441"/>
      <c r="BF1294" s="441"/>
    </row>
    <row r="1295">
      <c r="A1295" s="798"/>
      <c r="B1295" s="795"/>
      <c r="C1295" s="795"/>
      <c r="D1295" s="795"/>
      <c r="E1295" s="795"/>
      <c r="F1295" s="795"/>
      <c r="G1295" s="795"/>
      <c r="H1295" s="795"/>
      <c r="I1295" s="796"/>
      <c r="J1295" s="441"/>
      <c r="K1295" s="441"/>
      <c r="L1295" s="797"/>
      <c r="M1295" s="441"/>
      <c r="N1295" s="441"/>
      <c r="O1295" s="441"/>
      <c r="P1295" s="441"/>
      <c r="Q1295" s="441"/>
      <c r="R1295" s="426"/>
      <c r="S1295" s="441"/>
      <c r="T1295" s="441"/>
      <c r="U1295" s="441"/>
      <c r="V1295" s="441"/>
      <c r="W1295" s="441"/>
      <c r="X1295" s="441"/>
      <c r="Y1295" s="441"/>
      <c r="Z1295" s="441"/>
      <c r="AA1295" s="441"/>
      <c r="AB1295" s="441"/>
      <c r="AC1295" s="441"/>
      <c r="AD1295" s="441"/>
      <c r="AE1295" s="441"/>
      <c r="AF1295" s="441"/>
      <c r="AG1295" s="441"/>
      <c r="AH1295" s="441"/>
      <c r="AI1295" s="441"/>
      <c r="AJ1295" s="441"/>
      <c r="AK1295" s="441"/>
      <c r="AL1295" s="441"/>
      <c r="AM1295" s="441"/>
      <c r="AN1295" s="441"/>
      <c r="AO1295" s="441"/>
      <c r="AP1295" s="441"/>
      <c r="AQ1295" s="441"/>
      <c r="AR1295" s="441"/>
      <c r="AS1295" s="441"/>
      <c r="AT1295" s="441"/>
      <c r="AU1295" s="441"/>
      <c r="AV1295" s="441"/>
      <c r="AW1295" s="441"/>
      <c r="AX1295" s="441"/>
      <c r="AY1295" s="441"/>
      <c r="AZ1295" s="441"/>
      <c r="BA1295" s="441"/>
      <c r="BB1295" s="441"/>
      <c r="BC1295" s="441"/>
      <c r="BD1295" s="441"/>
      <c r="BE1295" s="441"/>
      <c r="BF1295" s="441"/>
    </row>
    <row r="1296">
      <c r="A1296" s="798"/>
      <c r="B1296" s="795"/>
      <c r="C1296" s="795"/>
      <c r="D1296" s="795"/>
      <c r="E1296" s="795"/>
      <c r="F1296" s="795"/>
      <c r="G1296" s="795"/>
      <c r="H1296" s="795"/>
      <c r="I1296" s="796"/>
      <c r="J1296" s="441"/>
      <c r="K1296" s="441"/>
      <c r="L1296" s="797"/>
      <c r="M1296" s="441"/>
      <c r="N1296" s="441"/>
      <c r="O1296" s="441"/>
      <c r="P1296" s="441"/>
      <c r="Q1296" s="441"/>
      <c r="R1296" s="426"/>
      <c r="S1296" s="441"/>
      <c r="T1296" s="441"/>
      <c r="U1296" s="441"/>
      <c r="V1296" s="441"/>
      <c r="W1296" s="441"/>
      <c r="X1296" s="441"/>
      <c r="Y1296" s="441"/>
      <c r="Z1296" s="441"/>
      <c r="AA1296" s="441"/>
      <c r="AB1296" s="441"/>
      <c r="AC1296" s="441"/>
      <c r="AD1296" s="441"/>
      <c r="AE1296" s="441"/>
      <c r="AF1296" s="441"/>
      <c r="AG1296" s="441"/>
      <c r="AH1296" s="441"/>
      <c r="AI1296" s="441"/>
      <c r="AJ1296" s="441"/>
      <c r="AK1296" s="441"/>
      <c r="AL1296" s="441"/>
      <c r="AM1296" s="441"/>
      <c r="AN1296" s="441"/>
      <c r="AO1296" s="441"/>
      <c r="AP1296" s="441"/>
      <c r="AQ1296" s="441"/>
      <c r="AR1296" s="441"/>
      <c r="AS1296" s="441"/>
      <c r="AT1296" s="441"/>
      <c r="AU1296" s="441"/>
      <c r="AV1296" s="441"/>
      <c r="AW1296" s="441"/>
      <c r="AX1296" s="441"/>
      <c r="AY1296" s="441"/>
      <c r="AZ1296" s="441"/>
      <c r="BA1296" s="441"/>
      <c r="BB1296" s="441"/>
      <c r="BC1296" s="441"/>
      <c r="BD1296" s="441"/>
      <c r="BE1296" s="441"/>
      <c r="BF1296" s="441"/>
    </row>
    <row r="1297">
      <c r="A1297" s="798"/>
      <c r="B1297" s="795"/>
      <c r="C1297" s="795"/>
      <c r="D1297" s="795"/>
      <c r="E1297" s="795"/>
      <c r="F1297" s="795"/>
      <c r="G1297" s="795"/>
      <c r="H1297" s="795"/>
      <c r="I1297" s="796"/>
      <c r="J1297" s="441"/>
      <c r="K1297" s="441"/>
      <c r="L1297" s="797"/>
      <c r="M1297" s="441"/>
      <c r="N1297" s="441"/>
      <c r="O1297" s="441"/>
      <c r="P1297" s="441"/>
      <c r="Q1297" s="441"/>
      <c r="R1297" s="426"/>
      <c r="S1297" s="441"/>
      <c r="T1297" s="441"/>
      <c r="U1297" s="441"/>
      <c r="V1297" s="441"/>
      <c r="W1297" s="441"/>
      <c r="X1297" s="441"/>
      <c r="Y1297" s="441"/>
      <c r="Z1297" s="441"/>
      <c r="AA1297" s="441"/>
      <c r="AB1297" s="441"/>
      <c r="AC1297" s="441"/>
      <c r="AD1297" s="441"/>
      <c r="AE1297" s="441"/>
      <c r="AF1297" s="441"/>
      <c r="AG1297" s="441"/>
      <c r="AH1297" s="441"/>
      <c r="AI1297" s="441"/>
      <c r="AJ1297" s="441"/>
      <c r="AK1297" s="441"/>
      <c r="AL1297" s="441"/>
      <c r="AM1297" s="441"/>
      <c r="AN1297" s="441"/>
      <c r="AO1297" s="441"/>
      <c r="AP1297" s="441"/>
      <c r="AQ1297" s="441"/>
      <c r="AR1297" s="441"/>
      <c r="AS1297" s="441"/>
      <c r="AT1297" s="441"/>
      <c r="AU1297" s="441"/>
      <c r="AV1297" s="441"/>
      <c r="AW1297" s="441"/>
      <c r="AX1297" s="441"/>
      <c r="AY1297" s="441"/>
      <c r="AZ1297" s="441"/>
      <c r="BA1297" s="441"/>
      <c r="BB1297" s="441"/>
      <c r="BC1297" s="441"/>
      <c r="BD1297" s="441"/>
      <c r="BE1297" s="441"/>
      <c r="BF1297" s="441"/>
    </row>
    <row r="1298">
      <c r="A1298" s="798"/>
      <c r="B1298" s="795"/>
      <c r="C1298" s="795"/>
      <c r="D1298" s="795"/>
      <c r="E1298" s="795"/>
      <c r="F1298" s="795"/>
      <c r="G1298" s="795"/>
      <c r="H1298" s="795"/>
      <c r="I1298" s="796"/>
      <c r="J1298" s="441"/>
      <c r="K1298" s="441"/>
      <c r="L1298" s="797"/>
      <c r="M1298" s="441"/>
      <c r="N1298" s="441"/>
      <c r="O1298" s="441"/>
      <c r="P1298" s="441"/>
      <c r="Q1298" s="441"/>
      <c r="R1298" s="426"/>
      <c r="S1298" s="441"/>
      <c r="T1298" s="441"/>
      <c r="U1298" s="441"/>
      <c r="V1298" s="441"/>
      <c r="W1298" s="441"/>
      <c r="X1298" s="441"/>
      <c r="Y1298" s="441"/>
      <c r="Z1298" s="441"/>
      <c r="AA1298" s="441"/>
      <c r="AB1298" s="441"/>
      <c r="AC1298" s="441"/>
      <c r="AD1298" s="441"/>
      <c r="AE1298" s="441"/>
      <c r="AF1298" s="441"/>
      <c r="AG1298" s="441"/>
      <c r="AH1298" s="441"/>
      <c r="AI1298" s="441"/>
      <c r="AJ1298" s="441"/>
      <c r="AK1298" s="441"/>
      <c r="AL1298" s="441"/>
      <c r="AM1298" s="441"/>
      <c r="AN1298" s="441"/>
      <c r="AO1298" s="441"/>
      <c r="AP1298" s="441"/>
      <c r="AQ1298" s="441"/>
      <c r="AR1298" s="441"/>
      <c r="AS1298" s="441"/>
      <c r="AT1298" s="441"/>
      <c r="AU1298" s="441"/>
      <c r="AV1298" s="441"/>
      <c r="AW1298" s="441"/>
      <c r="AX1298" s="441"/>
      <c r="AY1298" s="441"/>
      <c r="AZ1298" s="441"/>
      <c r="BA1298" s="441"/>
      <c r="BB1298" s="441"/>
      <c r="BC1298" s="441"/>
      <c r="BD1298" s="441"/>
      <c r="BE1298" s="441"/>
      <c r="BF1298" s="441"/>
    </row>
    <row r="1299">
      <c r="A1299" s="798"/>
      <c r="B1299" s="795"/>
      <c r="C1299" s="795"/>
      <c r="D1299" s="795"/>
      <c r="E1299" s="795"/>
      <c r="F1299" s="795"/>
      <c r="G1299" s="795"/>
      <c r="H1299" s="795"/>
      <c r="I1299" s="796"/>
      <c r="J1299" s="441"/>
      <c r="K1299" s="441"/>
      <c r="L1299" s="797"/>
      <c r="M1299" s="441"/>
      <c r="N1299" s="441"/>
      <c r="O1299" s="441"/>
      <c r="P1299" s="441"/>
      <c r="Q1299" s="441"/>
      <c r="R1299" s="426"/>
      <c r="S1299" s="441"/>
      <c r="T1299" s="441"/>
      <c r="U1299" s="441"/>
      <c r="V1299" s="441"/>
      <c r="W1299" s="441"/>
      <c r="X1299" s="441"/>
      <c r="Y1299" s="441"/>
      <c r="Z1299" s="441"/>
      <c r="AA1299" s="441"/>
      <c r="AB1299" s="441"/>
      <c r="AC1299" s="441"/>
      <c r="AD1299" s="441"/>
      <c r="AE1299" s="441"/>
      <c r="AF1299" s="441"/>
      <c r="AG1299" s="441"/>
      <c r="AH1299" s="441"/>
      <c r="AI1299" s="441"/>
      <c r="AJ1299" s="441"/>
      <c r="AK1299" s="441"/>
      <c r="AL1299" s="441"/>
      <c r="AM1299" s="441"/>
      <c r="AN1299" s="441"/>
      <c r="AO1299" s="441"/>
      <c r="AP1299" s="441"/>
      <c r="AQ1299" s="441"/>
      <c r="AR1299" s="441"/>
      <c r="AS1299" s="441"/>
      <c r="AT1299" s="441"/>
      <c r="AU1299" s="441"/>
      <c r="AV1299" s="441"/>
      <c r="AW1299" s="441"/>
      <c r="AX1299" s="441"/>
      <c r="AY1299" s="441"/>
      <c r="AZ1299" s="441"/>
      <c r="BA1299" s="441"/>
      <c r="BB1299" s="441"/>
      <c r="BC1299" s="441"/>
      <c r="BD1299" s="441"/>
      <c r="BE1299" s="441"/>
      <c r="BF1299" s="441"/>
    </row>
    <row r="1300">
      <c r="A1300" s="798"/>
      <c r="B1300" s="795"/>
      <c r="C1300" s="795"/>
      <c r="D1300" s="795"/>
      <c r="E1300" s="795"/>
      <c r="F1300" s="795"/>
      <c r="G1300" s="795"/>
      <c r="H1300" s="795"/>
      <c r="I1300" s="796"/>
      <c r="J1300" s="441"/>
      <c r="K1300" s="441"/>
      <c r="L1300" s="797"/>
      <c r="M1300" s="441"/>
      <c r="N1300" s="441"/>
      <c r="O1300" s="441"/>
      <c r="P1300" s="441"/>
      <c r="Q1300" s="441"/>
      <c r="R1300" s="426"/>
      <c r="S1300" s="441"/>
      <c r="T1300" s="441"/>
      <c r="U1300" s="441"/>
      <c r="V1300" s="441"/>
      <c r="W1300" s="441"/>
      <c r="X1300" s="441"/>
      <c r="Y1300" s="441"/>
      <c r="Z1300" s="441"/>
      <c r="AA1300" s="441"/>
      <c r="AB1300" s="441"/>
      <c r="AC1300" s="441"/>
      <c r="AD1300" s="441"/>
      <c r="AE1300" s="441"/>
      <c r="AF1300" s="441"/>
      <c r="AG1300" s="441"/>
      <c r="AH1300" s="441"/>
      <c r="AI1300" s="441"/>
      <c r="AJ1300" s="441"/>
      <c r="AK1300" s="441"/>
      <c r="AL1300" s="441"/>
      <c r="AM1300" s="441"/>
      <c r="AN1300" s="441"/>
      <c r="AO1300" s="441"/>
      <c r="AP1300" s="441"/>
      <c r="AQ1300" s="441"/>
      <c r="AR1300" s="441"/>
      <c r="AS1300" s="441"/>
      <c r="AT1300" s="441"/>
      <c r="AU1300" s="441"/>
      <c r="AV1300" s="441"/>
      <c r="AW1300" s="441"/>
      <c r="AX1300" s="441"/>
      <c r="AY1300" s="441"/>
      <c r="AZ1300" s="441"/>
      <c r="BA1300" s="441"/>
      <c r="BB1300" s="441"/>
      <c r="BC1300" s="441"/>
      <c r="BD1300" s="441"/>
      <c r="BE1300" s="441"/>
      <c r="BF1300" s="441"/>
    </row>
    <row r="1301">
      <c r="A1301" s="798"/>
      <c r="B1301" s="795"/>
      <c r="C1301" s="795"/>
      <c r="D1301" s="795"/>
      <c r="E1301" s="795"/>
      <c r="F1301" s="795"/>
      <c r="G1301" s="795"/>
      <c r="H1301" s="795"/>
      <c r="I1301" s="796"/>
      <c r="J1301" s="441"/>
      <c r="K1301" s="441"/>
      <c r="L1301" s="797"/>
      <c r="M1301" s="441"/>
      <c r="N1301" s="441"/>
      <c r="O1301" s="441"/>
      <c r="P1301" s="441"/>
      <c r="Q1301" s="441"/>
      <c r="R1301" s="426"/>
      <c r="S1301" s="441"/>
      <c r="T1301" s="441"/>
      <c r="U1301" s="441"/>
      <c r="V1301" s="441"/>
      <c r="W1301" s="441"/>
      <c r="X1301" s="441"/>
      <c r="Y1301" s="441"/>
      <c r="Z1301" s="441"/>
      <c r="AA1301" s="441"/>
      <c r="AB1301" s="441"/>
      <c r="AC1301" s="441"/>
      <c r="AD1301" s="441"/>
      <c r="AE1301" s="441"/>
      <c r="AF1301" s="441"/>
      <c r="AG1301" s="441"/>
      <c r="AH1301" s="441"/>
      <c r="AI1301" s="441"/>
      <c r="AJ1301" s="441"/>
      <c r="AK1301" s="441"/>
      <c r="AL1301" s="441"/>
      <c r="AM1301" s="441"/>
      <c r="AN1301" s="441"/>
      <c r="AO1301" s="441"/>
      <c r="AP1301" s="441"/>
      <c r="AQ1301" s="441"/>
      <c r="AR1301" s="441"/>
      <c r="AS1301" s="441"/>
      <c r="AT1301" s="441"/>
      <c r="AU1301" s="441"/>
      <c r="AV1301" s="441"/>
      <c r="AW1301" s="441"/>
      <c r="AX1301" s="441"/>
      <c r="AY1301" s="441"/>
      <c r="AZ1301" s="441"/>
      <c r="BA1301" s="441"/>
      <c r="BB1301" s="441"/>
      <c r="BC1301" s="441"/>
      <c r="BD1301" s="441"/>
      <c r="BE1301" s="441"/>
      <c r="BF1301" s="441"/>
    </row>
    <row r="1302">
      <c r="A1302" s="798"/>
      <c r="B1302" s="795"/>
      <c r="C1302" s="795"/>
      <c r="D1302" s="795"/>
      <c r="E1302" s="795"/>
      <c r="F1302" s="795"/>
      <c r="G1302" s="795"/>
      <c r="H1302" s="795"/>
      <c r="I1302" s="796"/>
      <c r="J1302" s="441"/>
      <c r="K1302" s="441"/>
      <c r="L1302" s="797"/>
      <c r="M1302" s="441"/>
      <c r="N1302" s="441"/>
      <c r="O1302" s="441"/>
      <c r="P1302" s="441"/>
      <c r="Q1302" s="441"/>
      <c r="R1302" s="426"/>
      <c r="S1302" s="441"/>
      <c r="T1302" s="441"/>
      <c r="U1302" s="441"/>
      <c r="V1302" s="441"/>
      <c r="W1302" s="441"/>
      <c r="X1302" s="441"/>
      <c r="Y1302" s="441"/>
      <c r="Z1302" s="441"/>
      <c r="AA1302" s="441"/>
      <c r="AB1302" s="441"/>
      <c r="AC1302" s="441"/>
      <c r="AD1302" s="441"/>
      <c r="AE1302" s="441"/>
      <c r="AF1302" s="441"/>
      <c r="AG1302" s="441"/>
      <c r="AH1302" s="441"/>
      <c r="AI1302" s="441"/>
      <c r="AJ1302" s="441"/>
      <c r="AK1302" s="441"/>
      <c r="AL1302" s="441"/>
      <c r="AM1302" s="441"/>
      <c r="AN1302" s="441"/>
      <c r="AO1302" s="441"/>
      <c r="AP1302" s="441"/>
      <c r="AQ1302" s="441"/>
      <c r="AR1302" s="441"/>
      <c r="AS1302" s="441"/>
      <c r="AT1302" s="441"/>
      <c r="AU1302" s="441"/>
      <c r="AV1302" s="441"/>
      <c r="AW1302" s="441"/>
      <c r="AX1302" s="441"/>
      <c r="AY1302" s="441"/>
      <c r="AZ1302" s="441"/>
      <c r="BA1302" s="441"/>
      <c r="BB1302" s="441"/>
      <c r="BC1302" s="441"/>
      <c r="BD1302" s="441"/>
      <c r="BE1302" s="441"/>
      <c r="BF1302" s="441"/>
    </row>
    <row r="1303">
      <c r="A1303" s="798"/>
      <c r="B1303" s="795"/>
      <c r="C1303" s="795"/>
      <c r="D1303" s="795"/>
      <c r="E1303" s="795"/>
      <c r="F1303" s="795"/>
      <c r="G1303" s="795"/>
      <c r="H1303" s="795"/>
      <c r="I1303" s="796"/>
      <c r="J1303" s="441"/>
      <c r="K1303" s="441"/>
      <c r="L1303" s="797"/>
      <c r="M1303" s="441"/>
      <c r="N1303" s="441"/>
      <c r="O1303" s="441"/>
      <c r="P1303" s="441"/>
      <c r="Q1303" s="441"/>
      <c r="R1303" s="426"/>
      <c r="S1303" s="441"/>
      <c r="T1303" s="441"/>
      <c r="U1303" s="441"/>
      <c r="V1303" s="441"/>
      <c r="W1303" s="441"/>
      <c r="X1303" s="441"/>
      <c r="Y1303" s="441"/>
      <c r="Z1303" s="441"/>
      <c r="AA1303" s="441"/>
      <c r="AB1303" s="441"/>
      <c r="AC1303" s="441"/>
      <c r="AD1303" s="441"/>
      <c r="AE1303" s="441"/>
      <c r="AF1303" s="441"/>
      <c r="AG1303" s="441"/>
      <c r="AH1303" s="441"/>
      <c r="AI1303" s="441"/>
      <c r="AJ1303" s="441"/>
      <c r="AK1303" s="441"/>
      <c r="AL1303" s="441"/>
      <c r="AM1303" s="441"/>
      <c r="AN1303" s="441"/>
      <c r="AO1303" s="441"/>
      <c r="AP1303" s="441"/>
      <c r="AQ1303" s="441"/>
      <c r="AR1303" s="441"/>
      <c r="AS1303" s="441"/>
      <c r="AT1303" s="441"/>
      <c r="AU1303" s="441"/>
      <c r="AV1303" s="441"/>
      <c r="AW1303" s="441"/>
      <c r="AX1303" s="441"/>
      <c r="AY1303" s="441"/>
      <c r="AZ1303" s="441"/>
      <c r="BA1303" s="441"/>
      <c r="BB1303" s="441"/>
      <c r="BC1303" s="441"/>
      <c r="BD1303" s="441"/>
      <c r="BE1303" s="441"/>
      <c r="BF1303" s="441"/>
    </row>
    <row r="1304">
      <c r="A1304" s="798"/>
      <c r="B1304" s="795"/>
      <c r="C1304" s="795"/>
      <c r="D1304" s="795"/>
      <c r="E1304" s="795"/>
      <c r="F1304" s="795"/>
      <c r="G1304" s="795"/>
      <c r="H1304" s="795"/>
      <c r="I1304" s="796"/>
      <c r="J1304" s="441"/>
      <c r="K1304" s="441"/>
      <c r="L1304" s="797"/>
      <c r="M1304" s="441"/>
      <c r="N1304" s="441"/>
      <c r="O1304" s="441"/>
      <c r="P1304" s="441"/>
      <c r="Q1304" s="441"/>
      <c r="R1304" s="426"/>
      <c r="S1304" s="441"/>
      <c r="T1304" s="441"/>
      <c r="U1304" s="441"/>
      <c r="V1304" s="441"/>
      <c r="W1304" s="441"/>
      <c r="X1304" s="441"/>
      <c r="Y1304" s="441"/>
      <c r="Z1304" s="441"/>
      <c r="AA1304" s="441"/>
      <c r="AB1304" s="441"/>
      <c r="AC1304" s="441"/>
      <c r="AD1304" s="441"/>
      <c r="AE1304" s="441"/>
      <c r="AF1304" s="441"/>
      <c r="AG1304" s="441"/>
      <c r="AH1304" s="441"/>
      <c r="AI1304" s="441"/>
      <c r="AJ1304" s="441"/>
      <c r="AK1304" s="441"/>
      <c r="AL1304" s="441"/>
      <c r="AM1304" s="441"/>
      <c r="AN1304" s="441"/>
      <c r="AO1304" s="441"/>
      <c r="AP1304" s="441"/>
      <c r="AQ1304" s="441"/>
      <c r="AR1304" s="441"/>
      <c r="AS1304" s="441"/>
      <c r="AT1304" s="441"/>
      <c r="AU1304" s="441"/>
      <c r="AV1304" s="441"/>
      <c r="AW1304" s="441"/>
      <c r="AX1304" s="441"/>
      <c r="AY1304" s="441"/>
      <c r="AZ1304" s="441"/>
      <c r="BA1304" s="441"/>
      <c r="BB1304" s="441"/>
      <c r="BC1304" s="441"/>
      <c r="BD1304" s="441"/>
      <c r="BE1304" s="441"/>
      <c r="BF1304" s="441"/>
    </row>
    <row r="1305">
      <c r="A1305" s="798"/>
      <c r="B1305" s="795"/>
      <c r="C1305" s="795"/>
      <c r="D1305" s="795"/>
      <c r="E1305" s="795"/>
      <c r="F1305" s="795"/>
      <c r="G1305" s="795"/>
      <c r="H1305" s="795"/>
      <c r="I1305" s="796"/>
      <c r="J1305" s="441"/>
      <c r="K1305" s="441"/>
      <c r="L1305" s="797"/>
      <c r="M1305" s="441"/>
      <c r="N1305" s="441"/>
      <c r="O1305" s="441"/>
      <c r="P1305" s="441"/>
      <c r="Q1305" s="441"/>
      <c r="R1305" s="426"/>
      <c r="S1305" s="441"/>
      <c r="T1305" s="441"/>
      <c r="U1305" s="441"/>
      <c r="V1305" s="441"/>
      <c r="W1305" s="441"/>
      <c r="X1305" s="441"/>
      <c r="Y1305" s="441"/>
      <c r="Z1305" s="441"/>
      <c r="AA1305" s="441"/>
      <c r="AB1305" s="441"/>
      <c r="AC1305" s="441"/>
      <c r="AD1305" s="441"/>
      <c r="AE1305" s="441"/>
      <c r="AF1305" s="441"/>
      <c r="AG1305" s="441"/>
      <c r="AH1305" s="441"/>
      <c r="AI1305" s="441"/>
      <c r="AJ1305" s="441"/>
      <c r="AK1305" s="441"/>
      <c r="AL1305" s="441"/>
      <c r="AM1305" s="441"/>
      <c r="AN1305" s="441"/>
      <c r="AO1305" s="441"/>
      <c r="AP1305" s="441"/>
      <c r="AQ1305" s="441"/>
      <c r="AR1305" s="441"/>
      <c r="AS1305" s="441"/>
      <c r="AT1305" s="441"/>
      <c r="AU1305" s="441"/>
      <c r="AV1305" s="441"/>
      <c r="AW1305" s="441"/>
      <c r="AX1305" s="441"/>
      <c r="AY1305" s="441"/>
      <c r="AZ1305" s="441"/>
      <c r="BA1305" s="441"/>
      <c r="BB1305" s="441"/>
      <c r="BC1305" s="441"/>
      <c r="BD1305" s="441"/>
      <c r="BE1305" s="441"/>
      <c r="BF1305" s="441"/>
    </row>
    <row r="1306">
      <c r="A1306" s="798"/>
      <c r="B1306" s="795"/>
      <c r="C1306" s="795"/>
      <c r="D1306" s="795"/>
      <c r="E1306" s="795"/>
      <c r="F1306" s="795"/>
      <c r="G1306" s="795"/>
      <c r="H1306" s="795"/>
      <c r="I1306" s="796"/>
      <c r="J1306" s="441"/>
      <c r="K1306" s="441"/>
      <c r="L1306" s="797"/>
      <c r="M1306" s="441"/>
      <c r="N1306" s="441"/>
      <c r="O1306" s="441"/>
      <c r="P1306" s="441"/>
      <c r="Q1306" s="441"/>
      <c r="R1306" s="426"/>
      <c r="S1306" s="441"/>
      <c r="T1306" s="441"/>
      <c r="U1306" s="441"/>
      <c r="V1306" s="441"/>
      <c r="W1306" s="441"/>
      <c r="X1306" s="441"/>
      <c r="Y1306" s="441"/>
      <c r="Z1306" s="441"/>
      <c r="AA1306" s="441"/>
      <c r="AB1306" s="441"/>
      <c r="AC1306" s="441"/>
      <c r="AD1306" s="441"/>
      <c r="AE1306" s="441"/>
      <c r="AF1306" s="441"/>
      <c r="AG1306" s="441"/>
      <c r="AH1306" s="441"/>
      <c r="AI1306" s="441"/>
      <c r="AJ1306" s="441"/>
      <c r="AK1306" s="441"/>
      <c r="AL1306" s="441"/>
      <c r="AM1306" s="441"/>
      <c r="AN1306" s="441"/>
      <c r="AO1306" s="441"/>
      <c r="AP1306" s="441"/>
      <c r="AQ1306" s="441"/>
      <c r="AR1306" s="441"/>
      <c r="AS1306" s="441"/>
      <c r="AT1306" s="441"/>
      <c r="AU1306" s="441"/>
      <c r="AV1306" s="441"/>
      <c r="AW1306" s="441"/>
      <c r="AX1306" s="441"/>
      <c r="AY1306" s="441"/>
      <c r="AZ1306" s="441"/>
      <c r="BA1306" s="441"/>
      <c r="BB1306" s="441"/>
      <c r="BC1306" s="441"/>
      <c r="BD1306" s="441"/>
      <c r="BE1306" s="441"/>
      <c r="BF1306" s="441"/>
    </row>
    <row r="1307">
      <c r="A1307" s="798"/>
      <c r="B1307" s="795"/>
      <c r="C1307" s="795"/>
      <c r="D1307" s="795"/>
      <c r="E1307" s="795"/>
      <c r="F1307" s="795"/>
      <c r="G1307" s="795"/>
      <c r="H1307" s="795"/>
      <c r="I1307" s="796"/>
      <c r="J1307" s="441"/>
      <c r="K1307" s="441"/>
      <c r="L1307" s="797"/>
      <c r="M1307" s="441"/>
      <c r="N1307" s="441"/>
      <c r="O1307" s="441"/>
      <c r="P1307" s="441"/>
      <c r="Q1307" s="441"/>
      <c r="R1307" s="426"/>
      <c r="S1307" s="441"/>
      <c r="T1307" s="441"/>
      <c r="U1307" s="441"/>
      <c r="V1307" s="441"/>
      <c r="W1307" s="441"/>
      <c r="X1307" s="441"/>
      <c r="Y1307" s="441"/>
      <c r="Z1307" s="441"/>
      <c r="AA1307" s="441"/>
      <c r="AB1307" s="441"/>
      <c r="AC1307" s="441"/>
      <c r="AD1307" s="441"/>
      <c r="AE1307" s="441"/>
      <c r="AF1307" s="441"/>
      <c r="AG1307" s="441"/>
      <c r="AH1307" s="441"/>
      <c r="AI1307" s="441"/>
      <c r="AJ1307" s="441"/>
      <c r="AK1307" s="441"/>
      <c r="AL1307" s="441"/>
      <c r="AM1307" s="441"/>
      <c r="AN1307" s="441"/>
      <c r="AO1307" s="441"/>
      <c r="AP1307" s="441"/>
      <c r="AQ1307" s="441"/>
      <c r="AR1307" s="441"/>
      <c r="AS1307" s="441"/>
      <c r="AT1307" s="441"/>
      <c r="AU1307" s="441"/>
      <c r="AV1307" s="441"/>
      <c r="AW1307" s="441"/>
      <c r="AX1307" s="441"/>
      <c r="AY1307" s="441"/>
      <c r="AZ1307" s="441"/>
      <c r="BA1307" s="441"/>
      <c r="BB1307" s="441"/>
      <c r="BC1307" s="441"/>
      <c r="BD1307" s="441"/>
      <c r="BE1307" s="441"/>
      <c r="BF1307" s="441"/>
    </row>
    <row r="1308">
      <c r="A1308" s="798"/>
      <c r="B1308" s="795"/>
      <c r="C1308" s="795"/>
      <c r="D1308" s="795"/>
      <c r="E1308" s="795"/>
      <c r="F1308" s="795"/>
      <c r="G1308" s="795"/>
      <c r="H1308" s="795"/>
      <c r="I1308" s="796"/>
      <c r="J1308" s="441"/>
      <c r="K1308" s="441"/>
      <c r="L1308" s="797"/>
      <c r="M1308" s="441"/>
      <c r="N1308" s="441"/>
      <c r="O1308" s="441"/>
      <c r="P1308" s="441"/>
      <c r="Q1308" s="441"/>
      <c r="R1308" s="426"/>
      <c r="S1308" s="441"/>
      <c r="T1308" s="441"/>
      <c r="U1308" s="441"/>
      <c r="V1308" s="441"/>
      <c r="W1308" s="441"/>
      <c r="X1308" s="441"/>
      <c r="Y1308" s="441"/>
      <c r="Z1308" s="441"/>
      <c r="AA1308" s="441"/>
      <c r="AB1308" s="441"/>
      <c r="AC1308" s="441"/>
      <c r="AD1308" s="441"/>
      <c r="AE1308" s="441"/>
      <c r="AF1308" s="441"/>
      <c r="AG1308" s="441"/>
      <c r="AH1308" s="441"/>
      <c r="AI1308" s="441"/>
      <c r="AJ1308" s="441"/>
      <c r="AK1308" s="441"/>
      <c r="AL1308" s="441"/>
      <c r="AM1308" s="441"/>
      <c r="AN1308" s="441"/>
      <c r="AO1308" s="441"/>
      <c r="AP1308" s="441"/>
      <c r="AQ1308" s="441"/>
      <c r="AR1308" s="441"/>
      <c r="AS1308" s="441"/>
      <c r="AT1308" s="441"/>
      <c r="AU1308" s="441"/>
      <c r="AV1308" s="441"/>
      <c r="AW1308" s="441"/>
      <c r="AX1308" s="441"/>
      <c r="AY1308" s="441"/>
      <c r="AZ1308" s="441"/>
      <c r="BA1308" s="441"/>
      <c r="BB1308" s="441"/>
      <c r="BC1308" s="441"/>
      <c r="BD1308" s="441"/>
      <c r="BE1308" s="441"/>
      <c r="BF1308" s="441"/>
    </row>
    <row r="1309">
      <c r="A1309" s="798"/>
      <c r="B1309" s="795"/>
      <c r="C1309" s="795"/>
      <c r="D1309" s="795"/>
      <c r="E1309" s="795"/>
      <c r="F1309" s="795"/>
      <c r="G1309" s="795"/>
      <c r="H1309" s="795"/>
      <c r="I1309" s="796"/>
      <c r="J1309" s="441"/>
      <c r="K1309" s="441"/>
      <c r="L1309" s="797"/>
      <c r="M1309" s="441"/>
      <c r="N1309" s="441"/>
      <c r="O1309" s="441"/>
      <c r="P1309" s="441"/>
      <c r="Q1309" s="441"/>
      <c r="R1309" s="426"/>
      <c r="S1309" s="441"/>
      <c r="T1309" s="441"/>
      <c r="U1309" s="441"/>
      <c r="V1309" s="441"/>
      <c r="W1309" s="441"/>
      <c r="X1309" s="441"/>
      <c r="Y1309" s="441"/>
      <c r="Z1309" s="441"/>
      <c r="AA1309" s="441"/>
      <c r="AB1309" s="441"/>
      <c r="AC1309" s="441"/>
      <c r="AD1309" s="441"/>
      <c r="AE1309" s="441"/>
      <c r="AF1309" s="441"/>
      <c r="AG1309" s="441"/>
      <c r="AH1309" s="441"/>
      <c r="AI1309" s="441"/>
      <c r="AJ1309" s="441"/>
      <c r="AK1309" s="441"/>
      <c r="AL1309" s="441"/>
      <c r="AM1309" s="441"/>
      <c r="AN1309" s="441"/>
      <c r="AO1309" s="441"/>
      <c r="AP1309" s="441"/>
      <c r="AQ1309" s="441"/>
      <c r="AR1309" s="441"/>
      <c r="AS1309" s="441"/>
      <c r="AT1309" s="441"/>
      <c r="AU1309" s="441"/>
      <c r="AV1309" s="441"/>
      <c r="AW1309" s="441"/>
      <c r="AX1309" s="441"/>
      <c r="AY1309" s="441"/>
      <c r="AZ1309" s="441"/>
      <c r="BA1309" s="441"/>
      <c r="BB1309" s="441"/>
      <c r="BC1309" s="441"/>
      <c r="BD1309" s="441"/>
      <c r="BE1309" s="441"/>
      <c r="BF1309" s="441"/>
    </row>
    <row r="1310">
      <c r="A1310" s="798"/>
      <c r="B1310" s="795"/>
      <c r="C1310" s="795"/>
      <c r="D1310" s="795"/>
      <c r="E1310" s="795"/>
      <c r="F1310" s="795"/>
      <c r="G1310" s="795"/>
      <c r="H1310" s="795"/>
      <c r="I1310" s="796"/>
      <c r="J1310" s="441"/>
      <c r="K1310" s="441"/>
      <c r="L1310" s="797"/>
      <c r="M1310" s="441"/>
      <c r="N1310" s="441"/>
      <c r="O1310" s="441"/>
      <c r="P1310" s="441"/>
      <c r="Q1310" s="441"/>
      <c r="R1310" s="426"/>
      <c r="S1310" s="441"/>
      <c r="T1310" s="441"/>
      <c r="U1310" s="441"/>
      <c r="V1310" s="441"/>
      <c r="W1310" s="441"/>
      <c r="X1310" s="441"/>
      <c r="Y1310" s="441"/>
      <c r="Z1310" s="441"/>
      <c r="AA1310" s="441"/>
      <c r="AB1310" s="441"/>
      <c r="AC1310" s="441"/>
      <c r="AD1310" s="441"/>
      <c r="AE1310" s="441"/>
      <c r="AF1310" s="441"/>
      <c r="AG1310" s="441"/>
      <c r="AH1310" s="441"/>
      <c r="AI1310" s="441"/>
      <c r="AJ1310" s="441"/>
      <c r="AK1310" s="441"/>
      <c r="AL1310" s="441"/>
      <c r="AM1310" s="441"/>
      <c r="AN1310" s="441"/>
      <c r="AO1310" s="441"/>
      <c r="AP1310" s="441"/>
      <c r="AQ1310" s="441"/>
      <c r="AR1310" s="441"/>
      <c r="AS1310" s="441"/>
      <c r="AT1310" s="441"/>
      <c r="AU1310" s="441"/>
      <c r="AV1310" s="441"/>
      <c r="AW1310" s="441"/>
      <c r="AX1310" s="441"/>
      <c r="AY1310" s="441"/>
      <c r="AZ1310" s="441"/>
      <c r="BA1310" s="441"/>
      <c r="BB1310" s="441"/>
      <c r="BC1310" s="441"/>
      <c r="BD1310" s="441"/>
      <c r="BE1310" s="441"/>
      <c r="BF1310" s="441"/>
    </row>
    <row r="1311">
      <c r="A1311" s="798"/>
      <c r="B1311" s="795"/>
      <c r="C1311" s="795"/>
      <c r="D1311" s="795"/>
      <c r="E1311" s="795"/>
      <c r="F1311" s="795"/>
      <c r="G1311" s="795"/>
      <c r="H1311" s="795"/>
      <c r="I1311" s="796"/>
      <c r="J1311" s="441"/>
      <c r="K1311" s="441"/>
      <c r="L1311" s="797"/>
      <c r="M1311" s="441"/>
      <c r="N1311" s="441"/>
      <c r="O1311" s="441"/>
      <c r="P1311" s="441"/>
      <c r="Q1311" s="441"/>
      <c r="R1311" s="426"/>
      <c r="S1311" s="441"/>
      <c r="T1311" s="441"/>
      <c r="U1311" s="441"/>
      <c r="V1311" s="441"/>
      <c r="W1311" s="441"/>
      <c r="X1311" s="441"/>
      <c r="Y1311" s="441"/>
      <c r="Z1311" s="441"/>
      <c r="AA1311" s="441"/>
      <c r="AB1311" s="441"/>
      <c r="AC1311" s="441"/>
      <c r="AD1311" s="441"/>
      <c r="AE1311" s="441"/>
      <c r="AF1311" s="441"/>
      <c r="AG1311" s="441"/>
      <c r="AH1311" s="441"/>
      <c r="AI1311" s="441"/>
      <c r="AJ1311" s="441"/>
      <c r="AK1311" s="441"/>
      <c r="AL1311" s="441"/>
      <c r="AM1311" s="441"/>
      <c r="AN1311" s="441"/>
      <c r="AO1311" s="441"/>
      <c r="AP1311" s="441"/>
      <c r="AQ1311" s="441"/>
      <c r="AR1311" s="441"/>
      <c r="AS1311" s="441"/>
      <c r="AT1311" s="441"/>
      <c r="AU1311" s="441"/>
      <c r="AV1311" s="441"/>
      <c r="AW1311" s="441"/>
      <c r="AX1311" s="441"/>
      <c r="AY1311" s="441"/>
      <c r="AZ1311" s="441"/>
      <c r="BA1311" s="441"/>
      <c r="BB1311" s="441"/>
      <c r="BC1311" s="441"/>
      <c r="BD1311" s="441"/>
      <c r="BE1311" s="441"/>
      <c r="BF1311" s="441"/>
    </row>
    <row r="1312">
      <c r="A1312" s="798"/>
      <c r="B1312" s="795"/>
      <c r="C1312" s="795"/>
      <c r="D1312" s="795"/>
      <c r="E1312" s="795"/>
      <c r="F1312" s="795"/>
      <c r="G1312" s="795"/>
      <c r="H1312" s="795"/>
      <c r="I1312" s="796"/>
      <c r="J1312" s="441"/>
      <c r="K1312" s="441"/>
      <c r="L1312" s="797"/>
      <c r="M1312" s="441"/>
      <c r="N1312" s="441"/>
      <c r="O1312" s="441"/>
      <c r="P1312" s="441"/>
      <c r="Q1312" s="441"/>
      <c r="R1312" s="426"/>
      <c r="S1312" s="441"/>
      <c r="T1312" s="441"/>
      <c r="U1312" s="441"/>
      <c r="V1312" s="441"/>
      <c r="W1312" s="441"/>
      <c r="X1312" s="441"/>
      <c r="Y1312" s="441"/>
      <c r="Z1312" s="441"/>
      <c r="AA1312" s="441"/>
      <c r="AB1312" s="441"/>
      <c r="AC1312" s="441"/>
      <c r="AD1312" s="441"/>
      <c r="AE1312" s="441"/>
      <c r="AF1312" s="441"/>
      <c r="AG1312" s="441"/>
      <c r="AH1312" s="441"/>
      <c r="AI1312" s="441"/>
      <c r="AJ1312" s="441"/>
      <c r="AK1312" s="441"/>
      <c r="AL1312" s="441"/>
      <c r="AM1312" s="441"/>
      <c r="AN1312" s="441"/>
      <c r="AO1312" s="441"/>
      <c r="AP1312" s="441"/>
      <c r="AQ1312" s="441"/>
      <c r="AR1312" s="441"/>
      <c r="AS1312" s="441"/>
      <c r="AT1312" s="441"/>
      <c r="AU1312" s="441"/>
      <c r="AV1312" s="441"/>
      <c r="AW1312" s="441"/>
      <c r="AX1312" s="441"/>
      <c r="AY1312" s="441"/>
      <c r="AZ1312" s="441"/>
      <c r="BA1312" s="441"/>
      <c r="BB1312" s="441"/>
      <c r="BC1312" s="441"/>
      <c r="BD1312" s="441"/>
      <c r="BE1312" s="441"/>
      <c r="BF1312" s="441"/>
    </row>
    <row r="1313">
      <c r="A1313" s="798"/>
      <c r="B1313" s="795"/>
      <c r="C1313" s="795"/>
      <c r="D1313" s="795"/>
      <c r="E1313" s="795"/>
      <c r="F1313" s="795"/>
      <c r="G1313" s="795"/>
      <c r="H1313" s="795"/>
      <c r="I1313" s="796"/>
      <c r="J1313" s="441"/>
      <c r="K1313" s="441"/>
      <c r="L1313" s="797"/>
      <c r="M1313" s="441"/>
      <c r="N1313" s="441"/>
      <c r="O1313" s="441"/>
      <c r="P1313" s="441"/>
      <c r="Q1313" s="441"/>
      <c r="R1313" s="426"/>
      <c r="S1313" s="441"/>
      <c r="T1313" s="441"/>
      <c r="U1313" s="441"/>
      <c r="V1313" s="441"/>
      <c r="W1313" s="441"/>
      <c r="X1313" s="441"/>
      <c r="Y1313" s="441"/>
      <c r="Z1313" s="441"/>
      <c r="AA1313" s="441"/>
      <c r="AB1313" s="441"/>
      <c r="AC1313" s="441"/>
      <c r="AD1313" s="441"/>
      <c r="AE1313" s="441"/>
      <c r="AF1313" s="441"/>
      <c r="AG1313" s="441"/>
      <c r="AH1313" s="441"/>
      <c r="AI1313" s="441"/>
      <c r="AJ1313" s="441"/>
      <c r="AK1313" s="441"/>
      <c r="AL1313" s="441"/>
      <c r="AM1313" s="441"/>
      <c r="AN1313" s="441"/>
      <c r="AO1313" s="441"/>
      <c r="AP1313" s="441"/>
      <c r="AQ1313" s="441"/>
      <c r="AR1313" s="441"/>
      <c r="AS1313" s="441"/>
      <c r="AT1313" s="441"/>
      <c r="AU1313" s="441"/>
      <c r="AV1313" s="441"/>
      <c r="AW1313" s="441"/>
      <c r="AX1313" s="441"/>
      <c r="AY1313" s="441"/>
      <c r="AZ1313" s="441"/>
      <c r="BA1313" s="441"/>
      <c r="BB1313" s="441"/>
      <c r="BC1313" s="441"/>
      <c r="BD1313" s="441"/>
      <c r="BE1313" s="441"/>
      <c r="BF1313" s="441"/>
    </row>
    <row r="1314">
      <c r="A1314" s="798"/>
      <c r="B1314" s="795"/>
      <c r="C1314" s="795"/>
      <c r="D1314" s="795"/>
      <c r="E1314" s="795"/>
      <c r="F1314" s="795"/>
      <c r="G1314" s="795"/>
      <c r="H1314" s="795"/>
      <c r="I1314" s="796"/>
      <c r="J1314" s="441"/>
      <c r="K1314" s="441"/>
      <c r="L1314" s="797"/>
      <c r="M1314" s="441"/>
      <c r="N1314" s="441"/>
      <c r="O1314" s="441"/>
      <c r="P1314" s="441"/>
      <c r="Q1314" s="441"/>
      <c r="R1314" s="426"/>
      <c r="S1314" s="441"/>
      <c r="T1314" s="441"/>
      <c r="U1314" s="441"/>
      <c r="V1314" s="441"/>
      <c r="W1314" s="441"/>
      <c r="X1314" s="441"/>
      <c r="Y1314" s="441"/>
      <c r="Z1314" s="441"/>
      <c r="AA1314" s="441"/>
      <c r="AB1314" s="441"/>
      <c r="AC1314" s="441"/>
      <c r="AD1314" s="441"/>
      <c r="AE1314" s="441"/>
      <c r="AF1314" s="441"/>
      <c r="AG1314" s="441"/>
      <c r="AH1314" s="441"/>
      <c r="AI1314" s="441"/>
      <c r="AJ1314" s="441"/>
      <c r="AK1314" s="441"/>
      <c r="AL1314" s="441"/>
      <c r="AM1314" s="441"/>
      <c r="AN1314" s="441"/>
      <c r="AO1314" s="441"/>
      <c r="AP1314" s="441"/>
      <c r="AQ1314" s="441"/>
      <c r="AR1314" s="441"/>
      <c r="AS1314" s="441"/>
      <c r="AT1314" s="441"/>
      <c r="AU1314" s="441"/>
      <c r="AV1314" s="441"/>
      <c r="AW1314" s="441"/>
      <c r="AX1314" s="441"/>
      <c r="AY1314" s="441"/>
      <c r="AZ1314" s="441"/>
      <c r="BA1314" s="441"/>
      <c r="BB1314" s="441"/>
      <c r="BC1314" s="441"/>
      <c r="BD1314" s="441"/>
      <c r="BE1314" s="441"/>
      <c r="BF1314" s="441"/>
    </row>
    <row r="1315">
      <c r="A1315" s="798"/>
      <c r="B1315" s="795"/>
      <c r="C1315" s="795"/>
      <c r="D1315" s="795"/>
      <c r="E1315" s="795"/>
      <c r="F1315" s="795"/>
      <c r="G1315" s="795"/>
      <c r="H1315" s="795"/>
      <c r="I1315" s="796"/>
      <c r="J1315" s="441"/>
      <c r="K1315" s="441"/>
      <c r="L1315" s="797"/>
      <c r="M1315" s="441"/>
      <c r="N1315" s="441"/>
      <c r="O1315" s="441"/>
      <c r="P1315" s="441"/>
      <c r="Q1315" s="441"/>
      <c r="R1315" s="426"/>
      <c r="S1315" s="441"/>
      <c r="T1315" s="441"/>
      <c r="U1315" s="441"/>
      <c r="V1315" s="441"/>
      <c r="W1315" s="441"/>
      <c r="X1315" s="441"/>
      <c r="Y1315" s="441"/>
      <c r="Z1315" s="441"/>
      <c r="AA1315" s="441"/>
      <c r="AB1315" s="441"/>
      <c r="AC1315" s="441"/>
      <c r="AD1315" s="441"/>
      <c r="AE1315" s="441"/>
      <c r="AF1315" s="441"/>
      <c r="AG1315" s="441"/>
      <c r="AH1315" s="441"/>
      <c r="AI1315" s="441"/>
      <c r="AJ1315" s="441"/>
      <c r="AK1315" s="441"/>
      <c r="AL1315" s="441"/>
      <c r="AM1315" s="441"/>
      <c r="AN1315" s="441"/>
      <c r="AO1315" s="441"/>
      <c r="AP1315" s="441"/>
      <c r="AQ1315" s="441"/>
      <c r="AR1315" s="441"/>
      <c r="AS1315" s="441"/>
      <c r="AT1315" s="441"/>
      <c r="AU1315" s="441"/>
      <c r="AV1315" s="441"/>
      <c r="AW1315" s="441"/>
      <c r="AX1315" s="441"/>
      <c r="AY1315" s="441"/>
      <c r="AZ1315" s="441"/>
      <c r="BA1315" s="441"/>
      <c r="BB1315" s="441"/>
      <c r="BC1315" s="441"/>
      <c r="BD1315" s="441"/>
      <c r="BE1315" s="441"/>
      <c r="BF1315" s="441"/>
    </row>
    <row r="1316">
      <c r="A1316" s="798"/>
      <c r="B1316" s="795"/>
      <c r="C1316" s="795"/>
      <c r="D1316" s="795"/>
      <c r="E1316" s="795"/>
      <c r="F1316" s="795"/>
      <c r="G1316" s="795"/>
      <c r="H1316" s="795"/>
      <c r="I1316" s="796"/>
      <c r="J1316" s="441"/>
      <c r="K1316" s="441"/>
      <c r="L1316" s="797"/>
      <c r="M1316" s="441"/>
      <c r="N1316" s="441"/>
      <c r="O1316" s="441"/>
      <c r="P1316" s="441"/>
      <c r="Q1316" s="441"/>
      <c r="R1316" s="426"/>
      <c r="S1316" s="441"/>
      <c r="T1316" s="441"/>
      <c r="U1316" s="441"/>
      <c r="V1316" s="441"/>
      <c r="W1316" s="441"/>
      <c r="X1316" s="441"/>
      <c r="Y1316" s="441"/>
      <c r="Z1316" s="441"/>
      <c r="AA1316" s="441"/>
      <c r="AB1316" s="441"/>
      <c r="AC1316" s="441"/>
      <c r="AD1316" s="441"/>
      <c r="AE1316" s="441"/>
      <c r="AF1316" s="441"/>
      <c r="AG1316" s="441"/>
      <c r="AH1316" s="441"/>
      <c r="AI1316" s="441"/>
      <c r="AJ1316" s="441"/>
      <c r="AK1316" s="441"/>
      <c r="AL1316" s="441"/>
      <c r="AM1316" s="441"/>
      <c r="AN1316" s="441"/>
      <c r="AO1316" s="441"/>
      <c r="AP1316" s="441"/>
      <c r="AQ1316" s="441"/>
      <c r="AR1316" s="441"/>
      <c r="AS1316" s="441"/>
      <c r="AT1316" s="441"/>
      <c r="AU1316" s="441"/>
      <c r="AV1316" s="441"/>
      <c r="AW1316" s="441"/>
      <c r="AX1316" s="441"/>
      <c r="AY1316" s="441"/>
      <c r="AZ1316" s="441"/>
      <c r="BA1316" s="441"/>
      <c r="BB1316" s="441"/>
      <c r="BC1316" s="441"/>
      <c r="BD1316" s="441"/>
      <c r="BE1316" s="441"/>
      <c r="BF1316" s="441"/>
    </row>
    <row r="1317">
      <c r="A1317" s="798"/>
      <c r="B1317" s="795"/>
      <c r="C1317" s="795"/>
      <c r="D1317" s="795"/>
      <c r="E1317" s="795"/>
      <c r="F1317" s="795"/>
      <c r="G1317" s="795"/>
      <c r="H1317" s="795"/>
      <c r="I1317" s="796"/>
      <c r="J1317" s="441"/>
      <c r="K1317" s="441"/>
      <c r="L1317" s="797"/>
      <c r="M1317" s="441"/>
      <c r="N1317" s="441"/>
      <c r="O1317" s="441"/>
      <c r="P1317" s="441"/>
      <c r="Q1317" s="441"/>
      <c r="R1317" s="426"/>
      <c r="S1317" s="441"/>
      <c r="T1317" s="441"/>
      <c r="U1317" s="441"/>
      <c r="V1317" s="441"/>
      <c r="W1317" s="441"/>
      <c r="X1317" s="441"/>
      <c r="Y1317" s="441"/>
      <c r="Z1317" s="441"/>
      <c r="AA1317" s="441"/>
      <c r="AB1317" s="441"/>
      <c r="AC1317" s="441"/>
      <c r="AD1317" s="441"/>
      <c r="AE1317" s="441"/>
      <c r="AF1317" s="441"/>
      <c r="AG1317" s="441"/>
      <c r="AH1317" s="441"/>
      <c r="AI1317" s="441"/>
      <c r="AJ1317" s="441"/>
      <c r="AK1317" s="441"/>
      <c r="AL1317" s="441"/>
      <c r="AM1317" s="441"/>
      <c r="AN1317" s="441"/>
      <c r="AO1317" s="441"/>
      <c r="AP1317" s="441"/>
      <c r="AQ1317" s="441"/>
      <c r="AR1317" s="441"/>
      <c r="AS1317" s="441"/>
      <c r="AT1317" s="441"/>
      <c r="AU1317" s="441"/>
      <c r="AV1317" s="441"/>
      <c r="AW1317" s="441"/>
      <c r="AX1317" s="441"/>
      <c r="AY1317" s="441"/>
      <c r="AZ1317" s="441"/>
      <c r="BA1317" s="441"/>
      <c r="BB1317" s="441"/>
      <c r="BC1317" s="441"/>
      <c r="BD1317" s="441"/>
      <c r="BE1317" s="441"/>
      <c r="BF1317" s="441"/>
    </row>
    <row r="1318">
      <c r="A1318" s="798"/>
      <c r="B1318" s="795"/>
      <c r="C1318" s="795"/>
      <c r="D1318" s="795"/>
      <c r="E1318" s="795"/>
      <c r="F1318" s="795"/>
      <c r="G1318" s="795"/>
      <c r="H1318" s="795"/>
      <c r="I1318" s="796"/>
      <c r="J1318" s="441"/>
      <c r="K1318" s="441"/>
      <c r="L1318" s="797"/>
      <c r="M1318" s="441"/>
      <c r="N1318" s="441"/>
      <c r="O1318" s="441"/>
      <c r="P1318" s="441"/>
      <c r="Q1318" s="441"/>
      <c r="R1318" s="426"/>
      <c r="S1318" s="441"/>
      <c r="T1318" s="441"/>
      <c r="U1318" s="441"/>
      <c r="V1318" s="441"/>
      <c r="W1318" s="441"/>
      <c r="X1318" s="441"/>
      <c r="Y1318" s="441"/>
      <c r="Z1318" s="441"/>
      <c r="AA1318" s="441"/>
      <c r="AB1318" s="441"/>
      <c r="AC1318" s="441"/>
      <c r="AD1318" s="441"/>
      <c r="AE1318" s="441"/>
      <c r="AF1318" s="441"/>
      <c r="AG1318" s="441"/>
      <c r="AH1318" s="441"/>
      <c r="AI1318" s="441"/>
      <c r="AJ1318" s="441"/>
      <c r="AK1318" s="441"/>
      <c r="AL1318" s="441"/>
      <c r="AM1318" s="441"/>
      <c r="AN1318" s="441"/>
      <c r="AO1318" s="441"/>
      <c r="AP1318" s="441"/>
      <c r="AQ1318" s="441"/>
      <c r="AR1318" s="441"/>
      <c r="AS1318" s="441"/>
      <c r="AT1318" s="441"/>
      <c r="AU1318" s="441"/>
      <c r="AV1318" s="441"/>
      <c r="AW1318" s="441"/>
      <c r="AX1318" s="441"/>
      <c r="AY1318" s="441"/>
      <c r="AZ1318" s="441"/>
      <c r="BA1318" s="441"/>
      <c r="BB1318" s="441"/>
      <c r="BC1318" s="441"/>
      <c r="BD1318" s="441"/>
      <c r="BE1318" s="441"/>
      <c r="BF1318" s="441"/>
    </row>
    <row r="1319">
      <c r="A1319" s="798"/>
      <c r="B1319" s="795"/>
      <c r="C1319" s="795"/>
      <c r="D1319" s="795"/>
      <c r="E1319" s="795"/>
      <c r="F1319" s="795"/>
      <c r="G1319" s="795"/>
      <c r="H1319" s="795"/>
      <c r="I1319" s="796"/>
      <c r="J1319" s="441"/>
      <c r="K1319" s="441"/>
      <c r="L1319" s="797"/>
      <c r="M1319" s="441"/>
      <c r="N1319" s="441"/>
      <c r="O1319" s="441"/>
      <c r="P1319" s="441"/>
      <c r="Q1319" s="441"/>
      <c r="R1319" s="426"/>
      <c r="S1319" s="441"/>
      <c r="T1319" s="441"/>
      <c r="U1319" s="441"/>
      <c r="V1319" s="441"/>
      <c r="W1319" s="441"/>
      <c r="X1319" s="441"/>
      <c r="Y1319" s="441"/>
      <c r="Z1319" s="441"/>
      <c r="AA1319" s="441"/>
      <c r="AB1319" s="441"/>
      <c r="AC1319" s="441"/>
      <c r="AD1319" s="441"/>
      <c r="AE1319" s="441"/>
      <c r="AF1319" s="441"/>
      <c r="AG1319" s="441"/>
      <c r="AH1319" s="441"/>
      <c r="AI1319" s="441"/>
      <c r="AJ1319" s="441"/>
      <c r="AK1319" s="441"/>
      <c r="AL1319" s="441"/>
      <c r="AM1319" s="441"/>
      <c r="AN1319" s="441"/>
      <c r="AO1319" s="441"/>
      <c r="AP1319" s="441"/>
      <c r="AQ1319" s="441"/>
      <c r="AR1319" s="441"/>
      <c r="AS1319" s="441"/>
      <c r="AT1319" s="441"/>
      <c r="AU1319" s="441"/>
      <c r="AV1319" s="441"/>
      <c r="AW1319" s="441"/>
      <c r="AX1319" s="441"/>
      <c r="AY1319" s="441"/>
      <c r="AZ1319" s="441"/>
      <c r="BA1319" s="441"/>
      <c r="BB1319" s="441"/>
      <c r="BC1319" s="441"/>
      <c r="BD1319" s="441"/>
      <c r="BE1319" s="441"/>
      <c r="BF1319" s="441"/>
    </row>
    <row r="1320">
      <c r="A1320" s="798"/>
      <c r="B1320" s="795"/>
      <c r="C1320" s="795"/>
      <c r="D1320" s="795"/>
      <c r="E1320" s="795"/>
      <c r="F1320" s="795"/>
      <c r="G1320" s="795"/>
      <c r="H1320" s="795"/>
      <c r="I1320" s="796"/>
      <c r="J1320" s="441"/>
      <c r="K1320" s="441"/>
      <c r="L1320" s="797"/>
      <c r="M1320" s="441"/>
      <c r="N1320" s="441"/>
      <c r="O1320" s="441"/>
      <c r="P1320" s="441"/>
      <c r="Q1320" s="441"/>
      <c r="R1320" s="426"/>
      <c r="S1320" s="441"/>
      <c r="T1320" s="441"/>
      <c r="U1320" s="441"/>
      <c r="V1320" s="441"/>
      <c r="W1320" s="441"/>
      <c r="X1320" s="441"/>
      <c r="Y1320" s="441"/>
      <c r="Z1320" s="441"/>
      <c r="AA1320" s="441"/>
      <c r="AB1320" s="441"/>
      <c r="AC1320" s="441"/>
      <c r="AD1320" s="441"/>
      <c r="AE1320" s="441"/>
      <c r="AF1320" s="441"/>
      <c r="AG1320" s="441"/>
      <c r="AH1320" s="441"/>
      <c r="AI1320" s="441"/>
      <c r="AJ1320" s="441"/>
      <c r="AK1320" s="441"/>
      <c r="AL1320" s="441"/>
      <c r="AM1320" s="441"/>
      <c r="AN1320" s="441"/>
      <c r="AO1320" s="441"/>
      <c r="AP1320" s="441"/>
      <c r="AQ1320" s="441"/>
      <c r="AR1320" s="441"/>
      <c r="AS1320" s="441"/>
      <c r="AT1320" s="441"/>
      <c r="AU1320" s="441"/>
      <c r="AV1320" s="441"/>
      <c r="AW1320" s="441"/>
      <c r="AX1320" s="441"/>
      <c r="AY1320" s="441"/>
      <c r="AZ1320" s="441"/>
      <c r="BA1320" s="441"/>
      <c r="BB1320" s="441"/>
      <c r="BC1320" s="441"/>
      <c r="BD1320" s="441"/>
      <c r="BE1320" s="441"/>
      <c r="BF1320" s="441"/>
    </row>
    <row r="1321">
      <c r="A1321" s="798"/>
      <c r="B1321" s="795"/>
      <c r="C1321" s="795"/>
      <c r="D1321" s="795"/>
      <c r="E1321" s="795"/>
      <c r="F1321" s="795"/>
      <c r="G1321" s="795"/>
      <c r="H1321" s="795"/>
      <c r="I1321" s="796"/>
      <c r="J1321" s="441"/>
      <c r="K1321" s="441"/>
      <c r="L1321" s="797"/>
      <c r="M1321" s="441"/>
      <c r="N1321" s="441"/>
      <c r="O1321" s="441"/>
      <c r="P1321" s="441"/>
      <c r="Q1321" s="441"/>
      <c r="R1321" s="426"/>
      <c r="S1321" s="441"/>
      <c r="T1321" s="441"/>
      <c r="U1321" s="441"/>
      <c r="V1321" s="441"/>
      <c r="W1321" s="441"/>
      <c r="X1321" s="441"/>
      <c r="Y1321" s="441"/>
      <c r="Z1321" s="441"/>
      <c r="AA1321" s="441"/>
      <c r="AB1321" s="441"/>
      <c r="AC1321" s="441"/>
      <c r="AD1321" s="441"/>
      <c r="AE1321" s="441"/>
      <c r="AF1321" s="441"/>
      <c r="AG1321" s="441"/>
      <c r="AH1321" s="441"/>
      <c r="AI1321" s="441"/>
      <c r="AJ1321" s="441"/>
      <c r="AK1321" s="441"/>
      <c r="AL1321" s="441"/>
      <c r="AM1321" s="441"/>
      <c r="AN1321" s="441"/>
      <c r="AO1321" s="441"/>
      <c r="AP1321" s="441"/>
      <c r="AQ1321" s="441"/>
      <c r="AR1321" s="441"/>
      <c r="AS1321" s="441"/>
      <c r="AT1321" s="441"/>
      <c r="AU1321" s="441"/>
      <c r="AV1321" s="441"/>
      <c r="AW1321" s="441"/>
      <c r="AX1321" s="441"/>
      <c r="AY1321" s="441"/>
      <c r="AZ1321" s="441"/>
      <c r="BA1321" s="441"/>
      <c r="BB1321" s="441"/>
      <c r="BC1321" s="441"/>
      <c r="BD1321" s="441"/>
      <c r="BE1321" s="441"/>
      <c r="BF1321" s="441"/>
    </row>
    <row r="1322">
      <c r="A1322" s="798"/>
      <c r="B1322" s="795"/>
      <c r="C1322" s="795"/>
      <c r="D1322" s="795"/>
      <c r="E1322" s="795"/>
      <c r="F1322" s="795"/>
      <c r="G1322" s="795"/>
      <c r="H1322" s="795"/>
      <c r="I1322" s="796"/>
      <c r="J1322" s="441"/>
      <c r="K1322" s="441"/>
      <c r="L1322" s="797"/>
      <c r="M1322" s="441"/>
      <c r="N1322" s="441"/>
      <c r="O1322" s="441"/>
      <c r="P1322" s="441"/>
      <c r="Q1322" s="441"/>
      <c r="R1322" s="426"/>
      <c r="S1322" s="441"/>
      <c r="T1322" s="441"/>
      <c r="U1322" s="441"/>
      <c r="V1322" s="441"/>
      <c r="W1322" s="441"/>
      <c r="X1322" s="441"/>
      <c r="Y1322" s="441"/>
      <c r="Z1322" s="441"/>
      <c r="AA1322" s="441"/>
      <c r="AB1322" s="441"/>
      <c r="AC1322" s="441"/>
      <c r="AD1322" s="441"/>
      <c r="AE1322" s="441"/>
      <c r="AF1322" s="441"/>
      <c r="AG1322" s="441"/>
      <c r="AH1322" s="441"/>
      <c r="AI1322" s="441"/>
      <c r="AJ1322" s="441"/>
      <c r="AK1322" s="441"/>
      <c r="AL1322" s="441"/>
      <c r="AM1322" s="441"/>
      <c r="AN1322" s="441"/>
      <c r="AO1322" s="441"/>
      <c r="AP1322" s="441"/>
      <c r="AQ1322" s="441"/>
      <c r="AR1322" s="441"/>
      <c r="AS1322" s="441"/>
      <c r="AT1322" s="441"/>
      <c r="AU1322" s="441"/>
      <c r="AV1322" s="441"/>
      <c r="AW1322" s="441"/>
      <c r="AX1322" s="441"/>
      <c r="AY1322" s="441"/>
      <c r="AZ1322" s="441"/>
      <c r="BA1322" s="441"/>
      <c r="BB1322" s="441"/>
      <c r="BC1322" s="441"/>
      <c r="BD1322" s="441"/>
      <c r="BE1322" s="441"/>
      <c r="BF1322" s="441"/>
    </row>
    <row r="1323">
      <c r="A1323" s="798"/>
      <c r="B1323" s="795"/>
      <c r="C1323" s="795"/>
      <c r="D1323" s="795"/>
      <c r="E1323" s="795"/>
      <c r="F1323" s="795"/>
      <c r="G1323" s="795"/>
      <c r="H1323" s="795"/>
      <c r="I1323" s="796"/>
      <c r="J1323" s="441"/>
      <c r="K1323" s="441"/>
      <c r="L1323" s="797"/>
      <c r="M1323" s="441"/>
      <c r="N1323" s="441"/>
      <c r="O1323" s="441"/>
      <c r="P1323" s="441"/>
      <c r="Q1323" s="441"/>
      <c r="R1323" s="426"/>
      <c r="S1323" s="441"/>
      <c r="T1323" s="441"/>
      <c r="U1323" s="441"/>
      <c r="V1323" s="441"/>
      <c r="W1323" s="441"/>
      <c r="X1323" s="441"/>
      <c r="Y1323" s="441"/>
      <c r="Z1323" s="441"/>
      <c r="AA1323" s="441"/>
      <c r="AB1323" s="441"/>
      <c r="AC1323" s="441"/>
      <c r="AD1323" s="441"/>
      <c r="AE1323" s="441"/>
      <c r="AF1323" s="441"/>
      <c r="AG1323" s="441"/>
      <c r="AH1323" s="441"/>
      <c r="AI1323" s="441"/>
      <c r="AJ1323" s="441"/>
      <c r="AK1323" s="441"/>
      <c r="AL1323" s="441"/>
      <c r="AM1323" s="441"/>
      <c r="AN1323" s="441"/>
      <c r="AO1323" s="441"/>
      <c r="AP1323" s="441"/>
      <c r="AQ1323" s="441"/>
      <c r="AR1323" s="441"/>
      <c r="AS1323" s="441"/>
      <c r="AT1323" s="441"/>
      <c r="AU1323" s="441"/>
      <c r="AV1323" s="441"/>
      <c r="AW1323" s="441"/>
      <c r="AX1323" s="441"/>
      <c r="AY1323" s="441"/>
      <c r="AZ1323" s="441"/>
      <c r="BA1323" s="441"/>
      <c r="BB1323" s="441"/>
      <c r="BC1323" s="441"/>
      <c r="BD1323" s="441"/>
      <c r="BE1323" s="441"/>
      <c r="BF1323" s="441"/>
    </row>
    <row r="1324">
      <c r="A1324" s="798"/>
      <c r="B1324" s="795"/>
      <c r="C1324" s="795"/>
      <c r="D1324" s="795"/>
      <c r="E1324" s="795"/>
      <c r="F1324" s="795"/>
      <c r="G1324" s="795"/>
      <c r="H1324" s="795"/>
      <c r="I1324" s="796"/>
      <c r="J1324" s="441"/>
      <c r="K1324" s="441"/>
      <c r="L1324" s="797"/>
      <c r="M1324" s="441"/>
      <c r="N1324" s="441"/>
      <c r="O1324" s="441"/>
      <c r="P1324" s="441"/>
      <c r="Q1324" s="441"/>
      <c r="R1324" s="426"/>
      <c r="S1324" s="441"/>
      <c r="T1324" s="441"/>
      <c r="U1324" s="441"/>
      <c r="V1324" s="441"/>
      <c r="W1324" s="441"/>
      <c r="X1324" s="441"/>
      <c r="Y1324" s="441"/>
      <c r="Z1324" s="441"/>
      <c r="AA1324" s="441"/>
      <c r="AB1324" s="441"/>
      <c r="AC1324" s="441"/>
      <c r="AD1324" s="441"/>
      <c r="AE1324" s="441"/>
      <c r="AF1324" s="441"/>
      <c r="AG1324" s="441"/>
      <c r="AH1324" s="441"/>
      <c r="AI1324" s="441"/>
      <c r="AJ1324" s="441"/>
      <c r="AK1324" s="441"/>
      <c r="AL1324" s="441"/>
      <c r="AM1324" s="441"/>
      <c r="AN1324" s="441"/>
      <c r="AO1324" s="441"/>
      <c r="AP1324" s="441"/>
      <c r="AQ1324" s="441"/>
      <c r="AR1324" s="441"/>
      <c r="AS1324" s="441"/>
      <c r="AT1324" s="441"/>
      <c r="AU1324" s="441"/>
      <c r="AV1324" s="441"/>
      <c r="AW1324" s="441"/>
      <c r="AX1324" s="441"/>
      <c r="AY1324" s="441"/>
      <c r="AZ1324" s="441"/>
      <c r="BA1324" s="441"/>
      <c r="BB1324" s="441"/>
      <c r="BC1324" s="441"/>
      <c r="BD1324" s="441"/>
      <c r="BE1324" s="441"/>
      <c r="BF1324" s="441"/>
    </row>
    <row r="1325">
      <c r="A1325" s="798"/>
      <c r="B1325" s="795"/>
      <c r="C1325" s="795"/>
      <c r="D1325" s="795"/>
      <c r="E1325" s="795"/>
      <c r="F1325" s="795"/>
      <c r="G1325" s="795"/>
      <c r="H1325" s="795"/>
      <c r="I1325" s="796"/>
      <c r="J1325" s="441"/>
      <c r="K1325" s="441"/>
      <c r="L1325" s="797"/>
      <c r="M1325" s="441"/>
      <c r="N1325" s="441"/>
      <c r="O1325" s="441"/>
      <c r="P1325" s="441"/>
      <c r="Q1325" s="441"/>
      <c r="R1325" s="426"/>
      <c r="S1325" s="441"/>
      <c r="T1325" s="441"/>
      <c r="U1325" s="441"/>
      <c r="V1325" s="441"/>
      <c r="W1325" s="441"/>
      <c r="X1325" s="441"/>
      <c r="Y1325" s="441"/>
      <c r="Z1325" s="441"/>
      <c r="AA1325" s="441"/>
      <c r="AB1325" s="441"/>
      <c r="AC1325" s="441"/>
      <c r="AD1325" s="441"/>
      <c r="AE1325" s="441"/>
      <c r="AF1325" s="441"/>
      <c r="AG1325" s="441"/>
      <c r="AH1325" s="441"/>
      <c r="AI1325" s="441"/>
      <c r="AJ1325" s="441"/>
      <c r="AK1325" s="441"/>
      <c r="AL1325" s="441"/>
      <c r="AM1325" s="441"/>
      <c r="AN1325" s="441"/>
      <c r="AO1325" s="441"/>
      <c r="AP1325" s="441"/>
      <c r="AQ1325" s="441"/>
      <c r="AR1325" s="441"/>
      <c r="AS1325" s="441"/>
      <c r="AT1325" s="441"/>
      <c r="AU1325" s="441"/>
      <c r="AV1325" s="441"/>
      <c r="AW1325" s="441"/>
      <c r="AX1325" s="441"/>
      <c r="AY1325" s="441"/>
      <c r="AZ1325" s="441"/>
      <c r="BA1325" s="441"/>
      <c r="BB1325" s="441"/>
      <c r="BC1325" s="441"/>
      <c r="BD1325" s="441"/>
      <c r="BE1325" s="441"/>
      <c r="BF1325" s="441"/>
    </row>
    <row r="1326">
      <c r="A1326" s="798"/>
      <c r="B1326" s="795"/>
      <c r="C1326" s="795"/>
      <c r="D1326" s="795"/>
      <c r="E1326" s="795"/>
      <c r="F1326" s="795"/>
      <c r="G1326" s="795"/>
      <c r="H1326" s="795"/>
      <c r="I1326" s="796"/>
      <c r="J1326" s="441"/>
      <c r="K1326" s="441"/>
      <c r="L1326" s="797"/>
      <c r="M1326" s="441"/>
      <c r="N1326" s="441"/>
      <c r="O1326" s="441"/>
      <c r="P1326" s="441"/>
      <c r="Q1326" s="441"/>
      <c r="R1326" s="426"/>
      <c r="S1326" s="441"/>
      <c r="T1326" s="441"/>
      <c r="U1326" s="441"/>
      <c r="V1326" s="441"/>
      <c r="W1326" s="441"/>
      <c r="X1326" s="441"/>
      <c r="Y1326" s="441"/>
      <c r="Z1326" s="441"/>
      <c r="AA1326" s="441"/>
      <c r="AB1326" s="441"/>
      <c r="AC1326" s="441"/>
      <c r="AD1326" s="441"/>
      <c r="AE1326" s="441"/>
      <c r="AF1326" s="441"/>
      <c r="AG1326" s="441"/>
      <c r="AH1326" s="441"/>
      <c r="AI1326" s="441"/>
      <c r="AJ1326" s="441"/>
      <c r="AK1326" s="441"/>
      <c r="AL1326" s="441"/>
      <c r="AM1326" s="441"/>
      <c r="AN1326" s="441"/>
      <c r="AO1326" s="441"/>
      <c r="AP1326" s="441"/>
      <c r="AQ1326" s="441"/>
      <c r="AR1326" s="441"/>
      <c r="AS1326" s="441"/>
      <c r="AT1326" s="441"/>
      <c r="AU1326" s="441"/>
      <c r="AV1326" s="441"/>
      <c r="AW1326" s="441"/>
      <c r="AX1326" s="441"/>
      <c r="AY1326" s="441"/>
      <c r="AZ1326" s="441"/>
      <c r="BA1326" s="441"/>
      <c r="BB1326" s="441"/>
      <c r="BC1326" s="441"/>
      <c r="BD1326" s="441"/>
      <c r="BE1326" s="441"/>
      <c r="BF1326" s="441"/>
    </row>
    <row r="1327">
      <c r="A1327" s="798"/>
      <c r="B1327" s="795"/>
      <c r="C1327" s="795"/>
      <c r="D1327" s="795"/>
      <c r="E1327" s="795"/>
      <c r="F1327" s="795"/>
      <c r="G1327" s="795"/>
      <c r="H1327" s="795"/>
      <c r="I1327" s="796"/>
      <c r="J1327" s="441"/>
      <c r="K1327" s="441"/>
      <c r="L1327" s="797"/>
      <c r="M1327" s="441"/>
      <c r="N1327" s="441"/>
      <c r="O1327" s="441"/>
      <c r="P1327" s="441"/>
      <c r="Q1327" s="441"/>
      <c r="R1327" s="426"/>
      <c r="S1327" s="441"/>
      <c r="T1327" s="441"/>
      <c r="U1327" s="441"/>
      <c r="V1327" s="441"/>
      <c r="W1327" s="441"/>
      <c r="X1327" s="441"/>
      <c r="Y1327" s="441"/>
      <c r="Z1327" s="441"/>
      <c r="AA1327" s="441"/>
      <c r="AB1327" s="441"/>
      <c r="AC1327" s="441"/>
      <c r="AD1327" s="441"/>
      <c r="AE1327" s="441"/>
      <c r="AF1327" s="441"/>
      <c r="AG1327" s="441"/>
      <c r="AH1327" s="441"/>
      <c r="AI1327" s="441"/>
      <c r="AJ1327" s="441"/>
      <c r="AK1327" s="441"/>
      <c r="AL1327" s="441"/>
      <c r="AM1327" s="441"/>
      <c r="AN1327" s="441"/>
      <c r="AO1327" s="441"/>
      <c r="AP1327" s="441"/>
      <c r="AQ1327" s="441"/>
      <c r="AR1327" s="441"/>
      <c r="AS1327" s="441"/>
      <c r="AT1327" s="441"/>
      <c r="AU1327" s="441"/>
      <c r="AV1327" s="441"/>
      <c r="AW1327" s="441"/>
      <c r="AX1327" s="441"/>
      <c r="AY1327" s="441"/>
      <c r="AZ1327" s="441"/>
      <c r="BA1327" s="441"/>
      <c r="BB1327" s="441"/>
      <c r="BC1327" s="441"/>
      <c r="BD1327" s="441"/>
      <c r="BE1327" s="441"/>
      <c r="BF1327" s="441"/>
    </row>
    <row r="1328">
      <c r="A1328" s="798"/>
      <c r="B1328" s="795"/>
      <c r="C1328" s="795"/>
      <c r="D1328" s="795"/>
      <c r="E1328" s="795"/>
      <c r="F1328" s="795"/>
      <c r="G1328" s="795"/>
      <c r="H1328" s="795"/>
      <c r="I1328" s="796"/>
      <c r="J1328" s="441"/>
      <c r="K1328" s="441"/>
      <c r="L1328" s="797"/>
      <c r="M1328" s="441"/>
      <c r="N1328" s="441"/>
      <c r="O1328" s="441"/>
      <c r="P1328" s="441"/>
      <c r="Q1328" s="441"/>
      <c r="R1328" s="426"/>
      <c r="S1328" s="441"/>
      <c r="T1328" s="441"/>
      <c r="U1328" s="441"/>
      <c r="V1328" s="441"/>
      <c r="W1328" s="441"/>
      <c r="X1328" s="441"/>
      <c r="Y1328" s="441"/>
      <c r="Z1328" s="441"/>
      <c r="AA1328" s="441"/>
      <c r="AB1328" s="441"/>
      <c r="AC1328" s="441"/>
      <c r="AD1328" s="441"/>
      <c r="AE1328" s="441"/>
      <c r="AF1328" s="441"/>
      <c r="AG1328" s="441"/>
      <c r="AH1328" s="441"/>
      <c r="AI1328" s="441"/>
      <c r="AJ1328" s="441"/>
      <c r="AK1328" s="441"/>
      <c r="AL1328" s="441"/>
      <c r="AM1328" s="441"/>
      <c r="AN1328" s="441"/>
      <c r="AO1328" s="441"/>
      <c r="AP1328" s="441"/>
      <c r="AQ1328" s="441"/>
      <c r="AR1328" s="441"/>
      <c r="AS1328" s="441"/>
      <c r="AT1328" s="441"/>
      <c r="AU1328" s="441"/>
      <c r="AV1328" s="441"/>
      <c r="AW1328" s="441"/>
      <c r="AX1328" s="441"/>
      <c r="AY1328" s="441"/>
      <c r="AZ1328" s="441"/>
      <c r="BA1328" s="441"/>
      <c r="BB1328" s="441"/>
      <c r="BC1328" s="441"/>
      <c r="BD1328" s="441"/>
      <c r="BE1328" s="441"/>
      <c r="BF1328" s="441"/>
    </row>
    <row r="1329">
      <c r="A1329" s="798"/>
      <c r="B1329" s="795"/>
      <c r="C1329" s="795"/>
      <c r="D1329" s="795"/>
      <c r="E1329" s="795"/>
      <c r="F1329" s="795"/>
      <c r="G1329" s="795"/>
      <c r="H1329" s="795"/>
      <c r="I1329" s="796"/>
      <c r="J1329" s="441"/>
      <c r="K1329" s="441"/>
      <c r="L1329" s="797"/>
      <c r="M1329" s="441"/>
      <c r="N1329" s="441"/>
      <c r="O1329" s="441"/>
      <c r="P1329" s="441"/>
      <c r="Q1329" s="441"/>
      <c r="R1329" s="426"/>
      <c r="S1329" s="441"/>
      <c r="T1329" s="441"/>
      <c r="U1329" s="441"/>
      <c r="V1329" s="441"/>
      <c r="W1329" s="441"/>
      <c r="X1329" s="441"/>
      <c r="Y1329" s="441"/>
      <c r="Z1329" s="441"/>
      <c r="AA1329" s="441"/>
      <c r="AB1329" s="441"/>
      <c r="AC1329" s="441"/>
      <c r="AD1329" s="441"/>
      <c r="AE1329" s="441"/>
      <c r="AF1329" s="441"/>
      <c r="AG1329" s="441"/>
      <c r="AH1329" s="441"/>
      <c r="AI1329" s="441"/>
      <c r="AJ1329" s="441"/>
      <c r="AK1329" s="441"/>
      <c r="AL1329" s="441"/>
      <c r="AM1329" s="441"/>
      <c r="AN1329" s="441"/>
      <c r="AO1329" s="441"/>
      <c r="AP1329" s="441"/>
      <c r="AQ1329" s="441"/>
      <c r="AR1329" s="441"/>
      <c r="AS1329" s="441"/>
      <c r="AT1329" s="441"/>
      <c r="AU1329" s="441"/>
      <c r="AV1329" s="441"/>
      <c r="AW1329" s="441"/>
      <c r="AX1329" s="441"/>
      <c r="AY1329" s="441"/>
      <c r="AZ1329" s="441"/>
      <c r="BA1329" s="441"/>
      <c r="BB1329" s="441"/>
      <c r="BC1329" s="441"/>
      <c r="BD1329" s="441"/>
      <c r="BE1329" s="441"/>
      <c r="BF1329" s="441"/>
    </row>
    <row r="1330">
      <c r="A1330" s="798"/>
      <c r="B1330" s="795"/>
      <c r="C1330" s="795"/>
      <c r="D1330" s="795"/>
      <c r="E1330" s="795"/>
      <c r="F1330" s="795"/>
      <c r="G1330" s="795"/>
      <c r="H1330" s="795"/>
      <c r="I1330" s="796"/>
      <c r="J1330" s="441"/>
      <c r="K1330" s="441"/>
      <c r="L1330" s="797"/>
      <c r="M1330" s="441"/>
      <c r="N1330" s="441"/>
      <c r="O1330" s="441"/>
      <c r="P1330" s="441"/>
      <c r="Q1330" s="441"/>
      <c r="R1330" s="426"/>
      <c r="S1330" s="441"/>
      <c r="T1330" s="441"/>
      <c r="U1330" s="441"/>
      <c r="V1330" s="441"/>
      <c r="W1330" s="441"/>
      <c r="X1330" s="441"/>
      <c r="Y1330" s="441"/>
      <c r="Z1330" s="441"/>
      <c r="AA1330" s="441"/>
      <c r="AB1330" s="441"/>
      <c r="AC1330" s="441"/>
      <c r="AD1330" s="441"/>
      <c r="AE1330" s="441"/>
      <c r="AF1330" s="441"/>
      <c r="AG1330" s="441"/>
      <c r="AH1330" s="441"/>
      <c r="AI1330" s="441"/>
      <c r="AJ1330" s="441"/>
      <c r="AK1330" s="441"/>
      <c r="AL1330" s="441"/>
      <c r="AM1330" s="441"/>
      <c r="AN1330" s="441"/>
      <c r="AO1330" s="441"/>
      <c r="AP1330" s="441"/>
      <c r="AQ1330" s="441"/>
      <c r="AR1330" s="441"/>
      <c r="AS1330" s="441"/>
      <c r="AT1330" s="441"/>
      <c r="AU1330" s="441"/>
      <c r="AV1330" s="441"/>
      <c r="AW1330" s="441"/>
      <c r="AX1330" s="441"/>
      <c r="AY1330" s="441"/>
      <c r="AZ1330" s="441"/>
      <c r="BA1330" s="441"/>
      <c r="BB1330" s="441"/>
      <c r="BC1330" s="441"/>
      <c r="BD1330" s="441"/>
      <c r="BE1330" s="441"/>
      <c r="BF1330" s="441"/>
    </row>
    <row r="1331">
      <c r="A1331" s="798"/>
      <c r="B1331" s="795"/>
      <c r="C1331" s="795"/>
      <c r="D1331" s="795"/>
      <c r="E1331" s="795"/>
      <c r="F1331" s="795"/>
      <c r="G1331" s="795"/>
      <c r="H1331" s="795"/>
      <c r="I1331" s="796"/>
      <c r="J1331" s="441"/>
      <c r="K1331" s="441"/>
      <c r="L1331" s="797"/>
      <c r="M1331" s="441"/>
      <c r="N1331" s="441"/>
      <c r="O1331" s="441"/>
      <c r="P1331" s="441"/>
      <c r="Q1331" s="441"/>
      <c r="R1331" s="426"/>
      <c r="S1331" s="441"/>
      <c r="T1331" s="441"/>
      <c r="U1331" s="441"/>
      <c r="V1331" s="441"/>
      <c r="W1331" s="441"/>
      <c r="X1331" s="441"/>
      <c r="Y1331" s="441"/>
      <c r="Z1331" s="441"/>
      <c r="AA1331" s="441"/>
      <c r="AB1331" s="441"/>
      <c r="AC1331" s="441"/>
      <c r="AD1331" s="441"/>
      <c r="AE1331" s="441"/>
      <c r="AF1331" s="441"/>
      <c r="AG1331" s="441"/>
      <c r="AH1331" s="441"/>
      <c r="AI1331" s="441"/>
      <c r="AJ1331" s="441"/>
      <c r="AK1331" s="441"/>
      <c r="AL1331" s="441"/>
      <c r="AM1331" s="441"/>
      <c r="AN1331" s="441"/>
      <c r="AO1331" s="441"/>
      <c r="AP1331" s="441"/>
      <c r="AQ1331" s="441"/>
      <c r="AR1331" s="441"/>
      <c r="AS1331" s="441"/>
      <c r="AT1331" s="441"/>
      <c r="AU1331" s="441"/>
      <c r="AV1331" s="441"/>
      <c r="AW1331" s="441"/>
      <c r="AX1331" s="441"/>
      <c r="AY1331" s="441"/>
      <c r="AZ1331" s="441"/>
      <c r="BA1331" s="441"/>
      <c r="BB1331" s="441"/>
      <c r="BC1331" s="441"/>
      <c r="BD1331" s="441"/>
      <c r="BE1331" s="441"/>
      <c r="BF1331" s="441"/>
    </row>
    <row r="1332">
      <c r="A1332" s="798"/>
      <c r="B1332" s="795"/>
      <c r="C1332" s="795"/>
      <c r="D1332" s="795"/>
      <c r="E1332" s="795"/>
      <c r="F1332" s="795"/>
      <c r="G1332" s="795"/>
      <c r="H1332" s="795"/>
      <c r="I1332" s="796"/>
      <c r="J1332" s="441"/>
      <c r="K1332" s="441"/>
      <c r="L1332" s="797"/>
      <c r="M1332" s="441"/>
      <c r="N1332" s="441"/>
      <c r="O1332" s="441"/>
      <c r="P1332" s="441"/>
      <c r="Q1332" s="441"/>
      <c r="R1332" s="426"/>
      <c r="S1332" s="441"/>
      <c r="T1332" s="441"/>
      <c r="U1332" s="441"/>
      <c r="V1332" s="441"/>
      <c r="W1332" s="441"/>
      <c r="X1332" s="441"/>
      <c r="Y1332" s="441"/>
      <c r="Z1332" s="441"/>
      <c r="AA1332" s="441"/>
      <c r="AB1332" s="441"/>
      <c r="AC1332" s="441"/>
      <c r="AD1332" s="441"/>
      <c r="AE1332" s="441"/>
      <c r="AF1332" s="441"/>
      <c r="AG1332" s="441"/>
      <c r="AH1332" s="441"/>
      <c r="AI1332" s="441"/>
      <c r="AJ1332" s="441"/>
      <c r="AK1332" s="441"/>
      <c r="AL1332" s="441"/>
      <c r="AM1332" s="441"/>
      <c r="AN1332" s="441"/>
      <c r="AO1332" s="441"/>
      <c r="AP1332" s="441"/>
      <c r="AQ1332" s="441"/>
      <c r="AR1332" s="441"/>
      <c r="AS1332" s="441"/>
      <c r="AT1332" s="441"/>
      <c r="AU1332" s="441"/>
      <c r="AV1332" s="441"/>
      <c r="AW1332" s="441"/>
      <c r="AX1332" s="441"/>
      <c r="AY1332" s="441"/>
      <c r="AZ1332" s="441"/>
      <c r="BA1332" s="441"/>
      <c r="BB1332" s="441"/>
      <c r="BC1332" s="441"/>
      <c r="BD1332" s="441"/>
      <c r="BE1332" s="441"/>
      <c r="BF1332" s="441"/>
    </row>
    <row r="1333">
      <c r="A1333" s="798"/>
      <c r="B1333" s="795"/>
      <c r="C1333" s="795"/>
      <c r="D1333" s="795"/>
      <c r="E1333" s="795"/>
      <c r="F1333" s="795"/>
      <c r="G1333" s="795"/>
      <c r="H1333" s="795"/>
      <c r="I1333" s="796"/>
      <c r="J1333" s="441"/>
      <c r="K1333" s="441"/>
      <c r="L1333" s="797"/>
      <c r="M1333" s="441"/>
      <c r="N1333" s="441"/>
      <c r="O1333" s="441"/>
      <c r="P1333" s="441"/>
      <c r="Q1333" s="441"/>
      <c r="R1333" s="426"/>
      <c r="S1333" s="441"/>
      <c r="T1333" s="441"/>
      <c r="U1333" s="441"/>
      <c r="V1333" s="441"/>
      <c r="W1333" s="441"/>
      <c r="X1333" s="441"/>
      <c r="Y1333" s="441"/>
      <c r="Z1333" s="441"/>
      <c r="AA1333" s="441"/>
      <c r="AB1333" s="441"/>
      <c r="AC1333" s="441"/>
      <c r="AD1333" s="441"/>
      <c r="AE1333" s="441"/>
      <c r="AF1333" s="441"/>
      <c r="AG1333" s="441"/>
      <c r="AH1333" s="441"/>
      <c r="AI1333" s="441"/>
      <c r="AJ1333" s="441"/>
      <c r="AK1333" s="441"/>
      <c r="AL1333" s="441"/>
      <c r="AM1333" s="441"/>
      <c r="AN1333" s="441"/>
      <c r="AO1333" s="441"/>
      <c r="AP1333" s="441"/>
      <c r="AQ1333" s="441"/>
      <c r="AR1333" s="441"/>
      <c r="AS1333" s="441"/>
      <c r="AT1333" s="441"/>
      <c r="AU1333" s="441"/>
      <c r="AV1333" s="441"/>
      <c r="AW1333" s="441"/>
      <c r="AX1333" s="441"/>
      <c r="AY1333" s="441"/>
      <c r="AZ1333" s="441"/>
      <c r="BA1333" s="441"/>
      <c r="BB1333" s="441"/>
      <c r="BC1333" s="441"/>
      <c r="BD1333" s="441"/>
      <c r="BE1333" s="441"/>
      <c r="BF1333" s="441"/>
    </row>
    <row r="1334">
      <c r="A1334" s="798"/>
      <c r="B1334" s="795"/>
      <c r="C1334" s="795"/>
      <c r="D1334" s="795"/>
      <c r="E1334" s="795"/>
      <c r="F1334" s="795"/>
      <c r="G1334" s="795"/>
      <c r="H1334" s="795"/>
      <c r="I1334" s="796"/>
      <c r="J1334" s="441"/>
      <c r="K1334" s="441"/>
      <c r="L1334" s="797"/>
      <c r="M1334" s="441"/>
      <c r="N1334" s="441"/>
      <c r="O1334" s="441"/>
      <c r="P1334" s="441"/>
      <c r="Q1334" s="441"/>
      <c r="R1334" s="426"/>
      <c r="S1334" s="441"/>
      <c r="T1334" s="441"/>
      <c r="U1334" s="441"/>
      <c r="V1334" s="441"/>
      <c r="W1334" s="441"/>
      <c r="X1334" s="441"/>
      <c r="Y1334" s="441"/>
      <c r="Z1334" s="441"/>
      <c r="AA1334" s="441"/>
      <c r="AB1334" s="441"/>
      <c r="AC1334" s="441"/>
      <c r="AD1334" s="441"/>
      <c r="AE1334" s="441"/>
      <c r="AF1334" s="441"/>
      <c r="AG1334" s="441"/>
      <c r="AH1334" s="441"/>
      <c r="AI1334" s="441"/>
      <c r="AJ1334" s="441"/>
      <c r="AK1334" s="441"/>
      <c r="AL1334" s="441"/>
      <c r="AM1334" s="441"/>
      <c r="AN1334" s="441"/>
      <c r="AO1334" s="441"/>
      <c r="AP1334" s="441"/>
      <c r="AQ1334" s="441"/>
      <c r="AR1334" s="441"/>
      <c r="AS1334" s="441"/>
      <c r="AT1334" s="441"/>
      <c r="AU1334" s="441"/>
      <c r="AV1334" s="441"/>
      <c r="AW1334" s="441"/>
      <c r="AX1334" s="441"/>
      <c r="AY1334" s="441"/>
      <c r="AZ1334" s="441"/>
      <c r="BA1334" s="441"/>
      <c r="BB1334" s="441"/>
      <c r="BC1334" s="441"/>
      <c r="BD1334" s="441"/>
      <c r="BE1334" s="441"/>
      <c r="BF1334" s="441"/>
    </row>
    <row r="1335">
      <c r="A1335" s="798"/>
      <c r="B1335" s="795"/>
      <c r="C1335" s="795"/>
      <c r="D1335" s="795"/>
      <c r="E1335" s="795"/>
      <c r="F1335" s="795"/>
      <c r="G1335" s="795"/>
      <c r="H1335" s="795"/>
      <c r="I1335" s="796"/>
      <c r="J1335" s="441"/>
      <c r="K1335" s="441"/>
      <c r="L1335" s="797"/>
      <c r="M1335" s="441"/>
      <c r="N1335" s="441"/>
      <c r="O1335" s="441"/>
      <c r="P1335" s="441"/>
      <c r="Q1335" s="441"/>
      <c r="R1335" s="426"/>
      <c r="S1335" s="441"/>
      <c r="T1335" s="441"/>
      <c r="U1335" s="441"/>
      <c r="V1335" s="441"/>
      <c r="W1335" s="441"/>
      <c r="X1335" s="441"/>
      <c r="Y1335" s="441"/>
      <c r="Z1335" s="441"/>
      <c r="AA1335" s="441"/>
      <c r="AB1335" s="441"/>
      <c r="AC1335" s="441"/>
      <c r="AD1335" s="441"/>
      <c r="AE1335" s="441"/>
      <c r="AF1335" s="441"/>
      <c r="AG1335" s="441"/>
      <c r="AH1335" s="441"/>
      <c r="AI1335" s="441"/>
      <c r="AJ1335" s="441"/>
      <c r="AK1335" s="441"/>
      <c r="AL1335" s="441"/>
      <c r="AM1335" s="441"/>
      <c r="AN1335" s="441"/>
      <c r="AO1335" s="441"/>
      <c r="AP1335" s="441"/>
      <c r="AQ1335" s="441"/>
      <c r="AR1335" s="441"/>
      <c r="AS1335" s="441"/>
      <c r="AT1335" s="441"/>
      <c r="AU1335" s="441"/>
      <c r="AV1335" s="441"/>
      <c r="AW1335" s="441"/>
      <c r="AX1335" s="441"/>
      <c r="AY1335" s="441"/>
      <c r="AZ1335" s="441"/>
      <c r="BA1335" s="441"/>
      <c r="BB1335" s="441"/>
      <c r="BC1335" s="441"/>
      <c r="BD1335" s="441"/>
      <c r="BE1335" s="441"/>
      <c r="BF1335" s="441"/>
    </row>
    <row r="1336">
      <c r="A1336" s="798"/>
      <c r="B1336" s="795"/>
      <c r="C1336" s="795"/>
      <c r="D1336" s="795"/>
      <c r="E1336" s="795"/>
      <c r="F1336" s="795"/>
      <c r="G1336" s="795"/>
      <c r="H1336" s="795"/>
      <c r="I1336" s="796"/>
      <c r="J1336" s="441"/>
      <c r="K1336" s="441"/>
      <c r="L1336" s="797"/>
      <c r="M1336" s="441"/>
      <c r="N1336" s="441"/>
      <c r="O1336" s="441"/>
      <c r="P1336" s="441"/>
      <c r="Q1336" s="441"/>
      <c r="R1336" s="426"/>
      <c r="S1336" s="441"/>
      <c r="T1336" s="441"/>
      <c r="U1336" s="441"/>
      <c r="V1336" s="441"/>
      <c r="W1336" s="441"/>
      <c r="X1336" s="441"/>
      <c r="Y1336" s="441"/>
      <c r="Z1336" s="441"/>
      <c r="AA1336" s="441"/>
      <c r="AB1336" s="441"/>
      <c r="AC1336" s="441"/>
      <c r="AD1336" s="441"/>
      <c r="AE1336" s="441"/>
      <c r="AF1336" s="441"/>
      <c r="AG1336" s="441"/>
      <c r="AH1336" s="441"/>
      <c r="AI1336" s="441"/>
      <c r="AJ1336" s="441"/>
      <c r="AK1336" s="441"/>
      <c r="AL1336" s="441"/>
      <c r="AM1336" s="441"/>
      <c r="AN1336" s="441"/>
      <c r="AO1336" s="441"/>
      <c r="AP1336" s="441"/>
      <c r="AQ1336" s="441"/>
      <c r="AR1336" s="441"/>
      <c r="AS1336" s="441"/>
      <c r="AT1336" s="441"/>
      <c r="AU1336" s="441"/>
      <c r="AV1336" s="441"/>
      <c r="AW1336" s="441"/>
      <c r="AX1336" s="441"/>
      <c r="AY1336" s="441"/>
      <c r="AZ1336" s="441"/>
      <c r="BA1336" s="441"/>
      <c r="BB1336" s="441"/>
      <c r="BC1336" s="441"/>
      <c r="BD1336" s="441"/>
      <c r="BE1336" s="441"/>
      <c r="BF1336" s="441"/>
    </row>
    <row r="1337">
      <c r="A1337" s="798"/>
      <c r="B1337" s="795"/>
      <c r="C1337" s="795"/>
      <c r="D1337" s="795"/>
      <c r="E1337" s="795"/>
      <c r="F1337" s="795"/>
      <c r="G1337" s="795"/>
      <c r="H1337" s="795"/>
      <c r="I1337" s="796"/>
      <c r="J1337" s="441"/>
      <c r="K1337" s="441"/>
      <c r="L1337" s="797"/>
      <c r="M1337" s="441"/>
      <c r="N1337" s="441"/>
      <c r="O1337" s="441"/>
      <c r="P1337" s="441"/>
      <c r="Q1337" s="441"/>
      <c r="R1337" s="426"/>
      <c r="S1337" s="441"/>
      <c r="T1337" s="441"/>
      <c r="U1337" s="441"/>
      <c r="V1337" s="441"/>
      <c r="W1337" s="441"/>
      <c r="X1337" s="441"/>
      <c r="Y1337" s="441"/>
      <c r="Z1337" s="441"/>
      <c r="AA1337" s="441"/>
      <c r="AB1337" s="441"/>
      <c r="AC1337" s="441"/>
      <c r="AD1337" s="441"/>
      <c r="AE1337" s="441"/>
      <c r="AF1337" s="441"/>
      <c r="AG1337" s="441"/>
      <c r="AH1337" s="441"/>
      <c r="AI1337" s="441"/>
      <c r="AJ1337" s="441"/>
      <c r="AK1337" s="441"/>
      <c r="AL1337" s="441"/>
      <c r="AM1337" s="441"/>
      <c r="AN1337" s="441"/>
      <c r="AO1337" s="441"/>
      <c r="AP1337" s="441"/>
      <c r="AQ1337" s="441"/>
      <c r="AR1337" s="441"/>
      <c r="AS1337" s="441"/>
      <c r="AT1337" s="441"/>
      <c r="AU1337" s="441"/>
      <c r="AV1337" s="441"/>
      <c r="AW1337" s="441"/>
      <c r="AX1337" s="441"/>
      <c r="AY1337" s="441"/>
      <c r="AZ1337" s="441"/>
      <c r="BA1337" s="441"/>
      <c r="BB1337" s="441"/>
      <c r="BC1337" s="441"/>
      <c r="BD1337" s="441"/>
      <c r="BE1337" s="441"/>
      <c r="BF1337" s="441"/>
    </row>
    <row r="1338">
      <c r="A1338" s="798"/>
      <c r="B1338" s="795"/>
      <c r="C1338" s="795"/>
      <c r="D1338" s="795"/>
      <c r="E1338" s="795"/>
      <c r="F1338" s="795"/>
      <c r="G1338" s="795"/>
      <c r="H1338" s="795"/>
      <c r="I1338" s="796"/>
      <c r="J1338" s="441"/>
      <c r="K1338" s="441"/>
      <c r="L1338" s="797"/>
      <c r="M1338" s="441"/>
      <c r="N1338" s="441"/>
      <c r="O1338" s="441"/>
      <c r="P1338" s="441"/>
      <c r="Q1338" s="441"/>
      <c r="R1338" s="426"/>
      <c r="S1338" s="441"/>
      <c r="T1338" s="441"/>
      <c r="U1338" s="441"/>
      <c r="V1338" s="441"/>
      <c r="W1338" s="441"/>
      <c r="X1338" s="441"/>
      <c r="Y1338" s="441"/>
      <c r="Z1338" s="441"/>
      <c r="AA1338" s="441"/>
      <c r="AB1338" s="441"/>
      <c r="AC1338" s="441"/>
      <c r="AD1338" s="441"/>
      <c r="AE1338" s="441"/>
      <c r="AF1338" s="441"/>
      <c r="AG1338" s="441"/>
      <c r="AH1338" s="441"/>
      <c r="AI1338" s="441"/>
      <c r="AJ1338" s="441"/>
      <c r="AK1338" s="441"/>
      <c r="AL1338" s="441"/>
      <c r="AM1338" s="441"/>
      <c r="AN1338" s="441"/>
      <c r="AO1338" s="441"/>
      <c r="AP1338" s="441"/>
      <c r="AQ1338" s="441"/>
      <c r="AR1338" s="441"/>
      <c r="AS1338" s="441"/>
      <c r="AT1338" s="441"/>
      <c r="AU1338" s="441"/>
      <c r="AV1338" s="441"/>
      <c r="AW1338" s="441"/>
      <c r="AX1338" s="441"/>
      <c r="AY1338" s="441"/>
      <c r="AZ1338" s="441"/>
      <c r="BA1338" s="441"/>
      <c r="BB1338" s="441"/>
      <c r="BC1338" s="441"/>
      <c r="BD1338" s="441"/>
      <c r="BE1338" s="441"/>
      <c r="BF1338" s="441"/>
    </row>
    <row r="1339">
      <c r="A1339" s="798"/>
      <c r="B1339" s="795"/>
      <c r="C1339" s="795"/>
      <c r="D1339" s="795"/>
      <c r="E1339" s="795"/>
      <c r="F1339" s="795"/>
      <c r="G1339" s="795"/>
      <c r="H1339" s="795"/>
      <c r="I1339" s="796"/>
      <c r="J1339" s="441"/>
      <c r="K1339" s="441"/>
      <c r="L1339" s="797"/>
      <c r="M1339" s="441"/>
      <c r="N1339" s="441"/>
      <c r="O1339" s="441"/>
      <c r="P1339" s="441"/>
      <c r="Q1339" s="441"/>
      <c r="R1339" s="426"/>
      <c r="S1339" s="441"/>
      <c r="T1339" s="441"/>
      <c r="U1339" s="441"/>
      <c r="V1339" s="441"/>
      <c r="W1339" s="441"/>
      <c r="X1339" s="441"/>
      <c r="Y1339" s="441"/>
      <c r="Z1339" s="441"/>
      <c r="AA1339" s="441"/>
      <c r="AB1339" s="441"/>
      <c r="AC1339" s="441"/>
      <c r="AD1339" s="441"/>
      <c r="AE1339" s="441"/>
      <c r="AF1339" s="441"/>
      <c r="AG1339" s="441"/>
      <c r="AH1339" s="441"/>
      <c r="AI1339" s="441"/>
      <c r="AJ1339" s="441"/>
      <c r="AK1339" s="441"/>
      <c r="AL1339" s="441"/>
      <c r="AM1339" s="441"/>
      <c r="AN1339" s="441"/>
      <c r="AO1339" s="441"/>
      <c r="AP1339" s="441"/>
      <c r="AQ1339" s="441"/>
      <c r="AR1339" s="441"/>
      <c r="AS1339" s="441"/>
      <c r="AT1339" s="441"/>
      <c r="AU1339" s="441"/>
      <c r="AV1339" s="441"/>
      <c r="AW1339" s="441"/>
      <c r="AX1339" s="441"/>
      <c r="AY1339" s="441"/>
      <c r="AZ1339" s="441"/>
      <c r="BA1339" s="441"/>
      <c r="BB1339" s="441"/>
      <c r="BC1339" s="441"/>
      <c r="BD1339" s="441"/>
      <c r="BE1339" s="441"/>
      <c r="BF1339" s="441"/>
    </row>
    <row r="1340">
      <c r="A1340" s="798"/>
      <c r="B1340" s="795"/>
      <c r="C1340" s="795"/>
      <c r="D1340" s="795"/>
      <c r="E1340" s="795"/>
      <c r="F1340" s="795"/>
      <c r="G1340" s="795"/>
      <c r="H1340" s="795"/>
      <c r="I1340" s="796"/>
      <c r="J1340" s="441"/>
      <c r="K1340" s="441"/>
      <c r="L1340" s="797"/>
      <c r="M1340" s="441"/>
      <c r="N1340" s="441"/>
      <c r="O1340" s="441"/>
      <c r="P1340" s="441"/>
      <c r="Q1340" s="441"/>
      <c r="R1340" s="426"/>
      <c r="S1340" s="441"/>
      <c r="T1340" s="441"/>
      <c r="U1340" s="441"/>
      <c r="V1340" s="441"/>
      <c r="W1340" s="441"/>
      <c r="X1340" s="441"/>
      <c r="Y1340" s="441"/>
      <c r="Z1340" s="441"/>
      <c r="AA1340" s="441"/>
      <c r="AB1340" s="441"/>
      <c r="AC1340" s="441"/>
      <c r="AD1340" s="441"/>
      <c r="AE1340" s="441"/>
      <c r="AF1340" s="441"/>
      <c r="AG1340" s="441"/>
      <c r="AH1340" s="441"/>
      <c r="AI1340" s="441"/>
      <c r="AJ1340" s="441"/>
      <c r="AK1340" s="441"/>
      <c r="AL1340" s="441"/>
      <c r="AM1340" s="441"/>
      <c r="AN1340" s="441"/>
      <c r="AO1340" s="441"/>
      <c r="AP1340" s="441"/>
      <c r="AQ1340" s="441"/>
      <c r="AR1340" s="441"/>
      <c r="AS1340" s="441"/>
      <c r="AT1340" s="441"/>
      <c r="AU1340" s="441"/>
      <c r="AV1340" s="441"/>
      <c r="AW1340" s="441"/>
      <c r="AX1340" s="441"/>
      <c r="AY1340" s="441"/>
      <c r="AZ1340" s="441"/>
      <c r="BA1340" s="441"/>
      <c r="BB1340" s="441"/>
      <c r="BC1340" s="441"/>
      <c r="BD1340" s="441"/>
      <c r="BE1340" s="441"/>
      <c r="BF1340" s="441"/>
    </row>
    <row r="1341">
      <c r="A1341" s="798"/>
      <c r="B1341" s="795"/>
      <c r="C1341" s="795"/>
      <c r="D1341" s="795"/>
      <c r="E1341" s="795"/>
      <c r="F1341" s="795"/>
      <c r="G1341" s="795"/>
      <c r="H1341" s="795"/>
      <c r="I1341" s="796"/>
      <c r="J1341" s="441"/>
      <c r="K1341" s="441"/>
      <c r="L1341" s="797"/>
      <c r="M1341" s="441"/>
      <c r="N1341" s="441"/>
      <c r="O1341" s="441"/>
      <c r="P1341" s="441"/>
      <c r="Q1341" s="441"/>
      <c r="R1341" s="426"/>
      <c r="S1341" s="441"/>
      <c r="T1341" s="441"/>
      <c r="U1341" s="441"/>
      <c r="V1341" s="441"/>
      <c r="W1341" s="441"/>
      <c r="X1341" s="441"/>
      <c r="Y1341" s="441"/>
      <c r="Z1341" s="441"/>
      <c r="AA1341" s="441"/>
      <c r="AB1341" s="441"/>
      <c r="AC1341" s="441"/>
      <c r="AD1341" s="441"/>
      <c r="AE1341" s="441"/>
      <c r="AF1341" s="441"/>
      <c r="AG1341" s="441"/>
      <c r="AH1341" s="441"/>
      <c r="AI1341" s="441"/>
      <c r="AJ1341" s="441"/>
      <c r="AK1341" s="441"/>
      <c r="AL1341" s="441"/>
      <c r="AM1341" s="441"/>
      <c r="AN1341" s="441"/>
      <c r="AO1341" s="441"/>
      <c r="AP1341" s="441"/>
      <c r="AQ1341" s="441"/>
      <c r="AR1341" s="441"/>
      <c r="AS1341" s="441"/>
      <c r="AT1341" s="441"/>
      <c r="AU1341" s="441"/>
      <c r="AV1341" s="441"/>
      <c r="AW1341" s="441"/>
      <c r="AX1341" s="441"/>
      <c r="AY1341" s="441"/>
      <c r="AZ1341" s="441"/>
      <c r="BA1341" s="441"/>
      <c r="BB1341" s="441"/>
      <c r="BC1341" s="441"/>
      <c r="BD1341" s="441"/>
      <c r="BE1341" s="441"/>
      <c r="BF1341" s="441"/>
    </row>
    <row r="1342">
      <c r="A1342" s="798"/>
      <c r="B1342" s="795"/>
      <c r="C1342" s="795"/>
      <c r="D1342" s="795"/>
      <c r="E1342" s="795"/>
      <c r="F1342" s="795"/>
      <c r="G1342" s="795"/>
      <c r="H1342" s="795"/>
      <c r="I1342" s="796"/>
      <c r="J1342" s="441"/>
      <c r="K1342" s="441"/>
      <c r="L1342" s="797"/>
      <c r="M1342" s="441"/>
      <c r="N1342" s="441"/>
      <c r="O1342" s="441"/>
      <c r="P1342" s="441"/>
      <c r="Q1342" s="441"/>
      <c r="R1342" s="426"/>
      <c r="S1342" s="441"/>
      <c r="T1342" s="441"/>
      <c r="U1342" s="441"/>
      <c r="V1342" s="441"/>
      <c r="W1342" s="441"/>
      <c r="X1342" s="441"/>
      <c r="Y1342" s="441"/>
      <c r="Z1342" s="441"/>
      <c r="AA1342" s="441"/>
      <c r="AB1342" s="441"/>
      <c r="AC1342" s="441"/>
      <c r="AD1342" s="441"/>
      <c r="AE1342" s="441"/>
      <c r="AF1342" s="441"/>
      <c r="AG1342" s="441"/>
      <c r="AH1342" s="441"/>
      <c r="AI1342" s="441"/>
      <c r="AJ1342" s="441"/>
      <c r="AK1342" s="441"/>
      <c r="AL1342" s="441"/>
      <c r="AM1342" s="441"/>
      <c r="AN1342" s="441"/>
      <c r="AO1342" s="441"/>
      <c r="AP1342" s="441"/>
      <c r="AQ1342" s="441"/>
      <c r="AR1342" s="441"/>
      <c r="AS1342" s="441"/>
      <c r="AT1342" s="441"/>
      <c r="AU1342" s="441"/>
      <c r="AV1342" s="441"/>
      <c r="AW1342" s="441"/>
      <c r="AX1342" s="441"/>
      <c r="AY1342" s="441"/>
      <c r="AZ1342" s="441"/>
      <c r="BA1342" s="441"/>
      <c r="BB1342" s="441"/>
      <c r="BC1342" s="441"/>
      <c r="BD1342" s="441"/>
      <c r="BE1342" s="441"/>
      <c r="BF1342" s="441"/>
    </row>
    <row r="1343">
      <c r="A1343" s="798"/>
      <c r="B1343" s="795"/>
      <c r="C1343" s="795"/>
      <c r="D1343" s="795"/>
      <c r="E1343" s="795"/>
      <c r="F1343" s="795"/>
      <c r="G1343" s="795"/>
      <c r="H1343" s="795"/>
      <c r="I1343" s="796"/>
      <c r="J1343" s="441"/>
      <c r="K1343" s="441"/>
      <c r="L1343" s="797"/>
      <c r="M1343" s="441"/>
      <c r="N1343" s="441"/>
      <c r="O1343" s="441"/>
      <c r="P1343" s="441"/>
      <c r="Q1343" s="441"/>
      <c r="R1343" s="426"/>
      <c r="S1343" s="441"/>
      <c r="T1343" s="441"/>
      <c r="U1343" s="441"/>
      <c r="V1343" s="441"/>
      <c r="W1343" s="441"/>
      <c r="X1343" s="441"/>
      <c r="Y1343" s="441"/>
      <c r="Z1343" s="441"/>
      <c r="AA1343" s="441"/>
      <c r="AB1343" s="441"/>
      <c r="AC1343" s="441"/>
      <c r="AD1343" s="441"/>
      <c r="AE1343" s="441"/>
      <c r="AF1343" s="441"/>
      <c r="AG1343" s="441"/>
      <c r="AH1343" s="441"/>
      <c r="AI1343" s="441"/>
      <c r="AJ1343" s="441"/>
      <c r="AK1343" s="441"/>
      <c r="AL1343" s="441"/>
      <c r="AM1343" s="441"/>
      <c r="AN1343" s="441"/>
      <c r="AO1343" s="441"/>
      <c r="AP1343" s="441"/>
      <c r="AQ1343" s="441"/>
      <c r="AR1343" s="441"/>
      <c r="AS1343" s="441"/>
      <c r="AT1343" s="441"/>
      <c r="AU1343" s="441"/>
      <c r="AV1343" s="441"/>
      <c r="AW1343" s="441"/>
      <c r="AX1343" s="441"/>
      <c r="AY1343" s="441"/>
      <c r="AZ1343" s="441"/>
      <c r="BA1343" s="441"/>
      <c r="BB1343" s="441"/>
      <c r="BC1343" s="441"/>
      <c r="BD1343" s="441"/>
      <c r="BE1343" s="441"/>
      <c r="BF1343" s="441"/>
    </row>
    <row r="1344">
      <c r="A1344" s="798"/>
      <c r="B1344" s="795"/>
      <c r="C1344" s="795"/>
      <c r="D1344" s="795"/>
      <c r="E1344" s="795"/>
      <c r="F1344" s="795"/>
      <c r="G1344" s="795"/>
      <c r="H1344" s="795"/>
      <c r="I1344" s="796"/>
      <c r="J1344" s="441"/>
      <c r="K1344" s="441"/>
      <c r="L1344" s="797"/>
      <c r="M1344" s="441"/>
      <c r="N1344" s="441"/>
      <c r="O1344" s="441"/>
      <c r="P1344" s="441"/>
      <c r="Q1344" s="441"/>
      <c r="R1344" s="426"/>
      <c r="S1344" s="441"/>
      <c r="T1344" s="441"/>
      <c r="U1344" s="441"/>
      <c r="V1344" s="441"/>
      <c r="W1344" s="441"/>
      <c r="X1344" s="441"/>
      <c r="Y1344" s="441"/>
      <c r="Z1344" s="441"/>
      <c r="AA1344" s="441"/>
      <c r="AB1344" s="441"/>
      <c r="AC1344" s="441"/>
      <c r="AD1344" s="441"/>
      <c r="AE1344" s="441"/>
      <c r="AF1344" s="441"/>
      <c r="AG1344" s="441"/>
      <c r="AH1344" s="441"/>
      <c r="AI1344" s="441"/>
      <c r="AJ1344" s="441"/>
      <c r="AK1344" s="441"/>
      <c r="AL1344" s="441"/>
      <c r="AM1344" s="441"/>
      <c r="AN1344" s="441"/>
      <c r="AO1344" s="441"/>
      <c r="AP1344" s="441"/>
      <c r="AQ1344" s="441"/>
      <c r="AR1344" s="441"/>
      <c r="AS1344" s="441"/>
      <c r="AT1344" s="441"/>
      <c r="AU1344" s="441"/>
      <c r="AV1344" s="441"/>
      <c r="AW1344" s="441"/>
      <c r="AX1344" s="441"/>
      <c r="AY1344" s="441"/>
      <c r="AZ1344" s="441"/>
      <c r="BA1344" s="441"/>
      <c r="BB1344" s="441"/>
      <c r="BC1344" s="441"/>
      <c r="BD1344" s="441"/>
      <c r="BE1344" s="441"/>
      <c r="BF1344" s="441"/>
    </row>
    <row r="1345">
      <c r="A1345" s="798"/>
      <c r="B1345" s="795"/>
      <c r="C1345" s="795"/>
      <c r="D1345" s="795"/>
      <c r="E1345" s="795"/>
      <c r="F1345" s="795"/>
      <c r="G1345" s="795"/>
      <c r="H1345" s="795"/>
      <c r="I1345" s="796"/>
      <c r="J1345" s="441"/>
      <c r="K1345" s="441"/>
      <c r="L1345" s="797"/>
      <c r="M1345" s="441"/>
      <c r="N1345" s="441"/>
      <c r="O1345" s="441"/>
      <c r="P1345" s="441"/>
      <c r="Q1345" s="441"/>
      <c r="R1345" s="426"/>
      <c r="S1345" s="441"/>
      <c r="T1345" s="441"/>
      <c r="U1345" s="441"/>
      <c r="V1345" s="441"/>
      <c r="W1345" s="441"/>
      <c r="X1345" s="441"/>
      <c r="Y1345" s="441"/>
      <c r="Z1345" s="441"/>
      <c r="AA1345" s="441"/>
      <c r="AB1345" s="441"/>
      <c r="AC1345" s="441"/>
      <c r="AD1345" s="441"/>
      <c r="AE1345" s="441"/>
      <c r="AF1345" s="441"/>
      <c r="AG1345" s="441"/>
      <c r="AH1345" s="441"/>
      <c r="AI1345" s="441"/>
      <c r="AJ1345" s="441"/>
      <c r="AK1345" s="441"/>
      <c r="AL1345" s="441"/>
      <c r="AM1345" s="441"/>
      <c r="AN1345" s="441"/>
      <c r="AO1345" s="441"/>
      <c r="AP1345" s="441"/>
      <c r="AQ1345" s="441"/>
      <c r="AR1345" s="441"/>
      <c r="AS1345" s="441"/>
      <c r="AT1345" s="441"/>
      <c r="AU1345" s="441"/>
      <c r="AV1345" s="441"/>
      <c r="AW1345" s="441"/>
      <c r="AX1345" s="441"/>
      <c r="AY1345" s="441"/>
      <c r="AZ1345" s="441"/>
      <c r="BA1345" s="441"/>
      <c r="BB1345" s="441"/>
      <c r="BC1345" s="441"/>
      <c r="BD1345" s="441"/>
      <c r="BE1345" s="441"/>
      <c r="BF1345" s="441"/>
    </row>
    <row r="1346">
      <c r="A1346" s="798"/>
      <c r="B1346" s="795"/>
      <c r="C1346" s="795"/>
      <c r="D1346" s="795"/>
      <c r="E1346" s="795"/>
      <c r="F1346" s="795"/>
      <c r="G1346" s="795"/>
      <c r="H1346" s="795"/>
      <c r="I1346" s="796"/>
      <c r="J1346" s="441"/>
      <c r="K1346" s="441"/>
      <c r="L1346" s="797"/>
      <c r="M1346" s="441"/>
      <c r="N1346" s="441"/>
      <c r="O1346" s="441"/>
      <c r="P1346" s="441"/>
      <c r="Q1346" s="441"/>
      <c r="R1346" s="426"/>
      <c r="S1346" s="441"/>
      <c r="T1346" s="441"/>
      <c r="U1346" s="441"/>
      <c r="V1346" s="441"/>
      <c r="W1346" s="441"/>
      <c r="X1346" s="441"/>
      <c r="Y1346" s="441"/>
      <c r="Z1346" s="441"/>
      <c r="AA1346" s="441"/>
      <c r="AB1346" s="441"/>
      <c r="AC1346" s="441"/>
      <c r="AD1346" s="441"/>
      <c r="AE1346" s="441"/>
      <c r="AF1346" s="441"/>
      <c r="AG1346" s="441"/>
      <c r="AH1346" s="441"/>
      <c r="AI1346" s="441"/>
      <c r="AJ1346" s="441"/>
      <c r="AK1346" s="441"/>
      <c r="AL1346" s="441"/>
      <c r="AM1346" s="441"/>
      <c r="AN1346" s="441"/>
      <c r="AO1346" s="441"/>
      <c r="AP1346" s="441"/>
      <c r="AQ1346" s="441"/>
      <c r="AR1346" s="441"/>
      <c r="AS1346" s="441"/>
      <c r="AT1346" s="441"/>
      <c r="AU1346" s="441"/>
      <c r="AV1346" s="441"/>
      <c r="AW1346" s="441"/>
      <c r="AX1346" s="441"/>
      <c r="AY1346" s="441"/>
      <c r="AZ1346" s="441"/>
      <c r="BA1346" s="441"/>
      <c r="BB1346" s="441"/>
      <c r="BC1346" s="441"/>
      <c r="BD1346" s="441"/>
      <c r="BE1346" s="441"/>
      <c r="BF1346" s="441"/>
    </row>
    <row r="1347">
      <c r="A1347" s="798"/>
      <c r="B1347" s="795"/>
      <c r="C1347" s="795"/>
      <c r="D1347" s="795"/>
      <c r="E1347" s="795"/>
      <c r="F1347" s="795"/>
      <c r="G1347" s="795"/>
      <c r="H1347" s="795"/>
      <c r="I1347" s="796"/>
      <c r="J1347" s="441"/>
      <c r="K1347" s="441"/>
      <c r="L1347" s="797"/>
      <c r="M1347" s="441"/>
      <c r="N1347" s="441"/>
      <c r="O1347" s="441"/>
      <c r="P1347" s="441"/>
      <c r="Q1347" s="441"/>
      <c r="R1347" s="426"/>
      <c r="S1347" s="441"/>
      <c r="T1347" s="441"/>
      <c r="U1347" s="441"/>
      <c r="V1347" s="441"/>
      <c r="W1347" s="441"/>
      <c r="X1347" s="441"/>
      <c r="Y1347" s="441"/>
      <c r="Z1347" s="441"/>
      <c r="AA1347" s="441"/>
      <c r="AB1347" s="441"/>
      <c r="AC1347" s="441"/>
      <c r="AD1347" s="441"/>
      <c r="AE1347" s="441"/>
      <c r="AF1347" s="441"/>
      <c r="AG1347" s="441"/>
      <c r="AH1347" s="441"/>
      <c r="AI1347" s="441"/>
      <c r="AJ1347" s="441"/>
      <c r="AK1347" s="441"/>
      <c r="AL1347" s="441"/>
      <c r="AM1347" s="441"/>
      <c r="AN1347" s="441"/>
      <c r="AO1347" s="441"/>
      <c r="AP1347" s="441"/>
      <c r="AQ1347" s="441"/>
      <c r="AR1347" s="441"/>
      <c r="AS1347" s="441"/>
      <c r="AT1347" s="441"/>
      <c r="AU1347" s="441"/>
      <c r="AV1347" s="441"/>
      <c r="AW1347" s="441"/>
      <c r="AX1347" s="441"/>
      <c r="AY1347" s="441"/>
      <c r="AZ1347" s="441"/>
      <c r="BA1347" s="441"/>
      <c r="BB1347" s="441"/>
      <c r="BC1347" s="441"/>
      <c r="BD1347" s="441"/>
      <c r="BE1347" s="441"/>
      <c r="BF1347" s="441"/>
    </row>
    <row r="1348">
      <c r="A1348" s="798"/>
      <c r="B1348" s="795"/>
      <c r="C1348" s="795"/>
      <c r="D1348" s="795"/>
      <c r="E1348" s="795"/>
      <c r="F1348" s="795"/>
      <c r="G1348" s="795"/>
      <c r="H1348" s="795"/>
      <c r="I1348" s="796"/>
      <c r="J1348" s="441"/>
      <c r="K1348" s="441"/>
      <c r="L1348" s="797"/>
      <c r="M1348" s="441"/>
      <c r="N1348" s="441"/>
      <c r="O1348" s="441"/>
      <c r="P1348" s="441"/>
      <c r="Q1348" s="441"/>
      <c r="R1348" s="426"/>
      <c r="S1348" s="441"/>
      <c r="T1348" s="441"/>
      <c r="U1348" s="441"/>
      <c r="V1348" s="441"/>
      <c r="W1348" s="441"/>
      <c r="X1348" s="441"/>
      <c r="Y1348" s="441"/>
      <c r="Z1348" s="441"/>
      <c r="AA1348" s="441"/>
      <c r="AB1348" s="441"/>
      <c r="AC1348" s="441"/>
      <c r="AD1348" s="441"/>
      <c r="AE1348" s="441"/>
      <c r="AF1348" s="441"/>
      <c r="AG1348" s="441"/>
      <c r="AH1348" s="441"/>
      <c r="AI1348" s="441"/>
      <c r="AJ1348" s="441"/>
      <c r="AK1348" s="441"/>
      <c r="AL1348" s="441"/>
      <c r="AM1348" s="441"/>
      <c r="AN1348" s="441"/>
      <c r="AO1348" s="441"/>
      <c r="AP1348" s="441"/>
      <c r="AQ1348" s="441"/>
      <c r="AR1348" s="441"/>
      <c r="AS1348" s="441"/>
      <c r="AT1348" s="441"/>
      <c r="AU1348" s="441"/>
      <c r="AV1348" s="441"/>
      <c r="AW1348" s="441"/>
      <c r="AX1348" s="441"/>
      <c r="AY1348" s="441"/>
      <c r="AZ1348" s="441"/>
      <c r="BA1348" s="441"/>
      <c r="BB1348" s="441"/>
      <c r="BC1348" s="441"/>
      <c r="BD1348" s="441"/>
      <c r="BE1348" s="441"/>
      <c r="BF1348" s="441"/>
    </row>
    <row r="1349">
      <c r="A1349" s="798"/>
      <c r="B1349" s="795"/>
      <c r="C1349" s="795"/>
      <c r="D1349" s="795"/>
      <c r="E1349" s="795"/>
      <c r="F1349" s="795"/>
      <c r="G1349" s="795"/>
      <c r="H1349" s="795"/>
      <c r="I1349" s="796"/>
      <c r="J1349" s="441"/>
      <c r="K1349" s="441"/>
      <c r="L1349" s="797"/>
      <c r="M1349" s="441"/>
      <c r="N1349" s="441"/>
      <c r="O1349" s="441"/>
      <c r="P1349" s="441"/>
      <c r="Q1349" s="441"/>
      <c r="R1349" s="426"/>
      <c r="S1349" s="441"/>
      <c r="T1349" s="441"/>
      <c r="U1349" s="441"/>
      <c r="V1349" s="441"/>
      <c r="W1349" s="441"/>
      <c r="X1349" s="441"/>
      <c r="Y1349" s="441"/>
      <c r="Z1349" s="441"/>
      <c r="AA1349" s="441"/>
      <c r="AB1349" s="441"/>
      <c r="AC1349" s="441"/>
      <c r="AD1349" s="441"/>
      <c r="AE1349" s="441"/>
      <c r="AF1349" s="441"/>
      <c r="AG1349" s="441"/>
      <c r="AH1349" s="441"/>
      <c r="AI1349" s="441"/>
      <c r="AJ1349" s="441"/>
      <c r="AK1349" s="441"/>
      <c r="AL1349" s="441"/>
      <c r="AM1349" s="441"/>
      <c r="AN1349" s="441"/>
      <c r="AO1349" s="441"/>
      <c r="AP1349" s="441"/>
      <c r="AQ1349" s="441"/>
      <c r="AR1349" s="441"/>
      <c r="AS1349" s="441"/>
      <c r="AT1349" s="441"/>
      <c r="AU1349" s="441"/>
      <c r="AV1349" s="441"/>
      <c r="AW1349" s="441"/>
      <c r="AX1349" s="441"/>
      <c r="AY1349" s="441"/>
      <c r="AZ1349" s="441"/>
      <c r="BA1349" s="441"/>
      <c r="BB1349" s="441"/>
      <c r="BC1349" s="441"/>
      <c r="BD1349" s="441"/>
      <c r="BE1349" s="441"/>
      <c r="BF1349" s="441"/>
    </row>
    <row r="1350">
      <c r="A1350" s="798"/>
      <c r="B1350" s="795"/>
      <c r="C1350" s="795"/>
      <c r="D1350" s="795"/>
      <c r="E1350" s="795"/>
      <c r="F1350" s="795"/>
      <c r="G1350" s="795"/>
      <c r="H1350" s="795"/>
      <c r="I1350" s="796"/>
      <c r="J1350" s="441"/>
      <c r="K1350" s="441"/>
      <c r="L1350" s="797"/>
      <c r="M1350" s="441"/>
      <c r="N1350" s="441"/>
      <c r="O1350" s="441"/>
      <c r="P1350" s="441"/>
      <c r="Q1350" s="441"/>
      <c r="R1350" s="426"/>
      <c r="S1350" s="441"/>
      <c r="T1350" s="441"/>
      <c r="U1350" s="441"/>
      <c r="V1350" s="441"/>
      <c r="W1350" s="441"/>
      <c r="X1350" s="441"/>
      <c r="Y1350" s="441"/>
      <c r="Z1350" s="441"/>
      <c r="AA1350" s="441"/>
      <c r="AB1350" s="441"/>
      <c r="AC1350" s="441"/>
      <c r="AD1350" s="441"/>
      <c r="AE1350" s="441"/>
      <c r="AF1350" s="441"/>
      <c r="AG1350" s="441"/>
      <c r="AH1350" s="441"/>
      <c r="AI1350" s="441"/>
      <c r="AJ1350" s="441"/>
      <c r="AK1350" s="441"/>
      <c r="AL1350" s="441"/>
      <c r="AM1350" s="441"/>
      <c r="AN1350" s="441"/>
      <c r="AO1350" s="441"/>
      <c r="AP1350" s="441"/>
      <c r="AQ1350" s="441"/>
      <c r="AR1350" s="441"/>
      <c r="AS1350" s="441"/>
      <c r="AT1350" s="441"/>
      <c r="AU1350" s="441"/>
      <c r="AV1350" s="441"/>
      <c r="AW1350" s="441"/>
      <c r="AX1350" s="441"/>
      <c r="AY1350" s="441"/>
      <c r="AZ1350" s="441"/>
      <c r="BA1350" s="441"/>
      <c r="BB1350" s="441"/>
      <c r="BC1350" s="441"/>
      <c r="BD1350" s="441"/>
      <c r="BE1350" s="441"/>
      <c r="BF1350" s="441"/>
    </row>
    <row r="1351">
      <c r="A1351" s="798"/>
      <c r="B1351" s="795"/>
      <c r="C1351" s="795"/>
      <c r="D1351" s="795"/>
      <c r="E1351" s="795"/>
      <c r="F1351" s="795"/>
      <c r="G1351" s="795"/>
      <c r="H1351" s="795"/>
      <c r="I1351" s="796"/>
      <c r="J1351" s="441"/>
      <c r="K1351" s="441"/>
      <c r="L1351" s="797"/>
      <c r="M1351" s="441"/>
      <c r="N1351" s="441"/>
      <c r="O1351" s="441"/>
      <c r="P1351" s="441"/>
      <c r="Q1351" s="441"/>
      <c r="R1351" s="426"/>
      <c r="S1351" s="441"/>
      <c r="T1351" s="441"/>
      <c r="U1351" s="441"/>
      <c r="V1351" s="441"/>
      <c r="W1351" s="441"/>
      <c r="X1351" s="441"/>
      <c r="Y1351" s="441"/>
      <c r="Z1351" s="441"/>
      <c r="AA1351" s="441"/>
      <c r="AB1351" s="441"/>
      <c r="AC1351" s="441"/>
      <c r="AD1351" s="441"/>
      <c r="AE1351" s="441"/>
      <c r="AF1351" s="441"/>
      <c r="AG1351" s="441"/>
      <c r="AH1351" s="441"/>
      <c r="AI1351" s="441"/>
      <c r="AJ1351" s="441"/>
      <c r="AK1351" s="441"/>
      <c r="AL1351" s="441"/>
      <c r="AM1351" s="441"/>
      <c r="AN1351" s="441"/>
      <c r="AO1351" s="441"/>
      <c r="AP1351" s="441"/>
      <c r="AQ1351" s="441"/>
      <c r="AR1351" s="441"/>
      <c r="AS1351" s="441"/>
      <c r="AT1351" s="441"/>
      <c r="AU1351" s="441"/>
      <c r="AV1351" s="441"/>
      <c r="AW1351" s="441"/>
      <c r="AX1351" s="441"/>
      <c r="AY1351" s="441"/>
      <c r="AZ1351" s="441"/>
      <c r="BA1351" s="441"/>
      <c r="BB1351" s="441"/>
      <c r="BC1351" s="441"/>
      <c r="BD1351" s="441"/>
      <c r="BE1351" s="441"/>
      <c r="BF1351" s="441"/>
    </row>
    <row r="1352">
      <c r="A1352" s="798"/>
      <c r="B1352" s="795"/>
      <c r="C1352" s="795"/>
      <c r="D1352" s="795"/>
      <c r="E1352" s="795"/>
      <c r="F1352" s="795"/>
      <c r="G1352" s="795"/>
      <c r="H1352" s="795"/>
      <c r="I1352" s="796"/>
      <c r="J1352" s="441"/>
      <c r="K1352" s="441"/>
      <c r="L1352" s="797"/>
      <c r="M1352" s="441"/>
      <c r="N1352" s="441"/>
      <c r="O1352" s="441"/>
      <c r="P1352" s="441"/>
      <c r="Q1352" s="441"/>
      <c r="R1352" s="426"/>
      <c r="S1352" s="441"/>
      <c r="T1352" s="441"/>
      <c r="U1352" s="441"/>
      <c r="V1352" s="441"/>
      <c r="W1352" s="441"/>
      <c r="X1352" s="441"/>
      <c r="Y1352" s="441"/>
      <c r="Z1352" s="441"/>
      <c r="AA1352" s="441"/>
      <c r="AB1352" s="441"/>
      <c r="AC1352" s="441"/>
      <c r="AD1352" s="441"/>
      <c r="AE1352" s="441"/>
      <c r="AF1352" s="441"/>
      <c r="AG1352" s="441"/>
      <c r="AH1352" s="441"/>
      <c r="AI1352" s="441"/>
      <c r="AJ1352" s="441"/>
      <c r="AK1352" s="441"/>
      <c r="AL1352" s="441"/>
      <c r="AM1352" s="441"/>
      <c r="AN1352" s="441"/>
      <c r="AO1352" s="441"/>
      <c r="AP1352" s="441"/>
      <c r="AQ1352" s="441"/>
      <c r="AR1352" s="441"/>
      <c r="AS1352" s="441"/>
      <c r="AT1352" s="441"/>
      <c r="AU1352" s="441"/>
      <c r="AV1352" s="441"/>
      <c r="AW1352" s="441"/>
      <c r="AX1352" s="441"/>
      <c r="AY1352" s="441"/>
      <c r="AZ1352" s="441"/>
      <c r="BA1352" s="441"/>
      <c r="BB1352" s="441"/>
      <c r="BC1352" s="441"/>
      <c r="BD1352" s="441"/>
      <c r="BE1352" s="441"/>
      <c r="BF1352" s="441"/>
    </row>
    <row r="1353">
      <c r="A1353" s="798"/>
      <c r="B1353" s="795"/>
      <c r="C1353" s="795"/>
      <c r="D1353" s="795"/>
      <c r="E1353" s="795"/>
      <c r="F1353" s="795"/>
      <c r="G1353" s="795"/>
      <c r="H1353" s="795"/>
      <c r="I1353" s="796"/>
      <c r="J1353" s="441"/>
      <c r="K1353" s="441"/>
      <c r="L1353" s="797"/>
      <c r="M1353" s="441"/>
      <c r="N1353" s="441"/>
      <c r="O1353" s="441"/>
      <c r="P1353" s="441"/>
      <c r="Q1353" s="441"/>
      <c r="R1353" s="426"/>
      <c r="S1353" s="441"/>
      <c r="T1353" s="441"/>
      <c r="U1353" s="441"/>
      <c r="V1353" s="441"/>
      <c r="W1353" s="441"/>
      <c r="X1353" s="441"/>
      <c r="Y1353" s="441"/>
      <c r="Z1353" s="441"/>
      <c r="AA1353" s="441"/>
      <c r="AB1353" s="441"/>
      <c r="AC1353" s="441"/>
      <c r="AD1353" s="441"/>
      <c r="AE1353" s="441"/>
      <c r="AF1353" s="441"/>
      <c r="AG1353" s="441"/>
      <c r="AH1353" s="441"/>
      <c r="AI1353" s="441"/>
      <c r="AJ1353" s="441"/>
      <c r="AK1353" s="441"/>
      <c r="AL1353" s="441"/>
      <c r="AM1353" s="441"/>
      <c r="AN1353" s="441"/>
      <c r="AO1353" s="441"/>
      <c r="AP1353" s="441"/>
      <c r="AQ1353" s="441"/>
      <c r="AR1353" s="441"/>
      <c r="AS1353" s="441"/>
      <c r="AT1353" s="441"/>
      <c r="AU1353" s="441"/>
      <c r="AV1353" s="441"/>
      <c r="AW1353" s="441"/>
      <c r="AX1353" s="441"/>
      <c r="AY1353" s="441"/>
      <c r="AZ1353" s="441"/>
      <c r="BA1353" s="441"/>
      <c r="BB1353" s="441"/>
      <c r="BC1353" s="441"/>
      <c r="BD1353" s="441"/>
      <c r="BE1353" s="441"/>
      <c r="BF1353" s="441"/>
    </row>
    <row r="1354">
      <c r="A1354" s="798"/>
      <c r="B1354" s="795"/>
      <c r="C1354" s="795"/>
      <c r="D1354" s="795"/>
      <c r="E1354" s="795"/>
      <c r="F1354" s="795"/>
      <c r="G1354" s="795"/>
      <c r="H1354" s="795"/>
      <c r="I1354" s="796"/>
      <c r="J1354" s="441"/>
      <c r="K1354" s="441"/>
      <c r="L1354" s="797"/>
      <c r="M1354" s="441"/>
      <c r="N1354" s="441"/>
      <c r="O1354" s="441"/>
      <c r="P1354" s="441"/>
      <c r="Q1354" s="441"/>
      <c r="R1354" s="426"/>
      <c r="S1354" s="441"/>
      <c r="T1354" s="441"/>
      <c r="U1354" s="441"/>
      <c r="V1354" s="441"/>
      <c r="W1354" s="441"/>
      <c r="X1354" s="441"/>
      <c r="Y1354" s="441"/>
      <c r="Z1354" s="441"/>
      <c r="AA1354" s="441"/>
      <c r="AB1354" s="441"/>
      <c r="AC1354" s="441"/>
      <c r="AD1354" s="441"/>
      <c r="AE1354" s="441"/>
      <c r="AF1354" s="441"/>
      <c r="AG1354" s="441"/>
      <c r="AH1354" s="441"/>
      <c r="AI1354" s="441"/>
      <c r="AJ1354" s="441"/>
      <c r="AK1354" s="441"/>
      <c r="AL1354" s="441"/>
      <c r="AM1354" s="441"/>
      <c r="AN1354" s="441"/>
      <c r="AO1354" s="441"/>
      <c r="AP1354" s="441"/>
      <c r="AQ1354" s="441"/>
      <c r="AR1354" s="441"/>
      <c r="AS1354" s="441"/>
      <c r="AT1354" s="441"/>
      <c r="AU1354" s="441"/>
      <c r="AV1354" s="441"/>
      <c r="AW1354" s="441"/>
      <c r="AX1354" s="441"/>
      <c r="AY1354" s="441"/>
      <c r="AZ1354" s="441"/>
      <c r="BA1354" s="441"/>
      <c r="BB1354" s="441"/>
      <c r="BC1354" s="441"/>
      <c r="BD1354" s="441"/>
      <c r="BE1354" s="441"/>
      <c r="BF1354" s="441"/>
    </row>
    <row r="1355">
      <c r="A1355" s="798"/>
      <c r="B1355" s="795"/>
      <c r="C1355" s="795"/>
      <c r="D1355" s="795"/>
      <c r="E1355" s="795"/>
      <c r="F1355" s="795"/>
      <c r="G1355" s="795"/>
      <c r="H1355" s="795"/>
      <c r="I1355" s="796"/>
      <c r="J1355" s="441"/>
      <c r="K1355" s="441"/>
      <c r="L1355" s="797"/>
      <c r="M1355" s="441"/>
      <c r="N1355" s="441"/>
      <c r="O1355" s="441"/>
      <c r="P1355" s="441"/>
      <c r="Q1355" s="441"/>
      <c r="R1355" s="426"/>
      <c r="S1355" s="441"/>
      <c r="T1355" s="441"/>
      <c r="U1355" s="441"/>
      <c r="V1355" s="441"/>
      <c r="W1355" s="441"/>
      <c r="X1355" s="441"/>
      <c r="Y1355" s="441"/>
      <c r="Z1355" s="441"/>
      <c r="AA1355" s="441"/>
      <c r="AB1355" s="441"/>
      <c r="AC1355" s="441"/>
      <c r="AD1355" s="441"/>
      <c r="AE1355" s="441"/>
      <c r="AF1355" s="441"/>
      <c r="AG1355" s="441"/>
      <c r="AH1355" s="441"/>
      <c r="AI1355" s="441"/>
      <c r="AJ1355" s="441"/>
      <c r="AK1355" s="441"/>
      <c r="AL1355" s="441"/>
      <c r="AM1355" s="441"/>
      <c r="AN1355" s="441"/>
      <c r="AO1355" s="441"/>
      <c r="AP1355" s="441"/>
      <c r="AQ1355" s="441"/>
      <c r="AR1355" s="441"/>
      <c r="AS1355" s="441"/>
      <c r="AT1355" s="441"/>
      <c r="AU1355" s="441"/>
      <c r="AV1355" s="441"/>
      <c r="AW1355" s="441"/>
      <c r="AX1355" s="441"/>
      <c r="AY1355" s="441"/>
      <c r="AZ1355" s="441"/>
      <c r="BA1355" s="441"/>
      <c r="BB1355" s="441"/>
      <c r="BC1355" s="441"/>
      <c r="BD1355" s="441"/>
      <c r="BE1355" s="441"/>
      <c r="BF1355" s="441"/>
    </row>
    <row r="1356">
      <c r="A1356" s="798"/>
      <c r="B1356" s="795"/>
      <c r="C1356" s="795"/>
      <c r="D1356" s="795"/>
      <c r="E1356" s="795"/>
      <c r="F1356" s="795"/>
      <c r="G1356" s="795"/>
      <c r="H1356" s="795"/>
      <c r="I1356" s="796"/>
      <c r="J1356" s="441"/>
      <c r="K1356" s="441"/>
      <c r="L1356" s="797"/>
      <c r="M1356" s="441"/>
      <c r="N1356" s="441"/>
      <c r="O1356" s="441"/>
      <c r="P1356" s="441"/>
      <c r="Q1356" s="441"/>
      <c r="R1356" s="426"/>
      <c r="S1356" s="441"/>
      <c r="T1356" s="441"/>
      <c r="U1356" s="441"/>
      <c r="V1356" s="441"/>
      <c r="W1356" s="441"/>
      <c r="X1356" s="441"/>
      <c r="Y1356" s="441"/>
      <c r="Z1356" s="441"/>
      <c r="AA1356" s="441"/>
      <c r="AB1356" s="441"/>
      <c r="AC1356" s="441"/>
      <c r="AD1356" s="441"/>
      <c r="AE1356" s="441"/>
      <c r="AF1356" s="441"/>
      <c r="AG1356" s="441"/>
      <c r="AH1356" s="441"/>
      <c r="AI1356" s="441"/>
      <c r="AJ1356" s="441"/>
      <c r="AK1356" s="441"/>
      <c r="AL1356" s="441"/>
      <c r="AM1356" s="441"/>
      <c r="AN1356" s="441"/>
      <c r="AO1356" s="441"/>
      <c r="AP1356" s="441"/>
      <c r="AQ1356" s="441"/>
      <c r="AR1356" s="441"/>
      <c r="AS1356" s="441"/>
      <c r="AT1356" s="441"/>
      <c r="AU1356" s="441"/>
      <c r="AV1356" s="441"/>
      <c r="AW1356" s="441"/>
      <c r="AX1356" s="441"/>
      <c r="AY1356" s="441"/>
      <c r="AZ1356" s="441"/>
      <c r="BA1356" s="441"/>
      <c r="BB1356" s="441"/>
      <c r="BC1356" s="441"/>
      <c r="BD1356" s="441"/>
      <c r="BE1356" s="441"/>
      <c r="BF1356" s="441"/>
    </row>
    <row r="1357">
      <c r="A1357" s="798"/>
      <c r="B1357" s="795"/>
      <c r="C1357" s="795"/>
      <c r="D1357" s="795"/>
      <c r="E1357" s="795"/>
      <c r="F1357" s="795"/>
      <c r="G1357" s="795"/>
      <c r="H1357" s="795"/>
      <c r="I1357" s="796"/>
      <c r="J1357" s="441"/>
      <c r="K1357" s="441"/>
      <c r="L1357" s="797"/>
      <c r="M1357" s="441"/>
      <c r="N1357" s="441"/>
      <c r="O1357" s="441"/>
      <c r="P1357" s="441"/>
      <c r="Q1357" s="441"/>
      <c r="R1357" s="426"/>
      <c r="S1357" s="441"/>
      <c r="T1357" s="441"/>
      <c r="U1357" s="441"/>
      <c r="V1357" s="441"/>
      <c r="W1357" s="441"/>
      <c r="X1357" s="441"/>
      <c r="Y1357" s="441"/>
      <c r="Z1357" s="441"/>
      <c r="AA1357" s="441"/>
      <c r="AB1357" s="441"/>
      <c r="AC1357" s="441"/>
      <c r="AD1357" s="441"/>
      <c r="AE1357" s="441"/>
      <c r="AF1357" s="441"/>
      <c r="AG1357" s="441"/>
      <c r="AH1357" s="441"/>
      <c r="AI1357" s="441"/>
      <c r="AJ1357" s="441"/>
      <c r="AK1357" s="441"/>
      <c r="AL1357" s="441"/>
      <c r="AM1357" s="441"/>
      <c r="AN1357" s="441"/>
      <c r="AO1357" s="441"/>
      <c r="AP1357" s="441"/>
      <c r="AQ1357" s="441"/>
      <c r="AR1357" s="441"/>
      <c r="AS1357" s="441"/>
      <c r="AT1357" s="441"/>
      <c r="AU1357" s="441"/>
      <c r="AV1357" s="441"/>
      <c r="AW1357" s="441"/>
      <c r="AX1357" s="441"/>
      <c r="AY1357" s="441"/>
      <c r="AZ1357" s="441"/>
      <c r="BA1357" s="441"/>
      <c r="BB1357" s="441"/>
      <c r="BC1357" s="441"/>
      <c r="BD1357" s="441"/>
      <c r="BE1357" s="441"/>
      <c r="BF1357" s="441"/>
    </row>
    <row r="1358">
      <c r="A1358" s="798"/>
      <c r="B1358" s="795"/>
      <c r="C1358" s="795"/>
      <c r="D1358" s="795"/>
      <c r="E1358" s="795"/>
      <c r="F1358" s="795"/>
      <c r="G1358" s="795"/>
      <c r="H1358" s="795"/>
      <c r="I1358" s="796"/>
      <c r="J1358" s="441"/>
      <c r="K1358" s="441"/>
      <c r="L1358" s="797"/>
      <c r="M1358" s="441"/>
      <c r="N1358" s="441"/>
      <c r="O1358" s="441"/>
      <c r="P1358" s="441"/>
      <c r="Q1358" s="441"/>
      <c r="R1358" s="426"/>
      <c r="S1358" s="441"/>
      <c r="T1358" s="441"/>
      <c r="U1358" s="441"/>
      <c r="V1358" s="441"/>
      <c r="W1358" s="441"/>
      <c r="X1358" s="441"/>
      <c r="Y1358" s="441"/>
      <c r="Z1358" s="441"/>
      <c r="AA1358" s="441"/>
      <c r="AB1358" s="441"/>
      <c r="AC1358" s="441"/>
      <c r="AD1358" s="441"/>
      <c r="AE1358" s="441"/>
      <c r="AF1358" s="441"/>
      <c r="AG1358" s="441"/>
      <c r="AH1358" s="441"/>
      <c r="AI1358" s="441"/>
      <c r="AJ1358" s="441"/>
      <c r="AK1358" s="441"/>
      <c r="AL1358" s="441"/>
      <c r="AM1358" s="441"/>
      <c r="AN1358" s="441"/>
      <c r="AO1358" s="441"/>
      <c r="AP1358" s="441"/>
      <c r="AQ1358" s="441"/>
      <c r="AR1358" s="441"/>
      <c r="AS1358" s="441"/>
      <c r="AT1358" s="441"/>
      <c r="AU1358" s="441"/>
      <c r="AV1358" s="441"/>
      <c r="AW1358" s="441"/>
      <c r="AX1358" s="441"/>
      <c r="AY1358" s="441"/>
      <c r="AZ1358" s="441"/>
      <c r="BA1358" s="441"/>
      <c r="BB1358" s="441"/>
      <c r="BC1358" s="441"/>
      <c r="BD1358" s="441"/>
      <c r="BE1358" s="441"/>
      <c r="BF1358" s="441"/>
    </row>
    <row r="1359">
      <c r="A1359" s="798"/>
      <c r="B1359" s="795"/>
      <c r="C1359" s="795"/>
      <c r="D1359" s="795"/>
      <c r="E1359" s="795"/>
      <c r="F1359" s="795"/>
      <c r="G1359" s="795"/>
      <c r="H1359" s="795"/>
      <c r="I1359" s="796"/>
      <c r="J1359" s="441"/>
      <c r="K1359" s="441"/>
      <c r="L1359" s="797"/>
      <c r="M1359" s="441"/>
      <c r="N1359" s="441"/>
      <c r="O1359" s="441"/>
      <c r="P1359" s="441"/>
      <c r="Q1359" s="441"/>
      <c r="R1359" s="426"/>
      <c r="S1359" s="441"/>
      <c r="T1359" s="441"/>
      <c r="U1359" s="441"/>
      <c r="V1359" s="441"/>
      <c r="W1359" s="441"/>
      <c r="X1359" s="441"/>
      <c r="Y1359" s="441"/>
      <c r="Z1359" s="441"/>
      <c r="AA1359" s="441"/>
      <c r="AB1359" s="441"/>
      <c r="AC1359" s="441"/>
      <c r="AD1359" s="441"/>
      <c r="AE1359" s="441"/>
      <c r="AF1359" s="441"/>
      <c r="AG1359" s="441"/>
      <c r="AH1359" s="441"/>
      <c r="AI1359" s="441"/>
      <c r="AJ1359" s="441"/>
      <c r="AK1359" s="441"/>
      <c r="AL1359" s="441"/>
      <c r="AM1359" s="441"/>
      <c r="AN1359" s="441"/>
      <c r="AO1359" s="441"/>
      <c r="AP1359" s="441"/>
      <c r="AQ1359" s="441"/>
      <c r="AR1359" s="441"/>
      <c r="AS1359" s="441"/>
      <c r="AT1359" s="441"/>
      <c r="AU1359" s="441"/>
      <c r="AV1359" s="441"/>
      <c r="AW1359" s="441"/>
      <c r="AX1359" s="441"/>
      <c r="AY1359" s="441"/>
      <c r="AZ1359" s="441"/>
      <c r="BA1359" s="441"/>
      <c r="BB1359" s="441"/>
      <c r="BC1359" s="441"/>
      <c r="BD1359" s="441"/>
      <c r="BE1359" s="441"/>
      <c r="BF1359" s="441"/>
    </row>
    <row r="1360">
      <c r="A1360" s="798"/>
      <c r="B1360" s="795"/>
      <c r="C1360" s="795"/>
      <c r="D1360" s="795"/>
      <c r="E1360" s="795"/>
      <c r="F1360" s="795"/>
      <c r="G1360" s="795"/>
      <c r="H1360" s="795"/>
      <c r="I1360" s="796"/>
      <c r="J1360" s="441"/>
      <c r="K1360" s="441"/>
      <c r="L1360" s="797"/>
      <c r="M1360" s="441"/>
      <c r="N1360" s="441"/>
      <c r="O1360" s="441"/>
      <c r="P1360" s="441"/>
      <c r="Q1360" s="441"/>
      <c r="R1360" s="426"/>
      <c r="S1360" s="441"/>
      <c r="T1360" s="441"/>
      <c r="U1360" s="441"/>
      <c r="V1360" s="441"/>
      <c r="W1360" s="441"/>
      <c r="X1360" s="441"/>
      <c r="Y1360" s="441"/>
      <c r="Z1360" s="441"/>
      <c r="AA1360" s="441"/>
      <c r="AB1360" s="441"/>
      <c r="AC1360" s="441"/>
      <c r="AD1360" s="441"/>
      <c r="AE1360" s="441"/>
      <c r="AF1360" s="441"/>
      <c r="AG1360" s="441"/>
      <c r="AH1360" s="441"/>
      <c r="AI1360" s="441"/>
      <c r="AJ1360" s="441"/>
      <c r="AK1360" s="441"/>
      <c r="AL1360" s="441"/>
      <c r="AM1360" s="441"/>
      <c r="AN1360" s="441"/>
      <c r="AO1360" s="441"/>
      <c r="AP1360" s="441"/>
      <c r="AQ1360" s="441"/>
      <c r="AR1360" s="441"/>
      <c r="AS1360" s="441"/>
      <c r="AT1360" s="441"/>
      <c r="AU1360" s="441"/>
      <c r="AV1360" s="441"/>
      <c r="AW1360" s="441"/>
      <c r="AX1360" s="441"/>
      <c r="AY1360" s="441"/>
      <c r="AZ1360" s="441"/>
      <c r="BA1360" s="441"/>
      <c r="BB1360" s="441"/>
      <c r="BC1360" s="441"/>
      <c r="BD1360" s="441"/>
      <c r="BE1360" s="441"/>
      <c r="BF1360" s="441"/>
    </row>
    <row r="1361">
      <c r="A1361" s="798"/>
      <c r="B1361" s="795"/>
      <c r="C1361" s="795"/>
      <c r="D1361" s="795"/>
      <c r="E1361" s="795"/>
      <c r="F1361" s="795"/>
      <c r="G1361" s="795"/>
      <c r="H1361" s="795"/>
      <c r="I1361" s="796"/>
      <c r="J1361" s="441"/>
      <c r="K1361" s="441"/>
      <c r="L1361" s="797"/>
      <c r="M1361" s="441"/>
      <c r="N1361" s="441"/>
      <c r="O1361" s="441"/>
      <c r="P1361" s="441"/>
      <c r="Q1361" s="441"/>
      <c r="R1361" s="426"/>
      <c r="S1361" s="441"/>
      <c r="T1361" s="441"/>
      <c r="U1361" s="441"/>
      <c r="V1361" s="441"/>
      <c r="W1361" s="441"/>
      <c r="X1361" s="441"/>
      <c r="Y1361" s="441"/>
      <c r="Z1361" s="441"/>
      <c r="AA1361" s="441"/>
      <c r="AB1361" s="441"/>
      <c r="AC1361" s="441"/>
      <c r="AD1361" s="441"/>
      <c r="AE1361" s="441"/>
      <c r="AF1361" s="441"/>
      <c r="AG1361" s="441"/>
      <c r="AH1361" s="441"/>
      <c r="AI1361" s="441"/>
      <c r="AJ1361" s="441"/>
      <c r="AK1361" s="441"/>
      <c r="AL1361" s="441"/>
      <c r="AM1361" s="441"/>
      <c r="AN1361" s="441"/>
      <c r="AO1361" s="441"/>
      <c r="AP1361" s="441"/>
      <c r="AQ1361" s="441"/>
      <c r="AR1361" s="441"/>
      <c r="AS1361" s="441"/>
      <c r="AT1361" s="441"/>
      <c r="AU1361" s="441"/>
      <c r="AV1361" s="441"/>
      <c r="AW1361" s="441"/>
      <c r="AX1361" s="441"/>
      <c r="AY1361" s="441"/>
      <c r="AZ1361" s="441"/>
      <c r="BA1361" s="441"/>
      <c r="BB1361" s="441"/>
      <c r="BC1361" s="441"/>
      <c r="BD1361" s="441"/>
      <c r="BE1361" s="441"/>
      <c r="BF1361" s="441"/>
    </row>
    <row r="1362">
      <c r="A1362" s="798"/>
      <c r="B1362" s="795"/>
      <c r="C1362" s="795"/>
      <c r="D1362" s="795"/>
      <c r="E1362" s="795"/>
      <c r="F1362" s="795"/>
      <c r="G1362" s="795"/>
      <c r="H1362" s="795"/>
      <c r="I1362" s="796"/>
      <c r="J1362" s="441"/>
      <c r="K1362" s="441"/>
      <c r="L1362" s="797"/>
      <c r="M1362" s="441"/>
      <c r="N1362" s="441"/>
      <c r="O1362" s="441"/>
      <c r="P1362" s="441"/>
      <c r="Q1362" s="441"/>
      <c r="R1362" s="426"/>
      <c r="S1362" s="441"/>
      <c r="T1362" s="441"/>
      <c r="U1362" s="441"/>
      <c r="V1362" s="441"/>
      <c r="W1362" s="441"/>
      <c r="X1362" s="441"/>
      <c r="Y1362" s="441"/>
      <c r="Z1362" s="441"/>
      <c r="AA1362" s="441"/>
      <c r="AB1362" s="441"/>
      <c r="AC1362" s="441"/>
      <c r="AD1362" s="441"/>
      <c r="AE1362" s="441"/>
      <c r="AF1362" s="441"/>
      <c r="AG1362" s="441"/>
      <c r="AH1362" s="441"/>
      <c r="AI1362" s="441"/>
      <c r="AJ1362" s="441"/>
      <c r="AK1362" s="441"/>
      <c r="AL1362" s="441"/>
      <c r="AM1362" s="441"/>
      <c r="AN1362" s="441"/>
      <c r="AO1362" s="441"/>
      <c r="AP1362" s="441"/>
      <c r="AQ1362" s="441"/>
      <c r="AR1362" s="441"/>
      <c r="AS1362" s="441"/>
      <c r="AT1362" s="441"/>
      <c r="AU1362" s="441"/>
      <c r="AV1362" s="441"/>
      <c r="AW1362" s="441"/>
      <c r="AX1362" s="441"/>
      <c r="AY1362" s="441"/>
      <c r="AZ1362" s="441"/>
      <c r="BA1362" s="441"/>
      <c r="BB1362" s="441"/>
      <c r="BC1362" s="441"/>
      <c r="BD1362" s="441"/>
      <c r="BE1362" s="441"/>
      <c r="BF1362" s="441"/>
    </row>
    <row r="1363">
      <c r="A1363" s="798"/>
      <c r="B1363" s="795"/>
      <c r="C1363" s="795"/>
      <c r="D1363" s="795"/>
      <c r="E1363" s="795"/>
      <c r="F1363" s="795"/>
      <c r="G1363" s="795"/>
      <c r="H1363" s="795"/>
      <c r="I1363" s="796"/>
      <c r="J1363" s="441"/>
      <c r="K1363" s="441"/>
      <c r="L1363" s="797"/>
      <c r="M1363" s="441"/>
      <c r="N1363" s="441"/>
      <c r="O1363" s="441"/>
      <c r="P1363" s="441"/>
      <c r="Q1363" s="441"/>
      <c r="R1363" s="426"/>
      <c r="S1363" s="441"/>
      <c r="T1363" s="441"/>
      <c r="U1363" s="441"/>
      <c r="V1363" s="441"/>
      <c r="W1363" s="441"/>
      <c r="X1363" s="441"/>
      <c r="Y1363" s="441"/>
      <c r="Z1363" s="441"/>
      <c r="AA1363" s="441"/>
      <c r="AB1363" s="441"/>
      <c r="AC1363" s="441"/>
      <c r="AD1363" s="441"/>
      <c r="AE1363" s="441"/>
      <c r="AF1363" s="441"/>
      <c r="AG1363" s="441"/>
      <c r="AH1363" s="441"/>
      <c r="AI1363" s="441"/>
      <c r="AJ1363" s="441"/>
      <c r="AK1363" s="441"/>
      <c r="AL1363" s="441"/>
      <c r="AM1363" s="441"/>
      <c r="AN1363" s="441"/>
      <c r="AO1363" s="441"/>
      <c r="AP1363" s="441"/>
      <c r="AQ1363" s="441"/>
      <c r="AR1363" s="441"/>
      <c r="AS1363" s="441"/>
      <c r="AT1363" s="441"/>
      <c r="AU1363" s="441"/>
      <c r="AV1363" s="441"/>
      <c r="AW1363" s="441"/>
      <c r="AX1363" s="441"/>
      <c r="AY1363" s="441"/>
      <c r="AZ1363" s="441"/>
      <c r="BA1363" s="441"/>
      <c r="BB1363" s="441"/>
      <c r="BC1363" s="441"/>
      <c r="BD1363" s="441"/>
      <c r="BE1363" s="441"/>
      <c r="BF1363" s="441"/>
    </row>
    <row r="1364">
      <c r="A1364" s="798"/>
      <c r="B1364" s="795"/>
      <c r="C1364" s="795"/>
      <c r="D1364" s="795"/>
      <c r="E1364" s="795"/>
      <c r="F1364" s="795"/>
      <c r="G1364" s="795"/>
      <c r="H1364" s="795"/>
      <c r="I1364" s="796"/>
      <c r="J1364" s="441"/>
      <c r="K1364" s="441"/>
      <c r="L1364" s="797"/>
      <c r="M1364" s="441"/>
      <c r="N1364" s="441"/>
      <c r="O1364" s="441"/>
      <c r="P1364" s="441"/>
      <c r="Q1364" s="441"/>
      <c r="R1364" s="426"/>
      <c r="S1364" s="441"/>
      <c r="T1364" s="441"/>
      <c r="U1364" s="441"/>
      <c r="V1364" s="441"/>
      <c r="W1364" s="441"/>
      <c r="X1364" s="441"/>
      <c r="Y1364" s="441"/>
      <c r="Z1364" s="441"/>
      <c r="AA1364" s="441"/>
      <c r="AB1364" s="441"/>
      <c r="AC1364" s="441"/>
      <c r="AD1364" s="441"/>
      <c r="AE1364" s="441"/>
      <c r="AF1364" s="441"/>
      <c r="AG1364" s="441"/>
      <c r="AH1364" s="441"/>
      <c r="AI1364" s="441"/>
      <c r="AJ1364" s="441"/>
      <c r="AK1364" s="441"/>
      <c r="AL1364" s="441"/>
      <c r="AM1364" s="441"/>
      <c r="AN1364" s="441"/>
      <c r="AO1364" s="441"/>
      <c r="AP1364" s="441"/>
      <c r="AQ1364" s="441"/>
      <c r="AR1364" s="441"/>
      <c r="AS1364" s="441"/>
      <c r="AT1364" s="441"/>
      <c r="AU1364" s="441"/>
      <c r="AV1364" s="441"/>
      <c r="AW1364" s="441"/>
      <c r="AX1364" s="441"/>
      <c r="AY1364" s="441"/>
      <c r="AZ1364" s="441"/>
      <c r="BA1364" s="441"/>
      <c r="BB1364" s="441"/>
      <c r="BC1364" s="441"/>
      <c r="BD1364" s="441"/>
      <c r="BE1364" s="441"/>
      <c r="BF1364" s="441"/>
    </row>
    <row r="1365">
      <c r="A1365" s="798"/>
      <c r="B1365" s="795"/>
      <c r="C1365" s="795"/>
      <c r="D1365" s="795"/>
      <c r="E1365" s="795"/>
      <c r="F1365" s="795"/>
      <c r="G1365" s="795"/>
      <c r="H1365" s="795"/>
      <c r="I1365" s="796"/>
      <c r="J1365" s="441"/>
      <c r="K1365" s="441"/>
      <c r="L1365" s="797"/>
      <c r="M1365" s="441"/>
      <c r="N1365" s="441"/>
      <c r="O1365" s="441"/>
      <c r="P1365" s="441"/>
      <c r="Q1365" s="441"/>
      <c r="R1365" s="426"/>
      <c r="S1365" s="441"/>
      <c r="T1365" s="441"/>
      <c r="U1365" s="441"/>
      <c r="V1365" s="441"/>
      <c r="W1365" s="441"/>
      <c r="X1365" s="441"/>
      <c r="Y1365" s="441"/>
      <c r="Z1365" s="441"/>
      <c r="AA1365" s="441"/>
      <c r="AB1365" s="441"/>
      <c r="AC1365" s="441"/>
      <c r="AD1365" s="441"/>
      <c r="AE1365" s="441"/>
      <c r="AF1365" s="441"/>
      <c r="AG1365" s="441"/>
      <c r="AH1365" s="441"/>
      <c r="AI1365" s="441"/>
      <c r="AJ1365" s="441"/>
      <c r="AK1365" s="441"/>
      <c r="AL1365" s="441"/>
      <c r="AM1365" s="441"/>
      <c r="AN1365" s="441"/>
      <c r="AO1365" s="441"/>
      <c r="AP1365" s="441"/>
      <c r="AQ1365" s="441"/>
      <c r="AR1365" s="441"/>
      <c r="AS1365" s="441"/>
      <c r="AT1365" s="441"/>
      <c r="AU1365" s="441"/>
      <c r="AV1365" s="441"/>
      <c r="AW1365" s="441"/>
      <c r="AX1365" s="441"/>
      <c r="AY1365" s="441"/>
      <c r="AZ1365" s="441"/>
      <c r="BA1365" s="441"/>
      <c r="BB1365" s="441"/>
      <c r="BC1365" s="441"/>
      <c r="BD1365" s="441"/>
      <c r="BE1365" s="441"/>
      <c r="BF1365" s="441"/>
    </row>
    <row r="1366">
      <c r="A1366" s="798"/>
      <c r="B1366" s="795"/>
      <c r="C1366" s="795"/>
      <c r="D1366" s="795"/>
      <c r="E1366" s="795"/>
      <c r="F1366" s="795"/>
      <c r="G1366" s="795"/>
      <c r="H1366" s="795"/>
      <c r="I1366" s="796"/>
      <c r="J1366" s="441"/>
      <c r="K1366" s="441"/>
      <c r="L1366" s="797"/>
      <c r="M1366" s="441"/>
      <c r="N1366" s="441"/>
      <c r="O1366" s="441"/>
      <c r="P1366" s="441"/>
      <c r="Q1366" s="441"/>
      <c r="R1366" s="426"/>
      <c r="S1366" s="441"/>
      <c r="T1366" s="441"/>
      <c r="U1366" s="441"/>
      <c r="V1366" s="441"/>
      <c r="W1366" s="441"/>
      <c r="X1366" s="441"/>
      <c r="Y1366" s="441"/>
      <c r="Z1366" s="441"/>
      <c r="AA1366" s="441"/>
      <c r="AB1366" s="441"/>
      <c r="AC1366" s="441"/>
      <c r="AD1366" s="441"/>
      <c r="AE1366" s="441"/>
      <c r="AF1366" s="441"/>
      <c r="AG1366" s="441"/>
      <c r="AH1366" s="441"/>
      <c r="AI1366" s="441"/>
      <c r="AJ1366" s="441"/>
      <c r="AK1366" s="441"/>
      <c r="AL1366" s="441"/>
      <c r="AM1366" s="441"/>
      <c r="AN1366" s="441"/>
      <c r="AO1366" s="441"/>
      <c r="AP1366" s="441"/>
      <c r="AQ1366" s="441"/>
      <c r="AR1366" s="441"/>
      <c r="AS1366" s="441"/>
      <c r="AT1366" s="441"/>
      <c r="AU1366" s="441"/>
      <c r="AV1366" s="441"/>
      <c r="AW1366" s="441"/>
      <c r="AX1366" s="441"/>
      <c r="AY1366" s="441"/>
      <c r="AZ1366" s="441"/>
      <c r="BA1366" s="441"/>
      <c r="BB1366" s="441"/>
      <c r="BC1366" s="441"/>
      <c r="BD1366" s="441"/>
      <c r="BE1366" s="441"/>
      <c r="BF1366" s="441"/>
    </row>
    <row r="1367">
      <c r="A1367" s="798"/>
      <c r="B1367" s="795"/>
      <c r="C1367" s="795"/>
      <c r="D1367" s="795"/>
      <c r="E1367" s="795"/>
      <c r="F1367" s="795"/>
      <c r="G1367" s="795"/>
      <c r="H1367" s="795"/>
      <c r="I1367" s="796"/>
      <c r="J1367" s="441"/>
      <c r="K1367" s="441"/>
      <c r="L1367" s="797"/>
      <c r="M1367" s="441"/>
      <c r="N1367" s="441"/>
      <c r="O1367" s="441"/>
      <c r="P1367" s="441"/>
      <c r="Q1367" s="441"/>
      <c r="R1367" s="426"/>
      <c r="S1367" s="441"/>
      <c r="T1367" s="441"/>
      <c r="U1367" s="441"/>
      <c r="V1367" s="441"/>
      <c r="W1367" s="441"/>
      <c r="X1367" s="441"/>
      <c r="Y1367" s="441"/>
      <c r="Z1367" s="441"/>
      <c r="AA1367" s="441"/>
      <c r="AB1367" s="441"/>
      <c r="AC1367" s="441"/>
      <c r="AD1367" s="441"/>
      <c r="AE1367" s="441"/>
      <c r="AF1367" s="441"/>
      <c r="AG1367" s="441"/>
      <c r="AH1367" s="441"/>
      <c r="AI1367" s="441"/>
      <c r="AJ1367" s="441"/>
      <c r="AK1367" s="441"/>
      <c r="AL1367" s="441"/>
      <c r="AM1367" s="441"/>
      <c r="AN1367" s="441"/>
      <c r="AO1367" s="441"/>
      <c r="AP1367" s="441"/>
      <c r="AQ1367" s="441"/>
      <c r="AR1367" s="441"/>
      <c r="AS1367" s="441"/>
      <c r="AT1367" s="441"/>
      <c r="AU1367" s="441"/>
      <c r="AV1367" s="441"/>
      <c r="AW1367" s="441"/>
      <c r="AX1367" s="441"/>
      <c r="AY1367" s="441"/>
      <c r="AZ1367" s="441"/>
      <c r="BA1367" s="441"/>
      <c r="BB1367" s="441"/>
      <c r="BC1367" s="441"/>
      <c r="BD1367" s="441"/>
      <c r="BE1367" s="441"/>
      <c r="BF1367" s="441"/>
    </row>
    <row r="1368">
      <c r="A1368" s="798"/>
      <c r="B1368" s="795"/>
      <c r="C1368" s="795"/>
      <c r="D1368" s="795"/>
      <c r="E1368" s="795"/>
      <c r="F1368" s="795"/>
      <c r="G1368" s="795"/>
      <c r="H1368" s="795"/>
      <c r="I1368" s="796"/>
      <c r="J1368" s="441"/>
      <c r="K1368" s="441"/>
      <c r="L1368" s="797"/>
      <c r="M1368" s="441"/>
      <c r="N1368" s="441"/>
      <c r="O1368" s="441"/>
      <c r="P1368" s="441"/>
      <c r="Q1368" s="441"/>
      <c r="R1368" s="426"/>
      <c r="S1368" s="441"/>
      <c r="T1368" s="441"/>
      <c r="U1368" s="441"/>
      <c r="V1368" s="441"/>
      <c r="W1368" s="441"/>
      <c r="X1368" s="441"/>
      <c r="Y1368" s="441"/>
      <c r="Z1368" s="441"/>
      <c r="AA1368" s="441"/>
      <c r="AB1368" s="441"/>
      <c r="AC1368" s="441"/>
      <c r="AD1368" s="441"/>
      <c r="AE1368" s="441"/>
      <c r="AF1368" s="441"/>
      <c r="AG1368" s="441"/>
      <c r="AH1368" s="441"/>
      <c r="AI1368" s="441"/>
      <c r="AJ1368" s="441"/>
      <c r="AK1368" s="441"/>
      <c r="AL1368" s="441"/>
      <c r="AM1368" s="441"/>
      <c r="AN1368" s="441"/>
      <c r="AO1368" s="441"/>
      <c r="AP1368" s="441"/>
      <c r="AQ1368" s="441"/>
      <c r="AR1368" s="441"/>
      <c r="AS1368" s="441"/>
      <c r="AT1368" s="441"/>
      <c r="AU1368" s="441"/>
      <c r="AV1368" s="441"/>
      <c r="AW1368" s="441"/>
      <c r="AX1368" s="441"/>
      <c r="AY1368" s="441"/>
      <c r="AZ1368" s="441"/>
      <c r="BA1368" s="441"/>
      <c r="BB1368" s="441"/>
      <c r="BC1368" s="441"/>
      <c r="BD1368" s="441"/>
      <c r="BE1368" s="441"/>
      <c r="BF1368" s="441"/>
    </row>
    <row r="1369">
      <c r="A1369" s="798"/>
      <c r="B1369" s="795"/>
      <c r="C1369" s="795"/>
      <c r="D1369" s="795"/>
      <c r="E1369" s="795"/>
      <c r="F1369" s="795"/>
      <c r="G1369" s="795"/>
      <c r="H1369" s="795"/>
      <c r="I1369" s="796"/>
      <c r="J1369" s="441"/>
      <c r="K1369" s="441"/>
      <c r="L1369" s="797"/>
      <c r="M1369" s="441"/>
      <c r="N1369" s="441"/>
      <c r="O1369" s="441"/>
      <c r="P1369" s="441"/>
      <c r="Q1369" s="441"/>
      <c r="R1369" s="426"/>
      <c r="S1369" s="441"/>
      <c r="T1369" s="441"/>
      <c r="U1369" s="441"/>
      <c r="V1369" s="441"/>
      <c r="W1369" s="441"/>
      <c r="X1369" s="441"/>
      <c r="Y1369" s="441"/>
      <c r="Z1369" s="441"/>
      <c r="AA1369" s="441"/>
      <c r="AB1369" s="441"/>
      <c r="AC1369" s="441"/>
      <c r="AD1369" s="441"/>
      <c r="AE1369" s="441"/>
      <c r="AF1369" s="441"/>
      <c r="AG1369" s="441"/>
      <c r="AH1369" s="441"/>
      <c r="AI1369" s="441"/>
      <c r="AJ1369" s="441"/>
      <c r="AK1369" s="441"/>
      <c r="AL1369" s="441"/>
      <c r="AM1369" s="441"/>
      <c r="AN1369" s="441"/>
      <c r="AO1369" s="441"/>
      <c r="AP1369" s="441"/>
      <c r="AQ1369" s="441"/>
      <c r="AR1369" s="441"/>
      <c r="AS1369" s="441"/>
      <c r="AT1369" s="441"/>
      <c r="AU1369" s="441"/>
      <c r="AV1369" s="441"/>
      <c r="AW1369" s="441"/>
      <c r="AX1369" s="441"/>
      <c r="AY1369" s="441"/>
      <c r="AZ1369" s="441"/>
      <c r="BA1369" s="441"/>
      <c r="BB1369" s="441"/>
      <c r="BC1369" s="441"/>
      <c r="BD1369" s="441"/>
      <c r="BE1369" s="441"/>
      <c r="BF1369" s="441"/>
    </row>
    <row r="1370">
      <c r="A1370" s="798"/>
      <c r="B1370" s="795"/>
      <c r="C1370" s="795"/>
      <c r="D1370" s="795"/>
      <c r="E1370" s="795"/>
      <c r="F1370" s="795"/>
      <c r="G1370" s="795"/>
      <c r="H1370" s="795"/>
      <c r="I1370" s="796"/>
      <c r="J1370" s="441"/>
      <c r="K1370" s="441"/>
      <c r="L1370" s="797"/>
      <c r="M1370" s="441"/>
      <c r="N1370" s="441"/>
      <c r="O1370" s="441"/>
      <c r="P1370" s="441"/>
      <c r="Q1370" s="441"/>
      <c r="R1370" s="426"/>
      <c r="S1370" s="441"/>
      <c r="T1370" s="441"/>
      <c r="U1370" s="441"/>
      <c r="V1370" s="441"/>
      <c r="W1370" s="441"/>
      <c r="X1370" s="441"/>
      <c r="Y1370" s="441"/>
      <c r="Z1370" s="441"/>
      <c r="AA1370" s="441"/>
      <c r="AB1370" s="441"/>
      <c r="AC1370" s="441"/>
      <c r="AD1370" s="441"/>
      <c r="AE1370" s="441"/>
      <c r="AF1370" s="441"/>
      <c r="AG1370" s="441"/>
      <c r="AH1370" s="441"/>
      <c r="AI1370" s="441"/>
      <c r="AJ1370" s="441"/>
      <c r="AK1370" s="441"/>
      <c r="AL1370" s="441"/>
      <c r="AM1370" s="441"/>
      <c r="AN1370" s="441"/>
      <c r="AO1370" s="441"/>
      <c r="AP1370" s="441"/>
      <c r="AQ1370" s="441"/>
      <c r="AR1370" s="441"/>
      <c r="AS1370" s="441"/>
      <c r="AT1370" s="441"/>
      <c r="AU1370" s="441"/>
      <c r="AV1370" s="441"/>
      <c r="AW1370" s="441"/>
      <c r="AX1370" s="441"/>
      <c r="AY1370" s="441"/>
      <c r="AZ1370" s="441"/>
      <c r="BA1370" s="441"/>
      <c r="BB1370" s="441"/>
      <c r="BC1370" s="441"/>
      <c r="BD1370" s="441"/>
      <c r="BE1370" s="441"/>
      <c r="BF1370" s="441"/>
    </row>
    <row r="1371">
      <c r="A1371" s="798"/>
      <c r="B1371" s="795"/>
      <c r="C1371" s="795"/>
      <c r="D1371" s="795"/>
      <c r="E1371" s="795"/>
      <c r="F1371" s="795"/>
      <c r="G1371" s="795"/>
      <c r="H1371" s="795"/>
      <c r="I1371" s="796"/>
      <c r="J1371" s="441"/>
      <c r="K1371" s="441"/>
      <c r="L1371" s="797"/>
      <c r="M1371" s="441"/>
      <c r="N1371" s="441"/>
      <c r="O1371" s="441"/>
      <c r="P1371" s="441"/>
      <c r="Q1371" s="441"/>
      <c r="R1371" s="426"/>
      <c r="S1371" s="441"/>
      <c r="T1371" s="441"/>
      <c r="U1371" s="441"/>
      <c r="V1371" s="441"/>
      <c r="W1371" s="441"/>
      <c r="X1371" s="441"/>
      <c r="Y1371" s="441"/>
      <c r="Z1371" s="441"/>
      <c r="AA1371" s="441"/>
      <c r="AB1371" s="441"/>
      <c r="AC1371" s="441"/>
      <c r="AD1371" s="441"/>
      <c r="AE1371" s="441"/>
      <c r="AF1371" s="441"/>
      <c r="AG1371" s="441"/>
      <c r="AH1371" s="441"/>
      <c r="AI1371" s="441"/>
      <c r="AJ1371" s="441"/>
      <c r="AK1371" s="441"/>
      <c r="AL1371" s="441"/>
      <c r="AM1371" s="441"/>
      <c r="AN1371" s="441"/>
      <c r="AO1371" s="441"/>
      <c r="AP1371" s="441"/>
      <c r="AQ1371" s="441"/>
      <c r="AR1371" s="441"/>
      <c r="AS1371" s="441"/>
      <c r="AT1371" s="441"/>
      <c r="AU1371" s="441"/>
      <c r="AV1371" s="441"/>
      <c r="AW1371" s="441"/>
      <c r="AX1371" s="441"/>
      <c r="AY1371" s="441"/>
      <c r="AZ1371" s="441"/>
      <c r="BA1371" s="441"/>
      <c r="BB1371" s="441"/>
      <c r="BC1371" s="441"/>
      <c r="BD1371" s="441"/>
      <c r="BE1371" s="441"/>
      <c r="BF1371" s="441"/>
    </row>
    <row r="1372">
      <c r="A1372" s="798"/>
      <c r="B1372" s="795"/>
      <c r="C1372" s="795"/>
      <c r="D1372" s="795"/>
      <c r="E1372" s="795"/>
      <c r="F1372" s="795"/>
      <c r="G1372" s="795"/>
      <c r="H1372" s="795"/>
      <c r="I1372" s="796"/>
      <c r="J1372" s="441"/>
      <c r="K1372" s="441"/>
      <c r="L1372" s="797"/>
      <c r="M1372" s="441"/>
      <c r="N1372" s="441"/>
      <c r="O1372" s="441"/>
      <c r="P1372" s="441"/>
      <c r="Q1372" s="441"/>
      <c r="R1372" s="426"/>
      <c r="S1372" s="441"/>
      <c r="T1372" s="441"/>
      <c r="U1372" s="441"/>
      <c r="V1372" s="441"/>
      <c r="W1372" s="441"/>
      <c r="X1372" s="441"/>
      <c r="Y1372" s="441"/>
      <c r="Z1372" s="441"/>
      <c r="AA1372" s="441"/>
      <c r="AB1372" s="441"/>
      <c r="AC1372" s="441"/>
      <c r="AD1372" s="441"/>
      <c r="AE1372" s="441"/>
      <c r="AF1372" s="441"/>
      <c r="AG1372" s="441"/>
      <c r="AH1372" s="441"/>
      <c r="AI1372" s="441"/>
      <c r="AJ1372" s="441"/>
      <c r="AK1372" s="441"/>
      <c r="AL1372" s="441"/>
      <c r="AM1372" s="441"/>
      <c r="AN1372" s="441"/>
      <c r="AO1372" s="441"/>
      <c r="AP1372" s="441"/>
      <c r="AQ1372" s="441"/>
      <c r="AR1372" s="441"/>
      <c r="AS1372" s="441"/>
      <c r="AT1372" s="441"/>
      <c r="AU1372" s="441"/>
      <c r="AV1372" s="441"/>
      <c r="AW1372" s="441"/>
      <c r="AX1372" s="441"/>
      <c r="AY1372" s="441"/>
      <c r="AZ1372" s="441"/>
      <c r="BA1372" s="441"/>
      <c r="BB1372" s="441"/>
      <c r="BC1372" s="441"/>
      <c r="BD1372" s="441"/>
      <c r="BE1372" s="441"/>
      <c r="BF1372" s="441"/>
    </row>
    <row r="1373">
      <c r="A1373" s="798"/>
      <c r="B1373" s="795"/>
      <c r="C1373" s="795"/>
      <c r="D1373" s="795"/>
      <c r="E1373" s="795"/>
      <c r="F1373" s="795"/>
      <c r="G1373" s="795"/>
      <c r="H1373" s="795"/>
      <c r="I1373" s="796"/>
      <c r="J1373" s="441"/>
      <c r="K1373" s="441"/>
      <c r="L1373" s="797"/>
      <c r="M1373" s="441"/>
      <c r="N1373" s="441"/>
      <c r="O1373" s="441"/>
      <c r="P1373" s="441"/>
      <c r="Q1373" s="441"/>
      <c r="R1373" s="426"/>
      <c r="S1373" s="441"/>
      <c r="T1373" s="441"/>
      <c r="U1373" s="441"/>
      <c r="V1373" s="441"/>
      <c r="W1373" s="441"/>
      <c r="X1373" s="441"/>
      <c r="Y1373" s="441"/>
      <c r="Z1373" s="441"/>
      <c r="AA1373" s="441"/>
      <c r="AB1373" s="441"/>
      <c r="AC1373" s="441"/>
      <c r="AD1373" s="441"/>
      <c r="AE1373" s="441"/>
      <c r="AF1373" s="441"/>
      <c r="AG1373" s="441"/>
      <c r="AH1373" s="441"/>
      <c r="AI1373" s="441"/>
      <c r="AJ1373" s="441"/>
      <c r="AK1373" s="441"/>
      <c r="AL1373" s="441"/>
      <c r="AM1373" s="441"/>
      <c r="AN1373" s="441"/>
      <c r="AO1373" s="441"/>
      <c r="AP1373" s="441"/>
      <c r="AQ1373" s="441"/>
      <c r="AR1373" s="441"/>
      <c r="AS1373" s="441"/>
      <c r="AT1373" s="441"/>
      <c r="AU1373" s="441"/>
      <c r="AV1373" s="441"/>
      <c r="AW1373" s="441"/>
      <c r="AX1373" s="441"/>
      <c r="AY1373" s="441"/>
      <c r="AZ1373" s="441"/>
      <c r="BA1373" s="441"/>
      <c r="BB1373" s="441"/>
      <c r="BC1373" s="441"/>
      <c r="BD1373" s="441"/>
      <c r="BE1373" s="441"/>
      <c r="BF1373" s="441"/>
    </row>
    <row r="1374">
      <c r="A1374" s="798"/>
      <c r="B1374" s="795"/>
      <c r="C1374" s="795"/>
      <c r="D1374" s="795"/>
      <c r="E1374" s="795"/>
      <c r="F1374" s="795"/>
      <c r="G1374" s="795"/>
      <c r="H1374" s="795"/>
      <c r="I1374" s="796"/>
      <c r="J1374" s="441"/>
      <c r="K1374" s="441"/>
      <c r="L1374" s="797"/>
      <c r="M1374" s="441"/>
      <c r="N1374" s="441"/>
      <c r="O1374" s="441"/>
      <c r="P1374" s="441"/>
      <c r="Q1374" s="441"/>
      <c r="R1374" s="426"/>
      <c r="S1374" s="441"/>
      <c r="T1374" s="441"/>
      <c r="U1374" s="441"/>
      <c r="V1374" s="441"/>
      <c r="W1374" s="441"/>
      <c r="X1374" s="441"/>
      <c r="Y1374" s="441"/>
      <c r="Z1374" s="441"/>
      <c r="AA1374" s="441"/>
      <c r="AB1374" s="441"/>
      <c r="AC1374" s="441"/>
      <c r="AD1374" s="441"/>
      <c r="AE1374" s="441"/>
      <c r="AF1374" s="441"/>
      <c r="AG1374" s="441"/>
      <c r="AH1374" s="441"/>
      <c r="AI1374" s="441"/>
      <c r="AJ1374" s="441"/>
      <c r="AK1374" s="441"/>
      <c r="AL1374" s="441"/>
      <c r="AM1374" s="441"/>
      <c r="AN1374" s="441"/>
      <c r="AO1374" s="441"/>
      <c r="AP1374" s="441"/>
      <c r="AQ1374" s="441"/>
      <c r="AR1374" s="441"/>
      <c r="AS1374" s="441"/>
      <c r="AT1374" s="441"/>
      <c r="AU1374" s="441"/>
      <c r="AV1374" s="441"/>
      <c r="AW1374" s="441"/>
      <c r="AX1374" s="441"/>
      <c r="AY1374" s="441"/>
      <c r="AZ1374" s="441"/>
      <c r="BA1374" s="441"/>
      <c r="BB1374" s="441"/>
      <c r="BC1374" s="441"/>
      <c r="BD1374" s="441"/>
      <c r="BE1374" s="441"/>
      <c r="BF1374" s="441"/>
    </row>
    <row r="1375">
      <c r="A1375" s="798"/>
      <c r="B1375" s="795"/>
      <c r="C1375" s="795"/>
      <c r="D1375" s="795"/>
      <c r="E1375" s="795"/>
      <c r="F1375" s="795"/>
      <c r="G1375" s="795"/>
      <c r="H1375" s="795"/>
      <c r="I1375" s="796"/>
      <c r="J1375" s="441"/>
      <c r="K1375" s="441"/>
      <c r="L1375" s="797"/>
      <c r="M1375" s="441"/>
      <c r="N1375" s="441"/>
      <c r="O1375" s="441"/>
      <c r="P1375" s="441"/>
      <c r="Q1375" s="441"/>
      <c r="R1375" s="426"/>
      <c r="S1375" s="441"/>
      <c r="T1375" s="441"/>
      <c r="U1375" s="441"/>
      <c r="V1375" s="441"/>
      <c r="W1375" s="441"/>
      <c r="X1375" s="441"/>
      <c r="Y1375" s="441"/>
      <c r="Z1375" s="441"/>
      <c r="AA1375" s="441"/>
      <c r="AB1375" s="441"/>
      <c r="AC1375" s="441"/>
      <c r="AD1375" s="441"/>
      <c r="AE1375" s="441"/>
      <c r="AF1375" s="441"/>
      <c r="AG1375" s="441"/>
      <c r="AH1375" s="441"/>
      <c r="AI1375" s="441"/>
      <c r="AJ1375" s="441"/>
      <c r="AK1375" s="441"/>
      <c r="AL1375" s="441"/>
      <c r="AM1375" s="441"/>
      <c r="AN1375" s="441"/>
      <c r="AO1375" s="441"/>
      <c r="AP1375" s="441"/>
      <c r="AQ1375" s="441"/>
      <c r="AR1375" s="441"/>
      <c r="AS1375" s="441"/>
      <c r="AT1375" s="441"/>
      <c r="AU1375" s="441"/>
      <c r="AV1375" s="441"/>
      <c r="AW1375" s="441"/>
      <c r="AX1375" s="441"/>
      <c r="AY1375" s="441"/>
      <c r="AZ1375" s="441"/>
      <c r="BA1375" s="441"/>
      <c r="BB1375" s="441"/>
      <c r="BC1375" s="441"/>
      <c r="BD1375" s="441"/>
      <c r="BE1375" s="441"/>
      <c r="BF1375" s="441"/>
    </row>
    <row r="1376">
      <c r="A1376" s="798"/>
      <c r="B1376" s="795"/>
      <c r="C1376" s="795"/>
      <c r="D1376" s="795"/>
      <c r="E1376" s="795"/>
      <c r="F1376" s="795"/>
      <c r="G1376" s="795"/>
      <c r="H1376" s="795"/>
      <c r="I1376" s="796"/>
      <c r="J1376" s="441"/>
      <c r="K1376" s="441"/>
      <c r="L1376" s="797"/>
      <c r="M1376" s="441"/>
      <c r="N1376" s="441"/>
      <c r="O1376" s="441"/>
      <c r="P1376" s="441"/>
      <c r="Q1376" s="441"/>
      <c r="R1376" s="426"/>
      <c r="S1376" s="441"/>
      <c r="T1376" s="441"/>
      <c r="U1376" s="441"/>
      <c r="V1376" s="441"/>
      <c r="W1376" s="441"/>
      <c r="X1376" s="441"/>
      <c r="Y1376" s="441"/>
      <c r="Z1376" s="441"/>
      <c r="AA1376" s="441"/>
      <c r="AB1376" s="441"/>
      <c r="AC1376" s="441"/>
      <c r="AD1376" s="441"/>
      <c r="AE1376" s="441"/>
      <c r="AF1376" s="441"/>
      <c r="AG1376" s="441"/>
      <c r="AH1376" s="441"/>
      <c r="AI1376" s="441"/>
      <c r="AJ1376" s="441"/>
      <c r="AK1376" s="441"/>
      <c r="AL1376" s="441"/>
      <c r="AM1376" s="441"/>
      <c r="AN1376" s="441"/>
      <c r="AO1376" s="441"/>
      <c r="AP1376" s="441"/>
      <c r="AQ1376" s="441"/>
      <c r="AR1376" s="441"/>
      <c r="AS1376" s="441"/>
      <c r="AT1376" s="441"/>
      <c r="AU1376" s="441"/>
      <c r="AV1376" s="441"/>
      <c r="AW1376" s="441"/>
      <c r="AX1376" s="441"/>
      <c r="AY1376" s="441"/>
      <c r="AZ1376" s="441"/>
      <c r="BA1376" s="441"/>
      <c r="BB1376" s="441"/>
      <c r="BC1376" s="441"/>
      <c r="BD1376" s="441"/>
      <c r="BE1376" s="441"/>
      <c r="BF1376" s="441"/>
    </row>
    <row r="1377">
      <c r="A1377" s="798"/>
      <c r="B1377" s="795"/>
      <c r="C1377" s="795"/>
      <c r="D1377" s="795"/>
      <c r="E1377" s="795"/>
      <c r="F1377" s="795"/>
      <c r="G1377" s="795"/>
      <c r="H1377" s="795"/>
      <c r="I1377" s="796"/>
      <c r="J1377" s="441"/>
      <c r="K1377" s="441"/>
      <c r="L1377" s="797"/>
      <c r="M1377" s="441"/>
      <c r="N1377" s="441"/>
      <c r="O1377" s="441"/>
      <c r="P1377" s="441"/>
      <c r="Q1377" s="441"/>
      <c r="R1377" s="426"/>
      <c r="S1377" s="441"/>
      <c r="T1377" s="441"/>
      <c r="U1377" s="441"/>
      <c r="V1377" s="441"/>
      <c r="W1377" s="441"/>
      <c r="X1377" s="441"/>
      <c r="Y1377" s="441"/>
      <c r="Z1377" s="441"/>
      <c r="AA1377" s="441"/>
      <c r="AB1377" s="441"/>
      <c r="AC1377" s="441"/>
      <c r="AD1377" s="441"/>
      <c r="AE1377" s="441"/>
      <c r="AF1377" s="441"/>
      <c r="AG1377" s="441"/>
      <c r="AH1377" s="441"/>
      <c r="AI1377" s="441"/>
      <c r="AJ1377" s="441"/>
      <c r="AK1377" s="441"/>
      <c r="AL1377" s="441"/>
      <c r="AM1377" s="441"/>
      <c r="AN1377" s="441"/>
      <c r="AO1377" s="441"/>
      <c r="AP1377" s="441"/>
      <c r="AQ1377" s="441"/>
      <c r="AR1377" s="441"/>
      <c r="AS1377" s="441"/>
      <c r="AT1377" s="441"/>
      <c r="AU1377" s="441"/>
      <c r="AV1377" s="441"/>
      <c r="AW1377" s="441"/>
      <c r="AX1377" s="441"/>
      <c r="AY1377" s="441"/>
      <c r="AZ1377" s="441"/>
      <c r="BA1377" s="441"/>
      <c r="BB1377" s="441"/>
      <c r="BC1377" s="441"/>
      <c r="BD1377" s="441"/>
      <c r="BE1377" s="441"/>
      <c r="BF1377" s="441"/>
    </row>
    <row r="1378">
      <c r="A1378" s="798"/>
      <c r="B1378" s="795"/>
      <c r="C1378" s="795"/>
      <c r="D1378" s="795"/>
      <c r="E1378" s="795"/>
      <c r="F1378" s="795"/>
      <c r="G1378" s="795"/>
      <c r="H1378" s="795"/>
      <c r="I1378" s="796"/>
      <c r="J1378" s="441"/>
      <c r="K1378" s="441"/>
      <c r="L1378" s="797"/>
      <c r="M1378" s="441"/>
      <c r="N1378" s="441"/>
      <c r="O1378" s="441"/>
      <c r="P1378" s="441"/>
      <c r="Q1378" s="441"/>
      <c r="R1378" s="426"/>
      <c r="S1378" s="441"/>
      <c r="T1378" s="441"/>
      <c r="U1378" s="441"/>
      <c r="V1378" s="441"/>
      <c r="W1378" s="441"/>
      <c r="X1378" s="441"/>
      <c r="Y1378" s="441"/>
      <c r="Z1378" s="441"/>
      <c r="AA1378" s="441"/>
      <c r="AB1378" s="441"/>
      <c r="AC1378" s="441"/>
      <c r="AD1378" s="441"/>
      <c r="AE1378" s="441"/>
      <c r="AF1378" s="441"/>
      <c r="AG1378" s="441"/>
      <c r="AH1378" s="441"/>
      <c r="AI1378" s="441"/>
      <c r="AJ1378" s="441"/>
      <c r="AK1378" s="441"/>
      <c r="AL1378" s="441"/>
      <c r="AM1378" s="441"/>
      <c r="AN1378" s="441"/>
      <c r="AO1378" s="441"/>
      <c r="AP1378" s="441"/>
      <c r="AQ1378" s="441"/>
      <c r="AR1378" s="441"/>
      <c r="AS1378" s="441"/>
      <c r="AT1378" s="441"/>
      <c r="AU1378" s="441"/>
      <c r="AV1378" s="441"/>
      <c r="AW1378" s="441"/>
      <c r="AX1378" s="441"/>
      <c r="AY1378" s="441"/>
      <c r="AZ1378" s="441"/>
      <c r="BA1378" s="441"/>
      <c r="BB1378" s="441"/>
      <c r="BC1378" s="441"/>
      <c r="BD1378" s="441"/>
      <c r="BE1378" s="441"/>
      <c r="BF1378" s="441"/>
    </row>
    <row r="1379">
      <c r="A1379" s="798"/>
      <c r="B1379" s="795"/>
      <c r="C1379" s="795"/>
      <c r="D1379" s="795"/>
      <c r="E1379" s="795"/>
      <c r="F1379" s="795"/>
      <c r="G1379" s="795"/>
      <c r="H1379" s="795"/>
      <c r="I1379" s="796"/>
      <c r="J1379" s="441"/>
      <c r="K1379" s="441"/>
      <c r="L1379" s="797"/>
      <c r="M1379" s="441"/>
      <c r="N1379" s="441"/>
      <c r="O1379" s="441"/>
      <c r="P1379" s="441"/>
      <c r="Q1379" s="441"/>
      <c r="R1379" s="426"/>
      <c r="S1379" s="441"/>
      <c r="T1379" s="441"/>
      <c r="U1379" s="441"/>
      <c r="V1379" s="441"/>
      <c r="W1379" s="441"/>
      <c r="X1379" s="441"/>
      <c r="Y1379" s="441"/>
      <c r="Z1379" s="441"/>
      <c r="AA1379" s="441"/>
      <c r="AB1379" s="441"/>
      <c r="AC1379" s="441"/>
      <c r="AD1379" s="441"/>
      <c r="AE1379" s="441"/>
      <c r="AF1379" s="441"/>
      <c r="AG1379" s="441"/>
      <c r="AH1379" s="441"/>
      <c r="AI1379" s="441"/>
      <c r="AJ1379" s="441"/>
      <c r="AK1379" s="441"/>
      <c r="AL1379" s="441"/>
      <c r="AM1379" s="441"/>
      <c r="AN1379" s="441"/>
      <c r="AO1379" s="441"/>
      <c r="AP1379" s="441"/>
      <c r="AQ1379" s="441"/>
      <c r="AR1379" s="441"/>
      <c r="AS1379" s="441"/>
      <c r="AT1379" s="441"/>
      <c r="AU1379" s="441"/>
      <c r="AV1379" s="441"/>
      <c r="AW1379" s="441"/>
      <c r="AX1379" s="441"/>
      <c r="AY1379" s="441"/>
      <c r="AZ1379" s="441"/>
      <c r="BA1379" s="441"/>
      <c r="BB1379" s="441"/>
      <c r="BC1379" s="441"/>
      <c r="BD1379" s="441"/>
      <c r="BE1379" s="441"/>
      <c r="BF1379" s="441"/>
    </row>
    <row r="1380">
      <c r="A1380" s="798"/>
      <c r="B1380" s="795"/>
      <c r="C1380" s="795"/>
      <c r="D1380" s="795"/>
      <c r="E1380" s="795"/>
      <c r="F1380" s="795"/>
      <c r="G1380" s="795"/>
      <c r="H1380" s="795"/>
      <c r="I1380" s="796"/>
      <c r="J1380" s="441"/>
      <c r="K1380" s="441"/>
      <c r="L1380" s="797"/>
      <c r="M1380" s="441"/>
      <c r="N1380" s="441"/>
      <c r="O1380" s="441"/>
      <c r="P1380" s="441"/>
      <c r="Q1380" s="441"/>
      <c r="R1380" s="426"/>
      <c r="S1380" s="441"/>
      <c r="T1380" s="441"/>
      <c r="U1380" s="441"/>
      <c r="V1380" s="441"/>
      <c r="W1380" s="441"/>
      <c r="X1380" s="441"/>
      <c r="Y1380" s="441"/>
      <c r="Z1380" s="441"/>
      <c r="AA1380" s="441"/>
      <c r="AB1380" s="441"/>
      <c r="AC1380" s="441"/>
      <c r="AD1380" s="441"/>
      <c r="AE1380" s="441"/>
      <c r="AF1380" s="441"/>
      <c r="AG1380" s="441"/>
      <c r="AH1380" s="441"/>
      <c r="AI1380" s="441"/>
      <c r="AJ1380" s="441"/>
      <c r="AK1380" s="441"/>
      <c r="AL1380" s="441"/>
      <c r="AM1380" s="441"/>
      <c r="AN1380" s="441"/>
      <c r="AO1380" s="441"/>
      <c r="AP1380" s="441"/>
      <c r="AQ1380" s="441"/>
      <c r="AR1380" s="441"/>
      <c r="AS1380" s="441"/>
      <c r="AT1380" s="441"/>
      <c r="AU1380" s="441"/>
      <c r="AV1380" s="441"/>
      <c r="AW1380" s="441"/>
      <c r="AX1380" s="441"/>
      <c r="AY1380" s="441"/>
      <c r="AZ1380" s="441"/>
      <c r="BA1380" s="441"/>
      <c r="BB1380" s="441"/>
      <c r="BC1380" s="441"/>
      <c r="BD1380" s="441"/>
      <c r="BE1380" s="441"/>
      <c r="BF1380" s="441"/>
    </row>
    <row r="1381">
      <c r="A1381" s="798"/>
      <c r="B1381" s="795"/>
      <c r="C1381" s="795"/>
      <c r="D1381" s="795"/>
      <c r="E1381" s="795"/>
      <c r="F1381" s="795"/>
      <c r="G1381" s="795"/>
      <c r="H1381" s="795"/>
      <c r="I1381" s="796"/>
      <c r="J1381" s="441"/>
      <c r="K1381" s="441"/>
      <c r="L1381" s="797"/>
      <c r="M1381" s="441"/>
      <c r="N1381" s="441"/>
      <c r="O1381" s="441"/>
      <c r="P1381" s="441"/>
      <c r="Q1381" s="441"/>
      <c r="R1381" s="426"/>
      <c r="S1381" s="441"/>
      <c r="T1381" s="441"/>
      <c r="U1381" s="441"/>
      <c r="V1381" s="441"/>
      <c r="W1381" s="441"/>
      <c r="X1381" s="441"/>
      <c r="Y1381" s="441"/>
      <c r="Z1381" s="441"/>
      <c r="AA1381" s="441"/>
      <c r="AB1381" s="441"/>
      <c r="AC1381" s="441"/>
      <c r="AD1381" s="441"/>
      <c r="AE1381" s="441"/>
      <c r="AF1381" s="441"/>
      <c r="AG1381" s="441"/>
      <c r="AH1381" s="441"/>
      <c r="AI1381" s="441"/>
      <c r="AJ1381" s="441"/>
      <c r="AK1381" s="441"/>
      <c r="AL1381" s="441"/>
      <c r="AM1381" s="441"/>
      <c r="AN1381" s="441"/>
      <c r="AO1381" s="441"/>
      <c r="AP1381" s="441"/>
      <c r="AQ1381" s="441"/>
      <c r="AR1381" s="441"/>
      <c r="AS1381" s="441"/>
      <c r="AT1381" s="441"/>
      <c r="AU1381" s="441"/>
      <c r="AV1381" s="441"/>
      <c r="AW1381" s="441"/>
      <c r="AX1381" s="441"/>
      <c r="AY1381" s="441"/>
      <c r="AZ1381" s="441"/>
      <c r="BA1381" s="441"/>
      <c r="BB1381" s="441"/>
      <c r="BC1381" s="441"/>
      <c r="BD1381" s="441"/>
      <c r="BE1381" s="441"/>
      <c r="BF1381" s="441"/>
    </row>
    <row r="1382">
      <c r="A1382" s="798"/>
      <c r="B1382" s="795"/>
      <c r="C1382" s="795"/>
      <c r="D1382" s="795"/>
      <c r="E1382" s="795"/>
      <c r="F1382" s="795"/>
      <c r="G1382" s="795"/>
      <c r="H1382" s="795"/>
      <c r="I1382" s="796"/>
      <c r="J1382" s="441"/>
      <c r="K1382" s="441"/>
      <c r="L1382" s="797"/>
      <c r="M1382" s="441"/>
      <c r="N1382" s="441"/>
      <c r="O1382" s="441"/>
      <c r="P1382" s="441"/>
      <c r="Q1382" s="441"/>
      <c r="R1382" s="426"/>
      <c r="S1382" s="441"/>
      <c r="T1382" s="441"/>
      <c r="U1382" s="441"/>
      <c r="V1382" s="441"/>
      <c r="W1382" s="441"/>
      <c r="X1382" s="441"/>
      <c r="Y1382" s="441"/>
      <c r="Z1382" s="441"/>
      <c r="AA1382" s="441"/>
      <c r="AB1382" s="441"/>
      <c r="AC1382" s="441"/>
      <c r="AD1382" s="441"/>
      <c r="AE1382" s="441"/>
      <c r="AF1382" s="441"/>
      <c r="AG1382" s="441"/>
      <c r="AH1382" s="441"/>
      <c r="AI1382" s="441"/>
      <c r="AJ1382" s="441"/>
      <c r="AK1382" s="441"/>
      <c r="AL1382" s="441"/>
      <c r="AM1382" s="441"/>
      <c r="AN1382" s="441"/>
      <c r="AO1382" s="441"/>
      <c r="AP1382" s="441"/>
      <c r="AQ1382" s="441"/>
      <c r="AR1382" s="441"/>
      <c r="AS1382" s="441"/>
      <c r="AT1382" s="441"/>
      <c r="AU1382" s="441"/>
      <c r="AV1382" s="441"/>
      <c r="AW1382" s="441"/>
      <c r="AX1382" s="441"/>
      <c r="AY1382" s="441"/>
      <c r="AZ1382" s="441"/>
      <c r="BA1382" s="441"/>
      <c r="BB1382" s="441"/>
      <c r="BC1382" s="441"/>
      <c r="BD1382" s="441"/>
      <c r="BE1382" s="441"/>
      <c r="BF1382" s="441"/>
    </row>
    <row r="1383">
      <c r="A1383" s="798"/>
      <c r="B1383" s="795"/>
      <c r="C1383" s="795"/>
      <c r="D1383" s="795"/>
      <c r="E1383" s="795"/>
      <c r="F1383" s="795"/>
      <c r="G1383" s="795"/>
      <c r="H1383" s="795"/>
      <c r="I1383" s="796"/>
      <c r="J1383" s="441"/>
      <c r="K1383" s="441"/>
      <c r="L1383" s="797"/>
      <c r="M1383" s="441"/>
      <c r="N1383" s="441"/>
      <c r="O1383" s="441"/>
      <c r="P1383" s="441"/>
      <c r="Q1383" s="441"/>
      <c r="R1383" s="426"/>
      <c r="S1383" s="441"/>
      <c r="T1383" s="441"/>
      <c r="U1383" s="441"/>
      <c r="V1383" s="441"/>
      <c r="W1383" s="441"/>
      <c r="X1383" s="441"/>
      <c r="Y1383" s="441"/>
      <c r="Z1383" s="441"/>
      <c r="AA1383" s="441"/>
      <c r="AB1383" s="441"/>
      <c r="AC1383" s="441"/>
      <c r="AD1383" s="441"/>
      <c r="AE1383" s="441"/>
      <c r="AF1383" s="441"/>
      <c r="AG1383" s="441"/>
      <c r="AH1383" s="441"/>
      <c r="AI1383" s="441"/>
      <c r="AJ1383" s="441"/>
      <c r="AK1383" s="441"/>
      <c r="AL1383" s="441"/>
      <c r="AM1383" s="441"/>
      <c r="AN1383" s="441"/>
      <c r="AO1383" s="441"/>
      <c r="AP1383" s="441"/>
      <c r="AQ1383" s="441"/>
      <c r="AR1383" s="441"/>
      <c r="AS1383" s="441"/>
      <c r="AT1383" s="441"/>
      <c r="AU1383" s="441"/>
      <c r="AV1383" s="441"/>
      <c r="AW1383" s="441"/>
      <c r="AX1383" s="441"/>
      <c r="AY1383" s="441"/>
      <c r="AZ1383" s="441"/>
      <c r="BA1383" s="441"/>
      <c r="BB1383" s="441"/>
      <c r="BC1383" s="441"/>
      <c r="BD1383" s="441"/>
      <c r="BE1383" s="441"/>
      <c r="BF1383" s="441"/>
    </row>
    <row r="1384">
      <c r="A1384" s="798"/>
      <c r="B1384" s="795"/>
      <c r="C1384" s="795"/>
      <c r="D1384" s="795"/>
      <c r="E1384" s="795"/>
      <c r="F1384" s="795"/>
      <c r="G1384" s="795"/>
      <c r="H1384" s="795"/>
      <c r="I1384" s="796"/>
      <c r="J1384" s="441"/>
      <c r="K1384" s="441"/>
      <c r="L1384" s="797"/>
      <c r="M1384" s="441"/>
      <c r="N1384" s="441"/>
      <c r="O1384" s="441"/>
      <c r="P1384" s="441"/>
      <c r="Q1384" s="441"/>
      <c r="R1384" s="426"/>
      <c r="S1384" s="441"/>
      <c r="T1384" s="441"/>
      <c r="U1384" s="441"/>
      <c r="V1384" s="441"/>
      <c r="W1384" s="441"/>
      <c r="X1384" s="441"/>
      <c r="Y1384" s="441"/>
      <c r="Z1384" s="441"/>
      <c r="AA1384" s="441"/>
      <c r="AB1384" s="441"/>
      <c r="AC1384" s="441"/>
      <c r="AD1384" s="441"/>
      <c r="AE1384" s="441"/>
      <c r="AF1384" s="441"/>
      <c r="AG1384" s="441"/>
      <c r="AH1384" s="441"/>
      <c r="AI1384" s="441"/>
      <c r="AJ1384" s="441"/>
      <c r="AK1384" s="441"/>
      <c r="AL1384" s="441"/>
      <c r="AM1384" s="441"/>
      <c r="AN1384" s="441"/>
      <c r="AO1384" s="441"/>
      <c r="AP1384" s="441"/>
      <c r="AQ1384" s="441"/>
      <c r="AR1384" s="441"/>
      <c r="AS1384" s="441"/>
      <c r="AT1384" s="441"/>
      <c r="AU1384" s="441"/>
      <c r="AV1384" s="441"/>
      <c r="AW1384" s="441"/>
      <c r="AX1384" s="441"/>
      <c r="AY1384" s="441"/>
      <c r="AZ1384" s="441"/>
      <c r="BA1384" s="441"/>
      <c r="BB1384" s="441"/>
      <c r="BC1384" s="441"/>
      <c r="BD1384" s="441"/>
      <c r="BE1384" s="441"/>
      <c r="BF1384" s="441"/>
    </row>
    <row r="1385">
      <c r="A1385" s="798"/>
      <c r="B1385" s="795"/>
      <c r="C1385" s="795"/>
      <c r="D1385" s="795"/>
      <c r="E1385" s="795"/>
      <c r="F1385" s="795"/>
      <c r="G1385" s="795"/>
      <c r="H1385" s="795"/>
      <c r="I1385" s="796"/>
      <c r="J1385" s="441"/>
      <c r="K1385" s="441"/>
      <c r="L1385" s="797"/>
      <c r="M1385" s="441"/>
      <c r="N1385" s="441"/>
      <c r="O1385" s="441"/>
      <c r="P1385" s="441"/>
      <c r="Q1385" s="441"/>
      <c r="R1385" s="426"/>
      <c r="S1385" s="441"/>
      <c r="T1385" s="441"/>
      <c r="U1385" s="441"/>
      <c r="V1385" s="441"/>
      <c r="W1385" s="441"/>
      <c r="X1385" s="441"/>
      <c r="Y1385" s="441"/>
      <c r="Z1385" s="441"/>
      <c r="AA1385" s="441"/>
      <c r="AB1385" s="441"/>
      <c r="AC1385" s="441"/>
      <c r="AD1385" s="441"/>
      <c r="AE1385" s="441"/>
      <c r="AF1385" s="441"/>
      <c r="AG1385" s="441"/>
      <c r="AH1385" s="441"/>
      <c r="AI1385" s="441"/>
      <c r="AJ1385" s="441"/>
      <c r="AK1385" s="441"/>
      <c r="AL1385" s="441"/>
      <c r="AM1385" s="441"/>
      <c r="AN1385" s="441"/>
      <c r="AO1385" s="441"/>
      <c r="AP1385" s="441"/>
      <c r="AQ1385" s="441"/>
      <c r="AR1385" s="441"/>
      <c r="AS1385" s="441"/>
      <c r="AT1385" s="441"/>
      <c r="AU1385" s="441"/>
      <c r="AV1385" s="441"/>
      <c r="AW1385" s="441"/>
      <c r="AX1385" s="441"/>
      <c r="AY1385" s="441"/>
      <c r="AZ1385" s="441"/>
      <c r="BA1385" s="441"/>
      <c r="BB1385" s="441"/>
      <c r="BC1385" s="441"/>
      <c r="BD1385" s="441"/>
      <c r="BE1385" s="441"/>
      <c r="BF1385" s="441"/>
    </row>
    <row r="1386">
      <c r="A1386" s="798"/>
      <c r="B1386" s="795"/>
      <c r="C1386" s="795"/>
      <c r="D1386" s="795"/>
      <c r="E1386" s="795"/>
      <c r="F1386" s="795"/>
      <c r="G1386" s="795"/>
      <c r="H1386" s="795"/>
      <c r="I1386" s="796"/>
      <c r="J1386" s="441"/>
      <c r="K1386" s="441"/>
      <c r="L1386" s="797"/>
      <c r="M1386" s="441"/>
      <c r="N1386" s="441"/>
      <c r="O1386" s="441"/>
      <c r="P1386" s="441"/>
      <c r="Q1386" s="441"/>
      <c r="R1386" s="426"/>
      <c r="S1386" s="441"/>
      <c r="T1386" s="441"/>
      <c r="U1386" s="441"/>
      <c r="V1386" s="441"/>
      <c r="W1386" s="441"/>
      <c r="X1386" s="441"/>
      <c r="Y1386" s="441"/>
      <c r="Z1386" s="441"/>
      <c r="AA1386" s="441"/>
      <c r="AB1386" s="441"/>
      <c r="AC1386" s="441"/>
      <c r="AD1386" s="441"/>
      <c r="AE1386" s="441"/>
      <c r="AF1386" s="441"/>
      <c r="AG1386" s="441"/>
      <c r="AH1386" s="441"/>
      <c r="AI1386" s="441"/>
      <c r="AJ1386" s="441"/>
      <c r="AK1386" s="441"/>
      <c r="AL1386" s="441"/>
      <c r="AM1386" s="441"/>
      <c r="AN1386" s="441"/>
      <c r="AO1386" s="441"/>
      <c r="AP1386" s="441"/>
      <c r="AQ1386" s="441"/>
      <c r="AR1386" s="441"/>
      <c r="AS1386" s="441"/>
      <c r="AT1386" s="441"/>
      <c r="AU1386" s="441"/>
      <c r="AV1386" s="441"/>
      <c r="AW1386" s="441"/>
      <c r="AX1386" s="441"/>
      <c r="AY1386" s="441"/>
      <c r="AZ1386" s="441"/>
      <c r="BA1386" s="441"/>
      <c r="BB1386" s="441"/>
      <c r="BC1386" s="441"/>
      <c r="BD1386" s="441"/>
      <c r="BE1386" s="441"/>
      <c r="BF1386" s="441"/>
    </row>
    <row r="1387">
      <c r="A1387" s="798"/>
      <c r="B1387" s="795"/>
      <c r="C1387" s="795"/>
      <c r="D1387" s="795"/>
      <c r="E1387" s="795"/>
      <c r="F1387" s="795"/>
      <c r="G1387" s="795"/>
      <c r="H1387" s="795"/>
      <c r="I1387" s="796"/>
      <c r="J1387" s="441"/>
      <c r="K1387" s="441"/>
      <c r="L1387" s="797"/>
      <c r="M1387" s="441"/>
      <c r="N1387" s="441"/>
      <c r="O1387" s="441"/>
      <c r="P1387" s="441"/>
      <c r="Q1387" s="441"/>
      <c r="R1387" s="426"/>
      <c r="S1387" s="441"/>
      <c r="T1387" s="441"/>
      <c r="U1387" s="441"/>
      <c r="V1387" s="441"/>
      <c r="W1387" s="441"/>
      <c r="X1387" s="441"/>
      <c r="Y1387" s="441"/>
      <c r="Z1387" s="441"/>
      <c r="AA1387" s="441"/>
      <c r="AB1387" s="441"/>
      <c r="AC1387" s="441"/>
      <c r="AD1387" s="441"/>
      <c r="AE1387" s="441"/>
      <c r="AF1387" s="441"/>
      <c r="AG1387" s="441"/>
      <c r="AH1387" s="441"/>
      <c r="AI1387" s="441"/>
      <c r="AJ1387" s="441"/>
      <c r="AK1387" s="441"/>
      <c r="AL1387" s="441"/>
      <c r="AM1387" s="441"/>
      <c r="AN1387" s="441"/>
      <c r="AO1387" s="441"/>
      <c r="AP1387" s="441"/>
      <c r="AQ1387" s="441"/>
      <c r="AR1387" s="441"/>
      <c r="AS1387" s="441"/>
      <c r="AT1387" s="441"/>
      <c r="AU1387" s="441"/>
      <c r="AV1387" s="441"/>
      <c r="AW1387" s="441"/>
      <c r="AX1387" s="441"/>
      <c r="AY1387" s="441"/>
      <c r="AZ1387" s="441"/>
      <c r="BA1387" s="441"/>
      <c r="BB1387" s="441"/>
      <c r="BC1387" s="441"/>
      <c r="BD1387" s="441"/>
      <c r="BE1387" s="441"/>
      <c r="BF1387" s="441"/>
    </row>
    <row r="1388">
      <c r="A1388" s="798"/>
      <c r="B1388" s="795"/>
      <c r="C1388" s="795"/>
      <c r="D1388" s="795"/>
      <c r="E1388" s="795"/>
      <c r="F1388" s="795"/>
      <c r="G1388" s="795"/>
      <c r="H1388" s="795"/>
      <c r="I1388" s="796"/>
      <c r="J1388" s="441"/>
      <c r="K1388" s="441"/>
      <c r="L1388" s="797"/>
      <c r="M1388" s="441"/>
      <c r="N1388" s="441"/>
      <c r="O1388" s="441"/>
      <c r="P1388" s="441"/>
      <c r="Q1388" s="441"/>
      <c r="R1388" s="426"/>
      <c r="S1388" s="441"/>
      <c r="T1388" s="441"/>
      <c r="U1388" s="441"/>
      <c r="V1388" s="441"/>
      <c r="W1388" s="441"/>
      <c r="X1388" s="441"/>
      <c r="Y1388" s="441"/>
      <c r="Z1388" s="441"/>
      <c r="AA1388" s="441"/>
      <c r="AB1388" s="441"/>
      <c r="AC1388" s="441"/>
      <c r="AD1388" s="441"/>
      <c r="AE1388" s="441"/>
      <c r="AF1388" s="441"/>
      <c r="AG1388" s="441"/>
      <c r="AH1388" s="441"/>
      <c r="AI1388" s="441"/>
      <c r="AJ1388" s="441"/>
      <c r="AK1388" s="441"/>
      <c r="AL1388" s="441"/>
      <c r="AM1388" s="441"/>
      <c r="AN1388" s="441"/>
      <c r="AO1388" s="441"/>
      <c r="AP1388" s="441"/>
      <c r="AQ1388" s="441"/>
      <c r="AR1388" s="441"/>
      <c r="AS1388" s="441"/>
      <c r="AT1388" s="441"/>
      <c r="AU1388" s="441"/>
      <c r="AV1388" s="441"/>
      <c r="AW1388" s="441"/>
      <c r="AX1388" s="441"/>
      <c r="AY1388" s="441"/>
      <c r="AZ1388" s="441"/>
      <c r="BA1388" s="441"/>
      <c r="BB1388" s="441"/>
      <c r="BC1388" s="441"/>
      <c r="BD1388" s="441"/>
      <c r="BE1388" s="441"/>
      <c r="BF1388" s="441"/>
    </row>
    <row r="1389">
      <c r="A1389" s="798"/>
      <c r="B1389" s="795"/>
      <c r="C1389" s="795"/>
      <c r="D1389" s="795"/>
      <c r="E1389" s="795"/>
      <c r="F1389" s="795"/>
      <c r="G1389" s="795"/>
      <c r="H1389" s="795"/>
      <c r="I1389" s="796"/>
      <c r="J1389" s="441"/>
      <c r="K1389" s="441"/>
      <c r="L1389" s="797"/>
      <c r="M1389" s="441"/>
      <c r="N1389" s="441"/>
      <c r="O1389" s="441"/>
      <c r="P1389" s="441"/>
      <c r="Q1389" s="441"/>
      <c r="R1389" s="426"/>
      <c r="S1389" s="441"/>
      <c r="T1389" s="441"/>
      <c r="U1389" s="441"/>
      <c r="V1389" s="441"/>
      <c r="W1389" s="441"/>
      <c r="X1389" s="441"/>
      <c r="Y1389" s="441"/>
      <c r="Z1389" s="441"/>
      <c r="AA1389" s="441"/>
      <c r="AB1389" s="441"/>
      <c r="AC1389" s="441"/>
      <c r="AD1389" s="441"/>
      <c r="AE1389" s="441"/>
      <c r="AF1389" s="441"/>
      <c r="AG1389" s="441"/>
      <c r="AH1389" s="441"/>
      <c r="AI1389" s="441"/>
      <c r="AJ1389" s="441"/>
      <c r="AK1389" s="441"/>
      <c r="AL1389" s="441"/>
      <c r="AM1389" s="441"/>
      <c r="AN1389" s="441"/>
      <c r="AO1389" s="441"/>
      <c r="AP1389" s="441"/>
      <c r="AQ1389" s="441"/>
      <c r="AR1389" s="441"/>
      <c r="AS1389" s="441"/>
      <c r="AT1389" s="441"/>
      <c r="AU1389" s="441"/>
      <c r="AV1389" s="441"/>
      <c r="AW1389" s="441"/>
      <c r="AX1389" s="441"/>
      <c r="AY1389" s="441"/>
      <c r="AZ1389" s="441"/>
      <c r="BA1389" s="441"/>
      <c r="BB1389" s="441"/>
      <c r="BC1389" s="441"/>
      <c r="BD1389" s="441"/>
      <c r="BE1389" s="441"/>
      <c r="BF1389" s="441"/>
    </row>
    <row r="1390">
      <c r="A1390" s="798"/>
      <c r="B1390" s="795"/>
      <c r="C1390" s="795"/>
      <c r="D1390" s="795"/>
      <c r="E1390" s="795"/>
      <c r="F1390" s="795"/>
      <c r="G1390" s="795"/>
      <c r="H1390" s="795"/>
      <c r="I1390" s="796"/>
      <c r="J1390" s="441"/>
      <c r="K1390" s="441"/>
      <c r="L1390" s="797"/>
      <c r="M1390" s="441"/>
      <c r="N1390" s="441"/>
      <c r="O1390" s="441"/>
      <c r="P1390" s="441"/>
      <c r="Q1390" s="441"/>
      <c r="R1390" s="426"/>
      <c r="S1390" s="441"/>
      <c r="T1390" s="441"/>
      <c r="U1390" s="441"/>
      <c r="V1390" s="441"/>
      <c r="W1390" s="441"/>
      <c r="X1390" s="441"/>
      <c r="Y1390" s="441"/>
      <c r="Z1390" s="441"/>
      <c r="AA1390" s="441"/>
      <c r="AB1390" s="441"/>
      <c r="AC1390" s="441"/>
      <c r="AD1390" s="441"/>
      <c r="AE1390" s="441"/>
      <c r="AF1390" s="441"/>
      <c r="AG1390" s="441"/>
      <c r="AH1390" s="441"/>
      <c r="AI1390" s="441"/>
      <c r="AJ1390" s="441"/>
      <c r="AK1390" s="441"/>
      <c r="AL1390" s="441"/>
      <c r="AM1390" s="441"/>
      <c r="AN1390" s="441"/>
      <c r="AO1390" s="441"/>
      <c r="AP1390" s="441"/>
      <c r="AQ1390" s="441"/>
      <c r="AR1390" s="441"/>
      <c r="AS1390" s="441"/>
      <c r="AT1390" s="441"/>
      <c r="AU1390" s="441"/>
      <c r="AV1390" s="441"/>
      <c r="AW1390" s="441"/>
      <c r="AX1390" s="441"/>
      <c r="AY1390" s="441"/>
      <c r="AZ1390" s="441"/>
      <c r="BA1390" s="441"/>
      <c r="BB1390" s="441"/>
      <c r="BC1390" s="441"/>
      <c r="BD1390" s="441"/>
      <c r="BE1390" s="441"/>
      <c r="BF1390" s="441"/>
    </row>
    <row r="1391">
      <c r="A1391" s="798"/>
      <c r="B1391" s="795"/>
      <c r="C1391" s="795"/>
      <c r="D1391" s="795"/>
      <c r="E1391" s="795"/>
      <c r="F1391" s="795"/>
      <c r="G1391" s="795"/>
      <c r="H1391" s="795"/>
      <c r="I1391" s="796"/>
      <c r="J1391" s="441"/>
      <c r="K1391" s="441"/>
      <c r="L1391" s="797"/>
      <c r="M1391" s="441"/>
      <c r="N1391" s="441"/>
      <c r="O1391" s="441"/>
      <c r="P1391" s="441"/>
      <c r="Q1391" s="441"/>
      <c r="R1391" s="426"/>
      <c r="S1391" s="441"/>
      <c r="T1391" s="441"/>
      <c r="U1391" s="441"/>
      <c r="V1391" s="441"/>
      <c r="W1391" s="441"/>
      <c r="X1391" s="441"/>
      <c r="Y1391" s="441"/>
      <c r="Z1391" s="441"/>
      <c r="AA1391" s="441"/>
      <c r="AB1391" s="441"/>
      <c r="AC1391" s="441"/>
      <c r="AD1391" s="441"/>
      <c r="AE1391" s="441"/>
      <c r="AF1391" s="441"/>
      <c r="AG1391" s="441"/>
      <c r="AH1391" s="441"/>
      <c r="AI1391" s="441"/>
      <c r="AJ1391" s="441"/>
      <c r="AK1391" s="441"/>
      <c r="AL1391" s="441"/>
      <c r="AM1391" s="441"/>
      <c r="AN1391" s="441"/>
      <c r="AO1391" s="441"/>
      <c r="AP1391" s="441"/>
      <c r="AQ1391" s="441"/>
      <c r="AR1391" s="441"/>
      <c r="AS1391" s="441"/>
      <c r="AT1391" s="441"/>
      <c r="AU1391" s="441"/>
      <c r="AV1391" s="441"/>
      <c r="AW1391" s="441"/>
      <c r="AX1391" s="441"/>
      <c r="AY1391" s="441"/>
      <c r="AZ1391" s="441"/>
      <c r="BA1391" s="441"/>
      <c r="BB1391" s="441"/>
      <c r="BC1391" s="441"/>
      <c r="BD1391" s="441"/>
      <c r="BE1391" s="441"/>
      <c r="BF1391" s="441"/>
    </row>
    <row r="1392">
      <c r="A1392" s="798"/>
      <c r="B1392" s="795"/>
      <c r="C1392" s="795"/>
      <c r="D1392" s="795"/>
      <c r="E1392" s="795"/>
      <c r="F1392" s="795"/>
      <c r="G1392" s="795"/>
      <c r="H1392" s="795"/>
      <c r="I1392" s="796"/>
      <c r="J1392" s="441"/>
      <c r="K1392" s="441"/>
      <c r="L1392" s="797"/>
      <c r="M1392" s="441"/>
      <c r="N1392" s="441"/>
      <c r="O1392" s="441"/>
      <c r="P1392" s="441"/>
      <c r="Q1392" s="441"/>
      <c r="R1392" s="426"/>
      <c r="S1392" s="441"/>
      <c r="T1392" s="441"/>
      <c r="U1392" s="441"/>
      <c r="V1392" s="441"/>
      <c r="W1392" s="441"/>
      <c r="X1392" s="441"/>
      <c r="Y1392" s="441"/>
      <c r="Z1392" s="441"/>
      <c r="AA1392" s="441"/>
      <c r="AB1392" s="441"/>
      <c r="AC1392" s="441"/>
      <c r="AD1392" s="441"/>
      <c r="AE1392" s="441"/>
      <c r="AF1392" s="441"/>
      <c r="AG1392" s="441"/>
      <c r="AH1392" s="441"/>
      <c r="AI1392" s="441"/>
      <c r="AJ1392" s="441"/>
      <c r="AK1392" s="441"/>
      <c r="AL1392" s="441"/>
      <c r="AM1392" s="441"/>
      <c r="AN1392" s="441"/>
      <c r="AO1392" s="441"/>
      <c r="AP1392" s="441"/>
      <c r="AQ1392" s="441"/>
      <c r="AR1392" s="441"/>
      <c r="AS1392" s="441"/>
      <c r="AT1392" s="441"/>
      <c r="AU1392" s="441"/>
      <c r="AV1392" s="441"/>
      <c r="AW1392" s="441"/>
      <c r="AX1392" s="441"/>
      <c r="AY1392" s="441"/>
      <c r="AZ1392" s="441"/>
      <c r="BA1392" s="441"/>
      <c r="BB1392" s="441"/>
      <c r="BC1392" s="441"/>
      <c r="BD1392" s="441"/>
      <c r="BE1392" s="441"/>
      <c r="BF1392" s="441"/>
    </row>
    <row r="1393">
      <c r="A1393" s="798"/>
      <c r="B1393" s="795"/>
      <c r="C1393" s="795"/>
      <c r="D1393" s="795"/>
      <c r="E1393" s="795"/>
      <c r="F1393" s="795"/>
      <c r="G1393" s="795"/>
      <c r="H1393" s="795"/>
      <c r="I1393" s="796"/>
      <c r="J1393" s="441"/>
      <c r="K1393" s="441"/>
      <c r="L1393" s="797"/>
      <c r="M1393" s="441"/>
      <c r="N1393" s="441"/>
      <c r="O1393" s="441"/>
      <c r="P1393" s="441"/>
      <c r="Q1393" s="441"/>
      <c r="R1393" s="426"/>
      <c r="S1393" s="441"/>
      <c r="T1393" s="441"/>
      <c r="U1393" s="441"/>
      <c r="V1393" s="441"/>
      <c r="W1393" s="441"/>
      <c r="X1393" s="441"/>
      <c r="Y1393" s="441"/>
      <c r="Z1393" s="441"/>
      <c r="AA1393" s="441"/>
      <c r="AB1393" s="441"/>
      <c r="AC1393" s="441"/>
      <c r="AD1393" s="441"/>
      <c r="AE1393" s="441"/>
      <c r="AF1393" s="441"/>
      <c r="AG1393" s="441"/>
      <c r="AH1393" s="441"/>
      <c r="AI1393" s="441"/>
      <c r="AJ1393" s="441"/>
      <c r="AK1393" s="441"/>
      <c r="AL1393" s="441"/>
      <c r="AM1393" s="441"/>
      <c r="AN1393" s="441"/>
      <c r="AO1393" s="441"/>
      <c r="AP1393" s="441"/>
      <c r="AQ1393" s="441"/>
      <c r="AR1393" s="441"/>
      <c r="AS1393" s="441"/>
      <c r="AT1393" s="441"/>
      <c r="AU1393" s="441"/>
      <c r="AV1393" s="441"/>
      <c r="AW1393" s="441"/>
      <c r="AX1393" s="441"/>
      <c r="AY1393" s="441"/>
      <c r="AZ1393" s="441"/>
      <c r="BA1393" s="441"/>
      <c r="BB1393" s="441"/>
      <c r="BC1393" s="441"/>
      <c r="BD1393" s="441"/>
      <c r="BE1393" s="441"/>
      <c r="BF1393" s="441"/>
    </row>
    <row r="1394">
      <c r="A1394" s="798"/>
      <c r="B1394" s="795"/>
      <c r="C1394" s="795"/>
      <c r="D1394" s="795"/>
      <c r="E1394" s="795"/>
      <c r="F1394" s="795"/>
      <c r="G1394" s="795"/>
      <c r="H1394" s="795"/>
      <c r="I1394" s="796"/>
      <c r="J1394" s="441"/>
      <c r="K1394" s="441"/>
      <c r="L1394" s="797"/>
      <c r="M1394" s="441"/>
      <c r="N1394" s="441"/>
      <c r="O1394" s="441"/>
      <c r="P1394" s="441"/>
      <c r="Q1394" s="441"/>
      <c r="R1394" s="426"/>
      <c r="S1394" s="441"/>
      <c r="T1394" s="441"/>
      <c r="U1394" s="441"/>
      <c r="V1394" s="441"/>
      <c r="W1394" s="441"/>
      <c r="X1394" s="441"/>
      <c r="Y1394" s="441"/>
      <c r="Z1394" s="441"/>
      <c r="AA1394" s="441"/>
      <c r="AB1394" s="441"/>
      <c r="AC1394" s="441"/>
      <c r="AD1394" s="441"/>
      <c r="AE1394" s="441"/>
      <c r="AF1394" s="441"/>
      <c r="AG1394" s="441"/>
      <c r="AH1394" s="441"/>
      <c r="AI1394" s="441"/>
      <c r="AJ1394" s="441"/>
      <c r="AK1394" s="441"/>
      <c r="AL1394" s="441"/>
      <c r="AM1394" s="441"/>
      <c r="AN1394" s="441"/>
      <c r="AO1394" s="441"/>
      <c r="AP1394" s="441"/>
      <c r="AQ1394" s="441"/>
      <c r="AR1394" s="441"/>
      <c r="AS1394" s="441"/>
      <c r="AT1394" s="441"/>
      <c r="AU1394" s="441"/>
      <c r="AV1394" s="441"/>
      <c r="AW1394" s="441"/>
      <c r="AX1394" s="441"/>
      <c r="AY1394" s="441"/>
      <c r="AZ1394" s="441"/>
      <c r="BA1394" s="441"/>
      <c r="BB1394" s="441"/>
      <c r="BC1394" s="441"/>
      <c r="BD1394" s="441"/>
      <c r="BE1394" s="441"/>
      <c r="BF1394" s="441"/>
    </row>
    <row r="1395">
      <c r="A1395" s="798"/>
      <c r="B1395" s="795"/>
      <c r="C1395" s="795"/>
      <c r="D1395" s="795"/>
      <c r="E1395" s="795"/>
      <c r="F1395" s="795"/>
      <c r="G1395" s="795"/>
      <c r="H1395" s="795"/>
      <c r="I1395" s="796"/>
      <c r="J1395" s="441"/>
      <c r="K1395" s="441"/>
      <c r="L1395" s="797"/>
      <c r="M1395" s="441"/>
      <c r="N1395" s="441"/>
      <c r="O1395" s="441"/>
      <c r="P1395" s="441"/>
      <c r="Q1395" s="441"/>
      <c r="R1395" s="426"/>
      <c r="S1395" s="441"/>
      <c r="T1395" s="441"/>
      <c r="U1395" s="441"/>
      <c r="V1395" s="441"/>
      <c r="W1395" s="441"/>
      <c r="X1395" s="441"/>
      <c r="Y1395" s="441"/>
      <c r="Z1395" s="441"/>
      <c r="AA1395" s="441"/>
      <c r="AB1395" s="441"/>
      <c r="AC1395" s="441"/>
      <c r="AD1395" s="441"/>
      <c r="AE1395" s="441"/>
      <c r="AF1395" s="441"/>
      <c r="AG1395" s="441"/>
      <c r="AH1395" s="441"/>
      <c r="AI1395" s="441"/>
      <c r="AJ1395" s="441"/>
      <c r="AK1395" s="441"/>
      <c r="AL1395" s="441"/>
      <c r="AM1395" s="441"/>
      <c r="AN1395" s="441"/>
      <c r="AO1395" s="441"/>
      <c r="AP1395" s="441"/>
      <c r="AQ1395" s="441"/>
      <c r="AR1395" s="441"/>
      <c r="AS1395" s="441"/>
      <c r="AT1395" s="441"/>
      <c r="AU1395" s="441"/>
      <c r="AV1395" s="441"/>
      <c r="AW1395" s="441"/>
      <c r="AX1395" s="441"/>
      <c r="AY1395" s="441"/>
      <c r="AZ1395" s="441"/>
      <c r="BA1395" s="441"/>
      <c r="BB1395" s="441"/>
      <c r="BC1395" s="441"/>
      <c r="BD1395" s="441"/>
      <c r="BE1395" s="441"/>
      <c r="BF1395" s="441"/>
    </row>
    <row r="1396">
      <c r="A1396" s="798"/>
      <c r="B1396" s="795"/>
      <c r="C1396" s="795"/>
      <c r="D1396" s="795"/>
      <c r="E1396" s="795"/>
      <c r="F1396" s="795"/>
      <c r="G1396" s="795"/>
      <c r="H1396" s="795"/>
      <c r="I1396" s="796"/>
      <c r="J1396" s="441"/>
      <c r="K1396" s="441"/>
      <c r="L1396" s="797"/>
      <c r="M1396" s="441"/>
      <c r="N1396" s="441"/>
      <c r="O1396" s="441"/>
      <c r="P1396" s="441"/>
      <c r="Q1396" s="441"/>
      <c r="R1396" s="426"/>
      <c r="S1396" s="441"/>
      <c r="T1396" s="441"/>
      <c r="U1396" s="441"/>
      <c r="V1396" s="441"/>
      <c r="W1396" s="441"/>
      <c r="X1396" s="441"/>
      <c r="Y1396" s="441"/>
      <c r="Z1396" s="441"/>
      <c r="AA1396" s="441"/>
      <c r="AB1396" s="441"/>
      <c r="AC1396" s="441"/>
      <c r="AD1396" s="441"/>
      <c r="AE1396" s="441"/>
      <c r="AF1396" s="441"/>
      <c r="AG1396" s="441"/>
      <c r="AH1396" s="441"/>
      <c r="AI1396" s="441"/>
      <c r="AJ1396" s="441"/>
      <c r="AK1396" s="441"/>
      <c r="AL1396" s="441"/>
      <c r="AM1396" s="441"/>
      <c r="AN1396" s="441"/>
      <c r="AO1396" s="441"/>
      <c r="AP1396" s="441"/>
      <c r="AQ1396" s="441"/>
      <c r="AR1396" s="441"/>
      <c r="AS1396" s="441"/>
      <c r="AT1396" s="441"/>
      <c r="AU1396" s="441"/>
      <c r="AV1396" s="441"/>
      <c r="AW1396" s="441"/>
      <c r="AX1396" s="441"/>
      <c r="AY1396" s="441"/>
      <c r="AZ1396" s="441"/>
      <c r="BA1396" s="441"/>
      <c r="BB1396" s="441"/>
      <c r="BC1396" s="441"/>
      <c r="BD1396" s="441"/>
      <c r="BE1396" s="441"/>
      <c r="BF1396" s="441"/>
    </row>
    <row r="1397">
      <c r="A1397" s="798"/>
      <c r="B1397" s="795"/>
      <c r="C1397" s="795"/>
      <c r="D1397" s="795"/>
      <c r="E1397" s="795"/>
      <c r="F1397" s="795"/>
      <c r="G1397" s="795"/>
      <c r="H1397" s="795"/>
      <c r="I1397" s="796"/>
      <c r="J1397" s="441"/>
      <c r="K1397" s="441"/>
      <c r="L1397" s="797"/>
      <c r="M1397" s="441"/>
      <c r="N1397" s="441"/>
      <c r="O1397" s="441"/>
      <c r="P1397" s="441"/>
      <c r="Q1397" s="441"/>
      <c r="R1397" s="426"/>
      <c r="S1397" s="441"/>
      <c r="T1397" s="441"/>
      <c r="U1397" s="441"/>
      <c r="V1397" s="441"/>
      <c r="W1397" s="441"/>
      <c r="X1397" s="441"/>
      <c r="Y1397" s="441"/>
      <c r="Z1397" s="441"/>
      <c r="AA1397" s="441"/>
      <c r="AB1397" s="441"/>
      <c r="AC1397" s="441"/>
      <c r="AD1397" s="441"/>
      <c r="AE1397" s="441"/>
      <c r="AF1397" s="441"/>
      <c r="AG1397" s="441"/>
      <c r="AH1397" s="441"/>
      <c r="AI1397" s="441"/>
      <c r="AJ1397" s="441"/>
      <c r="AK1397" s="441"/>
      <c r="AL1397" s="441"/>
      <c r="AM1397" s="441"/>
      <c r="AN1397" s="441"/>
      <c r="AO1397" s="441"/>
      <c r="AP1397" s="441"/>
      <c r="AQ1397" s="441"/>
      <c r="AR1397" s="441"/>
      <c r="AS1397" s="441"/>
      <c r="AT1397" s="441"/>
      <c r="AU1397" s="441"/>
      <c r="AV1397" s="441"/>
      <c r="AW1397" s="441"/>
      <c r="AX1397" s="441"/>
      <c r="AY1397" s="441"/>
      <c r="AZ1397" s="441"/>
      <c r="BA1397" s="441"/>
      <c r="BB1397" s="441"/>
      <c r="BC1397" s="441"/>
      <c r="BD1397" s="441"/>
      <c r="BE1397" s="441"/>
      <c r="BF1397" s="441"/>
    </row>
    <row r="1398">
      <c r="A1398" s="798"/>
      <c r="B1398" s="795"/>
      <c r="C1398" s="795"/>
      <c r="D1398" s="795"/>
      <c r="E1398" s="795"/>
      <c r="F1398" s="795"/>
      <c r="G1398" s="795"/>
      <c r="H1398" s="795"/>
      <c r="I1398" s="796"/>
      <c r="J1398" s="441"/>
      <c r="K1398" s="441"/>
      <c r="L1398" s="797"/>
      <c r="M1398" s="441"/>
      <c r="N1398" s="441"/>
      <c r="O1398" s="441"/>
      <c r="P1398" s="441"/>
      <c r="Q1398" s="441"/>
      <c r="R1398" s="426"/>
      <c r="S1398" s="441"/>
      <c r="T1398" s="441"/>
      <c r="U1398" s="441"/>
      <c r="V1398" s="441"/>
      <c r="W1398" s="441"/>
      <c r="X1398" s="441"/>
      <c r="Y1398" s="441"/>
      <c r="Z1398" s="441"/>
      <c r="AA1398" s="441"/>
      <c r="AB1398" s="441"/>
      <c r="AC1398" s="441"/>
      <c r="AD1398" s="441"/>
      <c r="AE1398" s="441"/>
      <c r="AF1398" s="441"/>
      <c r="AG1398" s="441"/>
      <c r="AH1398" s="441"/>
      <c r="AI1398" s="441"/>
      <c r="AJ1398" s="441"/>
      <c r="AK1398" s="441"/>
      <c r="AL1398" s="441"/>
      <c r="AM1398" s="441"/>
      <c r="AN1398" s="441"/>
      <c r="AO1398" s="441"/>
      <c r="AP1398" s="441"/>
      <c r="AQ1398" s="441"/>
      <c r="AR1398" s="441"/>
      <c r="AS1398" s="441"/>
      <c r="AT1398" s="441"/>
      <c r="AU1398" s="441"/>
      <c r="AV1398" s="441"/>
      <c r="AW1398" s="441"/>
      <c r="AX1398" s="441"/>
      <c r="AY1398" s="441"/>
      <c r="AZ1398" s="441"/>
      <c r="BA1398" s="441"/>
      <c r="BB1398" s="441"/>
      <c r="BC1398" s="441"/>
      <c r="BD1398" s="441"/>
      <c r="BE1398" s="441"/>
      <c r="BF1398" s="441"/>
    </row>
    <row r="1399">
      <c r="A1399" s="798"/>
      <c r="B1399" s="795"/>
      <c r="C1399" s="795"/>
      <c r="D1399" s="795"/>
      <c r="E1399" s="795"/>
      <c r="F1399" s="795"/>
      <c r="G1399" s="795"/>
      <c r="H1399" s="795"/>
      <c r="I1399" s="796"/>
      <c r="J1399" s="441"/>
      <c r="K1399" s="441"/>
      <c r="L1399" s="797"/>
      <c r="M1399" s="441"/>
      <c r="N1399" s="441"/>
      <c r="O1399" s="441"/>
      <c r="P1399" s="441"/>
      <c r="Q1399" s="441"/>
      <c r="R1399" s="426"/>
      <c r="S1399" s="441"/>
      <c r="T1399" s="441"/>
      <c r="U1399" s="441"/>
      <c r="V1399" s="441"/>
      <c r="W1399" s="441"/>
      <c r="X1399" s="441"/>
      <c r="Y1399" s="441"/>
      <c r="Z1399" s="441"/>
      <c r="AA1399" s="441"/>
      <c r="AB1399" s="441"/>
      <c r="AC1399" s="441"/>
      <c r="AD1399" s="441"/>
      <c r="AE1399" s="441"/>
      <c r="AF1399" s="441"/>
      <c r="AG1399" s="441"/>
      <c r="AH1399" s="441"/>
      <c r="AI1399" s="441"/>
      <c r="AJ1399" s="441"/>
      <c r="AK1399" s="441"/>
      <c r="AL1399" s="441"/>
      <c r="AM1399" s="441"/>
      <c r="AN1399" s="441"/>
      <c r="AO1399" s="441"/>
      <c r="AP1399" s="441"/>
      <c r="AQ1399" s="441"/>
      <c r="AR1399" s="441"/>
      <c r="AS1399" s="441"/>
      <c r="AT1399" s="441"/>
      <c r="AU1399" s="441"/>
      <c r="AV1399" s="441"/>
      <c r="AW1399" s="441"/>
      <c r="AX1399" s="441"/>
      <c r="AY1399" s="441"/>
      <c r="AZ1399" s="441"/>
      <c r="BA1399" s="441"/>
      <c r="BB1399" s="441"/>
      <c r="BC1399" s="441"/>
      <c r="BD1399" s="441"/>
      <c r="BE1399" s="441"/>
      <c r="BF1399" s="441"/>
    </row>
    <row r="1400">
      <c r="A1400" s="798"/>
      <c r="B1400" s="795"/>
      <c r="C1400" s="795"/>
      <c r="D1400" s="795"/>
      <c r="E1400" s="795"/>
      <c r="F1400" s="795"/>
      <c r="G1400" s="795"/>
      <c r="H1400" s="795"/>
      <c r="I1400" s="796"/>
      <c r="J1400" s="441"/>
      <c r="K1400" s="441"/>
      <c r="L1400" s="797"/>
      <c r="M1400" s="441"/>
      <c r="N1400" s="441"/>
      <c r="O1400" s="441"/>
      <c r="P1400" s="441"/>
      <c r="Q1400" s="441"/>
      <c r="R1400" s="426"/>
      <c r="S1400" s="441"/>
      <c r="T1400" s="441"/>
      <c r="U1400" s="441"/>
      <c r="V1400" s="441"/>
      <c r="W1400" s="441"/>
      <c r="X1400" s="441"/>
      <c r="Y1400" s="441"/>
      <c r="Z1400" s="441"/>
      <c r="AA1400" s="441"/>
      <c r="AB1400" s="441"/>
      <c r="AC1400" s="441"/>
      <c r="AD1400" s="441"/>
      <c r="AE1400" s="441"/>
      <c r="AF1400" s="441"/>
      <c r="AG1400" s="441"/>
      <c r="AH1400" s="441"/>
      <c r="AI1400" s="441"/>
      <c r="AJ1400" s="441"/>
      <c r="AK1400" s="441"/>
      <c r="AL1400" s="441"/>
      <c r="AM1400" s="441"/>
      <c r="AN1400" s="441"/>
      <c r="AO1400" s="441"/>
      <c r="AP1400" s="441"/>
      <c r="AQ1400" s="441"/>
      <c r="AR1400" s="441"/>
      <c r="AS1400" s="441"/>
      <c r="AT1400" s="441"/>
      <c r="AU1400" s="441"/>
      <c r="AV1400" s="441"/>
      <c r="AW1400" s="441"/>
      <c r="AX1400" s="441"/>
      <c r="AY1400" s="441"/>
      <c r="AZ1400" s="441"/>
      <c r="BA1400" s="441"/>
      <c r="BB1400" s="441"/>
      <c r="BC1400" s="441"/>
      <c r="BD1400" s="441"/>
      <c r="BE1400" s="441"/>
      <c r="BF1400" s="441"/>
    </row>
    <row r="1401">
      <c r="A1401" s="798"/>
      <c r="B1401" s="795"/>
      <c r="C1401" s="795"/>
      <c r="D1401" s="795"/>
      <c r="E1401" s="795"/>
      <c r="F1401" s="795"/>
      <c r="G1401" s="795"/>
      <c r="H1401" s="795"/>
      <c r="I1401" s="796"/>
      <c r="J1401" s="441"/>
      <c r="K1401" s="441"/>
      <c r="L1401" s="797"/>
      <c r="M1401" s="441"/>
      <c r="N1401" s="441"/>
      <c r="O1401" s="441"/>
      <c r="P1401" s="441"/>
      <c r="Q1401" s="441"/>
      <c r="R1401" s="426"/>
      <c r="S1401" s="441"/>
      <c r="T1401" s="441"/>
      <c r="U1401" s="441"/>
      <c r="V1401" s="441"/>
      <c r="W1401" s="441"/>
      <c r="X1401" s="441"/>
      <c r="Y1401" s="441"/>
      <c r="Z1401" s="441"/>
      <c r="AA1401" s="441"/>
      <c r="AB1401" s="441"/>
      <c r="AC1401" s="441"/>
      <c r="AD1401" s="441"/>
      <c r="AE1401" s="441"/>
      <c r="AF1401" s="441"/>
      <c r="AG1401" s="441"/>
      <c r="AH1401" s="441"/>
      <c r="AI1401" s="441"/>
      <c r="AJ1401" s="441"/>
      <c r="AK1401" s="441"/>
      <c r="AL1401" s="441"/>
      <c r="AM1401" s="441"/>
      <c r="AN1401" s="441"/>
      <c r="AO1401" s="441"/>
      <c r="AP1401" s="441"/>
      <c r="AQ1401" s="441"/>
      <c r="AR1401" s="441"/>
      <c r="AS1401" s="441"/>
      <c r="AT1401" s="441"/>
      <c r="AU1401" s="441"/>
      <c r="AV1401" s="441"/>
      <c r="AW1401" s="441"/>
      <c r="AX1401" s="441"/>
      <c r="AY1401" s="441"/>
      <c r="AZ1401" s="441"/>
      <c r="BA1401" s="441"/>
      <c r="BB1401" s="441"/>
      <c r="BC1401" s="441"/>
      <c r="BD1401" s="441"/>
      <c r="BE1401" s="441"/>
      <c r="BF1401" s="441"/>
    </row>
    <row r="1402">
      <c r="A1402" s="798"/>
      <c r="B1402" s="795"/>
      <c r="C1402" s="795"/>
      <c r="D1402" s="795"/>
      <c r="E1402" s="795"/>
      <c r="F1402" s="795"/>
      <c r="G1402" s="795"/>
      <c r="H1402" s="795"/>
      <c r="I1402" s="796"/>
      <c r="J1402" s="441"/>
      <c r="K1402" s="441"/>
      <c r="L1402" s="797"/>
      <c r="M1402" s="441"/>
      <c r="N1402" s="441"/>
      <c r="O1402" s="441"/>
      <c r="P1402" s="441"/>
      <c r="Q1402" s="441"/>
      <c r="R1402" s="426"/>
      <c r="S1402" s="441"/>
      <c r="T1402" s="441"/>
      <c r="U1402" s="441"/>
      <c r="V1402" s="441"/>
      <c r="W1402" s="441"/>
      <c r="X1402" s="441"/>
      <c r="Y1402" s="441"/>
      <c r="Z1402" s="441"/>
      <c r="AA1402" s="441"/>
      <c r="AB1402" s="441"/>
      <c r="AC1402" s="441"/>
      <c r="AD1402" s="441"/>
      <c r="AE1402" s="441"/>
      <c r="AF1402" s="441"/>
      <c r="AG1402" s="441"/>
      <c r="AH1402" s="441"/>
      <c r="AI1402" s="441"/>
      <c r="AJ1402" s="441"/>
      <c r="AK1402" s="441"/>
      <c r="AL1402" s="441"/>
      <c r="AM1402" s="441"/>
      <c r="AN1402" s="441"/>
      <c r="AO1402" s="441"/>
      <c r="AP1402" s="441"/>
      <c r="AQ1402" s="441"/>
      <c r="AR1402" s="441"/>
      <c r="AS1402" s="441"/>
      <c r="AT1402" s="441"/>
      <c r="AU1402" s="441"/>
      <c r="AV1402" s="441"/>
      <c r="AW1402" s="441"/>
      <c r="AX1402" s="441"/>
      <c r="AY1402" s="441"/>
      <c r="AZ1402" s="441"/>
      <c r="BA1402" s="441"/>
      <c r="BB1402" s="441"/>
      <c r="BC1402" s="441"/>
      <c r="BD1402" s="441"/>
      <c r="BE1402" s="441"/>
      <c r="BF1402" s="441"/>
    </row>
    <row r="1403">
      <c r="A1403" s="798"/>
      <c r="B1403" s="795"/>
      <c r="C1403" s="795"/>
      <c r="D1403" s="795"/>
      <c r="E1403" s="795"/>
      <c r="F1403" s="795"/>
      <c r="G1403" s="795"/>
      <c r="H1403" s="795"/>
      <c r="I1403" s="796"/>
      <c r="J1403" s="441"/>
      <c r="K1403" s="441"/>
      <c r="L1403" s="797"/>
      <c r="M1403" s="441"/>
      <c r="N1403" s="441"/>
      <c r="O1403" s="441"/>
      <c r="P1403" s="441"/>
      <c r="Q1403" s="441"/>
      <c r="R1403" s="426"/>
      <c r="S1403" s="441"/>
      <c r="T1403" s="441"/>
      <c r="U1403" s="441"/>
      <c r="V1403" s="441"/>
      <c r="W1403" s="441"/>
      <c r="X1403" s="441"/>
      <c r="Y1403" s="441"/>
      <c r="Z1403" s="441"/>
      <c r="AA1403" s="441"/>
      <c r="AB1403" s="441"/>
      <c r="AC1403" s="441"/>
      <c r="AD1403" s="441"/>
      <c r="AE1403" s="441"/>
      <c r="AF1403" s="441"/>
      <c r="AG1403" s="441"/>
      <c r="AH1403" s="441"/>
      <c r="AI1403" s="441"/>
      <c r="AJ1403" s="441"/>
      <c r="AK1403" s="441"/>
      <c r="AL1403" s="441"/>
      <c r="AM1403" s="441"/>
      <c r="AN1403" s="441"/>
      <c r="AO1403" s="441"/>
      <c r="AP1403" s="441"/>
      <c r="AQ1403" s="441"/>
      <c r="AR1403" s="441"/>
      <c r="AS1403" s="441"/>
      <c r="AT1403" s="441"/>
      <c r="AU1403" s="441"/>
      <c r="AV1403" s="441"/>
      <c r="AW1403" s="441"/>
      <c r="AX1403" s="441"/>
      <c r="AY1403" s="441"/>
      <c r="AZ1403" s="441"/>
      <c r="BA1403" s="441"/>
      <c r="BB1403" s="441"/>
      <c r="BC1403" s="441"/>
      <c r="BD1403" s="441"/>
      <c r="BE1403" s="441"/>
      <c r="BF1403" s="441"/>
    </row>
    <row r="1404">
      <c r="A1404" s="798"/>
      <c r="B1404" s="795"/>
      <c r="C1404" s="795"/>
      <c r="D1404" s="795"/>
      <c r="E1404" s="795"/>
      <c r="F1404" s="795"/>
      <c r="G1404" s="795"/>
      <c r="H1404" s="795"/>
      <c r="I1404" s="796"/>
      <c r="J1404" s="441"/>
      <c r="K1404" s="441"/>
      <c r="L1404" s="797"/>
      <c r="M1404" s="441"/>
      <c r="N1404" s="441"/>
      <c r="O1404" s="441"/>
      <c r="P1404" s="441"/>
      <c r="Q1404" s="441"/>
      <c r="R1404" s="426"/>
      <c r="S1404" s="441"/>
      <c r="T1404" s="441"/>
      <c r="U1404" s="441"/>
      <c r="V1404" s="441"/>
      <c r="W1404" s="441"/>
      <c r="X1404" s="441"/>
      <c r="Y1404" s="441"/>
      <c r="Z1404" s="441"/>
      <c r="AA1404" s="441"/>
      <c r="AB1404" s="441"/>
      <c r="AC1404" s="441"/>
      <c r="AD1404" s="441"/>
      <c r="AE1404" s="441"/>
      <c r="AF1404" s="441"/>
      <c r="AG1404" s="441"/>
      <c r="AH1404" s="441"/>
      <c r="AI1404" s="441"/>
      <c r="AJ1404" s="441"/>
      <c r="AK1404" s="441"/>
      <c r="AL1404" s="441"/>
      <c r="AM1404" s="441"/>
      <c r="AN1404" s="441"/>
      <c r="AO1404" s="441"/>
      <c r="AP1404" s="441"/>
      <c r="AQ1404" s="441"/>
      <c r="AR1404" s="441"/>
      <c r="AS1404" s="441"/>
      <c r="AT1404" s="441"/>
      <c r="AU1404" s="441"/>
      <c r="AV1404" s="441"/>
      <c r="AW1404" s="441"/>
      <c r="AX1404" s="441"/>
      <c r="AY1404" s="441"/>
      <c r="AZ1404" s="441"/>
      <c r="BA1404" s="441"/>
      <c r="BB1404" s="441"/>
      <c r="BC1404" s="441"/>
      <c r="BD1404" s="441"/>
      <c r="BE1404" s="441"/>
      <c r="BF1404" s="441"/>
    </row>
    <row r="1405">
      <c r="A1405" s="798"/>
      <c r="B1405" s="795"/>
      <c r="C1405" s="795"/>
      <c r="D1405" s="795"/>
      <c r="E1405" s="795"/>
      <c r="F1405" s="795"/>
      <c r="G1405" s="795"/>
      <c r="H1405" s="795"/>
      <c r="I1405" s="796"/>
      <c r="J1405" s="441"/>
      <c r="K1405" s="441"/>
      <c r="L1405" s="797"/>
      <c r="M1405" s="441"/>
      <c r="N1405" s="441"/>
      <c r="O1405" s="441"/>
      <c r="P1405" s="441"/>
      <c r="Q1405" s="441"/>
      <c r="R1405" s="426"/>
      <c r="S1405" s="441"/>
      <c r="T1405" s="441"/>
      <c r="U1405" s="441"/>
      <c r="V1405" s="441"/>
      <c r="W1405" s="441"/>
      <c r="X1405" s="441"/>
      <c r="Y1405" s="441"/>
      <c r="Z1405" s="441"/>
      <c r="AA1405" s="441"/>
      <c r="AB1405" s="441"/>
      <c r="AC1405" s="441"/>
      <c r="AD1405" s="441"/>
      <c r="AE1405" s="441"/>
      <c r="AF1405" s="441"/>
      <c r="AG1405" s="441"/>
      <c r="AH1405" s="441"/>
      <c r="AI1405" s="441"/>
      <c r="AJ1405" s="441"/>
      <c r="AK1405" s="441"/>
      <c r="AL1405" s="441"/>
      <c r="AM1405" s="441"/>
      <c r="AN1405" s="441"/>
      <c r="AO1405" s="441"/>
      <c r="AP1405" s="441"/>
      <c r="AQ1405" s="441"/>
      <c r="AR1405" s="441"/>
      <c r="AS1405" s="441"/>
      <c r="AT1405" s="441"/>
      <c r="AU1405" s="441"/>
      <c r="AV1405" s="441"/>
      <c r="AW1405" s="441"/>
      <c r="AX1405" s="441"/>
      <c r="AY1405" s="441"/>
      <c r="AZ1405" s="441"/>
      <c r="BA1405" s="441"/>
      <c r="BB1405" s="441"/>
      <c r="BC1405" s="441"/>
      <c r="BD1405" s="441"/>
      <c r="BE1405" s="441"/>
      <c r="BF1405" s="441"/>
    </row>
    <row r="1406">
      <c r="A1406" s="798"/>
      <c r="B1406" s="795"/>
      <c r="C1406" s="795"/>
      <c r="D1406" s="795"/>
      <c r="E1406" s="795"/>
      <c r="F1406" s="795"/>
      <c r="G1406" s="795"/>
      <c r="H1406" s="795"/>
      <c r="I1406" s="796"/>
      <c r="J1406" s="441"/>
      <c r="K1406" s="441"/>
      <c r="L1406" s="797"/>
      <c r="M1406" s="441"/>
      <c r="N1406" s="441"/>
      <c r="O1406" s="441"/>
      <c r="P1406" s="441"/>
      <c r="Q1406" s="441"/>
      <c r="R1406" s="426"/>
      <c r="S1406" s="441"/>
      <c r="T1406" s="441"/>
      <c r="U1406" s="441"/>
      <c r="V1406" s="441"/>
      <c r="W1406" s="441"/>
      <c r="X1406" s="441"/>
      <c r="Y1406" s="441"/>
      <c r="Z1406" s="441"/>
      <c r="AA1406" s="441"/>
      <c r="AB1406" s="441"/>
      <c r="AC1406" s="441"/>
      <c r="AD1406" s="441"/>
      <c r="AE1406" s="441"/>
      <c r="AF1406" s="441"/>
      <c r="AG1406" s="441"/>
      <c r="AH1406" s="441"/>
      <c r="AI1406" s="441"/>
      <c r="AJ1406" s="441"/>
      <c r="AK1406" s="441"/>
      <c r="AL1406" s="441"/>
      <c r="AM1406" s="441"/>
      <c r="AN1406" s="441"/>
      <c r="AO1406" s="441"/>
      <c r="AP1406" s="441"/>
      <c r="AQ1406" s="441"/>
      <c r="AR1406" s="441"/>
      <c r="AS1406" s="441"/>
      <c r="AT1406" s="441"/>
      <c r="AU1406" s="441"/>
      <c r="AV1406" s="441"/>
      <c r="AW1406" s="441"/>
      <c r="AX1406" s="441"/>
      <c r="AY1406" s="441"/>
      <c r="AZ1406" s="441"/>
      <c r="BA1406" s="441"/>
      <c r="BB1406" s="441"/>
      <c r="BC1406" s="441"/>
      <c r="BD1406" s="441"/>
      <c r="BE1406" s="441"/>
      <c r="BF1406" s="441"/>
    </row>
    <row r="1407">
      <c r="A1407" s="798"/>
      <c r="B1407" s="795"/>
      <c r="C1407" s="795"/>
      <c r="D1407" s="795"/>
      <c r="E1407" s="795"/>
      <c r="F1407" s="795"/>
      <c r="G1407" s="795"/>
      <c r="H1407" s="795"/>
      <c r="I1407" s="796"/>
      <c r="J1407" s="441"/>
      <c r="K1407" s="441"/>
      <c r="L1407" s="797"/>
      <c r="M1407" s="441"/>
      <c r="N1407" s="441"/>
      <c r="O1407" s="441"/>
      <c r="P1407" s="441"/>
      <c r="Q1407" s="441"/>
      <c r="R1407" s="426"/>
      <c r="S1407" s="441"/>
      <c r="T1407" s="441"/>
      <c r="U1407" s="441"/>
      <c r="V1407" s="441"/>
      <c r="W1407" s="441"/>
      <c r="X1407" s="441"/>
      <c r="Y1407" s="441"/>
      <c r="Z1407" s="441"/>
      <c r="AA1407" s="441"/>
      <c r="AB1407" s="441"/>
      <c r="AC1407" s="441"/>
      <c r="AD1407" s="441"/>
      <c r="AE1407" s="441"/>
      <c r="AF1407" s="441"/>
      <c r="AG1407" s="441"/>
      <c r="AH1407" s="441"/>
      <c r="AI1407" s="441"/>
      <c r="AJ1407" s="441"/>
      <c r="AK1407" s="441"/>
      <c r="AL1407" s="441"/>
      <c r="AM1407" s="441"/>
      <c r="AN1407" s="441"/>
      <c r="AO1407" s="441"/>
      <c r="AP1407" s="441"/>
      <c r="AQ1407" s="441"/>
      <c r="AR1407" s="441"/>
      <c r="AS1407" s="441"/>
      <c r="AT1407" s="441"/>
      <c r="AU1407" s="441"/>
      <c r="AV1407" s="441"/>
      <c r="AW1407" s="441"/>
      <c r="AX1407" s="441"/>
      <c r="AY1407" s="441"/>
      <c r="AZ1407" s="441"/>
      <c r="BA1407" s="441"/>
      <c r="BB1407" s="441"/>
      <c r="BC1407" s="441"/>
      <c r="BD1407" s="441"/>
      <c r="BE1407" s="441"/>
      <c r="BF1407" s="441"/>
    </row>
    <row r="1408">
      <c r="A1408" s="798"/>
      <c r="B1408" s="795"/>
      <c r="C1408" s="795"/>
      <c r="D1408" s="795"/>
      <c r="E1408" s="795"/>
      <c r="F1408" s="795"/>
      <c r="G1408" s="795"/>
      <c r="H1408" s="795"/>
      <c r="I1408" s="796"/>
      <c r="J1408" s="441"/>
      <c r="K1408" s="441"/>
      <c r="L1408" s="797"/>
      <c r="M1408" s="441"/>
      <c r="N1408" s="441"/>
      <c r="O1408" s="441"/>
      <c r="P1408" s="441"/>
      <c r="Q1408" s="441"/>
      <c r="R1408" s="426"/>
      <c r="S1408" s="441"/>
      <c r="T1408" s="441"/>
      <c r="U1408" s="441"/>
      <c r="V1408" s="441"/>
      <c r="W1408" s="441"/>
      <c r="X1408" s="441"/>
      <c r="Y1408" s="441"/>
      <c r="Z1408" s="441"/>
      <c r="AA1408" s="441"/>
      <c r="AB1408" s="441"/>
      <c r="AC1408" s="441"/>
      <c r="AD1408" s="441"/>
      <c r="AE1408" s="441"/>
      <c r="AF1408" s="441"/>
      <c r="AG1408" s="441"/>
      <c r="AH1408" s="441"/>
      <c r="AI1408" s="441"/>
      <c r="AJ1408" s="441"/>
      <c r="AK1408" s="441"/>
      <c r="AL1408" s="441"/>
      <c r="AM1408" s="441"/>
      <c r="AN1408" s="441"/>
      <c r="AO1408" s="441"/>
      <c r="AP1408" s="441"/>
      <c r="AQ1408" s="441"/>
      <c r="AR1408" s="441"/>
      <c r="AS1408" s="441"/>
      <c r="AT1408" s="441"/>
      <c r="AU1408" s="441"/>
      <c r="AV1408" s="441"/>
      <c r="AW1408" s="441"/>
      <c r="AX1408" s="441"/>
      <c r="AY1408" s="441"/>
      <c r="AZ1408" s="441"/>
      <c r="BA1408" s="441"/>
      <c r="BB1408" s="441"/>
      <c r="BC1408" s="441"/>
      <c r="BD1408" s="441"/>
      <c r="BE1408" s="441"/>
      <c r="BF1408" s="441"/>
    </row>
    <row r="1409">
      <c r="A1409" s="798"/>
      <c r="B1409" s="795"/>
      <c r="C1409" s="795"/>
      <c r="D1409" s="795"/>
      <c r="E1409" s="795"/>
      <c r="F1409" s="795"/>
      <c r="G1409" s="795"/>
      <c r="H1409" s="795"/>
      <c r="I1409" s="796"/>
      <c r="J1409" s="441"/>
      <c r="K1409" s="441"/>
      <c r="L1409" s="797"/>
      <c r="M1409" s="441"/>
      <c r="N1409" s="441"/>
      <c r="O1409" s="441"/>
      <c r="P1409" s="441"/>
      <c r="Q1409" s="441"/>
      <c r="R1409" s="426"/>
      <c r="S1409" s="441"/>
      <c r="T1409" s="441"/>
      <c r="U1409" s="441"/>
      <c r="V1409" s="441"/>
      <c r="W1409" s="441"/>
      <c r="X1409" s="441"/>
      <c r="Y1409" s="441"/>
      <c r="Z1409" s="441"/>
      <c r="AA1409" s="441"/>
      <c r="AB1409" s="441"/>
      <c r="AC1409" s="441"/>
      <c r="AD1409" s="441"/>
      <c r="AE1409" s="441"/>
      <c r="AF1409" s="441"/>
      <c r="AG1409" s="441"/>
      <c r="AH1409" s="441"/>
      <c r="AI1409" s="441"/>
      <c r="AJ1409" s="441"/>
      <c r="AK1409" s="441"/>
      <c r="AL1409" s="441"/>
      <c r="AM1409" s="441"/>
      <c r="AN1409" s="441"/>
      <c r="AO1409" s="441"/>
      <c r="AP1409" s="441"/>
      <c r="AQ1409" s="441"/>
      <c r="AR1409" s="441"/>
      <c r="AS1409" s="441"/>
      <c r="AT1409" s="441"/>
      <c r="AU1409" s="441"/>
      <c r="AV1409" s="441"/>
      <c r="AW1409" s="441"/>
      <c r="AX1409" s="441"/>
      <c r="AY1409" s="441"/>
      <c r="AZ1409" s="441"/>
      <c r="BA1409" s="441"/>
      <c r="BB1409" s="441"/>
      <c r="BC1409" s="441"/>
      <c r="BD1409" s="441"/>
      <c r="BE1409" s="441"/>
      <c r="BF1409" s="441"/>
    </row>
    <row r="1410">
      <c r="A1410" s="798"/>
      <c r="B1410" s="795"/>
      <c r="C1410" s="795"/>
      <c r="D1410" s="795"/>
      <c r="E1410" s="795"/>
      <c r="F1410" s="795"/>
      <c r="G1410" s="795"/>
      <c r="H1410" s="795"/>
      <c r="I1410" s="796"/>
      <c r="J1410" s="441"/>
      <c r="K1410" s="441"/>
      <c r="L1410" s="797"/>
      <c r="M1410" s="441"/>
      <c r="N1410" s="441"/>
      <c r="O1410" s="441"/>
      <c r="P1410" s="441"/>
      <c r="Q1410" s="441"/>
      <c r="R1410" s="426"/>
      <c r="S1410" s="441"/>
      <c r="T1410" s="441"/>
      <c r="U1410" s="441"/>
      <c r="V1410" s="441"/>
      <c r="W1410" s="441"/>
      <c r="X1410" s="441"/>
      <c r="Y1410" s="441"/>
      <c r="Z1410" s="441"/>
      <c r="AA1410" s="441"/>
      <c r="AB1410" s="441"/>
      <c r="AC1410" s="441"/>
      <c r="AD1410" s="441"/>
      <c r="AE1410" s="441"/>
      <c r="AF1410" s="441"/>
      <c r="AG1410" s="441"/>
      <c r="AH1410" s="441"/>
      <c r="AI1410" s="441"/>
      <c r="AJ1410" s="441"/>
      <c r="AK1410" s="441"/>
      <c r="AL1410" s="441"/>
      <c r="AM1410" s="441"/>
      <c r="AN1410" s="441"/>
      <c r="AO1410" s="441"/>
      <c r="AP1410" s="441"/>
      <c r="AQ1410" s="441"/>
      <c r="AR1410" s="441"/>
      <c r="AS1410" s="441"/>
      <c r="AT1410" s="441"/>
      <c r="AU1410" s="441"/>
      <c r="AV1410" s="441"/>
      <c r="AW1410" s="441"/>
      <c r="AX1410" s="441"/>
      <c r="AY1410" s="441"/>
      <c r="AZ1410" s="441"/>
      <c r="BA1410" s="441"/>
      <c r="BB1410" s="441"/>
      <c r="BC1410" s="441"/>
      <c r="BD1410" s="441"/>
      <c r="BE1410" s="441"/>
      <c r="BF1410" s="441"/>
    </row>
    <row r="1411">
      <c r="A1411" s="798"/>
      <c r="B1411" s="795"/>
      <c r="C1411" s="795"/>
      <c r="D1411" s="795"/>
      <c r="E1411" s="795"/>
      <c r="F1411" s="795"/>
      <c r="G1411" s="795"/>
      <c r="H1411" s="795"/>
      <c r="I1411" s="796"/>
      <c r="J1411" s="441"/>
      <c r="K1411" s="441"/>
      <c r="L1411" s="797"/>
      <c r="M1411" s="441"/>
      <c r="N1411" s="441"/>
      <c r="O1411" s="441"/>
      <c r="P1411" s="441"/>
      <c r="Q1411" s="441"/>
      <c r="R1411" s="426"/>
      <c r="S1411" s="441"/>
      <c r="T1411" s="441"/>
      <c r="U1411" s="441"/>
      <c r="V1411" s="441"/>
      <c r="W1411" s="441"/>
      <c r="X1411" s="441"/>
      <c r="Y1411" s="441"/>
      <c r="Z1411" s="441"/>
      <c r="AA1411" s="441"/>
      <c r="AB1411" s="441"/>
      <c r="AC1411" s="441"/>
      <c r="AD1411" s="441"/>
      <c r="AE1411" s="441"/>
      <c r="AF1411" s="441"/>
      <c r="AG1411" s="441"/>
      <c r="AH1411" s="441"/>
      <c r="AI1411" s="441"/>
      <c r="AJ1411" s="441"/>
      <c r="AK1411" s="441"/>
      <c r="AL1411" s="441"/>
      <c r="AM1411" s="441"/>
      <c r="AN1411" s="441"/>
      <c r="AO1411" s="441"/>
      <c r="AP1411" s="441"/>
      <c r="AQ1411" s="441"/>
      <c r="AR1411" s="441"/>
      <c r="AS1411" s="441"/>
      <c r="AT1411" s="441"/>
      <c r="AU1411" s="441"/>
      <c r="AV1411" s="441"/>
      <c r="AW1411" s="441"/>
      <c r="AX1411" s="441"/>
      <c r="AY1411" s="441"/>
      <c r="AZ1411" s="441"/>
      <c r="BA1411" s="441"/>
      <c r="BB1411" s="441"/>
      <c r="BC1411" s="441"/>
      <c r="BD1411" s="441"/>
      <c r="BE1411" s="441"/>
      <c r="BF1411" s="441"/>
    </row>
    <row r="1412">
      <c r="A1412" s="798"/>
      <c r="B1412" s="795"/>
      <c r="C1412" s="795"/>
      <c r="D1412" s="795"/>
      <c r="E1412" s="795"/>
      <c r="F1412" s="795"/>
      <c r="G1412" s="795"/>
      <c r="H1412" s="795"/>
      <c r="I1412" s="796"/>
      <c r="J1412" s="441"/>
      <c r="K1412" s="441"/>
      <c r="L1412" s="797"/>
      <c r="M1412" s="441"/>
      <c r="N1412" s="441"/>
      <c r="O1412" s="441"/>
      <c r="P1412" s="441"/>
      <c r="Q1412" s="441"/>
      <c r="R1412" s="426"/>
      <c r="S1412" s="441"/>
      <c r="T1412" s="441"/>
      <c r="U1412" s="441"/>
      <c r="V1412" s="441"/>
      <c r="W1412" s="441"/>
      <c r="X1412" s="441"/>
      <c r="Y1412" s="441"/>
      <c r="Z1412" s="441"/>
      <c r="AA1412" s="441"/>
      <c r="AB1412" s="441"/>
      <c r="AC1412" s="441"/>
      <c r="AD1412" s="441"/>
      <c r="AE1412" s="441"/>
      <c r="AF1412" s="441"/>
      <c r="AG1412" s="441"/>
      <c r="AH1412" s="441"/>
      <c r="AI1412" s="441"/>
      <c r="AJ1412" s="441"/>
      <c r="AK1412" s="441"/>
      <c r="AL1412" s="441"/>
      <c r="AM1412" s="441"/>
      <c r="AN1412" s="441"/>
      <c r="AO1412" s="441"/>
      <c r="AP1412" s="441"/>
      <c r="AQ1412" s="441"/>
      <c r="AR1412" s="441"/>
      <c r="AS1412" s="441"/>
      <c r="AT1412" s="441"/>
      <c r="AU1412" s="441"/>
      <c r="AV1412" s="441"/>
      <c r="AW1412" s="441"/>
      <c r="AX1412" s="441"/>
      <c r="AY1412" s="441"/>
      <c r="AZ1412" s="441"/>
      <c r="BA1412" s="441"/>
      <c r="BB1412" s="441"/>
      <c r="BC1412" s="441"/>
      <c r="BD1412" s="441"/>
      <c r="BE1412" s="441"/>
      <c r="BF1412" s="441"/>
    </row>
    <row r="1413">
      <c r="A1413" s="798"/>
      <c r="B1413" s="795"/>
      <c r="C1413" s="795"/>
      <c r="D1413" s="795"/>
      <c r="E1413" s="795"/>
      <c r="F1413" s="795"/>
      <c r="G1413" s="795"/>
      <c r="H1413" s="795"/>
      <c r="I1413" s="796"/>
      <c r="J1413" s="441"/>
      <c r="K1413" s="441"/>
      <c r="L1413" s="797"/>
      <c r="M1413" s="441"/>
      <c r="N1413" s="441"/>
      <c r="O1413" s="441"/>
      <c r="P1413" s="441"/>
      <c r="Q1413" s="441"/>
      <c r="R1413" s="426"/>
      <c r="S1413" s="441"/>
      <c r="T1413" s="441"/>
      <c r="U1413" s="441"/>
      <c r="V1413" s="441"/>
      <c r="W1413" s="441"/>
      <c r="X1413" s="441"/>
      <c r="Y1413" s="441"/>
      <c r="Z1413" s="441"/>
      <c r="AA1413" s="441"/>
      <c r="AB1413" s="441"/>
      <c r="AC1413" s="441"/>
      <c r="AD1413" s="441"/>
      <c r="AE1413" s="441"/>
      <c r="AF1413" s="441"/>
      <c r="AG1413" s="441"/>
      <c r="AH1413" s="441"/>
      <c r="AI1413" s="441"/>
      <c r="AJ1413" s="441"/>
      <c r="AK1413" s="441"/>
      <c r="AL1413" s="441"/>
      <c r="AM1413" s="441"/>
      <c r="AN1413" s="441"/>
      <c r="AO1413" s="441"/>
      <c r="AP1413" s="441"/>
      <c r="AQ1413" s="441"/>
      <c r="AR1413" s="441"/>
      <c r="AS1413" s="441"/>
      <c r="AT1413" s="441"/>
      <c r="AU1413" s="441"/>
      <c r="AV1413" s="441"/>
      <c r="AW1413" s="441"/>
      <c r="AX1413" s="441"/>
      <c r="AY1413" s="441"/>
      <c r="AZ1413" s="441"/>
      <c r="BA1413" s="441"/>
      <c r="BB1413" s="441"/>
      <c r="BC1413" s="441"/>
      <c r="BD1413" s="441"/>
      <c r="BE1413" s="441"/>
      <c r="BF1413" s="441"/>
    </row>
    <row r="1414">
      <c r="A1414" s="798"/>
      <c r="B1414" s="795"/>
      <c r="C1414" s="795"/>
      <c r="D1414" s="795"/>
      <c r="E1414" s="795"/>
      <c r="F1414" s="795"/>
      <c r="G1414" s="795"/>
      <c r="H1414" s="795"/>
      <c r="I1414" s="796"/>
      <c r="J1414" s="441"/>
      <c r="K1414" s="441"/>
      <c r="L1414" s="797"/>
      <c r="M1414" s="441"/>
      <c r="N1414" s="441"/>
      <c r="O1414" s="441"/>
      <c r="P1414" s="441"/>
      <c r="Q1414" s="441"/>
      <c r="R1414" s="426"/>
      <c r="S1414" s="441"/>
      <c r="T1414" s="441"/>
      <c r="U1414" s="441"/>
      <c r="V1414" s="441"/>
      <c r="W1414" s="441"/>
      <c r="X1414" s="441"/>
      <c r="Y1414" s="441"/>
      <c r="Z1414" s="441"/>
      <c r="AA1414" s="441"/>
      <c r="AB1414" s="441"/>
      <c r="AC1414" s="441"/>
      <c r="AD1414" s="441"/>
      <c r="AE1414" s="441"/>
      <c r="AF1414" s="441"/>
      <c r="AG1414" s="441"/>
      <c r="AH1414" s="441"/>
      <c r="AI1414" s="441"/>
      <c r="AJ1414" s="441"/>
      <c r="AK1414" s="441"/>
      <c r="AL1414" s="441"/>
      <c r="AM1414" s="441"/>
      <c r="AN1414" s="441"/>
      <c r="AO1414" s="441"/>
      <c r="AP1414" s="441"/>
      <c r="AQ1414" s="441"/>
      <c r="AR1414" s="441"/>
      <c r="AS1414" s="441"/>
      <c r="AT1414" s="441"/>
      <c r="AU1414" s="441"/>
      <c r="AV1414" s="441"/>
      <c r="AW1414" s="441"/>
      <c r="AX1414" s="441"/>
      <c r="AY1414" s="441"/>
      <c r="AZ1414" s="441"/>
      <c r="BA1414" s="441"/>
      <c r="BB1414" s="441"/>
      <c r="BC1414" s="441"/>
      <c r="BD1414" s="441"/>
      <c r="BE1414" s="441"/>
      <c r="BF1414" s="441"/>
    </row>
    <row r="1415">
      <c r="A1415" s="798"/>
      <c r="B1415" s="795"/>
      <c r="C1415" s="795"/>
      <c r="D1415" s="795"/>
      <c r="E1415" s="795"/>
      <c r="F1415" s="795"/>
      <c r="G1415" s="795"/>
      <c r="H1415" s="795"/>
      <c r="I1415" s="796"/>
      <c r="J1415" s="441"/>
      <c r="K1415" s="441"/>
      <c r="L1415" s="797"/>
      <c r="M1415" s="441"/>
      <c r="N1415" s="441"/>
      <c r="O1415" s="441"/>
      <c r="P1415" s="441"/>
      <c r="Q1415" s="441"/>
      <c r="R1415" s="426"/>
      <c r="S1415" s="441"/>
      <c r="T1415" s="441"/>
      <c r="U1415" s="441"/>
      <c r="V1415" s="441"/>
      <c r="W1415" s="441"/>
      <c r="X1415" s="441"/>
      <c r="Y1415" s="441"/>
      <c r="Z1415" s="441"/>
      <c r="AA1415" s="441"/>
      <c r="AB1415" s="441"/>
      <c r="AC1415" s="441"/>
      <c r="AD1415" s="441"/>
      <c r="AE1415" s="441"/>
      <c r="AF1415" s="441"/>
      <c r="AG1415" s="441"/>
      <c r="AH1415" s="441"/>
      <c r="AI1415" s="441"/>
      <c r="AJ1415" s="441"/>
      <c r="AK1415" s="441"/>
      <c r="AL1415" s="441"/>
      <c r="AM1415" s="441"/>
      <c r="AN1415" s="441"/>
      <c r="AO1415" s="441"/>
      <c r="AP1415" s="441"/>
      <c r="AQ1415" s="441"/>
      <c r="AR1415" s="441"/>
      <c r="AS1415" s="441"/>
      <c r="AT1415" s="441"/>
      <c r="AU1415" s="441"/>
      <c r="AV1415" s="441"/>
      <c r="AW1415" s="441"/>
      <c r="AX1415" s="441"/>
      <c r="AY1415" s="441"/>
      <c r="AZ1415" s="441"/>
      <c r="BA1415" s="441"/>
      <c r="BB1415" s="441"/>
      <c r="BC1415" s="441"/>
      <c r="BD1415" s="441"/>
      <c r="BE1415" s="441"/>
      <c r="BF1415" s="441"/>
    </row>
    <row r="1416">
      <c r="A1416" s="798"/>
      <c r="B1416" s="795"/>
      <c r="C1416" s="795"/>
      <c r="D1416" s="795"/>
      <c r="E1416" s="795"/>
      <c r="F1416" s="795"/>
      <c r="G1416" s="795"/>
      <c r="H1416" s="795"/>
      <c r="I1416" s="796"/>
      <c r="J1416" s="441"/>
      <c r="K1416" s="441"/>
      <c r="L1416" s="797"/>
      <c r="M1416" s="441"/>
      <c r="N1416" s="441"/>
      <c r="O1416" s="441"/>
      <c r="P1416" s="441"/>
      <c r="Q1416" s="441"/>
      <c r="R1416" s="426"/>
      <c r="S1416" s="441"/>
      <c r="T1416" s="441"/>
      <c r="U1416" s="441"/>
      <c r="V1416" s="441"/>
      <c r="W1416" s="441"/>
      <c r="X1416" s="441"/>
      <c r="Y1416" s="441"/>
      <c r="Z1416" s="441"/>
      <c r="AA1416" s="441"/>
      <c r="AB1416" s="441"/>
      <c r="AC1416" s="441"/>
      <c r="AD1416" s="441"/>
      <c r="AE1416" s="441"/>
      <c r="AF1416" s="441"/>
      <c r="AG1416" s="441"/>
      <c r="AH1416" s="441"/>
      <c r="AI1416" s="441"/>
      <c r="AJ1416" s="441"/>
      <c r="AK1416" s="441"/>
      <c r="AL1416" s="441"/>
      <c r="AM1416" s="441"/>
      <c r="AN1416" s="441"/>
      <c r="AO1416" s="441"/>
      <c r="AP1416" s="441"/>
      <c r="AQ1416" s="441"/>
      <c r="AR1416" s="441"/>
      <c r="AS1416" s="441"/>
      <c r="AT1416" s="441"/>
      <c r="AU1416" s="441"/>
      <c r="AV1416" s="441"/>
      <c r="AW1416" s="441"/>
      <c r="AX1416" s="441"/>
      <c r="AY1416" s="441"/>
      <c r="AZ1416" s="441"/>
      <c r="BA1416" s="441"/>
      <c r="BB1416" s="441"/>
      <c r="BC1416" s="441"/>
      <c r="BD1416" s="441"/>
      <c r="BE1416" s="441"/>
      <c r="BF1416" s="441"/>
    </row>
    <row r="1417">
      <c r="A1417" s="798"/>
      <c r="B1417" s="795"/>
      <c r="C1417" s="795"/>
      <c r="D1417" s="795"/>
      <c r="E1417" s="795"/>
      <c r="F1417" s="795"/>
      <c r="G1417" s="795"/>
      <c r="H1417" s="795"/>
      <c r="I1417" s="796"/>
      <c r="J1417" s="441"/>
      <c r="K1417" s="441"/>
      <c r="L1417" s="797"/>
      <c r="M1417" s="441"/>
      <c r="N1417" s="441"/>
      <c r="O1417" s="441"/>
      <c r="P1417" s="441"/>
      <c r="Q1417" s="441"/>
      <c r="R1417" s="426"/>
      <c r="S1417" s="441"/>
      <c r="T1417" s="441"/>
      <c r="U1417" s="441"/>
      <c r="V1417" s="441"/>
      <c r="W1417" s="441"/>
      <c r="X1417" s="441"/>
      <c r="Y1417" s="441"/>
      <c r="Z1417" s="441"/>
      <c r="AA1417" s="441"/>
      <c r="AB1417" s="441"/>
      <c r="AC1417" s="441"/>
      <c r="AD1417" s="441"/>
      <c r="AE1417" s="441"/>
      <c r="AF1417" s="441"/>
      <c r="AG1417" s="441"/>
      <c r="AH1417" s="441"/>
      <c r="AI1417" s="441"/>
      <c r="AJ1417" s="441"/>
      <c r="AK1417" s="441"/>
      <c r="AL1417" s="441"/>
      <c r="AM1417" s="441"/>
      <c r="AN1417" s="441"/>
      <c r="AO1417" s="441"/>
      <c r="AP1417" s="441"/>
      <c r="AQ1417" s="441"/>
      <c r="AR1417" s="441"/>
      <c r="AS1417" s="441"/>
      <c r="AT1417" s="441"/>
      <c r="AU1417" s="441"/>
      <c r="AV1417" s="441"/>
      <c r="AW1417" s="441"/>
      <c r="AX1417" s="441"/>
      <c r="AY1417" s="441"/>
      <c r="AZ1417" s="441"/>
      <c r="BA1417" s="441"/>
      <c r="BB1417" s="441"/>
      <c r="BC1417" s="441"/>
      <c r="BD1417" s="441"/>
      <c r="BE1417" s="441"/>
      <c r="BF1417" s="441"/>
    </row>
    <row r="1418">
      <c r="A1418" s="798"/>
      <c r="B1418" s="795"/>
      <c r="C1418" s="795"/>
      <c r="D1418" s="795"/>
      <c r="E1418" s="795"/>
      <c r="F1418" s="795"/>
      <c r="G1418" s="795"/>
      <c r="H1418" s="795"/>
      <c r="I1418" s="796"/>
      <c r="J1418" s="441"/>
      <c r="K1418" s="441"/>
      <c r="L1418" s="797"/>
      <c r="M1418" s="441"/>
      <c r="N1418" s="441"/>
      <c r="O1418" s="441"/>
      <c r="P1418" s="441"/>
      <c r="Q1418" s="441"/>
      <c r="R1418" s="426"/>
      <c r="S1418" s="441"/>
      <c r="T1418" s="441"/>
      <c r="U1418" s="441"/>
      <c r="V1418" s="441"/>
      <c r="W1418" s="441"/>
      <c r="X1418" s="441"/>
      <c r="Y1418" s="441"/>
      <c r="Z1418" s="441"/>
      <c r="AA1418" s="441"/>
      <c r="AB1418" s="441"/>
      <c r="AC1418" s="441"/>
      <c r="AD1418" s="441"/>
      <c r="AE1418" s="441"/>
      <c r="AF1418" s="441"/>
      <c r="AG1418" s="441"/>
      <c r="AH1418" s="441"/>
      <c r="AI1418" s="441"/>
      <c r="AJ1418" s="441"/>
      <c r="AK1418" s="441"/>
      <c r="AL1418" s="441"/>
      <c r="AM1418" s="441"/>
      <c r="AN1418" s="441"/>
      <c r="AO1418" s="441"/>
      <c r="AP1418" s="441"/>
      <c r="AQ1418" s="441"/>
      <c r="AR1418" s="441"/>
      <c r="AS1418" s="441"/>
      <c r="AT1418" s="441"/>
      <c r="AU1418" s="441"/>
      <c r="AV1418" s="441"/>
      <c r="AW1418" s="441"/>
      <c r="AX1418" s="441"/>
      <c r="AY1418" s="441"/>
      <c r="AZ1418" s="441"/>
      <c r="BA1418" s="441"/>
      <c r="BB1418" s="441"/>
      <c r="BC1418" s="441"/>
      <c r="BD1418" s="441"/>
      <c r="BE1418" s="441"/>
      <c r="BF1418" s="441"/>
    </row>
    <row r="1419">
      <c r="A1419" s="798"/>
      <c r="B1419" s="795"/>
      <c r="C1419" s="795"/>
      <c r="D1419" s="795"/>
      <c r="E1419" s="795"/>
      <c r="F1419" s="795"/>
      <c r="G1419" s="795"/>
      <c r="H1419" s="795"/>
      <c r="I1419" s="796"/>
      <c r="J1419" s="441"/>
      <c r="K1419" s="441"/>
      <c r="L1419" s="797"/>
      <c r="M1419" s="441"/>
      <c r="N1419" s="441"/>
      <c r="O1419" s="441"/>
      <c r="P1419" s="441"/>
      <c r="Q1419" s="441"/>
      <c r="R1419" s="426"/>
      <c r="S1419" s="441"/>
      <c r="T1419" s="441"/>
      <c r="U1419" s="441"/>
      <c r="V1419" s="441"/>
      <c r="W1419" s="441"/>
      <c r="X1419" s="441"/>
      <c r="Y1419" s="441"/>
      <c r="Z1419" s="441"/>
      <c r="AA1419" s="441"/>
      <c r="AB1419" s="441"/>
      <c r="AC1419" s="441"/>
      <c r="AD1419" s="441"/>
      <c r="AE1419" s="441"/>
      <c r="AF1419" s="441"/>
      <c r="AG1419" s="441"/>
      <c r="AH1419" s="441"/>
      <c r="AI1419" s="441"/>
      <c r="AJ1419" s="441"/>
      <c r="AK1419" s="441"/>
      <c r="AL1419" s="441"/>
      <c r="AM1419" s="441"/>
      <c r="AN1419" s="441"/>
      <c r="AO1419" s="441"/>
      <c r="AP1419" s="441"/>
      <c r="AQ1419" s="441"/>
      <c r="AR1419" s="441"/>
      <c r="AS1419" s="441"/>
      <c r="AT1419" s="441"/>
      <c r="AU1419" s="441"/>
      <c r="AV1419" s="441"/>
      <c r="AW1419" s="441"/>
      <c r="AX1419" s="441"/>
      <c r="AY1419" s="441"/>
      <c r="AZ1419" s="441"/>
      <c r="BA1419" s="441"/>
      <c r="BB1419" s="441"/>
      <c r="BC1419" s="441"/>
      <c r="BD1419" s="441"/>
      <c r="BE1419" s="441"/>
      <c r="BF1419" s="441"/>
    </row>
    <row r="1420">
      <c r="A1420" s="798"/>
      <c r="B1420" s="795"/>
      <c r="C1420" s="795"/>
      <c r="D1420" s="795"/>
      <c r="E1420" s="795"/>
      <c r="F1420" s="795"/>
      <c r="G1420" s="795"/>
      <c r="H1420" s="795"/>
      <c r="I1420" s="796"/>
      <c r="J1420" s="441"/>
      <c r="K1420" s="441"/>
      <c r="L1420" s="797"/>
      <c r="M1420" s="441"/>
      <c r="N1420" s="441"/>
      <c r="O1420" s="441"/>
      <c r="P1420" s="441"/>
      <c r="Q1420" s="441"/>
      <c r="R1420" s="426"/>
      <c r="S1420" s="441"/>
      <c r="T1420" s="441"/>
      <c r="U1420" s="441"/>
      <c r="V1420" s="441"/>
      <c r="W1420" s="441"/>
      <c r="X1420" s="441"/>
      <c r="Y1420" s="441"/>
      <c r="Z1420" s="441"/>
      <c r="AA1420" s="441"/>
      <c r="AB1420" s="441"/>
      <c r="AC1420" s="441"/>
      <c r="AD1420" s="441"/>
      <c r="AE1420" s="441"/>
      <c r="AF1420" s="441"/>
      <c r="AG1420" s="441"/>
      <c r="AH1420" s="441"/>
      <c r="AI1420" s="441"/>
      <c r="AJ1420" s="441"/>
      <c r="AK1420" s="441"/>
      <c r="AL1420" s="441"/>
      <c r="AM1420" s="441"/>
      <c r="AN1420" s="441"/>
      <c r="AO1420" s="441"/>
      <c r="AP1420" s="441"/>
      <c r="AQ1420" s="441"/>
      <c r="AR1420" s="441"/>
      <c r="AS1420" s="441"/>
      <c r="AT1420" s="441"/>
      <c r="AU1420" s="441"/>
      <c r="AV1420" s="441"/>
      <c r="AW1420" s="441"/>
      <c r="AX1420" s="441"/>
      <c r="AY1420" s="441"/>
      <c r="AZ1420" s="441"/>
      <c r="BA1420" s="441"/>
      <c r="BB1420" s="441"/>
      <c r="BC1420" s="441"/>
      <c r="BD1420" s="441"/>
      <c r="BE1420" s="441"/>
      <c r="BF1420" s="441"/>
    </row>
    <row r="1421">
      <c r="A1421" s="798"/>
      <c r="B1421" s="795"/>
      <c r="C1421" s="795"/>
      <c r="D1421" s="795"/>
      <c r="E1421" s="795"/>
      <c r="F1421" s="795"/>
      <c r="G1421" s="795"/>
      <c r="H1421" s="795"/>
      <c r="I1421" s="796"/>
      <c r="J1421" s="441"/>
      <c r="K1421" s="441"/>
      <c r="L1421" s="797"/>
      <c r="M1421" s="441"/>
      <c r="N1421" s="441"/>
      <c r="O1421" s="441"/>
      <c r="P1421" s="441"/>
      <c r="Q1421" s="441"/>
      <c r="R1421" s="426"/>
      <c r="S1421" s="441"/>
      <c r="T1421" s="441"/>
      <c r="U1421" s="441"/>
      <c r="V1421" s="441"/>
      <c r="W1421" s="441"/>
      <c r="X1421" s="441"/>
      <c r="Y1421" s="441"/>
      <c r="Z1421" s="441"/>
      <c r="AA1421" s="441"/>
      <c r="AB1421" s="441"/>
      <c r="AC1421" s="441"/>
      <c r="AD1421" s="441"/>
      <c r="AE1421" s="441"/>
      <c r="AF1421" s="441"/>
      <c r="AG1421" s="441"/>
      <c r="AH1421" s="441"/>
      <c r="AI1421" s="441"/>
      <c r="AJ1421" s="441"/>
      <c r="AK1421" s="441"/>
      <c r="AL1421" s="441"/>
      <c r="AM1421" s="441"/>
      <c r="AN1421" s="441"/>
      <c r="AO1421" s="441"/>
      <c r="AP1421" s="441"/>
      <c r="AQ1421" s="441"/>
      <c r="AR1421" s="441"/>
      <c r="AS1421" s="441"/>
      <c r="AT1421" s="441"/>
      <c r="AU1421" s="441"/>
      <c r="AV1421" s="441"/>
      <c r="AW1421" s="441"/>
      <c r="AX1421" s="441"/>
      <c r="AY1421" s="441"/>
      <c r="AZ1421" s="441"/>
      <c r="BA1421" s="441"/>
      <c r="BB1421" s="441"/>
      <c r="BC1421" s="441"/>
      <c r="BD1421" s="441"/>
      <c r="BE1421" s="441"/>
      <c r="BF1421" s="441"/>
    </row>
    <row r="1422">
      <c r="A1422" s="798"/>
      <c r="B1422" s="795"/>
      <c r="C1422" s="795"/>
      <c r="D1422" s="795"/>
      <c r="E1422" s="795"/>
      <c r="F1422" s="795"/>
      <c r="G1422" s="795"/>
      <c r="H1422" s="795"/>
      <c r="I1422" s="796"/>
      <c r="J1422" s="441"/>
      <c r="K1422" s="441"/>
      <c r="L1422" s="797"/>
      <c r="M1422" s="441"/>
      <c r="N1422" s="441"/>
      <c r="O1422" s="441"/>
      <c r="P1422" s="441"/>
      <c r="Q1422" s="441"/>
      <c r="R1422" s="426"/>
      <c r="S1422" s="441"/>
      <c r="T1422" s="441"/>
      <c r="U1422" s="441"/>
      <c r="V1422" s="441"/>
      <c r="W1422" s="441"/>
      <c r="X1422" s="441"/>
      <c r="Y1422" s="441"/>
      <c r="Z1422" s="441"/>
      <c r="AA1422" s="441"/>
      <c r="AB1422" s="441"/>
      <c r="AC1422" s="441"/>
      <c r="AD1422" s="441"/>
      <c r="AE1422" s="441"/>
      <c r="AF1422" s="441"/>
      <c r="AG1422" s="441"/>
      <c r="AH1422" s="441"/>
      <c r="AI1422" s="441"/>
      <c r="AJ1422" s="441"/>
      <c r="AK1422" s="441"/>
      <c r="AL1422" s="441"/>
      <c r="AM1422" s="441"/>
      <c r="AN1422" s="441"/>
      <c r="AO1422" s="441"/>
      <c r="AP1422" s="441"/>
      <c r="AQ1422" s="441"/>
      <c r="AR1422" s="441"/>
      <c r="AS1422" s="441"/>
      <c r="AT1422" s="441"/>
      <c r="AU1422" s="441"/>
      <c r="AV1422" s="441"/>
      <c r="AW1422" s="441"/>
      <c r="AX1422" s="441"/>
      <c r="AY1422" s="441"/>
      <c r="AZ1422" s="441"/>
      <c r="BA1422" s="441"/>
      <c r="BB1422" s="441"/>
      <c r="BC1422" s="441"/>
      <c r="BD1422" s="441"/>
      <c r="BE1422" s="441"/>
      <c r="BF1422" s="441"/>
    </row>
    <row r="1423">
      <c r="A1423" s="798"/>
      <c r="B1423" s="795"/>
      <c r="C1423" s="795"/>
      <c r="D1423" s="795"/>
      <c r="E1423" s="795"/>
      <c r="F1423" s="795"/>
      <c r="G1423" s="795"/>
      <c r="H1423" s="795"/>
      <c r="I1423" s="796"/>
      <c r="J1423" s="441"/>
      <c r="K1423" s="441"/>
      <c r="L1423" s="797"/>
      <c r="M1423" s="441"/>
      <c r="N1423" s="441"/>
      <c r="O1423" s="441"/>
      <c r="P1423" s="441"/>
      <c r="Q1423" s="441"/>
      <c r="R1423" s="426"/>
      <c r="S1423" s="441"/>
      <c r="T1423" s="441"/>
      <c r="U1423" s="441"/>
      <c r="V1423" s="441"/>
      <c r="W1423" s="441"/>
      <c r="X1423" s="441"/>
      <c r="Y1423" s="441"/>
      <c r="Z1423" s="441"/>
      <c r="AA1423" s="441"/>
      <c r="AB1423" s="441"/>
      <c r="AC1423" s="441"/>
      <c r="AD1423" s="441"/>
      <c r="AE1423" s="441"/>
      <c r="AF1423" s="441"/>
      <c r="AG1423" s="441"/>
      <c r="AH1423" s="441"/>
      <c r="AI1423" s="441"/>
      <c r="AJ1423" s="441"/>
      <c r="AK1423" s="441"/>
      <c r="AL1423" s="441"/>
      <c r="AM1423" s="441"/>
      <c r="AN1423" s="441"/>
      <c r="AO1423" s="441"/>
      <c r="AP1423" s="441"/>
      <c r="AQ1423" s="441"/>
      <c r="AR1423" s="441"/>
      <c r="AS1423" s="441"/>
      <c r="AT1423" s="441"/>
      <c r="AU1423" s="441"/>
      <c r="AV1423" s="441"/>
      <c r="AW1423" s="441"/>
      <c r="AX1423" s="441"/>
      <c r="AY1423" s="441"/>
      <c r="AZ1423" s="441"/>
      <c r="BA1423" s="441"/>
      <c r="BB1423" s="441"/>
      <c r="BC1423" s="441"/>
      <c r="BD1423" s="441"/>
      <c r="BE1423" s="441"/>
      <c r="BF1423" s="441"/>
    </row>
    <row r="1424">
      <c r="A1424" s="798"/>
      <c r="B1424" s="795"/>
      <c r="C1424" s="795"/>
      <c r="D1424" s="795"/>
      <c r="E1424" s="795"/>
      <c r="F1424" s="795"/>
      <c r="G1424" s="795"/>
      <c r="H1424" s="795"/>
      <c r="I1424" s="796"/>
      <c r="J1424" s="441"/>
      <c r="K1424" s="441"/>
      <c r="L1424" s="797"/>
      <c r="M1424" s="441"/>
      <c r="N1424" s="441"/>
      <c r="O1424" s="441"/>
      <c r="P1424" s="441"/>
      <c r="Q1424" s="441"/>
      <c r="R1424" s="426"/>
      <c r="S1424" s="441"/>
      <c r="T1424" s="441"/>
      <c r="U1424" s="441"/>
      <c r="V1424" s="441"/>
      <c r="W1424" s="441"/>
      <c r="X1424" s="441"/>
      <c r="Y1424" s="441"/>
      <c r="Z1424" s="441"/>
      <c r="AA1424" s="441"/>
      <c r="AB1424" s="441"/>
      <c r="AC1424" s="441"/>
      <c r="AD1424" s="441"/>
      <c r="AE1424" s="441"/>
      <c r="AF1424" s="441"/>
      <c r="AG1424" s="441"/>
      <c r="AH1424" s="441"/>
      <c r="AI1424" s="441"/>
      <c r="AJ1424" s="441"/>
      <c r="AK1424" s="441"/>
      <c r="AL1424" s="441"/>
      <c r="AM1424" s="441"/>
      <c r="AN1424" s="441"/>
      <c r="AO1424" s="441"/>
      <c r="AP1424" s="441"/>
      <c r="AQ1424" s="441"/>
      <c r="AR1424" s="441"/>
      <c r="AS1424" s="441"/>
      <c r="AT1424" s="441"/>
      <c r="AU1424" s="441"/>
      <c r="AV1424" s="441"/>
      <c r="AW1424" s="441"/>
      <c r="AX1424" s="441"/>
      <c r="AY1424" s="441"/>
      <c r="AZ1424" s="441"/>
      <c r="BA1424" s="441"/>
      <c r="BB1424" s="441"/>
      <c r="BC1424" s="441"/>
      <c r="BD1424" s="441"/>
      <c r="BE1424" s="441"/>
      <c r="BF1424" s="441"/>
    </row>
    <row r="1425">
      <c r="A1425" s="798"/>
      <c r="B1425" s="795"/>
      <c r="C1425" s="795"/>
      <c r="D1425" s="795"/>
      <c r="E1425" s="795"/>
      <c r="F1425" s="795"/>
      <c r="G1425" s="795"/>
      <c r="H1425" s="795"/>
      <c r="I1425" s="796"/>
      <c r="J1425" s="441"/>
      <c r="K1425" s="441"/>
      <c r="L1425" s="797"/>
      <c r="M1425" s="441"/>
      <c r="N1425" s="441"/>
      <c r="O1425" s="441"/>
      <c r="P1425" s="441"/>
      <c r="Q1425" s="441"/>
      <c r="R1425" s="426"/>
      <c r="S1425" s="441"/>
      <c r="T1425" s="441"/>
      <c r="U1425" s="441"/>
      <c r="V1425" s="441"/>
      <c r="W1425" s="441"/>
      <c r="X1425" s="441"/>
      <c r="Y1425" s="441"/>
      <c r="Z1425" s="441"/>
      <c r="AA1425" s="441"/>
      <c r="AB1425" s="441"/>
      <c r="AC1425" s="441"/>
      <c r="AD1425" s="441"/>
      <c r="AE1425" s="441"/>
      <c r="AF1425" s="441"/>
      <c r="AG1425" s="441"/>
      <c r="AH1425" s="441"/>
      <c r="AI1425" s="441"/>
      <c r="AJ1425" s="441"/>
      <c r="AK1425" s="441"/>
      <c r="AL1425" s="441"/>
      <c r="AM1425" s="441"/>
      <c r="AN1425" s="441"/>
      <c r="AO1425" s="441"/>
      <c r="AP1425" s="441"/>
      <c r="AQ1425" s="441"/>
      <c r="AR1425" s="441"/>
      <c r="AS1425" s="441"/>
      <c r="AT1425" s="441"/>
      <c r="AU1425" s="441"/>
      <c r="AV1425" s="441"/>
      <c r="AW1425" s="441"/>
      <c r="AX1425" s="441"/>
      <c r="AY1425" s="441"/>
      <c r="AZ1425" s="441"/>
      <c r="BA1425" s="441"/>
      <c r="BB1425" s="441"/>
      <c r="BC1425" s="441"/>
      <c r="BD1425" s="441"/>
      <c r="BE1425" s="441"/>
      <c r="BF1425" s="441"/>
    </row>
    <row r="1426">
      <c r="A1426" s="798"/>
      <c r="B1426" s="795"/>
      <c r="C1426" s="795"/>
      <c r="D1426" s="795"/>
      <c r="E1426" s="795"/>
      <c r="F1426" s="795"/>
      <c r="G1426" s="795"/>
      <c r="H1426" s="795"/>
      <c r="I1426" s="796"/>
      <c r="J1426" s="441"/>
      <c r="K1426" s="441"/>
      <c r="L1426" s="797"/>
      <c r="M1426" s="441"/>
      <c r="N1426" s="441"/>
      <c r="O1426" s="441"/>
      <c r="P1426" s="441"/>
      <c r="Q1426" s="441"/>
      <c r="R1426" s="426"/>
      <c r="S1426" s="441"/>
      <c r="T1426" s="441"/>
      <c r="U1426" s="441"/>
      <c r="V1426" s="441"/>
      <c r="W1426" s="441"/>
      <c r="X1426" s="441"/>
      <c r="Y1426" s="441"/>
      <c r="Z1426" s="441"/>
      <c r="AA1426" s="441"/>
      <c r="AB1426" s="441"/>
      <c r="AC1426" s="441"/>
      <c r="AD1426" s="441"/>
      <c r="AE1426" s="441"/>
      <c r="AF1426" s="441"/>
      <c r="AG1426" s="441"/>
      <c r="AH1426" s="441"/>
      <c r="AI1426" s="441"/>
      <c r="AJ1426" s="441"/>
      <c r="AK1426" s="441"/>
      <c r="AL1426" s="441"/>
      <c r="AM1426" s="441"/>
      <c r="AN1426" s="441"/>
      <c r="AO1426" s="441"/>
      <c r="AP1426" s="441"/>
      <c r="AQ1426" s="441"/>
      <c r="AR1426" s="441"/>
      <c r="AS1426" s="441"/>
      <c r="AT1426" s="441"/>
      <c r="AU1426" s="441"/>
      <c r="AV1426" s="441"/>
      <c r="AW1426" s="441"/>
      <c r="AX1426" s="441"/>
      <c r="AY1426" s="441"/>
      <c r="AZ1426" s="441"/>
      <c r="BA1426" s="441"/>
      <c r="BB1426" s="441"/>
      <c r="BC1426" s="441"/>
      <c r="BD1426" s="441"/>
      <c r="BE1426" s="441"/>
      <c r="BF1426" s="441"/>
    </row>
    <row r="1427">
      <c r="A1427" s="798"/>
      <c r="B1427" s="795"/>
      <c r="C1427" s="795"/>
      <c r="D1427" s="795"/>
      <c r="E1427" s="795"/>
      <c r="F1427" s="795"/>
      <c r="G1427" s="795"/>
      <c r="H1427" s="795"/>
      <c r="I1427" s="796"/>
      <c r="J1427" s="441"/>
      <c r="K1427" s="441"/>
      <c r="L1427" s="797"/>
      <c r="M1427" s="441"/>
      <c r="N1427" s="441"/>
      <c r="O1427" s="441"/>
      <c r="P1427" s="441"/>
      <c r="Q1427" s="441"/>
      <c r="R1427" s="426"/>
      <c r="S1427" s="441"/>
      <c r="T1427" s="441"/>
      <c r="U1427" s="441"/>
      <c r="V1427" s="441"/>
      <c r="W1427" s="441"/>
      <c r="X1427" s="441"/>
      <c r="Y1427" s="441"/>
      <c r="Z1427" s="441"/>
      <c r="AA1427" s="441"/>
      <c r="AB1427" s="441"/>
      <c r="AC1427" s="441"/>
      <c r="AD1427" s="441"/>
      <c r="AE1427" s="441"/>
      <c r="AF1427" s="441"/>
      <c r="AG1427" s="441"/>
      <c r="AH1427" s="441"/>
      <c r="AI1427" s="441"/>
      <c r="AJ1427" s="441"/>
      <c r="AK1427" s="441"/>
      <c r="AL1427" s="441"/>
      <c r="AM1427" s="441"/>
      <c r="AN1427" s="441"/>
      <c r="AO1427" s="441"/>
      <c r="AP1427" s="441"/>
      <c r="AQ1427" s="441"/>
      <c r="AR1427" s="441"/>
      <c r="AS1427" s="441"/>
      <c r="AT1427" s="441"/>
      <c r="AU1427" s="441"/>
      <c r="AV1427" s="441"/>
      <c r="AW1427" s="441"/>
      <c r="AX1427" s="441"/>
      <c r="AY1427" s="441"/>
      <c r="AZ1427" s="441"/>
      <c r="BA1427" s="441"/>
      <c r="BB1427" s="441"/>
      <c r="BC1427" s="441"/>
      <c r="BD1427" s="441"/>
      <c r="BE1427" s="441"/>
      <c r="BF1427" s="441"/>
    </row>
    <row r="1428">
      <c r="A1428" s="798"/>
      <c r="B1428" s="795"/>
      <c r="C1428" s="795"/>
      <c r="D1428" s="795"/>
      <c r="E1428" s="795"/>
      <c r="F1428" s="795"/>
      <c r="G1428" s="795"/>
      <c r="H1428" s="795"/>
      <c r="I1428" s="796"/>
      <c r="J1428" s="441"/>
      <c r="K1428" s="441"/>
      <c r="L1428" s="797"/>
      <c r="M1428" s="441"/>
      <c r="N1428" s="441"/>
      <c r="O1428" s="441"/>
      <c r="P1428" s="441"/>
      <c r="Q1428" s="441"/>
      <c r="R1428" s="426"/>
      <c r="S1428" s="441"/>
      <c r="T1428" s="441"/>
      <c r="U1428" s="441"/>
      <c r="V1428" s="441"/>
      <c r="W1428" s="441"/>
      <c r="X1428" s="441"/>
      <c r="Y1428" s="441"/>
      <c r="Z1428" s="441"/>
      <c r="AA1428" s="441"/>
      <c r="AB1428" s="441"/>
      <c r="AC1428" s="441"/>
      <c r="AD1428" s="441"/>
      <c r="AE1428" s="441"/>
      <c r="AF1428" s="441"/>
      <c r="AG1428" s="441"/>
      <c r="AH1428" s="441"/>
      <c r="AI1428" s="441"/>
      <c r="AJ1428" s="441"/>
      <c r="AK1428" s="441"/>
      <c r="AL1428" s="441"/>
      <c r="AM1428" s="441"/>
      <c r="AN1428" s="441"/>
      <c r="AO1428" s="441"/>
      <c r="AP1428" s="441"/>
      <c r="AQ1428" s="441"/>
      <c r="AR1428" s="441"/>
      <c r="AS1428" s="441"/>
      <c r="AT1428" s="441"/>
      <c r="AU1428" s="441"/>
      <c r="AV1428" s="441"/>
      <c r="AW1428" s="441"/>
      <c r="AX1428" s="441"/>
      <c r="AY1428" s="441"/>
      <c r="AZ1428" s="441"/>
      <c r="BA1428" s="441"/>
      <c r="BB1428" s="441"/>
      <c r="BC1428" s="441"/>
      <c r="BD1428" s="441"/>
      <c r="BE1428" s="441"/>
      <c r="BF1428" s="441"/>
    </row>
    <row r="1429">
      <c r="A1429" s="798"/>
      <c r="B1429" s="795"/>
      <c r="C1429" s="795"/>
      <c r="D1429" s="795"/>
      <c r="E1429" s="795"/>
      <c r="F1429" s="795"/>
      <c r="G1429" s="795"/>
      <c r="H1429" s="795"/>
      <c r="I1429" s="796"/>
      <c r="J1429" s="441"/>
      <c r="K1429" s="441"/>
      <c r="L1429" s="797"/>
      <c r="M1429" s="441"/>
      <c r="N1429" s="441"/>
      <c r="O1429" s="441"/>
      <c r="P1429" s="441"/>
      <c r="Q1429" s="441"/>
      <c r="R1429" s="426"/>
      <c r="S1429" s="441"/>
      <c r="T1429" s="441"/>
      <c r="U1429" s="441"/>
      <c r="V1429" s="441"/>
      <c r="W1429" s="441"/>
      <c r="X1429" s="441"/>
      <c r="Y1429" s="441"/>
      <c r="Z1429" s="441"/>
      <c r="AA1429" s="441"/>
      <c r="AB1429" s="441"/>
      <c r="AC1429" s="441"/>
      <c r="AD1429" s="441"/>
      <c r="AE1429" s="441"/>
      <c r="AF1429" s="441"/>
      <c r="AG1429" s="441"/>
      <c r="AH1429" s="441"/>
      <c r="AI1429" s="441"/>
      <c r="AJ1429" s="441"/>
      <c r="AK1429" s="441"/>
      <c r="AL1429" s="441"/>
      <c r="AM1429" s="441"/>
      <c r="AN1429" s="441"/>
      <c r="AO1429" s="441"/>
      <c r="AP1429" s="441"/>
      <c r="AQ1429" s="441"/>
      <c r="AR1429" s="441"/>
      <c r="AS1429" s="441"/>
      <c r="AT1429" s="441"/>
      <c r="AU1429" s="441"/>
      <c r="AV1429" s="441"/>
      <c r="AW1429" s="441"/>
      <c r="AX1429" s="441"/>
      <c r="AY1429" s="441"/>
      <c r="AZ1429" s="441"/>
      <c r="BA1429" s="441"/>
      <c r="BB1429" s="441"/>
      <c r="BC1429" s="441"/>
      <c r="BD1429" s="441"/>
      <c r="BE1429" s="441"/>
      <c r="BF1429" s="441"/>
    </row>
    <row r="1430">
      <c r="A1430" s="798"/>
      <c r="B1430" s="795"/>
      <c r="C1430" s="795"/>
      <c r="D1430" s="795"/>
      <c r="E1430" s="795"/>
      <c r="F1430" s="795"/>
      <c r="G1430" s="795"/>
      <c r="H1430" s="795"/>
      <c r="I1430" s="796"/>
      <c r="J1430" s="441"/>
      <c r="K1430" s="441"/>
      <c r="L1430" s="797"/>
      <c r="M1430" s="441"/>
      <c r="N1430" s="441"/>
      <c r="O1430" s="441"/>
      <c r="P1430" s="441"/>
      <c r="Q1430" s="441"/>
      <c r="R1430" s="426"/>
      <c r="S1430" s="441"/>
      <c r="T1430" s="441"/>
      <c r="U1430" s="441"/>
      <c r="V1430" s="441"/>
      <c r="W1430" s="441"/>
      <c r="X1430" s="441"/>
      <c r="Y1430" s="441"/>
      <c r="Z1430" s="441"/>
      <c r="AA1430" s="441"/>
      <c r="AB1430" s="441"/>
      <c r="AC1430" s="441"/>
      <c r="AD1430" s="441"/>
      <c r="AE1430" s="441"/>
      <c r="AF1430" s="441"/>
      <c r="AG1430" s="441"/>
      <c r="AH1430" s="441"/>
      <c r="AI1430" s="441"/>
      <c r="AJ1430" s="441"/>
      <c r="AK1430" s="441"/>
      <c r="AL1430" s="441"/>
      <c r="AM1430" s="441"/>
      <c r="AN1430" s="441"/>
      <c r="AO1430" s="441"/>
      <c r="AP1430" s="441"/>
      <c r="AQ1430" s="441"/>
      <c r="AR1430" s="441"/>
      <c r="AS1430" s="441"/>
      <c r="AT1430" s="441"/>
      <c r="AU1430" s="441"/>
      <c r="AV1430" s="441"/>
      <c r="AW1430" s="441"/>
      <c r="AX1430" s="441"/>
      <c r="AY1430" s="441"/>
      <c r="AZ1430" s="441"/>
      <c r="BA1430" s="441"/>
      <c r="BB1430" s="441"/>
      <c r="BC1430" s="441"/>
      <c r="BD1430" s="441"/>
      <c r="BE1430" s="441"/>
      <c r="BF1430" s="441"/>
    </row>
    <row r="1431">
      <c r="A1431" s="798"/>
      <c r="B1431" s="795"/>
      <c r="C1431" s="795"/>
      <c r="D1431" s="795"/>
      <c r="E1431" s="795"/>
      <c r="F1431" s="795"/>
      <c r="G1431" s="795"/>
      <c r="H1431" s="795"/>
      <c r="I1431" s="796"/>
      <c r="J1431" s="441"/>
      <c r="K1431" s="441"/>
      <c r="L1431" s="797"/>
      <c r="M1431" s="441"/>
      <c r="N1431" s="441"/>
      <c r="O1431" s="441"/>
      <c r="P1431" s="441"/>
      <c r="Q1431" s="441"/>
      <c r="R1431" s="426"/>
      <c r="S1431" s="441"/>
      <c r="T1431" s="441"/>
      <c r="U1431" s="441"/>
      <c r="V1431" s="441"/>
      <c r="W1431" s="441"/>
      <c r="X1431" s="441"/>
      <c r="Y1431" s="441"/>
      <c r="Z1431" s="441"/>
      <c r="AA1431" s="441"/>
      <c r="AB1431" s="441"/>
      <c r="AC1431" s="441"/>
      <c r="AD1431" s="441"/>
      <c r="AE1431" s="441"/>
      <c r="AF1431" s="441"/>
      <c r="AG1431" s="441"/>
      <c r="AH1431" s="441"/>
      <c r="AI1431" s="441"/>
      <c r="AJ1431" s="441"/>
      <c r="AK1431" s="441"/>
      <c r="AL1431" s="441"/>
      <c r="AM1431" s="441"/>
      <c r="AN1431" s="441"/>
      <c r="AO1431" s="441"/>
      <c r="AP1431" s="441"/>
      <c r="AQ1431" s="441"/>
      <c r="AR1431" s="441"/>
      <c r="AS1431" s="441"/>
      <c r="AT1431" s="441"/>
      <c r="AU1431" s="441"/>
      <c r="AV1431" s="441"/>
      <c r="AW1431" s="441"/>
      <c r="AX1431" s="441"/>
      <c r="AY1431" s="441"/>
      <c r="AZ1431" s="441"/>
      <c r="BA1431" s="441"/>
      <c r="BB1431" s="441"/>
      <c r="BC1431" s="441"/>
      <c r="BD1431" s="441"/>
      <c r="BE1431" s="441"/>
      <c r="BF1431" s="441"/>
    </row>
    <row r="1432">
      <c r="A1432" s="798"/>
      <c r="B1432" s="795"/>
      <c r="C1432" s="795"/>
      <c r="D1432" s="795"/>
      <c r="E1432" s="795"/>
      <c r="F1432" s="795"/>
      <c r="G1432" s="795"/>
      <c r="H1432" s="795"/>
      <c r="I1432" s="796"/>
      <c r="J1432" s="441"/>
      <c r="K1432" s="441"/>
      <c r="L1432" s="797"/>
      <c r="M1432" s="441"/>
      <c r="N1432" s="441"/>
      <c r="O1432" s="441"/>
      <c r="P1432" s="441"/>
      <c r="Q1432" s="441"/>
      <c r="R1432" s="426"/>
      <c r="S1432" s="441"/>
      <c r="T1432" s="441"/>
      <c r="U1432" s="441"/>
      <c r="V1432" s="441"/>
      <c r="W1432" s="441"/>
      <c r="X1432" s="441"/>
      <c r="Y1432" s="441"/>
      <c r="Z1432" s="441"/>
      <c r="AA1432" s="441"/>
      <c r="AB1432" s="441"/>
      <c r="AC1432" s="441"/>
      <c r="AD1432" s="441"/>
      <c r="AE1432" s="441"/>
      <c r="AF1432" s="441"/>
      <c r="AG1432" s="441"/>
      <c r="AH1432" s="441"/>
      <c r="AI1432" s="441"/>
      <c r="AJ1432" s="441"/>
      <c r="AK1432" s="441"/>
      <c r="AL1432" s="441"/>
      <c r="AM1432" s="441"/>
      <c r="AN1432" s="441"/>
      <c r="AO1432" s="441"/>
      <c r="AP1432" s="441"/>
      <c r="AQ1432" s="441"/>
      <c r="AR1432" s="441"/>
      <c r="AS1432" s="441"/>
      <c r="AT1432" s="441"/>
      <c r="AU1432" s="441"/>
      <c r="AV1432" s="441"/>
      <c r="AW1432" s="441"/>
      <c r="AX1432" s="441"/>
      <c r="AY1432" s="441"/>
      <c r="AZ1432" s="441"/>
      <c r="BA1432" s="441"/>
      <c r="BB1432" s="441"/>
      <c r="BC1432" s="441"/>
      <c r="BD1432" s="441"/>
      <c r="BE1432" s="441"/>
      <c r="BF1432" s="441"/>
    </row>
    <row r="1433">
      <c r="A1433" s="798"/>
      <c r="B1433" s="795"/>
      <c r="C1433" s="795"/>
      <c r="D1433" s="795"/>
      <c r="E1433" s="795"/>
      <c r="F1433" s="795"/>
      <c r="G1433" s="795"/>
      <c r="H1433" s="795"/>
      <c r="I1433" s="796"/>
      <c r="J1433" s="441"/>
      <c r="K1433" s="441"/>
      <c r="L1433" s="797"/>
      <c r="M1433" s="441"/>
      <c r="N1433" s="441"/>
      <c r="O1433" s="441"/>
      <c r="P1433" s="441"/>
      <c r="Q1433" s="441"/>
      <c r="R1433" s="426"/>
      <c r="S1433" s="441"/>
      <c r="T1433" s="441"/>
      <c r="U1433" s="441"/>
      <c r="V1433" s="441"/>
      <c r="W1433" s="441"/>
      <c r="X1433" s="441"/>
      <c r="Y1433" s="441"/>
      <c r="Z1433" s="441"/>
      <c r="AA1433" s="441"/>
      <c r="AB1433" s="441"/>
      <c r="AC1433" s="441"/>
      <c r="AD1433" s="441"/>
      <c r="AE1433" s="441"/>
      <c r="AF1433" s="441"/>
      <c r="AG1433" s="441"/>
      <c r="AH1433" s="441"/>
      <c r="AI1433" s="441"/>
      <c r="AJ1433" s="441"/>
      <c r="AK1433" s="441"/>
      <c r="AL1433" s="441"/>
      <c r="AM1433" s="441"/>
      <c r="AN1433" s="441"/>
      <c r="AO1433" s="441"/>
      <c r="AP1433" s="441"/>
      <c r="AQ1433" s="441"/>
      <c r="AR1433" s="441"/>
      <c r="AS1433" s="441"/>
      <c r="AT1433" s="441"/>
      <c r="AU1433" s="441"/>
      <c r="AV1433" s="441"/>
      <c r="AW1433" s="441"/>
      <c r="AX1433" s="441"/>
      <c r="AY1433" s="441"/>
      <c r="AZ1433" s="441"/>
      <c r="BA1433" s="441"/>
      <c r="BB1433" s="441"/>
      <c r="BC1433" s="441"/>
      <c r="BD1433" s="441"/>
      <c r="BE1433" s="441"/>
      <c r="BF1433" s="441"/>
    </row>
    <row r="1434">
      <c r="A1434" s="798"/>
      <c r="B1434" s="795"/>
      <c r="C1434" s="795"/>
      <c r="D1434" s="795"/>
      <c r="E1434" s="795"/>
      <c r="F1434" s="795"/>
      <c r="G1434" s="795"/>
      <c r="H1434" s="795"/>
      <c r="I1434" s="796"/>
      <c r="J1434" s="441"/>
      <c r="K1434" s="441"/>
      <c r="L1434" s="797"/>
      <c r="M1434" s="441"/>
      <c r="N1434" s="441"/>
      <c r="O1434" s="441"/>
      <c r="P1434" s="441"/>
      <c r="Q1434" s="441"/>
      <c r="R1434" s="426"/>
      <c r="S1434" s="441"/>
      <c r="T1434" s="441"/>
      <c r="U1434" s="441"/>
      <c r="V1434" s="441"/>
      <c r="W1434" s="441"/>
      <c r="X1434" s="441"/>
      <c r="Y1434" s="441"/>
      <c r="Z1434" s="441"/>
      <c r="AA1434" s="441"/>
      <c r="AB1434" s="441"/>
      <c r="AC1434" s="441"/>
      <c r="AD1434" s="441"/>
      <c r="AE1434" s="441"/>
      <c r="AF1434" s="441"/>
      <c r="AG1434" s="441"/>
      <c r="AH1434" s="441"/>
      <c r="AI1434" s="441"/>
      <c r="AJ1434" s="441"/>
      <c r="AK1434" s="441"/>
      <c r="AL1434" s="441"/>
      <c r="AM1434" s="441"/>
      <c r="AN1434" s="441"/>
      <c r="AO1434" s="441"/>
      <c r="AP1434" s="441"/>
      <c r="AQ1434" s="441"/>
      <c r="AR1434" s="441"/>
      <c r="AS1434" s="441"/>
      <c r="AT1434" s="441"/>
      <c r="AU1434" s="441"/>
      <c r="AV1434" s="441"/>
      <c r="AW1434" s="441"/>
      <c r="AX1434" s="441"/>
      <c r="AY1434" s="441"/>
      <c r="AZ1434" s="441"/>
      <c r="BA1434" s="441"/>
      <c r="BB1434" s="441"/>
      <c r="BC1434" s="441"/>
      <c r="BD1434" s="441"/>
      <c r="BE1434" s="441"/>
      <c r="BF1434" s="441"/>
    </row>
    <row r="1435">
      <c r="A1435" s="798"/>
      <c r="B1435" s="795"/>
      <c r="C1435" s="795"/>
      <c r="D1435" s="795"/>
      <c r="E1435" s="795"/>
      <c r="F1435" s="795"/>
      <c r="G1435" s="795"/>
      <c r="H1435" s="795"/>
      <c r="I1435" s="796"/>
      <c r="J1435" s="441"/>
      <c r="K1435" s="441"/>
      <c r="L1435" s="797"/>
      <c r="M1435" s="441"/>
      <c r="N1435" s="441"/>
      <c r="O1435" s="441"/>
      <c r="P1435" s="441"/>
      <c r="Q1435" s="441"/>
      <c r="R1435" s="426"/>
      <c r="S1435" s="441"/>
      <c r="T1435" s="441"/>
      <c r="U1435" s="441"/>
      <c r="V1435" s="441"/>
      <c r="W1435" s="441"/>
      <c r="X1435" s="441"/>
      <c r="Y1435" s="441"/>
      <c r="Z1435" s="441"/>
      <c r="AA1435" s="441"/>
      <c r="AB1435" s="441"/>
      <c r="AC1435" s="441"/>
      <c r="AD1435" s="441"/>
      <c r="AE1435" s="441"/>
      <c r="AF1435" s="441"/>
      <c r="AG1435" s="441"/>
      <c r="AH1435" s="441"/>
      <c r="AI1435" s="441"/>
      <c r="AJ1435" s="441"/>
      <c r="AK1435" s="441"/>
      <c r="AL1435" s="441"/>
      <c r="AM1435" s="441"/>
      <c r="AN1435" s="441"/>
      <c r="AO1435" s="441"/>
      <c r="AP1435" s="441"/>
      <c r="AQ1435" s="441"/>
      <c r="AR1435" s="441"/>
      <c r="AS1435" s="441"/>
      <c r="AT1435" s="441"/>
      <c r="AU1435" s="441"/>
      <c r="AV1435" s="441"/>
      <c r="AW1435" s="441"/>
      <c r="AX1435" s="441"/>
      <c r="AY1435" s="441"/>
      <c r="AZ1435" s="441"/>
      <c r="BA1435" s="441"/>
      <c r="BB1435" s="441"/>
      <c r="BC1435" s="441"/>
      <c r="BD1435" s="441"/>
      <c r="BE1435" s="441"/>
      <c r="BF1435" s="441"/>
    </row>
    <row r="1436">
      <c r="A1436" s="798"/>
      <c r="B1436" s="795"/>
      <c r="C1436" s="795"/>
      <c r="D1436" s="795"/>
      <c r="E1436" s="795"/>
      <c r="F1436" s="795"/>
      <c r="G1436" s="795"/>
      <c r="H1436" s="795"/>
      <c r="I1436" s="796"/>
      <c r="J1436" s="441"/>
      <c r="K1436" s="441"/>
      <c r="L1436" s="797"/>
      <c r="M1436" s="441"/>
      <c r="N1436" s="441"/>
      <c r="O1436" s="441"/>
      <c r="P1436" s="441"/>
      <c r="Q1436" s="441"/>
      <c r="R1436" s="426"/>
      <c r="S1436" s="441"/>
      <c r="T1436" s="441"/>
      <c r="U1436" s="441"/>
      <c r="V1436" s="441"/>
      <c r="W1436" s="441"/>
      <c r="X1436" s="441"/>
      <c r="Y1436" s="441"/>
      <c r="Z1436" s="441"/>
      <c r="AA1436" s="441"/>
      <c r="AB1436" s="441"/>
      <c r="AC1436" s="441"/>
      <c r="AD1436" s="441"/>
      <c r="AE1436" s="441"/>
      <c r="AF1436" s="441"/>
      <c r="AG1436" s="441"/>
      <c r="AH1436" s="441"/>
      <c r="AI1436" s="441"/>
      <c r="AJ1436" s="441"/>
      <c r="AK1436" s="441"/>
      <c r="AL1436" s="441"/>
      <c r="AM1436" s="441"/>
      <c r="AN1436" s="441"/>
      <c r="AO1436" s="441"/>
      <c r="AP1436" s="441"/>
      <c r="AQ1436" s="441"/>
      <c r="AR1436" s="441"/>
      <c r="AS1436" s="441"/>
      <c r="AT1436" s="441"/>
      <c r="AU1436" s="441"/>
      <c r="AV1436" s="441"/>
      <c r="AW1436" s="441"/>
      <c r="AX1436" s="441"/>
      <c r="AY1436" s="441"/>
      <c r="AZ1436" s="441"/>
      <c r="BA1436" s="441"/>
      <c r="BB1436" s="441"/>
      <c r="BC1436" s="441"/>
      <c r="BD1436" s="441"/>
      <c r="BE1436" s="441"/>
      <c r="BF1436" s="441"/>
    </row>
    <row r="1437">
      <c r="A1437" s="798"/>
      <c r="B1437" s="795"/>
      <c r="C1437" s="795"/>
      <c r="D1437" s="795"/>
      <c r="E1437" s="795"/>
      <c r="F1437" s="795"/>
      <c r="G1437" s="795"/>
      <c r="H1437" s="795"/>
      <c r="I1437" s="796"/>
      <c r="J1437" s="441"/>
      <c r="K1437" s="441"/>
      <c r="L1437" s="797"/>
      <c r="M1437" s="441"/>
      <c r="N1437" s="441"/>
      <c r="O1437" s="441"/>
      <c r="P1437" s="441"/>
      <c r="Q1437" s="441"/>
      <c r="R1437" s="426"/>
      <c r="S1437" s="441"/>
      <c r="T1437" s="441"/>
      <c r="U1437" s="441"/>
      <c r="V1437" s="441"/>
      <c r="W1437" s="441"/>
      <c r="X1437" s="441"/>
      <c r="Y1437" s="441"/>
      <c r="Z1437" s="441"/>
      <c r="AA1437" s="441"/>
      <c r="AB1437" s="441"/>
      <c r="AC1437" s="441"/>
      <c r="AD1437" s="441"/>
      <c r="AE1437" s="441"/>
      <c r="AF1437" s="441"/>
      <c r="AG1437" s="441"/>
      <c r="AH1437" s="441"/>
      <c r="AI1437" s="441"/>
      <c r="AJ1437" s="441"/>
      <c r="AK1437" s="441"/>
      <c r="AL1437" s="441"/>
      <c r="AM1437" s="441"/>
      <c r="AN1437" s="441"/>
      <c r="AO1437" s="441"/>
      <c r="AP1437" s="441"/>
      <c r="AQ1437" s="441"/>
      <c r="AR1437" s="441"/>
      <c r="AS1437" s="441"/>
      <c r="AT1437" s="441"/>
      <c r="AU1437" s="441"/>
      <c r="AV1437" s="441"/>
      <c r="AW1437" s="441"/>
      <c r="AX1437" s="441"/>
      <c r="AY1437" s="441"/>
      <c r="AZ1437" s="441"/>
      <c r="BA1437" s="441"/>
      <c r="BB1437" s="441"/>
      <c r="BC1437" s="441"/>
      <c r="BD1437" s="441"/>
      <c r="BE1437" s="441"/>
      <c r="BF1437" s="441"/>
    </row>
    <row r="1438">
      <c r="A1438" s="798"/>
      <c r="B1438" s="795"/>
      <c r="C1438" s="795"/>
      <c r="D1438" s="795"/>
      <c r="E1438" s="795"/>
      <c r="F1438" s="795"/>
      <c r="G1438" s="795"/>
      <c r="H1438" s="795"/>
      <c r="I1438" s="796"/>
      <c r="J1438" s="441"/>
      <c r="K1438" s="441"/>
      <c r="L1438" s="797"/>
      <c r="M1438" s="441"/>
      <c r="N1438" s="441"/>
      <c r="O1438" s="441"/>
      <c r="P1438" s="441"/>
      <c r="Q1438" s="441"/>
      <c r="R1438" s="426"/>
      <c r="S1438" s="441"/>
      <c r="T1438" s="441"/>
      <c r="U1438" s="441"/>
      <c r="V1438" s="441"/>
      <c r="W1438" s="441"/>
      <c r="X1438" s="441"/>
      <c r="Y1438" s="441"/>
      <c r="Z1438" s="441"/>
      <c r="AA1438" s="441"/>
      <c r="AB1438" s="441"/>
      <c r="AC1438" s="441"/>
      <c r="AD1438" s="441"/>
      <c r="AE1438" s="441"/>
      <c r="AF1438" s="441"/>
      <c r="AG1438" s="441"/>
      <c r="AH1438" s="441"/>
      <c r="AI1438" s="441"/>
      <c r="AJ1438" s="441"/>
      <c r="AK1438" s="441"/>
      <c r="AL1438" s="441"/>
      <c r="AM1438" s="441"/>
      <c r="AN1438" s="441"/>
      <c r="AO1438" s="441"/>
      <c r="AP1438" s="441"/>
      <c r="AQ1438" s="441"/>
      <c r="AR1438" s="441"/>
      <c r="AS1438" s="441"/>
      <c r="AT1438" s="441"/>
      <c r="AU1438" s="441"/>
      <c r="AV1438" s="441"/>
      <c r="AW1438" s="441"/>
      <c r="AX1438" s="441"/>
      <c r="AY1438" s="441"/>
      <c r="AZ1438" s="441"/>
      <c r="BA1438" s="441"/>
      <c r="BB1438" s="441"/>
      <c r="BC1438" s="441"/>
      <c r="BD1438" s="441"/>
      <c r="BE1438" s="441"/>
      <c r="BF1438" s="441"/>
    </row>
    <row r="1439">
      <c r="A1439" s="798"/>
      <c r="B1439" s="795"/>
      <c r="C1439" s="795"/>
      <c r="D1439" s="795"/>
      <c r="E1439" s="795"/>
      <c r="F1439" s="795"/>
      <c r="G1439" s="795"/>
      <c r="H1439" s="795"/>
      <c r="I1439" s="796"/>
      <c r="J1439" s="441"/>
      <c r="K1439" s="441"/>
      <c r="L1439" s="797"/>
      <c r="M1439" s="441"/>
      <c r="N1439" s="441"/>
      <c r="O1439" s="441"/>
      <c r="P1439" s="441"/>
      <c r="Q1439" s="441"/>
      <c r="R1439" s="426"/>
      <c r="S1439" s="441"/>
      <c r="T1439" s="441"/>
      <c r="U1439" s="441"/>
      <c r="V1439" s="441"/>
      <c r="W1439" s="441"/>
      <c r="X1439" s="441"/>
      <c r="Y1439" s="441"/>
      <c r="Z1439" s="441"/>
      <c r="AA1439" s="441"/>
      <c r="AB1439" s="441"/>
      <c r="AC1439" s="441"/>
      <c r="AD1439" s="441"/>
      <c r="AE1439" s="441"/>
      <c r="AF1439" s="441"/>
      <c r="AG1439" s="441"/>
      <c r="AH1439" s="441"/>
      <c r="AI1439" s="441"/>
      <c r="AJ1439" s="441"/>
      <c r="AK1439" s="441"/>
      <c r="AL1439" s="441"/>
      <c r="AM1439" s="441"/>
      <c r="AN1439" s="441"/>
      <c r="AO1439" s="441"/>
      <c r="AP1439" s="441"/>
      <c r="AQ1439" s="441"/>
      <c r="AR1439" s="441"/>
      <c r="AS1439" s="441"/>
      <c r="AT1439" s="441"/>
      <c r="AU1439" s="441"/>
      <c r="AV1439" s="441"/>
      <c r="AW1439" s="441"/>
      <c r="AX1439" s="441"/>
      <c r="AY1439" s="441"/>
      <c r="AZ1439" s="441"/>
      <c r="BA1439" s="441"/>
      <c r="BB1439" s="441"/>
      <c r="BC1439" s="441"/>
      <c r="BD1439" s="441"/>
      <c r="BE1439" s="441"/>
      <c r="BF1439" s="441"/>
    </row>
    <row r="1440">
      <c r="A1440" s="798"/>
      <c r="B1440" s="795"/>
      <c r="C1440" s="795"/>
      <c r="D1440" s="795"/>
      <c r="E1440" s="795"/>
      <c r="F1440" s="795"/>
      <c r="G1440" s="795"/>
      <c r="H1440" s="795"/>
      <c r="I1440" s="796"/>
      <c r="J1440" s="441"/>
      <c r="K1440" s="441"/>
      <c r="L1440" s="797"/>
      <c r="M1440" s="441"/>
      <c r="N1440" s="441"/>
      <c r="O1440" s="441"/>
      <c r="P1440" s="441"/>
      <c r="Q1440" s="441"/>
      <c r="R1440" s="426"/>
      <c r="S1440" s="441"/>
      <c r="T1440" s="441"/>
      <c r="U1440" s="441"/>
      <c r="V1440" s="441"/>
      <c r="W1440" s="441"/>
      <c r="X1440" s="441"/>
      <c r="Y1440" s="441"/>
      <c r="Z1440" s="441"/>
      <c r="AA1440" s="441"/>
      <c r="AB1440" s="441"/>
      <c r="AC1440" s="441"/>
      <c r="AD1440" s="441"/>
      <c r="AE1440" s="441"/>
      <c r="AF1440" s="441"/>
      <c r="AG1440" s="441"/>
      <c r="AH1440" s="441"/>
      <c r="AI1440" s="441"/>
      <c r="AJ1440" s="441"/>
      <c r="AK1440" s="441"/>
      <c r="AL1440" s="441"/>
      <c r="AM1440" s="441"/>
      <c r="AN1440" s="441"/>
      <c r="AO1440" s="441"/>
      <c r="AP1440" s="441"/>
      <c r="AQ1440" s="441"/>
      <c r="AR1440" s="441"/>
      <c r="AS1440" s="441"/>
      <c r="AT1440" s="441"/>
      <c r="AU1440" s="441"/>
      <c r="AV1440" s="441"/>
      <c r="AW1440" s="441"/>
      <c r="AX1440" s="441"/>
      <c r="AY1440" s="441"/>
      <c r="AZ1440" s="441"/>
      <c r="BA1440" s="441"/>
      <c r="BB1440" s="441"/>
      <c r="BC1440" s="441"/>
      <c r="BD1440" s="441"/>
      <c r="BE1440" s="441"/>
      <c r="BF1440" s="441"/>
    </row>
    <row r="1441">
      <c r="A1441" s="798"/>
      <c r="B1441" s="795"/>
      <c r="C1441" s="795"/>
      <c r="D1441" s="795"/>
      <c r="E1441" s="795"/>
      <c r="F1441" s="795"/>
      <c r="G1441" s="795"/>
      <c r="H1441" s="795"/>
      <c r="I1441" s="796"/>
      <c r="J1441" s="441"/>
      <c r="K1441" s="441"/>
      <c r="L1441" s="797"/>
      <c r="M1441" s="441"/>
      <c r="N1441" s="441"/>
      <c r="O1441" s="441"/>
      <c r="P1441" s="441"/>
      <c r="Q1441" s="441"/>
      <c r="R1441" s="426"/>
      <c r="S1441" s="441"/>
      <c r="T1441" s="441"/>
      <c r="U1441" s="441"/>
      <c r="V1441" s="441"/>
      <c r="W1441" s="441"/>
      <c r="X1441" s="441"/>
      <c r="Y1441" s="441"/>
      <c r="Z1441" s="441"/>
      <c r="AA1441" s="441"/>
      <c r="AB1441" s="441"/>
      <c r="AC1441" s="441"/>
      <c r="AD1441" s="441"/>
      <c r="AE1441" s="441"/>
      <c r="AF1441" s="441"/>
      <c r="AG1441" s="441"/>
      <c r="AH1441" s="441"/>
      <c r="AI1441" s="441"/>
      <c r="AJ1441" s="441"/>
      <c r="AK1441" s="441"/>
      <c r="AL1441" s="441"/>
      <c r="AM1441" s="441"/>
      <c r="AN1441" s="441"/>
      <c r="AO1441" s="441"/>
      <c r="AP1441" s="441"/>
      <c r="AQ1441" s="441"/>
      <c r="AR1441" s="441"/>
      <c r="AS1441" s="441"/>
      <c r="AT1441" s="441"/>
      <c r="AU1441" s="441"/>
      <c r="AV1441" s="441"/>
      <c r="AW1441" s="441"/>
      <c r="AX1441" s="441"/>
      <c r="AY1441" s="441"/>
      <c r="AZ1441" s="441"/>
      <c r="BA1441" s="441"/>
      <c r="BB1441" s="441"/>
      <c r="BC1441" s="441"/>
      <c r="BD1441" s="441"/>
      <c r="BE1441" s="441"/>
      <c r="BF1441" s="441"/>
    </row>
    <row r="1442">
      <c r="A1442" s="798"/>
      <c r="B1442" s="795"/>
      <c r="C1442" s="795"/>
      <c r="D1442" s="795"/>
      <c r="E1442" s="795"/>
      <c r="F1442" s="795"/>
      <c r="G1442" s="795"/>
      <c r="H1442" s="795"/>
      <c r="I1442" s="796"/>
      <c r="J1442" s="441"/>
      <c r="K1442" s="441"/>
      <c r="L1442" s="797"/>
      <c r="M1442" s="441"/>
      <c r="N1442" s="441"/>
      <c r="O1442" s="441"/>
      <c r="P1442" s="441"/>
      <c r="Q1442" s="441"/>
      <c r="R1442" s="426"/>
      <c r="S1442" s="441"/>
      <c r="T1442" s="441"/>
      <c r="U1442" s="441"/>
      <c r="V1442" s="441"/>
      <c r="W1442" s="441"/>
      <c r="X1442" s="441"/>
      <c r="Y1442" s="441"/>
      <c r="Z1442" s="441"/>
      <c r="AA1442" s="441"/>
      <c r="AB1442" s="441"/>
      <c r="AC1442" s="441"/>
      <c r="AD1442" s="441"/>
      <c r="AE1442" s="441"/>
      <c r="AF1442" s="441"/>
      <c r="AG1442" s="441"/>
      <c r="AH1442" s="441"/>
      <c r="AI1442" s="441"/>
      <c r="AJ1442" s="441"/>
      <c r="AK1442" s="441"/>
      <c r="AL1442" s="441"/>
      <c r="AM1442" s="441"/>
      <c r="AN1442" s="441"/>
      <c r="AO1442" s="441"/>
      <c r="AP1442" s="441"/>
      <c r="AQ1442" s="441"/>
      <c r="AR1442" s="441"/>
      <c r="AS1442" s="441"/>
      <c r="AT1442" s="441"/>
      <c r="AU1442" s="441"/>
      <c r="AV1442" s="441"/>
      <c r="AW1442" s="441"/>
      <c r="AX1442" s="441"/>
      <c r="AY1442" s="441"/>
      <c r="AZ1442" s="441"/>
      <c r="BA1442" s="441"/>
      <c r="BB1442" s="441"/>
      <c r="BC1442" s="441"/>
      <c r="BD1442" s="441"/>
      <c r="BE1442" s="441"/>
      <c r="BF1442" s="441"/>
    </row>
    <row r="1443">
      <c r="A1443" s="798"/>
      <c r="B1443" s="795"/>
      <c r="C1443" s="795"/>
      <c r="D1443" s="795"/>
      <c r="E1443" s="795"/>
      <c r="F1443" s="795"/>
      <c r="G1443" s="795"/>
      <c r="H1443" s="795"/>
      <c r="I1443" s="796"/>
      <c r="J1443" s="441"/>
      <c r="K1443" s="441"/>
      <c r="L1443" s="797"/>
      <c r="M1443" s="441"/>
      <c r="N1443" s="441"/>
      <c r="O1443" s="441"/>
      <c r="P1443" s="441"/>
      <c r="Q1443" s="441"/>
      <c r="R1443" s="426"/>
      <c r="S1443" s="441"/>
      <c r="T1443" s="441"/>
      <c r="U1443" s="441"/>
      <c r="V1443" s="441"/>
      <c r="W1443" s="441"/>
      <c r="X1443" s="441"/>
      <c r="Y1443" s="441"/>
      <c r="Z1443" s="441"/>
      <c r="AA1443" s="441"/>
      <c r="AB1443" s="441"/>
      <c r="AC1443" s="441"/>
      <c r="AD1443" s="441"/>
      <c r="AE1443" s="441"/>
      <c r="AF1443" s="441"/>
      <c r="AG1443" s="441"/>
      <c r="AH1443" s="441"/>
      <c r="AI1443" s="441"/>
      <c r="AJ1443" s="441"/>
      <c r="AK1443" s="441"/>
      <c r="AL1443" s="441"/>
      <c r="AM1443" s="441"/>
      <c r="AN1443" s="441"/>
      <c r="AO1443" s="441"/>
      <c r="AP1443" s="441"/>
      <c r="AQ1443" s="441"/>
      <c r="AR1443" s="441"/>
      <c r="AS1443" s="441"/>
      <c r="AT1443" s="441"/>
      <c r="AU1443" s="441"/>
      <c r="AV1443" s="441"/>
      <c r="AW1443" s="441"/>
      <c r="AX1443" s="441"/>
      <c r="AY1443" s="441"/>
      <c r="AZ1443" s="441"/>
      <c r="BA1443" s="441"/>
      <c r="BB1443" s="441"/>
      <c r="BC1443" s="441"/>
      <c r="BD1443" s="441"/>
      <c r="BE1443" s="441"/>
      <c r="BF1443" s="441"/>
    </row>
    <row r="1444">
      <c r="A1444" s="798"/>
      <c r="B1444" s="795"/>
      <c r="C1444" s="795"/>
      <c r="D1444" s="795"/>
      <c r="E1444" s="795"/>
      <c r="F1444" s="795"/>
      <c r="G1444" s="795"/>
      <c r="H1444" s="795"/>
      <c r="I1444" s="796"/>
      <c r="J1444" s="441"/>
      <c r="K1444" s="441"/>
      <c r="L1444" s="797"/>
      <c r="M1444" s="441"/>
      <c r="N1444" s="441"/>
      <c r="O1444" s="441"/>
      <c r="P1444" s="441"/>
      <c r="Q1444" s="441"/>
      <c r="R1444" s="426"/>
      <c r="S1444" s="441"/>
      <c r="T1444" s="441"/>
      <c r="U1444" s="441"/>
      <c r="V1444" s="441"/>
      <c r="W1444" s="441"/>
      <c r="X1444" s="441"/>
      <c r="Y1444" s="441"/>
      <c r="Z1444" s="441"/>
      <c r="AA1444" s="441"/>
      <c r="AB1444" s="441"/>
      <c r="AC1444" s="441"/>
      <c r="AD1444" s="441"/>
      <c r="AE1444" s="441"/>
      <c r="AF1444" s="441"/>
      <c r="AG1444" s="441"/>
      <c r="AH1444" s="441"/>
      <c r="AI1444" s="441"/>
      <c r="AJ1444" s="441"/>
      <c r="AK1444" s="441"/>
      <c r="AL1444" s="441"/>
      <c r="AM1444" s="441"/>
      <c r="AN1444" s="441"/>
      <c r="AO1444" s="441"/>
      <c r="AP1444" s="441"/>
      <c r="AQ1444" s="441"/>
      <c r="AR1444" s="441"/>
      <c r="AS1444" s="441"/>
      <c r="AT1444" s="441"/>
      <c r="AU1444" s="441"/>
      <c r="AV1444" s="441"/>
      <c r="AW1444" s="441"/>
      <c r="AX1444" s="441"/>
      <c r="AY1444" s="441"/>
      <c r="AZ1444" s="441"/>
      <c r="BA1444" s="441"/>
      <c r="BB1444" s="441"/>
      <c r="BC1444" s="441"/>
      <c r="BD1444" s="441"/>
      <c r="BE1444" s="441"/>
      <c r="BF1444" s="441"/>
    </row>
    <row r="1445">
      <c r="A1445" s="798"/>
      <c r="B1445" s="795"/>
      <c r="C1445" s="795"/>
      <c r="D1445" s="795"/>
      <c r="E1445" s="795"/>
      <c r="F1445" s="795"/>
      <c r="G1445" s="795"/>
      <c r="H1445" s="795"/>
      <c r="I1445" s="796"/>
      <c r="J1445" s="441"/>
      <c r="K1445" s="441"/>
      <c r="L1445" s="797"/>
      <c r="M1445" s="441"/>
      <c r="N1445" s="441"/>
      <c r="O1445" s="441"/>
      <c r="P1445" s="441"/>
      <c r="Q1445" s="441"/>
      <c r="R1445" s="426"/>
      <c r="S1445" s="441"/>
      <c r="T1445" s="441"/>
      <c r="U1445" s="441"/>
      <c r="V1445" s="441"/>
      <c r="W1445" s="441"/>
      <c r="X1445" s="441"/>
      <c r="Y1445" s="441"/>
      <c r="Z1445" s="441"/>
      <c r="AA1445" s="441"/>
      <c r="AB1445" s="441"/>
      <c r="AC1445" s="441"/>
      <c r="AD1445" s="441"/>
      <c r="AE1445" s="441"/>
      <c r="AF1445" s="441"/>
      <c r="AG1445" s="441"/>
      <c r="AH1445" s="441"/>
      <c r="AI1445" s="441"/>
      <c r="AJ1445" s="441"/>
      <c r="AK1445" s="441"/>
      <c r="AL1445" s="441"/>
      <c r="AM1445" s="441"/>
      <c r="AN1445" s="441"/>
      <c r="AO1445" s="441"/>
      <c r="AP1445" s="441"/>
      <c r="AQ1445" s="441"/>
      <c r="AR1445" s="441"/>
      <c r="AS1445" s="441"/>
      <c r="AT1445" s="441"/>
      <c r="AU1445" s="441"/>
      <c r="AV1445" s="441"/>
      <c r="AW1445" s="441"/>
      <c r="AX1445" s="441"/>
      <c r="AY1445" s="441"/>
      <c r="AZ1445" s="441"/>
      <c r="BA1445" s="441"/>
      <c r="BB1445" s="441"/>
      <c r="BC1445" s="441"/>
      <c r="BD1445" s="441"/>
      <c r="BE1445" s="441"/>
      <c r="BF1445" s="441"/>
    </row>
    <row r="1446">
      <c r="A1446" s="798"/>
      <c r="B1446" s="795"/>
      <c r="C1446" s="795"/>
      <c r="D1446" s="795"/>
      <c r="E1446" s="795"/>
      <c r="F1446" s="795"/>
      <c r="G1446" s="795"/>
      <c r="H1446" s="795"/>
      <c r="I1446" s="796"/>
      <c r="J1446" s="441"/>
      <c r="K1446" s="441"/>
      <c r="L1446" s="797"/>
      <c r="M1446" s="441"/>
      <c r="N1446" s="441"/>
      <c r="O1446" s="441"/>
      <c r="P1446" s="441"/>
      <c r="Q1446" s="441"/>
      <c r="R1446" s="426"/>
      <c r="S1446" s="441"/>
      <c r="T1446" s="441"/>
      <c r="U1446" s="441"/>
      <c r="V1446" s="441"/>
      <c r="W1446" s="441"/>
      <c r="X1446" s="441"/>
      <c r="Y1446" s="441"/>
      <c r="Z1446" s="441"/>
      <c r="AA1446" s="441"/>
      <c r="AB1446" s="441"/>
      <c r="AC1446" s="441"/>
      <c r="AD1446" s="441"/>
      <c r="AE1446" s="441"/>
      <c r="AF1446" s="441"/>
      <c r="AG1446" s="441"/>
      <c r="AH1446" s="441"/>
      <c r="AI1446" s="441"/>
      <c r="AJ1446" s="441"/>
      <c r="AK1446" s="441"/>
      <c r="AL1446" s="441"/>
      <c r="AM1446" s="441"/>
      <c r="AN1446" s="441"/>
      <c r="AO1446" s="441"/>
      <c r="AP1446" s="441"/>
      <c r="AQ1446" s="441"/>
      <c r="AR1446" s="441"/>
      <c r="AS1446" s="441"/>
      <c r="AT1446" s="441"/>
      <c r="AU1446" s="441"/>
      <c r="AV1446" s="441"/>
      <c r="AW1446" s="441"/>
      <c r="AX1446" s="441"/>
      <c r="AY1446" s="441"/>
      <c r="AZ1446" s="441"/>
      <c r="BA1446" s="441"/>
      <c r="BB1446" s="441"/>
      <c r="BC1446" s="441"/>
      <c r="BD1446" s="441"/>
      <c r="BE1446" s="441"/>
      <c r="BF1446" s="441"/>
    </row>
    <row r="1447">
      <c r="A1447" s="798"/>
      <c r="B1447" s="795"/>
      <c r="C1447" s="795"/>
      <c r="D1447" s="795"/>
      <c r="E1447" s="795"/>
      <c r="F1447" s="795"/>
      <c r="G1447" s="795"/>
      <c r="H1447" s="795"/>
      <c r="I1447" s="796"/>
      <c r="J1447" s="441"/>
      <c r="K1447" s="441"/>
      <c r="L1447" s="797"/>
      <c r="M1447" s="441"/>
      <c r="N1447" s="441"/>
      <c r="O1447" s="441"/>
      <c r="P1447" s="441"/>
      <c r="Q1447" s="441"/>
      <c r="R1447" s="426"/>
      <c r="S1447" s="441"/>
      <c r="T1447" s="441"/>
      <c r="U1447" s="441"/>
      <c r="V1447" s="441"/>
      <c r="W1447" s="441"/>
      <c r="X1447" s="441"/>
      <c r="Y1447" s="441"/>
      <c r="Z1447" s="441"/>
      <c r="AA1447" s="441"/>
      <c r="AB1447" s="441"/>
      <c r="AC1447" s="441"/>
      <c r="AD1447" s="441"/>
      <c r="AE1447" s="441"/>
      <c r="AF1447" s="441"/>
      <c r="AG1447" s="441"/>
      <c r="AH1447" s="441"/>
      <c r="AI1447" s="441"/>
      <c r="AJ1447" s="441"/>
      <c r="AK1447" s="441"/>
      <c r="AL1447" s="441"/>
      <c r="AM1447" s="441"/>
      <c r="AN1447" s="441"/>
      <c r="AO1447" s="441"/>
      <c r="AP1447" s="441"/>
      <c r="AQ1447" s="441"/>
      <c r="AR1447" s="441"/>
      <c r="AS1447" s="441"/>
      <c r="AT1447" s="441"/>
      <c r="AU1447" s="441"/>
      <c r="AV1447" s="441"/>
      <c r="AW1447" s="441"/>
      <c r="AX1447" s="441"/>
      <c r="AY1447" s="441"/>
      <c r="AZ1447" s="441"/>
      <c r="BA1447" s="441"/>
      <c r="BB1447" s="441"/>
      <c r="BC1447" s="441"/>
      <c r="BD1447" s="441"/>
      <c r="BE1447" s="441"/>
      <c r="BF1447" s="441"/>
    </row>
  </sheetData>
  <mergeCells count="80">
    <mergeCell ref="Q524:R524"/>
    <mergeCell ref="Q525:R525"/>
    <mergeCell ref="Q526:R526"/>
    <mergeCell ref="Q527:R527"/>
    <mergeCell ref="Q528:R528"/>
    <mergeCell ref="Q529:R529"/>
    <mergeCell ref="Q530:R530"/>
    <mergeCell ref="Q531:R531"/>
    <mergeCell ref="Q532:R532"/>
    <mergeCell ref="Q533:R533"/>
    <mergeCell ref="Q534:R534"/>
    <mergeCell ref="Q535:R535"/>
    <mergeCell ref="Q536:R536"/>
    <mergeCell ref="Q537:R537"/>
    <mergeCell ref="Q538:R538"/>
    <mergeCell ref="Q539:R539"/>
    <mergeCell ref="Q540:R540"/>
    <mergeCell ref="Q541:R541"/>
    <mergeCell ref="Q542:R542"/>
    <mergeCell ref="Q543:R543"/>
    <mergeCell ref="Q544:R544"/>
    <mergeCell ref="Q553:R553"/>
    <mergeCell ref="Q640:R640"/>
    <mergeCell ref="Q641:R641"/>
    <mergeCell ref="Q642:R642"/>
    <mergeCell ref="Q545:R545"/>
    <mergeCell ref="Q546:R546"/>
    <mergeCell ref="Q547:R547"/>
    <mergeCell ref="Q548:R548"/>
    <mergeCell ref="Q549:R549"/>
    <mergeCell ref="Q550:R550"/>
    <mergeCell ref="Q552:R552"/>
    <mergeCell ref="P1:P2"/>
    <mergeCell ref="Q1:Q2"/>
    <mergeCell ref="R1:R2"/>
    <mergeCell ref="S1:S2"/>
    <mergeCell ref="T1:T2"/>
    <mergeCell ref="U1:U2"/>
    <mergeCell ref="I1:I2"/>
    <mergeCell ref="J1:J2"/>
    <mergeCell ref="K1:K2"/>
    <mergeCell ref="L1:L2"/>
    <mergeCell ref="M1:M2"/>
    <mergeCell ref="N1:N2"/>
    <mergeCell ref="O1:O2"/>
    <mergeCell ref="B467:H467"/>
    <mergeCell ref="I467:I468"/>
    <mergeCell ref="J467:J468"/>
    <mergeCell ref="K467:K468"/>
    <mergeCell ref="L467:L468"/>
    <mergeCell ref="M467:M468"/>
    <mergeCell ref="N467:N468"/>
    <mergeCell ref="O467:O468"/>
    <mergeCell ref="P467:P468"/>
    <mergeCell ref="Q467:R468"/>
    <mergeCell ref="Q470:R470"/>
    <mergeCell ref="Q474:R474"/>
    <mergeCell ref="Q475:R475"/>
    <mergeCell ref="Q486:R486"/>
    <mergeCell ref="Q494:R494"/>
    <mergeCell ref="Q495:R495"/>
    <mergeCell ref="Q496:R496"/>
    <mergeCell ref="Q506:R506"/>
    <mergeCell ref="Q507:R507"/>
    <mergeCell ref="Q508:R508"/>
    <mergeCell ref="Q509:R509"/>
    <mergeCell ref="Q510:R510"/>
    <mergeCell ref="Q511:R511"/>
    <mergeCell ref="Q512:R512"/>
    <mergeCell ref="Q513:R513"/>
    <mergeCell ref="Q514:R514"/>
    <mergeCell ref="Q515:R515"/>
    <mergeCell ref="Q516:R516"/>
    <mergeCell ref="Q517:R517"/>
    <mergeCell ref="Q518:R518"/>
    <mergeCell ref="Q519:R519"/>
    <mergeCell ref="Q520:R520"/>
    <mergeCell ref="Q521:R521"/>
    <mergeCell ref="Q522:R522"/>
    <mergeCell ref="Q523:R523"/>
  </mergeCells>
  <printOptions/>
  <pageMargins bottom="0.75" footer="0.0" header="0.0" left="0.7" right="0.7" top="0.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outlineLevelCol="1" outlineLevelRow="1"/>
  <cols>
    <col customWidth="1" min="1" max="1" width="3.13"/>
    <col customWidth="1" min="2" max="2" width="26.5"/>
    <col customWidth="1" min="3" max="3" width="16.38"/>
    <col customWidth="1" min="4" max="4" width="11.25"/>
    <col customWidth="1" min="5" max="5" width="13.13"/>
    <col customWidth="1" min="6" max="6" width="11.75"/>
    <col customWidth="1" min="7" max="7" width="11.38"/>
    <col customWidth="1" min="8" max="8" width="10.38"/>
    <col customWidth="1" min="9" max="9" width="10.75"/>
    <col customWidth="1" min="10" max="10" width="10.63"/>
    <col customWidth="1" hidden="1" min="11" max="11" width="17.25" outlineLevel="1"/>
    <col customWidth="1" hidden="1" min="12" max="12" width="8.88" outlineLevel="1"/>
    <col customWidth="1" hidden="1" min="13" max="13" width="9.5" outlineLevel="1"/>
    <col collapsed="1" customWidth="1" min="14" max="14" width="9.5"/>
    <col customWidth="1" min="15" max="15" width="5.63"/>
    <col customWidth="1" min="16" max="16" width="5.38"/>
    <col customWidth="1" min="17" max="19" width="7.63"/>
    <col customWidth="1" min="20" max="20" width="21.25"/>
    <col customWidth="1" min="21" max="21" width="8.88"/>
    <col customWidth="1" min="22" max="31" width="7.63"/>
  </cols>
  <sheetData>
    <row r="1" ht="12.75" customHeight="1">
      <c r="A1" s="928"/>
      <c r="B1" s="929"/>
      <c r="C1" s="929"/>
      <c r="D1" s="929"/>
      <c r="E1" s="929"/>
      <c r="F1" s="929"/>
      <c r="G1" s="929"/>
      <c r="H1" s="929"/>
      <c r="I1" s="929"/>
      <c r="J1" s="929"/>
      <c r="K1" s="929"/>
      <c r="L1" s="929"/>
      <c r="M1" s="929"/>
      <c r="N1" s="929"/>
      <c r="O1" s="929"/>
      <c r="P1" s="929"/>
      <c r="Q1" s="929"/>
      <c r="R1" s="929"/>
      <c r="S1" s="929"/>
      <c r="T1" s="929"/>
      <c r="U1" s="929"/>
      <c r="V1" s="929"/>
      <c r="W1" s="929"/>
      <c r="X1" s="929"/>
      <c r="Y1" s="929"/>
      <c r="Z1" s="441"/>
      <c r="AA1" s="441"/>
      <c r="AB1" s="441"/>
      <c r="AC1" s="441"/>
      <c r="AD1" s="441"/>
      <c r="AE1" s="441"/>
    </row>
    <row r="2">
      <c r="A2" s="928"/>
      <c r="B2" s="930" t="s">
        <v>1215</v>
      </c>
      <c r="C2" s="441"/>
      <c r="D2" s="441"/>
      <c r="E2" s="441"/>
      <c r="F2" s="441"/>
      <c r="G2" s="931"/>
      <c r="H2" s="932"/>
      <c r="I2" s="441"/>
      <c r="J2" s="441"/>
      <c r="K2" s="441"/>
      <c r="L2" s="441"/>
      <c r="M2" s="441"/>
      <c r="N2" s="441"/>
      <c r="O2" s="441"/>
      <c r="P2" s="933"/>
      <c r="Q2" s="441"/>
      <c r="R2" s="441"/>
      <c r="S2" s="441"/>
      <c r="T2" s="934"/>
      <c r="U2" s="935"/>
      <c r="V2" s="426"/>
      <c r="W2" s="441"/>
      <c r="X2" s="441"/>
      <c r="Y2" s="441"/>
      <c r="Z2" s="441"/>
      <c r="AA2" s="441"/>
      <c r="AB2" s="441"/>
      <c r="AC2" s="441"/>
      <c r="AD2" s="441"/>
      <c r="AE2" s="441"/>
    </row>
    <row r="3">
      <c r="A3" s="928"/>
      <c r="B3" s="692" t="s">
        <v>1216</v>
      </c>
      <c r="C3" s="441"/>
      <c r="D3" s="441"/>
      <c r="E3" s="441"/>
      <c r="F3" s="441"/>
      <c r="G3" s="931" t="s">
        <v>1217</v>
      </c>
      <c r="H3" s="932"/>
      <c r="I3" s="441"/>
      <c r="J3" s="441"/>
      <c r="K3" s="441"/>
      <c r="L3" s="441"/>
      <c r="M3" s="441"/>
      <c r="N3" s="441"/>
      <c r="O3" s="441"/>
      <c r="V3" s="426"/>
      <c r="W3" s="441"/>
      <c r="X3" s="441"/>
      <c r="Y3" s="441"/>
      <c r="Z3" s="441"/>
      <c r="AA3" s="441"/>
      <c r="AB3" s="441"/>
      <c r="AC3" s="441"/>
      <c r="AD3" s="441"/>
      <c r="AE3" s="441"/>
    </row>
    <row r="4">
      <c r="A4" s="928"/>
      <c r="B4" s="936" t="s">
        <v>1218</v>
      </c>
      <c r="E4" s="937"/>
      <c r="G4" s="938" t="s">
        <v>1219</v>
      </c>
      <c r="O4" s="441"/>
      <c r="Q4" s="441"/>
      <c r="R4" s="441"/>
      <c r="S4" s="441"/>
      <c r="T4" s="939" t="s">
        <v>1220</v>
      </c>
      <c r="U4" s="940">
        <f>'Стеклодув'!F13</f>
        <v>0.152</v>
      </c>
      <c r="V4" s="426"/>
      <c r="W4" s="441"/>
      <c r="X4" s="441"/>
      <c r="Y4" s="441"/>
      <c r="Z4" s="441"/>
      <c r="AA4" s="441"/>
      <c r="AB4" s="441"/>
      <c r="AC4" s="441"/>
      <c r="AD4" s="441"/>
      <c r="AE4" s="441"/>
    </row>
    <row r="5">
      <c r="A5" s="928"/>
      <c r="E5" s="937"/>
      <c r="O5" s="441"/>
      <c r="P5" s="441"/>
      <c r="Q5" s="441"/>
      <c r="R5" s="441"/>
      <c r="S5" s="441"/>
      <c r="T5" s="441"/>
      <c r="U5" s="441"/>
      <c r="V5" s="426"/>
      <c r="W5" s="441"/>
      <c r="X5" s="441"/>
      <c r="Y5" s="441"/>
      <c r="Z5" s="441"/>
      <c r="AA5" s="441"/>
      <c r="AB5" s="441"/>
      <c r="AC5" s="441"/>
      <c r="AD5" s="441"/>
      <c r="AE5" s="441"/>
    </row>
    <row r="6" ht="15.0" customHeight="1">
      <c r="A6" s="928"/>
      <c r="B6" s="941" t="s">
        <v>1221</v>
      </c>
      <c r="C6" s="942" t="s">
        <v>1222</v>
      </c>
      <c r="D6" s="943" t="s">
        <v>1223</v>
      </c>
      <c r="E6" s="943" t="s">
        <v>1224</v>
      </c>
      <c r="F6" s="943" t="s">
        <v>1225</v>
      </c>
      <c r="G6" s="943" t="s">
        <v>1226</v>
      </c>
      <c r="H6" s="943" t="s">
        <v>1227</v>
      </c>
      <c r="I6" s="943" t="s">
        <v>1228</v>
      </c>
      <c r="J6" s="943" t="s">
        <v>1229</v>
      </c>
      <c r="K6" s="944" t="s">
        <v>1230</v>
      </c>
      <c r="L6" s="944" t="s">
        <v>1231</v>
      </c>
      <c r="M6" s="944" t="s">
        <v>1232</v>
      </c>
      <c r="N6" s="945" t="s">
        <v>1233</v>
      </c>
      <c r="O6" s="441"/>
      <c r="P6" s="441"/>
      <c r="Q6" s="441"/>
      <c r="R6" s="441"/>
      <c r="S6" s="441"/>
      <c r="T6" s="946" t="s">
        <v>1222</v>
      </c>
      <c r="U6" s="945" t="s">
        <v>1234</v>
      </c>
      <c r="V6" s="426"/>
      <c r="W6" s="441"/>
      <c r="X6" s="441"/>
      <c r="Y6" s="441"/>
      <c r="Z6" s="441"/>
      <c r="AA6" s="441"/>
      <c r="AB6" s="441"/>
      <c r="AC6" s="441"/>
      <c r="AD6" s="441"/>
      <c r="AE6" s="441"/>
    </row>
    <row r="7">
      <c r="A7" s="928"/>
      <c r="B7" s="428"/>
      <c r="C7" s="428"/>
      <c r="D7" s="428"/>
      <c r="E7" s="428"/>
      <c r="F7" s="428"/>
      <c r="G7" s="428"/>
      <c r="H7" s="428"/>
      <c r="I7" s="428"/>
      <c r="J7" s="428"/>
      <c r="K7" s="428"/>
      <c r="L7" s="428"/>
      <c r="M7" s="428"/>
      <c r="N7" s="428"/>
      <c r="O7" s="441"/>
      <c r="P7" s="441"/>
      <c r="Q7" s="441"/>
      <c r="R7" s="441"/>
      <c r="S7" s="441"/>
      <c r="T7" s="428"/>
      <c r="U7" s="428"/>
      <c r="V7" s="426"/>
      <c r="W7" s="441"/>
      <c r="X7" s="441"/>
      <c r="Y7" s="441"/>
      <c r="Z7" s="441"/>
      <c r="AA7" s="441"/>
      <c r="AB7" s="441"/>
      <c r="AC7" s="441"/>
      <c r="AD7" s="441"/>
      <c r="AE7" s="441"/>
    </row>
    <row r="8">
      <c r="A8" s="928"/>
      <c r="B8" s="947" t="s">
        <v>1235</v>
      </c>
      <c r="C8" s="948" t="s">
        <v>1236</v>
      </c>
      <c r="D8" s="949">
        <v>1.0</v>
      </c>
      <c r="E8" s="950">
        <v>0.25</v>
      </c>
      <c r="F8" s="951">
        <f t="shared" ref="F8:F79" si="1">D8*E8+H8</f>
        <v>1.25</v>
      </c>
      <c r="G8" s="950" t="str">
        <f>CONCATENATE(E8,$G$3,H8)</f>
        <v>0.25x+1</v>
      </c>
      <c r="H8" s="952">
        <v>1.0</v>
      </c>
      <c r="I8" s="952">
        <f t="shared" ref="I8:I84" si="2">10+(H8-1)*2</f>
        <v>10</v>
      </c>
      <c r="J8" s="953" t="s">
        <v>1237</v>
      </c>
      <c r="K8" s="954" t="s">
        <v>1238</v>
      </c>
      <c r="L8" s="955">
        <f t="shared" ref="L8:L79" si="3">F8</f>
        <v>1.25</v>
      </c>
      <c r="M8" s="955">
        <f>L8*'Материалы и инструменты'!$D$63</f>
        <v>0.0125</v>
      </c>
      <c r="N8" s="956">
        <f t="shared" ref="N8:N79" si="4">$U$4+VLOOKUP(C8,$T$7:$U$37,2,FALSE)*D8+(0.02*H8)*H8*F8+M8</f>
        <v>0.2495</v>
      </c>
      <c r="O8" s="441"/>
      <c r="P8" s="441"/>
      <c r="Q8" s="441"/>
      <c r="R8" s="441"/>
      <c r="S8" s="441"/>
      <c r="T8" s="957" t="s">
        <v>1236</v>
      </c>
      <c r="U8" s="958">
        <v>0.06</v>
      </c>
      <c r="V8" s="426"/>
      <c r="W8" s="441"/>
      <c r="X8" s="441"/>
      <c r="Y8" s="441"/>
      <c r="Z8" s="441"/>
      <c r="AA8" s="441"/>
      <c r="AB8" s="441"/>
      <c r="AC8" s="441"/>
      <c r="AD8" s="441"/>
      <c r="AE8" s="441"/>
    </row>
    <row r="9">
      <c r="A9" s="928"/>
      <c r="B9" s="947" t="s">
        <v>1239</v>
      </c>
      <c r="C9" s="948" t="s">
        <v>1236</v>
      </c>
      <c r="D9" s="949">
        <v>3.0</v>
      </c>
      <c r="E9" s="950">
        <v>0.25</v>
      </c>
      <c r="F9" s="951">
        <f t="shared" si="1"/>
        <v>1.75</v>
      </c>
      <c r="G9" s="950" t="str">
        <f t="shared" ref="G9:G79" si="5">CONCATENATE(E9,$G$3,$H$3,H9)</f>
        <v>0.25x+1</v>
      </c>
      <c r="H9" s="952">
        <v>1.0</v>
      </c>
      <c r="I9" s="952">
        <f t="shared" si="2"/>
        <v>10</v>
      </c>
      <c r="J9" s="953" t="s">
        <v>1237</v>
      </c>
      <c r="K9" s="954" t="s">
        <v>1238</v>
      </c>
      <c r="L9" s="955">
        <f t="shared" si="3"/>
        <v>1.75</v>
      </c>
      <c r="M9" s="955">
        <f>L9*'Материалы и инструменты'!$D$63</f>
        <v>0.0175</v>
      </c>
      <c r="N9" s="956">
        <f t="shared" si="4"/>
        <v>0.3845</v>
      </c>
      <c r="O9" s="441"/>
      <c r="P9" s="441"/>
      <c r="Q9" s="441"/>
      <c r="R9" s="441"/>
      <c r="S9" s="441"/>
      <c r="T9" s="957" t="s">
        <v>1240</v>
      </c>
      <c r="U9" s="958">
        <f t="shared" ref="U9:U13" si="6">U8*3</f>
        <v>0.18</v>
      </c>
      <c r="V9" s="426"/>
      <c r="W9" s="441"/>
      <c r="X9" s="441"/>
      <c r="Y9" s="441"/>
      <c r="Z9" s="441"/>
      <c r="AA9" s="441"/>
      <c r="AB9" s="441"/>
      <c r="AC9" s="441"/>
      <c r="AD9" s="441"/>
      <c r="AE9" s="441"/>
    </row>
    <row r="10">
      <c r="A10" s="928"/>
      <c r="B10" s="947" t="s">
        <v>1241</v>
      </c>
      <c r="C10" s="948" t="s">
        <v>1236</v>
      </c>
      <c r="D10" s="949">
        <v>7.0</v>
      </c>
      <c r="E10" s="950">
        <v>0.25</v>
      </c>
      <c r="F10" s="951">
        <f t="shared" si="1"/>
        <v>3.75</v>
      </c>
      <c r="G10" s="950" t="str">
        <f t="shared" si="5"/>
        <v>0.25x+2</v>
      </c>
      <c r="H10" s="952">
        <v>2.0</v>
      </c>
      <c r="I10" s="952">
        <f t="shared" si="2"/>
        <v>12</v>
      </c>
      <c r="J10" s="953" t="s">
        <v>1237</v>
      </c>
      <c r="K10" s="954" t="s">
        <v>1238</v>
      </c>
      <c r="L10" s="955">
        <f t="shared" si="3"/>
        <v>3.75</v>
      </c>
      <c r="M10" s="955">
        <f>L10*'Материалы и инструменты'!$D$63</f>
        <v>0.0375</v>
      </c>
      <c r="N10" s="956">
        <f t="shared" si="4"/>
        <v>0.9095</v>
      </c>
      <c r="O10" s="441"/>
      <c r="P10" s="959"/>
      <c r="Q10" s="441"/>
      <c r="R10" s="441"/>
      <c r="S10" s="441"/>
      <c r="T10" s="957" t="s">
        <v>1242</v>
      </c>
      <c r="U10" s="958">
        <f t="shared" si="6"/>
        <v>0.54</v>
      </c>
      <c r="V10" s="426"/>
      <c r="W10" s="441"/>
      <c r="X10" s="441"/>
      <c r="Y10" s="441"/>
      <c r="Z10" s="441"/>
      <c r="AA10" s="441"/>
      <c r="AB10" s="441"/>
      <c r="AC10" s="441"/>
      <c r="AD10" s="441"/>
      <c r="AE10" s="441"/>
    </row>
    <row r="11">
      <c r="A11" s="928"/>
      <c r="B11" s="947" t="s">
        <v>1243</v>
      </c>
      <c r="C11" s="948" t="s">
        <v>1240</v>
      </c>
      <c r="D11" s="949">
        <v>1.0</v>
      </c>
      <c r="E11" s="950">
        <v>0.25</v>
      </c>
      <c r="F11" s="951">
        <f t="shared" si="1"/>
        <v>2.25</v>
      </c>
      <c r="G11" s="950" t="str">
        <f t="shared" si="5"/>
        <v>0.25x+2</v>
      </c>
      <c r="H11" s="952">
        <v>2.0</v>
      </c>
      <c r="I11" s="952">
        <f t="shared" si="2"/>
        <v>12</v>
      </c>
      <c r="J11" s="953" t="s">
        <v>1237</v>
      </c>
      <c r="K11" s="954" t="s">
        <v>1238</v>
      </c>
      <c r="L11" s="955">
        <f t="shared" si="3"/>
        <v>2.25</v>
      </c>
      <c r="M11" s="955">
        <f>L11*'Материалы и инструменты'!$D$63</f>
        <v>0.0225</v>
      </c>
      <c r="N11" s="956">
        <f t="shared" si="4"/>
        <v>0.5345</v>
      </c>
      <c r="O11" s="441"/>
      <c r="P11" s="441"/>
      <c r="Q11" s="441"/>
      <c r="R11" s="441"/>
      <c r="S11" s="441"/>
      <c r="T11" s="957" t="s">
        <v>1244</v>
      </c>
      <c r="U11" s="958">
        <f t="shared" si="6"/>
        <v>1.62</v>
      </c>
      <c r="V11" s="426"/>
      <c r="W11" s="441"/>
      <c r="X11" s="441"/>
      <c r="Y11" s="441"/>
      <c r="Z11" s="441"/>
      <c r="AA11" s="441"/>
      <c r="AB11" s="441"/>
      <c r="AC11" s="441"/>
      <c r="AD11" s="441"/>
      <c r="AE11" s="441"/>
    </row>
    <row r="12">
      <c r="A12" s="928"/>
      <c r="B12" s="947" t="s">
        <v>1245</v>
      </c>
      <c r="C12" s="948" t="s">
        <v>1240</v>
      </c>
      <c r="D12" s="949">
        <v>3.0</v>
      </c>
      <c r="E12" s="950">
        <v>0.25</v>
      </c>
      <c r="F12" s="951">
        <f t="shared" si="1"/>
        <v>3.75</v>
      </c>
      <c r="G12" s="950" t="str">
        <f t="shared" si="5"/>
        <v>0.25x+3</v>
      </c>
      <c r="H12" s="952">
        <v>3.0</v>
      </c>
      <c r="I12" s="952">
        <f t="shared" si="2"/>
        <v>14</v>
      </c>
      <c r="J12" s="953" t="s">
        <v>1237</v>
      </c>
      <c r="K12" s="954" t="s">
        <v>1238</v>
      </c>
      <c r="L12" s="955">
        <f t="shared" si="3"/>
        <v>3.75</v>
      </c>
      <c r="M12" s="955">
        <f>L12*'Материалы и инструменты'!$D$63</f>
        <v>0.0375</v>
      </c>
      <c r="N12" s="956">
        <f t="shared" si="4"/>
        <v>1.4045</v>
      </c>
      <c r="O12" s="441"/>
      <c r="P12" s="441"/>
      <c r="Q12" s="441"/>
      <c r="R12" s="441"/>
      <c r="S12" s="441"/>
      <c r="T12" s="957" t="s">
        <v>1246</v>
      </c>
      <c r="U12" s="958">
        <f t="shared" si="6"/>
        <v>4.86</v>
      </c>
      <c r="V12" s="426"/>
      <c r="W12" s="441"/>
      <c r="X12" s="441"/>
      <c r="Y12" s="441"/>
      <c r="Z12" s="441"/>
      <c r="AA12" s="441"/>
      <c r="AB12" s="441"/>
      <c r="AC12" s="441"/>
      <c r="AD12" s="441"/>
      <c r="AE12" s="441"/>
    </row>
    <row r="13">
      <c r="A13" s="928"/>
      <c r="B13" s="947" t="s">
        <v>1247</v>
      </c>
      <c r="C13" s="948" t="s">
        <v>1240</v>
      </c>
      <c r="D13" s="949">
        <v>7.0</v>
      </c>
      <c r="E13" s="950">
        <v>0.25</v>
      </c>
      <c r="F13" s="951">
        <f t="shared" si="1"/>
        <v>4.75</v>
      </c>
      <c r="G13" s="950" t="str">
        <f t="shared" si="5"/>
        <v>0.25x+3</v>
      </c>
      <c r="H13" s="952">
        <v>3.0</v>
      </c>
      <c r="I13" s="952">
        <f t="shared" si="2"/>
        <v>14</v>
      </c>
      <c r="J13" s="953" t="s">
        <v>1237</v>
      </c>
      <c r="K13" s="954" t="s">
        <v>1238</v>
      </c>
      <c r="L13" s="955">
        <f t="shared" si="3"/>
        <v>4.75</v>
      </c>
      <c r="M13" s="955">
        <f>L13*'Материалы и инструменты'!$D$63</f>
        <v>0.0475</v>
      </c>
      <c r="N13" s="956">
        <f t="shared" si="4"/>
        <v>2.3145</v>
      </c>
      <c r="O13" s="441"/>
      <c r="P13" s="797"/>
      <c r="Q13" s="797"/>
      <c r="R13" s="441"/>
      <c r="S13" s="441"/>
      <c r="T13" s="957" t="s">
        <v>1248</v>
      </c>
      <c r="U13" s="958">
        <f t="shared" si="6"/>
        <v>14.58</v>
      </c>
      <c r="V13" s="426"/>
      <c r="W13" s="441"/>
      <c r="X13" s="441"/>
      <c r="Y13" s="441"/>
      <c r="Z13" s="441"/>
      <c r="AA13" s="441"/>
      <c r="AB13" s="441"/>
      <c r="AC13" s="441"/>
      <c r="AD13" s="441"/>
      <c r="AE13" s="441"/>
    </row>
    <row r="14">
      <c r="A14" s="928"/>
      <c r="B14" s="947" t="s">
        <v>1249</v>
      </c>
      <c r="C14" s="948" t="s">
        <v>1242</v>
      </c>
      <c r="D14" s="949">
        <v>1.0</v>
      </c>
      <c r="E14" s="950">
        <v>0.25</v>
      </c>
      <c r="F14" s="951">
        <f t="shared" si="1"/>
        <v>4.25</v>
      </c>
      <c r="G14" s="950" t="str">
        <f t="shared" si="5"/>
        <v>0.25x+4</v>
      </c>
      <c r="H14" s="952">
        <v>4.0</v>
      </c>
      <c r="I14" s="952">
        <f t="shared" si="2"/>
        <v>16</v>
      </c>
      <c r="J14" s="953" t="s">
        <v>1250</v>
      </c>
      <c r="K14" s="954" t="s">
        <v>1238</v>
      </c>
      <c r="L14" s="955">
        <f t="shared" si="3"/>
        <v>4.25</v>
      </c>
      <c r="M14" s="955">
        <f>L14*'Материалы и инструменты'!$D$63</f>
        <v>0.0425</v>
      </c>
      <c r="N14" s="956">
        <f t="shared" si="4"/>
        <v>2.0945</v>
      </c>
      <c r="O14" s="441"/>
      <c r="P14" s="441"/>
      <c r="Q14" s="441"/>
      <c r="R14" s="441"/>
      <c r="S14" s="441"/>
      <c r="T14" s="957" t="s">
        <v>1251</v>
      </c>
      <c r="U14" s="960">
        <v>0.06</v>
      </c>
      <c r="V14" s="426"/>
      <c r="W14" s="441"/>
      <c r="X14" s="441"/>
      <c r="Y14" s="441"/>
      <c r="Z14" s="441"/>
      <c r="AA14" s="441"/>
      <c r="AB14" s="441"/>
      <c r="AC14" s="441"/>
      <c r="AD14" s="441"/>
      <c r="AE14" s="441"/>
    </row>
    <row r="15">
      <c r="A15" s="928"/>
      <c r="B15" s="947" t="s">
        <v>1252</v>
      </c>
      <c r="C15" s="948" t="s">
        <v>1242</v>
      </c>
      <c r="D15" s="949">
        <v>3.0</v>
      </c>
      <c r="E15" s="950">
        <v>0.25</v>
      </c>
      <c r="F15" s="951">
        <f t="shared" si="1"/>
        <v>4.75</v>
      </c>
      <c r="G15" s="950" t="str">
        <f t="shared" si="5"/>
        <v>0.25x+4</v>
      </c>
      <c r="H15" s="952">
        <v>4.0</v>
      </c>
      <c r="I15" s="952">
        <f t="shared" si="2"/>
        <v>16</v>
      </c>
      <c r="J15" s="953" t="s">
        <v>1250</v>
      </c>
      <c r="K15" s="954" t="s">
        <v>1238</v>
      </c>
      <c r="L15" s="955">
        <f t="shared" si="3"/>
        <v>4.75</v>
      </c>
      <c r="M15" s="955">
        <f>L15*'Материалы и инструменты'!$D$63</f>
        <v>0.0475</v>
      </c>
      <c r="N15" s="956">
        <f t="shared" si="4"/>
        <v>3.3395</v>
      </c>
      <c r="O15" s="441"/>
      <c r="P15" s="441"/>
      <c r="Q15" s="441"/>
      <c r="R15" s="441"/>
      <c r="S15" s="441"/>
      <c r="T15" s="957" t="s">
        <v>1253</v>
      </c>
      <c r="U15" s="960">
        <f t="shared" ref="U15:U19" si="7">U14*3</f>
        <v>0.18</v>
      </c>
      <c r="V15" s="426"/>
      <c r="W15" s="441"/>
      <c r="X15" s="441"/>
      <c r="Y15" s="441"/>
      <c r="Z15" s="441"/>
      <c r="AA15" s="441"/>
      <c r="AB15" s="441"/>
      <c r="AC15" s="441"/>
      <c r="AD15" s="441"/>
      <c r="AE15" s="441"/>
    </row>
    <row r="16">
      <c r="A16" s="928"/>
      <c r="B16" s="947" t="s">
        <v>1254</v>
      </c>
      <c r="C16" s="948" t="s">
        <v>1242</v>
      </c>
      <c r="D16" s="949">
        <v>7.0</v>
      </c>
      <c r="E16" s="950">
        <v>0.25</v>
      </c>
      <c r="F16" s="951">
        <f t="shared" si="1"/>
        <v>6.75</v>
      </c>
      <c r="G16" s="950" t="str">
        <f t="shared" si="5"/>
        <v>0.25x+5</v>
      </c>
      <c r="H16" s="952">
        <v>5.0</v>
      </c>
      <c r="I16" s="952">
        <f t="shared" si="2"/>
        <v>18</v>
      </c>
      <c r="J16" s="953" t="s">
        <v>1250</v>
      </c>
      <c r="K16" s="954" t="s">
        <v>1238</v>
      </c>
      <c r="L16" s="955">
        <f t="shared" si="3"/>
        <v>6.75</v>
      </c>
      <c r="M16" s="955">
        <f>L16*'Материалы и инструменты'!$D$63</f>
        <v>0.0675</v>
      </c>
      <c r="N16" s="956">
        <f t="shared" si="4"/>
        <v>7.3745</v>
      </c>
      <c r="O16" s="441"/>
      <c r="P16" s="441"/>
      <c r="Q16" s="441"/>
      <c r="R16" s="441"/>
      <c r="S16" s="441"/>
      <c r="T16" s="957" t="s">
        <v>1255</v>
      </c>
      <c r="U16" s="960">
        <f t="shared" si="7"/>
        <v>0.54</v>
      </c>
      <c r="V16" s="426"/>
      <c r="W16" s="441"/>
      <c r="X16" s="441"/>
      <c r="Y16" s="441"/>
      <c r="Z16" s="441"/>
      <c r="AA16" s="441"/>
      <c r="AB16" s="441"/>
      <c r="AC16" s="441"/>
      <c r="AD16" s="441"/>
      <c r="AE16" s="441"/>
    </row>
    <row r="17">
      <c r="A17" s="928"/>
      <c r="B17" s="947" t="s">
        <v>1256</v>
      </c>
      <c r="C17" s="948" t="s">
        <v>1244</v>
      </c>
      <c r="D17" s="949">
        <v>1.0</v>
      </c>
      <c r="E17" s="951">
        <v>0.5</v>
      </c>
      <c r="F17" s="951">
        <f t="shared" si="1"/>
        <v>5.5</v>
      </c>
      <c r="G17" s="950" t="str">
        <f t="shared" si="5"/>
        <v>0.5x+5</v>
      </c>
      <c r="H17" s="952">
        <v>5.0</v>
      </c>
      <c r="I17" s="952">
        <f t="shared" si="2"/>
        <v>18</v>
      </c>
      <c r="J17" s="953" t="s">
        <v>1250</v>
      </c>
      <c r="K17" s="954" t="s">
        <v>1238</v>
      </c>
      <c r="L17" s="955">
        <f t="shared" si="3"/>
        <v>5.5</v>
      </c>
      <c r="M17" s="955">
        <f>L17*'Материалы и инструменты'!$D$63</f>
        <v>0.055</v>
      </c>
      <c r="N17" s="956">
        <f t="shared" si="4"/>
        <v>4.577</v>
      </c>
      <c r="O17" s="441"/>
      <c r="P17" s="441"/>
      <c r="Q17" s="441"/>
      <c r="R17" s="441"/>
      <c r="S17" s="441"/>
      <c r="T17" s="957" t="s">
        <v>1257</v>
      </c>
      <c r="U17" s="960">
        <f t="shared" si="7"/>
        <v>1.62</v>
      </c>
      <c r="V17" s="426"/>
      <c r="W17" s="441"/>
      <c r="X17" s="441"/>
      <c r="Y17" s="441"/>
      <c r="Z17" s="441"/>
      <c r="AA17" s="441"/>
      <c r="AB17" s="441"/>
      <c r="AC17" s="441"/>
      <c r="AD17" s="441"/>
      <c r="AE17" s="441"/>
    </row>
    <row r="18">
      <c r="A18" s="928"/>
      <c r="B18" s="947" t="s">
        <v>1258</v>
      </c>
      <c r="C18" s="948" t="s">
        <v>1244</v>
      </c>
      <c r="D18" s="949">
        <v>3.0</v>
      </c>
      <c r="E18" s="951">
        <v>0.5</v>
      </c>
      <c r="F18" s="951">
        <f t="shared" si="1"/>
        <v>7.5</v>
      </c>
      <c r="G18" s="950" t="str">
        <f t="shared" si="5"/>
        <v>0.5x+6</v>
      </c>
      <c r="H18" s="952">
        <v>6.0</v>
      </c>
      <c r="I18" s="952">
        <f t="shared" si="2"/>
        <v>20</v>
      </c>
      <c r="J18" s="953" t="s">
        <v>1250</v>
      </c>
      <c r="K18" s="954" t="s">
        <v>1238</v>
      </c>
      <c r="L18" s="955">
        <f t="shared" si="3"/>
        <v>7.5</v>
      </c>
      <c r="M18" s="955">
        <f>L18*'Материалы и инструменты'!$D$63</f>
        <v>0.075</v>
      </c>
      <c r="N18" s="956">
        <f t="shared" si="4"/>
        <v>10.487</v>
      </c>
      <c r="O18" s="441"/>
      <c r="P18" s="441"/>
      <c r="Q18" s="441"/>
      <c r="R18" s="441"/>
      <c r="S18" s="441"/>
      <c r="T18" s="957" t="s">
        <v>1259</v>
      </c>
      <c r="U18" s="960">
        <f t="shared" si="7"/>
        <v>4.86</v>
      </c>
      <c r="V18" s="426"/>
      <c r="W18" s="441"/>
      <c r="X18" s="441"/>
      <c r="Y18" s="441"/>
      <c r="Z18" s="441"/>
      <c r="AA18" s="441"/>
      <c r="AB18" s="441"/>
      <c r="AC18" s="441"/>
      <c r="AD18" s="441"/>
      <c r="AE18" s="441"/>
    </row>
    <row r="19">
      <c r="A19" s="928"/>
      <c r="B19" s="947" t="s">
        <v>1260</v>
      </c>
      <c r="C19" s="948" t="s">
        <v>1244</v>
      </c>
      <c r="D19" s="949">
        <v>7.0</v>
      </c>
      <c r="E19" s="951">
        <v>0.5</v>
      </c>
      <c r="F19" s="951">
        <f t="shared" si="1"/>
        <v>9.5</v>
      </c>
      <c r="G19" s="950" t="str">
        <f t="shared" si="5"/>
        <v>0.5x+6</v>
      </c>
      <c r="H19" s="952">
        <v>6.0</v>
      </c>
      <c r="I19" s="952">
        <f t="shared" si="2"/>
        <v>20</v>
      </c>
      <c r="J19" s="953" t="s">
        <v>1250</v>
      </c>
      <c r="K19" s="954" t="s">
        <v>1238</v>
      </c>
      <c r="L19" s="955">
        <f t="shared" si="3"/>
        <v>9.5</v>
      </c>
      <c r="M19" s="955">
        <f>L19*'Материалы и инструменты'!$D$63</f>
        <v>0.095</v>
      </c>
      <c r="N19" s="956">
        <f t="shared" si="4"/>
        <v>18.427</v>
      </c>
      <c r="O19" s="441"/>
      <c r="P19" s="441"/>
      <c r="Q19" s="441"/>
      <c r="R19" s="441"/>
      <c r="S19" s="441"/>
      <c r="T19" s="957" t="s">
        <v>1261</v>
      </c>
      <c r="U19" s="960">
        <f t="shared" si="7"/>
        <v>14.58</v>
      </c>
      <c r="V19" s="426"/>
      <c r="W19" s="441"/>
      <c r="X19" s="441"/>
      <c r="Y19" s="441"/>
      <c r="Z19" s="441"/>
      <c r="AA19" s="441"/>
      <c r="AB19" s="441"/>
      <c r="AC19" s="441"/>
      <c r="AD19" s="441"/>
      <c r="AE19" s="441"/>
    </row>
    <row r="20">
      <c r="A20" s="928"/>
      <c r="B20" s="947" t="s">
        <v>1262</v>
      </c>
      <c r="C20" s="948" t="s">
        <v>1246</v>
      </c>
      <c r="D20" s="949">
        <v>1.0</v>
      </c>
      <c r="E20" s="951">
        <v>0.5</v>
      </c>
      <c r="F20" s="951">
        <f t="shared" si="1"/>
        <v>7.5</v>
      </c>
      <c r="G20" s="950" t="str">
        <f t="shared" si="5"/>
        <v>0.5x+7</v>
      </c>
      <c r="H20" s="952">
        <v>7.0</v>
      </c>
      <c r="I20" s="952">
        <f t="shared" si="2"/>
        <v>22</v>
      </c>
      <c r="J20" s="953" t="s">
        <v>1263</v>
      </c>
      <c r="K20" s="954" t="s">
        <v>1238</v>
      </c>
      <c r="L20" s="955">
        <f t="shared" si="3"/>
        <v>7.5</v>
      </c>
      <c r="M20" s="955">
        <f>L20*'Материалы и инструменты'!$D$63</f>
        <v>0.075</v>
      </c>
      <c r="N20" s="956">
        <f t="shared" si="4"/>
        <v>12.437</v>
      </c>
      <c r="O20" s="441"/>
      <c r="P20" s="441"/>
      <c r="Q20" s="441"/>
      <c r="R20" s="441"/>
      <c r="S20" s="441"/>
      <c r="T20" s="957" t="s">
        <v>1264</v>
      </c>
      <c r="U20" s="960">
        <v>0.08</v>
      </c>
      <c r="V20" s="426"/>
      <c r="W20" s="441"/>
      <c r="X20" s="441"/>
      <c r="Y20" s="441"/>
      <c r="Z20" s="441"/>
      <c r="AA20" s="441"/>
      <c r="AB20" s="441"/>
      <c r="AC20" s="441"/>
      <c r="AD20" s="441"/>
      <c r="AE20" s="441"/>
    </row>
    <row r="21">
      <c r="A21" s="928"/>
      <c r="B21" s="947" t="s">
        <v>1265</v>
      </c>
      <c r="C21" s="948" t="s">
        <v>1246</v>
      </c>
      <c r="D21" s="949">
        <v>3.0</v>
      </c>
      <c r="E21" s="951">
        <v>0.5</v>
      </c>
      <c r="F21" s="951">
        <f t="shared" si="1"/>
        <v>8.5</v>
      </c>
      <c r="G21" s="950" t="str">
        <f t="shared" si="5"/>
        <v>0.5x+7</v>
      </c>
      <c r="H21" s="952">
        <v>7.0</v>
      </c>
      <c r="I21" s="952">
        <f t="shared" si="2"/>
        <v>22</v>
      </c>
      <c r="J21" s="953" t="s">
        <v>1263</v>
      </c>
      <c r="K21" s="954" t="s">
        <v>1238</v>
      </c>
      <c r="L21" s="955">
        <f t="shared" si="3"/>
        <v>8.5</v>
      </c>
      <c r="M21" s="955">
        <f>L21*'Материалы и инструменты'!$D$63</f>
        <v>0.085</v>
      </c>
      <c r="N21" s="956">
        <f t="shared" si="4"/>
        <v>23.147</v>
      </c>
      <c r="O21" s="441"/>
      <c r="P21" s="441"/>
      <c r="Q21" s="441"/>
      <c r="R21" s="441"/>
      <c r="S21" s="441"/>
      <c r="T21" s="957" t="s">
        <v>1266</v>
      </c>
      <c r="U21" s="960">
        <f t="shared" ref="U21:U28" si="8">U20*3</f>
        <v>0.24</v>
      </c>
      <c r="V21" s="426"/>
      <c r="W21" s="441"/>
      <c r="X21" s="441"/>
      <c r="Y21" s="441"/>
      <c r="Z21" s="441"/>
      <c r="AA21" s="441"/>
      <c r="AB21" s="441"/>
      <c r="AC21" s="441"/>
      <c r="AD21" s="441"/>
      <c r="AE21" s="441"/>
    </row>
    <row r="22">
      <c r="A22" s="928"/>
      <c r="B22" s="947" t="s">
        <v>1267</v>
      </c>
      <c r="C22" s="948" t="s">
        <v>1246</v>
      </c>
      <c r="D22" s="949">
        <v>7.0</v>
      </c>
      <c r="E22" s="951">
        <v>0.5</v>
      </c>
      <c r="F22" s="951">
        <f t="shared" si="1"/>
        <v>11.5</v>
      </c>
      <c r="G22" s="950" t="str">
        <f t="shared" si="5"/>
        <v>0.5x+8</v>
      </c>
      <c r="H22" s="952">
        <v>8.0</v>
      </c>
      <c r="I22" s="952">
        <f t="shared" si="2"/>
        <v>24</v>
      </c>
      <c r="J22" s="953" t="s">
        <v>1263</v>
      </c>
      <c r="K22" s="954" t="s">
        <v>1238</v>
      </c>
      <c r="L22" s="955">
        <f t="shared" si="3"/>
        <v>11.5</v>
      </c>
      <c r="M22" s="955">
        <f>L22*'Материалы и инструменты'!$D$63</f>
        <v>0.115</v>
      </c>
      <c r="N22" s="956">
        <f t="shared" si="4"/>
        <v>49.007</v>
      </c>
      <c r="O22" s="441"/>
      <c r="P22" s="441"/>
      <c r="Q22" s="441"/>
      <c r="R22" s="441"/>
      <c r="S22" s="441"/>
      <c r="T22" s="957" t="s">
        <v>1268</v>
      </c>
      <c r="U22" s="960">
        <f t="shared" si="8"/>
        <v>0.72</v>
      </c>
      <c r="V22" s="426"/>
      <c r="W22" s="441"/>
      <c r="X22" s="441"/>
      <c r="Y22" s="441"/>
      <c r="Z22" s="441"/>
      <c r="AA22" s="441"/>
      <c r="AB22" s="441"/>
      <c r="AC22" s="441"/>
      <c r="AD22" s="441"/>
      <c r="AE22" s="441"/>
    </row>
    <row r="23">
      <c r="A23" s="928"/>
      <c r="B23" s="947" t="s">
        <v>1269</v>
      </c>
      <c r="C23" s="948" t="s">
        <v>1248</v>
      </c>
      <c r="D23" s="949">
        <v>1.0</v>
      </c>
      <c r="E23" s="951">
        <v>0.5</v>
      </c>
      <c r="F23" s="951">
        <f t="shared" si="1"/>
        <v>8.5</v>
      </c>
      <c r="G23" s="950" t="str">
        <f t="shared" si="5"/>
        <v>0.5x+8</v>
      </c>
      <c r="H23" s="952">
        <v>8.0</v>
      </c>
      <c r="I23" s="952">
        <f t="shared" si="2"/>
        <v>24</v>
      </c>
      <c r="J23" s="953" t="s">
        <v>1263</v>
      </c>
      <c r="K23" s="954" t="s">
        <v>1238</v>
      </c>
      <c r="L23" s="955">
        <f t="shared" si="3"/>
        <v>8.5</v>
      </c>
      <c r="M23" s="955">
        <f>L23*'Материалы и инструменты'!$D$63</f>
        <v>0.085</v>
      </c>
      <c r="N23" s="956">
        <f t="shared" si="4"/>
        <v>25.697</v>
      </c>
      <c r="O23" s="441"/>
      <c r="P23" s="441"/>
      <c r="Q23" s="441"/>
      <c r="R23" s="441"/>
      <c r="S23" s="441"/>
      <c r="T23" s="957" t="s">
        <v>1270</v>
      </c>
      <c r="U23" s="960">
        <f t="shared" si="8"/>
        <v>2.16</v>
      </c>
      <c r="V23" s="426"/>
      <c r="W23" s="441"/>
      <c r="X23" s="441"/>
      <c r="Y23" s="441"/>
      <c r="Z23" s="441"/>
      <c r="AA23" s="441"/>
      <c r="AB23" s="441"/>
      <c r="AC23" s="441"/>
      <c r="AD23" s="441"/>
      <c r="AE23" s="441"/>
    </row>
    <row r="24">
      <c r="A24" s="928"/>
      <c r="B24" s="947" t="s">
        <v>1271</v>
      </c>
      <c r="C24" s="948" t="s">
        <v>1248</v>
      </c>
      <c r="D24" s="949">
        <v>3.0</v>
      </c>
      <c r="E24" s="951">
        <v>0.5</v>
      </c>
      <c r="F24" s="951">
        <f t="shared" si="1"/>
        <v>10.5</v>
      </c>
      <c r="G24" s="950" t="str">
        <f t="shared" si="5"/>
        <v>0.5x+9</v>
      </c>
      <c r="H24" s="952">
        <v>9.0</v>
      </c>
      <c r="I24" s="952">
        <f t="shared" si="2"/>
        <v>26</v>
      </c>
      <c r="J24" s="953" t="s">
        <v>1263</v>
      </c>
      <c r="K24" s="954" t="s">
        <v>1238</v>
      </c>
      <c r="L24" s="955">
        <f t="shared" si="3"/>
        <v>10.5</v>
      </c>
      <c r="M24" s="955">
        <f>L24*'Материалы и инструменты'!$D$63</f>
        <v>0.105</v>
      </c>
      <c r="N24" s="956">
        <f t="shared" si="4"/>
        <v>61.007</v>
      </c>
      <c r="O24" s="441"/>
      <c r="P24" s="441"/>
      <c r="Q24" s="441"/>
      <c r="R24" s="441"/>
      <c r="S24" s="441"/>
      <c r="T24" s="957" t="s">
        <v>1272</v>
      </c>
      <c r="U24" s="960">
        <f t="shared" si="8"/>
        <v>6.48</v>
      </c>
      <c r="V24" s="426"/>
      <c r="W24" s="441"/>
      <c r="X24" s="441"/>
      <c r="Y24" s="441"/>
      <c r="Z24" s="441"/>
      <c r="AA24" s="441"/>
      <c r="AB24" s="441"/>
      <c r="AC24" s="441"/>
      <c r="AD24" s="441"/>
      <c r="AE24" s="441"/>
    </row>
    <row r="25">
      <c r="A25" s="928"/>
      <c r="B25" s="947" t="s">
        <v>1273</v>
      </c>
      <c r="C25" s="948" t="s">
        <v>1248</v>
      </c>
      <c r="D25" s="949">
        <v>7.0</v>
      </c>
      <c r="E25" s="951">
        <v>0.5</v>
      </c>
      <c r="F25" s="951">
        <f t="shared" si="1"/>
        <v>12.5</v>
      </c>
      <c r="G25" s="950" t="str">
        <f t="shared" si="5"/>
        <v>0.5x+9</v>
      </c>
      <c r="H25" s="952">
        <v>9.0</v>
      </c>
      <c r="I25" s="952">
        <f t="shared" si="2"/>
        <v>26</v>
      </c>
      <c r="J25" s="953" t="s">
        <v>1263</v>
      </c>
      <c r="K25" s="954" t="s">
        <v>1238</v>
      </c>
      <c r="L25" s="955">
        <f t="shared" si="3"/>
        <v>12.5</v>
      </c>
      <c r="M25" s="955">
        <f>L25*'Материалы и инструменты'!$D$63</f>
        <v>0.125</v>
      </c>
      <c r="N25" s="956">
        <f t="shared" si="4"/>
        <v>122.587</v>
      </c>
      <c r="O25" s="441"/>
      <c r="P25" s="441"/>
      <c r="Q25" s="441"/>
      <c r="R25" s="441"/>
      <c r="S25" s="441"/>
      <c r="T25" s="957" t="s">
        <v>1274</v>
      </c>
      <c r="U25" s="960">
        <f t="shared" si="8"/>
        <v>19.44</v>
      </c>
      <c r="V25" s="426"/>
      <c r="W25" s="441"/>
      <c r="X25" s="441"/>
      <c r="Y25" s="441"/>
      <c r="Z25" s="441"/>
      <c r="AA25" s="441"/>
      <c r="AB25" s="441"/>
      <c r="AC25" s="441"/>
      <c r="AD25" s="441"/>
      <c r="AE25" s="441"/>
    </row>
    <row r="26">
      <c r="A26" s="928"/>
      <c r="B26" s="961" t="s">
        <v>1275</v>
      </c>
      <c r="C26" s="948" t="s">
        <v>1236</v>
      </c>
      <c r="D26" s="952">
        <v>2.0</v>
      </c>
      <c r="E26" s="950">
        <v>0.25</v>
      </c>
      <c r="F26" s="951">
        <f t="shared" si="1"/>
        <v>1.5</v>
      </c>
      <c r="G26" s="950" t="str">
        <f t="shared" si="5"/>
        <v>0.25x+1</v>
      </c>
      <c r="H26" s="952">
        <v>1.0</v>
      </c>
      <c r="I26" s="952">
        <f t="shared" si="2"/>
        <v>10</v>
      </c>
      <c r="J26" s="953" t="s">
        <v>1237</v>
      </c>
      <c r="K26" s="954" t="s">
        <v>1238</v>
      </c>
      <c r="L26" s="955">
        <f t="shared" si="3"/>
        <v>1.5</v>
      </c>
      <c r="M26" s="955">
        <f>L26*'Материалы и инструменты'!$D$63</f>
        <v>0.015</v>
      </c>
      <c r="N26" s="956">
        <f t="shared" si="4"/>
        <v>0.317</v>
      </c>
      <c r="O26" s="441"/>
      <c r="P26" s="441"/>
      <c r="Q26" s="441"/>
      <c r="R26" s="441"/>
      <c r="S26" s="441"/>
      <c r="T26" s="962" t="s">
        <v>1276</v>
      </c>
      <c r="U26" s="960">
        <f t="shared" si="8"/>
        <v>58.32</v>
      </c>
      <c r="V26" s="426"/>
      <c r="W26" s="441"/>
      <c r="X26" s="441"/>
      <c r="Y26" s="441"/>
      <c r="Z26" s="441"/>
      <c r="AA26" s="441"/>
      <c r="AB26" s="441"/>
      <c r="AC26" s="441"/>
      <c r="AD26" s="441"/>
      <c r="AE26" s="441"/>
    </row>
    <row r="27">
      <c r="A27" s="928"/>
      <c r="B27" s="961" t="s">
        <v>1277</v>
      </c>
      <c r="C27" s="948" t="s">
        <v>1236</v>
      </c>
      <c r="D27" s="952">
        <v>5.0</v>
      </c>
      <c r="E27" s="950">
        <v>0.25</v>
      </c>
      <c r="F27" s="951">
        <f t="shared" si="1"/>
        <v>2.25</v>
      </c>
      <c r="G27" s="950" t="str">
        <f t="shared" si="5"/>
        <v>0.25x+1</v>
      </c>
      <c r="H27" s="952">
        <v>1.0</v>
      </c>
      <c r="I27" s="952">
        <f t="shared" si="2"/>
        <v>10</v>
      </c>
      <c r="J27" s="953" t="s">
        <v>1237</v>
      </c>
      <c r="K27" s="954" t="s">
        <v>1238</v>
      </c>
      <c r="L27" s="955">
        <f t="shared" si="3"/>
        <v>2.25</v>
      </c>
      <c r="M27" s="955">
        <f>L27*'Материалы и инструменты'!$D$63</f>
        <v>0.0225</v>
      </c>
      <c r="N27" s="956">
        <f t="shared" si="4"/>
        <v>0.5195</v>
      </c>
      <c r="O27" s="441"/>
      <c r="P27" s="441"/>
      <c r="Q27" s="441"/>
      <c r="R27" s="441"/>
      <c r="S27" s="441"/>
      <c r="T27" s="962" t="s">
        <v>1278</v>
      </c>
      <c r="U27" s="960">
        <f t="shared" si="8"/>
        <v>174.96</v>
      </c>
      <c r="V27" s="426"/>
      <c r="W27" s="441"/>
      <c r="X27" s="441"/>
      <c r="Y27" s="441"/>
      <c r="Z27" s="441"/>
      <c r="AA27" s="441"/>
      <c r="AB27" s="441"/>
      <c r="AC27" s="441"/>
      <c r="AD27" s="441"/>
      <c r="AE27" s="441"/>
    </row>
    <row r="28">
      <c r="A28" s="928"/>
      <c r="B28" s="961" t="s">
        <v>1279</v>
      </c>
      <c r="C28" s="948" t="s">
        <v>1236</v>
      </c>
      <c r="D28" s="952">
        <v>9.0</v>
      </c>
      <c r="E28" s="950">
        <v>0.25</v>
      </c>
      <c r="F28" s="951">
        <f t="shared" si="1"/>
        <v>4.25</v>
      </c>
      <c r="G28" s="950" t="str">
        <f t="shared" si="5"/>
        <v>0.25x+2</v>
      </c>
      <c r="H28" s="952">
        <v>2.0</v>
      </c>
      <c r="I28" s="952">
        <f t="shared" si="2"/>
        <v>12</v>
      </c>
      <c r="J28" s="953" t="s">
        <v>1237</v>
      </c>
      <c r="K28" s="954" t="s">
        <v>1238</v>
      </c>
      <c r="L28" s="955">
        <f t="shared" si="3"/>
        <v>4.25</v>
      </c>
      <c r="M28" s="955">
        <f>L28*'Материалы и инструменты'!$D$63</f>
        <v>0.0425</v>
      </c>
      <c r="N28" s="956">
        <f t="shared" si="4"/>
        <v>1.0745</v>
      </c>
      <c r="O28" s="441"/>
      <c r="P28" s="441"/>
      <c r="Q28" s="441"/>
      <c r="R28" s="441"/>
      <c r="S28" s="441"/>
      <c r="T28" s="962" t="s">
        <v>1280</v>
      </c>
      <c r="U28" s="960">
        <f t="shared" si="8"/>
        <v>524.88</v>
      </c>
      <c r="V28" s="426"/>
      <c r="W28" s="441"/>
      <c r="X28" s="441"/>
      <c r="Y28" s="441"/>
      <c r="Z28" s="441"/>
      <c r="AA28" s="441"/>
      <c r="AB28" s="441"/>
      <c r="AC28" s="441"/>
      <c r="AD28" s="441"/>
      <c r="AE28" s="441"/>
    </row>
    <row r="29">
      <c r="A29" s="928"/>
      <c r="B29" s="961" t="s">
        <v>1281</v>
      </c>
      <c r="C29" s="948" t="s">
        <v>1240</v>
      </c>
      <c r="D29" s="952">
        <v>2.0</v>
      </c>
      <c r="E29" s="950">
        <v>0.25</v>
      </c>
      <c r="F29" s="951">
        <f t="shared" si="1"/>
        <v>2.5</v>
      </c>
      <c r="G29" s="950" t="str">
        <f t="shared" si="5"/>
        <v>0.25x+2</v>
      </c>
      <c r="H29" s="952">
        <v>2.0</v>
      </c>
      <c r="I29" s="952">
        <f t="shared" si="2"/>
        <v>12</v>
      </c>
      <c r="J29" s="953" t="s">
        <v>1237</v>
      </c>
      <c r="K29" s="954" t="s">
        <v>1238</v>
      </c>
      <c r="L29" s="955">
        <f t="shared" si="3"/>
        <v>2.5</v>
      </c>
      <c r="M29" s="955">
        <f>L29*'Материалы и инструменты'!$D$63</f>
        <v>0.025</v>
      </c>
      <c r="N29" s="956">
        <f t="shared" si="4"/>
        <v>0.737</v>
      </c>
      <c r="O29" s="441"/>
      <c r="P29" s="441"/>
      <c r="Q29" s="441"/>
      <c r="R29" s="441"/>
      <c r="S29" s="441"/>
      <c r="T29" s="957" t="s">
        <v>1282</v>
      </c>
      <c r="U29" s="960">
        <v>0.05</v>
      </c>
      <c r="V29" s="426"/>
      <c r="W29" s="441"/>
      <c r="X29" s="441"/>
      <c r="Y29" s="441"/>
      <c r="Z29" s="441"/>
      <c r="AA29" s="441"/>
      <c r="AB29" s="441"/>
      <c r="AC29" s="441"/>
      <c r="AD29" s="441"/>
      <c r="AE29" s="441"/>
    </row>
    <row r="30">
      <c r="A30" s="928"/>
      <c r="B30" s="961" t="s">
        <v>1283</v>
      </c>
      <c r="C30" s="948" t="s">
        <v>1240</v>
      </c>
      <c r="D30" s="952">
        <v>5.0</v>
      </c>
      <c r="E30" s="950">
        <v>0.25</v>
      </c>
      <c r="F30" s="951">
        <f t="shared" si="1"/>
        <v>4.25</v>
      </c>
      <c r="G30" s="950" t="str">
        <f t="shared" si="5"/>
        <v>0.25x+3</v>
      </c>
      <c r="H30" s="952">
        <v>3.0</v>
      </c>
      <c r="I30" s="952">
        <f t="shared" si="2"/>
        <v>14</v>
      </c>
      <c r="J30" s="953" t="s">
        <v>1237</v>
      </c>
      <c r="K30" s="954" t="s">
        <v>1238</v>
      </c>
      <c r="L30" s="955">
        <f t="shared" si="3"/>
        <v>4.25</v>
      </c>
      <c r="M30" s="955">
        <f>L30*'Материалы и инструменты'!$D$63</f>
        <v>0.0425</v>
      </c>
      <c r="N30" s="956">
        <f t="shared" si="4"/>
        <v>1.8595</v>
      </c>
      <c r="O30" s="441"/>
      <c r="P30" s="441"/>
      <c r="Q30" s="441"/>
      <c r="R30" s="441"/>
      <c r="S30" s="441"/>
      <c r="T30" s="957" t="s">
        <v>1284</v>
      </c>
      <c r="U30" s="960">
        <f t="shared" ref="U30:U37" si="9">U29*3</f>
        <v>0.15</v>
      </c>
      <c r="V30" s="426"/>
      <c r="W30" s="441"/>
      <c r="X30" s="441"/>
      <c r="Y30" s="441"/>
      <c r="Z30" s="441"/>
      <c r="AA30" s="441"/>
      <c r="AB30" s="441"/>
      <c r="AC30" s="441"/>
      <c r="AD30" s="441"/>
      <c r="AE30" s="441"/>
    </row>
    <row r="31">
      <c r="A31" s="928"/>
      <c r="B31" s="961" t="s">
        <v>1285</v>
      </c>
      <c r="C31" s="948" t="s">
        <v>1240</v>
      </c>
      <c r="D31" s="952">
        <v>9.0</v>
      </c>
      <c r="E31" s="950">
        <v>0.25</v>
      </c>
      <c r="F31" s="951">
        <f t="shared" si="1"/>
        <v>5.25</v>
      </c>
      <c r="G31" s="950" t="str">
        <f t="shared" si="5"/>
        <v>0.25x+3</v>
      </c>
      <c r="H31" s="952">
        <v>3.0</v>
      </c>
      <c r="I31" s="952">
        <f t="shared" si="2"/>
        <v>14</v>
      </c>
      <c r="J31" s="953" t="s">
        <v>1237</v>
      </c>
      <c r="K31" s="954" t="s">
        <v>1238</v>
      </c>
      <c r="L31" s="955">
        <f t="shared" si="3"/>
        <v>5.25</v>
      </c>
      <c r="M31" s="955">
        <f>L31*'Материалы и инструменты'!$D$63</f>
        <v>0.0525</v>
      </c>
      <c r="N31" s="956">
        <f t="shared" si="4"/>
        <v>2.7695</v>
      </c>
      <c r="O31" s="441"/>
      <c r="P31" s="441"/>
      <c r="Q31" s="441"/>
      <c r="R31" s="441"/>
      <c r="S31" s="441"/>
      <c r="T31" s="957" t="s">
        <v>1286</v>
      </c>
      <c r="U31" s="960">
        <f t="shared" si="9"/>
        <v>0.45</v>
      </c>
      <c r="V31" s="426"/>
      <c r="W31" s="441"/>
      <c r="X31" s="441"/>
      <c r="Y31" s="441"/>
      <c r="Z31" s="441"/>
      <c r="AA31" s="441"/>
      <c r="AB31" s="441"/>
      <c r="AC31" s="441"/>
      <c r="AD31" s="441"/>
      <c r="AE31" s="441"/>
    </row>
    <row r="32">
      <c r="A32" s="928"/>
      <c r="B32" s="961" t="s">
        <v>1287</v>
      </c>
      <c r="C32" s="948" t="s">
        <v>1242</v>
      </c>
      <c r="D32" s="952">
        <v>2.0</v>
      </c>
      <c r="E32" s="950">
        <v>0.25</v>
      </c>
      <c r="F32" s="951">
        <f t="shared" si="1"/>
        <v>4.5</v>
      </c>
      <c r="G32" s="950" t="str">
        <f t="shared" si="5"/>
        <v>0.25x+4</v>
      </c>
      <c r="H32" s="952">
        <v>4.0</v>
      </c>
      <c r="I32" s="952">
        <f t="shared" si="2"/>
        <v>16</v>
      </c>
      <c r="J32" s="953" t="s">
        <v>1250</v>
      </c>
      <c r="K32" s="954" t="s">
        <v>1238</v>
      </c>
      <c r="L32" s="955">
        <f t="shared" si="3"/>
        <v>4.5</v>
      </c>
      <c r="M32" s="955">
        <f>L32*'Материалы и инструменты'!$D$63</f>
        <v>0.045</v>
      </c>
      <c r="N32" s="956">
        <f t="shared" si="4"/>
        <v>2.717</v>
      </c>
      <c r="O32" s="441"/>
      <c r="P32" s="441"/>
      <c r="Q32" s="441"/>
      <c r="R32" s="441"/>
      <c r="S32" s="441"/>
      <c r="T32" s="957" t="s">
        <v>1288</v>
      </c>
      <c r="U32" s="960">
        <f t="shared" si="9"/>
        <v>1.35</v>
      </c>
      <c r="V32" s="426"/>
      <c r="W32" s="441"/>
      <c r="X32" s="441"/>
      <c r="Y32" s="441"/>
      <c r="Z32" s="441"/>
      <c r="AA32" s="441"/>
      <c r="AB32" s="441"/>
      <c r="AC32" s="441"/>
      <c r="AD32" s="441"/>
      <c r="AE32" s="441"/>
    </row>
    <row r="33">
      <c r="A33" s="928"/>
      <c r="B33" s="961" t="s">
        <v>1289</v>
      </c>
      <c r="C33" s="948" t="s">
        <v>1242</v>
      </c>
      <c r="D33" s="952">
        <v>5.0</v>
      </c>
      <c r="E33" s="950">
        <v>0.25</v>
      </c>
      <c r="F33" s="951">
        <f t="shared" si="1"/>
        <v>5.25</v>
      </c>
      <c r="G33" s="950" t="str">
        <f t="shared" si="5"/>
        <v>0.25x+4</v>
      </c>
      <c r="H33" s="952">
        <v>4.0</v>
      </c>
      <c r="I33" s="952">
        <f t="shared" si="2"/>
        <v>16</v>
      </c>
      <c r="J33" s="953" t="s">
        <v>1250</v>
      </c>
      <c r="K33" s="954" t="s">
        <v>1238</v>
      </c>
      <c r="L33" s="955">
        <f t="shared" si="3"/>
        <v>5.25</v>
      </c>
      <c r="M33" s="955">
        <f>L33*'Материалы и инструменты'!$D$63</f>
        <v>0.0525</v>
      </c>
      <c r="N33" s="956">
        <f t="shared" si="4"/>
        <v>4.5845</v>
      </c>
      <c r="O33" s="441"/>
      <c r="P33" s="441"/>
      <c r="Q33" s="441"/>
      <c r="R33" s="441"/>
      <c r="S33" s="441"/>
      <c r="T33" s="957" t="s">
        <v>1290</v>
      </c>
      <c r="U33" s="960">
        <f t="shared" si="9"/>
        <v>4.05</v>
      </c>
      <c r="V33" s="426"/>
      <c r="W33" s="441"/>
      <c r="X33" s="441"/>
      <c r="Y33" s="441"/>
      <c r="Z33" s="441"/>
      <c r="AA33" s="441"/>
      <c r="AB33" s="441"/>
      <c r="AC33" s="441"/>
      <c r="AD33" s="441"/>
      <c r="AE33" s="441"/>
    </row>
    <row r="34">
      <c r="A34" s="928"/>
      <c r="B34" s="961" t="s">
        <v>1291</v>
      </c>
      <c r="C34" s="948" t="s">
        <v>1242</v>
      </c>
      <c r="D34" s="952">
        <v>9.0</v>
      </c>
      <c r="E34" s="950">
        <v>0.25</v>
      </c>
      <c r="F34" s="951">
        <f t="shared" si="1"/>
        <v>7.25</v>
      </c>
      <c r="G34" s="950" t="str">
        <f t="shared" si="5"/>
        <v>0.25x+5</v>
      </c>
      <c r="H34" s="952">
        <v>5.0</v>
      </c>
      <c r="I34" s="952">
        <f t="shared" si="2"/>
        <v>18</v>
      </c>
      <c r="J34" s="953" t="s">
        <v>1250</v>
      </c>
      <c r="K34" s="954" t="s">
        <v>1238</v>
      </c>
      <c r="L34" s="955">
        <f t="shared" si="3"/>
        <v>7.25</v>
      </c>
      <c r="M34" s="955">
        <f>L34*'Материалы и инструменты'!$D$63</f>
        <v>0.0725</v>
      </c>
      <c r="N34" s="956">
        <f t="shared" si="4"/>
        <v>8.7095</v>
      </c>
      <c r="O34" s="441"/>
      <c r="P34" s="441"/>
      <c r="Q34" s="441"/>
      <c r="R34" s="441"/>
      <c r="S34" s="441"/>
      <c r="T34" s="957" t="s">
        <v>1292</v>
      </c>
      <c r="U34" s="960">
        <f t="shared" si="9"/>
        <v>12.15</v>
      </c>
      <c r="V34" s="426"/>
      <c r="W34" s="441"/>
      <c r="X34" s="441"/>
      <c r="Y34" s="441"/>
      <c r="Z34" s="441"/>
      <c r="AA34" s="441"/>
      <c r="AB34" s="441"/>
      <c r="AC34" s="441"/>
      <c r="AD34" s="441"/>
      <c r="AE34" s="441"/>
    </row>
    <row r="35">
      <c r="A35" s="928"/>
      <c r="B35" s="961" t="s">
        <v>1293</v>
      </c>
      <c r="C35" s="948" t="s">
        <v>1244</v>
      </c>
      <c r="D35" s="952">
        <v>2.0</v>
      </c>
      <c r="E35" s="951">
        <v>0.5</v>
      </c>
      <c r="F35" s="951">
        <f t="shared" si="1"/>
        <v>6</v>
      </c>
      <c r="G35" s="950" t="str">
        <f t="shared" si="5"/>
        <v>0.5x+5</v>
      </c>
      <c r="H35" s="952">
        <v>5.0</v>
      </c>
      <c r="I35" s="952">
        <f t="shared" si="2"/>
        <v>18</v>
      </c>
      <c r="J35" s="953" t="s">
        <v>1250</v>
      </c>
      <c r="K35" s="954" t="s">
        <v>1238</v>
      </c>
      <c r="L35" s="955">
        <f t="shared" si="3"/>
        <v>6</v>
      </c>
      <c r="M35" s="955">
        <f>L35*'Материалы и инструменты'!$D$63</f>
        <v>0.06</v>
      </c>
      <c r="N35" s="956">
        <f t="shared" si="4"/>
        <v>6.452</v>
      </c>
      <c r="O35" s="441"/>
      <c r="P35" s="441"/>
      <c r="Q35" s="441"/>
      <c r="R35" s="441"/>
      <c r="S35" s="441"/>
      <c r="T35" s="962" t="s">
        <v>1294</v>
      </c>
      <c r="U35" s="960">
        <f t="shared" si="9"/>
        <v>36.45</v>
      </c>
      <c r="V35" s="426"/>
      <c r="W35" s="441"/>
      <c r="X35" s="441"/>
      <c r="Y35" s="441"/>
      <c r="Z35" s="441"/>
      <c r="AA35" s="441"/>
      <c r="AB35" s="441"/>
      <c r="AC35" s="441"/>
      <c r="AD35" s="441"/>
      <c r="AE35" s="441"/>
    </row>
    <row r="36">
      <c r="A36" s="928"/>
      <c r="B36" s="961" t="s">
        <v>1295</v>
      </c>
      <c r="C36" s="948" t="s">
        <v>1244</v>
      </c>
      <c r="D36" s="952">
        <v>5.0</v>
      </c>
      <c r="E36" s="951">
        <v>0.5</v>
      </c>
      <c r="F36" s="951">
        <f t="shared" si="1"/>
        <v>8.5</v>
      </c>
      <c r="G36" s="950" t="str">
        <f t="shared" si="5"/>
        <v>0.5x+6</v>
      </c>
      <c r="H36" s="952">
        <v>6.0</v>
      </c>
      <c r="I36" s="952">
        <f t="shared" si="2"/>
        <v>20</v>
      </c>
      <c r="J36" s="953" t="s">
        <v>1250</v>
      </c>
      <c r="K36" s="954" t="s">
        <v>1238</v>
      </c>
      <c r="L36" s="955">
        <f t="shared" si="3"/>
        <v>8.5</v>
      </c>
      <c r="M36" s="955">
        <f>L36*'Материалы и инструменты'!$D$63</f>
        <v>0.085</v>
      </c>
      <c r="N36" s="956">
        <f t="shared" si="4"/>
        <v>14.457</v>
      </c>
      <c r="O36" s="441"/>
      <c r="P36" s="441"/>
      <c r="Q36" s="441"/>
      <c r="R36" s="441"/>
      <c r="S36" s="441"/>
      <c r="T36" s="962" t="s">
        <v>1296</v>
      </c>
      <c r="U36" s="960">
        <f t="shared" si="9"/>
        <v>109.35</v>
      </c>
      <c r="V36" s="426"/>
      <c r="W36" s="441"/>
      <c r="X36" s="441"/>
      <c r="Y36" s="441"/>
      <c r="Z36" s="441"/>
      <c r="AA36" s="441"/>
      <c r="AB36" s="441"/>
      <c r="AC36" s="441"/>
      <c r="AD36" s="441"/>
      <c r="AE36" s="441"/>
    </row>
    <row r="37">
      <c r="A37" s="928"/>
      <c r="B37" s="961" t="s">
        <v>1297</v>
      </c>
      <c r="C37" s="948" t="s">
        <v>1244</v>
      </c>
      <c r="D37" s="952">
        <v>9.0</v>
      </c>
      <c r="E37" s="951">
        <v>0.5</v>
      </c>
      <c r="F37" s="951">
        <f t="shared" si="1"/>
        <v>10.5</v>
      </c>
      <c r="G37" s="950" t="str">
        <f t="shared" si="5"/>
        <v>0.5x+6</v>
      </c>
      <c r="H37" s="952">
        <v>6.0</v>
      </c>
      <c r="I37" s="952">
        <f t="shared" si="2"/>
        <v>20</v>
      </c>
      <c r="J37" s="953" t="s">
        <v>1250</v>
      </c>
      <c r="K37" s="954" t="s">
        <v>1238</v>
      </c>
      <c r="L37" s="955">
        <f t="shared" si="3"/>
        <v>10.5</v>
      </c>
      <c r="M37" s="955">
        <f>L37*'Материалы и инструменты'!$D$63</f>
        <v>0.105</v>
      </c>
      <c r="N37" s="956">
        <f t="shared" si="4"/>
        <v>22.397</v>
      </c>
      <c r="O37" s="441"/>
      <c r="P37" s="441"/>
      <c r="Q37" s="441"/>
      <c r="R37" s="441"/>
      <c r="S37" s="441"/>
      <c r="T37" s="962" t="s">
        <v>1298</v>
      </c>
      <c r="U37" s="960">
        <f t="shared" si="9"/>
        <v>328.05</v>
      </c>
      <c r="V37" s="426"/>
      <c r="W37" s="441"/>
      <c r="X37" s="441"/>
      <c r="Y37" s="441"/>
      <c r="Z37" s="441"/>
      <c r="AA37" s="441"/>
      <c r="AB37" s="441"/>
      <c r="AC37" s="441"/>
      <c r="AD37" s="441"/>
      <c r="AE37" s="441"/>
    </row>
    <row r="38">
      <c r="A38" s="928"/>
      <c r="B38" s="961" t="s">
        <v>1299</v>
      </c>
      <c r="C38" s="948" t="s">
        <v>1246</v>
      </c>
      <c r="D38" s="952">
        <v>2.0</v>
      </c>
      <c r="E38" s="951">
        <v>0.5</v>
      </c>
      <c r="F38" s="951">
        <f t="shared" si="1"/>
        <v>8</v>
      </c>
      <c r="G38" s="950" t="str">
        <f t="shared" si="5"/>
        <v>0.5x+7</v>
      </c>
      <c r="H38" s="952">
        <v>7.0</v>
      </c>
      <c r="I38" s="952">
        <f t="shared" si="2"/>
        <v>22</v>
      </c>
      <c r="J38" s="953" t="s">
        <v>1263</v>
      </c>
      <c r="K38" s="954" t="s">
        <v>1238</v>
      </c>
      <c r="L38" s="955">
        <f t="shared" si="3"/>
        <v>8</v>
      </c>
      <c r="M38" s="955">
        <f>L38*'Материалы и инструменты'!$D$63</f>
        <v>0.08</v>
      </c>
      <c r="N38" s="956">
        <f t="shared" si="4"/>
        <v>17.792</v>
      </c>
      <c r="O38" s="441"/>
      <c r="P38" s="441"/>
      <c r="Q38" s="441"/>
      <c r="R38" s="441"/>
      <c r="S38" s="441"/>
      <c r="T38" s="962" t="s">
        <v>1300</v>
      </c>
      <c r="U38" s="963">
        <v>0.01</v>
      </c>
      <c r="V38" s="426"/>
      <c r="W38" s="441"/>
      <c r="X38" s="441"/>
      <c r="Y38" s="441"/>
      <c r="Z38" s="441"/>
      <c r="AA38" s="441"/>
      <c r="AB38" s="441"/>
      <c r="AC38" s="441"/>
      <c r="AD38" s="441"/>
      <c r="AE38" s="441"/>
    </row>
    <row r="39">
      <c r="A39" s="928"/>
      <c r="B39" s="961" t="s">
        <v>1301</v>
      </c>
      <c r="C39" s="948" t="s">
        <v>1246</v>
      </c>
      <c r="D39" s="952">
        <v>5.0</v>
      </c>
      <c r="E39" s="951">
        <v>0.5</v>
      </c>
      <c r="F39" s="951">
        <f t="shared" si="1"/>
        <v>9.5</v>
      </c>
      <c r="G39" s="950" t="str">
        <f t="shared" si="5"/>
        <v>0.5x+7</v>
      </c>
      <c r="H39" s="952">
        <v>7.0</v>
      </c>
      <c r="I39" s="952">
        <f t="shared" si="2"/>
        <v>22</v>
      </c>
      <c r="J39" s="953" t="s">
        <v>1263</v>
      </c>
      <c r="K39" s="954" t="s">
        <v>1238</v>
      </c>
      <c r="L39" s="955">
        <f t="shared" si="3"/>
        <v>9.5</v>
      </c>
      <c r="M39" s="955">
        <f>L39*'Материалы и инструменты'!$D$63</f>
        <v>0.095</v>
      </c>
      <c r="N39" s="956">
        <f t="shared" si="4"/>
        <v>33.857</v>
      </c>
      <c r="O39" s="441"/>
      <c r="P39" s="441"/>
      <c r="Q39" s="441"/>
      <c r="R39" s="441"/>
      <c r="S39" s="441"/>
      <c r="T39" s="962" t="s">
        <v>1302</v>
      </c>
      <c r="U39" s="963">
        <v>0.004</v>
      </c>
      <c r="V39" s="426"/>
      <c r="W39" s="441"/>
      <c r="X39" s="441"/>
      <c r="Y39" s="441"/>
      <c r="Z39" s="441"/>
      <c r="AA39" s="441"/>
      <c r="AB39" s="441"/>
      <c r="AC39" s="441"/>
      <c r="AD39" s="441"/>
      <c r="AE39" s="441"/>
    </row>
    <row r="40">
      <c r="A40" s="928"/>
      <c r="B40" s="961" t="s">
        <v>1303</v>
      </c>
      <c r="C40" s="948" t="s">
        <v>1246</v>
      </c>
      <c r="D40" s="952">
        <v>9.0</v>
      </c>
      <c r="E40" s="951">
        <v>0.5</v>
      </c>
      <c r="F40" s="951">
        <f t="shared" si="1"/>
        <v>12.5</v>
      </c>
      <c r="G40" s="950" t="str">
        <f t="shared" si="5"/>
        <v>0.5x+8</v>
      </c>
      <c r="H40" s="952">
        <v>8.0</v>
      </c>
      <c r="I40" s="952">
        <f t="shared" si="2"/>
        <v>24</v>
      </c>
      <c r="J40" s="953" t="s">
        <v>1263</v>
      </c>
      <c r="K40" s="954" t="s">
        <v>1238</v>
      </c>
      <c r="L40" s="955">
        <f t="shared" si="3"/>
        <v>12.5</v>
      </c>
      <c r="M40" s="955">
        <f>L40*'Материалы и инструменты'!$D$63</f>
        <v>0.125</v>
      </c>
      <c r="N40" s="956">
        <f t="shared" si="4"/>
        <v>60.017</v>
      </c>
      <c r="O40" s="441"/>
      <c r="P40" s="441"/>
      <c r="Q40" s="441"/>
      <c r="R40" s="441"/>
      <c r="S40" s="441"/>
      <c r="T40" s="962" t="s">
        <v>1304</v>
      </c>
      <c r="U40" s="963">
        <v>0.005</v>
      </c>
      <c r="V40" s="426"/>
      <c r="W40" s="441"/>
      <c r="X40" s="441"/>
      <c r="Y40" s="441"/>
      <c r="Z40" s="441"/>
      <c r="AA40" s="441"/>
      <c r="AB40" s="441"/>
      <c r="AC40" s="441"/>
      <c r="AD40" s="441"/>
      <c r="AE40" s="441"/>
    </row>
    <row r="41">
      <c r="A41" s="928"/>
      <c r="B41" s="961" t="s">
        <v>1305</v>
      </c>
      <c r="C41" s="948" t="s">
        <v>1248</v>
      </c>
      <c r="D41" s="952">
        <v>2.0</v>
      </c>
      <c r="E41" s="951">
        <v>0.5</v>
      </c>
      <c r="F41" s="951">
        <f t="shared" si="1"/>
        <v>9</v>
      </c>
      <c r="G41" s="950" t="str">
        <f t="shared" si="5"/>
        <v>0.5x+8</v>
      </c>
      <c r="H41" s="952">
        <v>8.0</v>
      </c>
      <c r="I41" s="952">
        <f t="shared" si="2"/>
        <v>24</v>
      </c>
      <c r="J41" s="953" t="s">
        <v>1263</v>
      </c>
      <c r="K41" s="954" t="s">
        <v>1238</v>
      </c>
      <c r="L41" s="955">
        <f t="shared" si="3"/>
        <v>9</v>
      </c>
      <c r="M41" s="955">
        <f>L41*'Материалы и инструменты'!$D$63</f>
        <v>0.09</v>
      </c>
      <c r="N41" s="956">
        <f t="shared" si="4"/>
        <v>40.922</v>
      </c>
      <c r="O41" s="441"/>
      <c r="P41" s="441"/>
      <c r="Q41" s="441"/>
      <c r="R41" s="441"/>
      <c r="S41" s="441"/>
      <c r="T41" s="441"/>
      <c r="U41" s="441"/>
      <c r="V41" s="426"/>
      <c r="W41" s="441"/>
      <c r="X41" s="441"/>
      <c r="Y41" s="441"/>
      <c r="Z41" s="441"/>
      <c r="AA41" s="441"/>
      <c r="AB41" s="441"/>
      <c r="AC41" s="441"/>
      <c r="AD41" s="441"/>
      <c r="AE41" s="441"/>
    </row>
    <row r="42">
      <c r="A42" s="928"/>
      <c r="B42" s="961" t="s">
        <v>1306</v>
      </c>
      <c r="C42" s="948" t="s">
        <v>1248</v>
      </c>
      <c r="D42" s="952">
        <v>5.0</v>
      </c>
      <c r="E42" s="951">
        <v>0.5</v>
      </c>
      <c r="F42" s="951">
        <f t="shared" si="1"/>
        <v>11.5</v>
      </c>
      <c r="G42" s="950" t="str">
        <f t="shared" si="5"/>
        <v>0.5x+9</v>
      </c>
      <c r="H42" s="952">
        <v>9.0</v>
      </c>
      <c r="I42" s="952">
        <f t="shared" si="2"/>
        <v>26</v>
      </c>
      <c r="J42" s="953" t="s">
        <v>1263</v>
      </c>
      <c r="K42" s="954" t="s">
        <v>1238</v>
      </c>
      <c r="L42" s="955">
        <f t="shared" si="3"/>
        <v>11.5</v>
      </c>
      <c r="M42" s="955">
        <f>L42*'Материалы и инструменты'!$D$63</f>
        <v>0.115</v>
      </c>
      <c r="N42" s="956">
        <f t="shared" si="4"/>
        <v>91.797</v>
      </c>
      <c r="O42" s="441"/>
      <c r="P42" s="441"/>
      <c r="Q42" s="441"/>
      <c r="R42" s="441"/>
      <c r="S42" s="441"/>
      <c r="T42" s="441"/>
      <c r="U42" s="441"/>
      <c r="V42" s="426"/>
      <c r="W42" s="441"/>
      <c r="X42" s="441"/>
      <c r="Y42" s="441"/>
      <c r="Z42" s="441"/>
      <c r="AA42" s="441"/>
      <c r="AB42" s="441"/>
      <c r="AC42" s="441"/>
      <c r="AD42" s="441"/>
      <c r="AE42" s="441"/>
    </row>
    <row r="43">
      <c r="A43" s="928"/>
      <c r="B43" s="961" t="s">
        <v>1307</v>
      </c>
      <c r="C43" s="948" t="s">
        <v>1248</v>
      </c>
      <c r="D43" s="952">
        <v>9.0</v>
      </c>
      <c r="E43" s="951">
        <v>0.5</v>
      </c>
      <c r="F43" s="951">
        <f t="shared" si="1"/>
        <v>13.5</v>
      </c>
      <c r="G43" s="950" t="str">
        <f t="shared" si="5"/>
        <v>0.5x+9</v>
      </c>
      <c r="H43" s="952">
        <v>9.0</v>
      </c>
      <c r="I43" s="952">
        <f t="shared" si="2"/>
        <v>26</v>
      </c>
      <c r="J43" s="953" t="s">
        <v>1263</v>
      </c>
      <c r="K43" s="954" t="s">
        <v>1238</v>
      </c>
      <c r="L43" s="955">
        <f t="shared" si="3"/>
        <v>13.5</v>
      </c>
      <c r="M43" s="955">
        <f>L43*'Материалы и инструменты'!$D$63</f>
        <v>0.135</v>
      </c>
      <c r="N43" s="956">
        <f t="shared" si="4"/>
        <v>153.377</v>
      </c>
      <c r="O43" s="441"/>
      <c r="P43" s="441"/>
      <c r="Q43" s="441"/>
      <c r="R43" s="441"/>
      <c r="S43" s="441"/>
      <c r="T43" s="441"/>
      <c r="U43" s="441"/>
      <c r="V43" s="426"/>
      <c r="W43" s="441"/>
      <c r="X43" s="441"/>
      <c r="Y43" s="441"/>
      <c r="Z43" s="441"/>
      <c r="AA43" s="441"/>
      <c r="AB43" s="441"/>
      <c r="AC43" s="441"/>
      <c r="AD43" s="441"/>
      <c r="AE43" s="441"/>
    </row>
    <row r="44">
      <c r="A44" s="928"/>
      <c r="B44" s="964" t="s">
        <v>1308</v>
      </c>
      <c r="C44" s="948" t="s">
        <v>1251</v>
      </c>
      <c r="D44" s="949">
        <v>1.0</v>
      </c>
      <c r="E44" s="950">
        <v>0.25</v>
      </c>
      <c r="F44" s="951">
        <f t="shared" si="1"/>
        <v>1.25</v>
      </c>
      <c r="G44" s="950" t="str">
        <f t="shared" si="5"/>
        <v>0.25x+1</v>
      </c>
      <c r="H44" s="952">
        <v>1.0</v>
      </c>
      <c r="I44" s="952">
        <f t="shared" si="2"/>
        <v>10</v>
      </c>
      <c r="J44" s="953" t="s">
        <v>1237</v>
      </c>
      <c r="K44" s="954" t="s">
        <v>1238</v>
      </c>
      <c r="L44" s="955">
        <f t="shared" si="3"/>
        <v>1.25</v>
      </c>
      <c r="M44" s="955">
        <f>L44*'Материалы и инструменты'!$D$63</f>
        <v>0.0125</v>
      </c>
      <c r="N44" s="956">
        <f t="shared" si="4"/>
        <v>0.2495</v>
      </c>
      <c r="O44" s="441"/>
      <c r="P44" s="441"/>
      <c r="Q44" s="441"/>
      <c r="R44" s="441"/>
      <c r="S44" s="441"/>
      <c r="T44" s="441"/>
      <c r="U44" s="441"/>
      <c r="V44" s="426"/>
      <c r="W44" s="441"/>
      <c r="X44" s="441"/>
      <c r="Y44" s="441"/>
      <c r="Z44" s="441"/>
      <c r="AA44" s="441"/>
      <c r="AB44" s="441"/>
      <c r="AC44" s="441"/>
      <c r="AD44" s="441"/>
      <c r="AE44" s="441"/>
    </row>
    <row r="45">
      <c r="A45" s="928"/>
      <c r="B45" s="964" t="s">
        <v>1309</v>
      </c>
      <c r="C45" s="948" t="s">
        <v>1251</v>
      </c>
      <c r="D45" s="949">
        <v>3.0</v>
      </c>
      <c r="E45" s="950">
        <v>0.25</v>
      </c>
      <c r="F45" s="951">
        <f t="shared" si="1"/>
        <v>1.75</v>
      </c>
      <c r="G45" s="950" t="str">
        <f t="shared" si="5"/>
        <v>0.25x+1</v>
      </c>
      <c r="H45" s="952">
        <v>1.0</v>
      </c>
      <c r="I45" s="952">
        <f t="shared" si="2"/>
        <v>10</v>
      </c>
      <c r="J45" s="953" t="s">
        <v>1237</v>
      </c>
      <c r="K45" s="954" t="s">
        <v>1238</v>
      </c>
      <c r="L45" s="955">
        <f t="shared" si="3"/>
        <v>1.75</v>
      </c>
      <c r="M45" s="955">
        <f>L45*'Материалы и инструменты'!$D$63</f>
        <v>0.0175</v>
      </c>
      <c r="N45" s="956">
        <f t="shared" si="4"/>
        <v>0.3845</v>
      </c>
      <c r="O45" s="441"/>
      <c r="P45" s="441"/>
      <c r="Q45" s="441"/>
      <c r="R45" s="441"/>
      <c r="S45" s="441"/>
      <c r="T45" s="441"/>
      <c r="U45" s="441"/>
      <c r="V45" s="441"/>
      <c r="W45" s="441"/>
      <c r="X45" s="441"/>
      <c r="Y45" s="441"/>
      <c r="Z45" s="441"/>
      <c r="AA45" s="441"/>
      <c r="AB45" s="441"/>
      <c r="AC45" s="441"/>
      <c r="AD45" s="441"/>
      <c r="AE45" s="441"/>
    </row>
    <row r="46">
      <c r="A46" s="928"/>
      <c r="B46" s="964" t="s">
        <v>1310</v>
      </c>
      <c r="C46" s="948" t="s">
        <v>1251</v>
      </c>
      <c r="D46" s="949">
        <v>7.0</v>
      </c>
      <c r="E46" s="950">
        <v>0.25</v>
      </c>
      <c r="F46" s="951">
        <f t="shared" si="1"/>
        <v>3.75</v>
      </c>
      <c r="G46" s="950" t="str">
        <f t="shared" si="5"/>
        <v>0.25x+2</v>
      </c>
      <c r="H46" s="952">
        <v>2.0</v>
      </c>
      <c r="I46" s="952">
        <f t="shared" si="2"/>
        <v>12</v>
      </c>
      <c r="J46" s="953" t="s">
        <v>1237</v>
      </c>
      <c r="K46" s="954" t="s">
        <v>1238</v>
      </c>
      <c r="L46" s="955">
        <f t="shared" si="3"/>
        <v>3.75</v>
      </c>
      <c r="M46" s="955">
        <f>L46*'Материалы и инструменты'!$D$63</f>
        <v>0.0375</v>
      </c>
      <c r="N46" s="956">
        <f t="shared" si="4"/>
        <v>0.9095</v>
      </c>
      <c r="O46" s="441"/>
      <c r="P46" s="441"/>
      <c r="Q46" s="441"/>
      <c r="R46" s="441"/>
      <c r="S46" s="441"/>
      <c r="T46" s="441"/>
      <c r="U46" s="441"/>
      <c r="V46" s="426"/>
      <c r="W46" s="441"/>
      <c r="X46" s="441"/>
      <c r="Y46" s="441"/>
      <c r="Z46" s="441"/>
      <c r="AA46" s="441"/>
      <c r="AB46" s="441"/>
      <c r="AC46" s="441"/>
      <c r="AD46" s="441"/>
      <c r="AE46" s="441"/>
    </row>
    <row r="47">
      <c r="A47" s="928"/>
      <c r="B47" s="964" t="s">
        <v>1311</v>
      </c>
      <c r="C47" s="948" t="s">
        <v>1253</v>
      </c>
      <c r="D47" s="949">
        <v>1.0</v>
      </c>
      <c r="E47" s="950">
        <v>0.25</v>
      </c>
      <c r="F47" s="951">
        <f t="shared" si="1"/>
        <v>2.25</v>
      </c>
      <c r="G47" s="950" t="str">
        <f t="shared" si="5"/>
        <v>0.25x+2</v>
      </c>
      <c r="H47" s="952">
        <v>2.0</v>
      </c>
      <c r="I47" s="952">
        <f t="shared" si="2"/>
        <v>12</v>
      </c>
      <c r="J47" s="953" t="s">
        <v>1237</v>
      </c>
      <c r="K47" s="954" t="s">
        <v>1238</v>
      </c>
      <c r="L47" s="955">
        <f t="shared" si="3"/>
        <v>2.25</v>
      </c>
      <c r="M47" s="955">
        <f>L47*'Материалы и инструменты'!$D$63</f>
        <v>0.0225</v>
      </c>
      <c r="N47" s="956">
        <f t="shared" si="4"/>
        <v>0.5345</v>
      </c>
      <c r="O47" s="441"/>
      <c r="P47" s="441"/>
      <c r="Q47" s="441"/>
      <c r="R47" s="441"/>
      <c r="S47" s="441"/>
      <c r="T47" s="441"/>
      <c r="U47" s="441"/>
      <c r="V47" s="426"/>
      <c r="W47" s="441"/>
      <c r="X47" s="441"/>
      <c r="Y47" s="441"/>
      <c r="Z47" s="441"/>
      <c r="AA47" s="441"/>
      <c r="AB47" s="441"/>
      <c r="AC47" s="441"/>
      <c r="AD47" s="441"/>
      <c r="AE47" s="441"/>
    </row>
    <row r="48">
      <c r="A48" s="928"/>
      <c r="B48" s="964" t="s">
        <v>1312</v>
      </c>
      <c r="C48" s="948" t="s">
        <v>1253</v>
      </c>
      <c r="D48" s="949">
        <v>3.0</v>
      </c>
      <c r="E48" s="950">
        <v>0.25</v>
      </c>
      <c r="F48" s="951">
        <f t="shared" si="1"/>
        <v>3.75</v>
      </c>
      <c r="G48" s="950" t="str">
        <f t="shared" si="5"/>
        <v>0.25x+3</v>
      </c>
      <c r="H48" s="952">
        <v>3.0</v>
      </c>
      <c r="I48" s="952">
        <f t="shared" si="2"/>
        <v>14</v>
      </c>
      <c r="J48" s="953" t="s">
        <v>1237</v>
      </c>
      <c r="K48" s="954" t="s">
        <v>1238</v>
      </c>
      <c r="L48" s="955">
        <f t="shared" si="3"/>
        <v>3.75</v>
      </c>
      <c r="M48" s="955">
        <f>L48*'Материалы и инструменты'!$D$63</f>
        <v>0.0375</v>
      </c>
      <c r="N48" s="956">
        <f t="shared" si="4"/>
        <v>1.4045</v>
      </c>
      <c r="O48" s="441"/>
      <c r="P48" s="441"/>
      <c r="Q48" s="441"/>
      <c r="R48" s="441"/>
      <c r="S48" s="441"/>
      <c r="T48" s="441"/>
      <c r="U48" s="441"/>
      <c r="V48" s="426"/>
      <c r="W48" s="441"/>
      <c r="X48" s="441"/>
      <c r="Y48" s="441"/>
      <c r="Z48" s="441"/>
      <c r="AA48" s="441"/>
      <c r="AB48" s="441"/>
      <c r="AC48" s="441"/>
      <c r="AD48" s="441"/>
      <c r="AE48" s="441"/>
    </row>
    <row r="49">
      <c r="A49" s="928"/>
      <c r="B49" s="964" t="s">
        <v>1313</v>
      </c>
      <c r="C49" s="948" t="s">
        <v>1253</v>
      </c>
      <c r="D49" s="949">
        <v>7.0</v>
      </c>
      <c r="E49" s="950">
        <v>0.25</v>
      </c>
      <c r="F49" s="951">
        <f t="shared" si="1"/>
        <v>4.75</v>
      </c>
      <c r="G49" s="950" t="str">
        <f t="shared" si="5"/>
        <v>0.25x+3</v>
      </c>
      <c r="H49" s="952">
        <v>3.0</v>
      </c>
      <c r="I49" s="952">
        <f t="shared" si="2"/>
        <v>14</v>
      </c>
      <c r="J49" s="953" t="s">
        <v>1237</v>
      </c>
      <c r="K49" s="954" t="s">
        <v>1238</v>
      </c>
      <c r="L49" s="955">
        <f t="shared" si="3"/>
        <v>4.75</v>
      </c>
      <c r="M49" s="955">
        <f>L49*'Материалы и инструменты'!$D$63</f>
        <v>0.0475</v>
      </c>
      <c r="N49" s="956">
        <f t="shared" si="4"/>
        <v>2.3145</v>
      </c>
      <c r="O49" s="441"/>
      <c r="P49" s="441"/>
      <c r="Q49" s="441"/>
      <c r="R49" s="441"/>
      <c r="S49" s="441"/>
      <c r="T49" s="441"/>
      <c r="U49" s="441"/>
      <c r="V49" s="426"/>
      <c r="W49" s="441"/>
      <c r="X49" s="441"/>
      <c r="Y49" s="441"/>
      <c r="Z49" s="441"/>
      <c r="AA49" s="441"/>
      <c r="AB49" s="441"/>
      <c r="AC49" s="441"/>
      <c r="AD49" s="441"/>
      <c r="AE49" s="441"/>
    </row>
    <row r="50">
      <c r="A50" s="928"/>
      <c r="B50" s="964" t="s">
        <v>1314</v>
      </c>
      <c r="C50" s="948" t="s">
        <v>1255</v>
      </c>
      <c r="D50" s="949">
        <v>1.0</v>
      </c>
      <c r="E50" s="950">
        <v>0.25</v>
      </c>
      <c r="F50" s="951">
        <f t="shared" si="1"/>
        <v>4.25</v>
      </c>
      <c r="G50" s="950" t="str">
        <f t="shared" si="5"/>
        <v>0.25x+4</v>
      </c>
      <c r="H50" s="952">
        <v>4.0</v>
      </c>
      <c r="I50" s="952">
        <f t="shared" si="2"/>
        <v>16</v>
      </c>
      <c r="J50" s="953" t="s">
        <v>1250</v>
      </c>
      <c r="K50" s="954" t="s">
        <v>1238</v>
      </c>
      <c r="L50" s="955">
        <f t="shared" si="3"/>
        <v>4.25</v>
      </c>
      <c r="M50" s="955">
        <f>L50*'Материалы и инструменты'!$D$63</f>
        <v>0.0425</v>
      </c>
      <c r="N50" s="956">
        <f t="shared" si="4"/>
        <v>2.0945</v>
      </c>
      <c r="O50" s="441"/>
      <c r="P50" s="441"/>
      <c r="Q50" s="441"/>
      <c r="R50" s="441"/>
      <c r="S50" s="441"/>
      <c r="T50" s="441"/>
      <c r="U50" s="441"/>
      <c r="V50" s="426"/>
      <c r="W50" s="441"/>
      <c r="X50" s="441"/>
      <c r="Y50" s="441"/>
      <c r="Z50" s="441"/>
      <c r="AA50" s="441"/>
      <c r="AB50" s="441"/>
      <c r="AC50" s="441"/>
      <c r="AD50" s="441"/>
      <c r="AE50" s="441"/>
    </row>
    <row r="51">
      <c r="A51" s="928"/>
      <c r="B51" s="964" t="s">
        <v>1315</v>
      </c>
      <c r="C51" s="948" t="s">
        <v>1255</v>
      </c>
      <c r="D51" s="949">
        <v>3.0</v>
      </c>
      <c r="E51" s="950">
        <v>0.25</v>
      </c>
      <c r="F51" s="951">
        <f t="shared" si="1"/>
        <v>4.75</v>
      </c>
      <c r="G51" s="950" t="str">
        <f t="shared" si="5"/>
        <v>0.25x+4</v>
      </c>
      <c r="H51" s="952">
        <v>4.0</v>
      </c>
      <c r="I51" s="952">
        <f t="shared" si="2"/>
        <v>16</v>
      </c>
      <c r="J51" s="953" t="s">
        <v>1250</v>
      </c>
      <c r="K51" s="954" t="s">
        <v>1238</v>
      </c>
      <c r="L51" s="955">
        <f t="shared" si="3"/>
        <v>4.75</v>
      </c>
      <c r="M51" s="955">
        <f>L51*'Материалы и инструменты'!$D$63</f>
        <v>0.0475</v>
      </c>
      <c r="N51" s="956">
        <f t="shared" si="4"/>
        <v>3.3395</v>
      </c>
      <c r="O51" s="441"/>
      <c r="P51" s="441"/>
      <c r="Q51" s="441"/>
      <c r="R51" s="441"/>
      <c r="S51" s="441"/>
      <c r="T51" s="441"/>
      <c r="U51" s="441"/>
      <c r="V51" s="426"/>
      <c r="W51" s="441"/>
      <c r="X51" s="441"/>
      <c r="Y51" s="441"/>
      <c r="Z51" s="441"/>
      <c r="AA51" s="441"/>
      <c r="AB51" s="441"/>
      <c r="AC51" s="441"/>
      <c r="AD51" s="441"/>
      <c r="AE51" s="441"/>
    </row>
    <row r="52">
      <c r="A52" s="928"/>
      <c r="B52" s="964" t="s">
        <v>1316</v>
      </c>
      <c r="C52" s="948" t="s">
        <v>1255</v>
      </c>
      <c r="D52" s="949">
        <v>7.0</v>
      </c>
      <c r="E52" s="950">
        <v>0.25</v>
      </c>
      <c r="F52" s="951">
        <f t="shared" si="1"/>
        <v>6.75</v>
      </c>
      <c r="G52" s="950" t="str">
        <f t="shared" si="5"/>
        <v>0.25x+5</v>
      </c>
      <c r="H52" s="952">
        <v>5.0</v>
      </c>
      <c r="I52" s="952">
        <f t="shared" si="2"/>
        <v>18</v>
      </c>
      <c r="J52" s="953" t="s">
        <v>1250</v>
      </c>
      <c r="K52" s="954" t="s">
        <v>1238</v>
      </c>
      <c r="L52" s="955">
        <f t="shared" si="3"/>
        <v>6.75</v>
      </c>
      <c r="M52" s="955">
        <f>L52*'Материалы и инструменты'!$D$63</f>
        <v>0.0675</v>
      </c>
      <c r="N52" s="956">
        <f t="shared" si="4"/>
        <v>7.3745</v>
      </c>
      <c r="O52" s="441"/>
      <c r="P52" s="441"/>
      <c r="Q52" s="441"/>
      <c r="R52" s="441"/>
      <c r="S52" s="441"/>
      <c r="T52" s="441"/>
      <c r="U52" s="441"/>
      <c r="V52" s="441"/>
      <c r="W52" s="441"/>
      <c r="X52" s="441"/>
      <c r="Y52" s="441"/>
      <c r="Z52" s="441"/>
      <c r="AA52" s="441"/>
      <c r="AB52" s="441"/>
      <c r="AC52" s="441"/>
      <c r="AD52" s="441"/>
      <c r="AE52" s="441"/>
    </row>
    <row r="53">
      <c r="A53" s="928"/>
      <c r="B53" s="964" t="s">
        <v>1317</v>
      </c>
      <c r="C53" s="948" t="s">
        <v>1257</v>
      </c>
      <c r="D53" s="949">
        <v>1.0</v>
      </c>
      <c r="E53" s="951">
        <v>0.5</v>
      </c>
      <c r="F53" s="951">
        <f t="shared" si="1"/>
        <v>5.5</v>
      </c>
      <c r="G53" s="950" t="str">
        <f t="shared" si="5"/>
        <v>0.5x+5</v>
      </c>
      <c r="H53" s="952">
        <v>5.0</v>
      </c>
      <c r="I53" s="952">
        <f t="shared" si="2"/>
        <v>18</v>
      </c>
      <c r="J53" s="953" t="s">
        <v>1250</v>
      </c>
      <c r="K53" s="954" t="s">
        <v>1238</v>
      </c>
      <c r="L53" s="955">
        <f t="shared" si="3"/>
        <v>5.5</v>
      </c>
      <c r="M53" s="955">
        <f>L53*'Материалы и инструменты'!$D$63</f>
        <v>0.055</v>
      </c>
      <c r="N53" s="956">
        <f t="shared" si="4"/>
        <v>4.577</v>
      </c>
      <c r="O53" s="441"/>
      <c r="P53" s="441"/>
      <c r="Q53" s="441"/>
      <c r="R53" s="441"/>
      <c r="S53" s="441"/>
      <c r="T53" s="441"/>
      <c r="U53" s="441"/>
      <c r="V53" s="441"/>
      <c r="W53" s="441"/>
      <c r="X53" s="441"/>
      <c r="Y53" s="441"/>
      <c r="Z53" s="441"/>
      <c r="AA53" s="441"/>
      <c r="AB53" s="441"/>
      <c r="AC53" s="441"/>
      <c r="AD53" s="441"/>
      <c r="AE53" s="441"/>
    </row>
    <row r="54">
      <c r="A54" s="928"/>
      <c r="B54" s="964" t="s">
        <v>1318</v>
      </c>
      <c r="C54" s="948" t="s">
        <v>1257</v>
      </c>
      <c r="D54" s="949">
        <v>3.0</v>
      </c>
      <c r="E54" s="951">
        <v>0.5</v>
      </c>
      <c r="F54" s="951">
        <f t="shared" si="1"/>
        <v>7.5</v>
      </c>
      <c r="G54" s="950" t="str">
        <f t="shared" si="5"/>
        <v>0.5x+6</v>
      </c>
      <c r="H54" s="952">
        <v>6.0</v>
      </c>
      <c r="I54" s="952">
        <f t="shared" si="2"/>
        <v>20</v>
      </c>
      <c r="J54" s="953" t="s">
        <v>1250</v>
      </c>
      <c r="K54" s="954" t="s">
        <v>1238</v>
      </c>
      <c r="L54" s="955">
        <f t="shared" si="3"/>
        <v>7.5</v>
      </c>
      <c r="M54" s="955">
        <f>L54*'Материалы и инструменты'!$D$63</f>
        <v>0.075</v>
      </c>
      <c r="N54" s="956">
        <f t="shared" si="4"/>
        <v>10.487</v>
      </c>
      <c r="O54" s="441"/>
      <c r="P54" s="441"/>
      <c r="Q54" s="441"/>
      <c r="R54" s="441"/>
      <c r="S54" s="441"/>
      <c r="T54" s="441"/>
      <c r="U54" s="441"/>
      <c r="V54" s="441"/>
      <c r="W54" s="441"/>
      <c r="X54" s="441"/>
      <c r="Y54" s="441"/>
      <c r="Z54" s="441"/>
      <c r="AA54" s="441"/>
      <c r="AB54" s="441"/>
      <c r="AC54" s="441"/>
      <c r="AD54" s="441"/>
      <c r="AE54" s="441"/>
    </row>
    <row r="55">
      <c r="A55" s="928"/>
      <c r="B55" s="964" t="s">
        <v>1319</v>
      </c>
      <c r="C55" s="948" t="s">
        <v>1257</v>
      </c>
      <c r="D55" s="949">
        <v>7.0</v>
      </c>
      <c r="E55" s="951">
        <v>0.5</v>
      </c>
      <c r="F55" s="951">
        <f t="shared" si="1"/>
        <v>9.5</v>
      </c>
      <c r="G55" s="950" t="str">
        <f t="shared" si="5"/>
        <v>0.5x+6</v>
      </c>
      <c r="H55" s="952">
        <v>6.0</v>
      </c>
      <c r="I55" s="952">
        <f t="shared" si="2"/>
        <v>20</v>
      </c>
      <c r="J55" s="953" t="s">
        <v>1250</v>
      </c>
      <c r="K55" s="954" t="s">
        <v>1238</v>
      </c>
      <c r="L55" s="955">
        <f t="shared" si="3"/>
        <v>9.5</v>
      </c>
      <c r="M55" s="955">
        <f>L55*'Материалы и инструменты'!$D$63</f>
        <v>0.095</v>
      </c>
      <c r="N55" s="956">
        <f t="shared" si="4"/>
        <v>18.427</v>
      </c>
      <c r="O55" s="441"/>
      <c r="P55" s="441"/>
      <c r="Q55" s="441"/>
      <c r="R55" s="441"/>
      <c r="S55" s="441"/>
      <c r="T55" s="441"/>
      <c r="U55" s="441"/>
      <c r="V55" s="441"/>
      <c r="W55" s="441"/>
      <c r="X55" s="441"/>
      <c r="Y55" s="441"/>
      <c r="Z55" s="441"/>
      <c r="AA55" s="441"/>
      <c r="AB55" s="441"/>
      <c r="AC55" s="441"/>
      <c r="AD55" s="441"/>
      <c r="AE55" s="441"/>
    </row>
    <row r="56">
      <c r="A56" s="928"/>
      <c r="B56" s="964" t="s">
        <v>1320</v>
      </c>
      <c r="C56" s="948" t="s">
        <v>1259</v>
      </c>
      <c r="D56" s="949">
        <v>1.0</v>
      </c>
      <c r="E56" s="951">
        <v>0.5</v>
      </c>
      <c r="F56" s="951">
        <f t="shared" si="1"/>
        <v>7.5</v>
      </c>
      <c r="G56" s="950" t="str">
        <f t="shared" si="5"/>
        <v>0.5x+7</v>
      </c>
      <c r="H56" s="952">
        <v>7.0</v>
      </c>
      <c r="I56" s="952">
        <f t="shared" si="2"/>
        <v>22</v>
      </c>
      <c r="J56" s="953" t="s">
        <v>1263</v>
      </c>
      <c r="K56" s="954" t="s">
        <v>1238</v>
      </c>
      <c r="L56" s="955">
        <f t="shared" si="3"/>
        <v>7.5</v>
      </c>
      <c r="M56" s="955">
        <f>L56*'Материалы и инструменты'!$D$63</f>
        <v>0.075</v>
      </c>
      <c r="N56" s="956">
        <f t="shared" si="4"/>
        <v>12.437</v>
      </c>
      <c r="O56" s="441"/>
      <c r="P56" s="441"/>
      <c r="Q56" s="441"/>
      <c r="R56" s="441"/>
      <c r="S56" s="441"/>
      <c r="T56" s="441"/>
      <c r="U56" s="441"/>
      <c r="V56" s="441"/>
      <c r="W56" s="441"/>
      <c r="X56" s="441"/>
      <c r="Y56" s="441"/>
      <c r="Z56" s="441"/>
      <c r="AA56" s="441"/>
      <c r="AB56" s="441"/>
      <c r="AC56" s="441"/>
      <c r="AD56" s="441"/>
      <c r="AE56" s="441"/>
    </row>
    <row r="57">
      <c r="A57" s="928"/>
      <c r="B57" s="964" t="s">
        <v>1321</v>
      </c>
      <c r="C57" s="948" t="s">
        <v>1259</v>
      </c>
      <c r="D57" s="949">
        <v>3.0</v>
      </c>
      <c r="E57" s="951">
        <v>0.5</v>
      </c>
      <c r="F57" s="951">
        <f t="shared" si="1"/>
        <v>8.5</v>
      </c>
      <c r="G57" s="950" t="str">
        <f t="shared" si="5"/>
        <v>0.5x+7</v>
      </c>
      <c r="H57" s="952">
        <v>7.0</v>
      </c>
      <c r="I57" s="952">
        <f t="shared" si="2"/>
        <v>22</v>
      </c>
      <c r="J57" s="953" t="s">
        <v>1263</v>
      </c>
      <c r="K57" s="954" t="s">
        <v>1238</v>
      </c>
      <c r="L57" s="955">
        <f t="shared" si="3"/>
        <v>8.5</v>
      </c>
      <c r="M57" s="955">
        <f>L57*'Материалы и инструменты'!$D$63</f>
        <v>0.085</v>
      </c>
      <c r="N57" s="956">
        <f t="shared" si="4"/>
        <v>23.147</v>
      </c>
      <c r="O57" s="441"/>
      <c r="P57" s="441"/>
      <c r="Q57" s="441"/>
      <c r="R57" s="441"/>
      <c r="S57" s="441"/>
      <c r="T57" s="441"/>
      <c r="U57" s="441"/>
      <c r="V57" s="441"/>
      <c r="W57" s="441"/>
      <c r="X57" s="441"/>
      <c r="Y57" s="441"/>
      <c r="Z57" s="441"/>
      <c r="AA57" s="441"/>
      <c r="AB57" s="441"/>
      <c r="AC57" s="441"/>
      <c r="AD57" s="441"/>
      <c r="AE57" s="441"/>
    </row>
    <row r="58">
      <c r="A58" s="928"/>
      <c r="B58" s="964" t="s">
        <v>1322</v>
      </c>
      <c r="C58" s="948" t="s">
        <v>1259</v>
      </c>
      <c r="D58" s="949">
        <v>7.0</v>
      </c>
      <c r="E58" s="951">
        <v>0.5</v>
      </c>
      <c r="F58" s="951">
        <f t="shared" si="1"/>
        <v>11.5</v>
      </c>
      <c r="G58" s="950" t="str">
        <f t="shared" si="5"/>
        <v>0.5x+8</v>
      </c>
      <c r="H58" s="952">
        <v>8.0</v>
      </c>
      <c r="I58" s="952">
        <f t="shared" si="2"/>
        <v>24</v>
      </c>
      <c r="J58" s="953" t="s">
        <v>1263</v>
      </c>
      <c r="K58" s="954" t="s">
        <v>1238</v>
      </c>
      <c r="L58" s="955">
        <f t="shared" si="3"/>
        <v>11.5</v>
      </c>
      <c r="M58" s="955">
        <f>L58*'Материалы и инструменты'!$D$63</f>
        <v>0.115</v>
      </c>
      <c r="N58" s="956">
        <f t="shared" si="4"/>
        <v>49.007</v>
      </c>
      <c r="O58" s="441"/>
      <c r="P58" s="441"/>
      <c r="Q58" s="441"/>
      <c r="R58" s="441"/>
      <c r="S58" s="441"/>
      <c r="T58" s="441"/>
      <c r="U58" s="441"/>
      <c r="V58" s="441"/>
      <c r="W58" s="441"/>
      <c r="X58" s="441"/>
      <c r="Y58" s="441"/>
      <c r="Z58" s="441"/>
      <c r="AA58" s="441"/>
      <c r="AB58" s="441"/>
      <c r="AC58" s="441"/>
      <c r="AD58" s="441"/>
      <c r="AE58" s="441"/>
    </row>
    <row r="59">
      <c r="A59" s="928"/>
      <c r="B59" s="964" t="s">
        <v>1323</v>
      </c>
      <c r="C59" s="948" t="s">
        <v>1261</v>
      </c>
      <c r="D59" s="949">
        <v>1.0</v>
      </c>
      <c r="E59" s="951">
        <v>0.5</v>
      </c>
      <c r="F59" s="951">
        <f t="shared" si="1"/>
        <v>8.5</v>
      </c>
      <c r="G59" s="950" t="str">
        <f t="shared" si="5"/>
        <v>0.5x+8</v>
      </c>
      <c r="H59" s="952">
        <v>8.0</v>
      </c>
      <c r="I59" s="952">
        <f t="shared" si="2"/>
        <v>24</v>
      </c>
      <c r="J59" s="953" t="s">
        <v>1263</v>
      </c>
      <c r="K59" s="954" t="s">
        <v>1238</v>
      </c>
      <c r="L59" s="955">
        <f t="shared" si="3"/>
        <v>8.5</v>
      </c>
      <c r="M59" s="955">
        <f>L59*'Материалы и инструменты'!$D$63</f>
        <v>0.085</v>
      </c>
      <c r="N59" s="956">
        <f t="shared" si="4"/>
        <v>25.697</v>
      </c>
      <c r="O59" s="441"/>
      <c r="P59" s="441"/>
      <c r="Q59" s="441"/>
      <c r="R59" s="441"/>
      <c r="S59" s="441"/>
      <c r="T59" s="441"/>
      <c r="U59" s="441"/>
      <c r="V59" s="441"/>
      <c r="W59" s="441"/>
      <c r="X59" s="441"/>
      <c r="Y59" s="441"/>
      <c r="Z59" s="441"/>
      <c r="AA59" s="441"/>
      <c r="AB59" s="441"/>
      <c r="AC59" s="441"/>
      <c r="AD59" s="441"/>
      <c r="AE59" s="441"/>
    </row>
    <row r="60">
      <c r="A60" s="928"/>
      <c r="B60" s="964" t="s">
        <v>1324</v>
      </c>
      <c r="C60" s="948" t="s">
        <v>1261</v>
      </c>
      <c r="D60" s="949">
        <v>3.0</v>
      </c>
      <c r="E60" s="951">
        <v>0.5</v>
      </c>
      <c r="F60" s="951">
        <f t="shared" si="1"/>
        <v>10.5</v>
      </c>
      <c r="G60" s="950" t="str">
        <f t="shared" si="5"/>
        <v>0.5x+9</v>
      </c>
      <c r="H60" s="952">
        <v>9.0</v>
      </c>
      <c r="I60" s="952">
        <f t="shared" si="2"/>
        <v>26</v>
      </c>
      <c r="J60" s="953" t="s">
        <v>1263</v>
      </c>
      <c r="K60" s="954" t="s">
        <v>1238</v>
      </c>
      <c r="L60" s="955">
        <f t="shared" si="3"/>
        <v>10.5</v>
      </c>
      <c r="M60" s="955">
        <f>L60*'Материалы и инструменты'!$D$63</f>
        <v>0.105</v>
      </c>
      <c r="N60" s="956">
        <f t="shared" si="4"/>
        <v>61.007</v>
      </c>
      <c r="O60" s="441"/>
      <c r="P60" s="441"/>
      <c r="Q60" s="441"/>
      <c r="R60" s="441"/>
      <c r="S60" s="441"/>
      <c r="T60" s="441"/>
      <c r="U60" s="441"/>
      <c r="V60" s="441"/>
      <c r="W60" s="441"/>
      <c r="X60" s="441"/>
      <c r="Y60" s="441"/>
      <c r="Z60" s="441"/>
      <c r="AA60" s="441"/>
      <c r="AB60" s="441"/>
      <c r="AC60" s="441"/>
      <c r="AD60" s="441"/>
      <c r="AE60" s="441"/>
    </row>
    <row r="61">
      <c r="A61" s="928"/>
      <c r="B61" s="964" t="s">
        <v>1325</v>
      </c>
      <c r="C61" s="948" t="s">
        <v>1261</v>
      </c>
      <c r="D61" s="949">
        <v>7.0</v>
      </c>
      <c r="E61" s="951">
        <v>0.5</v>
      </c>
      <c r="F61" s="951">
        <f t="shared" si="1"/>
        <v>12.5</v>
      </c>
      <c r="G61" s="950" t="str">
        <f t="shared" si="5"/>
        <v>0.5x+9</v>
      </c>
      <c r="H61" s="952">
        <v>9.0</v>
      </c>
      <c r="I61" s="952">
        <f t="shared" si="2"/>
        <v>26</v>
      </c>
      <c r="J61" s="953" t="s">
        <v>1263</v>
      </c>
      <c r="K61" s="954" t="s">
        <v>1238</v>
      </c>
      <c r="L61" s="955">
        <f t="shared" si="3"/>
        <v>12.5</v>
      </c>
      <c r="M61" s="955">
        <f>L61*'Материалы и инструменты'!$D$63</f>
        <v>0.125</v>
      </c>
      <c r="N61" s="956">
        <f t="shared" si="4"/>
        <v>122.587</v>
      </c>
      <c r="O61" s="441"/>
      <c r="P61" s="441"/>
      <c r="Q61" s="441"/>
      <c r="R61" s="441"/>
      <c r="S61" s="441"/>
      <c r="T61" s="441"/>
      <c r="U61" s="441"/>
      <c r="V61" s="441"/>
      <c r="W61" s="441"/>
      <c r="X61" s="441"/>
      <c r="Y61" s="441"/>
      <c r="Z61" s="441"/>
      <c r="AA61" s="441"/>
      <c r="AB61" s="441"/>
      <c r="AC61" s="441"/>
      <c r="AD61" s="441"/>
      <c r="AE61" s="441"/>
    </row>
    <row r="62">
      <c r="A62" s="928"/>
      <c r="B62" s="965" t="s">
        <v>1326</v>
      </c>
      <c r="C62" s="948" t="s">
        <v>1264</v>
      </c>
      <c r="D62" s="950">
        <v>2.0</v>
      </c>
      <c r="E62" s="951">
        <v>0.5</v>
      </c>
      <c r="F62" s="951">
        <f t="shared" si="1"/>
        <v>2</v>
      </c>
      <c r="G62" s="950" t="str">
        <f t="shared" si="5"/>
        <v>0.5x+1</v>
      </c>
      <c r="H62" s="950">
        <v>1.0</v>
      </c>
      <c r="I62" s="952">
        <f t="shared" si="2"/>
        <v>10</v>
      </c>
      <c r="J62" s="953" t="s">
        <v>1237</v>
      </c>
      <c r="K62" s="954" t="s">
        <v>1238</v>
      </c>
      <c r="L62" s="955">
        <f t="shared" si="3"/>
        <v>2</v>
      </c>
      <c r="M62" s="955">
        <f>L62*'Материалы и инструменты'!$D$63</f>
        <v>0.02</v>
      </c>
      <c r="N62" s="956">
        <f t="shared" si="4"/>
        <v>0.372</v>
      </c>
      <c r="O62" s="441"/>
      <c r="P62" s="441"/>
      <c r="Q62" s="441"/>
      <c r="R62" s="441"/>
      <c r="S62" s="441"/>
      <c r="T62" s="441"/>
      <c r="U62" s="441"/>
      <c r="V62" s="441"/>
      <c r="W62" s="441"/>
      <c r="X62" s="441"/>
      <c r="Y62" s="441"/>
      <c r="Z62" s="441"/>
      <c r="AA62" s="441"/>
      <c r="AB62" s="441"/>
      <c r="AC62" s="441"/>
      <c r="AD62" s="441"/>
      <c r="AE62" s="441"/>
    </row>
    <row r="63">
      <c r="A63" s="928"/>
      <c r="B63" s="965" t="s">
        <v>1327</v>
      </c>
      <c r="C63" s="948" t="s">
        <v>1266</v>
      </c>
      <c r="D63" s="950">
        <v>2.0</v>
      </c>
      <c r="E63" s="951">
        <v>0.5</v>
      </c>
      <c r="F63" s="951">
        <f t="shared" si="1"/>
        <v>3</v>
      </c>
      <c r="G63" s="950" t="str">
        <f t="shared" si="5"/>
        <v>0.5x+2</v>
      </c>
      <c r="H63" s="950">
        <v>2.0</v>
      </c>
      <c r="I63" s="952">
        <f t="shared" si="2"/>
        <v>12</v>
      </c>
      <c r="J63" s="953" t="s">
        <v>1237</v>
      </c>
      <c r="K63" s="954" t="s">
        <v>1238</v>
      </c>
      <c r="L63" s="955">
        <f t="shared" si="3"/>
        <v>3</v>
      </c>
      <c r="M63" s="955">
        <f>L63*'Материалы и инструменты'!$D$63</f>
        <v>0.03</v>
      </c>
      <c r="N63" s="956">
        <f t="shared" si="4"/>
        <v>0.902</v>
      </c>
      <c r="O63" s="441"/>
      <c r="P63" s="441"/>
      <c r="Q63" s="441"/>
      <c r="R63" s="441"/>
      <c r="S63" s="441"/>
      <c r="T63" s="441"/>
      <c r="U63" s="441"/>
      <c r="V63" s="441"/>
      <c r="W63" s="441"/>
      <c r="X63" s="441"/>
      <c r="Y63" s="441"/>
      <c r="Z63" s="441"/>
      <c r="AA63" s="441"/>
      <c r="AB63" s="441"/>
      <c r="AC63" s="441"/>
      <c r="AD63" s="441"/>
      <c r="AE63" s="441"/>
    </row>
    <row r="64">
      <c r="A64" s="928"/>
      <c r="B64" s="965" t="s">
        <v>1328</v>
      </c>
      <c r="C64" s="948" t="s">
        <v>1268</v>
      </c>
      <c r="D64" s="950">
        <v>2.0</v>
      </c>
      <c r="E64" s="951">
        <v>0.5</v>
      </c>
      <c r="F64" s="951">
        <f t="shared" si="1"/>
        <v>4</v>
      </c>
      <c r="G64" s="950" t="str">
        <f t="shared" si="5"/>
        <v>0.5x+3</v>
      </c>
      <c r="H64" s="950">
        <v>3.0</v>
      </c>
      <c r="I64" s="952">
        <f t="shared" si="2"/>
        <v>14</v>
      </c>
      <c r="J64" s="953" t="s">
        <v>1237</v>
      </c>
      <c r="K64" s="954" t="s">
        <v>1238</v>
      </c>
      <c r="L64" s="955">
        <f t="shared" si="3"/>
        <v>4</v>
      </c>
      <c r="M64" s="955">
        <f>L64*'Материалы и инструменты'!$D$63</f>
        <v>0.04</v>
      </c>
      <c r="N64" s="956">
        <f t="shared" si="4"/>
        <v>2.352</v>
      </c>
      <c r="O64" s="441"/>
      <c r="P64" s="441"/>
      <c r="Q64" s="441"/>
      <c r="R64" s="441"/>
      <c r="S64" s="441"/>
      <c r="T64" s="441"/>
      <c r="U64" s="441"/>
      <c r="V64" s="441"/>
      <c r="W64" s="441"/>
      <c r="X64" s="441"/>
      <c r="Y64" s="441"/>
      <c r="Z64" s="441"/>
      <c r="AA64" s="441"/>
      <c r="AB64" s="441"/>
      <c r="AC64" s="441"/>
      <c r="AD64" s="441"/>
      <c r="AE64" s="441"/>
    </row>
    <row r="65">
      <c r="A65" s="928"/>
      <c r="B65" s="965" t="s">
        <v>1329</v>
      </c>
      <c r="C65" s="948" t="s">
        <v>1270</v>
      </c>
      <c r="D65" s="950">
        <v>2.0</v>
      </c>
      <c r="E65" s="951">
        <v>0.5</v>
      </c>
      <c r="F65" s="951">
        <f t="shared" si="1"/>
        <v>5</v>
      </c>
      <c r="G65" s="950" t="str">
        <f t="shared" si="5"/>
        <v>0.5x+4</v>
      </c>
      <c r="H65" s="950">
        <v>4.0</v>
      </c>
      <c r="I65" s="952">
        <f t="shared" si="2"/>
        <v>16</v>
      </c>
      <c r="J65" s="953" t="s">
        <v>1250</v>
      </c>
      <c r="K65" s="954" t="s">
        <v>1238</v>
      </c>
      <c r="L65" s="955">
        <f t="shared" si="3"/>
        <v>5</v>
      </c>
      <c r="M65" s="955">
        <f>L65*'Материалы и инструменты'!$D$63</f>
        <v>0.05</v>
      </c>
      <c r="N65" s="956">
        <f t="shared" si="4"/>
        <v>6.122</v>
      </c>
      <c r="O65" s="441"/>
      <c r="P65" s="441"/>
      <c r="Q65" s="441"/>
      <c r="R65" s="441"/>
      <c r="S65" s="441"/>
      <c r="T65" s="441"/>
      <c r="U65" s="441"/>
      <c r="V65" s="441"/>
      <c r="W65" s="441"/>
      <c r="X65" s="441"/>
      <c r="Y65" s="441"/>
      <c r="Z65" s="441"/>
      <c r="AA65" s="441"/>
      <c r="AB65" s="441"/>
      <c r="AC65" s="441"/>
      <c r="AD65" s="441"/>
      <c r="AE65" s="441"/>
    </row>
    <row r="66">
      <c r="A66" s="928"/>
      <c r="B66" s="965" t="s">
        <v>1330</v>
      </c>
      <c r="C66" s="948" t="s">
        <v>1272</v>
      </c>
      <c r="D66" s="950">
        <v>2.0</v>
      </c>
      <c r="E66" s="951">
        <v>1.0</v>
      </c>
      <c r="F66" s="951">
        <f t="shared" si="1"/>
        <v>7</v>
      </c>
      <c r="G66" s="950" t="str">
        <f t="shared" si="5"/>
        <v>1x+5</v>
      </c>
      <c r="H66" s="950">
        <v>5.0</v>
      </c>
      <c r="I66" s="952">
        <f t="shared" si="2"/>
        <v>18</v>
      </c>
      <c r="J66" s="953" t="s">
        <v>1250</v>
      </c>
      <c r="K66" s="954" t="s">
        <v>1238</v>
      </c>
      <c r="L66" s="955">
        <f t="shared" si="3"/>
        <v>7</v>
      </c>
      <c r="M66" s="955">
        <f>L66*'Материалы и инструменты'!$D$63</f>
        <v>0.07</v>
      </c>
      <c r="N66" s="956">
        <f t="shared" si="4"/>
        <v>16.682</v>
      </c>
      <c r="O66" s="441"/>
      <c r="P66" s="441"/>
      <c r="Q66" s="441"/>
      <c r="R66" s="441"/>
      <c r="S66" s="441"/>
      <c r="T66" s="441"/>
      <c r="U66" s="441"/>
      <c r="V66" s="441"/>
      <c r="W66" s="441"/>
      <c r="X66" s="441"/>
      <c r="Y66" s="441"/>
      <c r="Z66" s="441"/>
      <c r="AA66" s="441"/>
      <c r="AB66" s="441"/>
      <c r="AC66" s="441"/>
      <c r="AD66" s="441"/>
      <c r="AE66" s="441"/>
    </row>
    <row r="67">
      <c r="A67" s="928"/>
      <c r="B67" s="965" t="s">
        <v>1331</v>
      </c>
      <c r="C67" s="948" t="s">
        <v>1274</v>
      </c>
      <c r="D67" s="950">
        <v>2.0</v>
      </c>
      <c r="E67" s="951">
        <v>1.0</v>
      </c>
      <c r="F67" s="951">
        <f t="shared" si="1"/>
        <v>8</v>
      </c>
      <c r="G67" s="950" t="str">
        <f t="shared" si="5"/>
        <v>1x+6</v>
      </c>
      <c r="H67" s="950">
        <v>6.0</v>
      </c>
      <c r="I67" s="952">
        <f t="shared" si="2"/>
        <v>20</v>
      </c>
      <c r="J67" s="953" t="s">
        <v>1250</v>
      </c>
      <c r="K67" s="954" t="s">
        <v>1238</v>
      </c>
      <c r="L67" s="955">
        <f t="shared" si="3"/>
        <v>8</v>
      </c>
      <c r="M67" s="955">
        <f>L67*'Материалы и инструменты'!$D$63</f>
        <v>0.08</v>
      </c>
      <c r="N67" s="956">
        <f t="shared" si="4"/>
        <v>44.872</v>
      </c>
      <c r="O67" s="441"/>
      <c r="P67" s="441"/>
      <c r="Q67" s="441"/>
      <c r="R67" s="441"/>
      <c r="S67" s="441"/>
      <c r="T67" s="441"/>
      <c r="U67" s="441"/>
      <c r="V67" s="441"/>
      <c r="W67" s="441"/>
      <c r="X67" s="441"/>
      <c r="Y67" s="441"/>
      <c r="Z67" s="441"/>
      <c r="AA67" s="441"/>
      <c r="AB67" s="441"/>
      <c r="AC67" s="441"/>
      <c r="AD67" s="441"/>
      <c r="AE67" s="441"/>
    </row>
    <row r="68">
      <c r="A68" s="928"/>
      <c r="B68" s="965" t="s">
        <v>1332</v>
      </c>
      <c r="C68" s="966" t="s">
        <v>1276</v>
      </c>
      <c r="D68" s="950">
        <v>2.0</v>
      </c>
      <c r="E68" s="951">
        <v>1.0</v>
      </c>
      <c r="F68" s="951">
        <f t="shared" si="1"/>
        <v>9</v>
      </c>
      <c r="G68" s="950" t="str">
        <f t="shared" si="5"/>
        <v>1x+7</v>
      </c>
      <c r="H68" s="950">
        <v>7.0</v>
      </c>
      <c r="I68" s="952">
        <f t="shared" si="2"/>
        <v>22</v>
      </c>
      <c r="J68" s="953" t="s">
        <v>1263</v>
      </c>
      <c r="K68" s="954" t="s">
        <v>1238</v>
      </c>
      <c r="L68" s="955">
        <f t="shared" si="3"/>
        <v>9</v>
      </c>
      <c r="M68" s="955">
        <f>L68*'Материалы и инструменты'!$D$63</f>
        <v>0.09</v>
      </c>
      <c r="N68" s="956">
        <f t="shared" si="4"/>
        <v>125.702</v>
      </c>
      <c r="O68" s="441"/>
      <c r="P68" s="441"/>
      <c r="Q68" s="441"/>
      <c r="R68" s="441"/>
      <c r="S68" s="441"/>
      <c r="T68" s="441"/>
      <c r="U68" s="441"/>
      <c r="V68" s="441"/>
      <c r="W68" s="441"/>
      <c r="X68" s="441"/>
      <c r="Y68" s="441"/>
      <c r="Z68" s="441"/>
      <c r="AA68" s="441"/>
      <c r="AB68" s="441"/>
      <c r="AC68" s="441"/>
      <c r="AD68" s="441"/>
      <c r="AE68" s="441"/>
    </row>
    <row r="69">
      <c r="A69" s="928"/>
      <c r="B69" s="965" t="s">
        <v>1333</v>
      </c>
      <c r="C69" s="966" t="s">
        <v>1278</v>
      </c>
      <c r="D69" s="950">
        <v>2.0</v>
      </c>
      <c r="E69" s="951">
        <v>1.0</v>
      </c>
      <c r="F69" s="951">
        <f t="shared" si="1"/>
        <v>10</v>
      </c>
      <c r="G69" s="950" t="str">
        <f t="shared" si="5"/>
        <v>1x+8</v>
      </c>
      <c r="H69" s="950">
        <v>8.0</v>
      </c>
      <c r="I69" s="952">
        <f t="shared" si="2"/>
        <v>24</v>
      </c>
      <c r="J69" s="953" t="s">
        <v>1263</v>
      </c>
      <c r="K69" s="954" t="s">
        <v>1238</v>
      </c>
      <c r="L69" s="955">
        <f t="shared" si="3"/>
        <v>10</v>
      </c>
      <c r="M69" s="955">
        <f>L69*'Материалы и инструменты'!$D$63</f>
        <v>0.1</v>
      </c>
      <c r="N69" s="956">
        <f t="shared" si="4"/>
        <v>362.972</v>
      </c>
      <c r="O69" s="441"/>
      <c r="P69" s="441"/>
      <c r="Q69" s="441"/>
      <c r="R69" s="441"/>
      <c r="S69" s="441"/>
      <c r="T69" s="441"/>
      <c r="U69" s="441"/>
      <c r="V69" s="441"/>
      <c r="W69" s="441"/>
      <c r="X69" s="441"/>
      <c r="Y69" s="441"/>
      <c r="Z69" s="441"/>
      <c r="AA69" s="441"/>
      <c r="AB69" s="441"/>
      <c r="AC69" s="441"/>
      <c r="AD69" s="441"/>
      <c r="AE69" s="441"/>
    </row>
    <row r="70">
      <c r="A70" s="928"/>
      <c r="B70" s="965" t="s">
        <v>1334</v>
      </c>
      <c r="C70" s="966" t="s">
        <v>1280</v>
      </c>
      <c r="D70" s="950">
        <v>2.0</v>
      </c>
      <c r="E70" s="951">
        <v>1.0</v>
      </c>
      <c r="F70" s="951">
        <f t="shared" si="1"/>
        <v>11</v>
      </c>
      <c r="G70" s="950" t="str">
        <f t="shared" si="5"/>
        <v>1x+9</v>
      </c>
      <c r="H70" s="950">
        <v>9.0</v>
      </c>
      <c r="I70" s="952">
        <f t="shared" si="2"/>
        <v>26</v>
      </c>
      <c r="J70" s="953" t="s">
        <v>1263</v>
      </c>
      <c r="K70" s="954" t="s">
        <v>1238</v>
      </c>
      <c r="L70" s="955">
        <f t="shared" si="3"/>
        <v>11</v>
      </c>
      <c r="M70" s="955">
        <f>L70*'Материалы и инструменты'!$D$63</f>
        <v>0.11</v>
      </c>
      <c r="N70" s="956">
        <f t="shared" si="4"/>
        <v>1067.842</v>
      </c>
      <c r="O70" s="441"/>
      <c r="P70" s="441"/>
      <c r="Q70" s="441"/>
      <c r="R70" s="441"/>
      <c r="S70" s="441"/>
      <c r="T70" s="441"/>
      <c r="U70" s="441"/>
      <c r="V70" s="441"/>
      <c r="W70" s="441"/>
      <c r="X70" s="441"/>
      <c r="Y70" s="441"/>
      <c r="Z70" s="441"/>
      <c r="AA70" s="441"/>
      <c r="AB70" s="441"/>
      <c r="AC70" s="441"/>
      <c r="AD70" s="441"/>
      <c r="AE70" s="441"/>
    </row>
    <row r="71">
      <c r="A71" s="928"/>
      <c r="B71" s="967" t="s">
        <v>1335</v>
      </c>
      <c r="C71" s="948" t="s">
        <v>1282</v>
      </c>
      <c r="D71" s="950">
        <v>2.0</v>
      </c>
      <c r="E71" s="950">
        <v>0.25</v>
      </c>
      <c r="F71" s="951">
        <f t="shared" si="1"/>
        <v>1.5</v>
      </c>
      <c r="G71" s="950" t="str">
        <f t="shared" si="5"/>
        <v>0.25x+1</v>
      </c>
      <c r="H71" s="950">
        <v>1.0</v>
      </c>
      <c r="I71" s="952">
        <f t="shared" si="2"/>
        <v>10</v>
      </c>
      <c r="J71" s="953" t="s">
        <v>1237</v>
      </c>
      <c r="K71" s="954" t="s">
        <v>1238</v>
      </c>
      <c r="L71" s="955">
        <f t="shared" si="3"/>
        <v>1.5</v>
      </c>
      <c r="M71" s="955">
        <f>L71*'Материалы и инструменты'!$D$63</f>
        <v>0.015</v>
      </c>
      <c r="N71" s="956">
        <f t="shared" si="4"/>
        <v>0.297</v>
      </c>
      <c r="O71" s="441"/>
      <c r="P71" s="441"/>
      <c r="Q71" s="441"/>
      <c r="R71" s="441"/>
      <c r="S71" s="441"/>
      <c r="T71" s="441"/>
      <c r="U71" s="441"/>
      <c r="V71" s="441"/>
      <c r="W71" s="441"/>
      <c r="X71" s="441"/>
      <c r="Y71" s="441"/>
      <c r="Z71" s="441"/>
      <c r="AA71" s="441"/>
      <c r="AB71" s="441"/>
      <c r="AC71" s="441"/>
      <c r="AD71" s="441"/>
      <c r="AE71" s="441"/>
    </row>
    <row r="72">
      <c r="A72" s="928"/>
      <c r="B72" s="967" t="s">
        <v>1336</v>
      </c>
      <c r="C72" s="948" t="s">
        <v>1284</v>
      </c>
      <c r="D72" s="950">
        <v>2.0</v>
      </c>
      <c r="E72" s="950">
        <v>0.25</v>
      </c>
      <c r="F72" s="951">
        <f t="shared" si="1"/>
        <v>2.5</v>
      </c>
      <c r="G72" s="950" t="str">
        <f t="shared" si="5"/>
        <v>0.25x+2</v>
      </c>
      <c r="H72" s="950">
        <v>2.0</v>
      </c>
      <c r="I72" s="952">
        <f t="shared" si="2"/>
        <v>12</v>
      </c>
      <c r="J72" s="953" t="s">
        <v>1237</v>
      </c>
      <c r="K72" s="954" t="s">
        <v>1238</v>
      </c>
      <c r="L72" s="955">
        <f t="shared" si="3"/>
        <v>2.5</v>
      </c>
      <c r="M72" s="955">
        <f>L72*'Материалы и инструменты'!$D$63</f>
        <v>0.025</v>
      </c>
      <c r="N72" s="956">
        <f t="shared" si="4"/>
        <v>0.677</v>
      </c>
      <c r="O72" s="441"/>
      <c r="P72" s="441"/>
      <c r="Q72" s="441"/>
      <c r="R72" s="441"/>
      <c r="S72" s="441"/>
      <c r="T72" s="441"/>
      <c r="U72" s="441"/>
      <c r="V72" s="441"/>
      <c r="W72" s="441"/>
      <c r="X72" s="441"/>
      <c r="Y72" s="441"/>
      <c r="Z72" s="441"/>
      <c r="AA72" s="441"/>
      <c r="AB72" s="441"/>
      <c r="AC72" s="441"/>
      <c r="AD72" s="441"/>
      <c r="AE72" s="441"/>
    </row>
    <row r="73">
      <c r="A73" s="928"/>
      <c r="B73" s="967" t="s">
        <v>1337</v>
      </c>
      <c r="C73" s="948" t="s">
        <v>1286</v>
      </c>
      <c r="D73" s="950">
        <v>2.0</v>
      </c>
      <c r="E73" s="950">
        <v>0.25</v>
      </c>
      <c r="F73" s="951">
        <f t="shared" si="1"/>
        <v>3.5</v>
      </c>
      <c r="G73" s="950" t="str">
        <f t="shared" si="5"/>
        <v>0.25x+3</v>
      </c>
      <c r="H73" s="950">
        <v>3.0</v>
      </c>
      <c r="I73" s="952">
        <f t="shared" si="2"/>
        <v>14</v>
      </c>
      <c r="J73" s="953" t="s">
        <v>1237</v>
      </c>
      <c r="K73" s="954" t="s">
        <v>1238</v>
      </c>
      <c r="L73" s="955">
        <f t="shared" si="3"/>
        <v>3.5</v>
      </c>
      <c r="M73" s="955">
        <f>L73*'Материалы и инструменты'!$D$63</f>
        <v>0.035</v>
      </c>
      <c r="N73" s="956">
        <f t="shared" si="4"/>
        <v>1.717</v>
      </c>
      <c r="O73" s="441"/>
      <c r="P73" s="441"/>
      <c r="Q73" s="441"/>
      <c r="R73" s="441"/>
      <c r="S73" s="441"/>
      <c r="T73" s="441"/>
      <c r="U73" s="441"/>
      <c r="V73" s="441"/>
      <c r="W73" s="441"/>
      <c r="X73" s="441"/>
      <c r="Y73" s="441"/>
      <c r="Z73" s="441"/>
      <c r="AA73" s="441"/>
      <c r="AB73" s="441"/>
      <c r="AC73" s="441"/>
      <c r="AD73" s="441"/>
      <c r="AE73" s="441"/>
    </row>
    <row r="74">
      <c r="A74" s="928"/>
      <c r="B74" s="967" t="s">
        <v>1338</v>
      </c>
      <c r="C74" s="948" t="s">
        <v>1288</v>
      </c>
      <c r="D74" s="950">
        <v>2.0</v>
      </c>
      <c r="E74" s="950">
        <v>0.25</v>
      </c>
      <c r="F74" s="951">
        <f t="shared" si="1"/>
        <v>4.5</v>
      </c>
      <c r="G74" s="950" t="str">
        <f t="shared" si="5"/>
        <v>0.25x+4</v>
      </c>
      <c r="H74" s="950">
        <v>4.0</v>
      </c>
      <c r="I74" s="952">
        <f t="shared" si="2"/>
        <v>16</v>
      </c>
      <c r="J74" s="953" t="s">
        <v>1250</v>
      </c>
      <c r="K74" s="954" t="s">
        <v>1238</v>
      </c>
      <c r="L74" s="955">
        <f t="shared" si="3"/>
        <v>4.5</v>
      </c>
      <c r="M74" s="955">
        <f>L74*'Материалы и инструменты'!$D$63</f>
        <v>0.045</v>
      </c>
      <c r="N74" s="956">
        <f t="shared" si="4"/>
        <v>4.337</v>
      </c>
      <c r="O74" s="441"/>
      <c r="P74" s="441"/>
      <c r="Q74" s="441"/>
      <c r="R74" s="441"/>
      <c r="S74" s="441"/>
      <c r="T74" s="441"/>
      <c r="U74" s="441"/>
      <c r="V74" s="441"/>
      <c r="W74" s="441"/>
      <c r="X74" s="441"/>
      <c r="Y74" s="441"/>
      <c r="Z74" s="441"/>
      <c r="AA74" s="441"/>
      <c r="AB74" s="441"/>
      <c r="AC74" s="441"/>
      <c r="AD74" s="441"/>
      <c r="AE74" s="441"/>
    </row>
    <row r="75">
      <c r="A75" s="928"/>
      <c r="B75" s="967" t="s">
        <v>1339</v>
      </c>
      <c r="C75" s="948" t="s">
        <v>1290</v>
      </c>
      <c r="D75" s="950">
        <v>2.0</v>
      </c>
      <c r="E75" s="951">
        <v>0.5</v>
      </c>
      <c r="F75" s="951">
        <f t="shared" si="1"/>
        <v>6</v>
      </c>
      <c r="G75" s="950" t="str">
        <f t="shared" si="5"/>
        <v>0.5x+5</v>
      </c>
      <c r="H75" s="950">
        <v>5.0</v>
      </c>
      <c r="I75" s="952">
        <f t="shared" si="2"/>
        <v>18</v>
      </c>
      <c r="J75" s="953" t="s">
        <v>1250</v>
      </c>
      <c r="K75" s="954" t="s">
        <v>1238</v>
      </c>
      <c r="L75" s="955">
        <f t="shared" si="3"/>
        <v>6</v>
      </c>
      <c r="M75" s="955">
        <f>L75*'Материалы и инструменты'!$D$63</f>
        <v>0.06</v>
      </c>
      <c r="N75" s="956">
        <f t="shared" si="4"/>
        <v>11.312</v>
      </c>
      <c r="O75" s="441"/>
      <c r="P75" s="441"/>
      <c r="Q75" s="441"/>
      <c r="R75" s="441"/>
      <c r="S75" s="441"/>
      <c r="T75" s="441"/>
      <c r="U75" s="441"/>
      <c r="V75" s="441"/>
      <c r="W75" s="441"/>
      <c r="X75" s="441"/>
      <c r="Y75" s="441"/>
      <c r="Z75" s="441"/>
      <c r="AA75" s="441"/>
      <c r="AB75" s="441"/>
      <c r="AC75" s="441"/>
      <c r="AD75" s="441"/>
      <c r="AE75" s="441"/>
    </row>
    <row r="76">
      <c r="A76" s="928"/>
      <c r="B76" s="967" t="s">
        <v>1340</v>
      </c>
      <c r="C76" s="948" t="s">
        <v>1292</v>
      </c>
      <c r="D76" s="950">
        <v>2.0</v>
      </c>
      <c r="E76" s="951">
        <v>0.5</v>
      </c>
      <c r="F76" s="951">
        <f t="shared" si="1"/>
        <v>7</v>
      </c>
      <c r="G76" s="950" t="str">
        <f t="shared" si="5"/>
        <v>0.5x+6</v>
      </c>
      <c r="H76" s="950">
        <v>6.0</v>
      </c>
      <c r="I76" s="952">
        <f t="shared" si="2"/>
        <v>20</v>
      </c>
      <c r="J76" s="953" t="s">
        <v>1250</v>
      </c>
      <c r="K76" s="954" t="s">
        <v>1238</v>
      </c>
      <c r="L76" s="955">
        <f t="shared" si="3"/>
        <v>7</v>
      </c>
      <c r="M76" s="955">
        <f>L76*'Материалы и инструменты'!$D$63</f>
        <v>0.07</v>
      </c>
      <c r="N76" s="956">
        <f t="shared" si="4"/>
        <v>29.562</v>
      </c>
      <c r="O76" s="441"/>
      <c r="P76" s="441"/>
      <c r="Q76" s="441"/>
      <c r="R76" s="441"/>
      <c r="S76" s="441"/>
      <c r="T76" s="441"/>
      <c r="U76" s="441"/>
      <c r="V76" s="441"/>
      <c r="W76" s="441"/>
      <c r="X76" s="441"/>
      <c r="Y76" s="441"/>
      <c r="Z76" s="441"/>
      <c r="AA76" s="441"/>
      <c r="AB76" s="441"/>
      <c r="AC76" s="441"/>
      <c r="AD76" s="441"/>
      <c r="AE76" s="441"/>
    </row>
    <row r="77">
      <c r="A77" s="928"/>
      <c r="B77" s="967" t="s">
        <v>1341</v>
      </c>
      <c r="C77" s="966" t="s">
        <v>1294</v>
      </c>
      <c r="D77" s="950">
        <v>2.0</v>
      </c>
      <c r="E77" s="951">
        <v>0.5</v>
      </c>
      <c r="F77" s="951">
        <f t="shared" si="1"/>
        <v>8</v>
      </c>
      <c r="G77" s="950" t="str">
        <f t="shared" si="5"/>
        <v>0.5x+7</v>
      </c>
      <c r="H77" s="950">
        <v>7.0</v>
      </c>
      <c r="I77" s="952">
        <f t="shared" si="2"/>
        <v>22</v>
      </c>
      <c r="J77" s="953" t="s">
        <v>1263</v>
      </c>
      <c r="K77" s="954" t="s">
        <v>1238</v>
      </c>
      <c r="L77" s="955">
        <f t="shared" si="3"/>
        <v>8</v>
      </c>
      <c r="M77" s="955">
        <f>L77*'Материалы и инструменты'!$D$63</f>
        <v>0.08</v>
      </c>
      <c r="N77" s="956">
        <f t="shared" si="4"/>
        <v>80.972</v>
      </c>
      <c r="O77" s="441"/>
      <c r="P77" s="441"/>
      <c r="Q77" s="441"/>
      <c r="R77" s="441"/>
      <c r="S77" s="441"/>
      <c r="T77" s="441"/>
      <c r="U77" s="441"/>
      <c r="V77" s="441"/>
      <c r="W77" s="441"/>
      <c r="X77" s="441"/>
      <c r="Y77" s="441"/>
      <c r="Z77" s="441"/>
      <c r="AA77" s="441"/>
      <c r="AB77" s="441"/>
      <c r="AC77" s="441"/>
      <c r="AD77" s="441"/>
      <c r="AE77" s="441"/>
    </row>
    <row r="78">
      <c r="A78" s="928"/>
      <c r="B78" s="967" t="s">
        <v>1342</v>
      </c>
      <c r="C78" s="966" t="s">
        <v>1296</v>
      </c>
      <c r="D78" s="950">
        <v>2.0</v>
      </c>
      <c r="E78" s="951">
        <v>0.5</v>
      </c>
      <c r="F78" s="951">
        <f t="shared" si="1"/>
        <v>9</v>
      </c>
      <c r="G78" s="950" t="str">
        <f t="shared" si="5"/>
        <v>0.5x+8</v>
      </c>
      <c r="H78" s="950">
        <v>8.0</v>
      </c>
      <c r="I78" s="952">
        <f t="shared" si="2"/>
        <v>24</v>
      </c>
      <c r="J78" s="953" t="s">
        <v>1263</v>
      </c>
      <c r="K78" s="954" t="s">
        <v>1238</v>
      </c>
      <c r="L78" s="955">
        <f t="shared" si="3"/>
        <v>9</v>
      </c>
      <c r="M78" s="955">
        <f>L78*'Материалы и инструменты'!$D$63</f>
        <v>0.09</v>
      </c>
      <c r="N78" s="956">
        <f t="shared" si="4"/>
        <v>230.462</v>
      </c>
      <c r="O78" s="441"/>
      <c r="P78" s="441"/>
      <c r="Q78" s="441"/>
      <c r="R78" s="441"/>
      <c r="S78" s="441"/>
      <c r="T78" s="968" t="s">
        <v>1343</v>
      </c>
      <c r="U78" s="441"/>
      <c r="V78" s="441"/>
      <c r="W78" s="441"/>
      <c r="X78" s="441"/>
      <c r="Y78" s="441"/>
      <c r="Z78" s="441"/>
      <c r="AA78" s="441"/>
      <c r="AB78" s="441"/>
      <c r="AC78" s="441"/>
      <c r="AD78" s="441"/>
      <c r="AE78" s="441"/>
    </row>
    <row r="79">
      <c r="A79" s="928"/>
      <c r="B79" s="967" t="s">
        <v>1344</v>
      </c>
      <c r="C79" s="966" t="s">
        <v>1298</v>
      </c>
      <c r="D79" s="950">
        <v>2.0</v>
      </c>
      <c r="E79" s="951">
        <v>0.5</v>
      </c>
      <c r="F79" s="951">
        <f t="shared" si="1"/>
        <v>10</v>
      </c>
      <c r="G79" s="950" t="str">
        <f t="shared" si="5"/>
        <v>0.5x+9</v>
      </c>
      <c r="H79" s="950">
        <v>9.0</v>
      </c>
      <c r="I79" s="952">
        <f t="shared" si="2"/>
        <v>26</v>
      </c>
      <c r="J79" s="953" t="s">
        <v>1263</v>
      </c>
      <c r="K79" s="954" t="s">
        <v>1238</v>
      </c>
      <c r="L79" s="955">
        <f t="shared" si="3"/>
        <v>10</v>
      </c>
      <c r="M79" s="955">
        <f>L79*'Материалы и инструменты'!$D$63</f>
        <v>0.1</v>
      </c>
      <c r="N79" s="956">
        <f t="shared" si="4"/>
        <v>672.552</v>
      </c>
      <c r="O79" s="969" t="s">
        <v>1345</v>
      </c>
      <c r="P79" s="969" t="s">
        <v>359</v>
      </c>
      <c r="Q79" s="441"/>
      <c r="R79" s="441"/>
      <c r="S79" s="441"/>
      <c r="T79" s="441"/>
      <c r="U79" s="441"/>
      <c r="V79" s="441"/>
      <c r="W79" s="441"/>
      <c r="X79" s="441"/>
      <c r="Y79" s="441"/>
      <c r="Z79" s="441"/>
      <c r="AA79" s="441"/>
      <c r="AB79" s="441"/>
      <c r="AC79" s="441"/>
      <c r="AD79" s="441"/>
      <c r="AE79" s="441"/>
    </row>
    <row r="80">
      <c r="A80" s="928"/>
      <c r="B80" s="970" t="s">
        <v>1346</v>
      </c>
      <c r="C80" s="971" t="s">
        <v>1347</v>
      </c>
      <c r="D80" s="972">
        <f>SUM(D81:D83)</f>
        <v>100</v>
      </c>
      <c r="E80" s="951"/>
      <c r="F80" s="973">
        <f>SUM(F81:F83)</f>
        <v>103</v>
      </c>
      <c r="G80" s="950"/>
      <c r="H80" s="950">
        <v>1.0</v>
      </c>
      <c r="I80" s="952">
        <f t="shared" si="2"/>
        <v>10</v>
      </c>
      <c r="J80" s="953" t="s">
        <v>1237</v>
      </c>
      <c r="K80" s="955"/>
      <c r="L80" s="955"/>
      <c r="M80" s="955"/>
      <c r="N80" s="956">
        <f>SUM(N81:N83)</f>
        <v>3.051</v>
      </c>
      <c r="O80" s="974">
        <f>N80/100</f>
        <v>0.03051</v>
      </c>
      <c r="P80" s="932">
        <f>F80/100</f>
        <v>1.03</v>
      </c>
      <c r="Q80" s="441"/>
      <c r="R80" s="441"/>
      <c r="S80" s="441"/>
      <c r="T80" s="975" t="s">
        <v>1348</v>
      </c>
      <c r="U80" s="441"/>
      <c r="V80" s="426"/>
      <c r="W80" s="441"/>
      <c r="X80" s="441"/>
      <c r="Y80" s="441"/>
      <c r="Z80" s="441"/>
      <c r="AA80" s="441"/>
      <c r="AB80" s="441"/>
      <c r="AC80" s="441"/>
      <c r="AD80" s="441"/>
      <c r="AE80" s="441"/>
    </row>
    <row r="81" hidden="1" outlineLevel="1">
      <c r="A81" s="928"/>
      <c r="B81" s="976"/>
      <c r="C81" s="977" t="s">
        <v>1300</v>
      </c>
      <c r="D81" s="950">
        <v>10.0</v>
      </c>
      <c r="E81" s="951">
        <v>1.0</v>
      </c>
      <c r="F81" s="951">
        <f t="shared" ref="F81:F83" si="10">D81*E81+H81</f>
        <v>11</v>
      </c>
      <c r="G81" s="950" t="str">
        <f t="shared" ref="G81:G83" si="11">CONCATENATE(E81,$G$3,$H$3,H81)</f>
        <v>1x+1</v>
      </c>
      <c r="H81" s="950">
        <v>1.0</v>
      </c>
      <c r="I81" s="952">
        <f t="shared" si="2"/>
        <v>10</v>
      </c>
      <c r="J81" s="978"/>
      <c r="K81" s="955"/>
      <c r="L81" s="955"/>
      <c r="M81" s="955"/>
      <c r="N81" s="979">
        <f t="shared" ref="N81:N83" si="12">$U$4+VLOOKUP(C81,$T$7:$U$40,2,FALSE)*D81+(0.02*H81)*H81*F81</f>
        <v>0.472</v>
      </c>
      <c r="O81" s="932"/>
      <c r="P81" s="441"/>
      <c r="Q81" s="441"/>
      <c r="R81" s="441"/>
      <c r="S81" s="441"/>
      <c r="T81" s="962" t="s">
        <v>1300</v>
      </c>
      <c r="U81" s="797">
        <v>0.1</v>
      </c>
      <c r="V81" s="441">
        <f t="shared" ref="V81:V83" si="13">U81*100</f>
        <v>10</v>
      </c>
      <c r="W81" s="441"/>
      <c r="X81" s="441"/>
      <c r="Y81" s="441"/>
      <c r="Z81" s="441"/>
      <c r="AA81" s="441"/>
      <c r="AB81" s="441"/>
      <c r="AC81" s="441"/>
      <c r="AD81" s="441"/>
      <c r="AE81" s="441"/>
    </row>
    <row r="82" hidden="1" outlineLevel="1">
      <c r="A82" s="928"/>
      <c r="B82" s="976"/>
      <c r="C82" s="977" t="s">
        <v>1302</v>
      </c>
      <c r="D82" s="950">
        <v>15.0</v>
      </c>
      <c r="E82" s="951">
        <v>1.0</v>
      </c>
      <c r="F82" s="951">
        <f t="shared" si="10"/>
        <v>16</v>
      </c>
      <c r="G82" s="950" t="str">
        <f t="shared" si="11"/>
        <v>1x+1</v>
      </c>
      <c r="H82" s="950">
        <v>1.0</v>
      </c>
      <c r="I82" s="952">
        <f t="shared" si="2"/>
        <v>10</v>
      </c>
      <c r="J82" s="978"/>
      <c r="K82" s="955"/>
      <c r="L82" s="955"/>
      <c r="M82" s="955"/>
      <c r="N82" s="979">
        <f t="shared" si="12"/>
        <v>0.532</v>
      </c>
      <c r="O82" s="932"/>
      <c r="P82" s="441"/>
      <c r="Q82" s="441"/>
      <c r="R82" s="441"/>
      <c r="S82" s="441"/>
      <c r="T82" s="962" t="s">
        <v>1302</v>
      </c>
      <c r="U82" s="441">
        <v>0.15</v>
      </c>
      <c r="V82" s="441">
        <f t="shared" si="13"/>
        <v>15</v>
      </c>
      <c r="W82" s="441"/>
      <c r="X82" s="441"/>
      <c r="Y82" s="441"/>
      <c r="Z82" s="441"/>
      <c r="AA82" s="441"/>
      <c r="AB82" s="441"/>
      <c r="AC82" s="441"/>
      <c r="AD82" s="441"/>
      <c r="AE82" s="441"/>
    </row>
    <row r="83" hidden="1" outlineLevel="1">
      <c r="A83" s="928"/>
      <c r="B83" s="428"/>
      <c r="C83" s="977" t="s">
        <v>1304</v>
      </c>
      <c r="D83" s="950">
        <v>75.0</v>
      </c>
      <c r="E83" s="951">
        <v>1.0</v>
      </c>
      <c r="F83" s="951">
        <f t="shared" si="10"/>
        <v>76</v>
      </c>
      <c r="G83" s="950" t="str">
        <f t="shared" si="11"/>
        <v>1x+1</v>
      </c>
      <c r="H83" s="950">
        <v>1.0</v>
      </c>
      <c r="I83" s="952">
        <f t="shared" si="2"/>
        <v>10</v>
      </c>
      <c r="J83" s="978"/>
      <c r="K83" s="955"/>
      <c r="L83" s="955"/>
      <c r="M83" s="955"/>
      <c r="N83" s="979">
        <f t="shared" si="12"/>
        <v>2.047</v>
      </c>
      <c r="O83" s="932"/>
      <c r="P83" s="441"/>
      <c r="Q83" s="441"/>
      <c r="R83" s="441"/>
      <c r="S83" s="441"/>
      <c r="T83" s="962" t="s">
        <v>1304</v>
      </c>
      <c r="U83" s="441">
        <v>0.75</v>
      </c>
      <c r="V83" s="441">
        <f t="shared" si="13"/>
        <v>75</v>
      </c>
      <c r="W83" s="441"/>
      <c r="X83" s="441"/>
      <c r="Y83" s="441"/>
      <c r="Z83" s="441"/>
      <c r="AA83" s="441"/>
      <c r="AB83" s="441"/>
      <c r="AC83" s="441"/>
      <c r="AD83" s="441"/>
      <c r="AE83" s="441"/>
    </row>
    <row r="84" collapsed="1">
      <c r="A84" s="928"/>
      <c r="B84" s="980" t="s">
        <v>1349</v>
      </c>
      <c r="C84" s="971" t="s">
        <v>1347</v>
      </c>
      <c r="D84" s="972">
        <f>SUM(D85:D87)</f>
        <v>100</v>
      </c>
      <c r="E84" s="951"/>
      <c r="F84" s="973">
        <f>SUM(F85:F87)</f>
        <v>612</v>
      </c>
      <c r="G84" s="950"/>
      <c r="H84" s="950">
        <v>4.0</v>
      </c>
      <c r="I84" s="952">
        <f t="shared" si="2"/>
        <v>16</v>
      </c>
      <c r="J84" s="953" t="s">
        <v>1250</v>
      </c>
      <c r="K84" s="955"/>
      <c r="L84" s="955"/>
      <c r="M84" s="955"/>
      <c r="N84" s="956">
        <f>SUM(N85:N87)</f>
        <v>196.793</v>
      </c>
      <c r="O84" s="974">
        <f>N84/100</f>
        <v>1.96793</v>
      </c>
      <c r="P84" s="932">
        <f>F84/100</f>
        <v>6.12</v>
      </c>
      <c r="Q84" s="441"/>
      <c r="R84" s="441"/>
      <c r="S84" s="441"/>
      <c r="T84" s="441"/>
      <c r="U84" s="441"/>
      <c r="V84" s="441"/>
      <c r="W84" s="441"/>
      <c r="X84" s="441"/>
      <c r="Y84" s="441"/>
      <c r="Z84" s="441"/>
      <c r="AA84" s="441"/>
      <c r="AB84" s="441"/>
      <c r="AC84" s="441"/>
      <c r="AD84" s="441"/>
      <c r="AE84" s="441"/>
    </row>
    <row r="85" hidden="1" outlineLevel="1">
      <c r="A85" s="928"/>
      <c r="B85" s="976"/>
      <c r="C85" s="962" t="s">
        <v>1300</v>
      </c>
      <c r="D85" s="981">
        <v>3.0</v>
      </c>
      <c r="E85" s="982">
        <v>6.0</v>
      </c>
      <c r="F85" s="981">
        <f t="shared" ref="F85:F87" si="14">D85*E85+H85</f>
        <v>22</v>
      </c>
      <c r="G85" s="950" t="str">
        <f t="shared" ref="G85:G87" si="15">CONCATENATE(E85,$G$3,$H$3,H85)</f>
        <v>6x+4</v>
      </c>
      <c r="H85" s="981">
        <v>4.0</v>
      </c>
      <c r="I85" s="983"/>
      <c r="J85" s="983"/>
      <c r="K85" s="983"/>
      <c r="L85" s="983"/>
      <c r="M85" s="983"/>
      <c r="N85" s="983">
        <f t="shared" ref="N85:N87" si="16">$U$4+VLOOKUP(C85,$T$7:$U$40,2,FALSE)*D85+(0.02*H85)*H85*F85</f>
        <v>7.222</v>
      </c>
      <c r="O85" s="932"/>
      <c r="P85" s="441"/>
      <c r="Q85" s="441"/>
      <c r="R85" s="441"/>
      <c r="S85" s="441"/>
      <c r="T85" s="975" t="s">
        <v>1350</v>
      </c>
      <c r="U85" s="441"/>
      <c r="V85" s="441"/>
      <c r="W85" s="441"/>
      <c r="X85" s="441"/>
      <c r="Y85" s="441"/>
      <c r="Z85" s="441"/>
      <c r="AA85" s="441"/>
      <c r="AB85" s="441"/>
      <c r="AC85" s="441"/>
      <c r="AD85" s="441"/>
      <c r="AE85" s="441"/>
    </row>
    <row r="86" hidden="1" outlineLevel="1">
      <c r="A86" s="928"/>
      <c r="B86" s="976"/>
      <c r="C86" s="962" t="s">
        <v>1302</v>
      </c>
      <c r="D86" s="981">
        <v>18.0</v>
      </c>
      <c r="E86" s="982">
        <v>6.0</v>
      </c>
      <c r="F86" s="981">
        <f t="shared" si="14"/>
        <v>112</v>
      </c>
      <c r="G86" s="950" t="str">
        <f t="shared" si="15"/>
        <v>6x+4</v>
      </c>
      <c r="H86" s="981">
        <v>4.0</v>
      </c>
      <c r="I86" s="983"/>
      <c r="J86" s="983"/>
      <c r="K86" s="983"/>
      <c r="L86" s="983"/>
      <c r="M86" s="983"/>
      <c r="N86" s="983">
        <f t="shared" si="16"/>
        <v>36.064</v>
      </c>
      <c r="O86" s="932"/>
      <c r="P86" s="441"/>
      <c r="Q86" s="441"/>
      <c r="R86" s="441"/>
      <c r="S86" s="441"/>
      <c r="T86" s="962" t="s">
        <v>1300</v>
      </c>
      <c r="U86" s="441">
        <v>0.03</v>
      </c>
      <c r="V86" s="441">
        <f t="shared" ref="V86:V88" si="17">U86*100</f>
        <v>3</v>
      </c>
      <c r="W86" s="441"/>
      <c r="X86" s="441"/>
      <c r="Y86" s="441"/>
      <c r="Z86" s="441"/>
      <c r="AA86" s="441"/>
      <c r="AB86" s="441"/>
      <c r="AC86" s="441"/>
      <c r="AD86" s="441"/>
      <c r="AE86" s="441"/>
    </row>
    <row r="87" hidden="1" outlineLevel="1">
      <c r="A87" s="928"/>
      <c r="B87" s="428"/>
      <c r="C87" s="962" t="s">
        <v>1304</v>
      </c>
      <c r="D87" s="981">
        <v>79.0</v>
      </c>
      <c r="E87" s="982">
        <v>6.0</v>
      </c>
      <c r="F87" s="981">
        <f t="shared" si="14"/>
        <v>478</v>
      </c>
      <c r="G87" s="950" t="str">
        <f t="shared" si="15"/>
        <v>6x+4</v>
      </c>
      <c r="H87" s="981">
        <v>4.0</v>
      </c>
      <c r="I87" s="983"/>
      <c r="J87" s="983"/>
      <c r="K87" s="983"/>
      <c r="L87" s="983"/>
      <c r="M87" s="983"/>
      <c r="N87" s="983">
        <f t="shared" si="16"/>
        <v>153.507</v>
      </c>
      <c r="O87" s="932"/>
      <c r="P87" s="441"/>
      <c r="Q87" s="441"/>
      <c r="R87" s="441"/>
      <c r="S87" s="441"/>
      <c r="T87" s="962" t="s">
        <v>1302</v>
      </c>
      <c r="U87" s="441">
        <v>0.18</v>
      </c>
      <c r="V87" s="441">
        <f t="shared" si="17"/>
        <v>18</v>
      </c>
      <c r="W87" s="441"/>
      <c r="X87" s="441"/>
      <c r="Y87" s="441"/>
      <c r="Z87" s="441"/>
      <c r="AA87" s="441"/>
      <c r="AB87" s="441"/>
      <c r="AC87" s="441"/>
      <c r="AD87" s="441"/>
      <c r="AE87" s="441"/>
    </row>
    <row r="88" collapsed="1">
      <c r="A88" s="928"/>
      <c r="B88" s="841"/>
      <c r="C88" s="441"/>
      <c r="D88" s="441"/>
      <c r="E88" s="441"/>
      <c r="F88" s="441"/>
      <c r="G88" s="441"/>
      <c r="H88" s="441"/>
      <c r="I88" s="441"/>
      <c r="J88" s="441"/>
      <c r="K88" s="441"/>
      <c r="L88" s="441"/>
      <c r="M88" s="441"/>
      <c r="N88" s="441"/>
      <c r="O88" s="441"/>
      <c r="P88" s="441"/>
      <c r="Q88" s="441"/>
      <c r="R88" s="441"/>
      <c r="S88" s="441"/>
      <c r="T88" s="962" t="s">
        <v>1304</v>
      </c>
      <c r="U88" s="441">
        <v>0.79</v>
      </c>
      <c r="V88" s="441">
        <f t="shared" si="17"/>
        <v>79</v>
      </c>
      <c r="W88" s="441"/>
      <c r="X88" s="441"/>
      <c r="Y88" s="441"/>
      <c r="Z88" s="441"/>
      <c r="AA88" s="441"/>
      <c r="AB88" s="441"/>
      <c r="AC88" s="441"/>
      <c r="AD88" s="441"/>
      <c r="AE88" s="441"/>
    </row>
    <row r="89">
      <c r="A89" s="928"/>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row>
    <row r="90">
      <c r="A90" s="928"/>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row>
    <row r="91">
      <c r="A91" s="928"/>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row>
    <row r="92">
      <c r="A92" s="928"/>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row>
    <row r="93">
      <c r="A93" s="928"/>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row>
    <row r="94">
      <c r="A94" s="928"/>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row>
    <row r="95">
      <c r="A95" s="928"/>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row>
    <row r="96">
      <c r="A96" s="928"/>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row>
    <row r="97">
      <c r="A97" s="928"/>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row>
    <row r="98">
      <c r="A98" s="928"/>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row>
    <row r="99">
      <c r="A99" s="928"/>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row>
    <row r="100">
      <c r="A100" s="928"/>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row>
    <row r="101">
      <c r="A101" s="928"/>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row>
    <row r="102">
      <c r="A102" s="928"/>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row>
    <row r="103">
      <c r="A103" s="928"/>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row>
    <row r="104">
      <c r="A104" s="928"/>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row>
    <row r="105">
      <c r="A105" s="928"/>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row>
    <row r="106">
      <c r="A106" s="928"/>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row>
    <row r="107">
      <c r="A107" s="928"/>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row>
    <row r="108">
      <c r="A108" s="928"/>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row>
    <row r="109">
      <c r="A109" s="928"/>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row>
    <row r="110">
      <c r="A110" s="928"/>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row>
    <row r="111">
      <c r="A111" s="928"/>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row>
    <row r="112">
      <c r="A112" s="928"/>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row>
    <row r="113">
      <c r="A113" s="928"/>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row>
    <row r="114">
      <c r="A114" s="928"/>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row>
    <row r="115">
      <c r="A115" s="928"/>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row>
    <row r="116">
      <c r="A116" s="928"/>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row>
    <row r="117">
      <c r="A117" s="928"/>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row>
    <row r="118">
      <c r="A118" s="928"/>
      <c r="B118" s="441"/>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row>
    <row r="119">
      <c r="A119" s="928"/>
      <c r="B119" s="441"/>
      <c r="C119" s="441"/>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row>
    <row r="120">
      <c r="A120" s="928"/>
      <c r="B120" s="441"/>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row>
    <row r="121">
      <c r="A121" s="928"/>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row>
    <row r="122">
      <c r="A122" s="928"/>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row>
    <row r="123">
      <c r="A123" s="928"/>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row>
    <row r="124">
      <c r="A124" s="928"/>
      <c r="B124" s="441"/>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row>
    <row r="125">
      <c r="A125" s="928"/>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row>
    <row r="126">
      <c r="A126" s="928"/>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row>
    <row r="127">
      <c r="A127" s="928"/>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row>
    <row r="128">
      <c r="A128" s="928"/>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row>
    <row r="129">
      <c r="A129" s="928"/>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row>
    <row r="130">
      <c r="A130" s="928"/>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row>
    <row r="131">
      <c r="A131" s="928"/>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row>
    <row r="132">
      <c r="A132" s="928"/>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row>
    <row r="133">
      <c r="A133" s="928"/>
      <c r="B133" s="441"/>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row>
    <row r="134">
      <c r="A134" s="928"/>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row>
    <row r="135">
      <c r="A135" s="928"/>
      <c r="B135" s="441"/>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441"/>
      <c r="AD135" s="441"/>
      <c r="AE135" s="441"/>
    </row>
    <row r="136">
      <c r="A136" s="928"/>
      <c r="B136" s="441"/>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1"/>
      <c r="AD136" s="441"/>
      <c r="AE136" s="441"/>
    </row>
    <row r="137">
      <c r="A137" s="928"/>
      <c r="B137" s="441"/>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row>
    <row r="138">
      <c r="A138" s="928"/>
      <c r="B138" s="441"/>
      <c r="C138" s="441"/>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1"/>
      <c r="AD138" s="441"/>
      <c r="AE138" s="441"/>
    </row>
    <row r="139">
      <c r="A139" s="928"/>
      <c r="B139" s="441"/>
      <c r="C139" s="441"/>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41"/>
      <c r="AC139" s="441"/>
      <c r="AD139" s="441"/>
      <c r="AE139" s="441"/>
    </row>
    <row r="140">
      <c r="A140" s="928"/>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row>
    <row r="141">
      <c r="A141" s="928"/>
      <c r="B141" s="441"/>
      <c r="C141" s="441"/>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c r="AA141" s="441"/>
      <c r="AB141" s="441"/>
      <c r="AC141" s="441"/>
      <c r="AD141" s="441"/>
      <c r="AE141" s="441"/>
    </row>
    <row r="142">
      <c r="A142" s="928"/>
      <c r="B142" s="441"/>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row>
    <row r="143">
      <c r="A143" s="928"/>
      <c r="B143" s="441"/>
      <c r="C143" s="441"/>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row>
    <row r="144">
      <c r="A144" s="928"/>
      <c r="B144" s="441"/>
      <c r="C144" s="441"/>
      <c r="D144" s="441"/>
      <c r="E144" s="441"/>
      <c r="F144" s="441"/>
      <c r="G144" s="441"/>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row>
    <row r="145">
      <c r="A145" s="928"/>
      <c r="B145" s="441"/>
      <c r="C145" s="441"/>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row>
    <row r="146">
      <c r="A146" s="928"/>
      <c r="B146" s="441"/>
      <c r="C146" s="441"/>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1"/>
      <c r="AD146" s="441"/>
      <c r="AE146" s="441"/>
    </row>
    <row r="147">
      <c r="A147" s="928"/>
      <c r="B147" s="441"/>
      <c r="C147" s="441"/>
      <c r="D147" s="441"/>
      <c r="E147" s="441"/>
      <c r="F147" s="441"/>
      <c r="G147" s="441"/>
      <c r="H147" s="441"/>
      <c r="I147" s="441"/>
      <c r="J147" s="441"/>
      <c r="K147" s="441"/>
      <c r="L147" s="441"/>
      <c r="M147" s="441"/>
      <c r="N147" s="441"/>
      <c r="O147" s="441"/>
      <c r="P147" s="441"/>
      <c r="Q147" s="441"/>
      <c r="R147" s="441"/>
      <c r="S147" s="441"/>
      <c r="T147" s="441"/>
      <c r="U147" s="441"/>
      <c r="V147" s="441"/>
      <c r="W147" s="441"/>
      <c r="X147" s="441"/>
      <c r="Y147" s="441"/>
      <c r="Z147" s="441"/>
      <c r="AA147" s="441"/>
      <c r="AB147" s="441"/>
      <c r="AC147" s="441"/>
      <c r="AD147" s="441"/>
      <c r="AE147" s="441"/>
    </row>
    <row r="148">
      <c r="A148" s="928"/>
      <c r="B148" s="441"/>
      <c r="C148" s="441"/>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row>
    <row r="149">
      <c r="A149" s="928"/>
      <c r="B149" s="441"/>
      <c r="C149" s="441"/>
      <c r="D149" s="441"/>
      <c r="E149" s="441"/>
      <c r="F149" s="441"/>
      <c r="G149" s="441"/>
      <c r="H149" s="441"/>
      <c r="I149" s="441"/>
      <c r="J149" s="441"/>
      <c r="K149" s="441"/>
      <c r="L149" s="441"/>
      <c r="M149" s="441"/>
      <c r="N149" s="441"/>
      <c r="O149" s="441"/>
      <c r="P149" s="441"/>
      <c r="Q149" s="441"/>
      <c r="R149" s="441"/>
      <c r="S149" s="441"/>
      <c r="T149" s="441"/>
      <c r="U149" s="441"/>
      <c r="V149" s="441"/>
      <c r="W149" s="441"/>
      <c r="X149" s="441"/>
      <c r="Y149" s="441"/>
      <c r="Z149" s="441"/>
      <c r="AA149" s="441"/>
      <c r="AB149" s="441"/>
      <c r="AC149" s="441"/>
      <c r="AD149" s="441"/>
      <c r="AE149" s="441"/>
    </row>
    <row r="150">
      <c r="A150" s="928"/>
      <c r="B150" s="441"/>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441"/>
      <c r="AD150" s="441"/>
      <c r="AE150" s="441"/>
    </row>
    <row r="151">
      <c r="A151" s="928"/>
      <c r="B151" s="441"/>
      <c r="C151" s="441"/>
      <c r="D151" s="441"/>
      <c r="E151" s="441"/>
      <c r="F151" s="441"/>
      <c r="G151" s="441"/>
      <c r="H151" s="441"/>
      <c r="I151" s="441"/>
      <c r="J151" s="441"/>
      <c r="K151" s="441"/>
      <c r="L151" s="441"/>
      <c r="M151" s="441"/>
      <c r="N151" s="441"/>
      <c r="O151" s="441"/>
      <c r="P151" s="441"/>
      <c r="Q151" s="441"/>
      <c r="R151" s="441"/>
      <c r="S151" s="441"/>
      <c r="T151" s="441"/>
      <c r="U151" s="441"/>
      <c r="V151" s="441"/>
      <c r="W151" s="441"/>
      <c r="X151" s="441"/>
      <c r="Y151" s="441"/>
      <c r="Z151" s="441"/>
      <c r="AA151" s="441"/>
      <c r="AB151" s="441"/>
      <c r="AC151" s="441"/>
      <c r="AD151" s="441"/>
      <c r="AE151" s="441"/>
    </row>
    <row r="152">
      <c r="A152" s="928"/>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row>
    <row r="153">
      <c r="A153" s="928"/>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row>
    <row r="154">
      <c r="A154" s="928"/>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row>
    <row r="155">
      <c r="A155" s="928"/>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row>
    <row r="156">
      <c r="A156" s="928"/>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row>
    <row r="157">
      <c r="A157" s="928"/>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row>
    <row r="158">
      <c r="A158" s="928"/>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row>
    <row r="159">
      <c r="A159" s="928"/>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row>
    <row r="160">
      <c r="A160" s="928"/>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row>
    <row r="161">
      <c r="A161" s="928"/>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row>
    <row r="162">
      <c r="A162" s="928"/>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row>
    <row r="163">
      <c r="A163" s="928"/>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row>
    <row r="164">
      <c r="A164" s="928"/>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row>
    <row r="165">
      <c r="A165" s="928"/>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row>
    <row r="166">
      <c r="A166" s="928"/>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row>
    <row r="167">
      <c r="A167" s="928"/>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row>
    <row r="168">
      <c r="A168" s="928"/>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row>
    <row r="169">
      <c r="A169" s="928"/>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row>
    <row r="170">
      <c r="A170" s="928"/>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row>
    <row r="171">
      <c r="A171" s="928"/>
      <c r="B171" s="441"/>
      <c r="C171" s="441"/>
      <c r="D171" s="441"/>
      <c r="E171" s="441"/>
      <c r="F171" s="441"/>
      <c r="G171" s="441"/>
      <c r="H171" s="441"/>
      <c r="I171" s="441"/>
      <c r="J171" s="441"/>
      <c r="K171" s="441"/>
      <c r="L171" s="441"/>
      <c r="M171" s="441"/>
      <c r="N171" s="441"/>
      <c r="O171" s="441"/>
      <c r="P171" s="441"/>
      <c r="Q171" s="441"/>
      <c r="R171" s="441"/>
      <c r="S171" s="441"/>
      <c r="T171" s="441"/>
      <c r="U171" s="441"/>
      <c r="V171" s="441"/>
      <c r="W171" s="441"/>
      <c r="X171" s="441"/>
      <c r="Y171" s="441"/>
      <c r="Z171" s="441"/>
      <c r="AA171" s="441"/>
      <c r="AB171" s="441"/>
      <c r="AC171" s="441"/>
      <c r="AD171" s="441"/>
      <c r="AE171" s="441"/>
    </row>
    <row r="172">
      <c r="A172" s="928"/>
      <c r="B172" s="441"/>
      <c r="C172" s="441"/>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1"/>
      <c r="Z172" s="441"/>
      <c r="AA172" s="441"/>
      <c r="AB172" s="441"/>
      <c r="AC172" s="441"/>
      <c r="AD172" s="441"/>
      <c r="AE172" s="441"/>
    </row>
    <row r="173">
      <c r="A173" s="928"/>
      <c r="B173" s="441"/>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c r="AA173" s="441"/>
      <c r="AB173" s="441"/>
      <c r="AC173" s="441"/>
      <c r="AD173" s="441"/>
      <c r="AE173" s="441"/>
    </row>
    <row r="174">
      <c r="A174" s="928"/>
      <c r="B174" s="441"/>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row>
    <row r="175">
      <c r="A175" s="928"/>
      <c r="B175" s="441"/>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row>
    <row r="176">
      <c r="A176" s="928"/>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row>
    <row r="177">
      <c r="A177" s="928"/>
      <c r="B177" s="441"/>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row>
    <row r="178">
      <c r="A178" s="928"/>
      <c r="B178" s="441"/>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row>
    <row r="179">
      <c r="A179" s="928"/>
      <c r="B179" s="441"/>
      <c r="C179" s="441"/>
      <c r="D179" s="441"/>
      <c r="E179" s="441"/>
      <c r="F179" s="441"/>
      <c r="G179" s="441"/>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row>
    <row r="180">
      <c r="A180" s="928"/>
      <c r="B180" s="441"/>
      <c r="C180" s="441"/>
      <c r="D180" s="441"/>
      <c r="E180" s="441"/>
      <c r="F180" s="441"/>
      <c r="G180" s="441"/>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row>
    <row r="181">
      <c r="A181" s="928"/>
      <c r="B181" s="441"/>
      <c r="C181" s="441"/>
      <c r="D181" s="441"/>
      <c r="E181" s="441"/>
      <c r="F181" s="441"/>
      <c r="G181" s="441"/>
      <c r="H181" s="441"/>
      <c r="I181" s="441"/>
      <c r="J181" s="441"/>
      <c r="K181" s="441"/>
      <c r="L181" s="441"/>
      <c r="M181" s="441"/>
      <c r="N181" s="441"/>
      <c r="O181" s="441"/>
      <c r="P181" s="441"/>
      <c r="Q181" s="441"/>
      <c r="R181" s="441"/>
      <c r="S181" s="441"/>
      <c r="T181" s="441"/>
      <c r="U181" s="441"/>
      <c r="V181" s="441"/>
      <c r="W181" s="441"/>
      <c r="X181" s="441"/>
      <c r="Y181" s="441"/>
      <c r="Z181" s="441"/>
      <c r="AA181" s="441"/>
      <c r="AB181" s="441"/>
      <c r="AC181" s="441"/>
      <c r="AD181" s="441"/>
      <c r="AE181" s="441"/>
    </row>
    <row r="182">
      <c r="A182" s="928"/>
      <c r="B182" s="441"/>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1"/>
      <c r="AA182" s="441"/>
      <c r="AB182" s="441"/>
      <c r="AC182" s="441"/>
      <c r="AD182" s="441"/>
      <c r="AE182" s="441"/>
    </row>
    <row r="183">
      <c r="A183" s="928"/>
      <c r="B183" s="441"/>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c r="AA183" s="441"/>
      <c r="AB183" s="441"/>
      <c r="AC183" s="441"/>
      <c r="AD183" s="441"/>
      <c r="AE183" s="441"/>
    </row>
    <row r="184">
      <c r="A184" s="928"/>
      <c r="B184" s="441"/>
      <c r="C184" s="441"/>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1"/>
      <c r="AA184" s="441"/>
      <c r="AB184" s="441"/>
      <c r="AC184" s="441"/>
      <c r="AD184" s="441"/>
      <c r="AE184" s="441"/>
    </row>
    <row r="185">
      <c r="A185" s="928"/>
      <c r="B185" s="441"/>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1"/>
      <c r="AA185" s="441"/>
      <c r="AB185" s="441"/>
      <c r="AC185" s="441"/>
      <c r="AD185" s="441"/>
      <c r="AE185" s="441"/>
    </row>
    <row r="186">
      <c r="A186" s="928"/>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row>
    <row r="187">
      <c r="A187" s="928"/>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row>
    <row r="188">
      <c r="A188" s="928"/>
      <c r="B188" s="441"/>
      <c r="C188" s="441"/>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row>
    <row r="189">
      <c r="A189" s="928"/>
      <c r="B189" s="441"/>
      <c r="C189" s="441"/>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1"/>
      <c r="Z189" s="441"/>
      <c r="AA189" s="441"/>
      <c r="AB189" s="441"/>
      <c r="AC189" s="441"/>
      <c r="AD189" s="441"/>
      <c r="AE189" s="441"/>
    </row>
    <row r="190">
      <c r="A190" s="928"/>
      <c r="B190" s="441"/>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row>
    <row r="191">
      <c r="A191" s="928"/>
      <c r="B191" s="441"/>
      <c r="C191" s="441"/>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row>
    <row r="192">
      <c r="A192" s="928"/>
      <c r="B192" s="441"/>
      <c r="C192" s="441"/>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row>
    <row r="193">
      <c r="A193" s="928"/>
      <c r="B193" s="441"/>
      <c r="C193" s="441"/>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row>
    <row r="194">
      <c r="A194" s="928"/>
      <c r="B194" s="441"/>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row>
    <row r="195">
      <c r="A195" s="928"/>
      <c r="B195" s="441"/>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row>
    <row r="196">
      <c r="A196" s="928"/>
      <c r="B196" s="441"/>
      <c r="C196" s="441"/>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c r="AA196" s="441"/>
      <c r="AB196" s="441"/>
      <c r="AC196" s="441"/>
      <c r="AD196" s="441"/>
      <c r="AE196" s="441"/>
    </row>
    <row r="197">
      <c r="A197" s="928"/>
      <c r="B197" s="441"/>
      <c r="C197" s="441"/>
      <c r="D197" s="441"/>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1"/>
      <c r="AA197" s="441"/>
      <c r="AB197" s="441"/>
      <c r="AC197" s="441"/>
      <c r="AD197" s="441"/>
      <c r="AE197" s="441"/>
    </row>
    <row r="198">
      <c r="A198" s="928"/>
      <c r="B198" s="441"/>
      <c r="C198" s="441"/>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1"/>
      <c r="AA198" s="441"/>
      <c r="AB198" s="441"/>
      <c r="AC198" s="441"/>
      <c r="AD198" s="441"/>
      <c r="AE198" s="441"/>
    </row>
    <row r="199">
      <c r="A199" s="928"/>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row>
    <row r="200">
      <c r="A200" s="928"/>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c r="AA200" s="441"/>
      <c r="AB200" s="441"/>
      <c r="AC200" s="441"/>
      <c r="AD200" s="441"/>
      <c r="AE200" s="441"/>
    </row>
    <row r="201">
      <c r="A201" s="928"/>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c r="AA201" s="441"/>
      <c r="AB201" s="441"/>
      <c r="AC201" s="441"/>
      <c r="AD201" s="441"/>
      <c r="AE201" s="441"/>
    </row>
    <row r="202">
      <c r="A202" s="928"/>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1"/>
      <c r="AB202" s="441"/>
      <c r="AC202" s="441"/>
      <c r="AD202" s="441"/>
      <c r="AE202" s="441"/>
    </row>
    <row r="203">
      <c r="A203" s="928"/>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row>
    <row r="204">
      <c r="A204" s="928"/>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1"/>
      <c r="AB204" s="441"/>
      <c r="AC204" s="441"/>
      <c r="AD204" s="441"/>
      <c r="AE204" s="441"/>
    </row>
    <row r="205">
      <c r="A205" s="928"/>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c r="AA205" s="441"/>
      <c r="AB205" s="441"/>
      <c r="AC205" s="441"/>
      <c r="AD205" s="441"/>
      <c r="AE205" s="441"/>
    </row>
    <row r="206">
      <c r="A206" s="928"/>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row>
    <row r="207">
      <c r="A207" s="928"/>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c r="AA207" s="441"/>
      <c r="AB207" s="441"/>
      <c r="AC207" s="441"/>
      <c r="AD207" s="441"/>
      <c r="AE207" s="441"/>
    </row>
    <row r="208">
      <c r="A208" s="928"/>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c r="AA208" s="441"/>
      <c r="AB208" s="441"/>
      <c r="AC208" s="441"/>
      <c r="AD208" s="441"/>
      <c r="AE208" s="441"/>
    </row>
    <row r="209">
      <c r="A209" s="928"/>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c r="AA209" s="441"/>
      <c r="AB209" s="441"/>
      <c r="AC209" s="441"/>
      <c r="AD209" s="441"/>
      <c r="AE209" s="441"/>
    </row>
    <row r="210">
      <c r="A210" s="928"/>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row>
    <row r="211">
      <c r="A211" s="928"/>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row>
    <row r="212">
      <c r="A212" s="928"/>
      <c r="B212" s="441"/>
      <c r="C212" s="441"/>
      <c r="D212" s="441"/>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1"/>
      <c r="AA212" s="441"/>
      <c r="AB212" s="441"/>
      <c r="AC212" s="441"/>
      <c r="AD212" s="441"/>
      <c r="AE212" s="441"/>
    </row>
    <row r="213">
      <c r="A213" s="928"/>
      <c r="B213" s="441"/>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row>
    <row r="214">
      <c r="A214" s="928"/>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row>
    <row r="215">
      <c r="A215" s="928"/>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row>
    <row r="216">
      <c r="A216" s="928"/>
      <c r="B216" s="441"/>
      <c r="C216" s="441"/>
      <c r="D216" s="441"/>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1"/>
      <c r="AA216" s="441"/>
      <c r="AB216" s="441"/>
      <c r="AC216" s="441"/>
      <c r="AD216" s="441"/>
      <c r="AE216" s="441"/>
    </row>
    <row r="217">
      <c r="A217" s="928"/>
      <c r="B217" s="441"/>
      <c r="C217" s="441"/>
      <c r="D217" s="441"/>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1"/>
      <c r="AA217" s="441"/>
      <c r="AB217" s="441"/>
      <c r="AC217" s="441"/>
      <c r="AD217" s="441"/>
      <c r="AE217" s="441"/>
    </row>
    <row r="218">
      <c r="A218" s="928"/>
      <c r="B218" s="441"/>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row>
    <row r="219">
      <c r="A219" s="928"/>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c r="AA219" s="441"/>
      <c r="AB219" s="441"/>
      <c r="AC219" s="441"/>
      <c r="AD219" s="441"/>
      <c r="AE219" s="441"/>
    </row>
    <row r="220">
      <c r="A220" s="928"/>
      <c r="B220" s="441"/>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row>
    <row r="221">
      <c r="A221" s="928"/>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row>
    <row r="222">
      <c r="A222" s="928"/>
      <c r="B222" s="441"/>
      <c r="C222" s="441"/>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441"/>
      <c r="AA222" s="441"/>
      <c r="AB222" s="441"/>
      <c r="AC222" s="441"/>
      <c r="AD222" s="441"/>
      <c r="AE222" s="441"/>
    </row>
    <row r="223">
      <c r="A223" s="928"/>
      <c r="B223" s="441"/>
      <c r="C223" s="441"/>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1"/>
      <c r="AD223" s="441"/>
      <c r="AE223" s="441"/>
    </row>
    <row r="224">
      <c r="A224" s="928"/>
      <c r="B224" s="441"/>
      <c r="C224" s="441"/>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1"/>
      <c r="AD224" s="441"/>
      <c r="AE224" s="441"/>
    </row>
    <row r="225">
      <c r="A225" s="928"/>
      <c r="B225" s="441"/>
      <c r="C225" s="441"/>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row>
    <row r="226">
      <c r="A226" s="928"/>
      <c r="B226" s="441"/>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row>
    <row r="227">
      <c r="A227" s="928"/>
      <c r="B227" s="441"/>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1"/>
      <c r="AD227" s="441"/>
      <c r="AE227" s="441"/>
    </row>
    <row r="228">
      <c r="A228" s="928"/>
      <c r="B228" s="441"/>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row>
    <row r="229">
      <c r="A229" s="928"/>
      <c r="B229" s="441"/>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row>
    <row r="230">
      <c r="A230" s="928"/>
      <c r="B230" s="441"/>
      <c r="C230" s="441"/>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1"/>
      <c r="AE230" s="441"/>
    </row>
    <row r="231">
      <c r="A231" s="928"/>
      <c r="B231" s="441"/>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c r="AA231" s="441"/>
      <c r="AB231" s="441"/>
      <c r="AC231" s="441"/>
      <c r="AD231" s="441"/>
      <c r="AE231" s="441"/>
    </row>
    <row r="232">
      <c r="A232" s="928"/>
      <c r="B232" s="441"/>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c r="AA232" s="441"/>
      <c r="AB232" s="441"/>
      <c r="AC232" s="441"/>
      <c r="AD232" s="441"/>
      <c r="AE232" s="441"/>
    </row>
    <row r="233">
      <c r="A233" s="928"/>
      <c r="B233" s="441"/>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c r="AA233" s="441"/>
      <c r="AB233" s="441"/>
      <c r="AC233" s="441"/>
      <c r="AD233" s="441"/>
      <c r="AE233" s="441"/>
    </row>
    <row r="234">
      <c r="A234" s="928"/>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row>
    <row r="235">
      <c r="A235" s="928"/>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row>
    <row r="236">
      <c r="A236" s="928"/>
      <c r="B236" s="441"/>
      <c r="C236" s="441"/>
      <c r="D236" s="441"/>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row>
    <row r="237">
      <c r="A237" s="928"/>
      <c r="B237" s="441"/>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1"/>
      <c r="AD237" s="441"/>
      <c r="AE237" s="441"/>
    </row>
    <row r="238">
      <c r="A238" s="928"/>
      <c r="B238" s="4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c r="AA238" s="441"/>
      <c r="AB238" s="441"/>
      <c r="AC238" s="441"/>
      <c r="AD238" s="441"/>
      <c r="AE238" s="441"/>
    </row>
    <row r="239">
      <c r="A239" s="928"/>
      <c r="B239" s="441"/>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row>
    <row r="240">
      <c r="A240" s="928"/>
      <c r="B240" s="441"/>
      <c r="C240" s="441"/>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c r="AA240" s="441"/>
      <c r="AB240" s="441"/>
      <c r="AC240" s="441"/>
      <c r="AD240" s="441"/>
      <c r="AE240" s="441"/>
    </row>
    <row r="241">
      <c r="A241" s="928"/>
      <c r="B241" s="441"/>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1"/>
      <c r="AA241" s="441"/>
      <c r="AB241" s="441"/>
      <c r="AC241" s="441"/>
      <c r="AD241" s="441"/>
      <c r="AE241" s="441"/>
    </row>
    <row r="242">
      <c r="A242" s="928"/>
      <c r="B242" s="441"/>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1"/>
      <c r="AA242" s="441"/>
      <c r="AB242" s="441"/>
      <c r="AC242" s="441"/>
      <c r="AD242" s="441"/>
      <c r="AE242" s="441"/>
    </row>
    <row r="243">
      <c r="A243" s="928"/>
      <c r="B243" s="441"/>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41"/>
      <c r="AA243" s="441"/>
      <c r="AB243" s="441"/>
      <c r="AC243" s="441"/>
      <c r="AD243" s="441"/>
      <c r="AE243" s="441"/>
    </row>
    <row r="244">
      <c r="A244" s="928"/>
      <c r="B244" s="441"/>
      <c r="C244" s="441"/>
      <c r="D244" s="441"/>
      <c r="E244" s="441"/>
      <c r="F244" s="441"/>
      <c r="G244" s="441"/>
      <c r="H244" s="441"/>
      <c r="I244" s="441"/>
      <c r="J244" s="441"/>
      <c r="K244" s="441"/>
      <c r="L244" s="441"/>
      <c r="M244" s="441"/>
      <c r="N244" s="441"/>
      <c r="O244" s="441"/>
      <c r="P244" s="441"/>
      <c r="Q244" s="441"/>
      <c r="R244" s="441"/>
      <c r="S244" s="441"/>
      <c r="T244" s="441"/>
      <c r="U244" s="441"/>
      <c r="V244" s="441"/>
      <c r="W244" s="441"/>
      <c r="X244" s="441"/>
      <c r="Y244" s="441"/>
      <c r="Z244" s="441"/>
      <c r="AA244" s="441"/>
      <c r="AB244" s="441"/>
      <c r="AC244" s="441"/>
      <c r="AD244" s="441"/>
      <c r="AE244" s="441"/>
    </row>
    <row r="245">
      <c r="A245" s="928"/>
      <c r="B245" s="441"/>
      <c r="C245" s="441"/>
      <c r="D245" s="441"/>
      <c r="E245" s="441"/>
      <c r="F245" s="441"/>
      <c r="G245" s="441"/>
      <c r="H245" s="441"/>
      <c r="I245" s="441"/>
      <c r="J245" s="441"/>
      <c r="K245" s="441"/>
      <c r="L245" s="441"/>
      <c r="M245" s="441"/>
      <c r="N245" s="441"/>
      <c r="O245" s="441"/>
      <c r="P245" s="441"/>
      <c r="Q245" s="441"/>
      <c r="R245" s="441"/>
      <c r="S245" s="441"/>
      <c r="T245" s="441"/>
      <c r="U245" s="441"/>
      <c r="V245" s="441"/>
      <c r="W245" s="441"/>
      <c r="X245" s="441"/>
      <c r="Y245" s="441"/>
      <c r="Z245" s="441"/>
      <c r="AA245" s="441"/>
      <c r="AB245" s="441"/>
      <c r="AC245" s="441"/>
      <c r="AD245" s="441"/>
      <c r="AE245" s="441"/>
    </row>
    <row r="246">
      <c r="A246" s="928"/>
      <c r="B246" s="441"/>
      <c r="C246" s="441"/>
      <c r="D246" s="441"/>
      <c r="E246" s="441"/>
      <c r="F246" s="441"/>
      <c r="G246" s="441"/>
      <c r="H246" s="441"/>
      <c r="I246" s="441"/>
      <c r="J246" s="441"/>
      <c r="K246" s="441"/>
      <c r="L246" s="441"/>
      <c r="M246" s="441"/>
      <c r="N246" s="441"/>
      <c r="O246" s="441"/>
      <c r="P246" s="441"/>
      <c r="Q246" s="441"/>
      <c r="R246" s="441"/>
      <c r="S246" s="441"/>
      <c r="T246" s="441"/>
      <c r="U246" s="441"/>
      <c r="V246" s="441"/>
      <c r="W246" s="441"/>
      <c r="X246" s="441"/>
      <c r="Y246" s="441"/>
      <c r="Z246" s="441"/>
      <c r="AA246" s="441"/>
      <c r="AB246" s="441"/>
      <c r="AC246" s="441"/>
      <c r="AD246" s="441"/>
      <c r="AE246" s="441"/>
    </row>
    <row r="247">
      <c r="A247" s="928"/>
      <c r="B247" s="441"/>
      <c r="C247" s="441"/>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1"/>
      <c r="AA247" s="441"/>
      <c r="AB247" s="441"/>
      <c r="AC247" s="441"/>
      <c r="AD247" s="441"/>
      <c r="AE247" s="441"/>
    </row>
    <row r="248">
      <c r="A248" s="928"/>
      <c r="B248" s="441"/>
      <c r="C248" s="441"/>
      <c r="D248" s="441"/>
      <c r="E248" s="441"/>
      <c r="F248" s="441"/>
      <c r="G248" s="441"/>
      <c r="H248" s="441"/>
      <c r="I248" s="441"/>
      <c r="J248" s="441"/>
      <c r="K248" s="441"/>
      <c r="L248" s="441"/>
      <c r="M248" s="441"/>
      <c r="N248" s="441"/>
      <c r="O248" s="441"/>
      <c r="P248" s="441"/>
      <c r="Q248" s="441"/>
      <c r="R248" s="441"/>
      <c r="S248" s="441"/>
      <c r="T248" s="441"/>
      <c r="U248" s="441"/>
      <c r="V248" s="441"/>
      <c r="W248" s="441"/>
      <c r="X248" s="441"/>
      <c r="Y248" s="441"/>
      <c r="Z248" s="441"/>
      <c r="AA248" s="441"/>
      <c r="AB248" s="441"/>
      <c r="AC248" s="441"/>
      <c r="AD248" s="441"/>
      <c r="AE248" s="441"/>
    </row>
    <row r="249">
      <c r="A249" s="928"/>
      <c r="B249" s="441"/>
      <c r="C249" s="441"/>
      <c r="D249" s="441"/>
      <c r="E249" s="441"/>
      <c r="F249" s="441"/>
      <c r="G249" s="441"/>
      <c r="H249" s="441"/>
      <c r="I249" s="441"/>
      <c r="J249" s="441"/>
      <c r="K249" s="441"/>
      <c r="L249" s="441"/>
      <c r="M249" s="441"/>
      <c r="N249" s="441"/>
      <c r="O249" s="441"/>
      <c r="P249" s="441"/>
      <c r="Q249" s="441"/>
      <c r="R249" s="441"/>
      <c r="S249" s="441"/>
      <c r="T249" s="441"/>
      <c r="U249" s="441"/>
      <c r="V249" s="441"/>
      <c r="W249" s="441"/>
      <c r="X249" s="441"/>
      <c r="Y249" s="441"/>
      <c r="Z249" s="441"/>
      <c r="AA249" s="441"/>
      <c r="AB249" s="441"/>
      <c r="AC249" s="441"/>
      <c r="AD249" s="441"/>
      <c r="AE249" s="441"/>
    </row>
    <row r="250">
      <c r="A250" s="928"/>
      <c r="B250" s="441"/>
      <c r="C250" s="441"/>
      <c r="D250" s="441"/>
      <c r="E250" s="441"/>
      <c r="F250" s="441"/>
      <c r="G250" s="441"/>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row>
    <row r="251">
      <c r="A251" s="928"/>
      <c r="B251" s="441"/>
      <c r="C251" s="441"/>
      <c r="D251" s="441"/>
      <c r="E251" s="441"/>
      <c r="F251" s="441"/>
      <c r="G251" s="441"/>
      <c r="H251" s="441"/>
      <c r="I251" s="441"/>
      <c r="J251" s="441"/>
      <c r="K251" s="441"/>
      <c r="L251" s="441"/>
      <c r="M251" s="441"/>
      <c r="N251" s="441"/>
      <c r="O251" s="441"/>
      <c r="P251" s="441"/>
      <c r="Q251" s="441"/>
      <c r="R251" s="441"/>
      <c r="S251" s="441"/>
      <c r="T251" s="441"/>
      <c r="U251" s="441"/>
      <c r="V251" s="441"/>
      <c r="W251" s="441"/>
      <c r="X251" s="441"/>
      <c r="Y251" s="441"/>
      <c r="Z251" s="441"/>
      <c r="AA251" s="441"/>
      <c r="AB251" s="441"/>
      <c r="AC251" s="441"/>
      <c r="AD251" s="441"/>
      <c r="AE251" s="441"/>
    </row>
    <row r="252">
      <c r="A252" s="928"/>
      <c r="B252" s="441"/>
      <c r="C252" s="441"/>
      <c r="D252" s="441"/>
      <c r="E252" s="441"/>
      <c r="F252" s="441"/>
      <c r="G252" s="441"/>
      <c r="H252" s="441"/>
      <c r="I252" s="441"/>
      <c r="J252" s="441"/>
      <c r="K252" s="441"/>
      <c r="L252" s="441"/>
      <c r="M252" s="441"/>
      <c r="N252" s="441"/>
      <c r="O252" s="441"/>
      <c r="P252" s="441"/>
      <c r="Q252" s="441"/>
      <c r="R252" s="441"/>
      <c r="S252" s="441"/>
      <c r="T252" s="441"/>
      <c r="U252" s="441"/>
      <c r="V252" s="441"/>
      <c r="W252" s="441"/>
      <c r="X252" s="441"/>
      <c r="Y252" s="441"/>
      <c r="Z252" s="441"/>
      <c r="AA252" s="441"/>
      <c r="AB252" s="441"/>
      <c r="AC252" s="441"/>
      <c r="AD252" s="441"/>
      <c r="AE252" s="441"/>
    </row>
    <row r="253">
      <c r="A253" s="928"/>
      <c r="B253" s="441"/>
      <c r="C253" s="441"/>
      <c r="D253" s="441"/>
      <c r="E253" s="441"/>
      <c r="F253" s="441"/>
      <c r="G253" s="441"/>
      <c r="H253" s="441"/>
      <c r="I253" s="441"/>
      <c r="J253" s="441"/>
      <c r="K253" s="441"/>
      <c r="L253" s="441"/>
      <c r="M253" s="441"/>
      <c r="N253" s="441"/>
      <c r="O253" s="441"/>
      <c r="P253" s="441"/>
      <c r="Q253" s="441"/>
      <c r="R253" s="441"/>
      <c r="S253" s="441"/>
      <c r="T253" s="441"/>
      <c r="U253" s="441"/>
      <c r="V253" s="441"/>
      <c r="W253" s="441"/>
      <c r="X253" s="441"/>
      <c r="Y253" s="441"/>
      <c r="Z253" s="441"/>
      <c r="AA253" s="441"/>
      <c r="AB253" s="441"/>
      <c r="AC253" s="441"/>
      <c r="AD253" s="441"/>
      <c r="AE253" s="441"/>
    </row>
    <row r="254">
      <c r="A254" s="928"/>
      <c r="B254" s="441"/>
      <c r="C254" s="441"/>
      <c r="D254" s="441"/>
      <c r="E254" s="441"/>
      <c r="F254" s="441"/>
      <c r="G254" s="441"/>
      <c r="H254" s="441"/>
      <c r="I254" s="441"/>
      <c r="J254" s="441"/>
      <c r="K254" s="441"/>
      <c r="L254" s="441"/>
      <c r="M254" s="441"/>
      <c r="N254" s="441"/>
      <c r="O254" s="441"/>
      <c r="P254" s="441"/>
      <c r="Q254" s="441"/>
      <c r="R254" s="441"/>
      <c r="S254" s="441"/>
      <c r="T254" s="441"/>
      <c r="U254" s="441"/>
      <c r="V254" s="441"/>
      <c r="W254" s="441"/>
      <c r="X254" s="441"/>
      <c r="Y254" s="441"/>
      <c r="Z254" s="441"/>
      <c r="AA254" s="441"/>
      <c r="AB254" s="441"/>
      <c r="AC254" s="441"/>
      <c r="AD254" s="441"/>
      <c r="AE254" s="441"/>
    </row>
    <row r="255">
      <c r="A255" s="928"/>
      <c r="B255" s="441"/>
      <c r="C255" s="441"/>
      <c r="D255" s="441"/>
      <c r="E255" s="441"/>
      <c r="F255" s="441"/>
      <c r="G255" s="441"/>
      <c r="H255" s="441"/>
      <c r="I255" s="441"/>
      <c r="J255" s="441"/>
      <c r="K255" s="441"/>
      <c r="L255" s="441"/>
      <c r="M255" s="441"/>
      <c r="N255" s="441"/>
      <c r="O255" s="441"/>
      <c r="P255" s="441"/>
      <c r="Q255" s="441"/>
      <c r="R255" s="441"/>
      <c r="S255" s="441"/>
      <c r="T255" s="441"/>
      <c r="U255" s="441"/>
      <c r="V255" s="441"/>
      <c r="W255" s="441"/>
      <c r="X255" s="441"/>
      <c r="Y255" s="441"/>
      <c r="Z255" s="441"/>
      <c r="AA255" s="441"/>
      <c r="AB255" s="441"/>
      <c r="AC255" s="441"/>
      <c r="AD255" s="441"/>
      <c r="AE255" s="441"/>
    </row>
    <row r="256">
      <c r="A256" s="928"/>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c r="AA256" s="441"/>
      <c r="AB256" s="441"/>
      <c r="AC256" s="441"/>
      <c r="AD256" s="441"/>
      <c r="AE256" s="441"/>
    </row>
    <row r="257">
      <c r="A257" s="928"/>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1"/>
      <c r="Z257" s="441"/>
      <c r="AA257" s="441"/>
      <c r="AB257" s="441"/>
      <c r="AC257" s="441"/>
      <c r="AD257" s="441"/>
      <c r="AE257" s="441"/>
    </row>
    <row r="258">
      <c r="A258" s="928"/>
      <c r="B258" s="441"/>
      <c r="C258" s="441"/>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1"/>
      <c r="AA258" s="441"/>
      <c r="AB258" s="441"/>
      <c r="AC258" s="441"/>
      <c r="AD258" s="441"/>
      <c r="AE258" s="441"/>
    </row>
    <row r="259">
      <c r="A259" s="928"/>
      <c r="B259" s="441"/>
      <c r="C259" s="441"/>
      <c r="D259" s="441"/>
      <c r="E259" s="441"/>
      <c r="F259" s="441"/>
      <c r="G259" s="441"/>
      <c r="H259" s="441"/>
      <c r="I259" s="441"/>
      <c r="J259" s="441"/>
      <c r="K259" s="441"/>
      <c r="L259" s="441"/>
      <c r="M259" s="441"/>
      <c r="N259" s="441"/>
      <c r="O259" s="441"/>
      <c r="P259" s="441"/>
      <c r="Q259" s="441"/>
      <c r="R259" s="441"/>
      <c r="S259" s="441"/>
      <c r="T259" s="441"/>
      <c r="U259" s="441"/>
      <c r="V259" s="441"/>
      <c r="W259" s="441"/>
      <c r="X259" s="441"/>
      <c r="Y259" s="441"/>
      <c r="Z259" s="441"/>
      <c r="AA259" s="441"/>
      <c r="AB259" s="441"/>
      <c r="AC259" s="441"/>
      <c r="AD259" s="441"/>
      <c r="AE259" s="441"/>
    </row>
    <row r="260">
      <c r="A260" s="928"/>
      <c r="B260" s="441"/>
      <c r="C260" s="441"/>
      <c r="D260" s="441"/>
      <c r="E260" s="441"/>
      <c r="F260" s="441"/>
      <c r="G260" s="441"/>
      <c r="H260" s="441"/>
      <c r="I260" s="441"/>
      <c r="J260" s="441"/>
      <c r="K260" s="441"/>
      <c r="L260" s="441"/>
      <c r="M260" s="441"/>
      <c r="N260" s="441"/>
      <c r="O260" s="441"/>
      <c r="P260" s="441"/>
      <c r="Q260" s="441"/>
      <c r="R260" s="441"/>
      <c r="S260" s="441"/>
      <c r="T260" s="441"/>
      <c r="U260" s="441"/>
      <c r="V260" s="441"/>
      <c r="W260" s="441"/>
      <c r="X260" s="441"/>
      <c r="Y260" s="441"/>
      <c r="Z260" s="441"/>
      <c r="AA260" s="441"/>
      <c r="AB260" s="441"/>
      <c r="AC260" s="441"/>
      <c r="AD260" s="441"/>
      <c r="AE260" s="441"/>
    </row>
    <row r="261">
      <c r="A261" s="928"/>
      <c r="B261" s="441"/>
      <c r="C261" s="441"/>
      <c r="D261" s="441"/>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1"/>
    </row>
    <row r="262">
      <c r="A262" s="928"/>
      <c r="B262" s="441"/>
      <c r="C262" s="441"/>
      <c r="D262" s="441"/>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1"/>
      <c r="AA262" s="441"/>
      <c r="AB262" s="441"/>
      <c r="AC262" s="441"/>
      <c r="AD262" s="441"/>
      <c r="AE262" s="441"/>
    </row>
    <row r="263">
      <c r="A263" s="928"/>
      <c r="B263" s="441"/>
      <c r="C263" s="441"/>
      <c r="D263" s="441"/>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1"/>
      <c r="AA263" s="441"/>
      <c r="AB263" s="441"/>
      <c r="AC263" s="441"/>
      <c r="AD263" s="441"/>
      <c r="AE263" s="441"/>
    </row>
    <row r="264">
      <c r="A264" s="928"/>
      <c r="B264" s="441"/>
      <c r="C264" s="441"/>
      <c r="D264" s="441"/>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1"/>
      <c r="AA264" s="441"/>
      <c r="AB264" s="441"/>
      <c r="AC264" s="441"/>
      <c r="AD264" s="441"/>
      <c r="AE264" s="441"/>
    </row>
    <row r="265">
      <c r="A265" s="928"/>
      <c r="B265" s="441"/>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c r="AA265" s="441"/>
      <c r="AB265" s="441"/>
      <c r="AC265" s="441"/>
      <c r="AD265" s="441"/>
      <c r="AE265" s="441"/>
    </row>
    <row r="266">
      <c r="A266" s="928"/>
      <c r="B266" s="441"/>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row>
    <row r="267">
      <c r="A267" s="928"/>
      <c r="B267" s="441"/>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c r="AA267" s="441"/>
      <c r="AB267" s="441"/>
      <c r="AC267" s="441"/>
      <c r="AD267" s="441"/>
      <c r="AE267" s="441"/>
    </row>
    <row r="268">
      <c r="A268" s="928"/>
      <c r="B268" s="441"/>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c r="AA268" s="441"/>
      <c r="AB268" s="441"/>
      <c r="AC268" s="441"/>
      <c r="AD268" s="441"/>
      <c r="AE268" s="441"/>
    </row>
    <row r="269">
      <c r="A269" s="928"/>
      <c r="B269" s="441"/>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1"/>
      <c r="AA269" s="441"/>
      <c r="AB269" s="441"/>
      <c r="AC269" s="441"/>
      <c r="AD269" s="441"/>
      <c r="AE269" s="441"/>
    </row>
    <row r="270">
      <c r="A270" s="928"/>
      <c r="B270" s="441"/>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1"/>
      <c r="AA270" s="441"/>
      <c r="AB270" s="441"/>
      <c r="AC270" s="441"/>
      <c r="AD270" s="441"/>
      <c r="AE270" s="441"/>
    </row>
    <row r="271">
      <c r="A271" s="928"/>
      <c r="B271" s="441"/>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row>
    <row r="272">
      <c r="A272" s="928"/>
      <c r="B272" s="441"/>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1"/>
      <c r="AA272" s="441"/>
      <c r="AB272" s="441"/>
      <c r="AC272" s="441"/>
      <c r="AD272" s="441"/>
      <c r="AE272" s="441"/>
    </row>
    <row r="273">
      <c r="A273" s="928"/>
      <c r="B273" s="441"/>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row>
    <row r="274">
      <c r="A274" s="928"/>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row>
    <row r="275">
      <c r="A275" s="928"/>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row>
    <row r="276">
      <c r="A276" s="928"/>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row>
    <row r="277">
      <c r="A277" s="928"/>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row>
    <row r="278">
      <c r="A278" s="928"/>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row>
    <row r="279">
      <c r="A279" s="928"/>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row>
    <row r="280">
      <c r="A280" s="928"/>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row>
    <row r="281">
      <c r="A281" s="928"/>
      <c r="B281" s="441"/>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c r="AA281" s="441"/>
      <c r="AB281" s="441"/>
      <c r="AC281" s="441"/>
      <c r="AD281" s="441"/>
      <c r="AE281" s="441"/>
    </row>
    <row r="282">
      <c r="A282" s="928"/>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row>
    <row r="283">
      <c r="A283" s="928"/>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row>
    <row r="284">
      <c r="A284" s="928"/>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row>
    <row r="285">
      <c r="A285" s="928"/>
      <c r="B285" s="441"/>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1"/>
      <c r="Z285" s="441"/>
      <c r="AA285" s="441"/>
      <c r="AB285" s="441"/>
      <c r="AC285" s="441"/>
      <c r="AD285" s="441"/>
      <c r="AE285" s="441"/>
    </row>
    <row r="286">
      <c r="A286" s="928"/>
      <c r="B286" s="441"/>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row>
    <row r="287">
      <c r="A287" s="928"/>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row>
    <row r="288">
      <c r="A288" s="928"/>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row>
    <row r="289">
      <c r="A289" s="928"/>
      <c r="B289" s="441"/>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row>
    <row r="290">
      <c r="A290" s="928"/>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row>
    <row r="291">
      <c r="A291" s="928"/>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row>
    <row r="292">
      <c r="A292" s="928"/>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row>
    <row r="293">
      <c r="A293" s="928"/>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row>
    <row r="294">
      <c r="A294" s="928"/>
      <c r="B294" s="4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1"/>
      <c r="AA294" s="441"/>
      <c r="AB294" s="441"/>
      <c r="AC294" s="441"/>
      <c r="AD294" s="441"/>
      <c r="AE294" s="441"/>
    </row>
    <row r="295">
      <c r="A295" s="928"/>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1"/>
      <c r="AA295" s="441"/>
      <c r="AB295" s="441"/>
      <c r="AC295" s="441"/>
      <c r="AD295" s="441"/>
      <c r="AE295" s="441"/>
    </row>
    <row r="296">
      <c r="A296" s="928"/>
      <c r="B296" s="441"/>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1"/>
      <c r="Z296" s="441"/>
      <c r="AA296" s="441"/>
      <c r="AB296" s="441"/>
      <c r="AC296" s="441"/>
      <c r="AD296" s="441"/>
      <c r="AE296" s="441"/>
    </row>
    <row r="297">
      <c r="A297" s="928"/>
      <c r="B297" s="441"/>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1"/>
      <c r="AA297" s="441"/>
      <c r="AB297" s="441"/>
      <c r="AC297" s="441"/>
      <c r="AD297" s="441"/>
      <c r="AE297" s="441"/>
    </row>
    <row r="298">
      <c r="A298" s="928"/>
      <c r="B298" s="441"/>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1"/>
      <c r="Z298" s="441"/>
      <c r="AA298" s="441"/>
      <c r="AB298" s="441"/>
      <c r="AC298" s="441"/>
      <c r="AD298" s="441"/>
      <c r="AE298" s="441"/>
    </row>
    <row r="299">
      <c r="A299" s="928"/>
      <c r="B299" s="441"/>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1"/>
      <c r="Z299" s="441"/>
      <c r="AA299" s="441"/>
      <c r="AB299" s="441"/>
      <c r="AC299" s="441"/>
      <c r="AD299" s="441"/>
      <c r="AE299" s="441"/>
    </row>
    <row r="300">
      <c r="A300" s="928"/>
      <c r="B300" s="441"/>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1"/>
      <c r="Z300" s="441"/>
      <c r="AA300" s="441"/>
      <c r="AB300" s="441"/>
      <c r="AC300" s="441"/>
      <c r="AD300" s="441"/>
      <c r="AE300" s="441"/>
    </row>
    <row r="301">
      <c r="A301" s="928"/>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1"/>
      <c r="AA301" s="441"/>
      <c r="AB301" s="441"/>
      <c r="AC301" s="441"/>
      <c r="AD301" s="441"/>
      <c r="AE301" s="441"/>
    </row>
    <row r="302">
      <c r="A302" s="928"/>
      <c r="B302" s="441"/>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1"/>
      <c r="Z302" s="441"/>
      <c r="AA302" s="441"/>
      <c r="AB302" s="441"/>
      <c r="AC302" s="441"/>
      <c r="AD302" s="441"/>
      <c r="AE302" s="441"/>
    </row>
    <row r="303">
      <c r="A303" s="928"/>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1"/>
      <c r="AA303" s="441"/>
      <c r="AB303" s="441"/>
      <c r="AC303" s="441"/>
      <c r="AD303" s="441"/>
      <c r="AE303" s="441"/>
    </row>
    <row r="304">
      <c r="A304" s="928"/>
      <c r="B304" s="441"/>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1"/>
      <c r="Z304" s="441"/>
      <c r="AA304" s="441"/>
      <c r="AB304" s="441"/>
      <c r="AC304" s="441"/>
      <c r="AD304" s="441"/>
      <c r="AE304" s="441"/>
    </row>
    <row r="305">
      <c r="A305" s="928"/>
      <c r="B305" s="441"/>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row>
    <row r="306">
      <c r="A306" s="928"/>
      <c r="B306" s="441"/>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row>
    <row r="307">
      <c r="A307" s="928"/>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row>
    <row r="308">
      <c r="A308" s="928"/>
      <c r="B308" s="441"/>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row>
    <row r="309">
      <c r="A309" s="928"/>
      <c r="B309" s="441"/>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row>
    <row r="310">
      <c r="A310" s="928"/>
      <c r="B310" s="441"/>
      <c r="C310" s="441"/>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row>
    <row r="311">
      <c r="A311" s="928"/>
      <c r="B311" s="441"/>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row>
    <row r="312">
      <c r="A312" s="928"/>
      <c r="B312" s="441"/>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1"/>
      <c r="Z312" s="441"/>
      <c r="AA312" s="441"/>
      <c r="AB312" s="441"/>
      <c r="AC312" s="441"/>
      <c r="AD312" s="441"/>
      <c r="AE312" s="441"/>
    </row>
    <row r="313">
      <c r="A313" s="928"/>
      <c r="B313" s="441"/>
      <c r="C313" s="441"/>
      <c r="D313" s="441"/>
      <c r="E313" s="441"/>
      <c r="F313" s="441"/>
      <c r="G313" s="441"/>
      <c r="H313" s="441"/>
      <c r="I313" s="441"/>
      <c r="J313" s="441"/>
      <c r="K313" s="441"/>
      <c r="L313" s="441"/>
      <c r="M313" s="441"/>
      <c r="N313" s="441"/>
      <c r="O313" s="441"/>
      <c r="P313" s="441"/>
      <c r="Q313" s="441"/>
      <c r="R313" s="441"/>
      <c r="S313" s="441"/>
      <c r="T313" s="441"/>
      <c r="U313" s="441"/>
      <c r="V313" s="441"/>
      <c r="W313" s="441"/>
      <c r="X313" s="441"/>
      <c r="Y313" s="441"/>
      <c r="Z313" s="441"/>
      <c r="AA313" s="441"/>
      <c r="AB313" s="441"/>
      <c r="AC313" s="441"/>
      <c r="AD313" s="441"/>
      <c r="AE313" s="441"/>
    </row>
    <row r="314">
      <c r="A314" s="928"/>
      <c r="B314" s="441"/>
      <c r="C314" s="441"/>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1"/>
      <c r="Z314" s="441"/>
      <c r="AA314" s="441"/>
      <c r="AB314" s="441"/>
      <c r="AC314" s="441"/>
      <c r="AD314" s="441"/>
      <c r="AE314" s="441"/>
    </row>
    <row r="315">
      <c r="A315" s="928"/>
      <c r="B315" s="441"/>
      <c r="C315" s="441"/>
      <c r="D315" s="441"/>
      <c r="E315" s="441"/>
      <c r="F315" s="441"/>
      <c r="G315" s="441"/>
      <c r="H315" s="441"/>
      <c r="I315" s="441"/>
      <c r="J315" s="441"/>
      <c r="K315" s="441"/>
      <c r="L315" s="441"/>
      <c r="M315" s="441"/>
      <c r="N315" s="441"/>
      <c r="O315" s="441"/>
      <c r="P315" s="441"/>
      <c r="Q315" s="441"/>
      <c r="R315" s="441"/>
      <c r="S315" s="441"/>
      <c r="T315" s="441"/>
      <c r="U315" s="441"/>
      <c r="V315" s="441"/>
      <c r="W315" s="441"/>
      <c r="X315" s="441"/>
      <c r="Y315" s="441"/>
      <c r="Z315" s="441"/>
      <c r="AA315" s="441"/>
      <c r="AB315" s="441"/>
      <c r="AC315" s="441"/>
      <c r="AD315" s="441"/>
      <c r="AE315" s="441"/>
    </row>
    <row r="316">
      <c r="A316" s="928"/>
      <c r="B316" s="441"/>
      <c r="C316" s="441"/>
      <c r="D316" s="441"/>
      <c r="E316" s="441"/>
      <c r="F316" s="441"/>
      <c r="G316" s="441"/>
      <c r="H316" s="441"/>
      <c r="I316" s="441"/>
      <c r="J316" s="441"/>
      <c r="K316" s="441"/>
      <c r="L316" s="441"/>
      <c r="M316" s="441"/>
      <c r="N316" s="441"/>
      <c r="O316" s="441"/>
      <c r="P316" s="441"/>
      <c r="Q316" s="441"/>
      <c r="R316" s="441"/>
      <c r="S316" s="441"/>
      <c r="T316" s="441"/>
      <c r="U316" s="441"/>
      <c r="V316" s="441"/>
      <c r="W316" s="441"/>
      <c r="X316" s="441"/>
      <c r="Y316" s="441"/>
      <c r="Z316" s="441"/>
      <c r="AA316" s="441"/>
      <c r="AB316" s="441"/>
      <c r="AC316" s="441"/>
      <c r="AD316" s="441"/>
      <c r="AE316" s="441"/>
    </row>
    <row r="317">
      <c r="A317" s="928"/>
      <c r="B317" s="441"/>
      <c r="C317" s="441"/>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1"/>
      <c r="AA317" s="441"/>
      <c r="AB317" s="441"/>
      <c r="AC317" s="441"/>
      <c r="AD317" s="441"/>
      <c r="AE317" s="441"/>
    </row>
    <row r="318">
      <c r="A318" s="928"/>
      <c r="B318" s="441"/>
      <c r="C318" s="441"/>
      <c r="D318" s="441"/>
      <c r="E318" s="441"/>
      <c r="F318" s="441"/>
      <c r="G318" s="441"/>
      <c r="H318" s="441"/>
      <c r="I318" s="441"/>
      <c r="J318" s="441"/>
      <c r="K318" s="441"/>
      <c r="L318" s="441"/>
      <c r="M318" s="441"/>
      <c r="N318" s="441"/>
      <c r="O318" s="441"/>
      <c r="P318" s="441"/>
      <c r="Q318" s="441"/>
      <c r="R318" s="441"/>
      <c r="S318" s="441"/>
      <c r="T318" s="441"/>
      <c r="U318" s="441"/>
      <c r="V318" s="441"/>
      <c r="W318" s="441"/>
      <c r="X318" s="441"/>
      <c r="Y318" s="441"/>
      <c r="Z318" s="441"/>
      <c r="AA318" s="441"/>
      <c r="AB318" s="441"/>
      <c r="AC318" s="441"/>
      <c r="AD318" s="441"/>
      <c r="AE318" s="441"/>
    </row>
    <row r="319">
      <c r="A319" s="928"/>
      <c r="B319" s="441"/>
      <c r="C319" s="441"/>
      <c r="D319" s="441"/>
      <c r="E319" s="441"/>
      <c r="F319" s="441"/>
      <c r="G319" s="441"/>
      <c r="H319" s="441"/>
      <c r="I319" s="441"/>
      <c r="J319" s="441"/>
      <c r="K319" s="441"/>
      <c r="L319" s="441"/>
      <c r="M319" s="441"/>
      <c r="N319" s="441"/>
      <c r="O319" s="441"/>
      <c r="P319" s="441"/>
      <c r="Q319" s="441"/>
      <c r="R319" s="441"/>
      <c r="S319" s="441"/>
      <c r="T319" s="441"/>
      <c r="U319" s="441"/>
      <c r="V319" s="441"/>
      <c r="W319" s="441"/>
      <c r="X319" s="441"/>
      <c r="Y319" s="441"/>
      <c r="Z319" s="441"/>
      <c r="AA319" s="441"/>
      <c r="AB319" s="441"/>
      <c r="AC319" s="441"/>
      <c r="AD319" s="441"/>
      <c r="AE319" s="441"/>
    </row>
    <row r="320">
      <c r="A320" s="928"/>
      <c r="B320" s="441"/>
      <c r="C320" s="441"/>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1"/>
      <c r="AA320" s="441"/>
      <c r="AB320" s="441"/>
      <c r="AC320" s="441"/>
      <c r="AD320" s="441"/>
      <c r="AE320" s="441"/>
    </row>
    <row r="321">
      <c r="A321" s="928"/>
      <c r="B321" s="441"/>
      <c r="C321" s="441"/>
      <c r="D321" s="441"/>
      <c r="E321" s="441"/>
      <c r="F321" s="441"/>
      <c r="G321" s="441"/>
      <c r="H321" s="441"/>
      <c r="I321" s="441"/>
      <c r="J321" s="441"/>
      <c r="K321" s="441"/>
      <c r="L321" s="441"/>
      <c r="M321" s="441"/>
      <c r="N321" s="441"/>
      <c r="O321" s="441"/>
      <c r="P321" s="441"/>
      <c r="Q321" s="441"/>
      <c r="R321" s="441"/>
      <c r="S321" s="441"/>
      <c r="T321" s="441"/>
      <c r="U321" s="441"/>
      <c r="V321" s="441"/>
      <c r="W321" s="441"/>
      <c r="X321" s="441"/>
      <c r="Y321" s="441"/>
      <c r="Z321" s="441"/>
      <c r="AA321" s="441"/>
      <c r="AB321" s="441"/>
      <c r="AC321" s="441"/>
      <c r="AD321" s="441"/>
      <c r="AE321" s="441"/>
    </row>
    <row r="322">
      <c r="A322" s="928"/>
      <c r="B322" s="441"/>
      <c r="C322" s="441"/>
      <c r="D322" s="441"/>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row>
    <row r="323">
      <c r="A323" s="928"/>
      <c r="B323" s="441"/>
      <c r="C323" s="441"/>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c r="AA323" s="441"/>
      <c r="AB323" s="441"/>
      <c r="AC323" s="441"/>
      <c r="AD323" s="441"/>
      <c r="AE323" s="441"/>
    </row>
    <row r="324">
      <c r="A324" s="928"/>
      <c r="B324" s="441"/>
      <c r="C324" s="441"/>
      <c r="D324" s="441"/>
      <c r="E324" s="441"/>
      <c r="F324" s="441"/>
      <c r="G324" s="441"/>
      <c r="H324" s="441"/>
      <c r="I324" s="441"/>
      <c r="J324" s="441"/>
      <c r="K324" s="441"/>
      <c r="L324" s="441"/>
      <c r="M324" s="441"/>
      <c r="N324" s="441"/>
      <c r="O324" s="441"/>
      <c r="P324" s="441"/>
      <c r="Q324" s="441"/>
      <c r="R324" s="441"/>
      <c r="S324" s="441"/>
      <c r="T324" s="441"/>
      <c r="U324" s="441"/>
      <c r="V324" s="441"/>
      <c r="W324" s="441"/>
      <c r="X324" s="441"/>
      <c r="Y324" s="441"/>
      <c r="Z324" s="441"/>
      <c r="AA324" s="441"/>
      <c r="AB324" s="441"/>
      <c r="AC324" s="441"/>
      <c r="AD324" s="441"/>
      <c r="AE324" s="441"/>
    </row>
    <row r="325">
      <c r="A325" s="928"/>
      <c r="B325" s="441"/>
      <c r="C325" s="441"/>
      <c r="D325" s="441"/>
      <c r="E325" s="441"/>
      <c r="F325" s="441"/>
      <c r="G325" s="441"/>
      <c r="H325" s="441"/>
      <c r="I325" s="441"/>
      <c r="J325" s="441"/>
      <c r="K325" s="441"/>
      <c r="L325" s="441"/>
      <c r="M325" s="441"/>
      <c r="N325" s="441"/>
      <c r="O325" s="441"/>
      <c r="P325" s="441"/>
      <c r="Q325" s="441"/>
      <c r="R325" s="441"/>
      <c r="S325" s="441"/>
      <c r="T325" s="441"/>
      <c r="U325" s="441"/>
      <c r="V325" s="441"/>
      <c r="W325" s="441"/>
      <c r="X325" s="441"/>
      <c r="Y325" s="441"/>
      <c r="Z325" s="441"/>
      <c r="AA325" s="441"/>
      <c r="AB325" s="441"/>
      <c r="AC325" s="441"/>
      <c r="AD325" s="441"/>
      <c r="AE325" s="441"/>
    </row>
    <row r="326">
      <c r="A326" s="928"/>
      <c r="B326" s="441"/>
      <c r="C326" s="441"/>
      <c r="D326" s="441"/>
      <c r="E326" s="441"/>
      <c r="F326" s="441"/>
      <c r="G326" s="441"/>
      <c r="H326" s="441"/>
      <c r="I326" s="441"/>
      <c r="J326" s="441"/>
      <c r="K326" s="441"/>
      <c r="L326" s="441"/>
      <c r="M326" s="441"/>
      <c r="N326" s="441"/>
      <c r="O326" s="441"/>
      <c r="P326" s="441"/>
      <c r="Q326" s="441"/>
      <c r="R326" s="441"/>
      <c r="S326" s="441"/>
      <c r="T326" s="441"/>
      <c r="U326" s="441"/>
      <c r="V326" s="441"/>
      <c r="W326" s="441"/>
      <c r="X326" s="441"/>
      <c r="Y326" s="441"/>
      <c r="Z326" s="441"/>
      <c r="AA326" s="441"/>
      <c r="AB326" s="441"/>
      <c r="AC326" s="441"/>
      <c r="AD326" s="441"/>
      <c r="AE326" s="441"/>
    </row>
    <row r="327">
      <c r="A327" s="928"/>
      <c r="B327" s="441"/>
      <c r="C327" s="441"/>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1"/>
      <c r="AA327" s="441"/>
      <c r="AB327" s="441"/>
      <c r="AC327" s="441"/>
      <c r="AD327" s="441"/>
      <c r="AE327" s="441"/>
    </row>
    <row r="328">
      <c r="A328" s="928"/>
      <c r="B328" s="441"/>
      <c r="C328" s="441"/>
      <c r="D328" s="441"/>
      <c r="E328" s="441"/>
      <c r="F328" s="441"/>
      <c r="G328" s="441"/>
      <c r="H328" s="441"/>
      <c r="I328" s="441"/>
      <c r="J328" s="441"/>
      <c r="K328" s="441"/>
      <c r="L328" s="441"/>
      <c r="M328" s="441"/>
      <c r="N328" s="441"/>
      <c r="O328" s="441"/>
      <c r="P328" s="441"/>
      <c r="Q328" s="441"/>
      <c r="R328" s="441"/>
      <c r="S328" s="441"/>
      <c r="T328" s="441"/>
      <c r="U328" s="441"/>
      <c r="V328" s="441"/>
      <c r="W328" s="441"/>
      <c r="X328" s="441"/>
      <c r="Y328" s="441"/>
      <c r="Z328" s="441"/>
      <c r="AA328" s="441"/>
      <c r="AB328" s="441"/>
      <c r="AC328" s="441"/>
      <c r="AD328" s="441"/>
      <c r="AE328" s="441"/>
    </row>
    <row r="329">
      <c r="A329" s="928"/>
      <c r="B329" s="441"/>
      <c r="C329" s="441"/>
      <c r="D329" s="441"/>
      <c r="E329" s="441"/>
      <c r="F329" s="441"/>
      <c r="G329" s="441"/>
      <c r="H329" s="441"/>
      <c r="I329" s="441"/>
      <c r="J329" s="441"/>
      <c r="K329" s="441"/>
      <c r="L329" s="441"/>
      <c r="M329" s="441"/>
      <c r="N329" s="441"/>
      <c r="O329" s="441"/>
      <c r="P329" s="441"/>
      <c r="Q329" s="441"/>
      <c r="R329" s="441"/>
      <c r="S329" s="441"/>
      <c r="T329" s="441"/>
      <c r="U329" s="441"/>
      <c r="V329" s="441"/>
      <c r="W329" s="441"/>
      <c r="X329" s="441"/>
      <c r="Y329" s="441"/>
      <c r="Z329" s="441"/>
      <c r="AA329" s="441"/>
      <c r="AB329" s="441"/>
      <c r="AC329" s="441"/>
      <c r="AD329" s="441"/>
      <c r="AE329" s="441"/>
    </row>
    <row r="330">
      <c r="A330" s="928"/>
      <c r="B330" s="441"/>
      <c r="C330" s="441"/>
      <c r="D330" s="441"/>
      <c r="E330" s="441"/>
      <c r="F330" s="441"/>
      <c r="G330" s="441"/>
      <c r="H330" s="441"/>
      <c r="I330" s="441"/>
      <c r="J330" s="441"/>
      <c r="K330" s="441"/>
      <c r="L330" s="441"/>
      <c r="M330" s="441"/>
      <c r="N330" s="441"/>
      <c r="O330" s="441"/>
      <c r="P330" s="441"/>
      <c r="Q330" s="441"/>
      <c r="R330" s="441"/>
      <c r="S330" s="441"/>
      <c r="T330" s="441"/>
      <c r="U330" s="441"/>
      <c r="V330" s="441"/>
      <c r="W330" s="441"/>
      <c r="X330" s="441"/>
      <c r="Y330" s="441"/>
      <c r="Z330" s="441"/>
      <c r="AA330" s="441"/>
      <c r="AB330" s="441"/>
      <c r="AC330" s="441"/>
      <c r="AD330" s="441"/>
      <c r="AE330" s="441"/>
    </row>
    <row r="331">
      <c r="A331" s="928"/>
      <c r="B331" s="441"/>
      <c r="C331" s="441"/>
      <c r="D331" s="441"/>
      <c r="E331" s="441"/>
      <c r="F331" s="441"/>
      <c r="G331" s="441"/>
      <c r="H331" s="441"/>
      <c r="I331" s="441"/>
      <c r="J331" s="441"/>
      <c r="K331" s="441"/>
      <c r="L331" s="441"/>
      <c r="M331" s="441"/>
      <c r="N331" s="441"/>
      <c r="O331" s="441"/>
      <c r="P331" s="441"/>
      <c r="Q331" s="441"/>
      <c r="R331" s="441"/>
      <c r="S331" s="441"/>
      <c r="T331" s="441"/>
      <c r="U331" s="441"/>
      <c r="V331" s="441"/>
      <c r="W331" s="441"/>
      <c r="X331" s="441"/>
      <c r="Y331" s="441"/>
      <c r="Z331" s="441"/>
      <c r="AA331" s="441"/>
      <c r="AB331" s="441"/>
      <c r="AC331" s="441"/>
      <c r="AD331" s="441"/>
      <c r="AE331" s="441"/>
    </row>
    <row r="332">
      <c r="A332" s="928"/>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row>
    <row r="333">
      <c r="A333" s="928"/>
      <c r="B333" s="441"/>
      <c r="C333" s="441"/>
      <c r="D333" s="441"/>
      <c r="E333" s="441"/>
      <c r="F333" s="441"/>
      <c r="G333" s="441"/>
      <c r="H333" s="441"/>
      <c r="I333" s="441"/>
      <c r="J333" s="441"/>
      <c r="K333" s="441"/>
      <c r="L333" s="441"/>
      <c r="M333" s="441"/>
      <c r="N333" s="441"/>
      <c r="O333" s="441"/>
      <c r="P333" s="441"/>
      <c r="Q333" s="441"/>
      <c r="R333" s="441"/>
      <c r="S333" s="441"/>
      <c r="T333" s="441"/>
      <c r="U333" s="441"/>
      <c r="V333" s="441"/>
      <c r="W333" s="441"/>
      <c r="X333" s="441"/>
      <c r="Y333" s="441"/>
      <c r="Z333" s="441"/>
      <c r="AA333" s="441"/>
      <c r="AB333" s="441"/>
      <c r="AC333" s="441"/>
      <c r="AD333" s="441"/>
      <c r="AE333" s="441"/>
    </row>
    <row r="334">
      <c r="A334" s="928"/>
      <c r="B334" s="441"/>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1"/>
      <c r="AA334" s="441"/>
      <c r="AB334" s="441"/>
      <c r="AC334" s="441"/>
      <c r="AD334" s="441"/>
      <c r="AE334" s="441"/>
    </row>
    <row r="335">
      <c r="A335" s="928"/>
      <c r="B335" s="441"/>
      <c r="C335" s="441"/>
      <c r="D335" s="441"/>
      <c r="E335" s="441"/>
      <c r="F335" s="441"/>
      <c r="G335" s="441"/>
      <c r="H335" s="441"/>
      <c r="I335" s="441"/>
      <c r="J335" s="441"/>
      <c r="K335" s="441"/>
      <c r="L335" s="441"/>
      <c r="M335" s="441"/>
      <c r="N335" s="441"/>
      <c r="O335" s="441"/>
      <c r="P335" s="441"/>
      <c r="Q335" s="441"/>
      <c r="R335" s="441"/>
      <c r="S335" s="441"/>
      <c r="T335" s="441"/>
      <c r="U335" s="441"/>
      <c r="V335" s="441"/>
      <c r="W335" s="441"/>
      <c r="X335" s="441"/>
      <c r="Y335" s="441"/>
      <c r="Z335" s="441"/>
      <c r="AA335" s="441"/>
      <c r="AB335" s="441"/>
      <c r="AC335" s="441"/>
      <c r="AD335" s="441"/>
      <c r="AE335" s="441"/>
    </row>
    <row r="336">
      <c r="A336" s="928"/>
      <c r="B336" s="441"/>
      <c r="C336" s="441"/>
      <c r="D336" s="441"/>
      <c r="E336" s="441"/>
      <c r="F336" s="441"/>
      <c r="G336" s="441"/>
      <c r="H336" s="441"/>
      <c r="I336" s="441"/>
      <c r="J336" s="441"/>
      <c r="K336" s="441"/>
      <c r="L336" s="441"/>
      <c r="M336" s="441"/>
      <c r="N336" s="441"/>
      <c r="O336" s="441"/>
      <c r="P336" s="441"/>
      <c r="Q336" s="441"/>
      <c r="R336" s="441"/>
      <c r="S336" s="441"/>
      <c r="T336" s="441"/>
      <c r="U336" s="441"/>
      <c r="V336" s="441"/>
      <c r="W336" s="441"/>
      <c r="X336" s="441"/>
      <c r="Y336" s="441"/>
      <c r="Z336" s="441"/>
      <c r="AA336" s="441"/>
      <c r="AB336" s="441"/>
      <c r="AC336" s="441"/>
      <c r="AD336" s="441"/>
      <c r="AE336" s="441"/>
    </row>
    <row r="337">
      <c r="A337" s="928"/>
      <c r="B337" s="441"/>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1"/>
      <c r="AA337" s="441"/>
      <c r="AB337" s="441"/>
      <c r="AC337" s="441"/>
      <c r="AD337" s="441"/>
      <c r="AE337" s="441"/>
    </row>
    <row r="338">
      <c r="A338" s="928"/>
      <c r="B338" s="441"/>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c r="AA338" s="441"/>
      <c r="AB338" s="441"/>
      <c r="AC338" s="441"/>
      <c r="AD338" s="441"/>
      <c r="AE338" s="441"/>
    </row>
    <row r="339">
      <c r="A339" s="928"/>
      <c r="B339" s="441"/>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row>
    <row r="340">
      <c r="A340" s="928"/>
      <c r="B340" s="441"/>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row>
    <row r="341">
      <c r="A341" s="928"/>
      <c r="B341" s="441"/>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c r="AA341" s="441"/>
      <c r="AB341" s="441"/>
      <c r="AC341" s="441"/>
      <c r="AD341" s="441"/>
      <c r="AE341" s="441"/>
    </row>
    <row r="342">
      <c r="A342" s="928"/>
      <c r="B342" s="441"/>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c r="AA342" s="441"/>
      <c r="AB342" s="441"/>
      <c r="AC342" s="441"/>
      <c r="AD342" s="441"/>
      <c r="AE342" s="441"/>
    </row>
    <row r="343">
      <c r="A343" s="928"/>
      <c r="B343" s="441"/>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c r="AA343" s="441"/>
      <c r="AB343" s="441"/>
      <c r="AC343" s="441"/>
      <c r="AD343" s="441"/>
      <c r="AE343" s="441"/>
    </row>
    <row r="344">
      <c r="A344" s="928"/>
      <c r="B344" s="441"/>
      <c r="C344" s="441"/>
      <c r="D344" s="441"/>
      <c r="E344" s="441"/>
      <c r="F344" s="441"/>
      <c r="G344" s="441"/>
      <c r="H344" s="441"/>
      <c r="I344" s="441"/>
      <c r="J344" s="441"/>
      <c r="K344" s="441"/>
      <c r="L344" s="441"/>
      <c r="M344" s="441"/>
      <c r="N344" s="441"/>
      <c r="O344" s="441"/>
      <c r="P344" s="441"/>
      <c r="Q344" s="441"/>
      <c r="R344" s="441"/>
      <c r="S344" s="441"/>
      <c r="T344" s="441"/>
      <c r="U344" s="441"/>
      <c r="V344" s="441"/>
      <c r="W344" s="441"/>
      <c r="X344" s="441"/>
      <c r="Y344" s="441"/>
      <c r="Z344" s="441"/>
      <c r="AA344" s="441"/>
      <c r="AB344" s="441"/>
      <c r="AC344" s="441"/>
      <c r="AD344" s="441"/>
      <c r="AE344" s="441"/>
    </row>
    <row r="345">
      <c r="A345" s="928"/>
      <c r="B345" s="441"/>
      <c r="C345" s="441"/>
      <c r="D345" s="441"/>
      <c r="E345" s="441"/>
      <c r="F345" s="441"/>
      <c r="G345" s="441"/>
      <c r="H345" s="441"/>
      <c r="I345" s="441"/>
      <c r="J345" s="441"/>
      <c r="K345" s="441"/>
      <c r="L345" s="441"/>
      <c r="M345" s="441"/>
      <c r="N345" s="441"/>
      <c r="O345" s="441"/>
      <c r="P345" s="441"/>
      <c r="Q345" s="441"/>
      <c r="R345" s="441"/>
      <c r="S345" s="441"/>
      <c r="T345" s="441"/>
      <c r="U345" s="441"/>
      <c r="V345" s="441"/>
      <c r="W345" s="441"/>
      <c r="X345" s="441"/>
      <c r="Y345" s="441"/>
      <c r="Z345" s="441"/>
      <c r="AA345" s="441"/>
      <c r="AB345" s="441"/>
      <c r="AC345" s="441"/>
      <c r="AD345" s="441"/>
      <c r="AE345" s="441"/>
    </row>
    <row r="346">
      <c r="A346" s="928"/>
      <c r="B346" s="441"/>
      <c r="C346" s="441"/>
      <c r="D346" s="441"/>
      <c r="E346" s="441"/>
      <c r="F346" s="441"/>
      <c r="G346" s="441"/>
      <c r="H346" s="441"/>
      <c r="I346" s="441"/>
      <c r="J346" s="441"/>
      <c r="K346" s="441"/>
      <c r="L346" s="441"/>
      <c r="M346" s="441"/>
      <c r="N346" s="441"/>
      <c r="O346" s="441"/>
      <c r="P346" s="441"/>
      <c r="Q346" s="441"/>
      <c r="R346" s="441"/>
      <c r="S346" s="441"/>
      <c r="T346" s="441"/>
      <c r="U346" s="441"/>
      <c r="V346" s="441"/>
      <c r="W346" s="441"/>
      <c r="X346" s="441"/>
      <c r="Y346" s="441"/>
      <c r="Z346" s="441"/>
      <c r="AA346" s="441"/>
      <c r="AB346" s="441"/>
      <c r="AC346" s="441"/>
      <c r="AD346" s="441"/>
      <c r="AE346" s="441"/>
    </row>
    <row r="347">
      <c r="A347" s="928"/>
      <c r="B347" s="441"/>
      <c r="C347" s="441"/>
      <c r="D347" s="441"/>
      <c r="E347" s="441"/>
      <c r="F347" s="441"/>
      <c r="G347" s="441"/>
      <c r="H347" s="441"/>
      <c r="I347" s="441"/>
      <c r="J347" s="441"/>
      <c r="K347" s="441"/>
      <c r="L347" s="441"/>
      <c r="M347" s="441"/>
      <c r="N347" s="441"/>
      <c r="O347" s="441"/>
      <c r="P347" s="441"/>
      <c r="Q347" s="441"/>
      <c r="R347" s="441"/>
      <c r="S347" s="441"/>
      <c r="T347" s="441"/>
      <c r="U347" s="441"/>
      <c r="V347" s="441"/>
      <c r="W347" s="441"/>
      <c r="X347" s="441"/>
      <c r="Y347" s="441"/>
      <c r="Z347" s="441"/>
      <c r="AA347" s="441"/>
      <c r="AB347" s="441"/>
      <c r="AC347" s="441"/>
      <c r="AD347" s="441"/>
      <c r="AE347" s="441"/>
    </row>
    <row r="348">
      <c r="A348" s="928"/>
      <c r="B348" s="441"/>
      <c r="C348" s="441"/>
      <c r="D348" s="441"/>
      <c r="E348" s="441"/>
      <c r="F348" s="441"/>
      <c r="G348" s="441"/>
      <c r="H348" s="441"/>
      <c r="I348" s="441"/>
      <c r="J348" s="441"/>
      <c r="K348" s="441"/>
      <c r="L348" s="441"/>
      <c r="M348" s="441"/>
      <c r="N348" s="441"/>
      <c r="O348" s="441"/>
      <c r="P348" s="441"/>
      <c r="Q348" s="441"/>
      <c r="R348" s="441"/>
      <c r="S348" s="441"/>
      <c r="T348" s="441"/>
      <c r="U348" s="441"/>
      <c r="V348" s="441"/>
      <c r="W348" s="441"/>
      <c r="X348" s="441"/>
      <c r="Y348" s="441"/>
      <c r="Z348" s="441"/>
      <c r="AA348" s="441"/>
      <c r="AB348" s="441"/>
      <c r="AC348" s="441"/>
      <c r="AD348" s="441"/>
      <c r="AE348" s="441"/>
    </row>
    <row r="349">
      <c r="A349" s="928"/>
      <c r="B349" s="441"/>
      <c r="C349" s="441"/>
      <c r="D349" s="441"/>
      <c r="E349" s="441"/>
      <c r="F349" s="441"/>
      <c r="G349" s="441"/>
      <c r="H349" s="441"/>
      <c r="I349" s="441"/>
      <c r="J349" s="441"/>
      <c r="K349" s="441"/>
      <c r="L349" s="441"/>
      <c r="M349" s="441"/>
      <c r="N349" s="441"/>
      <c r="O349" s="441"/>
      <c r="P349" s="441"/>
      <c r="Q349" s="441"/>
      <c r="R349" s="441"/>
      <c r="S349" s="441"/>
      <c r="T349" s="441"/>
      <c r="U349" s="441"/>
      <c r="V349" s="441"/>
      <c r="W349" s="441"/>
      <c r="X349" s="441"/>
      <c r="Y349" s="441"/>
      <c r="Z349" s="441"/>
      <c r="AA349" s="441"/>
      <c r="AB349" s="441"/>
      <c r="AC349" s="441"/>
      <c r="AD349" s="441"/>
      <c r="AE349" s="441"/>
    </row>
    <row r="350">
      <c r="A350" s="928"/>
      <c r="B350" s="441"/>
      <c r="C350" s="441"/>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1"/>
      <c r="AA350" s="441"/>
      <c r="AB350" s="441"/>
      <c r="AC350" s="441"/>
      <c r="AD350" s="441"/>
      <c r="AE350" s="441"/>
    </row>
    <row r="351">
      <c r="A351" s="928"/>
      <c r="B351" s="441"/>
      <c r="C351" s="441"/>
      <c r="D351" s="441"/>
      <c r="E351" s="441"/>
      <c r="F351" s="441"/>
      <c r="G351" s="441"/>
      <c r="H351" s="441"/>
      <c r="I351" s="441"/>
      <c r="J351" s="441"/>
      <c r="K351" s="441"/>
      <c r="L351" s="441"/>
      <c r="M351" s="441"/>
      <c r="N351" s="441"/>
      <c r="O351" s="441"/>
      <c r="P351" s="441"/>
      <c r="Q351" s="441"/>
      <c r="R351" s="441"/>
      <c r="S351" s="441"/>
      <c r="T351" s="441"/>
      <c r="U351" s="441"/>
      <c r="V351" s="441"/>
      <c r="W351" s="441"/>
      <c r="X351" s="441"/>
      <c r="Y351" s="441"/>
      <c r="Z351" s="441"/>
      <c r="AA351" s="441"/>
      <c r="AB351" s="441"/>
      <c r="AC351" s="441"/>
      <c r="AD351" s="441"/>
      <c r="AE351" s="441"/>
    </row>
    <row r="352">
      <c r="A352" s="928"/>
      <c r="B352" s="441"/>
      <c r="C352" s="441"/>
      <c r="D352" s="441"/>
      <c r="E352" s="441"/>
      <c r="F352" s="441"/>
      <c r="G352" s="441"/>
      <c r="H352" s="441"/>
      <c r="I352" s="441"/>
      <c r="J352" s="441"/>
      <c r="K352" s="441"/>
      <c r="L352" s="441"/>
      <c r="M352" s="441"/>
      <c r="N352" s="441"/>
      <c r="O352" s="441"/>
      <c r="P352" s="441"/>
      <c r="Q352" s="441"/>
      <c r="R352" s="441"/>
      <c r="S352" s="441"/>
      <c r="T352" s="441"/>
      <c r="U352" s="441"/>
      <c r="V352" s="441"/>
      <c r="W352" s="441"/>
      <c r="X352" s="441"/>
      <c r="Y352" s="441"/>
      <c r="Z352" s="441"/>
      <c r="AA352" s="441"/>
      <c r="AB352" s="441"/>
      <c r="AC352" s="441"/>
      <c r="AD352" s="441"/>
      <c r="AE352" s="441"/>
    </row>
    <row r="353">
      <c r="A353" s="928"/>
      <c r="B353" s="441"/>
      <c r="C353" s="441"/>
      <c r="D353" s="441"/>
      <c r="E353" s="441"/>
      <c r="F353" s="441"/>
      <c r="G353" s="441"/>
      <c r="H353" s="441"/>
      <c r="I353" s="441"/>
      <c r="J353" s="441"/>
      <c r="K353" s="441"/>
      <c r="L353" s="441"/>
      <c r="M353" s="441"/>
      <c r="N353" s="441"/>
      <c r="O353" s="441"/>
      <c r="P353" s="441"/>
      <c r="Q353" s="441"/>
      <c r="R353" s="441"/>
      <c r="S353" s="441"/>
      <c r="T353" s="441"/>
      <c r="U353" s="441"/>
      <c r="V353" s="441"/>
      <c r="W353" s="441"/>
      <c r="X353" s="441"/>
      <c r="Y353" s="441"/>
      <c r="Z353" s="441"/>
      <c r="AA353" s="441"/>
      <c r="AB353" s="441"/>
      <c r="AC353" s="441"/>
      <c r="AD353" s="441"/>
      <c r="AE353" s="441"/>
    </row>
    <row r="354">
      <c r="A354" s="928"/>
      <c r="B354" s="441"/>
      <c r="C354" s="441"/>
      <c r="D354" s="441"/>
      <c r="E354" s="441"/>
      <c r="F354" s="441"/>
      <c r="G354" s="441"/>
      <c r="H354" s="441"/>
      <c r="I354" s="441"/>
      <c r="J354" s="441"/>
      <c r="K354" s="441"/>
      <c r="L354" s="441"/>
      <c r="M354" s="441"/>
      <c r="N354" s="441"/>
      <c r="O354" s="441"/>
      <c r="P354" s="441"/>
      <c r="Q354" s="441"/>
      <c r="R354" s="441"/>
      <c r="S354" s="441"/>
      <c r="T354" s="441"/>
      <c r="U354" s="441"/>
      <c r="V354" s="441"/>
      <c r="W354" s="441"/>
      <c r="X354" s="441"/>
      <c r="Y354" s="441"/>
      <c r="Z354" s="441"/>
      <c r="AA354" s="441"/>
      <c r="AB354" s="441"/>
      <c r="AC354" s="441"/>
      <c r="AD354" s="441"/>
      <c r="AE354" s="441"/>
    </row>
    <row r="355">
      <c r="A355" s="928"/>
      <c r="B355" s="441"/>
      <c r="C355" s="441"/>
      <c r="D355" s="441"/>
      <c r="E355" s="441"/>
      <c r="F355" s="441"/>
      <c r="G355" s="441"/>
      <c r="H355" s="441"/>
      <c r="I355" s="441"/>
      <c r="J355" s="441"/>
      <c r="K355" s="441"/>
      <c r="L355" s="441"/>
      <c r="M355" s="441"/>
      <c r="N355" s="441"/>
      <c r="O355" s="441"/>
      <c r="P355" s="441"/>
      <c r="Q355" s="441"/>
      <c r="R355" s="441"/>
      <c r="S355" s="441"/>
      <c r="T355" s="441"/>
      <c r="U355" s="441"/>
      <c r="V355" s="441"/>
      <c r="W355" s="441"/>
      <c r="X355" s="441"/>
      <c r="Y355" s="441"/>
      <c r="Z355" s="441"/>
      <c r="AA355" s="441"/>
      <c r="AB355" s="441"/>
      <c r="AC355" s="441"/>
      <c r="AD355" s="441"/>
      <c r="AE355" s="441"/>
    </row>
    <row r="356">
      <c r="A356" s="928"/>
      <c r="B356" s="441"/>
      <c r="C356" s="441"/>
      <c r="D356" s="441"/>
      <c r="E356" s="441"/>
      <c r="F356" s="441"/>
      <c r="G356" s="441"/>
      <c r="H356" s="441"/>
      <c r="I356" s="441"/>
      <c r="J356" s="441"/>
      <c r="K356" s="441"/>
      <c r="L356" s="441"/>
      <c r="M356" s="441"/>
      <c r="N356" s="441"/>
      <c r="O356" s="441"/>
      <c r="P356" s="441"/>
      <c r="Q356" s="441"/>
      <c r="R356" s="441"/>
      <c r="S356" s="441"/>
      <c r="T356" s="441"/>
      <c r="U356" s="441"/>
      <c r="V356" s="441"/>
      <c r="W356" s="441"/>
      <c r="X356" s="441"/>
      <c r="Y356" s="441"/>
      <c r="Z356" s="441"/>
      <c r="AA356" s="441"/>
      <c r="AB356" s="441"/>
      <c r="AC356" s="441"/>
      <c r="AD356" s="441"/>
      <c r="AE356" s="441"/>
    </row>
    <row r="357">
      <c r="A357" s="928"/>
      <c r="B357" s="441"/>
      <c r="C357" s="441"/>
      <c r="D357" s="441"/>
      <c r="E357" s="441"/>
      <c r="F357" s="441"/>
      <c r="G357" s="441"/>
      <c r="H357" s="441"/>
      <c r="I357" s="441"/>
      <c r="J357" s="441"/>
      <c r="K357" s="441"/>
      <c r="L357" s="441"/>
      <c r="M357" s="441"/>
      <c r="N357" s="441"/>
      <c r="O357" s="441"/>
      <c r="P357" s="441"/>
      <c r="Q357" s="441"/>
      <c r="R357" s="441"/>
      <c r="S357" s="441"/>
      <c r="T357" s="441"/>
      <c r="U357" s="441"/>
      <c r="V357" s="441"/>
      <c r="W357" s="441"/>
      <c r="X357" s="441"/>
      <c r="Y357" s="441"/>
      <c r="Z357" s="441"/>
      <c r="AA357" s="441"/>
      <c r="AB357" s="441"/>
      <c r="AC357" s="441"/>
      <c r="AD357" s="441"/>
      <c r="AE357" s="441"/>
    </row>
    <row r="358">
      <c r="A358" s="928"/>
      <c r="B358" s="441"/>
      <c r="C358" s="441"/>
      <c r="D358" s="441"/>
      <c r="E358" s="441"/>
      <c r="F358" s="441"/>
      <c r="G358" s="441"/>
      <c r="H358" s="441"/>
      <c r="I358" s="441"/>
      <c r="J358" s="441"/>
      <c r="K358" s="441"/>
      <c r="L358" s="441"/>
      <c r="M358" s="441"/>
      <c r="N358" s="441"/>
      <c r="O358" s="441"/>
      <c r="P358" s="441"/>
      <c r="Q358" s="441"/>
      <c r="R358" s="441"/>
      <c r="S358" s="441"/>
      <c r="T358" s="441"/>
      <c r="U358" s="441"/>
      <c r="V358" s="441"/>
      <c r="W358" s="441"/>
      <c r="X358" s="441"/>
      <c r="Y358" s="441"/>
      <c r="Z358" s="441"/>
      <c r="AA358" s="441"/>
      <c r="AB358" s="441"/>
      <c r="AC358" s="441"/>
      <c r="AD358" s="441"/>
      <c r="AE358" s="441"/>
    </row>
    <row r="359">
      <c r="A359" s="928"/>
      <c r="B359" s="441"/>
      <c r="C359" s="441"/>
      <c r="D359" s="441"/>
      <c r="E359" s="441"/>
      <c r="F359" s="441"/>
      <c r="G359" s="441"/>
      <c r="H359" s="441"/>
      <c r="I359" s="441"/>
      <c r="J359" s="441"/>
      <c r="K359" s="441"/>
      <c r="L359" s="441"/>
      <c r="M359" s="441"/>
      <c r="N359" s="441"/>
      <c r="O359" s="441"/>
      <c r="P359" s="441"/>
      <c r="Q359" s="441"/>
      <c r="R359" s="441"/>
      <c r="S359" s="441"/>
      <c r="T359" s="441"/>
      <c r="U359" s="441"/>
      <c r="V359" s="441"/>
      <c r="W359" s="441"/>
      <c r="X359" s="441"/>
      <c r="Y359" s="441"/>
      <c r="Z359" s="441"/>
      <c r="AA359" s="441"/>
      <c r="AB359" s="441"/>
      <c r="AC359" s="441"/>
      <c r="AD359" s="441"/>
      <c r="AE359" s="441"/>
    </row>
    <row r="360">
      <c r="A360" s="928"/>
      <c r="B360" s="441"/>
      <c r="C360" s="441"/>
      <c r="D360" s="441"/>
      <c r="E360" s="441"/>
      <c r="F360" s="441"/>
      <c r="G360" s="441"/>
      <c r="H360" s="441"/>
      <c r="I360" s="441"/>
      <c r="J360" s="441"/>
      <c r="K360" s="441"/>
      <c r="L360" s="441"/>
      <c r="M360" s="441"/>
      <c r="N360" s="441"/>
      <c r="O360" s="441"/>
      <c r="P360" s="441"/>
      <c r="Q360" s="441"/>
      <c r="R360" s="441"/>
      <c r="S360" s="441"/>
      <c r="T360" s="441"/>
      <c r="U360" s="441"/>
      <c r="V360" s="441"/>
      <c r="W360" s="441"/>
      <c r="X360" s="441"/>
      <c r="Y360" s="441"/>
      <c r="Z360" s="441"/>
      <c r="AA360" s="441"/>
      <c r="AB360" s="441"/>
      <c r="AC360" s="441"/>
      <c r="AD360" s="441"/>
      <c r="AE360" s="441"/>
    </row>
    <row r="361">
      <c r="A361" s="928"/>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1"/>
      <c r="AA361" s="441"/>
      <c r="AB361" s="441"/>
      <c r="AC361" s="441"/>
      <c r="AD361" s="441"/>
      <c r="AE361" s="441"/>
    </row>
    <row r="362">
      <c r="A362" s="928"/>
      <c r="B362" s="441"/>
      <c r="C362" s="441"/>
      <c r="D362" s="441"/>
      <c r="E362" s="441"/>
      <c r="F362" s="441"/>
      <c r="G362" s="441"/>
      <c r="H362" s="441"/>
      <c r="I362" s="441"/>
      <c r="J362" s="441"/>
      <c r="K362" s="441"/>
      <c r="L362" s="441"/>
      <c r="M362" s="441"/>
      <c r="N362" s="441"/>
      <c r="O362" s="441"/>
      <c r="P362" s="441"/>
      <c r="Q362" s="441"/>
      <c r="R362" s="441"/>
      <c r="S362" s="441"/>
      <c r="T362" s="441"/>
      <c r="U362" s="441"/>
      <c r="V362" s="441"/>
      <c r="W362" s="441"/>
      <c r="X362" s="441"/>
      <c r="Y362" s="441"/>
      <c r="Z362" s="441"/>
      <c r="AA362" s="441"/>
      <c r="AB362" s="441"/>
      <c r="AC362" s="441"/>
      <c r="AD362" s="441"/>
      <c r="AE362" s="441"/>
    </row>
    <row r="363">
      <c r="A363" s="928"/>
      <c r="B363" s="441"/>
      <c r="C363" s="441"/>
      <c r="D363" s="441"/>
      <c r="E363" s="441"/>
      <c r="F363" s="441"/>
      <c r="G363" s="441"/>
      <c r="H363" s="441"/>
      <c r="I363" s="441"/>
      <c r="J363" s="441"/>
      <c r="K363" s="441"/>
      <c r="L363" s="441"/>
      <c r="M363" s="441"/>
      <c r="N363" s="441"/>
      <c r="O363" s="441"/>
      <c r="P363" s="441"/>
      <c r="Q363" s="441"/>
      <c r="R363" s="441"/>
      <c r="S363" s="441"/>
      <c r="T363" s="441"/>
      <c r="U363" s="441"/>
      <c r="V363" s="441"/>
      <c r="W363" s="441"/>
      <c r="X363" s="441"/>
      <c r="Y363" s="441"/>
      <c r="Z363" s="441"/>
      <c r="AA363" s="441"/>
      <c r="AB363" s="441"/>
      <c r="AC363" s="441"/>
      <c r="AD363" s="441"/>
      <c r="AE363" s="441"/>
    </row>
    <row r="364">
      <c r="A364" s="928"/>
      <c r="B364" s="441"/>
      <c r="C364" s="441"/>
      <c r="D364" s="441"/>
      <c r="E364" s="441"/>
      <c r="F364" s="441"/>
      <c r="G364" s="441"/>
      <c r="H364" s="441"/>
      <c r="I364" s="441"/>
      <c r="J364" s="441"/>
      <c r="K364" s="441"/>
      <c r="L364" s="441"/>
      <c r="M364" s="441"/>
      <c r="N364" s="441"/>
      <c r="O364" s="441"/>
      <c r="P364" s="441"/>
      <c r="Q364" s="441"/>
      <c r="R364" s="441"/>
      <c r="S364" s="441"/>
      <c r="T364" s="441"/>
      <c r="U364" s="441"/>
      <c r="V364" s="441"/>
      <c r="W364" s="441"/>
      <c r="X364" s="441"/>
      <c r="Y364" s="441"/>
      <c r="Z364" s="441"/>
      <c r="AA364" s="441"/>
      <c r="AB364" s="441"/>
      <c r="AC364" s="441"/>
      <c r="AD364" s="441"/>
      <c r="AE364" s="441"/>
    </row>
    <row r="365">
      <c r="A365" s="928"/>
      <c r="B365" s="441"/>
      <c r="C365" s="441"/>
      <c r="D365" s="441"/>
      <c r="E365" s="441"/>
      <c r="F365" s="441"/>
      <c r="G365" s="441"/>
      <c r="H365" s="441"/>
      <c r="I365" s="441"/>
      <c r="J365" s="441"/>
      <c r="K365" s="441"/>
      <c r="L365" s="441"/>
      <c r="M365" s="441"/>
      <c r="N365" s="441"/>
      <c r="O365" s="441"/>
      <c r="P365" s="441"/>
      <c r="Q365" s="441"/>
      <c r="R365" s="441"/>
      <c r="S365" s="441"/>
      <c r="T365" s="441"/>
      <c r="U365" s="441"/>
      <c r="V365" s="441"/>
      <c r="W365" s="441"/>
      <c r="X365" s="441"/>
      <c r="Y365" s="441"/>
      <c r="Z365" s="441"/>
      <c r="AA365" s="441"/>
      <c r="AB365" s="441"/>
      <c r="AC365" s="441"/>
      <c r="AD365" s="441"/>
      <c r="AE365" s="441"/>
    </row>
    <row r="366">
      <c r="A366" s="928"/>
      <c r="B366" s="441"/>
      <c r="C366" s="441"/>
      <c r="D366" s="441"/>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row>
    <row r="367">
      <c r="A367" s="928"/>
      <c r="B367" s="441"/>
      <c r="C367" s="441"/>
      <c r="D367" s="441"/>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row>
    <row r="368">
      <c r="A368" s="928"/>
      <c r="B368" s="441"/>
      <c r="C368" s="441"/>
      <c r="D368" s="441"/>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row>
    <row r="369">
      <c r="A369" s="928"/>
      <c r="B369" s="441"/>
      <c r="C369" s="441"/>
      <c r="D369" s="441"/>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row>
    <row r="370">
      <c r="A370" s="928"/>
      <c r="B370" s="441"/>
      <c r="C370" s="441"/>
      <c r="D370" s="441"/>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row>
    <row r="371">
      <c r="A371" s="928"/>
      <c r="B371" s="441"/>
      <c r="C371" s="441"/>
      <c r="D371" s="441"/>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row>
    <row r="372">
      <c r="A372" s="928"/>
      <c r="B372" s="441"/>
      <c r="C372" s="441"/>
      <c r="D372" s="441"/>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row>
    <row r="373">
      <c r="A373" s="928"/>
      <c r="B373" s="441"/>
      <c r="C373" s="441"/>
      <c r="D373" s="441"/>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row>
    <row r="374">
      <c r="A374" s="928"/>
      <c r="B374" s="441"/>
      <c r="C374" s="441"/>
      <c r="D374" s="441"/>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row>
    <row r="375">
      <c r="A375" s="928"/>
      <c r="B375" s="441"/>
      <c r="C375" s="441"/>
      <c r="D375" s="441"/>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row>
    <row r="376">
      <c r="A376" s="928"/>
      <c r="B376" s="441"/>
      <c r="C376" s="441"/>
      <c r="D376" s="441"/>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row>
    <row r="377">
      <c r="A377" s="928"/>
      <c r="B377" s="441"/>
      <c r="C377" s="441"/>
      <c r="D377" s="441"/>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row>
    <row r="378">
      <c r="A378" s="928"/>
      <c r="B378" s="441"/>
      <c r="C378" s="441"/>
      <c r="D378" s="441"/>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row>
    <row r="379">
      <c r="A379" s="928"/>
      <c r="B379" s="441"/>
      <c r="C379" s="441"/>
      <c r="D379" s="441"/>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row>
    <row r="380">
      <c r="A380" s="928"/>
      <c r="B380" s="441"/>
      <c r="C380" s="441"/>
      <c r="D380" s="441"/>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row>
    <row r="381">
      <c r="A381" s="928"/>
      <c r="B381" s="441"/>
      <c r="C381" s="441"/>
      <c r="D381" s="441"/>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row>
    <row r="382">
      <c r="A382" s="928"/>
      <c r="B382" s="441"/>
      <c r="C382" s="441"/>
      <c r="D382" s="441"/>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row>
    <row r="383">
      <c r="A383" s="928"/>
      <c r="B383" s="441"/>
      <c r="C383" s="441"/>
      <c r="D383" s="441"/>
      <c r="E383" s="441"/>
      <c r="F383" s="441"/>
      <c r="G383" s="441"/>
      <c r="H383" s="441"/>
      <c r="I383" s="441"/>
      <c r="J383" s="441"/>
      <c r="K383" s="441"/>
      <c r="L383" s="441"/>
      <c r="M383" s="441"/>
      <c r="N383" s="441"/>
      <c r="O383" s="441"/>
      <c r="P383" s="441"/>
      <c r="Q383" s="441"/>
      <c r="R383" s="441"/>
      <c r="S383" s="441"/>
      <c r="T383" s="441"/>
      <c r="U383" s="441"/>
      <c r="V383" s="441"/>
      <c r="W383" s="441"/>
      <c r="X383" s="441"/>
      <c r="Y383" s="441"/>
      <c r="Z383" s="441"/>
      <c r="AA383" s="441"/>
      <c r="AB383" s="441"/>
      <c r="AC383" s="441"/>
      <c r="AD383" s="441"/>
      <c r="AE383" s="441"/>
    </row>
    <row r="384">
      <c r="A384" s="928"/>
      <c r="B384" s="441"/>
      <c r="C384" s="441"/>
      <c r="D384" s="441"/>
      <c r="E384" s="441"/>
      <c r="F384" s="441"/>
      <c r="G384" s="441"/>
      <c r="H384" s="441"/>
      <c r="I384" s="441"/>
      <c r="J384" s="441"/>
      <c r="K384" s="441"/>
      <c r="L384" s="441"/>
      <c r="M384" s="441"/>
      <c r="N384" s="441"/>
      <c r="O384" s="441"/>
      <c r="P384" s="441"/>
      <c r="Q384" s="441"/>
      <c r="R384" s="441"/>
      <c r="S384" s="441"/>
      <c r="T384" s="441"/>
      <c r="U384" s="441"/>
      <c r="V384" s="441"/>
      <c r="W384" s="441"/>
      <c r="X384" s="441"/>
      <c r="Y384" s="441"/>
      <c r="Z384" s="441"/>
      <c r="AA384" s="441"/>
      <c r="AB384" s="441"/>
      <c r="AC384" s="441"/>
      <c r="AD384" s="441"/>
      <c r="AE384" s="441"/>
    </row>
    <row r="385">
      <c r="A385" s="928"/>
      <c r="B385" s="441"/>
      <c r="C385" s="441"/>
      <c r="D385" s="441"/>
      <c r="E385" s="441"/>
      <c r="F385" s="441"/>
      <c r="G385" s="441"/>
      <c r="H385" s="441"/>
      <c r="I385" s="441"/>
      <c r="J385" s="441"/>
      <c r="K385" s="441"/>
      <c r="L385" s="441"/>
      <c r="M385" s="441"/>
      <c r="N385" s="441"/>
      <c r="O385" s="441"/>
      <c r="P385" s="441"/>
      <c r="Q385" s="441"/>
      <c r="R385" s="441"/>
      <c r="S385" s="441"/>
      <c r="T385" s="441"/>
      <c r="U385" s="441"/>
      <c r="V385" s="441"/>
      <c r="W385" s="441"/>
      <c r="X385" s="441"/>
      <c r="Y385" s="441"/>
      <c r="Z385" s="441"/>
      <c r="AA385" s="441"/>
      <c r="AB385" s="441"/>
      <c r="AC385" s="441"/>
      <c r="AD385" s="441"/>
      <c r="AE385" s="441"/>
    </row>
    <row r="386">
      <c r="A386" s="928"/>
      <c r="B386" s="441"/>
      <c r="C386" s="441"/>
      <c r="D386" s="441"/>
      <c r="E386" s="441"/>
      <c r="F386" s="441"/>
      <c r="G386" s="441"/>
      <c r="H386" s="441"/>
      <c r="I386" s="441"/>
      <c r="J386" s="441"/>
      <c r="K386" s="441"/>
      <c r="L386" s="441"/>
      <c r="M386" s="441"/>
      <c r="N386" s="441"/>
      <c r="O386" s="441"/>
      <c r="P386" s="441"/>
      <c r="Q386" s="441"/>
      <c r="R386" s="441"/>
      <c r="S386" s="441"/>
      <c r="T386" s="441"/>
      <c r="U386" s="441"/>
      <c r="V386" s="441"/>
      <c r="W386" s="441"/>
      <c r="X386" s="441"/>
      <c r="Y386" s="441"/>
      <c r="Z386" s="441"/>
      <c r="AA386" s="441"/>
      <c r="AB386" s="441"/>
      <c r="AC386" s="441"/>
      <c r="AD386" s="441"/>
      <c r="AE386" s="441"/>
    </row>
    <row r="387">
      <c r="A387" s="928"/>
      <c r="B387" s="441"/>
      <c r="C387" s="441"/>
      <c r="D387" s="441"/>
      <c r="E387" s="441"/>
      <c r="F387" s="441"/>
      <c r="G387" s="441"/>
      <c r="H387" s="441"/>
      <c r="I387" s="441"/>
      <c r="J387" s="441"/>
      <c r="K387" s="441"/>
      <c r="L387" s="441"/>
      <c r="M387" s="441"/>
      <c r="N387" s="441"/>
      <c r="O387" s="441"/>
      <c r="P387" s="441"/>
      <c r="Q387" s="441"/>
      <c r="R387" s="441"/>
      <c r="S387" s="441"/>
      <c r="T387" s="441"/>
      <c r="U387" s="441"/>
      <c r="V387" s="441"/>
      <c r="W387" s="441"/>
      <c r="X387" s="441"/>
      <c r="Y387" s="441"/>
      <c r="Z387" s="441"/>
      <c r="AA387" s="441"/>
      <c r="AB387" s="441"/>
      <c r="AC387" s="441"/>
      <c r="AD387" s="441"/>
      <c r="AE387" s="441"/>
    </row>
    <row r="388">
      <c r="A388" s="928"/>
      <c r="B388" s="441"/>
      <c r="C388" s="441"/>
      <c r="D388" s="441"/>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c r="AA388" s="441"/>
      <c r="AB388" s="441"/>
      <c r="AC388" s="441"/>
      <c r="AD388" s="441"/>
      <c r="AE388" s="441"/>
    </row>
    <row r="389">
      <c r="A389" s="928"/>
      <c r="B389" s="441"/>
      <c r="C389" s="44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row>
    <row r="390">
      <c r="A390" s="928"/>
      <c r="B390" s="441"/>
      <c r="C390" s="441"/>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c r="AA390" s="441"/>
      <c r="AB390" s="441"/>
      <c r="AC390" s="441"/>
      <c r="AD390" s="441"/>
      <c r="AE390" s="441"/>
    </row>
    <row r="391">
      <c r="A391" s="928"/>
      <c r="B391" s="441"/>
      <c r="C391" s="441"/>
      <c r="D391" s="441"/>
      <c r="E391" s="441"/>
      <c r="F391" s="441"/>
      <c r="G391" s="441"/>
      <c r="H391" s="441"/>
      <c r="I391" s="441"/>
      <c r="J391" s="441"/>
      <c r="K391" s="441"/>
      <c r="L391" s="441"/>
      <c r="M391" s="441"/>
      <c r="N391" s="441"/>
      <c r="O391" s="441"/>
      <c r="P391" s="441"/>
      <c r="Q391" s="441"/>
      <c r="R391" s="441"/>
      <c r="S391" s="441"/>
      <c r="T391" s="441"/>
      <c r="U391" s="441"/>
      <c r="V391" s="441"/>
      <c r="W391" s="441"/>
      <c r="X391" s="441"/>
      <c r="Y391" s="441"/>
      <c r="Z391" s="441"/>
      <c r="AA391" s="441"/>
      <c r="AB391" s="441"/>
      <c r="AC391" s="441"/>
      <c r="AD391" s="441"/>
      <c r="AE391" s="441"/>
    </row>
    <row r="392">
      <c r="A392" s="928"/>
      <c r="B392" s="441"/>
      <c r="C392" s="441"/>
      <c r="D392" s="441"/>
      <c r="E392" s="441"/>
      <c r="F392" s="441"/>
      <c r="G392" s="441"/>
      <c r="H392" s="441"/>
      <c r="I392" s="441"/>
      <c r="J392" s="441"/>
      <c r="K392" s="441"/>
      <c r="L392" s="441"/>
      <c r="M392" s="441"/>
      <c r="N392" s="441"/>
      <c r="O392" s="441"/>
      <c r="P392" s="441"/>
      <c r="Q392" s="441"/>
      <c r="R392" s="441"/>
      <c r="S392" s="441"/>
      <c r="T392" s="441"/>
      <c r="U392" s="441"/>
      <c r="V392" s="441"/>
      <c r="W392" s="441"/>
      <c r="X392" s="441"/>
      <c r="Y392" s="441"/>
      <c r="Z392" s="441"/>
      <c r="AA392" s="441"/>
      <c r="AB392" s="441"/>
      <c r="AC392" s="441"/>
      <c r="AD392" s="441"/>
      <c r="AE392" s="441"/>
    </row>
    <row r="393">
      <c r="A393" s="928"/>
      <c r="B393" s="441"/>
      <c r="C393" s="441"/>
      <c r="D393" s="441"/>
      <c r="E393" s="441"/>
      <c r="F393" s="441"/>
      <c r="G393" s="441"/>
      <c r="H393" s="441"/>
      <c r="I393" s="441"/>
      <c r="J393" s="441"/>
      <c r="K393" s="441"/>
      <c r="L393" s="441"/>
      <c r="M393" s="441"/>
      <c r="N393" s="441"/>
      <c r="O393" s="441"/>
      <c r="P393" s="441"/>
      <c r="Q393" s="441"/>
      <c r="R393" s="441"/>
      <c r="S393" s="441"/>
      <c r="T393" s="441"/>
      <c r="U393" s="441"/>
      <c r="V393" s="441"/>
      <c r="W393" s="441"/>
      <c r="X393" s="441"/>
      <c r="Y393" s="441"/>
      <c r="Z393" s="441"/>
      <c r="AA393" s="441"/>
      <c r="AB393" s="441"/>
      <c r="AC393" s="441"/>
      <c r="AD393" s="441"/>
      <c r="AE393" s="441"/>
    </row>
    <row r="394">
      <c r="A394" s="928"/>
      <c r="B394" s="441"/>
      <c r="C394" s="441"/>
      <c r="D394" s="441"/>
      <c r="E394" s="441"/>
      <c r="F394" s="441"/>
      <c r="G394" s="441"/>
      <c r="H394" s="441"/>
      <c r="I394" s="441"/>
      <c r="J394" s="441"/>
      <c r="K394" s="441"/>
      <c r="L394" s="441"/>
      <c r="M394" s="441"/>
      <c r="N394" s="441"/>
      <c r="O394" s="441"/>
      <c r="P394" s="441"/>
      <c r="Q394" s="441"/>
      <c r="R394" s="441"/>
      <c r="S394" s="441"/>
      <c r="T394" s="441"/>
      <c r="U394" s="441"/>
      <c r="V394" s="441"/>
      <c r="W394" s="441"/>
      <c r="X394" s="441"/>
      <c r="Y394" s="441"/>
      <c r="Z394" s="441"/>
      <c r="AA394" s="441"/>
      <c r="AB394" s="441"/>
      <c r="AC394" s="441"/>
      <c r="AD394" s="441"/>
      <c r="AE394" s="441"/>
    </row>
    <row r="395">
      <c r="A395" s="928"/>
      <c r="B395" s="441"/>
      <c r="C395" s="441"/>
      <c r="D395" s="441"/>
      <c r="E395" s="441"/>
      <c r="F395" s="441"/>
      <c r="G395" s="441"/>
      <c r="H395" s="441"/>
      <c r="I395" s="441"/>
      <c r="J395" s="441"/>
      <c r="K395" s="441"/>
      <c r="L395" s="441"/>
      <c r="M395" s="441"/>
      <c r="N395" s="441"/>
      <c r="O395" s="441"/>
      <c r="P395" s="441"/>
      <c r="Q395" s="441"/>
      <c r="R395" s="441"/>
      <c r="S395" s="441"/>
      <c r="T395" s="441"/>
      <c r="U395" s="441"/>
      <c r="V395" s="441"/>
      <c r="W395" s="441"/>
      <c r="X395" s="441"/>
      <c r="Y395" s="441"/>
      <c r="Z395" s="441"/>
      <c r="AA395" s="441"/>
      <c r="AB395" s="441"/>
      <c r="AC395" s="441"/>
      <c r="AD395" s="441"/>
      <c r="AE395" s="441"/>
    </row>
    <row r="396">
      <c r="A396" s="928"/>
      <c r="B396" s="441"/>
      <c r="C396" s="441"/>
      <c r="D396" s="441"/>
      <c r="E396" s="441"/>
      <c r="F396" s="441"/>
      <c r="G396" s="441"/>
      <c r="H396" s="441"/>
      <c r="I396" s="441"/>
      <c r="J396" s="441"/>
      <c r="K396" s="441"/>
      <c r="L396" s="441"/>
      <c r="M396" s="441"/>
      <c r="N396" s="441"/>
      <c r="O396" s="441"/>
      <c r="P396" s="441"/>
      <c r="Q396" s="441"/>
      <c r="R396" s="441"/>
      <c r="S396" s="441"/>
      <c r="T396" s="441"/>
      <c r="U396" s="441"/>
      <c r="V396" s="441"/>
      <c r="W396" s="441"/>
      <c r="X396" s="441"/>
      <c r="Y396" s="441"/>
      <c r="Z396" s="441"/>
      <c r="AA396" s="441"/>
      <c r="AB396" s="441"/>
      <c r="AC396" s="441"/>
      <c r="AD396" s="441"/>
      <c r="AE396" s="441"/>
    </row>
    <row r="397">
      <c r="A397" s="928"/>
      <c r="B397" s="441"/>
      <c r="C397" s="441"/>
      <c r="D397" s="441"/>
      <c r="E397" s="441"/>
      <c r="F397" s="441"/>
      <c r="G397" s="441"/>
      <c r="H397" s="441"/>
      <c r="I397" s="441"/>
      <c r="J397" s="441"/>
      <c r="K397" s="441"/>
      <c r="L397" s="441"/>
      <c r="M397" s="441"/>
      <c r="N397" s="441"/>
      <c r="O397" s="441"/>
      <c r="P397" s="441"/>
      <c r="Q397" s="441"/>
      <c r="R397" s="441"/>
      <c r="S397" s="441"/>
      <c r="T397" s="441"/>
      <c r="U397" s="441"/>
      <c r="V397" s="441"/>
      <c r="W397" s="441"/>
      <c r="X397" s="441"/>
      <c r="Y397" s="441"/>
      <c r="Z397" s="441"/>
      <c r="AA397" s="441"/>
      <c r="AB397" s="441"/>
      <c r="AC397" s="441"/>
      <c r="AD397" s="441"/>
      <c r="AE397" s="441"/>
    </row>
    <row r="398">
      <c r="A398" s="928"/>
      <c r="B398" s="441"/>
      <c r="C398" s="441"/>
      <c r="D398" s="441"/>
      <c r="E398" s="441"/>
      <c r="F398" s="441"/>
      <c r="G398" s="441"/>
      <c r="H398" s="441"/>
      <c r="I398" s="441"/>
      <c r="J398" s="441"/>
      <c r="K398" s="441"/>
      <c r="L398" s="441"/>
      <c r="M398" s="441"/>
      <c r="N398" s="441"/>
      <c r="O398" s="441"/>
      <c r="P398" s="441"/>
      <c r="Q398" s="441"/>
      <c r="R398" s="441"/>
      <c r="S398" s="441"/>
      <c r="T398" s="441"/>
      <c r="U398" s="441"/>
      <c r="V398" s="441"/>
      <c r="W398" s="441"/>
      <c r="X398" s="441"/>
      <c r="Y398" s="441"/>
      <c r="Z398" s="441"/>
      <c r="AA398" s="441"/>
      <c r="AB398" s="441"/>
      <c r="AC398" s="441"/>
      <c r="AD398" s="441"/>
      <c r="AE398" s="441"/>
    </row>
    <row r="399">
      <c r="A399" s="928"/>
      <c r="B399" s="441"/>
      <c r="C399" s="441"/>
      <c r="D399" s="441"/>
      <c r="E399" s="441"/>
      <c r="F399" s="441"/>
      <c r="G399" s="441"/>
      <c r="H399" s="441"/>
      <c r="I399" s="441"/>
      <c r="J399" s="441"/>
      <c r="K399" s="441"/>
      <c r="L399" s="441"/>
      <c r="M399" s="441"/>
      <c r="N399" s="441"/>
      <c r="O399" s="441"/>
      <c r="P399" s="441"/>
      <c r="Q399" s="441"/>
      <c r="R399" s="441"/>
      <c r="S399" s="441"/>
      <c r="T399" s="441"/>
      <c r="U399" s="441"/>
      <c r="V399" s="441"/>
      <c r="W399" s="441"/>
      <c r="X399" s="441"/>
      <c r="Y399" s="441"/>
      <c r="Z399" s="441"/>
      <c r="AA399" s="441"/>
      <c r="AB399" s="441"/>
      <c r="AC399" s="441"/>
      <c r="AD399" s="441"/>
      <c r="AE399" s="441"/>
    </row>
    <row r="400">
      <c r="A400" s="928"/>
      <c r="B400" s="441"/>
      <c r="C400" s="441"/>
      <c r="D400" s="441"/>
      <c r="E400" s="441"/>
      <c r="F400" s="441"/>
      <c r="G400" s="441"/>
      <c r="H400" s="441"/>
      <c r="I400" s="441"/>
      <c r="J400" s="441"/>
      <c r="K400" s="441"/>
      <c r="L400" s="441"/>
      <c r="M400" s="441"/>
      <c r="N400" s="441"/>
      <c r="O400" s="441"/>
      <c r="P400" s="441"/>
      <c r="Q400" s="441"/>
      <c r="R400" s="441"/>
      <c r="S400" s="441"/>
      <c r="T400" s="441"/>
      <c r="U400" s="441"/>
      <c r="V400" s="441"/>
      <c r="W400" s="441"/>
      <c r="X400" s="441"/>
      <c r="Y400" s="441"/>
      <c r="Z400" s="441"/>
      <c r="AA400" s="441"/>
      <c r="AB400" s="441"/>
      <c r="AC400" s="441"/>
      <c r="AD400" s="441"/>
      <c r="AE400" s="441"/>
    </row>
    <row r="401">
      <c r="A401" s="928"/>
      <c r="B401" s="441"/>
      <c r="C401" s="441"/>
      <c r="D401" s="441"/>
      <c r="E401" s="441"/>
      <c r="F401" s="441"/>
      <c r="G401" s="441"/>
      <c r="H401" s="441"/>
      <c r="I401" s="441"/>
      <c r="J401" s="441"/>
      <c r="K401" s="441"/>
      <c r="L401" s="441"/>
      <c r="M401" s="441"/>
      <c r="N401" s="441"/>
      <c r="O401" s="441"/>
      <c r="P401" s="441"/>
      <c r="Q401" s="441"/>
      <c r="R401" s="441"/>
      <c r="S401" s="441"/>
      <c r="T401" s="441"/>
      <c r="U401" s="441"/>
      <c r="V401" s="441"/>
      <c r="W401" s="441"/>
      <c r="X401" s="441"/>
      <c r="Y401" s="441"/>
      <c r="Z401" s="441"/>
      <c r="AA401" s="441"/>
      <c r="AB401" s="441"/>
      <c r="AC401" s="441"/>
      <c r="AD401" s="441"/>
      <c r="AE401" s="441"/>
    </row>
    <row r="402">
      <c r="A402" s="928"/>
      <c r="B402" s="441"/>
      <c r="C402" s="441"/>
      <c r="D402" s="441"/>
      <c r="E402" s="441"/>
      <c r="F402" s="441"/>
      <c r="G402" s="441"/>
      <c r="H402" s="441"/>
      <c r="I402" s="441"/>
      <c r="J402" s="441"/>
      <c r="K402" s="441"/>
      <c r="L402" s="441"/>
      <c r="M402" s="441"/>
      <c r="N402" s="441"/>
      <c r="O402" s="441"/>
      <c r="P402" s="441"/>
      <c r="Q402" s="441"/>
      <c r="R402" s="441"/>
      <c r="S402" s="441"/>
      <c r="T402" s="441"/>
      <c r="U402" s="441"/>
      <c r="V402" s="441"/>
      <c r="W402" s="441"/>
      <c r="X402" s="441"/>
      <c r="Y402" s="441"/>
      <c r="Z402" s="441"/>
      <c r="AA402" s="441"/>
      <c r="AB402" s="441"/>
      <c r="AC402" s="441"/>
      <c r="AD402" s="441"/>
      <c r="AE402" s="441"/>
    </row>
    <row r="403">
      <c r="A403" s="928"/>
      <c r="B403" s="441"/>
      <c r="C403" s="441"/>
      <c r="D403" s="441"/>
      <c r="E403" s="441"/>
      <c r="F403" s="441"/>
      <c r="G403" s="441"/>
      <c r="H403" s="441"/>
      <c r="I403" s="441"/>
      <c r="J403" s="441"/>
      <c r="K403" s="441"/>
      <c r="L403" s="441"/>
      <c r="M403" s="441"/>
      <c r="N403" s="441"/>
      <c r="O403" s="441"/>
      <c r="P403" s="441"/>
      <c r="Q403" s="441"/>
      <c r="R403" s="441"/>
      <c r="S403" s="441"/>
      <c r="T403" s="441"/>
      <c r="U403" s="441"/>
      <c r="V403" s="441"/>
      <c r="W403" s="441"/>
      <c r="X403" s="441"/>
      <c r="Y403" s="441"/>
      <c r="Z403" s="441"/>
      <c r="AA403" s="441"/>
      <c r="AB403" s="441"/>
      <c r="AC403" s="441"/>
      <c r="AD403" s="441"/>
      <c r="AE403" s="441"/>
    </row>
    <row r="404">
      <c r="A404" s="928"/>
      <c r="B404" s="441"/>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row>
    <row r="405">
      <c r="A405" s="928"/>
      <c r="B405" s="441"/>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row>
    <row r="406">
      <c r="A406" s="928"/>
      <c r="B406" s="441"/>
      <c r="C406" s="441"/>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row>
    <row r="407">
      <c r="A407" s="928"/>
      <c r="B407" s="441"/>
      <c r="C407" s="441"/>
      <c r="D407" s="441"/>
      <c r="E407" s="441"/>
      <c r="F407" s="441"/>
      <c r="G407" s="441"/>
      <c r="H407" s="441"/>
      <c r="I407" s="441"/>
      <c r="J407" s="441"/>
      <c r="K407" s="441"/>
      <c r="L407" s="441"/>
      <c r="M407" s="441"/>
      <c r="N407" s="441"/>
      <c r="O407" s="441"/>
      <c r="P407" s="441"/>
      <c r="Q407" s="441"/>
      <c r="R407" s="441"/>
      <c r="S407" s="441"/>
      <c r="T407" s="441"/>
      <c r="U407" s="441"/>
      <c r="V407" s="441"/>
      <c r="W407" s="441"/>
      <c r="X407" s="441"/>
      <c r="Y407" s="441"/>
      <c r="Z407" s="441"/>
      <c r="AA407" s="441"/>
      <c r="AB407" s="441"/>
      <c r="AC407" s="441"/>
      <c r="AD407" s="441"/>
      <c r="AE407" s="441"/>
    </row>
    <row r="408">
      <c r="A408" s="928"/>
      <c r="B408" s="441"/>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c r="AA408" s="441"/>
      <c r="AB408" s="441"/>
      <c r="AC408" s="441"/>
      <c r="AD408" s="441"/>
      <c r="AE408" s="441"/>
    </row>
    <row r="409">
      <c r="A409" s="928"/>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row>
    <row r="410">
      <c r="A410" s="928"/>
      <c r="B410" s="441"/>
      <c r="C410" s="441"/>
      <c r="D410" s="441"/>
      <c r="E410" s="441"/>
      <c r="F410" s="441"/>
      <c r="G410" s="441"/>
      <c r="H410" s="441"/>
      <c r="I410" s="441"/>
      <c r="J410" s="441"/>
      <c r="K410" s="441"/>
      <c r="L410" s="441"/>
      <c r="M410" s="441"/>
      <c r="N410" s="441"/>
      <c r="O410" s="441"/>
      <c r="P410" s="441"/>
      <c r="Q410" s="441"/>
      <c r="R410" s="441"/>
      <c r="S410" s="441"/>
      <c r="T410" s="441"/>
      <c r="U410" s="441"/>
      <c r="V410" s="441"/>
      <c r="W410" s="441"/>
      <c r="X410" s="441"/>
      <c r="Y410" s="441"/>
      <c r="Z410" s="441"/>
      <c r="AA410" s="441"/>
      <c r="AB410" s="441"/>
      <c r="AC410" s="441"/>
      <c r="AD410" s="441"/>
      <c r="AE410" s="441"/>
    </row>
    <row r="411">
      <c r="A411" s="928"/>
      <c r="B411" s="441"/>
      <c r="C411" s="441"/>
      <c r="D411" s="441"/>
      <c r="E411" s="441"/>
      <c r="F411" s="441"/>
      <c r="G411" s="441"/>
      <c r="H411" s="441"/>
      <c r="I411" s="441"/>
      <c r="J411" s="441"/>
      <c r="K411" s="441"/>
      <c r="L411" s="441"/>
      <c r="M411" s="441"/>
      <c r="N411" s="441"/>
      <c r="O411" s="441"/>
      <c r="P411" s="441"/>
      <c r="Q411" s="441"/>
      <c r="R411" s="441"/>
      <c r="S411" s="441"/>
      <c r="T411" s="441"/>
      <c r="U411" s="441"/>
      <c r="V411" s="441"/>
      <c r="W411" s="441"/>
      <c r="X411" s="441"/>
      <c r="Y411" s="441"/>
      <c r="Z411" s="441"/>
      <c r="AA411" s="441"/>
      <c r="AB411" s="441"/>
      <c r="AC411" s="441"/>
      <c r="AD411" s="441"/>
      <c r="AE411" s="441"/>
    </row>
    <row r="412">
      <c r="A412" s="928"/>
      <c r="B412" s="441"/>
      <c r="C412" s="441"/>
      <c r="D412" s="441"/>
      <c r="E412" s="441"/>
      <c r="F412" s="441"/>
      <c r="G412" s="441"/>
      <c r="H412" s="441"/>
      <c r="I412" s="441"/>
      <c r="J412" s="441"/>
      <c r="K412" s="441"/>
      <c r="L412" s="441"/>
      <c r="M412" s="441"/>
      <c r="N412" s="441"/>
      <c r="O412" s="441"/>
      <c r="P412" s="441"/>
      <c r="Q412" s="441"/>
      <c r="R412" s="441"/>
      <c r="S412" s="441"/>
      <c r="T412" s="441"/>
      <c r="U412" s="441"/>
      <c r="V412" s="441"/>
      <c r="W412" s="441"/>
      <c r="X412" s="441"/>
      <c r="Y412" s="441"/>
      <c r="Z412" s="441"/>
      <c r="AA412" s="441"/>
      <c r="AB412" s="441"/>
      <c r="AC412" s="441"/>
      <c r="AD412" s="441"/>
      <c r="AE412" s="441"/>
    </row>
    <row r="413">
      <c r="A413" s="928"/>
      <c r="B413" s="441"/>
      <c r="C413" s="441"/>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c r="AA413" s="441"/>
      <c r="AB413" s="441"/>
      <c r="AC413" s="441"/>
      <c r="AD413" s="441"/>
      <c r="AE413" s="441"/>
    </row>
    <row r="414">
      <c r="A414" s="928"/>
      <c r="B414" s="441"/>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c r="AA414" s="441"/>
      <c r="AB414" s="441"/>
      <c r="AC414" s="441"/>
      <c r="AD414" s="441"/>
      <c r="AE414" s="441"/>
    </row>
    <row r="415">
      <c r="A415" s="928"/>
      <c r="B415" s="441"/>
      <c r="C415" s="441"/>
      <c r="D415" s="441"/>
      <c r="E415" s="441"/>
      <c r="F415" s="441"/>
      <c r="G415" s="441"/>
      <c r="H415" s="441"/>
      <c r="I415" s="441"/>
      <c r="J415" s="441"/>
      <c r="K415" s="441"/>
      <c r="L415" s="441"/>
      <c r="M415" s="441"/>
      <c r="N415" s="441"/>
      <c r="O415" s="441"/>
      <c r="P415" s="441"/>
      <c r="Q415" s="441"/>
      <c r="R415" s="441"/>
      <c r="S415" s="441"/>
      <c r="T415" s="441"/>
      <c r="U415" s="441"/>
      <c r="V415" s="441"/>
      <c r="W415" s="441"/>
      <c r="X415" s="441"/>
      <c r="Y415" s="441"/>
      <c r="Z415" s="441"/>
      <c r="AA415" s="441"/>
      <c r="AB415" s="441"/>
      <c r="AC415" s="441"/>
      <c r="AD415" s="441"/>
      <c r="AE415" s="441"/>
    </row>
    <row r="416">
      <c r="A416" s="928"/>
      <c r="B416" s="441"/>
      <c r="C416" s="441"/>
      <c r="D416" s="441"/>
      <c r="E416" s="441"/>
      <c r="F416" s="441"/>
      <c r="G416" s="441"/>
      <c r="H416" s="441"/>
      <c r="I416" s="441"/>
      <c r="J416" s="441"/>
      <c r="K416" s="441"/>
      <c r="L416" s="441"/>
      <c r="M416" s="441"/>
      <c r="N416" s="441"/>
      <c r="O416" s="441"/>
      <c r="P416" s="441"/>
      <c r="Q416" s="441"/>
      <c r="R416" s="441"/>
      <c r="S416" s="441"/>
      <c r="T416" s="441"/>
      <c r="U416" s="441"/>
      <c r="V416" s="441"/>
      <c r="W416" s="441"/>
      <c r="X416" s="441"/>
      <c r="Y416" s="441"/>
      <c r="Z416" s="441"/>
      <c r="AA416" s="441"/>
      <c r="AB416" s="441"/>
      <c r="AC416" s="441"/>
      <c r="AD416" s="441"/>
      <c r="AE416" s="441"/>
    </row>
    <row r="417">
      <c r="A417" s="928"/>
      <c r="B417" s="441"/>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c r="Z417" s="441"/>
      <c r="AA417" s="441"/>
      <c r="AB417" s="441"/>
      <c r="AC417" s="441"/>
      <c r="AD417" s="441"/>
      <c r="AE417" s="441"/>
    </row>
    <row r="418">
      <c r="A418" s="928"/>
      <c r="B418" s="441"/>
      <c r="C418" s="441"/>
      <c r="D418" s="441"/>
      <c r="E418" s="441"/>
      <c r="F418" s="441"/>
      <c r="G418" s="441"/>
      <c r="H418" s="441"/>
      <c r="I418" s="441"/>
      <c r="J418" s="441"/>
      <c r="K418" s="441"/>
      <c r="L418" s="441"/>
      <c r="M418" s="441"/>
      <c r="N418" s="441"/>
      <c r="O418" s="441"/>
      <c r="P418" s="441"/>
      <c r="Q418" s="441"/>
      <c r="R418" s="441"/>
      <c r="S418" s="441"/>
      <c r="T418" s="441"/>
      <c r="U418" s="441"/>
      <c r="V418" s="441"/>
      <c r="W418" s="441"/>
      <c r="X418" s="441"/>
      <c r="Y418" s="441"/>
      <c r="Z418" s="441"/>
      <c r="AA418" s="441"/>
      <c r="AB418" s="441"/>
      <c r="AC418" s="441"/>
      <c r="AD418" s="441"/>
      <c r="AE418" s="441"/>
    </row>
    <row r="419">
      <c r="A419" s="928"/>
      <c r="B419" s="441"/>
      <c r="C419" s="441"/>
      <c r="D419" s="441"/>
      <c r="E419" s="441"/>
      <c r="F419" s="441"/>
      <c r="G419" s="441"/>
      <c r="H419" s="441"/>
      <c r="I419" s="441"/>
      <c r="J419" s="441"/>
      <c r="K419" s="441"/>
      <c r="L419" s="441"/>
      <c r="M419" s="441"/>
      <c r="N419" s="441"/>
      <c r="O419" s="441"/>
      <c r="P419" s="441"/>
      <c r="Q419" s="441"/>
      <c r="R419" s="441"/>
      <c r="S419" s="441"/>
      <c r="T419" s="441"/>
      <c r="U419" s="441"/>
      <c r="V419" s="441"/>
      <c r="W419" s="441"/>
      <c r="X419" s="441"/>
      <c r="Y419" s="441"/>
      <c r="Z419" s="441"/>
      <c r="AA419" s="441"/>
      <c r="AB419" s="441"/>
      <c r="AC419" s="441"/>
      <c r="AD419" s="441"/>
      <c r="AE419" s="441"/>
    </row>
    <row r="420">
      <c r="A420" s="928"/>
      <c r="B420" s="441"/>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1"/>
      <c r="AD420" s="441"/>
      <c r="AE420" s="441"/>
    </row>
    <row r="421">
      <c r="A421" s="928"/>
      <c r="B421" s="441"/>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row>
    <row r="422">
      <c r="A422" s="928"/>
      <c r="B422" s="441"/>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c r="AA422" s="441"/>
      <c r="AB422" s="441"/>
      <c r="AC422" s="441"/>
      <c r="AD422" s="441"/>
      <c r="AE422" s="441"/>
    </row>
    <row r="423">
      <c r="A423" s="928"/>
      <c r="B423" s="441"/>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1"/>
      <c r="Z423" s="441"/>
      <c r="AA423" s="441"/>
      <c r="AB423" s="441"/>
      <c r="AC423" s="441"/>
      <c r="AD423" s="441"/>
      <c r="AE423" s="441"/>
    </row>
    <row r="424">
      <c r="A424" s="928"/>
      <c r="B424" s="441"/>
      <c r="C424" s="441"/>
      <c r="D424" s="441"/>
      <c r="E424" s="441"/>
      <c r="F424" s="441"/>
      <c r="G424" s="441"/>
      <c r="H424" s="441"/>
      <c r="I424" s="441"/>
      <c r="J424" s="441"/>
      <c r="K424" s="441"/>
      <c r="L424" s="441"/>
      <c r="M424" s="441"/>
      <c r="N424" s="441"/>
      <c r="O424" s="441"/>
      <c r="P424" s="441"/>
      <c r="Q424" s="441"/>
      <c r="R424" s="441"/>
      <c r="S424" s="441"/>
      <c r="T424" s="441"/>
      <c r="U424" s="441"/>
      <c r="V424" s="441"/>
      <c r="W424" s="441"/>
      <c r="X424" s="441"/>
      <c r="Y424" s="441"/>
      <c r="Z424" s="441"/>
      <c r="AA424" s="441"/>
      <c r="AB424" s="441"/>
      <c r="AC424" s="441"/>
      <c r="AD424" s="441"/>
      <c r="AE424" s="441"/>
    </row>
    <row r="425">
      <c r="A425" s="928"/>
      <c r="B425" s="441"/>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c r="AA425" s="441"/>
      <c r="AB425" s="441"/>
      <c r="AC425" s="441"/>
      <c r="AD425" s="441"/>
      <c r="AE425" s="441"/>
    </row>
    <row r="426">
      <c r="A426" s="928"/>
      <c r="B426" s="441"/>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c r="AA426" s="441"/>
      <c r="AB426" s="441"/>
      <c r="AC426" s="441"/>
      <c r="AD426" s="441"/>
      <c r="AE426" s="441"/>
    </row>
    <row r="427">
      <c r="A427" s="928"/>
      <c r="B427" s="441"/>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c r="AA427" s="441"/>
      <c r="AB427" s="441"/>
      <c r="AC427" s="441"/>
      <c r="AD427" s="441"/>
      <c r="AE427" s="441"/>
    </row>
    <row r="428">
      <c r="A428" s="928"/>
      <c r="B428" s="441"/>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c r="AA428" s="441"/>
      <c r="AB428" s="441"/>
      <c r="AC428" s="441"/>
      <c r="AD428" s="441"/>
      <c r="AE428" s="441"/>
    </row>
    <row r="429">
      <c r="A429" s="928"/>
      <c r="B429" s="441"/>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row>
    <row r="430">
      <c r="A430" s="928"/>
      <c r="B430" s="441"/>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c r="AA430" s="441"/>
      <c r="AB430" s="441"/>
      <c r="AC430" s="441"/>
      <c r="AD430" s="441"/>
      <c r="AE430" s="441"/>
    </row>
    <row r="431">
      <c r="A431" s="928"/>
      <c r="B431" s="441"/>
      <c r="C431" s="441"/>
      <c r="D431" s="441"/>
      <c r="E431" s="441"/>
      <c r="F431" s="441"/>
      <c r="G431" s="441"/>
      <c r="H431" s="441"/>
      <c r="I431" s="441"/>
      <c r="J431" s="441"/>
      <c r="K431" s="441"/>
      <c r="L431" s="441"/>
      <c r="M431" s="441"/>
      <c r="N431" s="441"/>
      <c r="O431" s="441"/>
      <c r="P431" s="441"/>
      <c r="Q431" s="441"/>
      <c r="R431" s="441"/>
      <c r="S431" s="441"/>
      <c r="T431" s="441"/>
      <c r="U431" s="441"/>
      <c r="V431" s="441"/>
      <c r="W431" s="441"/>
      <c r="X431" s="441"/>
      <c r="Y431" s="441"/>
      <c r="Z431" s="441"/>
      <c r="AA431" s="441"/>
      <c r="AB431" s="441"/>
      <c r="AC431" s="441"/>
      <c r="AD431" s="441"/>
      <c r="AE431" s="441"/>
    </row>
    <row r="432">
      <c r="A432" s="928"/>
      <c r="B432" s="441"/>
      <c r="C432" s="441"/>
      <c r="D432" s="441"/>
      <c r="E432" s="441"/>
      <c r="F432" s="441"/>
      <c r="G432" s="441"/>
      <c r="H432" s="441"/>
      <c r="I432" s="441"/>
      <c r="J432" s="441"/>
      <c r="K432" s="441"/>
      <c r="L432" s="441"/>
      <c r="M432" s="441"/>
      <c r="N432" s="441"/>
      <c r="O432" s="441"/>
      <c r="P432" s="441"/>
      <c r="Q432" s="441"/>
      <c r="R432" s="441"/>
      <c r="S432" s="441"/>
      <c r="T432" s="441"/>
      <c r="U432" s="441"/>
      <c r="V432" s="441"/>
      <c r="W432" s="441"/>
      <c r="X432" s="441"/>
      <c r="Y432" s="441"/>
      <c r="Z432" s="441"/>
      <c r="AA432" s="441"/>
      <c r="AB432" s="441"/>
      <c r="AC432" s="441"/>
      <c r="AD432" s="441"/>
      <c r="AE432" s="441"/>
    </row>
    <row r="433">
      <c r="A433" s="928"/>
      <c r="B433" s="441"/>
      <c r="C433" s="441"/>
      <c r="D433" s="441"/>
      <c r="E433" s="441"/>
      <c r="F433" s="441"/>
      <c r="G433" s="441"/>
      <c r="H433" s="441"/>
      <c r="I433" s="441"/>
      <c r="J433" s="441"/>
      <c r="K433" s="441"/>
      <c r="L433" s="441"/>
      <c r="M433" s="441"/>
      <c r="N433" s="441"/>
      <c r="O433" s="441"/>
      <c r="P433" s="441"/>
      <c r="Q433" s="441"/>
      <c r="R433" s="441"/>
      <c r="S433" s="441"/>
      <c r="T433" s="441"/>
      <c r="U433" s="441"/>
      <c r="V433" s="441"/>
      <c r="W433" s="441"/>
      <c r="X433" s="441"/>
      <c r="Y433" s="441"/>
      <c r="Z433" s="441"/>
      <c r="AA433" s="441"/>
      <c r="AB433" s="441"/>
      <c r="AC433" s="441"/>
      <c r="AD433" s="441"/>
      <c r="AE433" s="441"/>
    </row>
    <row r="434">
      <c r="A434" s="928"/>
      <c r="B434" s="441"/>
      <c r="C434" s="441"/>
      <c r="D434" s="441"/>
      <c r="E434" s="441"/>
      <c r="F434" s="441"/>
      <c r="G434" s="441"/>
      <c r="H434" s="441"/>
      <c r="I434" s="441"/>
      <c r="J434" s="441"/>
      <c r="K434" s="441"/>
      <c r="L434" s="441"/>
      <c r="M434" s="441"/>
      <c r="N434" s="441"/>
      <c r="O434" s="441"/>
      <c r="P434" s="441"/>
      <c r="Q434" s="441"/>
      <c r="R434" s="441"/>
      <c r="S434" s="441"/>
      <c r="T434" s="441"/>
      <c r="U434" s="441"/>
      <c r="V434" s="441"/>
      <c r="W434" s="441"/>
      <c r="X434" s="441"/>
      <c r="Y434" s="441"/>
      <c r="Z434" s="441"/>
      <c r="AA434" s="441"/>
      <c r="AB434" s="441"/>
      <c r="AC434" s="441"/>
      <c r="AD434" s="441"/>
      <c r="AE434" s="441"/>
    </row>
    <row r="435">
      <c r="A435" s="928"/>
      <c r="B435" s="441"/>
      <c r="C435" s="441"/>
      <c r="D435" s="441"/>
      <c r="E435" s="441"/>
      <c r="F435" s="441"/>
      <c r="G435" s="441"/>
      <c r="H435" s="441"/>
      <c r="I435" s="441"/>
      <c r="J435" s="441"/>
      <c r="K435" s="441"/>
      <c r="L435" s="441"/>
      <c r="M435" s="441"/>
      <c r="N435" s="441"/>
      <c r="O435" s="441"/>
      <c r="P435" s="441"/>
      <c r="Q435" s="441"/>
      <c r="R435" s="441"/>
      <c r="S435" s="441"/>
      <c r="T435" s="441"/>
      <c r="U435" s="441"/>
      <c r="V435" s="441"/>
      <c r="W435" s="441"/>
      <c r="X435" s="441"/>
      <c r="Y435" s="441"/>
      <c r="Z435" s="441"/>
      <c r="AA435" s="441"/>
      <c r="AB435" s="441"/>
      <c r="AC435" s="441"/>
      <c r="AD435" s="441"/>
      <c r="AE435" s="441"/>
    </row>
    <row r="436">
      <c r="A436" s="928"/>
      <c r="B436" s="441"/>
      <c r="C436" s="441"/>
      <c r="D436" s="441"/>
      <c r="E436" s="441"/>
      <c r="F436" s="441"/>
      <c r="G436" s="441"/>
      <c r="H436" s="441"/>
      <c r="I436" s="441"/>
      <c r="J436" s="441"/>
      <c r="K436" s="441"/>
      <c r="L436" s="441"/>
      <c r="M436" s="441"/>
      <c r="N436" s="441"/>
      <c r="O436" s="441"/>
      <c r="P436" s="441"/>
      <c r="Q436" s="441"/>
      <c r="R436" s="441"/>
      <c r="S436" s="441"/>
      <c r="T436" s="441"/>
      <c r="U436" s="441"/>
      <c r="V436" s="441"/>
      <c r="W436" s="441"/>
      <c r="X436" s="441"/>
      <c r="Y436" s="441"/>
      <c r="Z436" s="441"/>
      <c r="AA436" s="441"/>
      <c r="AB436" s="441"/>
      <c r="AC436" s="441"/>
      <c r="AD436" s="441"/>
      <c r="AE436" s="441"/>
    </row>
    <row r="437">
      <c r="A437" s="928"/>
      <c r="B437" s="441"/>
      <c r="C437" s="441"/>
      <c r="D437" s="441"/>
      <c r="E437" s="441"/>
      <c r="F437" s="441"/>
      <c r="G437" s="441"/>
      <c r="H437" s="441"/>
      <c r="I437" s="441"/>
      <c r="J437" s="441"/>
      <c r="K437" s="441"/>
      <c r="L437" s="441"/>
      <c r="M437" s="441"/>
      <c r="N437" s="441"/>
      <c r="O437" s="441"/>
      <c r="P437" s="441"/>
      <c r="Q437" s="441"/>
      <c r="R437" s="441"/>
      <c r="S437" s="441"/>
      <c r="T437" s="441"/>
      <c r="U437" s="441"/>
      <c r="V437" s="441"/>
      <c r="W437" s="441"/>
      <c r="X437" s="441"/>
      <c r="Y437" s="441"/>
      <c r="Z437" s="441"/>
      <c r="AA437" s="441"/>
      <c r="AB437" s="441"/>
      <c r="AC437" s="441"/>
      <c r="AD437" s="441"/>
      <c r="AE437" s="441"/>
    </row>
    <row r="438">
      <c r="A438" s="928"/>
      <c r="B438" s="441"/>
      <c r="C438" s="441"/>
      <c r="D438" s="441"/>
      <c r="E438" s="441"/>
      <c r="F438" s="441"/>
      <c r="G438" s="441"/>
      <c r="H438" s="441"/>
      <c r="I438" s="441"/>
      <c r="J438" s="441"/>
      <c r="K438" s="441"/>
      <c r="L438" s="441"/>
      <c r="M438" s="441"/>
      <c r="N438" s="441"/>
      <c r="O438" s="441"/>
      <c r="P438" s="441"/>
      <c r="Q438" s="441"/>
      <c r="R438" s="441"/>
      <c r="S438" s="441"/>
      <c r="T438" s="441"/>
      <c r="U438" s="441"/>
      <c r="V438" s="441"/>
      <c r="W438" s="441"/>
      <c r="X438" s="441"/>
      <c r="Y438" s="441"/>
      <c r="Z438" s="441"/>
      <c r="AA438" s="441"/>
      <c r="AB438" s="441"/>
      <c r="AC438" s="441"/>
      <c r="AD438" s="441"/>
      <c r="AE438" s="441"/>
    </row>
    <row r="439">
      <c r="A439" s="928"/>
      <c r="B439" s="441"/>
      <c r="C439" s="441"/>
      <c r="D439" s="441"/>
      <c r="E439" s="441"/>
      <c r="F439" s="441"/>
      <c r="G439" s="441"/>
      <c r="H439" s="441"/>
      <c r="I439" s="441"/>
      <c r="J439" s="441"/>
      <c r="K439" s="441"/>
      <c r="L439" s="441"/>
      <c r="M439" s="441"/>
      <c r="N439" s="441"/>
      <c r="O439" s="441"/>
      <c r="P439" s="441"/>
      <c r="Q439" s="441"/>
      <c r="R439" s="441"/>
      <c r="S439" s="441"/>
      <c r="T439" s="441"/>
      <c r="U439" s="441"/>
      <c r="V439" s="441"/>
      <c r="W439" s="441"/>
      <c r="X439" s="441"/>
      <c r="Y439" s="441"/>
      <c r="Z439" s="441"/>
      <c r="AA439" s="441"/>
      <c r="AB439" s="441"/>
      <c r="AC439" s="441"/>
      <c r="AD439" s="441"/>
      <c r="AE439" s="441"/>
    </row>
    <row r="440">
      <c r="A440" s="928"/>
      <c r="B440" s="441"/>
      <c r="C440" s="441"/>
      <c r="D440" s="441"/>
      <c r="E440" s="441"/>
      <c r="F440" s="441"/>
      <c r="G440" s="441"/>
      <c r="H440" s="441"/>
      <c r="I440" s="441"/>
      <c r="J440" s="441"/>
      <c r="K440" s="441"/>
      <c r="L440" s="441"/>
      <c r="M440" s="441"/>
      <c r="N440" s="441"/>
      <c r="O440" s="441"/>
      <c r="P440" s="441"/>
      <c r="Q440" s="441"/>
      <c r="R440" s="441"/>
      <c r="S440" s="441"/>
      <c r="T440" s="441"/>
      <c r="U440" s="441"/>
      <c r="V440" s="441"/>
      <c r="W440" s="441"/>
      <c r="X440" s="441"/>
      <c r="Y440" s="441"/>
      <c r="Z440" s="441"/>
      <c r="AA440" s="441"/>
      <c r="AB440" s="441"/>
      <c r="AC440" s="441"/>
      <c r="AD440" s="441"/>
      <c r="AE440" s="441"/>
    </row>
    <row r="441">
      <c r="A441" s="928"/>
      <c r="B441" s="441"/>
      <c r="C441" s="441"/>
      <c r="D441" s="441"/>
      <c r="E441" s="441"/>
      <c r="F441" s="441"/>
      <c r="G441" s="441"/>
      <c r="H441" s="441"/>
      <c r="I441" s="441"/>
      <c r="J441" s="441"/>
      <c r="K441" s="441"/>
      <c r="L441" s="441"/>
      <c r="M441" s="441"/>
      <c r="N441" s="441"/>
      <c r="O441" s="441"/>
      <c r="P441" s="441"/>
      <c r="Q441" s="441"/>
      <c r="R441" s="441"/>
      <c r="S441" s="441"/>
      <c r="T441" s="441"/>
      <c r="U441" s="441"/>
      <c r="V441" s="441"/>
      <c r="W441" s="441"/>
      <c r="X441" s="441"/>
      <c r="Y441" s="441"/>
      <c r="Z441" s="441"/>
      <c r="AA441" s="441"/>
      <c r="AB441" s="441"/>
      <c r="AC441" s="441"/>
      <c r="AD441" s="441"/>
      <c r="AE441" s="441"/>
    </row>
    <row r="442">
      <c r="A442" s="928"/>
      <c r="B442" s="441"/>
      <c r="C442" s="441"/>
      <c r="D442" s="441"/>
      <c r="E442" s="441"/>
      <c r="F442" s="441"/>
      <c r="G442" s="441"/>
      <c r="H442" s="441"/>
      <c r="I442" s="441"/>
      <c r="J442" s="441"/>
      <c r="K442" s="441"/>
      <c r="L442" s="441"/>
      <c r="M442" s="441"/>
      <c r="N442" s="441"/>
      <c r="O442" s="441"/>
      <c r="P442" s="441"/>
      <c r="Q442" s="441"/>
      <c r="R442" s="441"/>
      <c r="S442" s="441"/>
      <c r="T442" s="441"/>
      <c r="U442" s="441"/>
      <c r="V442" s="441"/>
      <c r="W442" s="441"/>
      <c r="X442" s="441"/>
      <c r="Y442" s="441"/>
      <c r="Z442" s="441"/>
      <c r="AA442" s="441"/>
      <c r="AB442" s="441"/>
      <c r="AC442" s="441"/>
      <c r="AD442" s="441"/>
      <c r="AE442" s="441"/>
    </row>
    <row r="443">
      <c r="A443" s="928"/>
      <c r="B443" s="441"/>
      <c r="C443" s="441"/>
      <c r="D443" s="441"/>
      <c r="E443" s="441"/>
      <c r="F443" s="441"/>
      <c r="G443" s="441"/>
      <c r="H443" s="441"/>
      <c r="I443" s="441"/>
      <c r="J443" s="441"/>
      <c r="K443" s="441"/>
      <c r="L443" s="441"/>
      <c r="M443" s="441"/>
      <c r="N443" s="441"/>
      <c r="O443" s="441"/>
      <c r="P443" s="441"/>
      <c r="Q443" s="441"/>
      <c r="R443" s="441"/>
      <c r="S443" s="441"/>
      <c r="T443" s="441"/>
      <c r="U443" s="441"/>
      <c r="V443" s="441"/>
      <c r="W443" s="441"/>
      <c r="X443" s="441"/>
      <c r="Y443" s="441"/>
      <c r="Z443" s="441"/>
      <c r="AA443" s="441"/>
      <c r="AB443" s="441"/>
      <c r="AC443" s="441"/>
      <c r="AD443" s="441"/>
      <c r="AE443" s="441"/>
    </row>
    <row r="444">
      <c r="A444" s="928"/>
      <c r="B444" s="441"/>
      <c r="C444" s="441"/>
      <c r="D444" s="441"/>
      <c r="E444" s="441"/>
      <c r="F444" s="441"/>
      <c r="G444" s="441"/>
      <c r="H444" s="441"/>
      <c r="I444" s="441"/>
      <c r="J444" s="441"/>
      <c r="K444" s="441"/>
      <c r="L444" s="441"/>
      <c r="M444" s="441"/>
      <c r="N444" s="441"/>
      <c r="O444" s="441"/>
      <c r="P444" s="441"/>
      <c r="Q444" s="441"/>
      <c r="R444" s="441"/>
      <c r="S444" s="441"/>
      <c r="T444" s="441"/>
      <c r="U444" s="441"/>
      <c r="V444" s="441"/>
      <c r="W444" s="441"/>
      <c r="X444" s="441"/>
      <c r="Y444" s="441"/>
      <c r="Z444" s="441"/>
      <c r="AA444" s="441"/>
      <c r="AB444" s="441"/>
      <c r="AC444" s="441"/>
      <c r="AD444" s="441"/>
      <c r="AE444" s="441"/>
    </row>
    <row r="445">
      <c r="A445" s="928"/>
      <c r="B445" s="441"/>
      <c r="C445" s="441"/>
      <c r="D445" s="441"/>
      <c r="E445" s="441"/>
      <c r="F445" s="441"/>
      <c r="G445" s="441"/>
      <c r="H445" s="441"/>
      <c r="I445" s="441"/>
      <c r="J445" s="441"/>
      <c r="K445" s="441"/>
      <c r="L445" s="441"/>
      <c r="M445" s="441"/>
      <c r="N445" s="441"/>
      <c r="O445" s="441"/>
      <c r="P445" s="441"/>
      <c r="Q445" s="441"/>
      <c r="R445" s="441"/>
      <c r="S445" s="441"/>
      <c r="T445" s="441"/>
      <c r="U445" s="441"/>
      <c r="V445" s="441"/>
      <c r="W445" s="441"/>
      <c r="X445" s="441"/>
      <c r="Y445" s="441"/>
      <c r="Z445" s="441"/>
      <c r="AA445" s="441"/>
      <c r="AB445" s="441"/>
      <c r="AC445" s="441"/>
      <c r="AD445" s="441"/>
      <c r="AE445" s="441"/>
    </row>
    <row r="446">
      <c r="A446" s="928"/>
      <c r="B446" s="441"/>
      <c r="C446" s="441"/>
      <c r="D446" s="441"/>
      <c r="E446" s="441"/>
      <c r="F446" s="441"/>
      <c r="G446" s="441"/>
      <c r="H446" s="441"/>
      <c r="I446" s="441"/>
      <c r="J446" s="441"/>
      <c r="K446" s="441"/>
      <c r="L446" s="441"/>
      <c r="M446" s="441"/>
      <c r="N446" s="441"/>
      <c r="O446" s="441"/>
      <c r="P446" s="441"/>
      <c r="Q446" s="441"/>
      <c r="R446" s="441"/>
      <c r="S446" s="441"/>
      <c r="T446" s="441"/>
      <c r="U446" s="441"/>
      <c r="V446" s="441"/>
      <c r="W446" s="441"/>
      <c r="X446" s="441"/>
      <c r="Y446" s="441"/>
      <c r="Z446" s="441"/>
      <c r="AA446" s="441"/>
      <c r="AB446" s="441"/>
      <c r="AC446" s="441"/>
      <c r="AD446" s="441"/>
      <c r="AE446" s="441"/>
    </row>
    <row r="447">
      <c r="A447" s="928"/>
      <c r="B447" s="441"/>
      <c r="C447" s="441"/>
      <c r="D447" s="441"/>
      <c r="E447" s="441"/>
      <c r="F447" s="441"/>
      <c r="G447" s="441"/>
      <c r="H447" s="441"/>
      <c r="I447" s="441"/>
      <c r="J447" s="441"/>
      <c r="K447" s="441"/>
      <c r="L447" s="441"/>
      <c r="M447" s="441"/>
      <c r="N447" s="441"/>
      <c r="O447" s="441"/>
      <c r="P447" s="441"/>
      <c r="Q447" s="441"/>
      <c r="R447" s="441"/>
      <c r="S447" s="441"/>
      <c r="T447" s="441"/>
      <c r="U447" s="441"/>
      <c r="V447" s="441"/>
      <c r="W447" s="441"/>
      <c r="X447" s="441"/>
      <c r="Y447" s="441"/>
      <c r="Z447" s="441"/>
      <c r="AA447" s="441"/>
      <c r="AB447" s="441"/>
      <c r="AC447" s="441"/>
      <c r="AD447" s="441"/>
      <c r="AE447" s="441"/>
    </row>
    <row r="448">
      <c r="A448" s="928"/>
      <c r="B448" s="441"/>
      <c r="C448" s="441"/>
      <c r="D448" s="441"/>
      <c r="E448" s="441"/>
      <c r="F448" s="441"/>
      <c r="G448" s="441"/>
      <c r="H448" s="441"/>
      <c r="I448" s="441"/>
      <c r="J448" s="441"/>
      <c r="K448" s="441"/>
      <c r="L448" s="441"/>
      <c r="M448" s="441"/>
      <c r="N448" s="441"/>
      <c r="O448" s="441"/>
      <c r="P448" s="441"/>
      <c r="Q448" s="441"/>
      <c r="R448" s="441"/>
      <c r="S448" s="441"/>
      <c r="T448" s="441"/>
      <c r="U448" s="441"/>
      <c r="V448" s="441"/>
      <c r="W448" s="441"/>
      <c r="X448" s="441"/>
      <c r="Y448" s="441"/>
      <c r="Z448" s="441"/>
      <c r="AA448" s="441"/>
      <c r="AB448" s="441"/>
      <c r="AC448" s="441"/>
      <c r="AD448" s="441"/>
      <c r="AE448" s="441"/>
    </row>
    <row r="449">
      <c r="A449" s="928"/>
      <c r="B449" s="441"/>
      <c r="C449" s="441"/>
      <c r="D449" s="441"/>
      <c r="E449" s="441"/>
      <c r="F449" s="441"/>
      <c r="G449" s="441"/>
      <c r="H449" s="441"/>
      <c r="I449" s="441"/>
      <c r="J449" s="441"/>
      <c r="K449" s="441"/>
      <c r="L449" s="441"/>
      <c r="M449" s="441"/>
      <c r="N449" s="441"/>
      <c r="O449" s="441"/>
      <c r="P449" s="441"/>
      <c r="Q449" s="441"/>
      <c r="R449" s="441"/>
      <c r="S449" s="441"/>
      <c r="T449" s="441"/>
      <c r="U449" s="441"/>
      <c r="V449" s="441"/>
      <c r="W449" s="441"/>
      <c r="X449" s="441"/>
      <c r="Y449" s="441"/>
      <c r="Z449" s="441"/>
      <c r="AA449" s="441"/>
      <c r="AB449" s="441"/>
      <c r="AC449" s="441"/>
      <c r="AD449" s="441"/>
      <c r="AE449" s="441"/>
    </row>
    <row r="450">
      <c r="A450" s="928"/>
      <c r="B450" s="441"/>
      <c r="C450" s="441"/>
      <c r="D450" s="441"/>
      <c r="E450" s="441"/>
      <c r="F450" s="441"/>
      <c r="G450" s="441"/>
      <c r="H450" s="441"/>
      <c r="I450" s="441"/>
      <c r="J450" s="441"/>
      <c r="K450" s="441"/>
      <c r="L450" s="441"/>
      <c r="M450" s="441"/>
      <c r="N450" s="441"/>
      <c r="O450" s="441"/>
      <c r="P450" s="441"/>
      <c r="Q450" s="441"/>
      <c r="R450" s="441"/>
      <c r="S450" s="441"/>
      <c r="T450" s="441"/>
      <c r="U450" s="441"/>
      <c r="V450" s="441"/>
      <c r="W450" s="441"/>
      <c r="X450" s="441"/>
      <c r="Y450" s="441"/>
      <c r="Z450" s="441"/>
      <c r="AA450" s="441"/>
      <c r="AB450" s="441"/>
      <c r="AC450" s="441"/>
      <c r="AD450" s="441"/>
      <c r="AE450" s="441"/>
    </row>
    <row r="451">
      <c r="A451" s="928"/>
      <c r="B451" s="441"/>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c r="AA451" s="441"/>
      <c r="AB451" s="441"/>
      <c r="AC451" s="441"/>
      <c r="AD451" s="441"/>
      <c r="AE451" s="441"/>
    </row>
    <row r="452">
      <c r="A452" s="928"/>
      <c r="B452" s="441"/>
      <c r="C452" s="441"/>
      <c r="D452" s="441"/>
      <c r="E452" s="441"/>
      <c r="F452" s="441"/>
      <c r="G452" s="441"/>
      <c r="H452" s="441"/>
      <c r="I452" s="441"/>
      <c r="J452" s="441"/>
      <c r="K452" s="441"/>
      <c r="L452" s="441"/>
      <c r="M452" s="441"/>
      <c r="N452" s="441"/>
      <c r="O452" s="441"/>
      <c r="P452" s="441"/>
      <c r="Q452" s="441"/>
      <c r="R452" s="441"/>
      <c r="S452" s="441"/>
      <c r="T452" s="441"/>
      <c r="U452" s="441"/>
      <c r="V452" s="441"/>
      <c r="W452" s="441"/>
      <c r="X452" s="441"/>
      <c r="Y452" s="441"/>
      <c r="Z452" s="441"/>
      <c r="AA452" s="441"/>
      <c r="AB452" s="441"/>
      <c r="AC452" s="441"/>
      <c r="AD452" s="441"/>
      <c r="AE452" s="441"/>
    </row>
    <row r="453">
      <c r="A453" s="928"/>
      <c r="B453" s="441"/>
      <c r="C453" s="441"/>
      <c r="D453" s="441"/>
      <c r="E453" s="441"/>
      <c r="F453" s="441"/>
      <c r="G453" s="441"/>
      <c r="H453" s="441"/>
      <c r="I453" s="441"/>
      <c r="J453" s="441"/>
      <c r="K453" s="441"/>
      <c r="L453" s="441"/>
      <c r="M453" s="441"/>
      <c r="N453" s="441"/>
      <c r="O453" s="441"/>
      <c r="P453" s="441"/>
      <c r="Q453" s="441"/>
      <c r="R453" s="441"/>
      <c r="S453" s="441"/>
      <c r="T453" s="441"/>
      <c r="U453" s="441"/>
      <c r="V453" s="441"/>
      <c r="W453" s="441"/>
      <c r="X453" s="441"/>
      <c r="Y453" s="441"/>
      <c r="Z453" s="441"/>
      <c r="AA453" s="441"/>
      <c r="AB453" s="441"/>
      <c r="AC453" s="441"/>
      <c r="AD453" s="441"/>
      <c r="AE453" s="441"/>
    </row>
    <row r="454">
      <c r="A454" s="928"/>
      <c r="B454" s="441"/>
      <c r="C454" s="441"/>
      <c r="D454" s="441"/>
      <c r="E454" s="441"/>
      <c r="F454" s="441"/>
      <c r="G454" s="441"/>
      <c r="H454" s="441"/>
      <c r="I454" s="441"/>
      <c r="J454" s="441"/>
      <c r="K454" s="441"/>
      <c r="L454" s="441"/>
      <c r="M454" s="441"/>
      <c r="N454" s="441"/>
      <c r="O454" s="441"/>
      <c r="P454" s="441"/>
      <c r="Q454" s="441"/>
      <c r="R454" s="441"/>
      <c r="S454" s="441"/>
      <c r="T454" s="441"/>
      <c r="U454" s="441"/>
      <c r="V454" s="441"/>
      <c r="W454" s="441"/>
      <c r="X454" s="441"/>
      <c r="Y454" s="441"/>
      <c r="Z454" s="441"/>
      <c r="AA454" s="441"/>
      <c r="AB454" s="441"/>
      <c r="AC454" s="441"/>
      <c r="AD454" s="441"/>
      <c r="AE454" s="441"/>
    </row>
    <row r="455">
      <c r="A455" s="928"/>
      <c r="B455" s="441"/>
      <c r="C455" s="441"/>
      <c r="D455" s="441"/>
      <c r="E455" s="441"/>
      <c r="F455" s="441"/>
      <c r="G455" s="441"/>
      <c r="H455" s="441"/>
      <c r="I455" s="441"/>
      <c r="J455" s="441"/>
      <c r="K455" s="441"/>
      <c r="L455" s="441"/>
      <c r="M455" s="441"/>
      <c r="N455" s="441"/>
      <c r="O455" s="441"/>
      <c r="P455" s="441"/>
      <c r="Q455" s="441"/>
      <c r="R455" s="441"/>
      <c r="S455" s="441"/>
      <c r="T455" s="441"/>
      <c r="U455" s="441"/>
      <c r="V455" s="441"/>
      <c r="W455" s="441"/>
      <c r="X455" s="441"/>
      <c r="Y455" s="441"/>
      <c r="Z455" s="441"/>
      <c r="AA455" s="441"/>
      <c r="AB455" s="441"/>
      <c r="AC455" s="441"/>
      <c r="AD455" s="441"/>
      <c r="AE455" s="441"/>
    </row>
    <row r="456">
      <c r="A456" s="928"/>
      <c r="B456" s="441"/>
      <c r="C456" s="441"/>
      <c r="D456" s="441"/>
      <c r="E456" s="441"/>
      <c r="F456" s="441"/>
      <c r="G456" s="441"/>
      <c r="H456" s="441"/>
      <c r="I456" s="441"/>
      <c r="J456" s="441"/>
      <c r="K456" s="441"/>
      <c r="L456" s="441"/>
      <c r="M456" s="441"/>
      <c r="N456" s="441"/>
      <c r="O456" s="441"/>
      <c r="P456" s="441"/>
      <c r="Q456" s="441"/>
      <c r="R456" s="441"/>
      <c r="S456" s="441"/>
      <c r="T456" s="441"/>
      <c r="U456" s="441"/>
      <c r="V456" s="441"/>
      <c r="W456" s="441"/>
      <c r="X456" s="441"/>
      <c r="Y456" s="441"/>
      <c r="Z456" s="441"/>
      <c r="AA456" s="441"/>
      <c r="AB456" s="441"/>
      <c r="AC456" s="441"/>
      <c r="AD456" s="441"/>
      <c r="AE456" s="441"/>
    </row>
    <row r="457">
      <c r="A457" s="928"/>
      <c r="B457" s="441"/>
      <c r="C457" s="441"/>
      <c r="D457" s="441"/>
      <c r="E457" s="441"/>
      <c r="F457" s="441"/>
      <c r="G457" s="441"/>
      <c r="H457" s="441"/>
      <c r="I457" s="441"/>
      <c r="J457" s="441"/>
      <c r="K457" s="441"/>
      <c r="L457" s="441"/>
      <c r="M457" s="441"/>
      <c r="N457" s="441"/>
      <c r="O457" s="441"/>
      <c r="P457" s="441"/>
      <c r="Q457" s="441"/>
      <c r="R457" s="441"/>
      <c r="S457" s="441"/>
      <c r="T457" s="441"/>
      <c r="U457" s="441"/>
      <c r="V457" s="441"/>
      <c r="W457" s="441"/>
      <c r="X457" s="441"/>
      <c r="Y457" s="441"/>
      <c r="Z457" s="441"/>
      <c r="AA457" s="441"/>
      <c r="AB457" s="441"/>
      <c r="AC457" s="441"/>
      <c r="AD457" s="441"/>
      <c r="AE457" s="441"/>
    </row>
    <row r="458">
      <c r="A458" s="928"/>
      <c r="B458" s="441"/>
      <c r="C458" s="441"/>
      <c r="D458" s="441"/>
      <c r="E458" s="441"/>
      <c r="F458" s="441"/>
      <c r="G458" s="441"/>
      <c r="H458" s="441"/>
      <c r="I458" s="441"/>
      <c r="J458" s="441"/>
      <c r="K458" s="441"/>
      <c r="L458" s="441"/>
      <c r="M458" s="441"/>
      <c r="N458" s="441"/>
      <c r="O458" s="441"/>
      <c r="P458" s="441"/>
      <c r="Q458" s="441"/>
      <c r="R458" s="441"/>
      <c r="S458" s="441"/>
      <c r="T458" s="441"/>
      <c r="U458" s="441"/>
      <c r="V458" s="441"/>
      <c r="W458" s="441"/>
      <c r="X458" s="441"/>
      <c r="Y458" s="441"/>
      <c r="Z458" s="441"/>
      <c r="AA458" s="441"/>
      <c r="AB458" s="441"/>
      <c r="AC458" s="441"/>
      <c r="AD458" s="441"/>
      <c r="AE458" s="441"/>
    </row>
    <row r="459">
      <c r="A459" s="928"/>
      <c r="B459" s="441"/>
      <c r="C459" s="441"/>
      <c r="D459" s="441"/>
      <c r="E459" s="441"/>
      <c r="F459" s="441"/>
      <c r="G459" s="441"/>
      <c r="H459" s="441"/>
      <c r="I459" s="441"/>
      <c r="J459" s="441"/>
      <c r="K459" s="441"/>
      <c r="L459" s="441"/>
      <c r="M459" s="441"/>
      <c r="N459" s="441"/>
      <c r="O459" s="441"/>
      <c r="P459" s="441"/>
      <c r="Q459" s="441"/>
      <c r="R459" s="441"/>
      <c r="S459" s="441"/>
      <c r="T459" s="441"/>
      <c r="U459" s="441"/>
      <c r="V459" s="441"/>
      <c r="W459" s="441"/>
      <c r="X459" s="441"/>
      <c r="Y459" s="441"/>
      <c r="Z459" s="441"/>
      <c r="AA459" s="441"/>
      <c r="AB459" s="441"/>
      <c r="AC459" s="441"/>
      <c r="AD459" s="441"/>
      <c r="AE459" s="441"/>
    </row>
    <row r="460">
      <c r="A460" s="928"/>
      <c r="B460" s="441"/>
      <c r="C460" s="441"/>
      <c r="D460" s="441"/>
      <c r="E460" s="441"/>
      <c r="F460" s="441"/>
      <c r="G460" s="441"/>
      <c r="H460" s="441"/>
      <c r="I460" s="441"/>
      <c r="J460" s="441"/>
      <c r="K460" s="441"/>
      <c r="L460" s="441"/>
      <c r="M460" s="441"/>
      <c r="N460" s="441"/>
      <c r="O460" s="441"/>
      <c r="P460" s="441"/>
      <c r="Q460" s="441"/>
      <c r="R460" s="441"/>
      <c r="S460" s="441"/>
      <c r="T460" s="441"/>
      <c r="U460" s="441"/>
      <c r="V460" s="441"/>
      <c r="W460" s="441"/>
      <c r="X460" s="441"/>
      <c r="Y460" s="441"/>
      <c r="Z460" s="441"/>
      <c r="AA460" s="441"/>
      <c r="AB460" s="441"/>
      <c r="AC460" s="441"/>
      <c r="AD460" s="441"/>
      <c r="AE460" s="441"/>
    </row>
    <row r="461">
      <c r="A461" s="928"/>
      <c r="B461" s="441"/>
      <c r="C461" s="441"/>
      <c r="D461" s="441"/>
      <c r="E461" s="441"/>
      <c r="F461" s="441"/>
      <c r="G461" s="441"/>
      <c r="H461" s="441"/>
      <c r="I461" s="441"/>
      <c r="J461" s="441"/>
      <c r="K461" s="441"/>
      <c r="L461" s="441"/>
      <c r="M461" s="441"/>
      <c r="N461" s="441"/>
      <c r="O461" s="441"/>
      <c r="P461" s="441"/>
      <c r="Q461" s="441"/>
      <c r="R461" s="441"/>
      <c r="S461" s="441"/>
      <c r="T461" s="441"/>
      <c r="U461" s="441"/>
      <c r="V461" s="441"/>
      <c r="W461" s="441"/>
      <c r="X461" s="441"/>
      <c r="Y461" s="441"/>
      <c r="Z461" s="441"/>
      <c r="AA461" s="441"/>
      <c r="AB461" s="441"/>
      <c r="AC461" s="441"/>
      <c r="AD461" s="441"/>
      <c r="AE461" s="441"/>
    </row>
    <row r="462">
      <c r="A462" s="928"/>
      <c r="B462" s="441"/>
      <c r="C462" s="441"/>
      <c r="D462" s="441"/>
      <c r="E462" s="441"/>
      <c r="F462" s="441"/>
      <c r="G462" s="441"/>
      <c r="H462" s="441"/>
      <c r="I462" s="441"/>
      <c r="J462" s="441"/>
      <c r="K462" s="441"/>
      <c r="L462" s="441"/>
      <c r="M462" s="441"/>
      <c r="N462" s="441"/>
      <c r="O462" s="441"/>
      <c r="P462" s="441"/>
      <c r="Q462" s="441"/>
      <c r="R462" s="441"/>
      <c r="S462" s="441"/>
      <c r="T462" s="441"/>
      <c r="U462" s="441"/>
      <c r="V462" s="441"/>
      <c r="W462" s="441"/>
      <c r="X462" s="441"/>
      <c r="Y462" s="441"/>
      <c r="Z462" s="441"/>
      <c r="AA462" s="441"/>
      <c r="AB462" s="441"/>
      <c r="AC462" s="441"/>
      <c r="AD462" s="441"/>
      <c r="AE462" s="441"/>
    </row>
    <row r="463">
      <c r="A463" s="928"/>
      <c r="B463" s="441"/>
      <c r="C463" s="441"/>
      <c r="D463" s="441"/>
      <c r="E463" s="441"/>
      <c r="F463" s="441"/>
      <c r="G463" s="441"/>
      <c r="H463" s="441"/>
      <c r="I463" s="441"/>
      <c r="J463" s="441"/>
      <c r="K463" s="441"/>
      <c r="L463" s="441"/>
      <c r="M463" s="441"/>
      <c r="N463" s="441"/>
      <c r="O463" s="441"/>
      <c r="P463" s="441"/>
      <c r="Q463" s="441"/>
      <c r="R463" s="441"/>
      <c r="S463" s="441"/>
      <c r="T463" s="441"/>
      <c r="U463" s="441"/>
      <c r="V463" s="441"/>
      <c r="W463" s="441"/>
      <c r="X463" s="441"/>
      <c r="Y463" s="441"/>
      <c r="Z463" s="441"/>
      <c r="AA463" s="441"/>
      <c r="AB463" s="441"/>
      <c r="AC463" s="441"/>
      <c r="AD463" s="441"/>
      <c r="AE463" s="441"/>
    </row>
    <row r="464">
      <c r="A464" s="928"/>
      <c r="B464" s="441"/>
      <c r="C464" s="441"/>
      <c r="D464" s="441"/>
      <c r="E464" s="441"/>
      <c r="F464" s="441"/>
      <c r="G464" s="441"/>
      <c r="H464" s="441"/>
      <c r="I464" s="441"/>
      <c r="J464" s="441"/>
      <c r="K464" s="441"/>
      <c r="L464" s="441"/>
      <c r="M464" s="441"/>
      <c r="N464" s="441"/>
      <c r="O464" s="441"/>
      <c r="P464" s="441"/>
      <c r="Q464" s="441"/>
      <c r="R464" s="441"/>
      <c r="S464" s="441"/>
      <c r="T464" s="441"/>
      <c r="U464" s="441"/>
      <c r="V464" s="441"/>
      <c r="W464" s="441"/>
      <c r="X464" s="441"/>
      <c r="Y464" s="441"/>
      <c r="Z464" s="441"/>
      <c r="AA464" s="441"/>
      <c r="AB464" s="441"/>
      <c r="AC464" s="441"/>
      <c r="AD464" s="441"/>
      <c r="AE464" s="441"/>
    </row>
    <row r="465">
      <c r="A465" s="928"/>
      <c r="B465" s="441"/>
      <c r="C465" s="441"/>
      <c r="D465" s="441"/>
      <c r="E465" s="441"/>
      <c r="F465" s="441"/>
      <c r="G465" s="441"/>
      <c r="H465" s="441"/>
      <c r="I465" s="441"/>
      <c r="J465" s="441"/>
      <c r="K465" s="441"/>
      <c r="L465" s="441"/>
      <c r="M465" s="441"/>
      <c r="N465" s="441"/>
      <c r="O465" s="441"/>
      <c r="P465" s="441"/>
      <c r="Q465" s="441"/>
      <c r="R465" s="441"/>
      <c r="S465" s="441"/>
      <c r="T465" s="441"/>
      <c r="U465" s="441"/>
      <c r="V465" s="441"/>
      <c r="W465" s="441"/>
      <c r="X465" s="441"/>
      <c r="Y465" s="441"/>
      <c r="Z465" s="441"/>
      <c r="AA465" s="441"/>
      <c r="AB465" s="441"/>
      <c r="AC465" s="441"/>
      <c r="AD465" s="441"/>
      <c r="AE465" s="441"/>
    </row>
    <row r="466">
      <c r="A466" s="928"/>
      <c r="B466" s="441"/>
      <c r="C466" s="441"/>
      <c r="D466" s="441"/>
      <c r="E466" s="441"/>
      <c r="F466" s="441"/>
      <c r="G466" s="441"/>
      <c r="H466" s="441"/>
      <c r="I466" s="441"/>
      <c r="J466" s="441"/>
      <c r="K466" s="441"/>
      <c r="L466" s="441"/>
      <c r="M466" s="441"/>
      <c r="N466" s="441"/>
      <c r="O466" s="441"/>
      <c r="P466" s="441"/>
      <c r="Q466" s="441"/>
      <c r="R466" s="441"/>
      <c r="S466" s="441"/>
      <c r="T466" s="441"/>
      <c r="U466" s="441"/>
      <c r="V466" s="441"/>
      <c r="W466" s="441"/>
      <c r="X466" s="441"/>
      <c r="Y466" s="441"/>
      <c r="Z466" s="441"/>
      <c r="AA466" s="441"/>
      <c r="AB466" s="441"/>
      <c r="AC466" s="441"/>
      <c r="AD466" s="441"/>
      <c r="AE466" s="441"/>
    </row>
    <row r="467">
      <c r="A467" s="928"/>
      <c r="B467" s="441"/>
      <c r="C467" s="441"/>
      <c r="D467" s="441"/>
      <c r="E467" s="441"/>
      <c r="F467" s="441"/>
      <c r="G467" s="441"/>
      <c r="H467" s="441"/>
      <c r="I467" s="441"/>
      <c r="J467" s="441"/>
      <c r="K467" s="441"/>
      <c r="L467" s="441"/>
      <c r="M467" s="441"/>
      <c r="N467" s="441"/>
      <c r="O467" s="441"/>
      <c r="P467" s="441"/>
      <c r="Q467" s="441"/>
      <c r="R467" s="441"/>
      <c r="S467" s="441"/>
      <c r="T467" s="441"/>
      <c r="U467" s="441"/>
      <c r="V467" s="441"/>
      <c r="W467" s="441"/>
      <c r="X467" s="441"/>
      <c r="Y467" s="441"/>
      <c r="Z467" s="441"/>
      <c r="AA467" s="441"/>
      <c r="AB467" s="441"/>
      <c r="AC467" s="441"/>
      <c r="AD467" s="441"/>
      <c r="AE467" s="441"/>
    </row>
    <row r="468">
      <c r="A468" s="928"/>
      <c r="B468" s="441"/>
      <c r="C468" s="441"/>
      <c r="D468" s="441"/>
      <c r="E468" s="441"/>
      <c r="F468" s="441"/>
      <c r="G468" s="441"/>
      <c r="H468" s="441"/>
      <c r="I468" s="441"/>
      <c r="J468" s="441"/>
      <c r="K468" s="441"/>
      <c r="L468" s="441"/>
      <c r="M468" s="441"/>
      <c r="N468" s="441"/>
      <c r="O468" s="441"/>
      <c r="P468" s="441"/>
      <c r="Q468" s="441"/>
      <c r="R468" s="441"/>
      <c r="S468" s="441"/>
      <c r="T468" s="441"/>
      <c r="U468" s="441"/>
      <c r="V468" s="441"/>
      <c r="W468" s="441"/>
      <c r="X468" s="441"/>
      <c r="Y468" s="441"/>
      <c r="Z468" s="441"/>
      <c r="AA468" s="441"/>
      <c r="AB468" s="441"/>
      <c r="AC468" s="441"/>
      <c r="AD468" s="441"/>
      <c r="AE468" s="441"/>
    </row>
    <row r="469">
      <c r="A469" s="928"/>
      <c r="B469" s="441"/>
      <c r="C469" s="441"/>
      <c r="D469" s="441"/>
      <c r="E469" s="441"/>
      <c r="F469" s="441"/>
      <c r="G469" s="441"/>
      <c r="H469" s="441"/>
      <c r="I469" s="441"/>
      <c r="J469" s="441"/>
      <c r="K469" s="441"/>
      <c r="L469" s="441"/>
      <c r="M469" s="441"/>
      <c r="N469" s="441"/>
      <c r="O469" s="441"/>
      <c r="P469" s="441"/>
      <c r="Q469" s="441"/>
      <c r="R469" s="441"/>
      <c r="S469" s="441"/>
      <c r="T469" s="441"/>
      <c r="U469" s="441"/>
      <c r="V469" s="441"/>
      <c r="W469" s="441"/>
      <c r="X469" s="441"/>
      <c r="Y469" s="441"/>
      <c r="Z469" s="441"/>
      <c r="AA469" s="441"/>
      <c r="AB469" s="441"/>
      <c r="AC469" s="441"/>
      <c r="AD469" s="441"/>
      <c r="AE469" s="441"/>
    </row>
    <row r="470">
      <c r="A470" s="928"/>
      <c r="B470" s="441"/>
      <c r="C470" s="441"/>
      <c r="D470" s="441"/>
      <c r="E470" s="441"/>
      <c r="F470" s="441"/>
      <c r="G470" s="441"/>
      <c r="H470" s="441"/>
      <c r="I470" s="441"/>
      <c r="J470" s="441"/>
      <c r="K470" s="441"/>
      <c r="L470" s="441"/>
      <c r="M470" s="441"/>
      <c r="N470" s="441"/>
      <c r="O470" s="441"/>
      <c r="P470" s="441"/>
      <c r="Q470" s="441"/>
      <c r="R470" s="441"/>
      <c r="S470" s="441"/>
      <c r="T470" s="441"/>
      <c r="U470" s="441"/>
      <c r="V470" s="441"/>
      <c r="W470" s="441"/>
      <c r="X470" s="441"/>
      <c r="Y470" s="441"/>
      <c r="Z470" s="441"/>
      <c r="AA470" s="441"/>
      <c r="AB470" s="441"/>
      <c r="AC470" s="441"/>
      <c r="AD470" s="441"/>
      <c r="AE470" s="441"/>
    </row>
    <row r="471">
      <c r="A471" s="928"/>
      <c r="B471" s="441"/>
      <c r="C471" s="441"/>
      <c r="D471" s="441"/>
      <c r="E471" s="441"/>
      <c r="F471" s="441"/>
      <c r="G471" s="441"/>
      <c r="H471" s="441"/>
      <c r="I471" s="441"/>
      <c r="J471" s="441"/>
      <c r="K471" s="441"/>
      <c r="L471" s="441"/>
      <c r="M471" s="441"/>
      <c r="N471" s="441"/>
      <c r="O471" s="441"/>
      <c r="P471" s="441"/>
      <c r="Q471" s="441"/>
      <c r="R471" s="441"/>
      <c r="S471" s="441"/>
      <c r="T471" s="441"/>
      <c r="U471" s="441"/>
      <c r="V471" s="441"/>
      <c r="W471" s="441"/>
      <c r="X471" s="441"/>
      <c r="Y471" s="441"/>
      <c r="Z471" s="441"/>
      <c r="AA471" s="441"/>
      <c r="AB471" s="441"/>
      <c r="AC471" s="441"/>
      <c r="AD471" s="441"/>
      <c r="AE471" s="441"/>
    </row>
    <row r="472">
      <c r="A472" s="928"/>
      <c r="B472" s="441"/>
      <c r="C472" s="441"/>
      <c r="D472" s="441"/>
      <c r="E472" s="441"/>
      <c r="F472" s="441"/>
      <c r="G472" s="441"/>
      <c r="H472" s="441"/>
      <c r="I472" s="441"/>
      <c r="J472" s="441"/>
      <c r="K472" s="441"/>
      <c r="L472" s="441"/>
      <c r="M472" s="441"/>
      <c r="N472" s="441"/>
      <c r="O472" s="441"/>
      <c r="P472" s="441"/>
      <c r="Q472" s="441"/>
      <c r="R472" s="441"/>
      <c r="S472" s="441"/>
      <c r="T472" s="441"/>
      <c r="U472" s="441"/>
      <c r="V472" s="441"/>
      <c r="W472" s="441"/>
      <c r="X472" s="441"/>
      <c r="Y472" s="441"/>
      <c r="Z472" s="441"/>
      <c r="AA472" s="441"/>
      <c r="AB472" s="441"/>
      <c r="AC472" s="441"/>
      <c r="AD472" s="441"/>
      <c r="AE472" s="441"/>
    </row>
    <row r="473">
      <c r="A473" s="928"/>
      <c r="B473" s="441"/>
      <c r="C473" s="441"/>
      <c r="D473" s="441"/>
      <c r="E473" s="441"/>
      <c r="F473" s="441"/>
      <c r="G473" s="441"/>
      <c r="H473" s="441"/>
      <c r="I473" s="441"/>
      <c r="J473" s="441"/>
      <c r="K473" s="441"/>
      <c r="L473" s="441"/>
      <c r="M473" s="441"/>
      <c r="N473" s="441"/>
      <c r="O473" s="441"/>
      <c r="P473" s="441"/>
      <c r="Q473" s="441"/>
      <c r="R473" s="441"/>
      <c r="S473" s="441"/>
      <c r="T473" s="441"/>
      <c r="U473" s="441"/>
      <c r="V473" s="441"/>
      <c r="W473" s="441"/>
      <c r="X473" s="441"/>
      <c r="Y473" s="441"/>
      <c r="Z473" s="441"/>
      <c r="AA473" s="441"/>
      <c r="AB473" s="441"/>
      <c r="AC473" s="441"/>
      <c r="AD473" s="441"/>
      <c r="AE473" s="441"/>
    </row>
    <row r="474">
      <c r="A474" s="928"/>
      <c r="B474" s="441"/>
      <c r="C474" s="441"/>
      <c r="D474" s="441"/>
      <c r="E474" s="441"/>
      <c r="F474" s="441"/>
      <c r="G474" s="441"/>
      <c r="H474" s="441"/>
      <c r="I474" s="441"/>
      <c r="J474" s="441"/>
      <c r="K474" s="441"/>
      <c r="L474" s="441"/>
      <c r="M474" s="441"/>
      <c r="N474" s="441"/>
      <c r="O474" s="441"/>
      <c r="P474" s="441"/>
      <c r="Q474" s="441"/>
      <c r="R474" s="441"/>
      <c r="S474" s="441"/>
      <c r="T474" s="441"/>
      <c r="U474" s="441"/>
      <c r="V474" s="441"/>
      <c r="W474" s="441"/>
      <c r="X474" s="441"/>
      <c r="Y474" s="441"/>
      <c r="Z474" s="441"/>
      <c r="AA474" s="441"/>
      <c r="AB474" s="441"/>
      <c r="AC474" s="441"/>
      <c r="AD474" s="441"/>
      <c r="AE474" s="441"/>
    </row>
    <row r="475">
      <c r="A475" s="928"/>
      <c r="B475" s="441"/>
      <c r="C475" s="441"/>
      <c r="D475" s="441"/>
      <c r="E475" s="441"/>
      <c r="F475" s="441"/>
      <c r="G475" s="441"/>
      <c r="H475" s="441"/>
      <c r="I475" s="441"/>
      <c r="J475" s="441"/>
      <c r="K475" s="441"/>
      <c r="L475" s="441"/>
      <c r="M475" s="441"/>
      <c r="N475" s="441"/>
      <c r="O475" s="441"/>
      <c r="P475" s="441"/>
      <c r="Q475" s="441"/>
      <c r="R475" s="441"/>
      <c r="S475" s="441"/>
      <c r="T475" s="441"/>
      <c r="U475" s="441"/>
      <c r="V475" s="441"/>
      <c r="W475" s="441"/>
      <c r="X475" s="441"/>
      <c r="Y475" s="441"/>
      <c r="Z475" s="441"/>
      <c r="AA475" s="441"/>
      <c r="AB475" s="441"/>
      <c r="AC475" s="441"/>
      <c r="AD475" s="441"/>
      <c r="AE475" s="441"/>
    </row>
    <row r="476">
      <c r="A476" s="928"/>
      <c r="B476" s="441"/>
      <c r="C476" s="441"/>
      <c r="D476" s="441"/>
      <c r="E476" s="441"/>
      <c r="F476" s="441"/>
      <c r="G476" s="441"/>
      <c r="H476" s="441"/>
      <c r="I476" s="441"/>
      <c r="J476" s="441"/>
      <c r="K476" s="441"/>
      <c r="L476" s="441"/>
      <c r="M476" s="441"/>
      <c r="N476" s="441"/>
      <c r="O476" s="441"/>
      <c r="P476" s="441"/>
      <c r="Q476" s="441"/>
      <c r="R476" s="441"/>
      <c r="S476" s="441"/>
      <c r="T476" s="441"/>
      <c r="U476" s="441"/>
      <c r="V476" s="441"/>
      <c r="W476" s="441"/>
      <c r="X476" s="441"/>
      <c r="Y476" s="441"/>
      <c r="Z476" s="441"/>
      <c r="AA476" s="441"/>
      <c r="AB476" s="441"/>
      <c r="AC476" s="441"/>
      <c r="AD476" s="441"/>
      <c r="AE476" s="441"/>
    </row>
    <row r="477">
      <c r="A477" s="928"/>
      <c r="B477" s="441"/>
      <c r="C477" s="441"/>
      <c r="D477" s="441"/>
      <c r="E477" s="441"/>
      <c r="F477" s="441"/>
      <c r="G477" s="441"/>
      <c r="H477" s="441"/>
      <c r="I477" s="441"/>
      <c r="J477" s="441"/>
      <c r="K477" s="441"/>
      <c r="L477" s="441"/>
      <c r="M477" s="441"/>
      <c r="N477" s="441"/>
      <c r="O477" s="441"/>
      <c r="P477" s="441"/>
      <c r="Q477" s="441"/>
      <c r="R477" s="441"/>
      <c r="S477" s="441"/>
      <c r="T477" s="441"/>
      <c r="U477" s="441"/>
      <c r="V477" s="441"/>
      <c r="W477" s="441"/>
      <c r="X477" s="441"/>
      <c r="Y477" s="441"/>
      <c r="Z477" s="441"/>
      <c r="AA477" s="441"/>
      <c r="AB477" s="441"/>
      <c r="AC477" s="441"/>
      <c r="AD477" s="441"/>
      <c r="AE477" s="441"/>
    </row>
    <row r="478">
      <c r="A478" s="928"/>
      <c r="B478" s="441"/>
      <c r="C478" s="441"/>
      <c r="D478" s="441"/>
      <c r="E478" s="441"/>
      <c r="F478" s="441"/>
      <c r="G478" s="441"/>
      <c r="H478" s="441"/>
      <c r="I478" s="441"/>
      <c r="J478" s="441"/>
      <c r="K478" s="441"/>
      <c r="L478" s="441"/>
      <c r="M478" s="441"/>
      <c r="N478" s="441"/>
      <c r="O478" s="441"/>
      <c r="P478" s="441"/>
      <c r="Q478" s="441"/>
      <c r="R478" s="441"/>
      <c r="S478" s="441"/>
      <c r="T478" s="441"/>
      <c r="U478" s="441"/>
      <c r="V478" s="441"/>
      <c r="W478" s="441"/>
      <c r="X478" s="441"/>
      <c r="Y478" s="441"/>
      <c r="Z478" s="441"/>
      <c r="AA478" s="441"/>
      <c r="AB478" s="441"/>
      <c r="AC478" s="441"/>
      <c r="AD478" s="441"/>
      <c r="AE478" s="441"/>
    </row>
    <row r="479">
      <c r="A479" s="928"/>
      <c r="B479" s="441"/>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41"/>
      <c r="Z479" s="441"/>
      <c r="AA479" s="441"/>
      <c r="AB479" s="441"/>
      <c r="AC479" s="441"/>
      <c r="AD479" s="441"/>
      <c r="AE479" s="441"/>
    </row>
    <row r="480">
      <c r="A480" s="928"/>
      <c r="B480" s="441"/>
      <c r="C480" s="441"/>
      <c r="D480" s="441"/>
      <c r="E480" s="441"/>
      <c r="F480" s="441"/>
      <c r="G480" s="441"/>
      <c r="H480" s="441"/>
      <c r="I480" s="441"/>
      <c r="J480" s="441"/>
      <c r="K480" s="441"/>
      <c r="L480" s="441"/>
      <c r="M480" s="441"/>
      <c r="N480" s="441"/>
      <c r="O480" s="441"/>
      <c r="P480" s="441"/>
      <c r="Q480" s="441"/>
      <c r="R480" s="441"/>
      <c r="S480" s="441"/>
      <c r="T480" s="441"/>
      <c r="U480" s="441"/>
      <c r="V480" s="441"/>
      <c r="W480" s="441"/>
      <c r="X480" s="441"/>
      <c r="Y480" s="441"/>
      <c r="Z480" s="441"/>
      <c r="AA480" s="441"/>
      <c r="AB480" s="441"/>
      <c r="AC480" s="441"/>
      <c r="AD480" s="441"/>
      <c r="AE480" s="441"/>
    </row>
    <row r="481">
      <c r="A481" s="928"/>
      <c r="B481" s="441"/>
      <c r="C481" s="441"/>
      <c r="D481" s="441"/>
      <c r="E481" s="441"/>
      <c r="F481" s="441"/>
      <c r="G481" s="441"/>
      <c r="H481" s="441"/>
      <c r="I481" s="441"/>
      <c r="J481" s="441"/>
      <c r="K481" s="441"/>
      <c r="L481" s="441"/>
      <c r="M481" s="441"/>
      <c r="N481" s="441"/>
      <c r="O481" s="441"/>
      <c r="P481" s="441"/>
      <c r="Q481" s="441"/>
      <c r="R481" s="441"/>
      <c r="S481" s="441"/>
      <c r="T481" s="441"/>
      <c r="U481" s="441"/>
      <c r="V481" s="441"/>
      <c r="W481" s="441"/>
      <c r="X481" s="441"/>
      <c r="Y481" s="441"/>
      <c r="Z481" s="441"/>
      <c r="AA481" s="441"/>
      <c r="AB481" s="441"/>
      <c r="AC481" s="441"/>
      <c r="AD481" s="441"/>
      <c r="AE481" s="441"/>
    </row>
    <row r="482">
      <c r="A482" s="928"/>
      <c r="B482" s="441"/>
      <c r="C482" s="441"/>
      <c r="D482" s="441"/>
      <c r="E482" s="441"/>
      <c r="F482" s="441"/>
      <c r="G482" s="441"/>
      <c r="H482" s="441"/>
      <c r="I482" s="441"/>
      <c r="J482" s="441"/>
      <c r="K482" s="441"/>
      <c r="L482" s="441"/>
      <c r="M482" s="441"/>
      <c r="N482" s="441"/>
      <c r="O482" s="441"/>
      <c r="P482" s="441"/>
      <c r="Q482" s="441"/>
      <c r="R482" s="441"/>
      <c r="S482" s="441"/>
      <c r="T482" s="441"/>
      <c r="U482" s="441"/>
      <c r="V482" s="441"/>
      <c r="W482" s="441"/>
      <c r="X482" s="441"/>
      <c r="Y482" s="441"/>
      <c r="Z482" s="441"/>
      <c r="AA482" s="441"/>
      <c r="AB482" s="441"/>
      <c r="AC482" s="441"/>
      <c r="AD482" s="441"/>
      <c r="AE482" s="441"/>
    </row>
    <row r="483">
      <c r="A483" s="928"/>
      <c r="B483" s="441"/>
      <c r="C483" s="441"/>
      <c r="D483" s="441"/>
      <c r="E483" s="441"/>
      <c r="F483" s="441"/>
      <c r="G483" s="441"/>
      <c r="H483" s="441"/>
      <c r="I483" s="441"/>
      <c r="J483" s="441"/>
      <c r="K483" s="441"/>
      <c r="L483" s="441"/>
      <c r="M483" s="441"/>
      <c r="N483" s="441"/>
      <c r="O483" s="441"/>
      <c r="P483" s="441"/>
      <c r="Q483" s="441"/>
      <c r="R483" s="441"/>
      <c r="S483" s="441"/>
      <c r="T483" s="441"/>
      <c r="U483" s="441"/>
      <c r="V483" s="441"/>
      <c r="W483" s="441"/>
      <c r="X483" s="441"/>
      <c r="Y483" s="441"/>
      <c r="Z483" s="441"/>
      <c r="AA483" s="441"/>
      <c r="AB483" s="441"/>
      <c r="AC483" s="441"/>
      <c r="AD483" s="441"/>
      <c r="AE483" s="441"/>
    </row>
    <row r="484">
      <c r="A484" s="928"/>
      <c r="B484" s="441"/>
      <c r="C484" s="441"/>
      <c r="D484" s="441"/>
      <c r="E484" s="441"/>
      <c r="F484" s="441"/>
      <c r="G484" s="441"/>
      <c r="H484" s="441"/>
      <c r="I484" s="441"/>
      <c r="J484" s="441"/>
      <c r="K484" s="441"/>
      <c r="L484" s="441"/>
      <c r="M484" s="441"/>
      <c r="N484" s="441"/>
      <c r="O484" s="441"/>
      <c r="P484" s="441"/>
      <c r="Q484" s="441"/>
      <c r="R484" s="441"/>
      <c r="S484" s="441"/>
      <c r="T484" s="441"/>
      <c r="U484" s="441"/>
      <c r="V484" s="441"/>
      <c r="W484" s="441"/>
      <c r="X484" s="441"/>
      <c r="Y484" s="441"/>
      <c r="Z484" s="441"/>
      <c r="AA484" s="441"/>
      <c r="AB484" s="441"/>
      <c r="AC484" s="441"/>
      <c r="AD484" s="441"/>
      <c r="AE484" s="441"/>
    </row>
    <row r="485">
      <c r="A485" s="928"/>
      <c r="B485" s="441"/>
      <c r="C485" s="441"/>
      <c r="D485" s="441"/>
      <c r="E485" s="441"/>
      <c r="F485" s="441"/>
      <c r="G485" s="441"/>
      <c r="H485" s="441"/>
      <c r="I485" s="441"/>
      <c r="J485" s="441"/>
      <c r="K485" s="441"/>
      <c r="L485" s="441"/>
      <c r="M485" s="441"/>
      <c r="N485" s="441"/>
      <c r="O485" s="441"/>
      <c r="P485" s="441"/>
      <c r="Q485" s="441"/>
      <c r="R485" s="441"/>
      <c r="S485" s="441"/>
      <c r="T485" s="441"/>
      <c r="U485" s="441"/>
      <c r="V485" s="441"/>
      <c r="W485" s="441"/>
      <c r="X485" s="441"/>
      <c r="Y485" s="441"/>
      <c r="Z485" s="441"/>
      <c r="AA485" s="441"/>
      <c r="AB485" s="441"/>
      <c r="AC485" s="441"/>
      <c r="AD485" s="441"/>
      <c r="AE485" s="441"/>
    </row>
    <row r="486">
      <c r="A486" s="928"/>
      <c r="B486" s="441"/>
      <c r="C486" s="441"/>
      <c r="D486" s="441"/>
      <c r="E486" s="441"/>
      <c r="F486" s="441"/>
      <c r="G486" s="441"/>
      <c r="H486" s="441"/>
      <c r="I486" s="441"/>
      <c r="J486" s="441"/>
      <c r="K486" s="441"/>
      <c r="L486" s="441"/>
      <c r="M486" s="441"/>
      <c r="N486" s="441"/>
      <c r="O486" s="441"/>
      <c r="P486" s="441"/>
      <c r="Q486" s="441"/>
      <c r="R486" s="441"/>
      <c r="S486" s="441"/>
      <c r="T486" s="441"/>
      <c r="U486" s="441"/>
      <c r="V486" s="441"/>
      <c r="W486" s="441"/>
      <c r="X486" s="441"/>
      <c r="Y486" s="441"/>
      <c r="Z486" s="441"/>
      <c r="AA486" s="441"/>
      <c r="AB486" s="441"/>
      <c r="AC486" s="441"/>
      <c r="AD486" s="441"/>
      <c r="AE486" s="441"/>
    </row>
    <row r="487">
      <c r="A487" s="928"/>
      <c r="B487" s="441"/>
      <c r="C487" s="441"/>
      <c r="D487" s="441"/>
      <c r="E487" s="441"/>
      <c r="F487" s="441"/>
      <c r="G487" s="441"/>
      <c r="H487" s="441"/>
      <c r="I487" s="441"/>
      <c r="J487" s="441"/>
      <c r="K487" s="441"/>
      <c r="L487" s="441"/>
      <c r="M487" s="441"/>
      <c r="N487" s="441"/>
      <c r="O487" s="441"/>
      <c r="P487" s="441"/>
      <c r="Q487" s="441"/>
      <c r="R487" s="441"/>
      <c r="S487" s="441"/>
      <c r="T487" s="441"/>
      <c r="U487" s="441"/>
      <c r="V487" s="441"/>
      <c r="W487" s="441"/>
      <c r="X487" s="441"/>
      <c r="Y487" s="441"/>
      <c r="Z487" s="441"/>
      <c r="AA487" s="441"/>
      <c r="AB487" s="441"/>
      <c r="AC487" s="441"/>
      <c r="AD487" s="441"/>
      <c r="AE487" s="441"/>
    </row>
    <row r="488">
      <c r="A488" s="928"/>
      <c r="B488" s="441"/>
      <c r="C488" s="441"/>
      <c r="D488" s="441"/>
      <c r="E488" s="441"/>
      <c r="F488" s="441"/>
      <c r="G488" s="441"/>
      <c r="H488" s="441"/>
      <c r="I488" s="441"/>
      <c r="J488" s="441"/>
      <c r="K488" s="441"/>
      <c r="L488" s="441"/>
      <c r="M488" s="441"/>
      <c r="N488" s="441"/>
      <c r="O488" s="441"/>
      <c r="P488" s="441"/>
      <c r="Q488" s="441"/>
      <c r="R488" s="441"/>
      <c r="S488" s="441"/>
      <c r="T488" s="441"/>
      <c r="U488" s="441"/>
      <c r="V488" s="441"/>
      <c r="W488" s="441"/>
      <c r="X488" s="441"/>
      <c r="Y488" s="441"/>
      <c r="Z488" s="441"/>
      <c r="AA488" s="441"/>
      <c r="AB488" s="441"/>
      <c r="AC488" s="441"/>
      <c r="AD488" s="441"/>
      <c r="AE488" s="441"/>
    </row>
    <row r="489">
      <c r="A489" s="928"/>
      <c r="B489" s="441"/>
      <c r="C489" s="441"/>
      <c r="D489" s="441"/>
      <c r="E489" s="441"/>
      <c r="F489" s="441"/>
      <c r="G489" s="441"/>
      <c r="H489" s="441"/>
      <c r="I489" s="441"/>
      <c r="J489" s="441"/>
      <c r="K489" s="441"/>
      <c r="L489" s="441"/>
      <c r="M489" s="441"/>
      <c r="N489" s="441"/>
      <c r="O489" s="441"/>
      <c r="P489" s="441"/>
      <c r="Q489" s="441"/>
      <c r="R489" s="441"/>
      <c r="S489" s="441"/>
      <c r="T489" s="441"/>
      <c r="U489" s="441"/>
      <c r="V489" s="441"/>
      <c r="W489" s="441"/>
      <c r="X489" s="441"/>
      <c r="Y489" s="441"/>
      <c r="Z489" s="441"/>
      <c r="AA489" s="441"/>
      <c r="AB489" s="441"/>
      <c r="AC489" s="441"/>
      <c r="AD489" s="441"/>
      <c r="AE489" s="441"/>
    </row>
    <row r="490">
      <c r="A490" s="928"/>
      <c r="B490" s="441"/>
      <c r="C490" s="441"/>
      <c r="D490" s="441"/>
      <c r="E490" s="441"/>
      <c r="F490" s="441"/>
      <c r="G490" s="441"/>
      <c r="H490" s="441"/>
      <c r="I490" s="441"/>
      <c r="J490" s="441"/>
      <c r="K490" s="441"/>
      <c r="L490" s="441"/>
      <c r="M490" s="441"/>
      <c r="N490" s="441"/>
      <c r="O490" s="441"/>
      <c r="P490" s="441"/>
      <c r="Q490" s="441"/>
      <c r="R490" s="441"/>
      <c r="S490" s="441"/>
      <c r="T490" s="441"/>
      <c r="U490" s="441"/>
      <c r="V490" s="441"/>
      <c r="W490" s="441"/>
      <c r="X490" s="441"/>
      <c r="Y490" s="441"/>
      <c r="Z490" s="441"/>
      <c r="AA490" s="441"/>
      <c r="AB490" s="441"/>
      <c r="AC490" s="441"/>
      <c r="AD490" s="441"/>
      <c r="AE490" s="441"/>
    </row>
    <row r="491">
      <c r="A491" s="928"/>
      <c r="B491" s="441"/>
      <c r="C491" s="441"/>
      <c r="D491" s="441"/>
      <c r="E491" s="441"/>
      <c r="F491" s="441"/>
      <c r="G491" s="441"/>
      <c r="H491" s="441"/>
      <c r="I491" s="441"/>
      <c r="J491" s="441"/>
      <c r="K491" s="441"/>
      <c r="L491" s="441"/>
      <c r="M491" s="441"/>
      <c r="N491" s="441"/>
      <c r="O491" s="441"/>
      <c r="P491" s="441"/>
      <c r="Q491" s="441"/>
      <c r="R491" s="441"/>
      <c r="S491" s="441"/>
      <c r="T491" s="441"/>
      <c r="U491" s="441"/>
      <c r="V491" s="441"/>
      <c r="W491" s="441"/>
      <c r="X491" s="441"/>
      <c r="Y491" s="441"/>
      <c r="Z491" s="441"/>
      <c r="AA491" s="441"/>
      <c r="AB491" s="441"/>
      <c r="AC491" s="441"/>
      <c r="AD491" s="441"/>
      <c r="AE491" s="441"/>
    </row>
    <row r="492">
      <c r="A492" s="928"/>
      <c r="B492" s="441"/>
      <c r="C492" s="441"/>
      <c r="D492" s="441"/>
      <c r="E492" s="441"/>
      <c r="F492" s="441"/>
      <c r="G492" s="441"/>
      <c r="H492" s="441"/>
      <c r="I492" s="441"/>
      <c r="J492" s="441"/>
      <c r="K492" s="441"/>
      <c r="L492" s="441"/>
      <c r="M492" s="441"/>
      <c r="N492" s="441"/>
      <c r="O492" s="441"/>
      <c r="P492" s="441"/>
      <c r="Q492" s="441"/>
      <c r="R492" s="441"/>
      <c r="S492" s="441"/>
      <c r="T492" s="441"/>
      <c r="U492" s="441"/>
      <c r="V492" s="441"/>
      <c r="W492" s="441"/>
      <c r="X492" s="441"/>
      <c r="Y492" s="441"/>
      <c r="Z492" s="441"/>
      <c r="AA492" s="441"/>
      <c r="AB492" s="441"/>
      <c r="AC492" s="441"/>
      <c r="AD492" s="441"/>
      <c r="AE492" s="441"/>
    </row>
    <row r="493">
      <c r="A493" s="928"/>
      <c r="B493" s="441"/>
      <c r="C493" s="441"/>
      <c r="D493" s="441"/>
      <c r="E493" s="441"/>
      <c r="F493" s="441"/>
      <c r="G493" s="441"/>
      <c r="H493" s="441"/>
      <c r="I493" s="441"/>
      <c r="J493" s="441"/>
      <c r="K493" s="441"/>
      <c r="L493" s="441"/>
      <c r="M493" s="441"/>
      <c r="N493" s="441"/>
      <c r="O493" s="441"/>
      <c r="P493" s="441"/>
      <c r="Q493" s="441"/>
      <c r="R493" s="441"/>
      <c r="S493" s="441"/>
      <c r="T493" s="441"/>
      <c r="U493" s="441"/>
      <c r="V493" s="441"/>
      <c r="W493" s="441"/>
      <c r="X493" s="441"/>
      <c r="Y493" s="441"/>
      <c r="Z493" s="441"/>
      <c r="AA493" s="441"/>
      <c r="AB493" s="441"/>
      <c r="AC493" s="441"/>
      <c r="AD493" s="441"/>
      <c r="AE493" s="441"/>
    </row>
    <row r="494">
      <c r="A494" s="928"/>
      <c r="B494" s="441"/>
      <c r="C494" s="441"/>
      <c r="D494" s="441"/>
      <c r="E494" s="441"/>
      <c r="F494" s="441"/>
      <c r="G494" s="441"/>
      <c r="H494" s="441"/>
      <c r="I494" s="441"/>
      <c r="J494" s="441"/>
      <c r="K494" s="441"/>
      <c r="L494" s="441"/>
      <c r="M494" s="441"/>
      <c r="N494" s="441"/>
      <c r="O494" s="441"/>
      <c r="P494" s="441"/>
      <c r="Q494" s="441"/>
      <c r="R494" s="441"/>
      <c r="S494" s="441"/>
      <c r="T494" s="441"/>
      <c r="U494" s="441"/>
      <c r="V494" s="441"/>
      <c r="W494" s="441"/>
      <c r="X494" s="441"/>
      <c r="Y494" s="441"/>
      <c r="Z494" s="441"/>
      <c r="AA494" s="441"/>
      <c r="AB494" s="441"/>
      <c r="AC494" s="441"/>
      <c r="AD494" s="441"/>
      <c r="AE494" s="441"/>
    </row>
    <row r="495">
      <c r="A495" s="928"/>
      <c r="B495" s="441"/>
      <c r="C495" s="441"/>
      <c r="D495" s="441"/>
      <c r="E495" s="441"/>
      <c r="F495" s="441"/>
      <c r="G495" s="441"/>
      <c r="H495" s="441"/>
      <c r="I495" s="441"/>
      <c r="J495" s="441"/>
      <c r="K495" s="441"/>
      <c r="L495" s="441"/>
      <c r="M495" s="441"/>
      <c r="N495" s="441"/>
      <c r="O495" s="441"/>
      <c r="P495" s="441"/>
      <c r="Q495" s="441"/>
      <c r="R495" s="441"/>
      <c r="S495" s="441"/>
      <c r="T495" s="441"/>
      <c r="U495" s="441"/>
      <c r="V495" s="441"/>
      <c r="W495" s="441"/>
      <c r="X495" s="441"/>
      <c r="Y495" s="441"/>
      <c r="Z495" s="441"/>
      <c r="AA495" s="441"/>
      <c r="AB495" s="441"/>
      <c r="AC495" s="441"/>
      <c r="AD495" s="441"/>
      <c r="AE495" s="441"/>
    </row>
    <row r="496">
      <c r="A496" s="928"/>
      <c r="B496" s="441"/>
      <c r="C496" s="441"/>
      <c r="D496" s="441"/>
      <c r="E496" s="441"/>
      <c r="F496" s="441"/>
      <c r="G496" s="441"/>
      <c r="H496" s="441"/>
      <c r="I496" s="441"/>
      <c r="J496" s="441"/>
      <c r="K496" s="441"/>
      <c r="L496" s="441"/>
      <c r="M496" s="441"/>
      <c r="N496" s="441"/>
      <c r="O496" s="441"/>
      <c r="P496" s="441"/>
      <c r="Q496" s="441"/>
      <c r="R496" s="441"/>
      <c r="S496" s="441"/>
      <c r="T496" s="441"/>
      <c r="U496" s="441"/>
      <c r="V496" s="441"/>
      <c r="W496" s="441"/>
      <c r="X496" s="441"/>
      <c r="Y496" s="441"/>
      <c r="Z496" s="441"/>
      <c r="AA496" s="441"/>
      <c r="AB496" s="441"/>
      <c r="AC496" s="441"/>
      <c r="AD496" s="441"/>
      <c r="AE496" s="441"/>
    </row>
    <row r="497">
      <c r="A497" s="928"/>
      <c r="B497" s="441"/>
      <c r="C497" s="441"/>
      <c r="D497" s="441"/>
      <c r="E497" s="441"/>
      <c r="F497" s="441"/>
      <c r="G497" s="441"/>
      <c r="H497" s="441"/>
      <c r="I497" s="441"/>
      <c r="J497" s="441"/>
      <c r="K497" s="441"/>
      <c r="L497" s="441"/>
      <c r="M497" s="441"/>
      <c r="N497" s="441"/>
      <c r="O497" s="441"/>
      <c r="P497" s="441"/>
      <c r="Q497" s="441"/>
      <c r="R497" s="441"/>
      <c r="S497" s="441"/>
      <c r="T497" s="441"/>
      <c r="U497" s="441"/>
      <c r="V497" s="441"/>
      <c r="W497" s="441"/>
      <c r="X497" s="441"/>
      <c r="Y497" s="441"/>
      <c r="Z497" s="441"/>
      <c r="AA497" s="441"/>
      <c r="AB497" s="441"/>
      <c r="AC497" s="441"/>
      <c r="AD497" s="441"/>
      <c r="AE497" s="441"/>
    </row>
    <row r="498">
      <c r="A498" s="928"/>
      <c r="B498" s="441"/>
      <c r="C498" s="441"/>
      <c r="D498" s="441"/>
      <c r="E498" s="441"/>
      <c r="F498" s="441"/>
      <c r="G498" s="441"/>
      <c r="H498" s="441"/>
      <c r="I498" s="441"/>
      <c r="J498" s="441"/>
      <c r="K498" s="441"/>
      <c r="L498" s="441"/>
      <c r="M498" s="441"/>
      <c r="N498" s="441"/>
      <c r="O498" s="441"/>
      <c r="P498" s="441"/>
      <c r="Q498" s="441"/>
      <c r="R498" s="441"/>
      <c r="S498" s="441"/>
      <c r="T498" s="441"/>
      <c r="U498" s="441"/>
      <c r="V498" s="441"/>
      <c r="W498" s="441"/>
      <c r="X498" s="441"/>
      <c r="Y498" s="441"/>
      <c r="Z498" s="441"/>
      <c r="AA498" s="441"/>
      <c r="AB498" s="441"/>
      <c r="AC498" s="441"/>
      <c r="AD498" s="441"/>
      <c r="AE498" s="441"/>
    </row>
    <row r="499">
      <c r="A499" s="928"/>
      <c r="B499" s="441"/>
      <c r="C499" s="441"/>
      <c r="D499" s="441"/>
      <c r="E499" s="441"/>
      <c r="F499" s="441"/>
      <c r="G499" s="441"/>
      <c r="H499" s="441"/>
      <c r="I499" s="441"/>
      <c r="J499" s="441"/>
      <c r="K499" s="441"/>
      <c r="L499" s="441"/>
      <c r="M499" s="441"/>
      <c r="N499" s="441"/>
      <c r="O499" s="441"/>
      <c r="P499" s="441"/>
      <c r="Q499" s="441"/>
      <c r="R499" s="441"/>
      <c r="S499" s="441"/>
      <c r="T499" s="441"/>
      <c r="U499" s="441"/>
      <c r="V499" s="441"/>
      <c r="W499" s="441"/>
      <c r="X499" s="441"/>
      <c r="Y499" s="441"/>
      <c r="Z499" s="441"/>
      <c r="AA499" s="441"/>
      <c r="AB499" s="441"/>
      <c r="AC499" s="441"/>
      <c r="AD499" s="441"/>
      <c r="AE499" s="441"/>
    </row>
    <row r="500">
      <c r="A500" s="928"/>
      <c r="B500" s="441"/>
      <c r="C500" s="441"/>
      <c r="D500" s="441"/>
      <c r="E500" s="441"/>
      <c r="F500" s="441"/>
      <c r="G500" s="441"/>
      <c r="H500" s="441"/>
      <c r="I500" s="441"/>
      <c r="J500" s="441"/>
      <c r="K500" s="441"/>
      <c r="L500" s="441"/>
      <c r="M500" s="441"/>
      <c r="N500" s="441"/>
      <c r="O500" s="441"/>
      <c r="P500" s="441"/>
      <c r="Q500" s="441"/>
      <c r="R500" s="441"/>
      <c r="S500" s="441"/>
      <c r="T500" s="441"/>
      <c r="U500" s="441"/>
      <c r="V500" s="441"/>
      <c r="W500" s="441"/>
      <c r="X500" s="441"/>
      <c r="Y500" s="441"/>
      <c r="Z500" s="441"/>
      <c r="AA500" s="441"/>
      <c r="AB500" s="441"/>
      <c r="AC500" s="441"/>
      <c r="AD500" s="441"/>
      <c r="AE500" s="441"/>
    </row>
    <row r="501">
      <c r="A501" s="928"/>
      <c r="B501" s="441"/>
      <c r="C501" s="441"/>
      <c r="D501" s="441"/>
      <c r="E501" s="441"/>
      <c r="F501" s="441"/>
      <c r="G501" s="441"/>
      <c r="H501" s="441"/>
      <c r="I501" s="441"/>
      <c r="J501" s="441"/>
      <c r="K501" s="441"/>
      <c r="L501" s="441"/>
      <c r="M501" s="441"/>
      <c r="N501" s="441"/>
      <c r="O501" s="441"/>
      <c r="P501" s="441"/>
      <c r="Q501" s="441"/>
      <c r="R501" s="441"/>
      <c r="S501" s="441"/>
      <c r="T501" s="441"/>
      <c r="U501" s="441"/>
      <c r="V501" s="441"/>
      <c r="W501" s="441"/>
      <c r="X501" s="441"/>
      <c r="Y501" s="441"/>
      <c r="Z501" s="441"/>
      <c r="AA501" s="441"/>
      <c r="AB501" s="441"/>
      <c r="AC501" s="441"/>
      <c r="AD501" s="441"/>
      <c r="AE501" s="441"/>
    </row>
    <row r="502">
      <c r="A502" s="928"/>
      <c r="B502" s="441"/>
      <c r="C502" s="441"/>
      <c r="D502" s="441"/>
      <c r="E502" s="441"/>
      <c r="F502" s="441"/>
      <c r="G502" s="441"/>
      <c r="H502" s="441"/>
      <c r="I502" s="441"/>
      <c r="J502" s="441"/>
      <c r="K502" s="441"/>
      <c r="L502" s="441"/>
      <c r="M502" s="441"/>
      <c r="N502" s="441"/>
      <c r="O502" s="441"/>
      <c r="P502" s="441"/>
      <c r="Q502" s="441"/>
      <c r="R502" s="441"/>
      <c r="S502" s="441"/>
      <c r="T502" s="441"/>
      <c r="U502" s="441"/>
      <c r="V502" s="441"/>
      <c r="W502" s="441"/>
      <c r="X502" s="441"/>
      <c r="Y502" s="441"/>
      <c r="Z502" s="441"/>
      <c r="AA502" s="441"/>
      <c r="AB502" s="441"/>
      <c r="AC502" s="441"/>
      <c r="AD502" s="441"/>
      <c r="AE502" s="441"/>
    </row>
    <row r="503">
      <c r="A503" s="928"/>
      <c r="B503" s="441"/>
      <c r="C503" s="441"/>
      <c r="D503" s="441"/>
      <c r="E503" s="441"/>
      <c r="F503" s="441"/>
      <c r="G503" s="441"/>
      <c r="H503" s="441"/>
      <c r="I503" s="441"/>
      <c r="J503" s="441"/>
      <c r="K503" s="441"/>
      <c r="L503" s="441"/>
      <c r="M503" s="441"/>
      <c r="N503" s="441"/>
      <c r="O503" s="441"/>
      <c r="P503" s="441"/>
      <c r="Q503" s="441"/>
      <c r="R503" s="441"/>
      <c r="S503" s="441"/>
      <c r="T503" s="441"/>
      <c r="U503" s="441"/>
      <c r="V503" s="441"/>
      <c r="W503" s="441"/>
      <c r="X503" s="441"/>
      <c r="Y503" s="441"/>
      <c r="Z503" s="441"/>
      <c r="AA503" s="441"/>
      <c r="AB503" s="441"/>
      <c r="AC503" s="441"/>
      <c r="AD503" s="441"/>
      <c r="AE503" s="441"/>
    </row>
    <row r="504">
      <c r="A504" s="928"/>
      <c r="B504" s="441"/>
      <c r="C504" s="441"/>
      <c r="D504" s="441"/>
      <c r="E504" s="441"/>
      <c r="F504" s="441"/>
      <c r="G504" s="441"/>
      <c r="H504" s="441"/>
      <c r="I504" s="441"/>
      <c r="J504" s="441"/>
      <c r="K504" s="441"/>
      <c r="L504" s="441"/>
      <c r="M504" s="441"/>
      <c r="N504" s="441"/>
      <c r="O504" s="441"/>
      <c r="P504" s="441"/>
      <c r="Q504" s="441"/>
      <c r="R504" s="441"/>
      <c r="S504" s="441"/>
      <c r="T504" s="441"/>
      <c r="U504" s="441"/>
      <c r="V504" s="441"/>
      <c r="W504" s="441"/>
      <c r="X504" s="441"/>
      <c r="Y504" s="441"/>
      <c r="Z504" s="441"/>
      <c r="AA504" s="441"/>
      <c r="AB504" s="441"/>
      <c r="AC504" s="441"/>
      <c r="AD504" s="441"/>
      <c r="AE504" s="441"/>
    </row>
    <row r="505">
      <c r="A505" s="928"/>
      <c r="B505" s="441"/>
      <c r="C505" s="441"/>
      <c r="D505" s="441"/>
      <c r="E505" s="441"/>
      <c r="F505" s="441"/>
      <c r="G505" s="441"/>
      <c r="H505" s="441"/>
      <c r="I505" s="441"/>
      <c r="J505" s="441"/>
      <c r="K505" s="441"/>
      <c r="L505" s="441"/>
      <c r="M505" s="441"/>
      <c r="N505" s="441"/>
      <c r="O505" s="441"/>
      <c r="P505" s="441"/>
      <c r="Q505" s="441"/>
      <c r="R505" s="441"/>
      <c r="S505" s="441"/>
      <c r="T505" s="441"/>
      <c r="U505" s="441"/>
      <c r="V505" s="441"/>
      <c r="W505" s="441"/>
      <c r="X505" s="441"/>
      <c r="Y505" s="441"/>
      <c r="Z505" s="441"/>
      <c r="AA505" s="441"/>
      <c r="AB505" s="441"/>
      <c r="AC505" s="441"/>
      <c r="AD505" s="441"/>
      <c r="AE505" s="441"/>
    </row>
    <row r="506">
      <c r="A506" s="928"/>
      <c r="B506" s="441"/>
      <c r="C506" s="441"/>
      <c r="D506" s="441"/>
      <c r="E506" s="441"/>
      <c r="F506" s="441"/>
      <c r="G506" s="441"/>
      <c r="H506" s="441"/>
      <c r="I506" s="441"/>
      <c r="J506" s="441"/>
      <c r="K506" s="441"/>
      <c r="L506" s="441"/>
      <c r="M506" s="441"/>
      <c r="N506" s="441"/>
      <c r="O506" s="441"/>
      <c r="P506" s="441"/>
      <c r="Q506" s="441"/>
      <c r="R506" s="441"/>
      <c r="S506" s="441"/>
      <c r="T506" s="441"/>
      <c r="U506" s="441"/>
      <c r="V506" s="441"/>
      <c r="W506" s="441"/>
      <c r="X506" s="441"/>
      <c r="Y506" s="441"/>
      <c r="Z506" s="441"/>
      <c r="AA506" s="441"/>
      <c r="AB506" s="441"/>
      <c r="AC506" s="441"/>
      <c r="AD506" s="441"/>
      <c r="AE506" s="441"/>
    </row>
    <row r="507">
      <c r="A507" s="928"/>
      <c r="B507" s="441"/>
      <c r="C507" s="441"/>
      <c r="D507" s="441"/>
      <c r="E507" s="441"/>
      <c r="F507" s="441"/>
      <c r="G507" s="441"/>
      <c r="H507" s="441"/>
      <c r="I507" s="441"/>
      <c r="J507" s="441"/>
      <c r="K507" s="441"/>
      <c r="L507" s="441"/>
      <c r="M507" s="441"/>
      <c r="N507" s="441"/>
      <c r="O507" s="441"/>
      <c r="P507" s="441"/>
      <c r="Q507" s="441"/>
      <c r="R507" s="441"/>
      <c r="S507" s="441"/>
      <c r="T507" s="441"/>
      <c r="U507" s="441"/>
      <c r="V507" s="441"/>
      <c r="W507" s="441"/>
      <c r="X507" s="441"/>
      <c r="Y507" s="441"/>
      <c r="Z507" s="441"/>
      <c r="AA507" s="441"/>
      <c r="AB507" s="441"/>
      <c r="AC507" s="441"/>
      <c r="AD507" s="441"/>
      <c r="AE507" s="441"/>
    </row>
    <row r="508">
      <c r="A508" s="928"/>
      <c r="B508" s="441"/>
      <c r="C508" s="441"/>
      <c r="D508" s="441"/>
      <c r="E508" s="441"/>
      <c r="F508" s="441"/>
      <c r="G508" s="441"/>
      <c r="H508" s="441"/>
      <c r="I508" s="441"/>
      <c r="J508" s="441"/>
      <c r="K508" s="441"/>
      <c r="L508" s="441"/>
      <c r="M508" s="441"/>
      <c r="N508" s="441"/>
      <c r="O508" s="441"/>
      <c r="P508" s="441"/>
      <c r="Q508" s="441"/>
      <c r="R508" s="441"/>
      <c r="S508" s="441"/>
      <c r="T508" s="441"/>
      <c r="U508" s="441"/>
      <c r="V508" s="441"/>
      <c r="W508" s="441"/>
      <c r="X508" s="441"/>
      <c r="Y508" s="441"/>
      <c r="Z508" s="441"/>
      <c r="AA508" s="441"/>
      <c r="AB508" s="441"/>
      <c r="AC508" s="441"/>
      <c r="AD508" s="441"/>
      <c r="AE508" s="441"/>
    </row>
    <row r="509">
      <c r="A509" s="928"/>
      <c r="B509" s="441"/>
      <c r="C509" s="441"/>
      <c r="D509" s="441"/>
      <c r="E509" s="441"/>
      <c r="F509" s="441"/>
      <c r="G509" s="441"/>
      <c r="H509" s="441"/>
      <c r="I509" s="441"/>
      <c r="J509" s="441"/>
      <c r="K509" s="441"/>
      <c r="L509" s="441"/>
      <c r="M509" s="441"/>
      <c r="N509" s="441"/>
      <c r="O509" s="441"/>
      <c r="P509" s="441"/>
      <c r="Q509" s="441"/>
      <c r="R509" s="441"/>
      <c r="S509" s="441"/>
      <c r="T509" s="441"/>
      <c r="U509" s="441"/>
      <c r="V509" s="441"/>
      <c r="W509" s="441"/>
      <c r="X509" s="441"/>
      <c r="Y509" s="441"/>
      <c r="Z509" s="441"/>
      <c r="AA509" s="441"/>
      <c r="AB509" s="441"/>
      <c r="AC509" s="441"/>
      <c r="AD509" s="441"/>
      <c r="AE509" s="441"/>
    </row>
    <row r="510">
      <c r="A510" s="928"/>
      <c r="B510" s="441"/>
      <c r="C510" s="441"/>
      <c r="D510" s="441"/>
      <c r="E510" s="441"/>
      <c r="F510" s="441"/>
      <c r="G510" s="441"/>
      <c r="H510" s="441"/>
      <c r="I510" s="441"/>
      <c r="J510" s="441"/>
      <c r="K510" s="441"/>
      <c r="L510" s="441"/>
      <c r="M510" s="441"/>
      <c r="N510" s="441"/>
      <c r="O510" s="441"/>
      <c r="P510" s="441"/>
      <c r="Q510" s="441"/>
      <c r="R510" s="441"/>
      <c r="S510" s="441"/>
      <c r="T510" s="441"/>
      <c r="U510" s="441"/>
      <c r="V510" s="441"/>
      <c r="W510" s="441"/>
      <c r="X510" s="441"/>
      <c r="Y510" s="441"/>
      <c r="Z510" s="441"/>
      <c r="AA510" s="441"/>
      <c r="AB510" s="441"/>
      <c r="AC510" s="441"/>
      <c r="AD510" s="441"/>
      <c r="AE510" s="441"/>
    </row>
    <row r="511">
      <c r="A511" s="928"/>
      <c r="B511" s="441"/>
      <c r="C511" s="441"/>
      <c r="D511" s="441"/>
      <c r="E511" s="441"/>
      <c r="F511" s="441"/>
      <c r="G511" s="441"/>
      <c r="H511" s="441"/>
      <c r="I511" s="441"/>
      <c r="J511" s="441"/>
      <c r="K511" s="441"/>
      <c r="L511" s="441"/>
      <c r="M511" s="441"/>
      <c r="N511" s="441"/>
      <c r="O511" s="441"/>
      <c r="P511" s="441"/>
      <c r="Q511" s="441"/>
      <c r="R511" s="441"/>
      <c r="S511" s="441"/>
      <c r="T511" s="441"/>
      <c r="U511" s="441"/>
      <c r="V511" s="441"/>
      <c r="W511" s="441"/>
      <c r="X511" s="441"/>
      <c r="Y511" s="441"/>
      <c r="Z511" s="441"/>
      <c r="AA511" s="441"/>
      <c r="AB511" s="441"/>
      <c r="AC511" s="441"/>
      <c r="AD511" s="441"/>
      <c r="AE511" s="441"/>
    </row>
    <row r="512">
      <c r="A512" s="928"/>
      <c r="B512" s="441"/>
      <c r="C512" s="441"/>
      <c r="D512" s="441"/>
      <c r="E512" s="441"/>
      <c r="F512" s="441"/>
      <c r="G512" s="441"/>
      <c r="H512" s="441"/>
      <c r="I512" s="441"/>
      <c r="J512" s="441"/>
      <c r="K512" s="441"/>
      <c r="L512" s="441"/>
      <c r="M512" s="441"/>
      <c r="N512" s="441"/>
      <c r="O512" s="441"/>
      <c r="P512" s="441"/>
      <c r="Q512" s="441"/>
      <c r="R512" s="441"/>
      <c r="S512" s="441"/>
      <c r="T512" s="441"/>
      <c r="U512" s="441"/>
      <c r="V512" s="441"/>
      <c r="W512" s="441"/>
      <c r="X512" s="441"/>
      <c r="Y512" s="441"/>
      <c r="Z512" s="441"/>
      <c r="AA512" s="441"/>
      <c r="AB512" s="441"/>
      <c r="AC512" s="441"/>
      <c r="AD512" s="441"/>
      <c r="AE512" s="441"/>
    </row>
    <row r="513">
      <c r="A513" s="928"/>
      <c r="B513" s="441"/>
      <c r="C513" s="441"/>
      <c r="D513" s="441"/>
      <c r="E513" s="441"/>
      <c r="F513" s="441"/>
      <c r="G513" s="441"/>
      <c r="H513" s="441"/>
      <c r="I513" s="441"/>
      <c r="J513" s="441"/>
      <c r="K513" s="441"/>
      <c r="L513" s="441"/>
      <c r="M513" s="441"/>
      <c r="N513" s="441"/>
      <c r="O513" s="441"/>
      <c r="P513" s="441"/>
      <c r="Q513" s="441"/>
      <c r="R513" s="441"/>
      <c r="S513" s="441"/>
      <c r="T513" s="441"/>
      <c r="U513" s="441"/>
      <c r="V513" s="441"/>
      <c r="W513" s="441"/>
      <c r="X513" s="441"/>
      <c r="Y513" s="441"/>
      <c r="Z513" s="441"/>
      <c r="AA513" s="441"/>
      <c r="AB513" s="441"/>
      <c r="AC513" s="441"/>
      <c r="AD513" s="441"/>
      <c r="AE513" s="441"/>
    </row>
    <row r="514">
      <c r="A514" s="928"/>
      <c r="B514" s="441"/>
      <c r="C514" s="441"/>
      <c r="D514" s="441"/>
      <c r="E514" s="441"/>
      <c r="F514" s="441"/>
      <c r="G514" s="441"/>
      <c r="H514" s="441"/>
      <c r="I514" s="441"/>
      <c r="J514" s="441"/>
      <c r="K514" s="441"/>
      <c r="L514" s="441"/>
      <c r="M514" s="441"/>
      <c r="N514" s="441"/>
      <c r="O514" s="441"/>
      <c r="P514" s="441"/>
      <c r="Q514" s="441"/>
      <c r="R514" s="441"/>
      <c r="S514" s="441"/>
      <c r="T514" s="441"/>
      <c r="U514" s="441"/>
      <c r="V514" s="441"/>
      <c r="W514" s="441"/>
      <c r="X514" s="441"/>
      <c r="Y514" s="441"/>
      <c r="Z514" s="441"/>
      <c r="AA514" s="441"/>
      <c r="AB514" s="441"/>
      <c r="AC514" s="441"/>
      <c r="AD514" s="441"/>
      <c r="AE514" s="441"/>
    </row>
    <row r="515">
      <c r="A515" s="928"/>
      <c r="B515" s="441"/>
      <c r="C515" s="441"/>
      <c r="D515" s="441"/>
      <c r="E515" s="441"/>
      <c r="F515" s="441"/>
      <c r="G515" s="441"/>
      <c r="H515" s="441"/>
      <c r="I515" s="441"/>
      <c r="J515" s="441"/>
      <c r="K515" s="441"/>
      <c r="L515" s="441"/>
      <c r="M515" s="441"/>
      <c r="N515" s="441"/>
      <c r="O515" s="441"/>
      <c r="P515" s="441"/>
      <c r="Q515" s="441"/>
      <c r="R515" s="441"/>
      <c r="S515" s="441"/>
      <c r="T515" s="441"/>
      <c r="U515" s="441"/>
      <c r="V515" s="441"/>
      <c r="W515" s="441"/>
      <c r="X515" s="441"/>
      <c r="Y515" s="441"/>
      <c r="Z515" s="441"/>
      <c r="AA515" s="441"/>
      <c r="AB515" s="441"/>
      <c r="AC515" s="441"/>
      <c r="AD515" s="441"/>
      <c r="AE515" s="441"/>
    </row>
    <row r="516">
      <c r="A516" s="928"/>
      <c r="B516" s="441"/>
      <c r="C516" s="441"/>
      <c r="D516" s="441"/>
      <c r="E516" s="441"/>
      <c r="F516" s="441"/>
      <c r="G516" s="441"/>
      <c r="H516" s="441"/>
      <c r="I516" s="441"/>
      <c r="J516" s="441"/>
      <c r="K516" s="441"/>
      <c r="L516" s="441"/>
      <c r="M516" s="441"/>
      <c r="N516" s="441"/>
      <c r="O516" s="441"/>
      <c r="P516" s="441"/>
      <c r="Q516" s="441"/>
      <c r="R516" s="441"/>
      <c r="S516" s="441"/>
      <c r="T516" s="441"/>
      <c r="U516" s="441"/>
      <c r="V516" s="441"/>
      <c r="W516" s="441"/>
      <c r="X516" s="441"/>
      <c r="Y516" s="441"/>
      <c r="Z516" s="441"/>
      <c r="AA516" s="441"/>
      <c r="AB516" s="441"/>
      <c r="AC516" s="441"/>
      <c r="AD516" s="441"/>
      <c r="AE516" s="441"/>
    </row>
    <row r="517">
      <c r="A517" s="928"/>
      <c r="B517" s="441"/>
      <c r="C517" s="441"/>
      <c r="D517" s="441"/>
      <c r="E517" s="441"/>
      <c r="F517" s="441"/>
      <c r="G517" s="441"/>
      <c r="H517" s="441"/>
      <c r="I517" s="441"/>
      <c r="J517" s="441"/>
      <c r="K517" s="441"/>
      <c r="L517" s="441"/>
      <c r="M517" s="441"/>
      <c r="N517" s="441"/>
      <c r="O517" s="441"/>
      <c r="P517" s="441"/>
      <c r="Q517" s="441"/>
      <c r="R517" s="441"/>
      <c r="S517" s="441"/>
      <c r="T517" s="441"/>
      <c r="U517" s="441"/>
      <c r="V517" s="441"/>
      <c r="W517" s="441"/>
      <c r="X517" s="441"/>
      <c r="Y517" s="441"/>
      <c r="Z517" s="441"/>
      <c r="AA517" s="441"/>
      <c r="AB517" s="441"/>
      <c r="AC517" s="441"/>
      <c r="AD517" s="441"/>
      <c r="AE517" s="441"/>
    </row>
    <row r="518">
      <c r="A518" s="928"/>
      <c r="B518" s="441"/>
      <c r="C518" s="441"/>
      <c r="D518" s="441"/>
      <c r="E518" s="441"/>
      <c r="F518" s="441"/>
      <c r="G518" s="441"/>
      <c r="H518" s="441"/>
      <c r="I518" s="441"/>
      <c r="J518" s="441"/>
      <c r="K518" s="441"/>
      <c r="L518" s="441"/>
      <c r="M518" s="441"/>
      <c r="N518" s="441"/>
      <c r="O518" s="441"/>
      <c r="P518" s="441"/>
      <c r="Q518" s="441"/>
      <c r="R518" s="441"/>
      <c r="S518" s="441"/>
      <c r="T518" s="441"/>
      <c r="U518" s="441"/>
      <c r="V518" s="441"/>
      <c r="W518" s="441"/>
      <c r="X518" s="441"/>
      <c r="Y518" s="441"/>
      <c r="Z518" s="441"/>
      <c r="AA518" s="441"/>
      <c r="AB518" s="441"/>
      <c r="AC518" s="441"/>
      <c r="AD518" s="441"/>
      <c r="AE518" s="441"/>
    </row>
    <row r="519">
      <c r="A519" s="928"/>
      <c r="B519" s="441"/>
      <c r="C519" s="441"/>
      <c r="D519" s="441"/>
      <c r="E519" s="441"/>
      <c r="F519" s="441"/>
      <c r="G519" s="441"/>
      <c r="H519" s="441"/>
      <c r="I519" s="441"/>
      <c r="J519" s="441"/>
      <c r="K519" s="441"/>
      <c r="L519" s="441"/>
      <c r="M519" s="441"/>
      <c r="N519" s="441"/>
      <c r="O519" s="441"/>
      <c r="P519" s="441"/>
      <c r="Q519" s="441"/>
      <c r="R519" s="441"/>
      <c r="S519" s="441"/>
      <c r="T519" s="441"/>
      <c r="U519" s="441"/>
      <c r="V519" s="441"/>
      <c r="W519" s="441"/>
      <c r="X519" s="441"/>
      <c r="Y519" s="441"/>
      <c r="Z519" s="441"/>
      <c r="AA519" s="441"/>
      <c r="AB519" s="441"/>
      <c r="AC519" s="441"/>
      <c r="AD519" s="441"/>
      <c r="AE519" s="441"/>
    </row>
    <row r="520">
      <c r="A520" s="928"/>
      <c r="B520" s="441"/>
      <c r="C520" s="441"/>
      <c r="D520" s="441"/>
      <c r="E520" s="441"/>
      <c r="F520" s="441"/>
      <c r="G520" s="441"/>
      <c r="H520" s="441"/>
      <c r="I520" s="441"/>
      <c r="J520" s="441"/>
      <c r="K520" s="441"/>
      <c r="L520" s="441"/>
      <c r="M520" s="441"/>
      <c r="N520" s="441"/>
      <c r="O520" s="441"/>
      <c r="P520" s="441"/>
      <c r="Q520" s="441"/>
      <c r="R520" s="441"/>
      <c r="S520" s="441"/>
      <c r="T520" s="441"/>
      <c r="U520" s="441"/>
      <c r="V520" s="441"/>
      <c r="W520" s="441"/>
      <c r="X520" s="441"/>
      <c r="Y520" s="441"/>
      <c r="Z520" s="441"/>
      <c r="AA520" s="441"/>
      <c r="AB520" s="441"/>
      <c r="AC520" s="441"/>
      <c r="AD520" s="441"/>
      <c r="AE520" s="441"/>
    </row>
    <row r="521">
      <c r="A521" s="928"/>
      <c r="B521" s="441"/>
      <c r="C521" s="441"/>
      <c r="D521" s="441"/>
      <c r="E521" s="441"/>
      <c r="F521" s="441"/>
      <c r="G521" s="441"/>
      <c r="H521" s="441"/>
      <c r="I521" s="441"/>
      <c r="J521" s="441"/>
      <c r="K521" s="441"/>
      <c r="L521" s="441"/>
      <c r="M521" s="441"/>
      <c r="N521" s="441"/>
      <c r="O521" s="441"/>
      <c r="P521" s="441"/>
      <c r="Q521" s="441"/>
      <c r="R521" s="441"/>
      <c r="S521" s="441"/>
      <c r="T521" s="441"/>
      <c r="U521" s="441"/>
      <c r="V521" s="441"/>
      <c r="W521" s="441"/>
      <c r="X521" s="441"/>
      <c r="Y521" s="441"/>
      <c r="Z521" s="441"/>
      <c r="AA521" s="441"/>
      <c r="AB521" s="441"/>
      <c r="AC521" s="441"/>
      <c r="AD521" s="441"/>
      <c r="AE521" s="441"/>
    </row>
    <row r="522">
      <c r="A522" s="928"/>
      <c r="B522" s="441"/>
      <c r="C522" s="441"/>
      <c r="D522" s="441"/>
      <c r="E522" s="441"/>
      <c r="F522" s="441"/>
      <c r="G522" s="441"/>
      <c r="H522" s="441"/>
      <c r="I522" s="441"/>
      <c r="J522" s="441"/>
      <c r="K522" s="441"/>
      <c r="L522" s="441"/>
      <c r="M522" s="441"/>
      <c r="N522" s="441"/>
      <c r="O522" s="441"/>
      <c r="P522" s="441"/>
      <c r="Q522" s="441"/>
      <c r="R522" s="441"/>
      <c r="S522" s="441"/>
      <c r="T522" s="441"/>
      <c r="U522" s="441"/>
      <c r="V522" s="441"/>
      <c r="W522" s="441"/>
      <c r="X522" s="441"/>
      <c r="Y522" s="441"/>
      <c r="Z522" s="441"/>
      <c r="AA522" s="441"/>
      <c r="AB522" s="441"/>
      <c r="AC522" s="441"/>
      <c r="AD522" s="441"/>
      <c r="AE522" s="441"/>
    </row>
    <row r="523">
      <c r="A523" s="928"/>
      <c r="B523" s="441"/>
      <c r="C523" s="441"/>
      <c r="D523" s="441"/>
      <c r="E523" s="441"/>
      <c r="F523" s="441"/>
      <c r="G523" s="441"/>
      <c r="H523" s="441"/>
      <c r="I523" s="441"/>
      <c r="J523" s="441"/>
      <c r="K523" s="441"/>
      <c r="L523" s="441"/>
      <c r="M523" s="441"/>
      <c r="N523" s="441"/>
      <c r="O523" s="441"/>
      <c r="P523" s="441"/>
      <c r="Q523" s="441"/>
      <c r="R523" s="441"/>
      <c r="S523" s="441"/>
      <c r="T523" s="441"/>
      <c r="U523" s="441"/>
      <c r="V523" s="441"/>
      <c r="W523" s="441"/>
      <c r="X523" s="441"/>
      <c r="Y523" s="441"/>
      <c r="Z523" s="441"/>
      <c r="AA523" s="441"/>
      <c r="AB523" s="441"/>
      <c r="AC523" s="441"/>
      <c r="AD523" s="441"/>
      <c r="AE523" s="441"/>
    </row>
    <row r="524">
      <c r="A524" s="928"/>
      <c r="B524" s="441"/>
      <c r="C524" s="441"/>
      <c r="D524" s="441"/>
      <c r="E524" s="441"/>
      <c r="F524" s="441"/>
      <c r="G524" s="441"/>
      <c r="H524" s="441"/>
      <c r="I524" s="441"/>
      <c r="J524" s="441"/>
      <c r="K524" s="441"/>
      <c r="L524" s="441"/>
      <c r="M524" s="441"/>
      <c r="N524" s="441"/>
      <c r="O524" s="441"/>
      <c r="P524" s="441"/>
      <c r="Q524" s="441"/>
      <c r="R524" s="441"/>
      <c r="S524" s="441"/>
      <c r="T524" s="441"/>
      <c r="U524" s="441"/>
      <c r="V524" s="441"/>
      <c r="W524" s="441"/>
      <c r="X524" s="441"/>
      <c r="Y524" s="441"/>
      <c r="Z524" s="441"/>
      <c r="AA524" s="441"/>
      <c r="AB524" s="441"/>
      <c r="AC524" s="441"/>
      <c r="AD524" s="441"/>
      <c r="AE524" s="441"/>
    </row>
    <row r="525">
      <c r="A525" s="928"/>
      <c r="B525" s="441"/>
      <c r="C525" s="441"/>
      <c r="D525" s="441"/>
      <c r="E525" s="441"/>
      <c r="F525" s="441"/>
      <c r="G525" s="441"/>
      <c r="H525" s="441"/>
      <c r="I525" s="441"/>
      <c r="J525" s="441"/>
      <c r="K525" s="441"/>
      <c r="L525" s="441"/>
      <c r="M525" s="441"/>
      <c r="N525" s="441"/>
      <c r="O525" s="441"/>
      <c r="P525" s="441"/>
      <c r="Q525" s="441"/>
      <c r="R525" s="441"/>
      <c r="S525" s="441"/>
      <c r="T525" s="441"/>
      <c r="U525" s="441"/>
      <c r="V525" s="441"/>
      <c r="W525" s="441"/>
      <c r="X525" s="441"/>
      <c r="Y525" s="441"/>
      <c r="Z525" s="441"/>
      <c r="AA525" s="441"/>
      <c r="AB525" s="441"/>
      <c r="AC525" s="441"/>
      <c r="AD525" s="441"/>
      <c r="AE525" s="441"/>
    </row>
    <row r="526">
      <c r="A526" s="928"/>
      <c r="B526" s="441"/>
      <c r="C526" s="441"/>
      <c r="D526" s="441"/>
      <c r="E526" s="441"/>
      <c r="F526" s="441"/>
      <c r="G526" s="441"/>
      <c r="H526" s="441"/>
      <c r="I526" s="441"/>
      <c r="J526" s="441"/>
      <c r="K526" s="441"/>
      <c r="L526" s="441"/>
      <c r="M526" s="441"/>
      <c r="N526" s="441"/>
      <c r="O526" s="441"/>
      <c r="P526" s="441"/>
      <c r="Q526" s="441"/>
      <c r="R526" s="441"/>
      <c r="S526" s="441"/>
      <c r="T526" s="441"/>
      <c r="U526" s="441"/>
      <c r="V526" s="441"/>
      <c r="W526" s="441"/>
      <c r="X526" s="441"/>
      <c r="Y526" s="441"/>
      <c r="Z526" s="441"/>
      <c r="AA526" s="441"/>
      <c r="AB526" s="441"/>
      <c r="AC526" s="441"/>
      <c r="AD526" s="441"/>
      <c r="AE526" s="441"/>
    </row>
    <row r="527">
      <c r="A527" s="928"/>
      <c r="B527" s="441"/>
      <c r="C527" s="441"/>
      <c r="D527" s="441"/>
      <c r="E527" s="441"/>
      <c r="F527" s="441"/>
      <c r="G527" s="441"/>
      <c r="H527" s="441"/>
      <c r="I527" s="441"/>
      <c r="J527" s="441"/>
      <c r="K527" s="441"/>
      <c r="L527" s="441"/>
      <c r="M527" s="441"/>
      <c r="N527" s="441"/>
      <c r="O527" s="441"/>
      <c r="P527" s="441"/>
      <c r="Q527" s="441"/>
      <c r="R527" s="441"/>
      <c r="S527" s="441"/>
      <c r="T527" s="441"/>
      <c r="U527" s="441"/>
      <c r="V527" s="441"/>
      <c r="W527" s="441"/>
      <c r="X527" s="441"/>
      <c r="Y527" s="441"/>
      <c r="Z527" s="441"/>
      <c r="AA527" s="441"/>
      <c r="AB527" s="441"/>
      <c r="AC527" s="441"/>
      <c r="AD527" s="441"/>
      <c r="AE527" s="441"/>
    </row>
    <row r="528">
      <c r="A528" s="928"/>
      <c r="B528" s="441"/>
      <c r="C528" s="441"/>
      <c r="D528" s="441"/>
      <c r="E528" s="441"/>
      <c r="F528" s="441"/>
      <c r="G528" s="441"/>
      <c r="H528" s="441"/>
      <c r="I528" s="441"/>
      <c r="J528" s="441"/>
      <c r="K528" s="441"/>
      <c r="L528" s="441"/>
      <c r="M528" s="441"/>
      <c r="N528" s="441"/>
      <c r="O528" s="441"/>
      <c r="P528" s="441"/>
      <c r="Q528" s="441"/>
      <c r="R528" s="441"/>
      <c r="S528" s="441"/>
      <c r="T528" s="441"/>
      <c r="U528" s="441"/>
      <c r="V528" s="441"/>
      <c r="W528" s="441"/>
      <c r="X528" s="441"/>
      <c r="Y528" s="441"/>
      <c r="Z528" s="441"/>
      <c r="AA528" s="441"/>
      <c r="AB528" s="441"/>
      <c r="AC528" s="441"/>
      <c r="AD528" s="441"/>
      <c r="AE528" s="441"/>
    </row>
    <row r="529">
      <c r="A529" s="928"/>
      <c r="B529" s="441"/>
      <c r="C529" s="441"/>
      <c r="D529" s="441"/>
      <c r="E529" s="441"/>
      <c r="F529" s="441"/>
      <c r="G529" s="441"/>
      <c r="H529" s="441"/>
      <c r="I529" s="441"/>
      <c r="J529" s="441"/>
      <c r="K529" s="441"/>
      <c r="L529" s="441"/>
      <c r="M529" s="441"/>
      <c r="N529" s="441"/>
      <c r="O529" s="441"/>
      <c r="P529" s="441"/>
      <c r="Q529" s="441"/>
      <c r="R529" s="441"/>
      <c r="S529" s="441"/>
      <c r="T529" s="441"/>
      <c r="U529" s="441"/>
      <c r="V529" s="441"/>
      <c r="W529" s="441"/>
      <c r="X529" s="441"/>
      <c r="Y529" s="441"/>
      <c r="Z529" s="441"/>
      <c r="AA529" s="441"/>
      <c r="AB529" s="441"/>
      <c r="AC529" s="441"/>
      <c r="AD529" s="441"/>
      <c r="AE529" s="441"/>
    </row>
    <row r="530">
      <c r="A530" s="928"/>
      <c r="B530" s="441"/>
      <c r="C530" s="441"/>
      <c r="D530" s="441"/>
      <c r="E530" s="441"/>
      <c r="F530" s="441"/>
      <c r="G530" s="441"/>
      <c r="H530" s="441"/>
      <c r="I530" s="441"/>
      <c r="J530" s="441"/>
      <c r="K530" s="441"/>
      <c r="L530" s="441"/>
      <c r="M530" s="441"/>
      <c r="N530" s="441"/>
      <c r="O530" s="441"/>
      <c r="P530" s="441"/>
      <c r="Q530" s="441"/>
      <c r="R530" s="441"/>
      <c r="S530" s="441"/>
      <c r="T530" s="441"/>
      <c r="U530" s="441"/>
      <c r="V530" s="441"/>
      <c r="W530" s="441"/>
      <c r="X530" s="441"/>
      <c r="Y530" s="441"/>
      <c r="Z530" s="441"/>
      <c r="AA530" s="441"/>
      <c r="AB530" s="441"/>
      <c r="AC530" s="441"/>
      <c r="AD530" s="441"/>
      <c r="AE530" s="441"/>
    </row>
    <row r="531">
      <c r="A531" s="928"/>
      <c r="B531" s="441"/>
      <c r="C531" s="441"/>
      <c r="D531" s="441"/>
      <c r="E531" s="441"/>
      <c r="F531" s="441"/>
      <c r="G531" s="441"/>
      <c r="H531" s="441"/>
      <c r="I531" s="441"/>
      <c r="J531" s="441"/>
      <c r="K531" s="441"/>
      <c r="L531" s="441"/>
      <c r="M531" s="441"/>
      <c r="N531" s="441"/>
      <c r="O531" s="441"/>
      <c r="P531" s="441"/>
      <c r="Q531" s="441"/>
      <c r="R531" s="441"/>
      <c r="S531" s="441"/>
      <c r="T531" s="441"/>
      <c r="U531" s="441"/>
      <c r="V531" s="441"/>
      <c r="W531" s="441"/>
      <c r="X531" s="441"/>
      <c r="Y531" s="441"/>
      <c r="Z531" s="441"/>
      <c r="AA531" s="441"/>
      <c r="AB531" s="441"/>
      <c r="AC531" s="441"/>
      <c r="AD531" s="441"/>
      <c r="AE531" s="441"/>
    </row>
    <row r="532">
      <c r="A532" s="928"/>
      <c r="B532" s="441"/>
      <c r="C532" s="441"/>
      <c r="D532" s="441"/>
      <c r="E532" s="441"/>
      <c r="F532" s="441"/>
      <c r="G532" s="441"/>
      <c r="H532" s="441"/>
      <c r="I532" s="441"/>
      <c r="J532" s="441"/>
      <c r="K532" s="441"/>
      <c r="L532" s="441"/>
      <c r="M532" s="441"/>
      <c r="N532" s="441"/>
      <c r="O532" s="441"/>
      <c r="P532" s="441"/>
      <c r="Q532" s="441"/>
      <c r="R532" s="441"/>
      <c r="S532" s="441"/>
      <c r="T532" s="441"/>
      <c r="U532" s="441"/>
      <c r="V532" s="441"/>
      <c r="W532" s="441"/>
      <c r="X532" s="441"/>
      <c r="Y532" s="441"/>
      <c r="Z532" s="441"/>
      <c r="AA532" s="441"/>
      <c r="AB532" s="441"/>
      <c r="AC532" s="441"/>
      <c r="AD532" s="441"/>
      <c r="AE532" s="441"/>
    </row>
    <row r="533">
      <c r="A533" s="928"/>
      <c r="B533" s="441"/>
      <c r="C533" s="441"/>
      <c r="D533" s="441"/>
      <c r="E533" s="441"/>
      <c r="F533" s="441"/>
      <c r="G533" s="441"/>
      <c r="H533" s="441"/>
      <c r="I533" s="441"/>
      <c r="J533" s="441"/>
      <c r="K533" s="441"/>
      <c r="L533" s="441"/>
      <c r="M533" s="441"/>
      <c r="N533" s="441"/>
      <c r="O533" s="441"/>
      <c r="P533" s="441"/>
      <c r="Q533" s="441"/>
      <c r="R533" s="441"/>
      <c r="S533" s="441"/>
      <c r="T533" s="441"/>
      <c r="U533" s="441"/>
      <c r="V533" s="441"/>
      <c r="W533" s="441"/>
      <c r="X533" s="441"/>
      <c r="Y533" s="441"/>
      <c r="Z533" s="441"/>
      <c r="AA533" s="441"/>
      <c r="AB533" s="441"/>
      <c r="AC533" s="441"/>
      <c r="AD533" s="441"/>
      <c r="AE533" s="441"/>
    </row>
    <row r="534">
      <c r="A534" s="928"/>
      <c r="B534" s="441"/>
      <c r="C534" s="441"/>
      <c r="D534" s="441"/>
      <c r="E534" s="441"/>
      <c r="F534" s="441"/>
      <c r="G534" s="441"/>
      <c r="H534" s="441"/>
      <c r="I534" s="441"/>
      <c r="J534" s="441"/>
      <c r="K534" s="441"/>
      <c r="L534" s="441"/>
      <c r="M534" s="441"/>
      <c r="N534" s="441"/>
      <c r="O534" s="441"/>
      <c r="P534" s="441"/>
      <c r="Q534" s="441"/>
      <c r="R534" s="441"/>
      <c r="S534" s="441"/>
      <c r="T534" s="441"/>
      <c r="U534" s="441"/>
      <c r="V534" s="441"/>
      <c r="W534" s="441"/>
      <c r="X534" s="441"/>
      <c r="Y534" s="441"/>
      <c r="Z534" s="441"/>
      <c r="AA534" s="441"/>
      <c r="AB534" s="441"/>
      <c r="AC534" s="441"/>
      <c r="AD534" s="441"/>
      <c r="AE534" s="441"/>
    </row>
    <row r="535">
      <c r="A535" s="928"/>
      <c r="B535" s="441"/>
      <c r="C535" s="441"/>
      <c r="D535" s="441"/>
      <c r="E535" s="441"/>
      <c r="F535" s="441"/>
      <c r="G535" s="441"/>
      <c r="H535" s="441"/>
      <c r="I535" s="441"/>
      <c r="J535" s="441"/>
      <c r="K535" s="441"/>
      <c r="L535" s="441"/>
      <c r="M535" s="441"/>
      <c r="N535" s="441"/>
      <c r="O535" s="441"/>
      <c r="P535" s="441"/>
      <c r="Q535" s="441"/>
      <c r="R535" s="441"/>
      <c r="S535" s="441"/>
      <c r="T535" s="441"/>
      <c r="U535" s="441"/>
      <c r="V535" s="441"/>
      <c r="W535" s="441"/>
      <c r="X535" s="441"/>
      <c r="Y535" s="441"/>
      <c r="Z535" s="441"/>
      <c r="AA535" s="441"/>
      <c r="AB535" s="441"/>
      <c r="AC535" s="441"/>
      <c r="AD535" s="441"/>
      <c r="AE535" s="441"/>
    </row>
    <row r="536">
      <c r="A536" s="928"/>
      <c r="B536" s="441"/>
      <c r="C536" s="441"/>
      <c r="D536" s="441"/>
      <c r="E536" s="441"/>
      <c r="F536" s="441"/>
      <c r="G536" s="441"/>
      <c r="H536" s="441"/>
      <c r="I536" s="441"/>
      <c r="J536" s="441"/>
      <c r="K536" s="441"/>
      <c r="L536" s="441"/>
      <c r="M536" s="441"/>
      <c r="N536" s="441"/>
      <c r="O536" s="441"/>
      <c r="P536" s="441"/>
      <c r="Q536" s="441"/>
      <c r="R536" s="441"/>
      <c r="S536" s="441"/>
      <c r="T536" s="441"/>
      <c r="U536" s="441"/>
      <c r="V536" s="441"/>
      <c r="W536" s="441"/>
      <c r="X536" s="441"/>
      <c r="Y536" s="441"/>
      <c r="Z536" s="441"/>
      <c r="AA536" s="441"/>
      <c r="AB536" s="441"/>
      <c r="AC536" s="441"/>
      <c r="AD536" s="441"/>
      <c r="AE536" s="441"/>
    </row>
    <row r="537">
      <c r="A537" s="928"/>
      <c r="B537" s="441"/>
      <c r="C537" s="441"/>
      <c r="D537" s="441"/>
      <c r="E537" s="441"/>
      <c r="F537" s="441"/>
      <c r="G537" s="441"/>
      <c r="H537" s="441"/>
      <c r="I537" s="441"/>
      <c r="J537" s="441"/>
      <c r="K537" s="441"/>
      <c r="L537" s="441"/>
      <c r="M537" s="441"/>
      <c r="N537" s="441"/>
      <c r="O537" s="441"/>
      <c r="P537" s="441"/>
      <c r="Q537" s="441"/>
      <c r="R537" s="441"/>
      <c r="S537" s="441"/>
      <c r="T537" s="441"/>
      <c r="U537" s="441"/>
      <c r="V537" s="441"/>
      <c r="W537" s="441"/>
      <c r="X537" s="441"/>
      <c r="Y537" s="441"/>
      <c r="Z537" s="441"/>
      <c r="AA537" s="441"/>
      <c r="AB537" s="441"/>
      <c r="AC537" s="441"/>
      <c r="AD537" s="441"/>
      <c r="AE537" s="441"/>
    </row>
    <row r="538">
      <c r="A538" s="928"/>
      <c r="B538" s="441"/>
      <c r="C538" s="441"/>
      <c r="D538" s="441"/>
      <c r="E538" s="441"/>
      <c r="F538" s="441"/>
      <c r="G538" s="441"/>
      <c r="H538" s="441"/>
      <c r="I538" s="441"/>
      <c r="J538" s="441"/>
      <c r="K538" s="441"/>
      <c r="L538" s="441"/>
      <c r="M538" s="441"/>
      <c r="N538" s="441"/>
      <c r="O538" s="441"/>
      <c r="P538" s="441"/>
      <c r="Q538" s="441"/>
      <c r="R538" s="441"/>
      <c r="S538" s="441"/>
      <c r="T538" s="441"/>
      <c r="U538" s="441"/>
      <c r="V538" s="441"/>
      <c r="W538" s="441"/>
      <c r="X538" s="441"/>
      <c r="Y538" s="441"/>
      <c r="Z538" s="441"/>
      <c r="AA538" s="441"/>
      <c r="AB538" s="441"/>
      <c r="AC538" s="441"/>
      <c r="AD538" s="441"/>
      <c r="AE538" s="441"/>
    </row>
    <row r="539">
      <c r="A539" s="928"/>
      <c r="B539" s="441"/>
      <c r="C539" s="441"/>
      <c r="D539" s="441"/>
      <c r="E539" s="441"/>
      <c r="F539" s="441"/>
      <c r="G539" s="441"/>
      <c r="H539" s="441"/>
      <c r="I539" s="441"/>
      <c r="J539" s="441"/>
      <c r="K539" s="441"/>
      <c r="L539" s="441"/>
      <c r="M539" s="441"/>
      <c r="N539" s="441"/>
      <c r="O539" s="441"/>
      <c r="P539" s="441"/>
      <c r="Q539" s="441"/>
      <c r="R539" s="441"/>
      <c r="S539" s="441"/>
      <c r="T539" s="441"/>
      <c r="U539" s="441"/>
      <c r="V539" s="441"/>
      <c r="W539" s="441"/>
      <c r="X539" s="441"/>
      <c r="Y539" s="441"/>
      <c r="Z539" s="441"/>
      <c r="AA539" s="441"/>
      <c r="AB539" s="441"/>
      <c r="AC539" s="441"/>
      <c r="AD539" s="441"/>
      <c r="AE539" s="441"/>
    </row>
    <row r="540">
      <c r="A540" s="928"/>
      <c r="B540" s="441"/>
      <c r="C540" s="441"/>
      <c r="D540" s="441"/>
      <c r="E540" s="441"/>
      <c r="F540" s="441"/>
      <c r="G540" s="441"/>
      <c r="H540" s="441"/>
      <c r="I540" s="441"/>
      <c r="J540" s="441"/>
      <c r="K540" s="441"/>
      <c r="L540" s="441"/>
      <c r="M540" s="441"/>
      <c r="N540" s="441"/>
      <c r="O540" s="441"/>
      <c r="P540" s="441"/>
      <c r="Q540" s="441"/>
      <c r="R540" s="441"/>
      <c r="S540" s="441"/>
      <c r="T540" s="441"/>
      <c r="U540" s="441"/>
      <c r="V540" s="441"/>
      <c r="W540" s="441"/>
      <c r="X540" s="441"/>
      <c r="Y540" s="441"/>
      <c r="Z540" s="441"/>
      <c r="AA540" s="441"/>
      <c r="AB540" s="441"/>
      <c r="AC540" s="441"/>
      <c r="AD540" s="441"/>
      <c r="AE540" s="441"/>
    </row>
    <row r="541">
      <c r="A541" s="928"/>
      <c r="B541" s="441"/>
      <c r="C541" s="441"/>
      <c r="D541" s="441"/>
      <c r="E541" s="441"/>
      <c r="F541" s="441"/>
      <c r="G541" s="441"/>
      <c r="H541" s="441"/>
      <c r="I541" s="441"/>
      <c r="J541" s="441"/>
      <c r="K541" s="441"/>
      <c r="L541" s="441"/>
      <c r="M541" s="441"/>
      <c r="N541" s="441"/>
      <c r="O541" s="441"/>
      <c r="P541" s="441"/>
      <c r="Q541" s="441"/>
      <c r="R541" s="441"/>
      <c r="S541" s="441"/>
      <c r="T541" s="441"/>
      <c r="U541" s="441"/>
      <c r="V541" s="441"/>
      <c r="W541" s="441"/>
      <c r="X541" s="441"/>
      <c r="Y541" s="441"/>
      <c r="Z541" s="441"/>
      <c r="AA541" s="441"/>
      <c r="AB541" s="441"/>
      <c r="AC541" s="441"/>
      <c r="AD541" s="441"/>
      <c r="AE541" s="441"/>
    </row>
    <row r="542">
      <c r="A542" s="928"/>
      <c r="B542" s="441"/>
      <c r="C542" s="441"/>
      <c r="D542" s="441"/>
      <c r="E542" s="441"/>
      <c r="F542" s="441"/>
      <c r="G542" s="441"/>
      <c r="H542" s="441"/>
      <c r="I542" s="441"/>
      <c r="J542" s="441"/>
      <c r="K542" s="441"/>
      <c r="L542" s="441"/>
      <c r="M542" s="441"/>
      <c r="N542" s="441"/>
      <c r="O542" s="441"/>
      <c r="P542" s="441"/>
      <c r="Q542" s="441"/>
      <c r="R542" s="441"/>
      <c r="S542" s="441"/>
      <c r="T542" s="441"/>
      <c r="U542" s="441"/>
      <c r="V542" s="441"/>
      <c r="W542" s="441"/>
      <c r="X542" s="441"/>
      <c r="Y542" s="441"/>
      <c r="Z542" s="441"/>
      <c r="AA542" s="441"/>
      <c r="AB542" s="441"/>
      <c r="AC542" s="441"/>
      <c r="AD542" s="441"/>
      <c r="AE542" s="441"/>
    </row>
    <row r="543">
      <c r="A543" s="928"/>
      <c r="B543" s="441"/>
      <c r="C543" s="441"/>
      <c r="D543" s="441"/>
      <c r="E543" s="441"/>
      <c r="F543" s="441"/>
      <c r="G543" s="441"/>
      <c r="H543" s="441"/>
      <c r="I543" s="441"/>
      <c r="J543" s="441"/>
      <c r="K543" s="441"/>
      <c r="L543" s="441"/>
      <c r="M543" s="441"/>
      <c r="N543" s="441"/>
      <c r="O543" s="441"/>
      <c r="P543" s="441"/>
      <c r="Q543" s="441"/>
      <c r="R543" s="441"/>
      <c r="S543" s="441"/>
      <c r="T543" s="441"/>
      <c r="U543" s="441"/>
      <c r="V543" s="441"/>
      <c r="W543" s="441"/>
      <c r="X543" s="441"/>
      <c r="Y543" s="441"/>
      <c r="Z543" s="441"/>
      <c r="AA543" s="441"/>
      <c r="AB543" s="441"/>
      <c r="AC543" s="441"/>
      <c r="AD543" s="441"/>
      <c r="AE543" s="441"/>
    </row>
    <row r="544">
      <c r="A544" s="928"/>
      <c r="B544" s="441"/>
      <c r="C544" s="441"/>
      <c r="D544" s="441"/>
      <c r="E544" s="441"/>
      <c r="F544" s="441"/>
      <c r="G544" s="441"/>
      <c r="H544" s="441"/>
      <c r="I544" s="441"/>
      <c r="J544" s="441"/>
      <c r="K544" s="441"/>
      <c r="L544" s="441"/>
      <c r="M544" s="441"/>
      <c r="N544" s="441"/>
      <c r="O544" s="441"/>
      <c r="P544" s="441"/>
      <c r="Q544" s="441"/>
      <c r="R544" s="441"/>
      <c r="S544" s="441"/>
      <c r="T544" s="441"/>
      <c r="U544" s="441"/>
      <c r="V544" s="441"/>
      <c r="W544" s="441"/>
      <c r="X544" s="441"/>
      <c r="Y544" s="441"/>
      <c r="Z544" s="441"/>
      <c r="AA544" s="441"/>
      <c r="AB544" s="441"/>
      <c r="AC544" s="441"/>
      <c r="AD544" s="441"/>
      <c r="AE544" s="441"/>
    </row>
    <row r="545">
      <c r="A545" s="928"/>
      <c r="B545" s="441"/>
      <c r="C545" s="441"/>
      <c r="D545" s="441"/>
      <c r="E545" s="441"/>
      <c r="F545" s="441"/>
      <c r="G545" s="441"/>
      <c r="H545" s="441"/>
      <c r="I545" s="441"/>
      <c r="J545" s="441"/>
      <c r="K545" s="441"/>
      <c r="L545" s="441"/>
      <c r="M545" s="441"/>
      <c r="N545" s="441"/>
      <c r="O545" s="441"/>
      <c r="P545" s="441"/>
      <c r="Q545" s="441"/>
      <c r="R545" s="441"/>
      <c r="S545" s="441"/>
      <c r="T545" s="441"/>
      <c r="U545" s="441"/>
      <c r="V545" s="441"/>
      <c r="W545" s="441"/>
      <c r="X545" s="441"/>
      <c r="Y545" s="441"/>
      <c r="Z545" s="441"/>
      <c r="AA545" s="441"/>
      <c r="AB545" s="441"/>
      <c r="AC545" s="441"/>
      <c r="AD545" s="441"/>
      <c r="AE545" s="441"/>
    </row>
    <row r="546">
      <c r="A546" s="928"/>
      <c r="B546" s="441"/>
      <c r="C546" s="441"/>
      <c r="D546" s="441"/>
      <c r="E546" s="441"/>
      <c r="F546" s="441"/>
      <c r="G546" s="441"/>
      <c r="H546" s="441"/>
      <c r="I546" s="441"/>
      <c r="J546" s="441"/>
      <c r="K546" s="441"/>
      <c r="L546" s="441"/>
      <c r="M546" s="441"/>
      <c r="N546" s="441"/>
      <c r="O546" s="441"/>
      <c r="P546" s="441"/>
      <c r="Q546" s="441"/>
      <c r="R546" s="441"/>
      <c r="S546" s="441"/>
      <c r="T546" s="441"/>
      <c r="U546" s="441"/>
      <c r="V546" s="441"/>
      <c r="W546" s="441"/>
      <c r="X546" s="441"/>
      <c r="Y546" s="441"/>
      <c r="Z546" s="441"/>
      <c r="AA546" s="441"/>
      <c r="AB546" s="441"/>
      <c r="AC546" s="441"/>
      <c r="AD546" s="441"/>
      <c r="AE546" s="441"/>
    </row>
    <row r="547">
      <c r="A547" s="928"/>
      <c r="B547" s="441"/>
      <c r="C547" s="441"/>
      <c r="D547" s="441"/>
      <c r="E547" s="441"/>
      <c r="F547" s="441"/>
      <c r="G547" s="441"/>
      <c r="H547" s="441"/>
      <c r="I547" s="441"/>
      <c r="J547" s="441"/>
      <c r="K547" s="441"/>
      <c r="L547" s="441"/>
      <c r="M547" s="441"/>
      <c r="N547" s="441"/>
      <c r="O547" s="441"/>
      <c r="P547" s="441"/>
      <c r="Q547" s="441"/>
      <c r="R547" s="441"/>
      <c r="S547" s="441"/>
      <c r="T547" s="441"/>
      <c r="U547" s="441"/>
      <c r="V547" s="441"/>
      <c r="W547" s="441"/>
      <c r="X547" s="441"/>
      <c r="Y547" s="441"/>
      <c r="Z547" s="441"/>
      <c r="AA547" s="441"/>
      <c r="AB547" s="441"/>
      <c r="AC547" s="441"/>
      <c r="AD547" s="441"/>
      <c r="AE547" s="441"/>
    </row>
    <row r="548">
      <c r="A548" s="928"/>
      <c r="B548" s="441"/>
      <c r="C548" s="441"/>
      <c r="D548" s="441"/>
      <c r="E548" s="441"/>
      <c r="F548" s="441"/>
      <c r="G548" s="441"/>
      <c r="H548" s="441"/>
      <c r="I548" s="441"/>
      <c r="J548" s="441"/>
      <c r="K548" s="441"/>
      <c r="L548" s="441"/>
      <c r="M548" s="441"/>
      <c r="N548" s="441"/>
      <c r="O548" s="441"/>
      <c r="P548" s="441"/>
      <c r="Q548" s="441"/>
      <c r="R548" s="441"/>
      <c r="S548" s="441"/>
      <c r="T548" s="441"/>
      <c r="U548" s="441"/>
      <c r="V548" s="441"/>
      <c r="W548" s="441"/>
      <c r="X548" s="441"/>
      <c r="Y548" s="441"/>
      <c r="Z548" s="441"/>
      <c r="AA548" s="441"/>
      <c r="AB548" s="441"/>
      <c r="AC548" s="441"/>
      <c r="AD548" s="441"/>
      <c r="AE548" s="441"/>
    </row>
    <row r="549">
      <c r="A549" s="928"/>
      <c r="B549" s="441"/>
      <c r="C549" s="441"/>
      <c r="D549" s="441"/>
      <c r="E549" s="441"/>
      <c r="F549" s="441"/>
      <c r="G549" s="441"/>
      <c r="H549" s="441"/>
      <c r="I549" s="441"/>
      <c r="J549" s="441"/>
      <c r="K549" s="441"/>
      <c r="L549" s="441"/>
      <c r="M549" s="441"/>
      <c r="N549" s="441"/>
      <c r="O549" s="441"/>
      <c r="P549" s="441"/>
      <c r="Q549" s="441"/>
      <c r="R549" s="441"/>
      <c r="S549" s="441"/>
      <c r="T549" s="441"/>
      <c r="U549" s="441"/>
      <c r="V549" s="441"/>
      <c r="W549" s="441"/>
      <c r="X549" s="441"/>
      <c r="Y549" s="441"/>
      <c r="Z549" s="441"/>
      <c r="AA549" s="441"/>
      <c r="AB549" s="441"/>
      <c r="AC549" s="441"/>
      <c r="AD549" s="441"/>
      <c r="AE549" s="441"/>
    </row>
    <row r="550">
      <c r="A550" s="928"/>
      <c r="B550" s="441"/>
      <c r="C550" s="441"/>
      <c r="D550" s="441"/>
      <c r="E550" s="441"/>
      <c r="F550" s="441"/>
      <c r="G550" s="441"/>
      <c r="H550" s="441"/>
      <c r="I550" s="441"/>
      <c r="J550" s="441"/>
      <c r="K550" s="441"/>
      <c r="L550" s="441"/>
      <c r="M550" s="441"/>
      <c r="N550" s="441"/>
      <c r="O550" s="441"/>
      <c r="P550" s="441"/>
      <c r="Q550" s="441"/>
      <c r="R550" s="441"/>
      <c r="S550" s="441"/>
      <c r="T550" s="441"/>
      <c r="U550" s="441"/>
      <c r="V550" s="441"/>
      <c r="W550" s="441"/>
      <c r="X550" s="441"/>
      <c r="Y550" s="441"/>
      <c r="Z550" s="441"/>
      <c r="AA550" s="441"/>
      <c r="AB550" s="441"/>
      <c r="AC550" s="441"/>
      <c r="AD550" s="441"/>
      <c r="AE550" s="441"/>
    </row>
    <row r="551">
      <c r="A551" s="928"/>
      <c r="B551" s="441"/>
      <c r="C551" s="441"/>
      <c r="D551" s="441"/>
      <c r="E551" s="441"/>
      <c r="F551" s="441"/>
      <c r="G551" s="441"/>
      <c r="H551" s="441"/>
      <c r="I551" s="441"/>
      <c r="J551" s="441"/>
      <c r="K551" s="441"/>
      <c r="L551" s="441"/>
      <c r="M551" s="441"/>
      <c r="N551" s="441"/>
      <c r="O551" s="441"/>
      <c r="P551" s="441"/>
      <c r="Q551" s="441"/>
      <c r="R551" s="441"/>
      <c r="S551" s="441"/>
      <c r="T551" s="441"/>
      <c r="U551" s="441"/>
      <c r="V551" s="441"/>
      <c r="W551" s="441"/>
      <c r="X551" s="441"/>
      <c r="Y551" s="441"/>
      <c r="Z551" s="441"/>
      <c r="AA551" s="441"/>
      <c r="AB551" s="441"/>
      <c r="AC551" s="441"/>
      <c r="AD551" s="441"/>
      <c r="AE551" s="441"/>
    </row>
    <row r="552">
      <c r="A552" s="928"/>
      <c r="B552" s="441"/>
      <c r="C552" s="441"/>
      <c r="D552" s="441"/>
      <c r="E552" s="441"/>
      <c r="F552" s="441"/>
      <c r="G552" s="441"/>
      <c r="H552" s="441"/>
      <c r="I552" s="441"/>
      <c r="J552" s="441"/>
      <c r="K552" s="441"/>
      <c r="L552" s="441"/>
      <c r="M552" s="441"/>
      <c r="N552" s="441"/>
      <c r="O552" s="441"/>
      <c r="P552" s="441"/>
      <c r="Q552" s="441"/>
      <c r="R552" s="441"/>
      <c r="S552" s="441"/>
      <c r="T552" s="441"/>
      <c r="U552" s="441"/>
      <c r="V552" s="441"/>
      <c r="W552" s="441"/>
      <c r="X552" s="441"/>
      <c r="Y552" s="441"/>
      <c r="Z552" s="441"/>
      <c r="AA552" s="441"/>
      <c r="AB552" s="441"/>
      <c r="AC552" s="441"/>
      <c r="AD552" s="441"/>
      <c r="AE552" s="441"/>
    </row>
    <row r="553">
      <c r="A553" s="928"/>
      <c r="B553" s="441"/>
      <c r="C553" s="441"/>
      <c r="D553" s="441"/>
      <c r="E553" s="441"/>
      <c r="F553" s="441"/>
      <c r="G553" s="441"/>
      <c r="H553" s="441"/>
      <c r="I553" s="441"/>
      <c r="J553" s="441"/>
      <c r="K553" s="441"/>
      <c r="L553" s="441"/>
      <c r="M553" s="441"/>
      <c r="N553" s="441"/>
      <c r="O553" s="441"/>
      <c r="P553" s="441"/>
      <c r="Q553" s="441"/>
      <c r="R553" s="441"/>
      <c r="S553" s="441"/>
      <c r="T553" s="441"/>
      <c r="U553" s="441"/>
      <c r="V553" s="441"/>
      <c r="W553" s="441"/>
      <c r="X553" s="441"/>
      <c r="Y553" s="441"/>
      <c r="Z553" s="441"/>
      <c r="AA553" s="441"/>
      <c r="AB553" s="441"/>
      <c r="AC553" s="441"/>
      <c r="AD553" s="441"/>
      <c r="AE553" s="441"/>
    </row>
    <row r="554">
      <c r="A554" s="928"/>
      <c r="B554" s="441"/>
      <c r="C554" s="441"/>
      <c r="D554" s="441"/>
      <c r="E554" s="441"/>
      <c r="F554" s="441"/>
      <c r="G554" s="441"/>
      <c r="H554" s="441"/>
      <c r="I554" s="441"/>
      <c r="J554" s="441"/>
      <c r="K554" s="441"/>
      <c r="L554" s="441"/>
      <c r="M554" s="441"/>
      <c r="N554" s="441"/>
      <c r="O554" s="441"/>
      <c r="P554" s="441"/>
      <c r="Q554" s="441"/>
      <c r="R554" s="441"/>
      <c r="S554" s="441"/>
      <c r="T554" s="441"/>
      <c r="U554" s="441"/>
      <c r="V554" s="441"/>
      <c r="W554" s="441"/>
      <c r="X554" s="441"/>
      <c r="Y554" s="441"/>
      <c r="Z554" s="441"/>
      <c r="AA554" s="441"/>
      <c r="AB554" s="441"/>
      <c r="AC554" s="441"/>
      <c r="AD554" s="441"/>
      <c r="AE554" s="441"/>
    </row>
    <row r="555">
      <c r="A555" s="928"/>
      <c r="B555" s="441"/>
      <c r="C555" s="441"/>
      <c r="D555" s="441"/>
      <c r="E555" s="441"/>
      <c r="F555" s="441"/>
      <c r="G555" s="441"/>
      <c r="H555" s="441"/>
      <c r="I555" s="441"/>
      <c r="J555" s="441"/>
      <c r="K555" s="441"/>
      <c r="L555" s="441"/>
      <c r="M555" s="441"/>
      <c r="N555" s="441"/>
      <c r="O555" s="441"/>
      <c r="P555" s="441"/>
      <c r="Q555" s="441"/>
      <c r="R555" s="441"/>
      <c r="S555" s="441"/>
      <c r="T555" s="441"/>
      <c r="U555" s="441"/>
      <c r="V555" s="441"/>
      <c r="W555" s="441"/>
      <c r="X555" s="441"/>
      <c r="Y555" s="441"/>
      <c r="Z555" s="441"/>
      <c r="AA555" s="441"/>
      <c r="AB555" s="441"/>
      <c r="AC555" s="441"/>
      <c r="AD555" s="441"/>
      <c r="AE555" s="441"/>
    </row>
    <row r="556">
      <c r="A556" s="928"/>
      <c r="B556" s="441"/>
      <c r="C556" s="441"/>
      <c r="D556" s="441"/>
      <c r="E556" s="441"/>
      <c r="F556" s="441"/>
      <c r="G556" s="441"/>
      <c r="H556" s="441"/>
      <c r="I556" s="441"/>
      <c r="J556" s="441"/>
      <c r="K556" s="441"/>
      <c r="L556" s="441"/>
      <c r="M556" s="441"/>
      <c r="N556" s="441"/>
      <c r="O556" s="441"/>
      <c r="P556" s="441"/>
      <c r="Q556" s="441"/>
      <c r="R556" s="441"/>
      <c r="S556" s="441"/>
      <c r="T556" s="441"/>
      <c r="U556" s="441"/>
      <c r="V556" s="441"/>
      <c r="W556" s="441"/>
      <c r="X556" s="441"/>
      <c r="Y556" s="441"/>
      <c r="Z556" s="441"/>
      <c r="AA556" s="441"/>
      <c r="AB556" s="441"/>
      <c r="AC556" s="441"/>
      <c r="AD556" s="441"/>
      <c r="AE556" s="441"/>
    </row>
    <row r="557">
      <c r="A557" s="928"/>
      <c r="B557" s="441"/>
      <c r="C557" s="441"/>
      <c r="D557" s="441"/>
      <c r="E557" s="441"/>
      <c r="F557" s="441"/>
      <c r="G557" s="441"/>
      <c r="H557" s="441"/>
      <c r="I557" s="441"/>
      <c r="J557" s="441"/>
      <c r="K557" s="441"/>
      <c r="L557" s="441"/>
      <c r="M557" s="441"/>
      <c r="N557" s="441"/>
      <c r="O557" s="441"/>
      <c r="P557" s="441"/>
      <c r="Q557" s="441"/>
      <c r="R557" s="441"/>
      <c r="S557" s="441"/>
      <c r="T557" s="441"/>
      <c r="U557" s="441"/>
      <c r="V557" s="441"/>
      <c r="W557" s="441"/>
      <c r="X557" s="441"/>
      <c r="Y557" s="441"/>
      <c r="Z557" s="441"/>
      <c r="AA557" s="441"/>
      <c r="AB557" s="441"/>
      <c r="AC557" s="441"/>
      <c r="AD557" s="441"/>
      <c r="AE557" s="441"/>
    </row>
    <row r="558">
      <c r="A558" s="928"/>
      <c r="B558" s="441"/>
      <c r="C558" s="441"/>
      <c r="D558" s="441"/>
      <c r="E558" s="441"/>
      <c r="F558" s="441"/>
      <c r="G558" s="441"/>
      <c r="H558" s="441"/>
      <c r="I558" s="441"/>
      <c r="J558" s="441"/>
      <c r="K558" s="441"/>
      <c r="L558" s="441"/>
      <c r="M558" s="441"/>
      <c r="N558" s="441"/>
      <c r="O558" s="441"/>
      <c r="P558" s="441"/>
      <c r="Q558" s="441"/>
      <c r="R558" s="441"/>
      <c r="S558" s="441"/>
      <c r="T558" s="441"/>
      <c r="U558" s="441"/>
      <c r="V558" s="441"/>
      <c r="W558" s="441"/>
      <c r="X558" s="441"/>
      <c r="Y558" s="441"/>
      <c r="Z558" s="441"/>
      <c r="AA558" s="441"/>
      <c r="AB558" s="441"/>
      <c r="AC558" s="441"/>
      <c r="AD558" s="441"/>
      <c r="AE558" s="441"/>
    </row>
    <row r="559">
      <c r="A559" s="928"/>
      <c r="B559" s="441"/>
      <c r="C559" s="441"/>
      <c r="D559" s="441"/>
      <c r="E559" s="441"/>
      <c r="F559" s="441"/>
      <c r="G559" s="441"/>
      <c r="H559" s="441"/>
      <c r="I559" s="441"/>
      <c r="J559" s="441"/>
      <c r="K559" s="441"/>
      <c r="L559" s="441"/>
      <c r="M559" s="441"/>
      <c r="N559" s="441"/>
      <c r="O559" s="441"/>
      <c r="P559" s="441"/>
      <c r="Q559" s="441"/>
      <c r="R559" s="441"/>
      <c r="S559" s="441"/>
      <c r="T559" s="441"/>
      <c r="U559" s="441"/>
      <c r="V559" s="441"/>
      <c r="W559" s="441"/>
      <c r="X559" s="441"/>
      <c r="Y559" s="441"/>
      <c r="Z559" s="441"/>
      <c r="AA559" s="441"/>
      <c r="AB559" s="441"/>
      <c r="AC559" s="441"/>
      <c r="AD559" s="441"/>
      <c r="AE559" s="441"/>
    </row>
    <row r="560">
      <c r="A560" s="928"/>
      <c r="B560" s="441"/>
      <c r="C560" s="441"/>
      <c r="D560" s="441"/>
      <c r="E560" s="441"/>
      <c r="F560" s="441"/>
      <c r="G560" s="441"/>
      <c r="H560" s="441"/>
      <c r="I560" s="441"/>
      <c r="J560" s="441"/>
      <c r="K560" s="441"/>
      <c r="L560" s="441"/>
      <c r="M560" s="441"/>
      <c r="N560" s="441"/>
      <c r="O560" s="441"/>
      <c r="P560" s="441"/>
      <c r="Q560" s="441"/>
      <c r="R560" s="441"/>
      <c r="S560" s="441"/>
      <c r="T560" s="441"/>
      <c r="U560" s="441"/>
      <c r="V560" s="441"/>
      <c r="W560" s="441"/>
      <c r="X560" s="441"/>
      <c r="Y560" s="441"/>
      <c r="Z560" s="441"/>
      <c r="AA560" s="441"/>
      <c r="AB560" s="441"/>
      <c r="AC560" s="441"/>
      <c r="AD560" s="441"/>
      <c r="AE560" s="441"/>
    </row>
    <row r="561">
      <c r="A561" s="928"/>
      <c r="B561" s="441"/>
      <c r="C561" s="441"/>
      <c r="D561" s="441"/>
      <c r="E561" s="441"/>
      <c r="F561" s="441"/>
      <c r="G561" s="441"/>
      <c r="H561" s="441"/>
      <c r="I561" s="441"/>
      <c r="J561" s="441"/>
      <c r="K561" s="441"/>
      <c r="L561" s="441"/>
      <c r="M561" s="441"/>
      <c r="N561" s="441"/>
      <c r="O561" s="441"/>
      <c r="P561" s="441"/>
      <c r="Q561" s="441"/>
      <c r="R561" s="441"/>
      <c r="S561" s="441"/>
      <c r="T561" s="441"/>
      <c r="U561" s="441"/>
      <c r="V561" s="441"/>
      <c r="W561" s="441"/>
      <c r="X561" s="441"/>
      <c r="Y561" s="441"/>
      <c r="Z561" s="441"/>
      <c r="AA561" s="441"/>
      <c r="AB561" s="441"/>
      <c r="AC561" s="441"/>
      <c r="AD561" s="441"/>
      <c r="AE561" s="441"/>
    </row>
    <row r="562">
      <c r="A562" s="928"/>
      <c r="B562" s="441"/>
      <c r="C562" s="441"/>
      <c r="D562" s="441"/>
      <c r="E562" s="441"/>
      <c r="F562" s="441"/>
      <c r="G562" s="441"/>
      <c r="H562" s="441"/>
      <c r="I562" s="441"/>
      <c r="J562" s="441"/>
      <c r="K562" s="441"/>
      <c r="L562" s="441"/>
      <c r="M562" s="441"/>
      <c r="N562" s="441"/>
      <c r="O562" s="441"/>
      <c r="P562" s="441"/>
      <c r="Q562" s="441"/>
      <c r="R562" s="441"/>
      <c r="S562" s="441"/>
      <c r="T562" s="441"/>
      <c r="U562" s="441"/>
      <c r="V562" s="441"/>
      <c r="W562" s="441"/>
      <c r="X562" s="441"/>
      <c r="Y562" s="441"/>
      <c r="Z562" s="441"/>
      <c r="AA562" s="441"/>
      <c r="AB562" s="441"/>
      <c r="AC562" s="441"/>
      <c r="AD562" s="441"/>
      <c r="AE562" s="441"/>
    </row>
    <row r="563">
      <c r="A563" s="928"/>
      <c r="B563" s="441"/>
      <c r="C563" s="441"/>
      <c r="D563" s="441"/>
      <c r="E563" s="441"/>
      <c r="F563" s="441"/>
      <c r="G563" s="441"/>
      <c r="H563" s="441"/>
      <c r="I563" s="441"/>
      <c r="J563" s="441"/>
      <c r="K563" s="441"/>
      <c r="L563" s="441"/>
      <c r="M563" s="441"/>
      <c r="N563" s="441"/>
      <c r="O563" s="441"/>
      <c r="P563" s="441"/>
      <c r="Q563" s="441"/>
      <c r="R563" s="441"/>
      <c r="S563" s="441"/>
      <c r="T563" s="441"/>
      <c r="U563" s="441"/>
      <c r="V563" s="441"/>
      <c r="W563" s="441"/>
      <c r="X563" s="441"/>
      <c r="Y563" s="441"/>
      <c r="Z563" s="441"/>
      <c r="AA563" s="441"/>
      <c r="AB563" s="441"/>
      <c r="AC563" s="441"/>
      <c r="AD563" s="441"/>
      <c r="AE563" s="441"/>
    </row>
    <row r="564">
      <c r="A564" s="928"/>
      <c r="B564" s="441"/>
      <c r="C564" s="441"/>
      <c r="D564" s="441"/>
      <c r="E564" s="441"/>
      <c r="F564" s="441"/>
      <c r="G564" s="441"/>
      <c r="H564" s="441"/>
      <c r="I564" s="441"/>
      <c r="J564" s="441"/>
      <c r="K564" s="441"/>
      <c r="L564" s="441"/>
      <c r="M564" s="441"/>
      <c r="N564" s="441"/>
      <c r="O564" s="441"/>
      <c r="P564" s="441"/>
      <c r="Q564" s="441"/>
      <c r="R564" s="441"/>
      <c r="S564" s="441"/>
      <c r="T564" s="441"/>
      <c r="U564" s="441"/>
      <c r="V564" s="441"/>
      <c r="W564" s="441"/>
      <c r="X564" s="441"/>
      <c r="Y564" s="441"/>
      <c r="Z564" s="441"/>
      <c r="AA564" s="441"/>
      <c r="AB564" s="441"/>
      <c r="AC564" s="441"/>
      <c r="AD564" s="441"/>
      <c r="AE564" s="441"/>
    </row>
    <row r="565">
      <c r="A565" s="928"/>
      <c r="B565" s="441"/>
      <c r="C565" s="441"/>
      <c r="D565" s="441"/>
      <c r="E565" s="441"/>
      <c r="F565" s="441"/>
      <c r="G565" s="441"/>
      <c r="H565" s="441"/>
      <c r="I565" s="441"/>
      <c r="J565" s="441"/>
      <c r="K565" s="441"/>
      <c r="L565" s="441"/>
      <c r="M565" s="441"/>
      <c r="N565" s="441"/>
      <c r="O565" s="441"/>
      <c r="P565" s="441"/>
      <c r="Q565" s="441"/>
      <c r="R565" s="441"/>
      <c r="S565" s="441"/>
      <c r="T565" s="441"/>
      <c r="U565" s="441"/>
      <c r="V565" s="441"/>
      <c r="W565" s="441"/>
      <c r="X565" s="441"/>
      <c r="Y565" s="441"/>
      <c r="Z565" s="441"/>
      <c r="AA565" s="441"/>
      <c r="AB565" s="441"/>
      <c r="AC565" s="441"/>
      <c r="AD565" s="441"/>
      <c r="AE565" s="441"/>
    </row>
    <row r="566">
      <c r="A566" s="928"/>
      <c r="B566" s="441"/>
      <c r="C566" s="441"/>
      <c r="D566" s="441"/>
      <c r="E566" s="441"/>
      <c r="F566" s="441"/>
      <c r="G566" s="441"/>
      <c r="H566" s="441"/>
      <c r="I566" s="441"/>
      <c r="J566" s="441"/>
      <c r="K566" s="441"/>
      <c r="L566" s="441"/>
      <c r="M566" s="441"/>
      <c r="N566" s="441"/>
      <c r="O566" s="441"/>
      <c r="P566" s="441"/>
      <c r="Q566" s="441"/>
      <c r="R566" s="441"/>
      <c r="S566" s="441"/>
      <c r="T566" s="441"/>
      <c r="U566" s="441"/>
      <c r="V566" s="441"/>
      <c r="W566" s="441"/>
      <c r="X566" s="441"/>
      <c r="Y566" s="441"/>
      <c r="Z566" s="441"/>
      <c r="AA566" s="441"/>
      <c r="AB566" s="441"/>
      <c r="AC566" s="441"/>
      <c r="AD566" s="441"/>
      <c r="AE566" s="441"/>
    </row>
    <row r="567">
      <c r="A567" s="928"/>
      <c r="B567" s="441"/>
      <c r="C567" s="441"/>
      <c r="D567" s="441"/>
      <c r="E567" s="441"/>
      <c r="F567" s="441"/>
      <c r="G567" s="441"/>
      <c r="H567" s="441"/>
      <c r="I567" s="441"/>
      <c r="J567" s="441"/>
      <c r="K567" s="441"/>
      <c r="L567" s="441"/>
      <c r="M567" s="441"/>
      <c r="N567" s="441"/>
      <c r="O567" s="441"/>
      <c r="P567" s="441"/>
      <c r="Q567" s="441"/>
      <c r="R567" s="441"/>
      <c r="S567" s="441"/>
      <c r="T567" s="441"/>
      <c r="U567" s="441"/>
      <c r="V567" s="441"/>
      <c r="W567" s="441"/>
      <c r="X567" s="441"/>
      <c r="Y567" s="441"/>
      <c r="Z567" s="441"/>
      <c r="AA567" s="441"/>
      <c r="AB567" s="441"/>
      <c r="AC567" s="441"/>
      <c r="AD567" s="441"/>
      <c r="AE567" s="441"/>
    </row>
    <row r="568">
      <c r="A568" s="928"/>
      <c r="B568" s="441"/>
      <c r="C568" s="441"/>
      <c r="D568" s="441"/>
      <c r="E568" s="441"/>
      <c r="F568" s="441"/>
      <c r="G568" s="441"/>
      <c r="H568" s="441"/>
      <c r="I568" s="441"/>
      <c r="J568" s="441"/>
      <c r="K568" s="441"/>
      <c r="L568" s="441"/>
      <c r="M568" s="441"/>
      <c r="N568" s="441"/>
      <c r="O568" s="441"/>
      <c r="P568" s="441"/>
      <c r="Q568" s="441"/>
      <c r="R568" s="441"/>
      <c r="S568" s="441"/>
      <c r="T568" s="441"/>
      <c r="U568" s="441"/>
      <c r="V568" s="441"/>
      <c r="W568" s="441"/>
      <c r="X568" s="441"/>
      <c r="Y568" s="441"/>
      <c r="Z568" s="441"/>
      <c r="AA568" s="441"/>
      <c r="AB568" s="441"/>
      <c r="AC568" s="441"/>
      <c r="AD568" s="441"/>
      <c r="AE568" s="441"/>
    </row>
    <row r="569">
      <c r="A569" s="928"/>
      <c r="B569" s="441"/>
      <c r="C569" s="441"/>
      <c r="D569" s="441"/>
      <c r="E569" s="441"/>
      <c r="F569" s="441"/>
      <c r="G569" s="441"/>
      <c r="H569" s="441"/>
      <c r="I569" s="441"/>
      <c r="J569" s="441"/>
      <c r="K569" s="441"/>
      <c r="L569" s="441"/>
      <c r="M569" s="441"/>
      <c r="N569" s="441"/>
      <c r="O569" s="441"/>
      <c r="P569" s="441"/>
      <c r="Q569" s="441"/>
      <c r="R569" s="441"/>
      <c r="S569" s="441"/>
      <c r="T569" s="441"/>
      <c r="U569" s="441"/>
      <c r="V569" s="441"/>
      <c r="W569" s="441"/>
      <c r="X569" s="441"/>
      <c r="Y569" s="441"/>
      <c r="Z569" s="441"/>
      <c r="AA569" s="441"/>
      <c r="AB569" s="441"/>
      <c r="AC569" s="441"/>
      <c r="AD569" s="441"/>
      <c r="AE569" s="441"/>
    </row>
    <row r="570">
      <c r="A570" s="928"/>
      <c r="B570" s="441"/>
      <c r="C570" s="441"/>
      <c r="D570" s="441"/>
      <c r="E570" s="441"/>
      <c r="F570" s="441"/>
      <c r="G570" s="441"/>
      <c r="H570" s="441"/>
      <c r="I570" s="441"/>
      <c r="J570" s="441"/>
      <c r="K570" s="441"/>
      <c r="L570" s="441"/>
      <c r="M570" s="441"/>
      <c r="N570" s="441"/>
      <c r="O570" s="441"/>
      <c r="P570" s="441"/>
      <c r="Q570" s="441"/>
      <c r="R570" s="441"/>
      <c r="S570" s="441"/>
      <c r="T570" s="441"/>
      <c r="U570" s="441"/>
      <c r="V570" s="441"/>
      <c r="W570" s="441"/>
      <c r="X570" s="441"/>
      <c r="Y570" s="441"/>
      <c r="Z570" s="441"/>
      <c r="AA570" s="441"/>
      <c r="AB570" s="441"/>
      <c r="AC570" s="441"/>
      <c r="AD570" s="441"/>
      <c r="AE570" s="441"/>
    </row>
    <row r="571">
      <c r="A571" s="928"/>
      <c r="B571" s="441"/>
      <c r="C571" s="441"/>
      <c r="D571" s="441"/>
      <c r="E571" s="441"/>
      <c r="F571" s="441"/>
      <c r="G571" s="441"/>
      <c r="H571" s="441"/>
      <c r="I571" s="441"/>
      <c r="J571" s="441"/>
      <c r="K571" s="441"/>
      <c r="L571" s="441"/>
      <c r="M571" s="441"/>
      <c r="N571" s="441"/>
      <c r="O571" s="441"/>
      <c r="P571" s="441"/>
      <c r="Q571" s="441"/>
      <c r="R571" s="441"/>
      <c r="S571" s="441"/>
      <c r="T571" s="441"/>
      <c r="U571" s="441"/>
      <c r="V571" s="441"/>
      <c r="W571" s="441"/>
      <c r="X571" s="441"/>
      <c r="Y571" s="441"/>
      <c r="Z571" s="441"/>
      <c r="AA571" s="441"/>
      <c r="AB571" s="441"/>
      <c r="AC571" s="441"/>
      <c r="AD571" s="441"/>
      <c r="AE571" s="441"/>
    </row>
    <row r="572">
      <c r="A572" s="928"/>
      <c r="B572" s="441"/>
      <c r="C572" s="441"/>
      <c r="D572" s="441"/>
      <c r="E572" s="441"/>
      <c r="F572" s="441"/>
      <c r="G572" s="441"/>
      <c r="H572" s="441"/>
      <c r="I572" s="441"/>
      <c r="J572" s="441"/>
      <c r="K572" s="441"/>
      <c r="L572" s="441"/>
      <c r="M572" s="441"/>
      <c r="N572" s="441"/>
      <c r="O572" s="441"/>
      <c r="P572" s="441"/>
      <c r="Q572" s="441"/>
      <c r="R572" s="441"/>
      <c r="S572" s="441"/>
      <c r="T572" s="441"/>
      <c r="U572" s="441"/>
      <c r="V572" s="441"/>
      <c r="W572" s="441"/>
      <c r="X572" s="441"/>
      <c r="Y572" s="441"/>
      <c r="Z572" s="441"/>
      <c r="AA572" s="441"/>
      <c r="AB572" s="441"/>
      <c r="AC572" s="441"/>
      <c r="AD572" s="441"/>
      <c r="AE572" s="441"/>
    </row>
    <row r="573">
      <c r="A573" s="928"/>
      <c r="B573" s="441"/>
      <c r="C573" s="441"/>
      <c r="D573" s="441"/>
      <c r="E573" s="441"/>
      <c r="F573" s="441"/>
      <c r="G573" s="441"/>
      <c r="H573" s="441"/>
      <c r="I573" s="441"/>
      <c r="J573" s="441"/>
      <c r="K573" s="441"/>
      <c r="L573" s="441"/>
      <c r="M573" s="441"/>
      <c r="N573" s="441"/>
      <c r="O573" s="441"/>
      <c r="P573" s="441"/>
      <c r="Q573" s="441"/>
      <c r="R573" s="441"/>
      <c r="S573" s="441"/>
      <c r="T573" s="441"/>
      <c r="U573" s="441"/>
      <c r="V573" s="441"/>
      <c r="W573" s="441"/>
      <c r="X573" s="441"/>
      <c r="Y573" s="441"/>
      <c r="Z573" s="441"/>
      <c r="AA573" s="441"/>
      <c r="AB573" s="441"/>
      <c r="AC573" s="441"/>
      <c r="AD573" s="441"/>
      <c r="AE573" s="441"/>
    </row>
    <row r="574">
      <c r="A574" s="928"/>
      <c r="B574" s="441"/>
      <c r="C574" s="441"/>
      <c r="D574" s="441"/>
      <c r="E574" s="441"/>
      <c r="F574" s="441"/>
      <c r="G574" s="441"/>
      <c r="H574" s="441"/>
      <c r="I574" s="441"/>
      <c r="J574" s="441"/>
      <c r="K574" s="441"/>
      <c r="L574" s="441"/>
      <c r="M574" s="441"/>
      <c r="N574" s="441"/>
      <c r="O574" s="441"/>
      <c r="P574" s="441"/>
      <c r="Q574" s="441"/>
      <c r="R574" s="441"/>
      <c r="S574" s="441"/>
      <c r="T574" s="441"/>
      <c r="U574" s="441"/>
      <c r="V574" s="441"/>
      <c r="W574" s="441"/>
      <c r="X574" s="441"/>
      <c r="Y574" s="441"/>
      <c r="Z574" s="441"/>
      <c r="AA574" s="441"/>
      <c r="AB574" s="441"/>
      <c r="AC574" s="441"/>
      <c r="AD574" s="441"/>
      <c r="AE574" s="441"/>
    </row>
    <row r="575">
      <c r="A575" s="928"/>
      <c r="B575" s="441"/>
      <c r="C575" s="441"/>
      <c r="D575" s="441"/>
      <c r="E575" s="441"/>
      <c r="F575" s="441"/>
      <c r="G575" s="441"/>
      <c r="H575" s="441"/>
      <c r="I575" s="441"/>
      <c r="J575" s="441"/>
      <c r="K575" s="441"/>
      <c r="L575" s="441"/>
      <c r="M575" s="441"/>
      <c r="N575" s="441"/>
      <c r="O575" s="441"/>
      <c r="P575" s="441"/>
      <c r="Q575" s="441"/>
      <c r="R575" s="441"/>
      <c r="S575" s="441"/>
      <c r="T575" s="441"/>
      <c r="U575" s="441"/>
      <c r="V575" s="441"/>
      <c r="W575" s="441"/>
      <c r="X575" s="441"/>
      <c r="Y575" s="441"/>
      <c r="Z575" s="441"/>
      <c r="AA575" s="441"/>
      <c r="AB575" s="441"/>
      <c r="AC575" s="441"/>
      <c r="AD575" s="441"/>
      <c r="AE575" s="441"/>
    </row>
    <row r="576">
      <c r="A576" s="928"/>
      <c r="B576" s="441"/>
      <c r="C576" s="441"/>
      <c r="D576" s="441"/>
      <c r="E576" s="441"/>
      <c r="F576" s="441"/>
      <c r="G576" s="441"/>
      <c r="H576" s="441"/>
      <c r="I576" s="441"/>
      <c r="J576" s="441"/>
      <c r="K576" s="441"/>
      <c r="L576" s="441"/>
      <c r="M576" s="441"/>
      <c r="N576" s="441"/>
      <c r="O576" s="441"/>
      <c r="P576" s="441"/>
      <c r="Q576" s="441"/>
      <c r="R576" s="441"/>
      <c r="S576" s="441"/>
      <c r="T576" s="441"/>
      <c r="U576" s="441"/>
      <c r="V576" s="441"/>
      <c r="W576" s="441"/>
      <c r="X576" s="441"/>
      <c r="Y576" s="441"/>
      <c r="Z576" s="441"/>
      <c r="AA576" s="441"/>
      <c r="AB576" s="441"/>
      <c r="AC576" s="441"/>
      <c r="AD576" s="441"/>
      <c r="AE576" s="441"/>
    </row>
    <row r="577">
      <c r="A577" s="928"/>
      <c r="B577" s="441"/>
      <c r="C577" s="441"/>
      <c r="D577" s="441"/>
      <c r="E577" s="441"/>
      <c r="F577" s="441"/>
      <c r="G577" s="441"/>
      <c r="H577" s="441"/>
      <c r="I577" s="441"/>
      <c r="J577" s="441"/>
      <c r="K577" s="441"/>
      <c r="L577" s="441"/>
      <c r="M577" s="441"/>
      <c r="N577" s="441"/>
      <c r="O577" s="441"/>
      <c r="P577" s="441"/>
      <c r="Q577" s="441"/>
      <c r="R577" s="441"/>
      <c r="S577" s="441"/>
      <c r="T577" s="441"/>
      <c r="U577" s="441"/>
      <c r="V577" s="441"/>
      <c r="W577" s="441"/>
      <c r="X577" s="441"/>
      <c r="Y577" s="441"/>
      <c r="Z577" s="441"/>
      <c r="AA577" s="441"/>
      <c r="AB577" s="441"/>
      <c r="AC577" s="441"/>
      <c r="AD577" s="441"/>
      <c r="AE577" s="441"/>
    </row>
    <row r="578">
      <c r="A578" s="928"/>
      <c r="B578" s="441"/>
      <c r="C578" s="441"/>
      <c r="D578" s="441"/>
      <c r="E578" s="441"/>
      <c r="F578" s="441"/>
      <c r="G578" s="441"/>
      <c r="H578" s="441"/>
      <c r="I578" s="441"/>
      <c r="J578" s="441"/>
      <c r="K578" s="441"/>
      <c r="L578" s="441"/>
      <c r="M578" s="441"/>
      <c r="N578" s="441"/>
      <c r="O578" s="441"/>
      <c r="P578" s="441"/>
      <c r="Q578" s="441"/>
      <c r="R578" s="441"/>
      <c r="S578" s="441"/>
      <c r="T578" s="441"/>
      <c r="U578" s="441"/>
      <c r="V578" s="441"/>
      <c r="W578" s="441"/>
      <c r="X578" s="441"/>
      <c r="Y578" s="441"/>
      <c r="Z578" s="441"/>
      <c r="AA578" s="441"/>
      <c r="AB578" s="441"/>
      <c r="AC578" s="441"/>
      <c r="AD578" s="441"/>
      <c r="AE578" s="441"/>
    </row>
    <row r="579">
      <c r="A579" s="928"/>
      <c r="B579" s="441"/>
      <c r="C579" s="441"/>
      <c r="D579" s="441"/>
      <c r="E579" s="441"/>
      <c r="F579" s="441"/>
      <c r="G579" s="441"/>
      <c r="H579" s="441"/>
      <c r="I579" s="441"/>
      <c r="J579" s="441"/>
      <c r="K579" s="441"/>
      <c r="L579" s="441"/>
      <c r="M579" s="441"/>
      <c r="N579" s="441"/>
      <c r="O579" s="441"/>
      <c r="P579" s="441"/>
      <c r="Q579" s="441"/>
      <c r="R579" s="441"/>
      <c r="S579" s="441"/>
      <c r="T579" s="441"/>
      <c r="U579" s="441"/>
      <c r="V579" s="441"/>
      <c r="W579" s="441"/>
      <c r="X579" s="441"/>
      <c r="Y579" s="441"/>
      <c r="Z579" s="441"/>
      <c r="AA579" s="441"/>
      <c r="AB579" s="441"/>
      <c r="AC579" s="441"/>
      <c r="AD579" s="441"/>
      <c r="AE579" s="441"/>
    </row>
    <row r="580">
      <c r="A580" s="928"/>
      <c r="B580" s="441"/>
      <c r="C580" s="441"/>
      <c r="D580" s="441"/>
      <c r="E580" s="441"/>
      <c r="F580" s="441"/>
      <c r="G580" s="441"/>
      <c r="H580" s="441"/>
      <c r="I580" s="441"/>
      <c r="J580" s="441"/>
      <c r="K580" s="441"/>
      <c r="L580" s="441"/>
      <c r="M580" s="441"/>
      <c r="N580" s="441"/>
      <c r="O580" s="441"/>
      <c r="P580" s="441"/>
      <c r="Q580" s="441"/>
      <c r="R580" s="441"/>
      <c r="S580" s="441"/>
      <c r="T580" s="441"/>
      <c r="U580" s="441"/>
      <c r="V580" s="441"/>
      <c r="W580" s="441"/>
      <c r="X580" s="441"/>
      <c r="Y580" s="441"/>
      <c r="Z580" s="441"/>
      <c r="AA580" s="441"/>
      <c r="AB580" s="441"/>
      <c r="AC580" s="441"/>
      <c r="AD580" s="441"/>
      <c r="AE580" s="441"/>
    </row>
    <row r="581">
      <c r="A581" s="928"/>
      <c r="B581" s="441"/>
      <c r="C581" s="441"/>
      <c r="D581" s="441"/>
      <c r="E581" s="441"/>
      <c r="F581" s="441"/>
      <c r="G581" s="441"/>
      <c r="H581" s="441"/>
      <c r="I581" s="441"/>
      <c r="J581" s="441"/>
      <c r="K581" s="441"/>
      <c r="L581" s="441"/>
      <c r="M581" s="441"/>
      <c r="N581" s="441"/>
      <c r="O581" s="441"/>
      <c r="P581" s="441"/>
      <c r="Q581" s="441"/>
      <c r="R581" s="441"/>
      <c r="S581" s="441"/>
      <c r="T581" s="441"/>
      <c r="U581" s="441"/>
      <c r="V581" s="441"/>
      <c r="W581" s="441"/>
      <c r="X581" s="441"/>
      <c r="Y581" s="441"/>
      <c r="Z581" s="441"/>
      <c r="AA581" s="441"/>
      <c r="AB581" s="441"/>
      <c r="AC581" s="441"/>
      <c r="AD581" s="441"/>
      <c r="AE581" s="441"/>
    </row>
    <row r="582">
      <c r="A582" s="928"/>
      <c r="B582" s="441"/>
      <c r="C582" s="441"/>
      <c r="D582" s="441"/>
      <c r="E582" s="441"/>
      <c r="F582" s="441"/>
      <c r="G582" s="441"/>
      <c r="H582" s="441"/>
      <c r="I582" s="441"/>
      <c r="J582" s="441"/>
      <c r="K582" s="441"/>
      <c r="L582" s="441"/>
      <c r="M582" s="441"/>
      <c r="N582" s="441"/>
      <c r="O582" s="441"/>
      <c r="P582" s="441"/>
      <c r="Q582" s="441"/>
      <c r="R582" s="441"/>
      <c r="S582" s="441"/>
      <c r="T582" s="441"/>
      <c r="U582" s="441"/>
      <c r="V582" s="441"/>
      <c r="W582" s="441"/>
      <c r="X582" s="441"/>
      <c r="Y582" s="441"/>
      <c r="Z582" s="441"/>
      <c r="AA582" s="441"/>
      <c r="AB582" s="441"/>
      <c r="AC582" s="441"/>
      <c r="AD582" s="441"/>
      <c r="AE582" s="441"/>
    </row>
    <row r="583">
      <c r="A583" s="928"/>
      <c r="B583" s="441"/>
      <c r="C583" s="441"/>
      <c r="D583" s="441"/>
      <c r="E583" s="441"/>
      <c r="F583" s="441"/>
      <c r="G583" s="441"/>
      <c r="H583" s="441"/>
      <c r="I583" s="441"/>
      <c r="J583" s="441"/>
      <c r="K583" s="441"/>
      <c r="L583" s="441"/>
      <c r="M583" s="441"/>
      <c r="N583" s="441"/>
      <c r="O583" s="441"/>
      <c r="P583" s="441"/>
      <c r="Q583" s="441"/>
      <c r="R583" s="441"/>
      <c r="S583" s="441"/>
      <c r="T583" s="441"/>
      <c r="U583" s="441"/>
      <c r="V583" s="441"/>
      <c r="W583" s="441"/>
      <c r="X583" s="441"/>
      <c r="Y583" s="441"/>
      <c r="Z583" s="441"/>
      <c r="AA583" s="441"/>
      <c r="AB583" s="441"/>
      <c r="AC583" s="441"/>
      <c r="AD583" s="441"/>
      <c r="AE583" s="441"/>
    </row>
    <row r="584">
      <c r="A584" s="928"/>
      <c r="B584" s="441"/>
      <c r="C584" s="441"/>
      <c r="D584" s="441"/>
      <c r="E584" s="441"/>
      <c r="F584" s="441"/>
      <c r="G584" s="441"/>
      <c r="H584" s="441"/>
      <c r="I584" s="441"/>
      <c r="J584" s="441"/>
      <c r="K584" s="441"/>
      <c r="L584" s="441"/>
      <c r="M584" s="441"/>
      <c r="N584" s="441"/>
      <c r="O584" s="441"/>
      <c r="P584" s="441"/>
      <c r="Q584" s="441"/>
      <c r="R584" s="441"/>
      <c r="S584" s="441"/>
      <c r="T584" s="441"/>
      <c r="U584" s="441"/>
      <c r="V584" s="441"/>
      <c r="W584" s="441"/>
      <c r="X584" s="441"/>
      <c r="Y584" s="441"/>
      <c r="Z584" s="441"/>
      <c r="AA584" s="441"/>
      <c r="AB584" s="441"/>
      <c r="AC584" s="441"/>
      <c r="AD584" s="441"/>
      <c r="AE584" s="441"/>
    </row>
    <row r="585">
      <c r="A585" s="928"/>
      <c r="B585" s="441"/>
      <c r="C585" s="441"/>
      <c r="D585" s="441"/>
      <c r="E585" s="441"/>
      <c r="F585" s="441"/>
      <c r="G585" s="441"/>
      <c r="H585" s="441"/>
      <c r="I585" s="441"/>
      <c r="J585" s="441"/>
      <c r="K585" s="441"/>
      <c r="L585" s="441"/>
      <c r="M585" s="441"/>
      <c r="N585" s="441"/>
      <c r="O585" s="441"/>
      <c r="P585" s="441"/>
      <c r="Q585" s="441"/>
      <c r="R585" s="441"/>
      <c r="S585" s="441"/>
      <c r="T585" s="441"/>
      <c r="U585" s="441"/>
      <c r="V585" s="441"/>
      <c r="W585" s="441"/>
      <c r="X585" s="441"/>
      <c r="Y585" s="441"/>
      <c r="Z585" s="441"/>
      <c r="AA585" s="441"/>
      <c r="AB585" s="441"/>
      <c r="AC585" s="441"/>
      <c r="AD585" s="441"/>
      <c r="AE585" s="441"/>
    </row>
    <row r="586">
      <c r="A586" s="928"/>
      <c r="B586" s="441"/>
      <c r="C586" s="441"/>
      <c r="D586" s="441"/>
      <c r="E586" s="441"/>
      <c r="F586" s="441"/>
      <c r="G586" s="441"/>
      <c r="H586" s="441"/>
      <c r="I586" s="441"/>
      <c r="J586" s="441"/>
      <c r="K586" s="441"/>
      <c r="L586" s="441"/>
      <c r="M586" s="441"/>
      <c r="N586" s="441"/>
      <c r="O586" s="441"/>
      <c r="P586" s="441"/>
      <c r="Q586" s="441"/>
      <c r="R586" s="441"/>
      <c r="S586" s="441"/>
      <c r="T586" s="441"/>
      <c r="U586" s="441"/>
      <c r="V586" s="441"/>
      <c r="W586" s="441"/>
      <c r="X586" s="441"/>
      <c r="Y586" s="441"/>
      <c r="Z586" s="441"/>
      <c r="AA586" s="441"/>
      <c r="AB586" s="441"/>
      <c r="AC586" s="441"/>
      <c r="AD586" s="441"/>
      <c r="AE586" s="441"/>
    </row>
    <row r="587">
      <c r="A587" s="928"/>
      <c r="B587" s="441"/>
      <c r="C587" s="441"/>
      <c r="D587" s="441"/>
      <c r="E587" s="441"/>
      <c r="F587" s="441"/>
      <c r="G587" s="441"/>
      <c r="H587" s="441"/>
      <c r="I587" s="441"/>
      <c r="J587" s="441"/>
      <c r="K587" s="441"/>
      <c r="L587" s="441"/>
      <c r="M587" s="441"/>
      <c r="N587" s="441"/>
      <c r="O587" s="441"/>
      <c r="P587" s="441"/>
      <c r="Q587" s="441"/>
      <c r="R587" s="441"/>
      <c r="S587" s="441"/>
      <c r="T587" s="441"/>
      <c r="U587" s="441"/>
      <c r="V587" s="441"/>
      <c r="W587" s="441"/>
      <c r="X587" s="441"/>
      <c r="Y587" s="441"/>
      <c r="Z587" s="441"/>
      <c r="AA587" s="441"/>
      <c r="AB587" s="441"/>
      <c r="AC587" s="441"/>
      <c r="AD587" s="441"/>
      <c r="AE587" s="441"/>
    </row>
    <row r="588">
      <c r="A588" s="928"/>
      <c r="B588" s="441"/>
      <c r="C588" s="441"/>
      <c r="D588" s="441"/>
      <c r="E588" s="441"/>
      <c r="F588" s="441"/>
      <c r="G588" s="441"/>
      <c r="H588" s="441"/>
      <c r="I588" s="441"/>
      <c r="J588" s="441"/>
      <c r="K588" s="441"/>
      <c r="L588" s="441"/>
      <c r="M588" s="441"/>
      <c r="N588" s="441"/>
      <c r="O588" s="441"/>
      <c r="P588" s="441"/>
      <c r="Q588" s="441"/>
      <c r="R588" s="441"/>
      <c r="S588" s="441"/>
      <c r="T588" s="441"/>
      <c r="U588" s="441"/>
      <c r="V588" s="441"/>
      <c r="W588" s="441"/>
      <c r="X588" s="441"/>
      <c r="Y588" s="441"/>
      <c r="Z588" s="441"/>
      <c r="AA588" s="441"/>
      <c r="AB588" s="441"/>
      <c r="AC588" s="441"/>
      <c r="AD588" s="441"/>
      <c r="AE588" s="441"/>
    </row>
    <row r="589">
      <c r="A589" s="928"/>
      <c r="B589" s="441"/>
      <c r="C589" s="441"/>
      <c r="D589" s="441"/>
      <c r="E589" s="441"/>
      <c r="F589" s="441"/>
      <c r="G589" s="441"/>
      <c r="H589" s="441"/>
      <c r="I589" s="441"/>
      <c r="J589" s="441"/>
      <c r="K589" s="441"/>
      <c r="L589" s="441"/>
      <c r="M589" s="441"/>
      <c r="N589" s="441"/>
      <c r="O589" s="441"/>
      <c r="P589" s="441"/>
      <c r="Q589" s="441"/>
      <c r="R589" s="441"/>
      <c r="S589" s="441"/>
      <c r="T589" s="441"/>
      <c r="U589" s="441"/>
      <c r="V589" s="441"/>
      <c r="W589" s="441"/>
      <c r="X589" s="441"/>
      <c r="Y589" s="441"/>
      <c r="Z589" s="441"/>
      <c r="AA589" s="441"/>
      <c r="AB589" s="441"/>
      <c r="AC589" s="441"/>
      <c r="AD589" s="441"/>
      <c r="AE589" s="441"/>
    </row>
    <row r="590">
      <c r="A590" s="928"/>
      <c r="B590" s="441"/>
      <c r="C590" s="441"/>
      <c r="D590" s="441"/>
      <c r="E590" s="441"/>
      <c r="F590" s="441"/>
      <c r="G590" s="441"/>
      <c r="H590" s="441"/>
      <c r="I590" s="441"/>
      <c r="J590" s="441"/>
      <c r="K590" s="441"/>
      <c r="L590" s="441"/>
      <c r="M590" s="441"/>
      <c r="N590" s="441"/>
      <c r="O590" s="441"/>
      <c r="P590" s="441"/>
      <c r="Q590" s="441"/>
      <c r="R590" s="441"/>
      <c r="S590" s="441"/>
      <c r="T590" s="441"/>
      <c r="U590" s="441"/>
      <c r="V590" s="441"/>
      <c r="W590" s="441"/>
      <c r="X590" s="441"/>
      <c r="Y590" s="441"/>
      <c r="Z590" s="441"/>
      <c r="AA590" s="441"/>
      <c r="AB590" s="441"/>
      <c r="AC590" s="441"/>
      <c r="AD590" s="441"/>
      <c r="AE590" s="441"/>
    </row>
    <row r="591">
      <c r="A591" s="928"/>
      <c r="B591" s="441"/>
      <c r="C591" s="441"/>
      <c r="D591" s="441"/>
      <c r="E591" s="441"/>
      <c r="F591" s="441"/>
      <c r="G591" s="441"/>
      <c r="H591" s="441"/>
      <c r="I591" s="441"/>
      <c r="J591" s="441"/>
      <c r="K591" s="441"/>
      <c r="L591" s="441"/>
      <c r="M591" s="441"/>
      <c r="N591" s="441"/>
      <c r="O591" s="441"/>
      <c r="P591" s="441"/>
      <c r="Q591" s="441"/>
      <c r="R591" s="441"/>
      <c r="S591" s="441"/>
      <c r="T591" s="441"/>
      <c r="U591" s="441"/>
      <c r="V591" s="441"/>
      <c r="W591" s="441"/>
      <c r="X591" s="441"/>
      <c r="Y591" s="441"/>
      <c r="Z591" s="441"/>
      <c r="AA591" s="441"/>
      <c r="AB591" s="441"/>
      <c r="AC591" s="441"/>
      <c r="AD591" s="441"/>
      <c r="AE591" s="441"/>
    </row>
    <row r="592">
      <c r="A592" s="928"/>
      <c r="B592" s="441"/>
      <c r="C592" s="441"/>
      <c r="D592" s="441"/>
      <c r="E592" s="441"/>
      <c r="F592" s="441"/>
      <c r="G592" s="441"/>
      <c r="H592" s="441"/>
      <c r="I592" s="441"/>
      <c r="J592" s="441"/>
      <c r="K592" s="441"/>
      <c r="L592" s="441"/>
      <c r="M592" s="441"/>
      <c r="N592" s="441"/>
      <c r="O592" s="441"/>
      <c r="P592" s="441"/>
      <c r="Q592" s="441"/>
      <c r="R592" s="441"/>
      <c r="S592" s="441"/>
      <c r="T592" s="441"/>
      <c r="U592" s="441"/>
      <c r="V592" s="441"/>
      <c r="W592" s="441"/>
      <c r="X592" s="441"/>
      <c r="Y592" s="441"/>
      <c r="Z592" s="441"/>
      <c r="AA592" s="441"/>
      <c r="AB592" s="441"/>
      <c r="AC592" s="441"/>
      <c r="AD592" s="441"/>
      <c r="AE592" s="441"/>
    </row>
    <row r="593">
      <c r="A593" s="928"/>
      <c r="B593" s="441"/>
      <c r="C593" s="441"/>
      <c r="D593" s="441"/>
      <c r="E593" s="441"/>
      <c r="F593" s="441"/>
      <c r="G593" s="441"/>
      <c r="H593" s="441"/>
      <c r="I593" s="441"/>
      <c r="J593" s="441"/>
      <c r="K593" s="441"/>
      <c r="L593" s="441"/>
      <c r="M593" s="441"/>
      <c r="N593" s="441"/>
      <c r="O593" s="441"/>
      <c r="P593" s="441"/>
      <c r="Q593" s="441"/>
      <c r="R593" s="441"/>
      <c r="S593" s="441"/>
      <c r="T593" s="441"/>
      <c r="U593" s="441"/>
      <c r="V593" s="441"/>
      <c r="W593" s="441"/>
      <c r="X593" s="441"/>
      <c r="Y593" s="441"/>
      <c r="Z593" s="441"/>
      <c r="AA593" s="441"/>
      <c r="AB593" s="441"/>
      <c r="AC593" s="441"/>
      <c r="AD593" s="441"/>
      <c r="AE593" s="441"/>
    </row>
    <row r="594">
      <c r="A594" s="928"/>
      <c r="B594" s="441"/>
      <c r="C594" s="441"/>
      <c r="D594" s="441"/>
      <c r="E594" s="441"/>
      <c r="F594" s="441"/>
      <c r="G594" s="441"/>
      <c r="H594" s="441"/>
      <c r="I594" s="441"/>
      <c r="J594" s="441"/>
      <c r="K594" s="441"/>
      <c r="L594" s="441"/>
      <c r="M594" s="441"/>
      <c r="N594" s="441"/>
      <c r="O594" s="441"/>
      <c r="P594" s="441"/>
      <c r="Q594" s="441"/>
      <c r="R594" s="441"/>
      <c r="S594" s="441"/>
      <c r="T594" s="441"/>
      <c r="U594" s="441"/>
      <c r="V594" s="441"/>
      <c r="W594" s="441"/>
      <c r="X594" s="441"/>
      <c r="Y594" s="441"/>
      <c r="Z594" s="441"/>
      <c r="AA594" s="441"/>
      <c r="AB594" s="441"/>
      <c r="AC594" s="441"/>
      <c r="AD594" s="441"/>
      <c r="AE594" s="441"/>
    </row>
    <row r="595">
      <c r="A595" s="928"/>
      <c r="B595" s="441"/>
      <c r="C595" s="441"/>
      <c r="D595" s="441"/>
      <c r="E595" s="441"/>
      <c r="F595" s="441"/>
      <c r="G595" s="441"/>
      <c r="H595" s="441"/>
      <c r="I595" s="441"/>
      <c r="J595" s="441"/>
      <c r="K595" s="441"/>
      <c r="L595" s="441"/>
      <c r="M595" s="441"/>
      <c r="N595" s="441"/>
      <c r="O595" s="441"/>
      <c r="P595" s="441"/>
      <c r="Q595" s="441"/>
      <c r="R595" s="441"/>
      <c r="S595" s="441"/>
      <c r="T595" s="441"/>
      <c r="U595" s="441"/>
      <c r="V595" s="441"/>
      <c r="W595" s="441"/>
      <c r="X595" s="441"/>
      <c r="Y595" s="441"/>
      <c r="Z595" s="441"/>
      <c r="AA595" s="441"/>
      <c r="AB595" s="441"/>
      <c r="AC595" s="441"/>
      <c r="AD595" s="441"/>
      <c r="AE595" s="441"/>
    </row>
    <row r="596">
      <c r="A596" s="928"/>
      <c r="B596" s="441"/>
      <c r="C596" s="441"/>
      <c r="D596" s="441"/>
      <c r="E596" s="441"/>
      <c r="F596" s="441"/>
      <c r="G596" s="441"/>
      <c r="H596" s="441"/>
      <c r="I596" s="441"/>
      <c r="J596" s="441"/>
      <c r="K596" s="441"/>
      <c r="L596" s="441"/>
      <c r="M596" s="441"/>
      <c r="N596" s="441"/>
      <c r="O596" s="441"/>
      <c r="P596" s="441"/>
      <c r="Q596" s="441"/>
      <c r="R596" s="441"/>
      <c r="S596" s="441"/>
      <c r="T596" s="441"/>
      <c r="U596" s="441"/>
      <c r="V596" s="441"/>
      <c r="W596" s="441"/>
      <c r="X596" s="441"/>
      <c r="Y596" s="441"/>
      <c r="Z596" s="441"/>
      <c r="AA596" s="441"/>
      <c r="AB596" s="441"/>
      <c r="AC596" s="441"/>
      <c r="AD596" s="441"/>
      <c r="AE596" s="441"/>
    </row>
    <row r="597">
      <c r="A597" s="928"/>
      <c r="B597" s="441"/>
      <c r="C597" s="441"/>
      <c r="D597" s="441"/>
      <c r="E597" s="441"/>
      <c r="F597" s="441"/>
      <c r="G597" s="441"/>
      <c r="H597" s="441"/>
      <c r="I597" s="441"/>
      <c r="J597" s="441"/>
      <c r="K597" s="441"/>
      <c r="L597" s="441"/>
      <c r="M597" s="441"/>
      <c r="N597" s="441"/>
      <c r="O597" s="441"/>
      <c r="P597" s="441"/>
      <c r="Q597" s="441"/>
      <c r="R597" s="441"/>
      <c r="S597" s="441"/>
      <c r="T597" s="441"/>
      <c r="U597" s="441"/>
      <c r="V597" s="441"/>
      <c r="W597" s="441"/>
      <c r="X597" s="441"/>
      <c r="Y597" s="441"/>
      <c r="Z597" s="441"/>
      <c r="AA597" s="441"/>
      <c r="AB597" s="441"/>
      <c r="AC597" s="441"/>
      <c r="AD597" s="441"/>
      <c r="AE597" s="441"/>
    </row>
    <row r="598">
      <c r="A598" s="928"/>
      <c r="B598" s="441"/>
      <c r="C598" s="441"/>
      <c r="D598" s="441"/>
      <c r="E598" s="441"/>
      <c r="F598" s="441"/>
      <c r="G598" s="441"/>
      <c r="H598" s="441"/>
      <c r="I598" s="441"/>
      <c r="J598" s="441"/>
      <c r="K598" s="441"/>
      <c r="L598" s="441"/>
      <c r="M598" s="441"/>
      <c r="N598" s="441"/>
      <c r="O598" s="441"/>
      <c r="P598" s="441"/>
      <c r="Q598" s="441"/>
      <c r="R598" s="441"/>
      <c r="S598" s="441"/>
      <c r="T598" s="441"/>
      <c r="U598" s="441"/>
      <c r="V598" s="441"/>
      <c r="W598" s="441"/>
      <c r="X598" s="441"/>
      <c r="Y598" s="441"/>
      <c r="Z598" s="441"/>
      <c r="AA598" s="441"/>
      <c r="AB598" s="441"/>
      <c r="AC598" s="441"/>
      <c r="AD598" s="441"/>
      <c r="AE598" s="441"/>
    </row>
    <row r="599">
      <c r="A599" s="928"/>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c r="Z599" s="441"/>
      <c r="AA599" s="441"/>
      <c r="AB599" s="441"/>
      <c r="AC599" s="441"/>
      <c r="AD599" s="441"/>
      <c r="AE599" s="441"/>
    </row>
    <row r="600">
      <c r="A600" s="928"/>
      <c r="B600" s="441"/>
      <c r="C600" s="441"/>
      <c r="D600" s="441"/>
      <c r="E600" s="441"/>
      <c r="F600" s="441"/>
      <c r="G600" s="441"/>
      <c r="H600" s="441"/>
      <c r="I600" s="441"/>
      <c r="J600" s="441"/>
      <c r="K600" s="441"/>
      <c r="L600" s="441"/>
      <c r="M600" s="441"/>
      <c r="N600" s="441"/>
      <c r="O600" s="441"/>
      <c r="P600" s="441"/>
      <c r="Q600" s="441"/>
      <c r="R600" s="441"/>
      <c r="S600" s="441"/>
      <c r="T600" s="441"/>
      <c r="U600" s="441"/>
      <c r="V600" s="441"/>
      <c r="W600" s="441"/>
      <c r="X600" s="441"/>
      <c r="Y600" s="441"/>
      <c r="Z600" s="441"/>
      <c r="AA600" s="441"/>
      <c r="AB600" s="441"/>
      <c r="AC600" s="441"/>
      <c r="AD600" s="441"/>
      <c r="AE600" s="441"/>
    </row>
    <row r="601">
      <c r="A601" s="928"/>
      <c r="B601" s="441"/>
      <c r="C601" s="441"/>
      <c r="D601" s="441"/>
      <c r="E601" s="441"/>
      <c r="F601" s="441"/>
      <c r="G601" s="441"/>
      <c r="H601" s="441"/>
      <c r="I601" s="441"/>
      <c r="J601" s="441"/>
      <c r="K601" s="441"/>
      <c r="L601" s="441"/>
      <c r="M601" s="441"/>
      <c r="N601" s="441"/>
      <c r="O601" s="441"/>
      <c r="P601" s="441"/>
      <c r="Q601" s="441"/>
      <c r="R601" s="441"/>
      <c r="S601" s="441"/>
      <c r="T601" s="441"/>
      <c r="U601" s="441"/>
      <c r="V601" s="441"/>
      <c r="W601" s="441"/>
      <c r="X601" s="441"/>
      <c r="Y601" s="441"/>
      <c r="Z601" s="441"/>
      <c r="AA601" s="441"/>
      <c r="AB601" s="441"/>
      <c r="AC601" s="441"/>
      <c r="AD601" s="441"/>
      <c r="AE601" s="441"/>
    </row>
    <row r="602">
      <c r="A602" s="928"/>
      <c r="B602" s="441"/>
      <c r="C602" s="441"/>
      <c r="D602" s="441"/>
      <c r="E602" s="441"/>
      <c r="F602" s="441"/>
      <c r="G602" s="441"/>
      <c r="H602" s="441"/>
      <c r="I602" s="441"/>
      <c r="J602" s="441"/>
      <c r="K602" s="441"/>
      <c r="L602" s="441"/>
      <c r="M602" s="441"/>
      <c r="N602" s="441"/>
      <c r="O602" s="441"/>
      <c r="P602" s="441"/>
      <c r="Q602" s="441"/>
      <c r="R602" s="441"/>
      <c r="S602" s="441"/>
      <c r="T602" s="441"/>
      <c r="U602" s="441"/>
      <c r="V602" s="441"/>
      <c r="W602" s="441"/>
      <c r="X602" s="441"/>
      <c r="Y602" s="441"/>
      <c r="Z602" s="441"/>
      <c r="AA602" s="441"/>
      <c r="AB602" s="441"/>
      <c r="AC602" s="441"/>
      <c r="AD602" s="441"/>
      <c r="AE602" s="441"/>
    </row>
    <row r="603">
      <c r="A603" s="928"/>
      <c r="B603" s="441"/>
      <c r="C603" s="441"/>
      <c r="D603" s="441"/>
      <c r="E603" s="441"/>
      <c r="F603" s="441"/>
      <c r="G603" s="441"/>
      <c r="H603" s="441"/>
      <c r="I603" s="441"/>
      <c r="J603" s="441"/>
      <c r="K603" s="441"/>
      <c r="L603" s="441"/>
      <c r="M603" s="441"/>
      <c r="N603" s="441"/>
      <c r="O603" s="441"/>
      <c r="P603" s="441"/>
      <c r="Q603" s="441"/>
      <c r="R603" s="441"/>
      <c r="S603" s="441"/>
      <c r="T603" s="441"/>
      <c r="U603" s="441"/>
      <c r="V603" s="441"/>
      <c r="W603" s="441"/>
      <c r="X603" s="441"/>
      <c r="Y603" s="441"/>
      <c r="Z603" s="441"/>
      <c r="AA603" s="441"/>
      <c r="AB603" s="441"/>
      <c r="AC603" s="441"/>
      <c r="AD603" s="441"/>
      <c r="AE603" s="441"/>
    </row>
    <row r="604">
      <c r="A604" s="928"/>
      <c r="B604" s="441"/>
      <c r="C604" s="441"/>
      <c r="D604" s="441"/>
      <c r="E604" s="441"/>
      <c r="F604" s="441"/>
      <c r="G604" s="441"/>
      <c r="H604" s="441"/>
      <c r="I604" s="441"/>
      <c r="J604" s="441"/>
      <c r="K604" s="441"/>
      <c r="L604" s="441"/>
      <c r="M604" s="441"/>
      <c r="N604" s="441"/>
      <c r="O604" s="441"/>
      <c r="P604" s="441"/>
      <c r="Q604" s="441"/>
      <c r="R604" s="441"/>
      <c r="S604" s="441"/>
      <c r="T604" s="441"/>
      <c r="U604" s="441"/>
      <c r="V604" s="441"/>
      <c r="W604" s="441"/>
      <c r="X604" s="441"/>
      <c r="Y604" s="441"/>
      <c r="Z604" s="441"/>
      <c r="AA604" s="441"/>
      <c r="AB604" s="441"/>
      <c r="AC604" s="441"/>
      <c r="AD604" s="441"/>
      <c r="AE604" s="441"/>
    </row>
    <row r="605">
      <c r="A605" s="928"/>
      <c r="B605" s="441"/>
      <c r="C605" s="441"/>
      <c r="D605" s="441"/>
      <c r="E605" s="441"/>
      <c r="F605" s="441"/>
      <c r="G605" s="441"/>
      <c r="H605" s="441"/>
      <c r="I605" s="441"/>
      <c r="J605" s="441"/>
      <c r="K605" s="441"/>
      <c r="L605" s="441"/>
      <c r="M605" s="441"/>
      <c r="N605" s="441"/>
      <c r="O605" s="441"/>
      <c r="P605" s="441"/>
      <c r="Q605" s="441"/>
      <c r="R605" s="441"/>
      <c r="S605" s="441"/>
      <c r="T605" s="441"/>
      <c r="U605" s="441"/>
      <c r="V605" s="441"/>
      <c r="W605" s="441"/>
      <c r="X605" s="441"/>
      <c r="Y605" s="441"/>
      <c r="Z605" s="441"/>
      <c r="AA605" s="441"/>
      <c r="AB605" s="441"/>
      <c r="AC605" s="441"/>
      <c r="AD605" s="441"/>
      <c r="AE605" s="441"/>
    </row>
    <row r="606">
      <c r="A606" s="928"/>
      <c r="B606" s="441"/>
      <c r="C606" s="441"/>
      <c r="D606" s="441"/>
      <c r="E606" s="441"/>
      <c r="F606" s="441"/>
      <c r="G606" s="441"/>
      <c r="H606" s="441"/>
      <c r="I606" s="441"/>
      <c r="J606" s="441"/>
      <c r="K606" s="441"/>
      <c r="L606" s="441"/>
      <c r="M606" s="441"/>
      <c r="N606" s="441"/>
      <c r="O606" s="441"/>
      <c r="P606" s="441"/>
      <c r="Q606" s="441"/>
      <c r="R606" s="441"/>
      <c r="S606" s="441"/>
      <c r="T606" s="441"/>
      <c r="U606" s="441"/>
      <c r="V606" s="441"/>
      <c r="W606" s="441"/>
      <c r="X606" s="441"/>
      <c r="Y606" s="441"/>
      <c r="Z606" s="441"/>
      <c r="AA606" s="441"/>
      <c r="AB606" s="441"/>
      <c r="AC606" s="441"/>
      <c r="AD606" s="441"/>
      <c r="AE606" s="441"/>
    </row>
    <row r="607">
      <c r="A607" s="928"/>
      <c r="B607" s="441"/>
      <c r="C607" s="441"/>
      <c r="D607" s="441"/>
      <c r="E607" s="441"/>
      <c r="F607" s="441"/>
      <c r="G607" s="441"/>
      <c r="H607" s="441"/>
      <c r="I607" s="441"/>
      <c r="J607" s="441"/>
      <c r="K607" s="441"/>
      <c r="L607" s="441"/>
      <c r="M607" s="441"/>
      <c r="N607" s="441"/>
      <c r="O607" s="441"/>
      <c r="P607" s="441"/>
      <c r="Q607" s="441"/>
      <c r="R607" s="441"/>
      <c r="S607" s="441"/>
      <c r="T607" s="441"/>
      <c r="U607" s="441"/>
      <c r="V607" s="441"/>
      <c r="W607" s="441"/>
      <c r="X607" s="441"/>
      <c r="Y607" s="441"/>
      <c r="Z607" s="441"/>
      <c r="AA607" s="441"/>
      <c r="AB607" s="441"/>
      <c r="AC607" s="441"/>
      <c r="AD607" s="441"/>
      <c r="AE607" s="441"/>
    </row>
    <row r="608">
      <c r="A608" s="928"/>
      <c r="B608" s="441"/>
      <c r="C608" s="441"/>
      <c r="D608" s="441"/>
      <c r="E608" s="441"/>
      <c r="F608" s="441"/>
      <c r="G608" s="441"/>
      <c r="H608" s="441"/>
      <c r="I608" s="441"/>
      <c r="J608" s="441"/>
      <c r="K608" s="441"/>
      <c r="L608" s="441"/>
      <c r="M608" s="441"/>
      <c r="N608" s="441"/>
      <c r="O608" s="441"/>
      <c r="P608" s="441"/>
      <c r="Q608" s="441"/>
      <c r="R608" s="441"/>
      <c r="S608" s="441"/>
      <c r="T608" s="441"/>
      <c r="U608" s="441"/>
      <c r="V608" s="441"/>
      <c r="W608" s="441"/>
      <c r="X608" s="441"/>
      <c r="Y608" s="441"/>
      <c r="Z608" s="441"/>
      <c r="AA608" s="441"/>
      <c r="AB608" s="441"/>
      <c r="AC608" s="441"/>
      <c r="AD608" s="441"/>
      <c r="AE608" s="441"/>
    </row>
    <row r="609">
      <c r="A609" s="928"/>
      <c r="B609" s="441"/>
      <c r="C609" s="441"/>
      <c r="D609" s="441"/>
      <c r="E609" s="441"/>
      <c r="F609" s="441"/>
      <c r="G609" s="441"/>
      <c r="H609" s="441"/>
      <c r="I609" s="441"/>
      <c r="J609" s="441"/>
      <c r="K609" s="441"/>
      <c r="L609" s="441"/>
      <c r="M609" s="441"/>
      <c r="N609" s="441"/>
      <c r="O609" s="441"/>
      <c r="P609" s="441"/>
      <c r="Q609" s="441"/>
      <c r="R609" s="441"/>
      <c r="S609" s="441"/>
      <c r="T609" s="441"/>
      <c r="U609" s="441"/>
      <c r="V609" s="441"/>
      <c r="W609" s="441"/>
      <c r="X609" s="441"/>
      <c r="Y609" s="441"/>
      <c r="Z609" s="441"/>
      <c r="AA609" s="441"/>
      <c r="AB609" s="441"/>
      <c r="AC609" s="441"/>
      <c r="AD609" s="441"/>
      <c r="AE609" s="441"/>
    </row>
    <row r="610">
      <c r="A610" s="928"/>
      <c r="B610" s="441"/>
      <c r="C610" s="441"/>
      <c r="D610" s="441"/>
      <c r="E610" s="441"/>
      <c r="F610" s="441"/>
      <c r="G610" s="441"/>
      <c r="H610" s="441"/>
      <c r="I610" s="441"/>
      <c r="J610" s="441"/>
      <c r="K610" s="441"/>
      <c r="L610" s="441"/>
      <c r="M610" s="441"/>
      <c r="N610" s="441"/>
      <c r="O610" s="441"/>
      <c r="P610" s="441"/>
      <c r="Q610" s="441"/>
      <c r="R610" s="441"/>
      <c r="S610" s="441"/>
      <c r="T610" s="441"/>
      <c r="U610" s="441"/>
      <c r="V610" s="441"/>
      <c r="W610" s="441"/>
      <c r="X610" s="441"/>
      <c r="Y610" s="441"/>
      <c r="Z610" s="441"/>
      <c r="AA610" s="441"/>
      <c r="AB610" s="441"/>
      <c r="AC610" s="441"/>
      <c r="AD610" s="441"/>
      <c r="AE610" s="441"/>
    </row>
    <row r="611">
      <c r="A611" s="928"/>
      <c r="B611" s="441"/>
      <c r="C611" s="441"/>
      <c r="D611" s="441"/>
      <c r="E611" s="441"/>
      <c r="F611" s="441"/>
      <c r="G611" s="441"/>
      <c r="H611" s="441"/>
      <c r="I611" s="441"/>
      <c r="J611" s="441"/>
      <c r="K611" s="441"/>
      <c r="L611" s="441"/>
      <c r="M611" s="441"/>
      <c r="N611" s="441"/>
      <c r="O611" s="441"/>
      <c r="P611" s="441"/>
      <c r="Q611" s="441"/>
      <c r="R611" s="441"/>
      <c r="S611" s="441"/>
      <c r="T611" s="441"/>
      <c r="U611" s="441"/>
      <c r="V611" s="441"/>
      <c r="W611" s="441"/>
      <c r="X611" s="441"/>
      <c r="Y611" s="441"/>
      <c r="Z611" s="441"/>
      <c r="AA611" s="441"/>
      <c r="AB611" s="441"/>
      <c r="AC611" s="441"/>
      <c r="AD611" s="441"/>
      <c r="AE611" s="441"/>
    </row>
    <row r="612">
      <c r="A612" s="928"/>
      <c r="B612" s="441"/>
      <c r="C612" s="441"/>
      <c r="D612" s="441"/>
      <c r="E612" s="441"/>
      <c r="F612" s="441"/>
      <c r="G612" s="441"/>
      <c r="H612" s="441"/>
      <c r="I612" s="441"/>
      <c r="J612" s="441"/>
      <c r="K612" s="441"/>
      <c r="L612" s="441"/>
      <c r="M612" s="441"/>
      <c r="N612" s="441"/>
      <c r="O612" s="441"/>
      <c r="P612" s="441"/>
      <c r="Q612" s="441"/>
      <c r="R612" s="441"/>
      <c r="S612" s="441"/>
      <c r="T612" s="441"/>
      <c r="U612" s="441"/>
      <c r="V612" s="441"/>
      <c r="W612" s="441"/>
      <c r="X612" s="441"/>
      <c r="Y612" s="441"/>
      <c r="Z612" s="441"/>
      <c r="AA612" s="441"/>
      <c r="AB612" s="441"/>
      <c r="AC612" s="441"/>
      <c r="AD612" s="441"/>
      <c r="AE612" s="441"/>
    </row>
    <row r="613">
      <c r="A613" s="928"/>
      <c r="B613" s="441"/>
      <c r="C613" s="441"/>
      <c r="D613" s="441"/>
      <c r="E613" s="441"/>
      <c r="F613" s="441"/>
      <c r="G613" s="441"/>
      <c r="H613" s="441"/>
      <c r="I613" s="441"/>
      <c r="J613" s="441"/>
      <c r="K613" s="441"/>
      <c r="L613" s="441"/>
      <c r="M613" s="441"/>
      <c r="N613" s="441"/>
      <c r="O613" s="441"/>
      <c r="P613" s="441"/>
      <c r="Q613" s="441"/>
      <c r="R613" s="441"/>
      <c r="S613" s="441"/>
      <c r="T613" s="441"/>
      <c r="U613" s="441"/>
      <c r="V613" s="441"/>
      <c r="W613" s="441"/>
      <c r="X613" s="441"/>
      <c r="Y613" s="441"/>
      <c r="Z613" s="441"/>
      <c r="AA613" s="441"/>
      <c r="AB613" s="441"/>
      <c r="AC613" s="441"/>
      <c r="AD613" s="441"/>
      <c r="AE613" s="441"/>
    </row>
    <row r="614">
      <c r="A614" s="928"/>
      <c r="B614" s="441"/>
      <c r="C614" s="441"/>
      <c r="D614" s="441"/>
      <c r="E614" s="441"/>
      <c r="F614" s="441"/>
      <c r="G614" s="441"/>
      <c r="H614" s="441"/>
      <c r="I614" s="441"/>
      <c r="J614" s="441"/>
      <c r="K614" s="441"/>
      <c r="L614" s="441"/>
      <c r="M614" s="441"/>
      <c r="N614" s="441"/>
      <c r="O614" s="441"/>
      <c r="P614" s="441"/>
      <c r="Q614" s="441"/>
      <c r="R614" s="441"/>
      <c r="S614" s="441"/>
      <c r="T614" s="441"/>
      <c r="U614" s="441"/>
      <c r="V614" s="441"/>
      <c r="W614" s="441"/>
      <c r="X614" s="441"/>
      <c r="Y614" s="441"/>
      <c r="Z614" s="441"/>
      <c r="AA614" s="441"/>
      <c r="AB614" s="441"/>
      <c r="AC614" s="441"/>
      <c r="AD614" s="441"/>
      <c r="AE614" s="441"/>
    </row>
    <row r="615">
      <c r="A615" s="928"/>
      <c r="B615" s="441"/>
      <c r="C615" s="441"/>
      <c r="D615" s="441"/>
      <c r="E615" s="441"/>
      <c r="F615" s="441"/>
      <c r="G615" s="441"/>
      <c r="H615" s="441"/>
      <c r="I615" s="441"/>
      <c r="J615" s="441"/>
      <c r="K615" s="441"/>
      <c r="L615" s="441"/>
      <c r="M615" s="441"/>
      <c r="N615" s="441"/>
      <c r="O615" s="441"/>
      <c r="P615" s="441"/>
      <c r="Q615" s="441"/>
      <c r="R615" s="441"/>
      <c r="S615" s="441"/>
      <c r="T615" s="441"/>
      <c r="U615" s="441"/>
      <c r="V615" s="441"/>
      <c r="W615" s="441"/>
      <c r="X615" s="441"/>
      <c r="Y615" s="441"/>
      <c r="Z615" s="441"/>
      <c r="AA615" s="441"/>
      <c r="AB615" s="441"/>
      <c r="AC615" s="441"/>
      <c r="AD615" s="441"/>
      <c r="AE615" s="441"/>
    </row>
    <row r="616">
      <c r="A616" s="928"/>
      <c r="B616" s="441"/>
      <c r="C616" s="441"/>
      <c r="D616" s="441"/>
      <c r="E616" s="441"/>
      <c r="F616" s="441"/>
      <c r="G616" s="441"/>
      <c r="H616" s="441"/>
      <c r="I616" s="441"/>
      <c r="J616" s="441"/>
      <c r="K616" s="441"/>
      <c r="L616" s="441"/>
      <c r="M616" s="441"/>
      <c r="N616" s="441"/>
      <c r="O616" s="441"/>
      <c r="P616" s="441"/>
      <c r="Q616" s="441"/>
      <c r="R616" s="441"/>
      <c r="S616" s="441"/>
      <c r="T616" s="441"/>
      <c r="U616" s="441"/>
      <c r="V616" s="441"/>
      <c r="W616" s="441"/>
      <c r="X616" s="441"/>
      <c r="Y616" s="441"/>
      <c r="Z616" s="441"/>
      <c r="AA616" s="441"/>
      <c r="AB616" s="441"/>
      <c r="AC616" s="441"/>
      <c r="AD616" s="441"/>
      <c r="AE616" s="441"/>
    </row>
    <row r="617">
      <c r="A617" s="928"/>
      <c r="B617" s="441"/>
      <c r="C617" s="441"/>
      <c r="D617" s="441"/>
      <c r="E617" s="441"/>
      <c r="F617" s="441"/>
      <c r="G617" s="441"/>
      <c r="H617" s="441"/>
      <c r="I617" s="441"/>
      <c r="J617" s="441"/>
      <c r="K617" s="441"/>
      <c r="L617" s="441"/>
      <c r="M617" s="441"/>
      <c r="N617" s="441"/>
      <c r="O617" s="441"/>
      <c r="P617" s="441"/>
      <c r="Q617" s="441"/>
      <c r="R617" s="441"/>
      <c r="S617" s="441"/>
      <c r="T617" s="441"/>
      <c r="U617" s="441"/>
      <c r="V617" s="441"/>
      <c r="W617" s="441"/>
      <c r="X617" s="441"/>
      <c r="Y617" s="441"/>
      <c r="Z617" s="441"/>
      <c r="AA617" s="441"/>
      <c r="AB617" s="441"/>
      <c r="AC617" s="441"/>
      <c r="AD617" s="441"/>
      <c r="AE617" s="441"/>
    </row>
    <row r="618">
      <c r="A618" s="928"/>
      <c r="B618" s="441"/>
      <c r="C618" s="441"/>
      <c r="D618" s="441"/>
      <c r="E618" s="441"/>
      <c r="F618" s="441"/>
      <c r="G618" s="441"/>
      <c r="H618" s="441"/>
      <c r="I618" s="441"/>
      <c r="J618" s="441"/>
      <c r="K618" s="441"/>
      <c r="L618" s="441"/>
      <c r="M618" s="441"/>
      <c r="N618" s="441"/>
      <c r="O618" s="441"/>
      <c r="P618" s="441"/>
      <c r="Q618" s="441"/>
      <c r="R618" s="441"/>
      <c r="S618" s="441"/>
      <c r="T618" s="441"/>
      <c r="U618" s="441"/>
      <c r="V618" s="441"/>
      <c r="W618" s="441"/>
      <c r="X618" s="441"/>
      <c r="Y618" s="441"/>
      <c r="Z618" s="441"/>
      <c r="AA618" s="441"/>
      <c r="AB618" s="441"/>
      <c r="AC618" s="441"/>
      <c r="AD618" s="441"/>
      <c r="AE618" s="441"/>
    </row>
    <row r="619">
      <c r="A619" s="928"/>
      <c r="B619" s="441"/>
      <c r="C619" s="441"/>
      <c r="D619" s="441"/>
      <c r="E619" s="441"/>
      <c r="F619" s="441"/>
      <c r="G619" s="441"/>
      <c r="H619" s="441"/>
      <c r="I619" s="441"/>
      <c r="J619" s="441"/>
      <c r="K619" s="441"/>
      <c r="L619" s="441"/>
      <c r="M619" s="441"/>
      <c r="N619" s="441"/>
      <c r="O619" s="441"/>
      <c r="P619" s="441"/>
      <c r="Q619" s="441"/>
      <c r="R619" s="441"/>
      <c r="S619" s="441"/>
      <c r="T619" s="441"/>
      <c r="U619" s="441"/>
      <c r="V619" s="441"/>
      <c r="W619" s="441"/>
      <c r="X619" s="441"/>
      <c r="Y619" s="441"/>
      <c r="Z619" s="441"/>
      <c r="AA619" s="441"/>
      <c r="AB619" s="441"/>
      <c r="AC619" s="441"/>
      <c r="AD619" s="441"/>
      <c r="AE619" s="441"/>
    </row>
    <row r="620">
      <c r="A620" s="928"/>
      <c r="B620" s="441"/>
      <c r="C620" s="441"/>
      <c r="D620" s="441"/>
      <c r="E620" s="441"/>
      <c r="F620" s="441"/>
      <c r="G620" s="441"/>
      <c r="H620" s="441"/>
      <c r="I620" s="441"/>
      <c r="J620" s="441"/>
      <c r="K620" s="441"/>
      <c r="L620" s="441"/>
      <c r="M620" s="441"/>
      <c r="N620" s="441"/>
      <c r="O620" s="441"/>
      <c r="P620" s="441"/>
      <c r="Q620" s="441"/>
      <c r="R620" s="441"/>
      <c r="S620" s="441"/>
      <c r="T620" s="441"/>
      <c r="U620" s="441"/>
      <c r="V620" s="441"/>
      <c r="W620" s="441"/>
      <c r="X620" s="441"/>
      <c r="Y620" s="441"/>
      <c r="Z620" s="441"/>
      <c r="AA620" s="441"/>
      <c r="AB620" s="441"/>
      <c r="AC620" s="441"/>
      <c r="AD620" s="441"/>
      <c r="AE620" s="441"/>
    </row>
    <row r="621">
      <c r="A621" s="928"/>
      <c r="B621" s="441"/>
      <c r="C621" s="441"/>
      <c r="D621" s="441"/>
      <c r="E621" s="441"/>
      <c r="F621" s="441"/>
      <c r="G621" s="441"/>
      <c r="H621" s="441"/>
      <c r="I621" s="441"/>
      <c r="J621" s="441"/>
      <c r="K621" s="441"/>
      <c r="L621" s="441"/>
      <c r="M621" s="441"/>
      <c r="N621" s="441"/>
      <c r="O621" s="441"/>
      <c r="P621" s="441"/>
      <c r="Q621" s="441"/>
      <c r="R621" s="441"/>
      <c r="S621" s="441"/>
      <c r="T621" s="441"/>
      <c r="U621" s="441"/>
      <c r="V621" s="441"/>
      <c r="W621" s="441"/>
      <c r="X621" s="441"/>
      <c r="Y621" s="441"/>
      <c r="Z621" s="441"/>
      <c r="AA621" s="441"/>
      <c r="AB621" s="441"/>
      <c r="AC621" s="441"/>
      <c r="AD621" s="441"/>
      <c r="AE621" s="441"/>
    </row>
    <row r="622">
      <c r="A622" s="928"/>
      <c r="B622" s="441"/>
      <c r="C622" s="441"/>
      <c r="D622" s="441"/>
      <c r="E622" s="441"/>
      <c r="F622" s="441"/>
      <c r="G622" s="441"/>
      <c r="H622" s="441"/>
      <c r="I622" s="441"/>
      <c r="J622" s="441"/>
      <c r="K622" s="441"/>
      <c r="L622" s="441"/>
      <c r="M622" s="441"/>
      <c r="N622" s="441"/>
      <c r="O622" s="441"/>
      <c r="P622" s="441"/>
      <c r="Q622" s="441"/>
      <c r="R622" s="441"/>
      <c r="S622" s="441"/>
      <c r="T622" s="441"/>
      <c r="U622" s="441"/>
      <c r="V622" s="441"/>
      <c r="W622" s="441"/>
      <c r="X622" s="441"/>
      <c r="Y622" s="441"/>
      <c r="Z622" s="441"/>
      <c r="AA622" s="441"/>
      <c r="AB622" s="441"/>
      <c r="AC622" s="441"/>
      <c r="AD622" s="441"/>
      <c r="AE622" s="441"/>
    </row>
    <row r="623">
      <c r="A623" s="928"/>
      <c r="B623" s="441"/>
      <c r="C623" s="441"/>
      <c r="D623" s="441"/>
      <c r="E623" s="441"/>
      <c r="F623" s="441"/>
      <c r="G623" s="441"/>
      <c r="H623" s="441"/>
      <c r="I623" s="441"/>
      <c r="J623" s="441"/>
      <c r="K623" s="441"/>
      <c r="L623" s="441"/>
      <c r="M623" s="441"/>
      <c r="N623" s="441"/>
      <c r="O623" s="441"/>
      <c r="P623" s="441"/>
      <c r="Q623" s="441"/>
      <c r="R623" s="441"/>
      <c r="S623" s="441"/>
      <c r="T623" s="441"/>
      <c r="U623" s="441"/>
      <c r="V623" s="441"/>
      <c r="W623" s="441"/>
      <c r="X623" s="441"/>
      <c r="Y623" s="441"/>
      <c r="Z623" s="441"/>
      <c r="AA623" s="441"/>
      <c r="AB623" s="441"/>
      <c r="AC623" s="441"/>
      <c r="AD623" s="441"/>
      <c r="AE623" s="441"/>
    </row>
    <row r="624">
      <c r="A624" s="928"/>
      <c r="B624" s="441"/>
      <c r="C624" s="441"/>
      <c r="D624" s="441"/>
      <c r="E624" s="441"/>
      <c r="F624" s="441"/>
      <c r="G624" s="441"/>
      <c r="H624" s="441"/>
      <c r="I624" s="441"/>
      <c r="J624" s="441"/>
      <c r="K624" s="441"/>
      <c r="L624" s="441"/>
      <c r="M624" s="441"/>
      <c r="N624" s="441"/>
      <c r="O624" s="441"/>
      <c r="P624" s="441"/>
      <c r="Q624" s="441"/>
      <c r="R624" s="441"/>
      <c r="S624" s="441"/>
      <c r="T624" s="441"/>
      <c r="U624" s="441"/>
      <c r="V624" s="441"/>
      <c r="W624" s="441"/>
      <c r="X624" s="441"/>
      <c r="Y624" s="441"/>
      <c r="Z624" s="441"/>
      <c r="AA624" s="441"/>
      <c r="AB624" s="441"/>
      <c r="AC624" s="441"/>
      <c r="AD624" s="441"/>
      <c r="AE624" s="441"/>
    </row>
    <row r="625">
      <c r="A625" s="928"/>
      <c r="B625" s="441"/>
      <c r="C625" s="441"/>
      <c r="D625" s="441"/>
      <c r="E625" s="441"/>
      <c r="F625" s="441"/>
      <c r="G625" s="441"/>
      <c r="H625" s="441"/>
      <c r="I625" s="441"/>
      <c r="J625" s="441"/>
      <c r="K625" s="441"/>
      <c r="L625" s="441"/>
      <c r="M625" s="441"/>
      <c r="N625" s="441"/>
      <c r="O625" s="441"/>
      <c r="P625" s="441"/>
      <c r="Q625" s="441"/>
      <c r="R625" s="441"/>
      <c r="S625" s="441"/>
      <c r="T625" s="441"/>
      <c r="U625" s="441"/>
      <c r="V625" s="441"/>
      <c r="W625" s="441"/>
      <c r="X625" s="441"/>
      <c r="Y625" s="441"/>
      <c r="Z625" s="441"/>
      <c r="AA625" s="441"/>
      <c r="AB625" s="441"/>
      <c r="AC625" s="441"/>
      <c r="AD625" s="441"/>
      <c r="AE625" s="441"/>
    </row>
    <row r="626">
      <c r="A626" s="928"/>
      <c r="B626" s="441"/>
      <c r="C626" s="441"/>
      <c r="D626" s="441"/>
      <c r="E626" s="441"/>
      <c r="F626" s="441"/>
      <c r="G626" s="441"/>
      <c r="H626" s="441"/>
      <c r="I626" s="441"/>
      <c r="J626" s="441"/>
      <c r="K626" s="441"/>
      <c r="L626" s="441"/>
      <c r="M626" s="441"/>
      <c r="N626" s="441"/>
      <c r="O626" s="441"/>
      <c r="P626" s="441"/>
      <c r="Q626" s="441"/>
      <c r="R626" s="441"/>
      <c r="S626" s="441"/>
      <c r="T626" s="441"/>
      <c r="U626" s="441"/>
      <c r="V626" s="441"/>
      <c r="W626" s="441"/>
      <c r="X626" s="441"/>
      <c r="Y626" s="441"/>
      <c r="Z626" s="441"/>
      <c r="AA626" s="441"/>
      <c r="AB626" s="441"/>
      <c r="AC626" s="441"/>
      <c r="AD626" s="441"/>
      <c r="AE626" s="441"/>
    </row>
    <row r="627">
      <c r="A627" s="928"/>
      <c r="B627" s="441"/>
      <c r="C627" s="441"/>
      <c r="D627" s="441"/>
      <c r="E627" s="441"/>
      <c r="F627" s="441"/>
      <c r="G627" s="441"/>
      <c r="H627" s="441"/>
      <c r="I627" s="441"/>
      <c r="J627" s="441"/>
      <c r="K627" s="441"/>
      <c r="L627" s="441"/>
      <c r="M627" s="441"/>
      <c r="N627" s="441"/>
      <c r="O627" s="441"/>
      <c r="P627" s="441"/>
      <c r="Q627" s="441"/>
      <c r="R627" s="441"/>
      <c r="S627" s="441"/>
      <c r="T627" s="441"/>
      <c r="U627" s="441"/>
      <c r="V627" s="441"/>
      <c r="W627" s="441"/>
      <c r="X627" s="441"/>
      <c r="Y627" s="441"/>
      <c r="Z627" s="441"/>
      <c r="AA627" s="441"/>
      <c r="AB627" s="441"/>
      <c r="AC627" s="441"/>
      <c r="AD627" s="441"/>
      <c r="AE627" s="441"/>
    </row>
    <row r="628">
      <c r="A628" s="928"/>
      <c r="B628" s="441"/>
      <c r="C628" s="441"/>
      <c r="D628" s="441"/>
      <c r="E628" s="441"/>
      <c r="F628" s="441"/>
      <c r="G628" s="441"/>
      <c r="H628" s="441"/>
      <c r="I628" s="441"/>
      <c r="J628" s="441"/>
      <c r="K628" s="441"/>
      <c r="L628" s="441"/>
      <c r="M628" s="441"/>
      <c r="N628" s="441"/>
      <c r="O628" s="441"/>
      <c r="P628" s="441"/>
      <c r="Q628" s="441"/>
      <c r="R628" s="441"/>
      <c r="S628" s="441"/>
      <c r="T628" s="441"/>
      <c r="U628" s="441"/>
      <c r="V628" s="441"/>
      <c r="W628" s="441"/>
      <c r="X628" s="441"/>
      <c r="Y628" s="441"/>
      <c r="Z628" s="441"/>
      <c r="AA628" s="441"/>
      <c r="AB628" s="441"/>
      <c r="AC628" s="441"/>
      <c r="AD628" s="441"/>
      <c r="AE628" s="441"/>
    </row>
    <row r="629">
      <c r="A629" s="928"/>
      <c r="B629" s="441"/>
      <c r="C629" s="441"/>
      <c r="D629" s="441"/>
      <c r="E629" s="441"/>
      <c r="F629" s="441"/>
      <c r="G629" s="441"/>
      <c r="H629" s="441"/>
      <c r="I629" s="441"/>
      <c r="J629" s="441"/>
      <c r="K629" s="441"/>
      <c r="L629" s="441"/>
      <c r="M629" s="441"/>
      <c r="N629" s="441"/>
      <c r="O629" s="441"/>
      <c r="P629" s="441"/>
      <c r="Q629" s="441"/>
      <c r="R629" s="441"/>
      <c r="S629" s="441"/>
      <c r="T629" s="441"/>
      <c r="U629" s="441"/>
      <c r="V629" s="441"/>
      <c r="W629" s="441"/>
      <c r="X629" s="441"/>
      <c r="Y629" s="441"/>
      <c r="Z629" s="441"/>
      <c r="AA629" s="441"/>
      <c r="AB629" s="441"/>
      <c r="AC629" s="441"/>
      <c r="AD629" s="441"/>
      <c r="AE629" s="441"/>
    </row>
    <row r="630">
      <c r="A630" s="928"/>
      <c r="B630" s="441"/>
      <c r="C630" s="441"/>
      <c r="D630" s="441"/>
      <c r="E630" s="441"/>
      <c r="F630" s="441"/>
      <c r="G630" s="441"/>
      <c r="H630" s="441"/>
      <c r="I630" s="441"/>
      <c r="J630" s="441"/>
      <c r="K630" s="441"/>
      <c r="L630" s="441"/>
      <c r="M630" s="441"/>
      <c r="N630" s="441"/>
      <c r="O630" s="441"/>
      <c r="P630" s="441"/>
      <c r="Q630" s="441"/>
      <c r="R630" s="441"/>
      <c r="S630" s="441"/>
      <c r="T630" s="441"/>
      <c r="U630" s="441"/>
      <c r="V630" s="441"/>
      <c r="W630" s="441"/>
      <c r="X630" s="441"/>
      <c r="Y630" s="441"/>
      <c r="Z630" s="441"/>
      <c r="AA630" s="441"/>
      <c r="AB630" s="441"/>
      <c r="AC630" s="441"/>
      <c r="AD630" s="441"/>
      <c r="AE630" s="441"/>
    </row>
    <row r="631">
      <c r="A631" s="928"/>
      <c r="B631" s="441"/>
      <c r="C631" s="441"/>
      <c r="D631" s="441"/>
      <c r="E631" s="441"/>
      <c r="F631" s="441"/>
      <c r="G631" s="441"/>
      <c r="H631" s="441"/>
      <c r="I631" s="441"/>
      <c r="J631" s="441"/>
      <c r="K631" s="441"/>
      <c r="L631" s="441"/>
      <c r="M631" s="441"/>
      <c r="N631" s="441"/>
      <c r="O631" s="441"/>
      <c r="P631" s="441"/>
      <c r="Q631" s="441"/>
      <c r="R631" s="441"/>
      <c r="S631" s="441"/>
      <c r="T631" s="441"/>
      <c r="U631" s="441"/>
      <c r="V631" s="441"/>
      <c r="W631" s="441"/>
      <c r="X631" s="441"/>
      <c r="Y631" s="441"/>
      <c r="Z631" s="441"/>
      <c r="AA631" s="441"/>
      <c r="AB631" s="441"/>
      <c r="AC631" s="441"/>
      <c r="AD631" s="441"/>
      <c r="AE631" s="441"/>
    </row>
    <row r="632">
      <c r="A632" s="928"/>
      <c r="B632" s="441"/>
      <c r="C632" s="441"/>
      <c r="D632" s="441"/>
      <c r="E632" s="441"/>
      <c r="F632" s="441"/>
      <c r="G632" s="441"/>
      <c r="H632" s="441"/>
      <c r="I632" s="441"/>
      <c r="J632" s="441"/>
      <c r="K632" s="441"/>
      <c r="L632" s="441"/>
      <c r="M632" s="441"/>
      <c r="N632" s="441"/>
      <c r="O632" s="441"/>
      <c r="P632" s="441"/>
      <c r="Q632" s="441"/>
      <c r="R632" s="441"/>
      <c r="S632" s="441"/>
      <c r="T632" s="441"/>
      <c r="U632" s="441"/>
      <c r="V632" s="441"/>
      <c r="W632" s="441"/>
      <c r="X632" s="441"/>
      <c r="Y632" s="441"/>
      <c r="Z632" s="441"/>
      <c r="AA632" s="441"/>
      <c r="AB632" s="441"/>
      <c r="AC632" s="441"/>
      <c r="AD632" s="441"/>
      <c r="AE632" s="441"/>
    </row>
    <row r="633">
      <c r="A633" s="928"/>
      <c r="B633" s="441"/>
      <c r="C633" s="441"/>
      <c r="D633" s="441"/>
      <c r="E633" s="441"/>
      <c r="F633" s="441"/>
      <c r="G633" s="441"/>
      <c r="H633" s="441"/>
      <c r="I633" s="441"/>
      <c r="J633" s="441"/>
      <c r="K633" s="441"/>
      <c r="L633" s="441"/>
      <c r="M633" s="441"/>
      <c r="N633" s="441"/>
      <c r="O633" s="441"/>
      <c r="P633" s="441"/>
      <c r="Q633" s="441"/>
      <c r="R633" s="441"/>
      <c r="S633" s="441"/>
      <c r="T633" s="441"/>
      <c r="U633" s="441"/>
      <c r="V633" s="441"/>
      <c r="W633" s="441"/>
      <c r="X633" s="441"/>
      <c r="Y633" s="441"/>
      <c r="Z633" s="441"/>
      <c r="AA633" s="441"/>
      <c r="AB633" s="441"/>
      <c r="AC633" s="441"/>
      <c r="AD633" s="441"/>
      <c r="AE633" s="441"/>
    </row>
    <row r="634">
      <c r="A634" s="928"/>
      <c r="B634" s="441"/>
      <c r="C634" s="441"/>
      <c r="D634" s="441"/>
      <c r="E634" s="441"/>
      <c r="F634" s="441"/>
      <c r="G634" s="441"/>
      <c r="H634" s="441"/>
      <c r="I634" s="441"/>
      <c r="J634" s="441"/>
      <c r="K634" s="441"/>
      <c r="L634" s="441"/>
      <c r="M634" s="441"/>
      <c r="N634" s="441"/>
      <c r="O634" s="441"/>
      <c r="P634" s="441"/>
      <c r="Q634" s="441"/>
      <c r="R634" s="441"/>
      <c r="S634" s="441"/>
      <c r="T634" s="441"/>
      <c r="U634" s="441"/>
      <c r="V634" s="441"/>
      <c r="W634" s="441"/>
      <c r="X634" s="441"/>
      <c r="Y634" s="441"/>
      <c r="Z634" s="441"/>
      <c r="AA634" s="441"/>
      <c r="AB634" s="441"/>
      <c r="AC634" s="441"/>
      <c r="AD634" s="441"/>
      <c r="AE634" s="441"/>
    </row>
    <row r="635">
      <c r="A635" s="928"/>
      <c r="B635" s="441"/>
      <c r="C635" s="441"/>
      <c r="D635" s="441"/>
      <c r="E635" s="441"/>
      <c r="F635" s="441"/>
      <c r="G635" s="441"/>
      <c r="H635" s="441"/>
      <c r="I635" s="441"/>
      <c r="J635" s="441"/>
      <c r="K635" s="441"/>
      <c r="L635" s="441"/>
      <c r="M635" s="441"/>
      <c r="N635" s="441"/>
      <c r="O635" s="441"/>
      <c r="P635" s="441"/>
      <c r="Q635" s="441"/>
      <c r="R635" s="441"/>
      <c r="S635" s="441"/>
      <c r="T635" s="441"/>
      <c r="U635" s="441"/>
      <c r="V635" s="441"/>
      <c r="W635" s="441"/>
      <c r="X635" s="441"/>
      <c r="Y635" s="441"/>
      <c r="Z635" s="441"/>
      <c r="AA635" s="441"/>
      <c r="AB635" s="441"/>
      <c r="AC635" s="441"/>
      <c r="AD635" s="441"/>
      <c r="AE635" s="441"/>
    </row>
    <row r="636">
      <c r="A636" s="928"/>
      <c r="B636" s="441"/>
      <c r="C636" s="441"/>
      <c r="D636" s="441"/>
      <c r="E636" s="441"/>
      <c r="F636" s="441"/>
      <c r="G636" s="441"/>
      <c r="H636" s="441"/>
      <c r="I636" s="441"/>
      <c r="J636" s="441"/>
      <c r="K636" s="441"/>
      <c r="L636" s="441"/>
      <c r="M636" s="441"/>
      <c r="N636" s="441"/>
      <c r="O636" s="441"/>
      <c r="P636" s="441"/>
      <c r="Q636" s="441"/>
      <c r="R636" s="441"/>
      <c r="S636" s="441"/>
      <c r="T636" s="441"/>
      <c r="U636" s="441"/>
      <c r="V636" s="441"/>
      <c r="W636" s="441"/>
      <c r="X636" s="441"/>
      <c r="Y636" s="441"/>
      <c r="Z636" s="441"/>
      <c r="AA636" s="441"/>
      <c r="AB636" s="441"/>
      <c r="AC636" s="441"/>
      <c r="AD636" s="441"/>
      <c r="AE636" s="441"/>
    </row>
    <row r="637">
      <c r="A637" s="928"/>
      <c r="B637" s="441"/>
      <c r="C637" s="441"/>
      <c r="D637" s="441"/>
      <c r="E637" s="441"/>
      <c r="F637" s="441"/>
      <c r="G637" s="441"/>
      <c r="H637" s="441"/>
      <c r="I637" s="441"/>
      <c r="J637" s="441"/>
      <c r="K637" s="441"/>
      <c r="L637" s="441"/>
      <c r="M637" s="441"/>
      <c r="N637" s="441"/>
      <c r="O637" s="441"/>
      <c r="P637" s="441"/>
      <c r="Q637" s="441"/>
      <c r="R637" s="441"/>
      <c r="S637" s="441"/>
      <c r="T637" s="441"/>
      <c r="U637" s="441"/>
      <c r="V637" s="441"/>
      <c r="W637" s="441"/>
      <c r="X637" s="441"/>
      <c r="Y637" s="441"/>
      <c r="Z637" s="441"/>
      <c r="AA637" s="441"/>
      <c r="AB637" s="441"/>
      <c r="AC637" s="441"/>
      <c r="AD637" s="441"/>
      <c r="AE637" s="441"/>
    </row>
    <row r="638">
      <c r="A638" s="928"/>
      <c r="B638" s="441"/>
      <c r="C638" s="441"/>
      <c r="D638" s="441"/>
      <c r="E638" s="441"/>
      <c r="F638" s="441"/>
      <c r="G638" s="441"/>
      <c r="H638" s="441"/>
      <c r="I638" s="441"/>
      <c r="J638" s="441"/>
      <c r="K638" s="441"/>
      <c r="L638" s="441"/>
      <c r="M638" s="441"/>
      <c r="N638" s="441"/>
      <c r="O638" s="441"/>
      <c r="P638" s="441"/>
      <c r="Q638" s="441"/>
      <c r="R638" s="441"/>
      <c r="S638" s="441"/>
      <c r="T638" s="441"/>
      <c r="U638" s="441"/>
      <c r="V638" s="441"/>
      <c r="W638" s="441"/>
      <c r="X638" s="441"/>
      <c r="Y638" s="441"/>
      <c r="Z638" s="441"/>
      <c r="AA638" s="441"/>
      <c r="AB638" s="441"/>
      <c r="AC638" s="441"/>
      <c r="AD638" s="441"/>
      <c r="AE638" s="441"/>
    </row>
    <row r="639">
      <c r="A639" s="928"/>
      <c r="B639" s="441"/>
      <c r="C639" s="441"/>
      <c r="D639" s="441"/>
      <c r="E639" s="441"/>
      <c r="F639" s="441"/>
      <c r="G639" s="441"/>
      <c r="H639" s="441"/>
      <c r="I639" s="441"/>
      <c r="J639" s="441"/>
      <c r="K639" s="441"/>
      <c r="L639" s="441"/>
      <c r="M639" s="441"/>
      <c r="N639" s="441"/>
      <c r="O639" s="441"/>
      <c r="P639" s="441"/>
      <c r="Q639" s="441"/>
      <c r="R639" s="441"/>
      <c r="S639" s="441"/>
      <c r="T639" s="441"/>
      <c r="U639" s="441"/>
      <c r="V639" s="441"/>
      <c r="W639" s="441"/>
      <c r="X639" s="441"/>
      <c r="Y639" s="441"/>
      <c r="Z639" s="441"/>
      <c r="AA639" s="441"/>
      <c r="AB639" s="441"/>
      <c r="AC639" s="441"/>
      <c r="AD639" s="441"/>
      <c r="AE639" s="441"/>
    </row>
    <row r="640">
      <c r="A640" s="928"/>
      <c r="B640" s="441"/>
      <c r="C640" s="441"/>
      <c r="D640" s="441"/>
      <c r="E640" s="441"/>
      <c r="F640" s="441"/>
      <c r="G640" s="441"/>
      <c r="H640" s="441"/>
      <c r="I640" s="441"/>
      <c r="J640" s="441"/>
      <c r="K640" s="441"/>
      <c r="L640" s="441"/>
      <c r="M640" s="441"/>
      <c r="N640" s="441"/>
      <c r="O640" s="441"/>
      <c r="P640" s="441"/>
      <c r="Q640" s="441"/>
      <c r="R640" s="441"/>
      <c r="S640" s="441"/>
      <c r="T640" s="441"/>
      <c r="U640" s="441"/>
      <c r="V640" s="441"/>
      <c r="W640" s="441"/>
      <c r="X640" s="441"/>
      <c r="Y640" s="441"/>
      <c r="Z640" s="441"/>
      <c r="AA640" s="441"/>
      <c r="AB640" s="441"/>
      <c r="AC640" s="441"/>
      <c r="AD640" s="441"/>
      <c r="AE640" s="441"/>
    </row>
    <row r="641">
      <c r="A641" s="928"/>
      <c r="B641" s="441"/>
      <c r="C641" s="441"/>
      <c r="D641" s="441"/>
      <c r="E641" s="441"/>
      <c r="F641" s="441"/>
      <c r="G641" s="441"/>
      <c r="H641" s="441"/>
      <c r="I641" s="441"/>
      <c r="J641" s="441"/>
      <c r="K641" s="441"/>
      <c r="L641" s="441"/>
      <c r="M641" s="441"/>
      <c r="N641" s="441"/>
      <c r="O641" s="441"/>
      <c r="P641" s="441"/>
      <c r="Q641" s="441"/>
      <c r="R641" s="441"/>
      <c r="S641" s="441"/>
      <c r="T641" s="441"/>
      <c r="U641" s="441"/>
      <c r="V641" s="441"/>
      <c r="W641" s="441"/>
      <c r="X641" s="441"/>
      <c r="Y641" s="441"/>
      <c r="Z641" s="441"/>
      <c r="AA641" s="441"/>
      <c r="AB641" s="441"/>
      <c r="AC641" s="441"/>
      <c r="AD641" s="441"/>
      <c r="AE641" s="441"/>
    </row>
    <row r="642">
      <c r="A642" s="928"/>
      <c r="B642" s="441"/>
      <c r="C642" s="441"/>
      <c r="D642" s="441"/>
      <c r="E642" s="441"/>
      <c r="F642" s="441"/>
      <c r="G642" s="441"/>
      <c r="H642" s="441"/>
      <c r="I642" s="441"/>
      <c r="J642" s="441"/>
      <c r="K642" s="441"/>
      <c r="L642" s="441"/>
      <c r="M642" s="441"/>
      <c r="N642" s="441"/>
      <c r="O642" s="441"/>
      <c r="P642" s="441"/>
      <c r="Q642" s="441"/>
      <c r="R642" s="441"/>
      <c r="S642" s="441"/>
      <c r="T642" s="441"/>
      <c r="U642" s="441"/>
      <c r="V642" s="441"/>
      <c r="W642" s="441"/>
      <c r="X642" s="441"/>
      <c r="Y642" s="441"/>
      <c r="Z642" s="441"/>
      <c r="AA642" s="441"/>
      <c r="AB642" s="441"/>
      <c r="AC642" s="441"/>
      <c r="AD642" s="441"/>
      <c r="AE642" s="441"/>
    </row>
    <row r="643">
      <c r="A643" s="928"/>
      <c r="B643" s="441"/>
      <c r="C643" s="441"/>
      <c r="D643" s="441"/>
      <c r="E643" s="441"/>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1"/>
      <c r="AD643" s="441"/>
      <c r="AE643" s="441"/>
    </row>
    <row r="644">
      <c r="A644" s="928"/>
      <c r="B644" s="441"/>
      <c r="C644" s="441"/>
      <c r="D644" s="441"/>
      <c r="E644" s="441"/>
      <c r="F644" s="441"/>
      <c r="G644" s="441"/>
      <c r="H644" s="441"/>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D644" s="441"/>
      <c r="AE644" s="441"/>
    </row>
    <row r="645">
      <c r="A645" s="928"/>
      <c r="B645" s="441"/>
      <c r="C645" s="441"/>
      <c r="D645" s="441"/>
      <c r="E645" s="441"/>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row>
    <row r="646">
      <c r="A646" s="928"/>
      <c r="B646" s="441"/>
      <c r="C646" s="441"/>
      <c r="D646" s="441"/>
      <c r="E646" s="441"/>
      <c r="F646" s="441"/>
      <c r="G646" s="441"/>
      <c r="H646" s="441"/>
      <c r="I646" s="441"/>
      <c r="J646" s="441"/>
      <c r="K646" s="441"/>
      <c r="L646" s="441"/>
      <c r="M646" s="441"/>
      <c r="N646" s="441"/>
      <c r="O646" s="441"/>
      <c r="P646" s="441"/>
      <c r="Q646" s="441"/>
      <c r="R646" s="441"/>
      <c r="S646" s="441"/>
      <c r="T646" s="441"/>
      <c r="U646" s="441"/>
      <c r="V646" s="441"/>
      <c r="W646" s="441"/>
      <c r="X646" s="441"/>
      <c r="Y646" s="441"/>
      <c r="Z646" s="441"/>
      <c r="AA646" s="441"/>
      <c r="AB646" s="441"/>
      <c r="AC646" s="441"/>
      <c r="AD646" s="441"/>
      <c r="AE646" s="441"/>
    </row>
    <row r="647">
      <c r="A647" s="928"/>
      <c r="B647" s="441"/>
      <c r="C647" s="441"/>
      <c r="D647" s="441"/>
      <c r="E647" s="441"/>
      <c r="F647" s="441"/>
      <c r="G647" s="441"/>
      <c r="H647" s="441"/>
      <c r="I647" s="441"/>
      <c r="J647" s="441"/>
      <c r="K647" s="441"/>
      <c r="L647" s="441"/>
      <c r="M647" s="441"/>
      <c r="N647" s="441"/>
      <c r="O647" s="441"/>
      <c r="P647" s="441"/>
      <c r="Q647" s="441"/>
      <c r="R647" s="441"/>
      <c r="S647" s="441"/>
      <c r="T647" s="441"/>
      <c r="U647" s="441"/>
      <c r="V647" s="441"/>
      <c r="W647" s="441"/>
      <c r="X647" s="441"/>
      <c r="Y647" s="441"/>
      <c r="Z647" s="441"/>
      <c r="AA647" s="441"/>
      <c r="AB647" s="441"/>
      <c r="AC647" s="441"/>
      <c r="AD647" s="441"/>
      <c r="AE647" s="441"/>
    </row>
    <row r="648">
      <c r="A648" s="928"/>
      <c r="B648" s="441"/>
      <c r="C648" s="441"/>
      <c r="D648" s="441"/>
      <c r="E648" s="441"/>
      <c r="F648" s="441"/>
      <c r="G648" s="441"/>
      <c r="H648" s="441"/>
      <c r="I648" s="441"/>
      <c r="J648" s="441"/>
      <c r="K648" s="441"/>
      <c r="L648" s="441"/>
      <c r="M648" s="441"/>
      <c r="N648" s="441"/>
      <c r="O648" s="441"/>
      <c r="P648" s="441"/>
      <c r="Q648" s="441"/>
      <c r="R648" s="441"/>
      <c r="S648" s="441"/>
      <c r="T648" s="441"/>
      <c r="U648" s="441"/>
      <c r="V648" s="441"/>
      <c r="W648" s="441"/>
      <c r="X648" s="441"/>
      <c r="Y648" s="441"/>
      <c r="Z648" s="441"/>
      <c r="AA648" s="441"/>
      <c r="AB648" s="441"/>
      <c r="AC648" s="441"/>
      <c r="AD648" s="441"/>
      <c r="AE648" s="441"/>
    </row>
    <row r="649">
      <c r="A649" s="928"/>
      <c r="B649" s="441"/>
      <c r="C649" s="441"/>
      <c r="D649" s="441"/>
      <c r="E649" s="441"/>
      <c r="F649" s="441"/>
      <c r="G649" s="441"/>
      <c r="H649" s="441"/>
      <c r="I649" s="441"/>
      <c r="J649" s="441"/>
      <c r="K649" s="441"/>
      <c r="L649" s="441"/>
      <c r="M649" s="441"/>
      <c r="N649" s="441"/>
      <c r="O649" s="441"/>
      <c r="P649" s="441"/>
      <c r="Q649" s="441"/>
      <c r="R649" s="441"/>
      <c r="S649" s="441"/>
      <c r="T649" s="441"/>
      <c r="U649" s="441"/>
      <c r="V649" s="441"/>
      <c r="W649" s="441"/>
      <c r="X649" s="441"/>
      <c r="Y649" s="441"/>
      <c r="Z649" s="441"/>
      <c r="AA649" s="441"/>
      <c r="AB649" s="441"/>
      <c r="AC649" s="441"/>
      <c r="AD649" s="441"/>
      <c r="AE649" s="441"/>
    </row>
    <row r="650">
      <c r="A650" s="928"/>
      <c r="B650" s="441"/>
      <c r="C650" s="441"/>
      <c r="D650" s="441"/>
      <c r="E650" s="441"/>
      <c r="F650" s="441"/>
      <c r="G650" s="441"/>
      <c r="H650" s="441"/>
      <c r="I650" s="441"/>
      <c r="J650" s="441"/>
      <c r="K650" s="441"/>
      <c r="L650" s="441"/>
      <c r="M650" s="441"/>
      <c r="N650" s="441"/>
      <c r="O650" s="441"/>
      <c r="P650" s="441"/>
      <c r="Q650" s="441"/>
      <c r="R650" s="441"/>
      <c r="S650" s="441"/>
      <c r="T650" s="441"/>
      <c r="U650" s="441"/>
      <c r="V650" s="441"/>
      <c r="W650" s="441"/>
      <c r="X650" s="441"/>
      <c r="Y650" s="441"/>
      <c r="Z650" s="441"/>
      <c r="AA650" s="441"/>
      <c r="AB650" s="441"/>
      <c r="AC650" s="441"/>
      <c r="AD650" s="441"/>
      <c r="AE650" s="441"/>
    </row>
    <row r="651">
      <c r="A651" s="928"/>
      <c r="B651" s="441"/>
      <c r="C651" s="441"/>
      <c r="D651" s="441"/>
      <c r="E651" s="441"/>
      <c r="F651" s="441"/>
      <c r="G651" s="441"/>
      <c r="H651" s="441"/>
      <c r="I651" s="441"/>
      <c r="J651" s="441"/>
      <c r="K651" s="441"/>
      <c r="L651" s="441"/>
      <c r="M651" s="441"/>
      <c r="N651" s="441"/>
      <c r="O651" s="441"/>
      <c r="P651" s="441"/>
      <c r="Q651" s="441"/>
      <c r="R651" s="441"/>
      <c r="S651" s="441"/>
      <c r="T651" s="441"/>
      <c r="U651" s="441"/>
      <c r="V651" s="441"/>
      <c r="W651" s="441"/>
      <c r="X651" s="441"/>
      <c r="Y651" s="441"/>
      <c r="Z651" s="441"/>
      <c r="AA651" s="441"/>
      <c r="AB651" s="441"/>
      <c r="AC651" s="441"/>
      <c r="AD651" s="441"/>
      <c r="AE651" s="441"/>
    </row>
    <row r="652">
      <c r="A652" s="928"/>
      <c r="B652" s="441"/>
      <c r="C652" s="441"/>
      <c r="D652" s="441"/>
      <c r="E652" s="441"/>
      <c r="F652" s="441"/>
      <c r="G652" s="441"/>
      <c r="H652" s="441"/>
      <c r="I652" s="441"/>
      <c r="J652" s="441"/>
      <c r="K652" s="441"/>
      <c r="L652" s="441"/>
      <c r="M652" s="441"/>
      <c r="N652" s="441"/>
      <c r="O652" s="441"/>
      <c r="P652" s="441"/>
      <c r="Q652" s="441"/>
      <c r="R652" s="441"/>
      <c r="S652" s="441"/>
      <c r="T652" s="441"/>
      <c r="U652" s="441"/>
      <c r="V652" s="441"/>
      <c r="W652" s="441"/>
      <c r="X652" s="441"/>
      <c r="Y652" s="441"/>
      <c r="Z652" s="441"/>
      <c r="AA652" s="441"/>
      <c r="AB652" s="441"/>
      <c r="AC652" s="441"/>
      <c r="AD652" s="441"/>
      <c r="AE652" s="441"/>
    </row>
    <row r="653">
      <c r="A653" s="928"/>
      <c r="B653" s="441"/>
      <c r="C653" s="441"/>
      <c r="D653" s="441"/>
      <c r="E653" s="441"/>
      <c r="F653" s="441"/>
      <c r="G653" s="441"/>
      <c r="H653" s="441"/>
      <c r="I653" s="441"/>
      <c r="J653" s="441"/>
      <c r="K653" s="441"/>
      <c r="L653" s="441"/>
      <c r="M653" s="441"/>
      <c r="N653" s="441"/>
      <c r="O653" s="441"/>
      <c r="P653" s="441"/>
      <c r="Q653" s="441"/>
      <c r="R653" s="441"/>
      <c r="S653" s="441"/>
      <c r="T653" s="441"/>
      <c r="U653" s="441"/>
      <c r="V653" s="441"/>
      <c r="W653" s="441"/>
      <c r="X653" s="441"/>
      <c r="Y653" s="441"/>
      <c r="Z653" s="441"/>
      <c r="AA653" s="441"/>
      <c r="AB653" s="441"/>
      <c r="AC653" s="441"/>
      <c r="AD653" s="441"/>
      <c r="AE653" s="441"/>
    </row>
    <row r="654">
      <c r="A654" s="928"/>
      <c r="B654" s="441"/>
      <c r="C654" s="441"/>
      <c r="D654" s="441"/>
      <c r="E654" s="441"/>
      <c r="F654" s="441"/>
      <c r="G654" s="441"/>
      <c r="H654" s="441"/>
      <c r="I654" s="441"/>
      <c r="J654" s="441"/>
      <c r="K654" s="441"/>
      <c r="L654" s="441"/>
      <c r="M654" s="441"/>
      <c r="N654" s="441"/>
      <c r="O654" s="441"/>
      <c r="P654" s="441"/>
      <c r="Q654" s="441"/>
      <c r="R654" s="441"/>
      <c r="S654" s="441"/>
      <c r="T654" s="441"/>
      <c r="U654" s="441"/>
      <c r="V654" s="441"/>
      <c r="W654" s="441"/>
      <c r="X654" s="441"/>
      <c r="Y654" s="441"/>
      <c r="Z654" s="441"/>
      <c r="AA654" s="441"/>
      <c r="AB654" s="441"/>
      <c r="AC654" s="441"/>
      <c r="AD654" s="441"/>
      <c r="AE654" s="441"/>
    </row>
    <row r="655">
      <c r="A655" s="928"/>
      <c r="B655" s="441"/>
      <c r="C655" s="441"/>
      <c r="D655" s="441"/>
      <c r="E655" s="441"/>
      <c r="F655" s="441"/>
      <c r="G655" s="441"/>
      <c r="H655" s="441"/>
      <c r="I655" s="441"/>
      <c r="J655" s="441"/>
      <c r="K655" s="441"/>
      <c r="L655" s="441"/>
      <c r="M655" s="441"/>
      <c r="N655" s="441"/>
      <c r="O655" s="441"/>
      <c r="P655" s="441"/>
      <c r="Q655" s="441"/>
      <c r="R655" s="441"/>
      <c r="S655" s="441"/>
      <c r="T655" s="441"/>
      <c r="U655" s="441"/>
      <c r="V655" s="441"/>
      <c r="W655" s="441"/>
      <c r="X655" s="441"/>
      <c r="Y655" s="441"/>
      <c r="Z655" s="441"/>
      <c r="AA655" s="441"/>
      <c r="AB655" s="441"/>
      <c r="AC655" s="441"/>
      <c r="AD655" s="441"/>
      <c r="AE655" s="441"/>
    </row>
    <row r="656">
      <c r="A656" s="928"/>
      <c r="B656" s="441"/>
      <c r="C656" s="441"/>
      <c r="D656" s="441"/>
      <c r="E656" s="441"/>
      <c r="F656" s="441"/>
      <c r="G656" s="441"/>
      <c r="H656" s="441"/>
      <c r="I656" s="441"/>
      <c r="J656" s="441"/>
      <c r="K656" s="441"/>
      <c r="L656" s="441"/>
      <c r="M656" s="441"/>
      <c r="N656" s="441"/>
      <c r="O656" s="441"/>
      <c r="P656" s="441"/>
      <c r="Q656" s="441"/>
      <c r="R656" s="441"/>
      <c r="S656" s="441"/>
      <c r="T656" s="441"/>
      <c r="U656" s="441"/>
      <c r="V656" s="441"/>
      <c r="W656" s="441"/>
      <c r="X656" s="441"/>
      <c r="Y656" s="441"/>
      <c r="Z656" s="441"/>
      <c r="AA656" s="441"/>
      <c r="AB656" s="441"/>
      <c r="AC656" s="441"/>
      <c r="AD656" s="441"/>
      <c r="AE656" s="441"/>
    </row>
    <row r="657">
      <c r="A657" s="928"/>
      <c r="B657" s="441"/>
      <c r="C657" s="441"/>
      <c r="D657" s="44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41"/>
      <c r="AD657" s="441"/>
      <c r="AE657" s="441"/>
    </row>
    <row r="658">
      <c r="A658" s="928"/>
      <c r="B658" s="441"/>
      <c r="C658" s="441"/>
      <c r="D658" s="441"/>
      <c r="E658" s="441"/>
      <c r="F658" s="441"/>
      <c r="G658" s="441"/>
      <c r="H658" s="441"/>
      <c r="I658" s="441"/>
      <c r="J658" s="441"/>
      <c r="K658" s="441"/>
      <c r="L658" s="441"/>
      <c r="M658" s="441"/>
      <c r="N658" s="441"/>
      <c r="O658" s="441"/>
      <c r="P658" s="441"/>
      <c r="Q658" s="441"/>
      <c r="R658" s="441"/>
      <c r="S658" s="441"/>
      <c r="T658" s="441"/>
      <c r="U658" s="441"/>
      <c r="V658" s="441"/>
      <c r="W658" s="441"/>
      <c r="X658" s="441"/>
      <c r="Y658" s="441"/>
      <c r="Z658" s="441"/>
      <c r="AA658" s="441"/>
      <c r="AB658" s="441"/>
      <c r="AC658" s="441"/>
      <c r="AD658" s="441"/>
      <c r="AE658" s="441"/>
    </row>
    <row r="659">
      <c r="A659" s="928"/>
      <c r="B659" s="441"/>
      <c r="C659" s="441"/>
      <c r="D659" s="441"/>
      <c r="E659" s="441"/>
      <c r="F659" s="441"/>
      <c r="G659" s="441"/>
      <c r="H659" s="441"/>
      <c r="I659" s="441"/>
      <c r="J659" s="441"/>
      <c r="K659" s="441"/>
      <c r="L659" s="441"/>
      <c r="M659" s="441"/>
      <c r="N659" s="441"/>
      <c r="O659" s="441"/>
      <c r="P659" s="441"/>
      <c r="Q659" s="441"/>
      <c r="R659" s="441"/>
      <c r="S659" s="441"/>
      <c r="T659" s="441"/>
      <c r="U659" s="441"/>
      <c r="V659" s="441"/>
      <c r="W659" s="441"/>
      <c r="X659" s="441"/>
      <c r="Y659" s="441"/>
      <c r="Z659" s="441"/>
      <c r="AA659" s="441"/>
      <c r="AB659" s="441"/>
      <c r="AC659" s="441"/>
      <c r="AD659" s="441"/>
      <c r="AE659" s="441"/>
    </row>
    <row r="660">
      <c r="A660" s="928"/>
      <c r="B660" s="441"/>
      <c r="C660" s="441"/>
      <c r="D660" s="441"/>
      <c r="E660" s="441"/>
      <c r="F660" s="441"/>
      <c r="G660" s="441"/>
      <c r="H660" s="441"/>
      <c r="I660" s="441"/>
      <c r="J660" s="441"/>
      <c r="K660" s="441"/>
      <c r="L660" s="441"/>
      <c r="M660" s="441"/>
      <c r="N660" s="441"/>
      <c r="O660" s="441"/>
      <c r="P660" s="441"/>
      <c r="Q660" s="441"/>
      <c r="R660" s="441"/>
      <c r="S660" s="441"/>
      <c r="T660" s="441"/>
      <c r="U660" s="441"/>
      <c r="V660" s="441"/>
      <c r="W660" s="441"/>
      <c r="X660" s="441"/>
      <c r="Y660" s="441"/>
      <c r="Z660" s="441"/>
      <c r="AA660" s="441"/>
      <c r="AB660" s="441"/>
      <c r="AC660" s="441"/>
      <c r="AD660" s="441"/>
      <c r="AE660" s="441"/>
    </row>
    <row r="661">
      <c r="A661" s="928"/>
      <c r="B661" s="441"/>
      <c r="C661" s="441"/>
      <c r="D661" s="441"/>
      <c r="E661" s="441"/>
      <c r="F661" s="441"/>
      <c r="G661" s="441"/>
      <c r="H661" s="441"/>
      <c r="I661" s="441"/>
      <c r="J661" s="441"/>
      <c r="K661" s="441"/>
      <c r="L661" s="441"/>
      <c r="M661" s="441"/>
      <c r="N661" s="441"/>
      <c r="O661" s="441"/>
      <c r="P661" s="441"/>
      <c r="Q661" s="441"/>
      <c r="R661" s="441"/>
      <c r="S661" s="441"/>
      <c r="T661" s="441"/>
      <c r="U661" s="441"/>
      <c r="V661" s="441"/>
      <c r="W661" s="441"/>
      <c r="X661" s="441"/>
      <c r="Y661" s="441"/>
      <c r="Z661" s="441"/>
      <c r="AA661" s="441"/>
      <c r="AB661" s="441"/>
      <c r="AC661" s="441"/>
      <c r="AD661" s="441"/>
      <c r="AE661" s="441"/>
    </row>
    <row r="662">
      <c r="A662" s="928"/>
      <c r="B662" s="441"/>
      <c r="C662" s="441"/>
      <c r="D662" s="441"/>
      <c r="E662" s="441"/>
      <c r="F662" s="441"/>
      <c r="G662" s="441"/>
      <c r="H662" s="441"/>
      <c r="I662" s="441"/>
      <c r="J662" s="441"/>
      <c r="K662" s="441"/>
      <c r="L662" s="441"/>
      <c r="M662" s="441"/>
      <c r="N662" s="441"/>
      <c r="O662" s="441"/>
      <c r="P662" s="441"/>
      <c r="Q662" s="441"/>
      <c r="R662" s="441"/>
      <c r="S662" s="441"/>
      <c r="T662" s="441"/>
      <c r="U662" s="441"/>
      <c r="V662" s="441"/>
      <c r="W662" s="441"/>
      <c r="X662" s="441"/>
      <c r="Y662" s="441"/>
      <c r="Z662" s="441"/>
      <c r="AA662" s="441"/>
      <c r="AB662" s="441"/>
      <c r="AC662" s="441"/>
      <c r="AD662" s="441"/>
      <c r="AE662" s="441"/>
    </row>
    <row r="663">
      <c r="A663" s="928"/>
      <c r="B663" s="441"/>
      <c r="C663" s="441"/>
      <c r="D663" s="441"/>
      <c r="E663" s="441"/>
      <c r="F663" s="441"/>
      <c r="G663" s="441"/>
      <c r="H663" s="441"/>
      <c r="I663" s="441"/>
      <c r="J663" s="441"/>
      <c r="K663" s="441"/>
      <c r="L663" s="441"/>
      <c r="M663" s="441"/>
      <c r="N663" s="441"/>
      <c r="O663" s="441"/>
      <c r="P663" s="441"/>
      <c r="Q663" s="441"/>
      <c r="R663" s="441"/>
      <c r="S663" s="441"/>
      <c r="T663" s="441"/>
      <c r="U663" s="441"/>
      <c r="V663" s="441"/>
      <c r="W663" s="441"/>
      <c r="X663" s="441"/>
      <c r="Y663" s="441"/>
      <c r="Z663" s="441"/>
      <c r="AA663" s="441"/>
      <c r="AB663" s="441"/>
      <c r="AC663" s="441"/>
      <c r="AD663" s="441"/>
      <c r="AE663" s="441"/>
    </row>
    <row r="664">
      <c r="A664" s="928"/>
      <c r="B664" s="441"/>
      <c r="C664" s="441"/>
      <c r="D664" s="441"/>
      <c r="E664" s="441"/>
      <c r="F664" s="441"/>
      <c r="G664" s="441"/>
      <c r="H664" s="441"/>
      <c r="I664" s="441"/>
      <c r="J664" s="441"/>
      <c r="K664" s="441"/>
      <c r="L664" s="441"/>
      <c r="M664" s="441"/>
      <c r="N664" s="441"/>
      <c r="O664" s="441"/>
      <c r="P664" s="441"/>
      <c r="Q664" s="441"/>
      <c r="R664" s="441"/>
      <c r="S664" s="441"/>
      <c r="T664" s="441"/>
      <c r="U664" s="441"/>
      <c r="V664" s="441"/>
      <c r="W664" s="441"/>
      <c r="X664" s="441"/>
      <c r="Y664" s="441"/>
      <c r="Z664" s="441"/>
      <c r="AA664" s="441"/>
      <c r="AB664" s="441"/>
      <c r="AC664" s="441"/>
      <c r="AD664" s="441"/>
      <c r="AE664" s="441"/>
    </row>
    <row r="665">
      <c r="A665" s="928"/>
      <c r="B665" s="441"/>
      <c r="C665" s="441"/>
      <c r="D665" s="441"/>
      <c r="E665" s="441"/>
      <c r="F665" s="441"/>
      <c r="G665" s="441"/>
      <c r="H665" s="441"/>
      <c r="I665" s="441"/>
      <c r="J665" s="441"/>
      <c r="K665" s="441"/>
      <c r="L665" s="441"/>
      <c r="M665" s="441"/>
      <c r="N665" s="441"/>
      <c r="O665" s="441"/>
      <c r="P665" s="441"/>
      <c r="Q665" s="441"/>
      <c r="R665" s="441"/>
      <c r="S665" s="441"/>
      <c r="T665" s="441"/>
      <c r="U665" s="441"/>
      <c r="V665" s="441"/>
      <c r="W665" s="441"/>
      <c r="X665" s="441"/>
      <c r="Y665" s="441"/>
      <c r="Z665" s="441"/>
      <c r="AA665" s="441"/>
      <c r="AB665" s="441"/>
      <c r="AC665" s="441"/>
      <c r="AD665" s="441"/>
      <c r="AE665" s="441"/>
    </row>
    <row r="666">
      <c r="A666" s="928"/>
      <c r="B666" s="441"/>
      <c r="C666" s="441"/>
      <c r="D666" s="441"/>
      <c r="E666" s="441"/>
      <c r="F666" s="441"/>
      <c r="G666" s="441"/>
      <c r="H666" s="441"/>
      <c r="I666" s="441"/>
      <c r="J666" s="441"/>
      <c r="K666" s="441"/>
      <c r="L666" s="441"/>
      <c r="M666" s="441"/>
      <c r="N666" s="441"/>
      <c r="O666" s="441"/>
      <c r="P666" s="441"/>
      <c r="Q666" s="441"/>
      <c r="R666" s="441"/>
      <c r="S666" s="441"/>
      <c r="T666" s="441"/>
      <c r="U666" s="441"/>
      <c r="V666" s="441"/>
      <c r="W666" s="441"/>
      <c r="X666" s="441"/>
      <c r="Y666" s="441"/>
      <c r="Z666" s="441"/>
      <c r="AA666" s="441"/>
      <c r="AB666" s="441"/>
      <c r="AC666" s="441"/>
      <c r="AD666" s="441"/>
      <c r="AE666" s="441"/>
    </row>
    <row r="667">
      <c r="A667" s="928"/>
      <c r="B667" s="441"/>
      <c r="C667" s="441"/>
      <c r="D667" s="441"/>
      <c r="E667" s="441"/>
      <c r="F667" s="441"/>
      <c r="G667" s="441"/>
      <c r="H667" s="441"/>
      <c r="I667" s="441"/>
      <c r="J667" s="441"/>
      <c r="K667" s="441"/>
      <c r="L667" s="441"/>
      <c r="M667" s="441"/>
      <c r="N667" s="441"/>
      <c r="O667" s="441"/>
      <c r="P667" s="441"/>
      <c r="Q667" s="441"/>
      <c r="R667" s="441"/>
      <c r="S667" s="441"/>
      <c r="T667" s="441"/>
      <c r="U667" s="441"/>
      <c r="V667" s="441"/>
      <c r="W667" s="441"/>
      <c r="X667" s="441"/>
      <c r="Y667" s="441"/>
      <c r="Z667" s="441"/>
      <c r="AA667" s="441"/>
      <c r="AB667" s="441"/>
      <c r="AC667" s="441"/>
      <c r="AD667" s="441"/>
      <c r="AE667" s="441"/>
    </row>
    <row r="668">
      <c r="A668" s="928"/>
      <c r="B668" s="441"/>
      <c r="C668" s="441"/>
      <c r="D668" s="441"/>
      <c r="E668" s="441"/>
      <c r="F668" s="441"/>
      <c r="G668" s="441"/>
      <c r="H668" s="441"/>
      <c r="I668" s="441"/>
      <c r="J668" s="441"/>
      <c r="K668" s="441"/>
      <c r="L668" s="441"/>
      <c r="M668" s="441"/>
      <c r="N668" s="441"/>
      <c r="O668" s="441"/>
      <c r="P668" s="441"/>
      <c r="Q668" s="441"/>
      <c r="R668" s="441"/>
      <c r="S668" s="441"/>
      <c r="T668" s="441"/>
      <c r="U668" s="441"/>
      <c r="V668" s="441"/>
      <c r="W668" s="441"/>
      <c r="X668" s="441"/>
      <c r="Y668" s="441"/>
      <c r="Z668" s="441"/>
      <c r="AA668" s="441"/>
      <c r="AB668" s="441"/>
      <c r="AC668" s="441"/>
      <c r="AD668" s="441"/>
      <c r="AE668" s="441"/>
    </row>
    <row r="669">
      <c r="A669" s="928"/>
      <c r="B669" s="441"/>
      <c r="C669" s="441"/>
      <c r="D669" s="441"/>
      <c r="E669" s="441"/>
      <c r="F669" s="441"/>
      <c r="G669" s="441"/>
      <c r="H669" s="441"/>
      <c r="I669" s="441"/>
      <c r="J669" s="441"/>
      <c r="K669" s="441"/>
      <c r="L669" s="441"/>
      <c r="M669" s="441"/>
      <c r="N669" s="441"/>
      <c r="O669" s="441"/>
      <c r="P669" s="441"/>
      <c r="Q669" s="441"/>
      <c r="R669" s="441"/>
      <c r="S669" s="441"/>
      <c r="T669" s="441"/>
      <c r="U669" s="441"/>
      <c r="V669" s="441"/>
      <c r="W669" s="441"/>
      <c r="X669" s="441"/>
      <c r="Y669" s="441"/>
      <c r="Z669" s="441"/>
      <c r="AA669" s="441"/>
      <c r="AB669" s="441"/>
      <c r="AC669" s="441"/>
      <c r="AD669" s="441"/>
      <c r="AE669" s="441"/>
    </row>
    <row r="670">
      <c r="A670" s="928"/>
      <c r="B670" s="441"/>
      <c r="C670" s="441"/>
      <c r="D670" s="441"/>
      <c r="E670" s="441"/>
      <c r="F670" s="441"/>
      <c r="G670" s="441"/>
      <c r="H670" s="441"/>
      <c r="I670" s="441"/>
      <c r="J670" s="441"/>
      <c r="K670" s="441"/>
      <c r="L670" s="441"/>
      <c r="M670" s="441"/>
      <c r="N670" s="441"/>
      <c r="O670" s="441"/>
      <c r="P670" s="441"/>
      <c r="Q670" s="441"/>
      <c r="R670" s="441"/>
      <c r="S670" s="441"/>
      <c r="T670" s="441"/>
      <c r="U670" s="441"/>
      <c r="V670" s="441"/>
      <c r="W670" s="441"/>
      <c r="X670" s="441"/>
      <c r="Y670" s="441"/>
      <c r="Z670" s="441"/>
      <c r="AA670" s="441"/>
      <c r="AB670" s="441"/>
      <c r="AC670" s="441"/>
      <c r="AD670" s="441"/>
      <c r="AE670" s="441"/>
    </row>
    <row r="671">
      <c r="A671" s="928"/>
      <c r="B671" s="441"/>
      <c r="C671" s="441"/>
      <c r="D671" s="441"/>
      <c r="E671" s="441"/>
      <c r="F671" s="441"/>
      <c r="G671" s="441"/>
      <c r="H671" s="441"/>
      <c r="I671" s="441"/>
      <c r="J671" s="441"/>
      <c r="K671" s="441"/>
      <c r="L671" s="441"/>
      <c r="M671" s="441"/>
      <c r="N671" s="441"/>
      <c r="O671" s="441"/>
      <c r="P671" s="441"/>
      <c r="Q671" s="441"/>
      <c r="R671" s="441"/>
      <c r="S671" s="441"/>
      <c r="T671" s="441"/>
      <c r="U671" s="441"/>
      <c r="V671" s="441"/>
      <c r="W671" s="441"/>
      <c r="X671" s="441"/>
      <c r="Y671" s="441"/>
      <c r="Z671" s="441"/>
      <c r="AA671" s="441"/>
      <c r="AB671" s="441"/>
      <c r="AC671" s="441"/>
      <c r="AD671" s="441"/>
      <c r="AE671" s="441"/>
    </row>
    <row r="672">
      <c r="A672" s="928"/>
      <c r="B672" s="441"/>
      <c r="C672" s="441"/>
      <c r="D672" s="441"/>
      <c r="E672" s="441"/>
      <c r="F672" s="441"/>
      <c r="G672" s="441"/>
      <c r="H672" s="441"/>
      <c r="I672" s="441"/>
      <c r="J672" s="441"/>
      <c r="K672" s="441"/>
      <c r="L672" s="441"/>
      <c r="M672" s="441"/>
      <c r="N672" s="441"/>
      <c r="O672" s="441"/>
      <c r="P672" s="441"/>
      <c r="Q672" s="441"/>
      <c r="R672" s="441"/>
      <c r="S672" s="441"/>
      <c r="T672" s="441"/>
      <c r="U672" s="441"/>
      <c r="V672" s="441"/>
      <c r="W672" s="441"/>
      <c r="X672" s="441"/>
      <c r="Y672" s="441"/>
      <c r="Z672" s="441"/>
      <c r="AA672" s="441"/>
      <c r="AB672" s="441"/>
      <c r="AC672" s="441"/>
      <c r="AD672" s="441"/>
      <c r="AE672" s="441"/>
    </row>
    <row r="673">
      <c r="A673" s="928"/>
      <c r="B673" s="441"/>
      <c r="C673" s="441"/>
      <c r="D673" s="441"/>
      <c r="E673" s="441"/>
      <c r="F673" s="441"/>
      <c r="G673" s="441"/>
      <c r="H673" s="441"/>
      <c r="I673" s="441"/>
      <c r="J673" s="441"/>
      <c r="K673" s="441"/>
      <c r="L673" s="441"/>
      <c r="M673" s="441"/>
      <c r="N673" s="441"/>
      <c r="O673" s="441"/>
      <c r="P673" s="441"/>
      <c r="Q673" s="441"/>
      <c r="R673" s="441"/>
      <c r="S673" s="441"/>
      <c r="T673" s="441"/>
      <c r="U673" s="441"/>
      <c r="V673" s="441"/>
      <c r="W673" s="441"/>
      <c r="X673" s="441"/>
      <c r="Y673" s="441"/>
      <c r="Z673" s="441"/>
      <c r="AA673" s="441"/>
      <c r="AB673" s="441"/>
      <c r="AC673" s="441"/>
      <c r="AD673" s="441"/>
      <c r="AE673" s="441"/>
    </row>
    <row r="674">
      <c r="A674" s="928"/>
      <c r="B674" s="441"/>
      <c r="C674" s="441"/>
      <c r="D674" s="441"/>
      <c r="E674" s="441"/>
      <c r="F674" s="441"/>
      <c r="G674" s="441"/>
      <c r="H674" s="441"/>
      <c r="I674" s="441"/>
      <c r="J674" s="441"/>
      <c r="K674" s="441"/>
      <c r="L674" s="441"/>
      <c r="M674" s="441"/>
      <c r="N674" s="441"/>
      <c r="O674" s="441"/>
      <c r="P674" s="441"/>
      <c r="Q674" s="441"/>
      <c r="R674" s="441"/>
      <c r="S674" s="441"/>
      <c r="T674" s="441"/>
      <c r="U674" s="441"/>
      <c r="V674" s="441"/>
      <c r="W674" s="441"/>
      <c r="X674" s="441"/>
      <c r="Y674" s="441"/>
      <c r="Z674" s="441"/>
      <c r="AA674" s="441"/>
      <c r="AB674" s="441"/>
      <c r="AC674" s="441"/>
      <c r="AD674" s="441"/>
      <c r="AE674" s="441"/>
    </row>
    <row r="675">
      <c r="A675" s="928"/>
      <c r="B675" s="441"/>
      <c r="C675" s="441"/>
      <c r="D675" s="441"/>
      <c r="E675" s="441"/>
      <c r="F675" s="441"/>
      <c r="G675" s="441"/>
      <c r="H675" s="441"/>
      <c r="I675" s="441"/>
      <c r="J675" s="441"/>
      <c r="K675" s="441"/>
      <c r="L675" s="441"/>
      <c r="M675" s="441"/>
      <c r="N675" s="441"/>
      <c r="O675" s="441"/>
      <c r="P675" s="441"/>
      <c r="Q675" s="441"/>
      <c r="R675" s="441"/>
      <c r="S675" s="441"/>
      <c r="T675" s="441"/>
      <c r="U675" s="441"/>
      <c r="V675" s="441"/>
      <c r="W675" s="441"/>
      <c r="X675" s="441"/>
      <c r="Y675" s="441"/>
      <c r="Z675" s="441"/>
      <c r="AA675" s="441"/>
      <c r="AB675" s="441"/>
      <c r="AC675" s="441"/>
      <c r="AD675" s="441"/>
      <c r="AE675" s="441"/>
    </row>
    <row r="676">
      <c r="A676" s="928"/>
      <c r="B676" s="441"/>
      <c r="C676" s="441"/>
      <c r="D676" s="441"/>
      <c r="E676" s="441"/>
      <c r="F676" s="441"/>
      <c r="G676" s="441"/>
      <c r="H676" s="441"/>
      <c r="I676" s="441"/>
      <c r="J676" s="441"/>
      <c r="K676" s="441"/>
      <c r="L676" s="441"/>
      <c r="M676" s="441"/>
      <c r="N676" s="441"/>
      <c r="O676" s="441"/>
      <c r="P676" s="441"/>
      <c r="Q676" s="441"/>
      <c r="R676" s="441"/>
      <c r="S676" s="441"/>
      <c r="T676" s="441"/>
      <c r="U676" s="441"/>
      <c r="V676" s="441"/>
      <c r="W676" s="441"/>
      <c r="X676" s="441"/>
      <c r="Y676" s="441"/>
      <c r="Z676" s="441"/>
      <c r="AA676" s="441"/>
      <c r="AB676" s="441"/>
      <c r="AC676" s="441"/>
      <c r="AD676" s="441"/>
      <c r="AE676" s="441"/>
    </row>
    <row r="677">
      <c r="A677" s="928"/>
      <c r="B677" s="441"/>
      <c r="C677" s="441"/>
      <c r="D677" s="441"/>
      <c r="E677" s="441"/>
      <c r="F677" s="441"/>
      <c r="G677" s="441"/>
      <c r="H677" s="441"/>
      <c r="I677" s="441"/>
      <c r="J677" s="441"/>
      <c r="K677" s="441"/>
      <c r="L677" s="441"/>
      <c r="M677" s="441"/>
      <c r="N677" s="441"/>
      <c r="O677" s="441"/>
      <c r="P677" s="441"/>
      <c r="Q677" s="441"/>
      <c r="R677" s="441"/>
      <c r="S677" s="441"/>
      <c r="T677" s="441"/>
      <c r="U677" s="441"/>
      <c r="V677" s="441"/>
      <c r="W677" s="441"/>
      <c r="X677" s="441"/>
      <c r="Y677" s="441"/>
      <c r="Z677" s="441"/>
      <c r="AA677" s="441"/>
      <c r="AB677" s="441"/>
      <c r="AC677" s="441"/>
      <c r="AD677" s="441"/>
      <c r="AE677" s="441"/>
    </row>
    <row r="678">
      <c r="A678" s="928"/>
      <c r="B678" s="441"/>
      <c r="C678" s="441"/>
      <c r="D678" s="441"/>
      <c r="E678" s="441"/>
      <c r="F678" s="441"/>
      <c r="G678" s="441"/>
      <c r="H678" s="441"/>
      <c r="I678" s="441"/>
      <c r="J678" s="441"/>
      <c r="K678" s="441"/>
      <c r="L678" s="441"/>
      <c r="M678" s="441"/>
      <c r="N678" s="441"/>
      <c r="O678" s="441"/>
      <c r="P678" s="441"/>
      <c r="Q678" s="441"/>
      <c r="R678" s="441"/>
      <c r="S678" s="441"/>
      <c r="T678" s="441"/>
      <c r="U678" s="441"/>
      <c r="V678" s="441"/>
      <c r="W678" s="441"/>
      <c r="X678" s="441"/>
      <c r="Y678" s="441"/>
      <c r="Z678" s="441"/>
      <c r="AA678" s="441"/>
      <c r="AB678" s="441"/>
      <c r="AC678" s="441"/>
      <c r="AD678" s="441"/>
      <c r="AE678" s="441"/>
    </row>
    <row r="679">
      <c r="A679" s="928"/>
      <c r="B679" s="441"/>
      <c r="C679" s="441"/>
      <c r="D679" s="441"/>
      <c r="E679" s="441"/>
      <c r="F679" s="441"/>
      <c r="G679" s="441"/>
      <c r="H679" s="441"/>
      <c r="I679" s="441"/>
      <c r="J679" s="441"/>
      <c r="K679" s="441"/>
      <c r="L679" s="441"/>
      <c r="M679" s="441"/>
      <c r="N679" s="441"/>
      <c r="O679" s="441"/>
      <c r="P679" s="441"/>
      <c r="Q679" s="441"/>
      <c r="R679" s="441"/>
      <c r="S679" s="441"/>
      <c r="T679" s="441"/>
      <c r="U679" s="441"/>
      <c r="V679" s="441"/>
      <c r="W679" s="441"/>
      <c r="X679" s="441"/>
      <c r="Y679" s="441"/>
      <c r="Z679" s="441"/>
      <c r="AA679" s="441"/>
      <c r="AB679" s="441"/>
      <c r="AC679" s="441"/>
      <c r="AD679" s="441"/>
      <c r="AE679" s="441"/>
    </row>
    <row r="680">
      <c r="A680" s="928"/>
      <c r="B680" s="441"/>
      <c r="C680" s="441"/>
      <c r="D680" s="441"/>
      <c r="E680" s="441"/>
      <c r="F680" s="441"/>
      <c r="G680" s="441"/>
      <c r="H680" s="441"/>
      <c r="I680" s="441"/>
      <c r="J680" s="441"/>
      <c r="K680" s="441"/>
      <c r="L680" s="441"/>
      <c r="M680" s="441"/>
      <c r="N680" s="441"/>
      <c r="O680" s="441"/>
      <c r="P680" s="441"/>
      <c r="Q680" s="441"/>
      <c r="R680" s="441"/>
      <c r="S680" s="441"/>
      <c r="T680" s="441"/>
      <c r="U680" s="441"/>
      <c r="V680" s="441"/>
      <c r="W680" s="441"/>
      <c r="X680" s="441"/>
      <c r="Y680" s="441"/>
      <c r="Z680" s="441"/>
      <c r="AA680" s="441"/>
      <c r="AB680" s="441"/>
      <c r="AC680" s="441"/>
      <c r="AD680" s="441"/>
      <c r="AE680" s="441"/>
    </row>
    <row r="681">
      <c r="A681" s="928"/>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row>
    <row r="682">
      <c r="A682" s="928"/>
      <c r="B682" s="441"/>
      <c r="C682" s="441"/>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441"/>
      <c r="AD682" s="441"/>
      <c r="AE682" s="441"/>
    </row>
    <row r="683">
      <c r="A683" s="928"/>
      <c r="B683" s="441"/>
      <c r="C683" s="441"/>
      <c r="D683" s="441"/>
      <c r="E683" s="441"/>
      <c r="F683" s="441"/>
      <c r="G683" s="441"/>
      <c r="H683" s="441"/>
      <c r="I683" s="441"/>
      <c r="J683" s="441"/>
      <c r="K683" s="441"/>
      <c r="L683" s="441"/>
      <c r="M683" s="441"/>
      <c r="N683" s="441"/>
      <c r="O683" s="441"/>
      <c r="P683" s="441"/>
      <c r="Q683" s="441"/>
      <c r="R683" s="441"/>
      <c r="S683" s="441"/>
      <c r="T683" s="441"/>
      <c r="U683" s="441"/>
      <c r="V683" s="441"/>
      <c r="W683" s="441"/>
      <c r="X683" s="441"/>
      <c r="Y683" s="441"/>
      <c r="Z683" s="441"/>
      <c r="AA683" s="441"/>
      <c r="AB683" s="441"/>
      <c r="AC683" s="441"/>
      <c r="AD683" s="441"/>
      <c r="AE683" s="441"/>
    </row>
    <row r="684">
      <c r="A684" s="928"/>
      <c r="B684" s="441"/>
      <c r="C684" s="441"/>
      <c r="D684" s="441"/>
      <c r="E684" s="441"/>
      <c r="F684" s="441"/>
      <c r="G684" s="441"/>
      <c r="H684" s="441"/>
      <c r="I684" s="441"/>
      <c r="J684" s="441"/>
      <c r="K684" s="441"/>
      <c r="L684" s="441"/>
      <c r="M684" s="441"/>
      <c r="N684" s="441"/>
      <c r="O684" s="441"/>
      <c r="P684" s="441"/>
      <c r="Q684" s="441"/>
      <c r="R684" s="441"/>
      <c r="S684" s="441"/>
      <c r="T684" s="441"/>
      <c r="U684" s="441"/>
      <c r="V684" s="441"/>
      <c r="W684" s="441"/>
      <c r="X684" s="441"/>
      <c r="Y684" s="441"/>
      <c r="Z684" s="441"/>
      <c r="AA684" s="441"/>
      <c r="AB684" s="441"/>
      <c r="AC684" s="441"/>
      <c r="AD684" s="441"/>
      <c r="AE684" s="441"/>
    </row>
    <row r="685">
      <c r="A685" s="928"/>
      <c r="B685" s="441"/>
      <c r="C685" s="441"/>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1"/>
      <c r="AD685" s="441"/>
      <c r="AE685" s="441"/>
    </row>
    <row r="686">
      <c r="A686" s="928"/>
      <c r="B686" s="441"/>
      <c r="C686" s="441"/>
      <c r="D686" s="441"/>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1"/>
      <c r="AD686" s="441"/>
      <c r="AE686" s="441"/>
    </row>
    <row r="687">
      <c r="A687" s="928"/>
      <c r="B687" s="441"/>
      <c r="C687" s="441"/>
      <c r="D687" s="441"/>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41"/>
      <c r="AD687" s="441"/>
      <c r="AE687" s="441"/>
    </row>
    <row r="688">
      <c r="A688" s="928"/>
      <c r="B688" s="441"/>
      <c r="C688" s="441"/>
      <c r="D688" s="441"/>
      <c r="E688" s="441"/>
      <c r="F688" s="441"/>
      <c r="G688" s="441"/>
      <c r="H688" s="441"/>
      <c r="I688" s="441"/>
      <c r="J688" s="441"/>
      <c r="K688" s="441"/>
      <c r="L688" s="441"/>
      <c r="M688" s="441"/>
      <c r="N688" s="441"/>
      <c r="O688" s="441"/>
      <c r="P688" s="441"/>
      <c r="Q688" s="441"/>
      <c r="R688" s="441"/>
      <c r="S688" s="441"/>
      <c r="T688" s="441"/>
      <c r="U688" s="441"/>
      <c r="V688" s="441"/>
      <c r="W688" s="441"/>
      <c r="X688" s="441"/>
      <c r="Y688" s="441"/>
      <c r="Z688" s="441"/>
      <c r="AA688" s="441"/>
      <c r="AB688" s="441"/>
      <c r="AC688" s="441"/>
      <c r="AD688" s="441"/>
      <c r="AE688" s="441"/>
    </row>
    <row r="689">
      <c r="A689" s="928"/>
      <c r="B689" s="441"/>
      <c r="C689" s="441"/>
      <c r="D689" s="441"/>
      <c r="E689" s="441"/>
      <c r="F689" s="441"/>
      <c r="G689" s="441"/>
      <c r="H689" s="441"/>
      <c r="I689" s="441"/>
      <c r="J689" s="441"/>
      <c r="K689" s="441"/>
      <c r="L689" s="441"/>
      <c r="M689" s="441"/>
      <c r="N689" s="441"/>
      <c r="O689" s="441"/>
      <c r="P689" s="441"/>
      <c r="Q689" s="441"/>
      <c r="R689" s="441"/>
      <c r="S689" s="441"/>
      <c r="T689" s="441"/>
      <c r="U689" s="441"/>
      <c r="V689" s="441"/>
      <c r="W689" s="441"/>
      <c r="X689" s="441"/>
      <c r="Y689" s="441"/>
      <c r="Z689" s="441"/>
      <c r="AA689" s="441"/>
      <c r="AB689" s="441"/>
      <c r="AC689" s="441"/>
      <c r="AD689" s="441"/>
      <c r="AE689" s="441"/>
    </row>
    <row r="690">
      <c r="A690" s="928"/>
      <c r="B690" s="441"/>
      <c r="C690" s="441"/>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c r="AA690" s="441"/>
      <c r="AB690" s="441"/>
      <c r="AC690" s="441"/>
      <c r="AD690" s="441"/>
      <c r="AE690" s="441"/>
    </row>
    <row r="691">
      <c r="A691" s="928"/>
      <c r="B691" s="441"/>
      <c r="C691" s="441"/>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c r="AA691" s="441"/>
      <c r="AB691" s="441"/>
      <c r="AC691" s="441"/>
      <c r="AD691" s="441"/>
      <c r="AE691" s="441"/>
    </row>
    <row r="692">
      <c r="A692" s="928"/>
      <c r="B692" s="441"/>
      <c r="C692" s="441"/>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c r="AA692" s="441"/>
      <c r="AB692" s="441"/>
      <c r="AC692" s="441"/>
      <c r="AD692" s="441"/>
      <c r="AE692" s="441"/>
    </row>
    <row r="693">
      <c r="A693" s="928"/>
      <c r="B693" s="441"/>
      <c r="C693" s="441"/>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441"/>
      <c r="AD693" s="441"/>
      <c r="AE693" s="441"/>
    </row>
    <row r="694">
      <c r="A694" s="928"/>
      <c r="B694" s="441"/>
      <c r="C694" s="441"/>
      <c r="D694" s="441"/>
      <c r="E694" s="441"/>
      <c r="F694" s="441"/>
      <c r="G694" s="441"/>
      <c r="H694" s="441"/>
      <c r="I694" s="441"/>
      <c r="J694" s="441"/>
      <c r="K694" s="441"/>
      <c r="L694" s="441"/>
      <c r="M694" s="441"/>
      <c r="N694" s="441"/>
      <c r="O694" s="441"/>
      <c r="P694" s="441"/>
      <c r="Q694" s="441"/>
      <c r="R694" s="441"/>
      <c r="S694" s="441"/>
      <c r="T694" s="441"/>
      <c r="U694" s="441"/>
      <c r="V694" s="441"/>
      <c r="W694" s="441"/>
      <c r="X694" s="441"/>
      <c r="Y694" s="441"/>
      <c r="Z694" s="441"/>
      <c r="AA694" s="441"/>
      <c r="AB694" s="441"/>
      <c r="AC694" s="441"/>
      <c r="AD694" s="441"/>
      <c r="AE694" s="441"/>
    </row>
    <row r="695">
      <c r="A695" s="928"/>
      <c r="B695" s="441"/>
      <c r="C695" s="441"/>
      <c r="D695" s="441"/>
      <c r="E695" s="441"/>
      <c r="F695" s="441"/>
      <c r="G695" s="441"/>
      <c r="H695" s="441"/>
      <c r="I695" s="441"/>
      <c r="J695" s="441"/>
      <c r="K695" s="441"/>
      <c r="L695" s="441"/>
      <c r="M695" s="441"/>
      <c r="N695" s="441"/>
      <c r="O695" s="441"/>
      <c r="P695" s="441"/>
      <c r="Q695" s="441"/>
      <c r="R695" s="441"/>
      <c r="S695" s="441"/>
      <c r="T695" s="441"/>
      <c r="U695" s="441"/>
      <c r="V695" s="441"/>
      <c r="W695" s="441"/>
      <c r="X695" s="441"/>
      <c r="Y695" s="441"/>
      <c r="Z695" s="441"/>
      <c r="AA695" s="441"/>
      <c r="AB695" s="441"/>
      <c r="AC695" s="441"/>
      <c r="AD695" s="441"/>
      <c r="AE695" s="441"/>
    </row>
    <row r="696">
      <c r="A696" s="928"/>
      <c r="B696" s="441"/>
      <c r="C696" s="441"/>
      <c r="D696" s="441"/>
      <c r="E696" s="441"/>
      <c r="F696" s="441"/>
      <c r="G696" s="441"/>
      <c r="H696" s="441"/>
      <c r="I696" s="441"/>
      <c r="J696" s="441"/>
      <c r="K696" s="441"/>
      <c r="L696" s="441"/>
      <c r="M696" s="441"/>
      <c r="N696" s="441"/>
      <c r="O696" s="441"/>
      <c r="P696" s="441"/>
      <c r="Q696" s="441"/>
      <c r="R696" s="441"/>
      <c r="S696" s="441"/>
      <c r="T696" s="441"/>
      <c r="U696" s="441"/>
      <c r="V696" s="441"/>
      <c r="W696" s="441"/>
      <c r="X696" s="441"/>
      <c r="Y696" s="441"/>
      <c r="Z696" s="441"/>
      <c r="AA696" s="441"/>
      <c r="AB696" s="441"/>
      <c r="AC696" s="441"/>
      <c r="AD696" s="441"/>
      <c r="AE696" s="441"/>
    </row>
    <row r="697">
      <c r="A697" s="928"/>
      <c r="B697" s="441"/>
      <c r="C697" s="441"/>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c r="AA697" s="441"/>
      <c r="AB697" s="441"/>
      <c r="AC697" s="441"/>
      <c r="AD697" s="441"/>
      <c r="AE697" s="441"/>
    </row>
    <row r="698">
      <c r="A698" s="928"/>
      <c r="B698" s="441"/>
      <c r="C698" s="441"/>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1"/>
      <c r="AD698" s="441"/>
      <c r="AE698" s="441"/>
    </row>
    <row r="699">
      <c r="A699" s="928"/>
      <c r="B699" s="441"/>
      <c r="C699" s="441"/>
      <c r="D699" s="441"/>
      <c r="E699" s="441"/>
      <c r="F699" s="441"/>
      <c r="G699" s="441"/>
      <c r="H699" s="441"/>
      <c r="I699" s="441"/>
      <c r="J699" s="441"/>
      <c r="K699" s="441"/>
      <c r="L699" s="441"/>
      <c r="M699" s="441"/>
      <c r="N699" s="441"/>
      <c r="O699" s="441"/>
      <c r="P699" s="441"/>
      <c r="Q699" s="441"/>
      <c r="R699" s="441"/>
      <c r="S699" s="441"/>
      <c r="T699" s="441"/>
      <c r="U699" s="441"/>
      <c r="V699" s="441"/>
      <c r="W699" s="441"/>
      <c r="X699" s="441"/>
      <c r="Y699" s="441"/>
      <c r="Z699" s="441"/>
      <c r="AA699" s="441"/>
      <c r="AB699" s="441"/>
      <c r="AC699" s="441"/>
      <c r="AD699" s="441"/>
      <c r="AE699" s="441"/>
    </row>
    <row r="700">
      <c r="A700" s="928"/>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row>
    <row r="701">
      <c r="A701" s="928"/>
      <c r="B701" s="441"/>
      <c r="C701" s="441"/>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1"/>
      <c r="AD701" s="441"/>
      <c r="AE701" s="441"/>
    </row>
    <row r="702">
      <c r="A702" s="928"/>
      <c r="B702" s="441"/>
      <c r="C702" s="441"/>
      <c r="D702" s="441"/>
      <c r="E702" s="441"/>
      <c r="F702" s="441"/>
      <c r="G702" s="441"/>
      <c r="H702" s="441"/>
      <c r="I702" s="441"/>
      <c r="J702" s="441"/>
      <c r="K702" s="441"/>
      <c r="L702" s="441"/>
      <c r="M702" s="441"/>
      <c r="N702" s="441"/>
      <c r="O702" s="441"/>
      <c r="P702" s="441"/>
      <c r="Q702" s="441"/>
      <c r="R702" s="441"/>
      <c r="S702" s="441"/>
      <c r="T702" s="441"/>
      <c r="U702" s="441"/>
      <c r="V702" s="441"/>
      <c r="W702" s="441"/>
      <c r="X702" s="441"/>
      <c r="Y702" s="441"/>
      <c r="Z702" s="441"/>
      <c r="AA702" s="441"/>
      <c r="AB702" s="441"/>
      <c r="AC702" s="441"/>
      <c r="AD702" s="441"/>
      <c r="AE702" s="441"/>
    </row>
    <row r="703">
      <c r="A703" s="928"/>
      <c r="B703" s="441"/>
      <c r="C703" s="441"/>
      <c r="D703" s="441"/>
      <c r="E703" s="441"/>
      <c r="F703" s="441"/>
      <c r="G703" s="441"/>
      <c r="H703" s="441"/>
      <c r="I703" s="441"/>
      <c r="J703" s="441"/>
      <c r="K703" s="441"/>
      <c r="L703" s="441"/>
      <c r="M703" s="441"/>
      <c r="N703" s="441"/>
      <c r="O703" s="441"/>
      <c r="P703" s="441"/>
      <c r="Q703" s="441"/>
      <c r="R703" s="441"/>
      <c r="S703" s="441"/>
      <c r="T703" s="441"/>
      <c r="U703" s="441"/>
      <c r="V703" s="441"/>
      <c r="W703" s="441"/>
      <c r="X703" s="441"/>
      <c r="Y703" s="441"/>
      <c r="Z703" s="441"/>
      <c r="AA703" s="441"/>
      <c r="AB703" s="441"/>
      <c r="AC703" s="441"/>
      <c r="AD703" s="441"/>
      <c r="AE703" s="441"/>
    </row>
    <row r="704">
      <c r="A704" s="928"/>
      <c r="B704" s="441"/>
      <c r="C704" s="441"/>
      <c r="D704" s="441"/>
      <c r="E704" s="441"/>
      <c r="F704" s="441"/>
      <c r="G704" s="441"/>
      <c r="H704" s="441"/>
      <c r="I704" s="441"/>
      <c r="J704" s="441"/>
      <c r="K704" s="441"/>
      <c r="L704" s="441"/>
      <c r="M704" s="441"/>
      <c r="N704" s="441"/>
      <c r="O704" s="441"/>
      <c r="P704" s="441"/>
      <c r="Q704" s="441"/>
      <c r="R704" s="441"/>
      <c r="S704" s="441"/>
      <c r="T704" s="441"/>
      <c r="U704" s="441"/>
      <c r="V704" s="441"/>
      <c r="W704" s="441"/>
      <c r="X704" s="441"/>
      <c r="Y704" s="441"/>
      <c r="Z704" s="441"/>
      <c r="AA704" s="441"/>
      <c r="AB704" s="441"/>
      <c r="AC704" s="441"/>
      <c r="AD704" s="441"/>
      <c r="AE704" s="441"/>
    </row>
    <row r="705">
      <c r="A705" s="928"/>
      <c r="B705" s="441"/>
      <c r="C705" s="441"/>
      <c r="D705" s="441"/>
      <c r="E705" s="441"/>
      <c r="F705" s="441"/>
      <c r="G705" s="441"/>
      <c r="H705" s="441"/>
      <c r="I705" s="441"/>
      <c r="J705" s="441"/>
      <c r="K705" s="441"/>
      <c r="L705" s="441"/>
      <c r="M705" s="441"/>
      <c r="N705" s="441"/>
      <c r="O705" s="441"/>
      <c r="P705" s="441"/>
      <c r="Q705" s="441"/>
      <c r="R705" s="441"/>
      <c r="S705" s="441"/>
      <c r="T705" s="441"/>
      <c r="U705" s="441"/>
      <c r="V705" s="441"/>
      <c r="W705" s="441"/>
      <c r="X705" s="441"/>
      <c r="Y705" s="441"/>
      <c r="Z705" s="441"/>
      <c r="AA705" s="441"/>
      <c r="AB705" s="441"/>
      <c r="AC705" s="441"/>
      <c r="AD705" s="441"/>
      <c r="AE705" s="441"/>
    </row>
    <row r="706">
      <c r="A706" s="928"/>
      <c r="B706" s="441"/>
      <c r="C706" s="441"/>
      <c r="D706" s="441"/>
      <c r="E706" s="441"/>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1"/>
      <c r="AD706" s="441"/>
      <c r="AE706" s="441"/>
    </row>
    <row r="707">
      <c r="A707" s="928"/>
      <c r="B707" s="441"/>
      <c r="C707" s="441"/>
      <c r="D707" s="441"/>
      <c r="E707" s="441"/>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1"/>
      <c r="AD707" s="441"/>
      <c r="AE707" s="441"/>
    </row>
    <row r="708">
      <c r="A708" s="928"/>
      <c r="B708" s="441"/>
      <c r="C708" s="441"/>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1"/>
      <c r="AE708" s="441"/>
    </row>
    <row r="709">
      <c r="A709" s="928"/>
      <c r="B709" s="441"/>
      <c r="C709" s="441"/>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441"/>
      <c r="AE709" s="441"/>
    </row>
    <row r="710">
      <c r="A710" s="928"/>
      <c r="B710" s="441"/>
      <c r="C710" s="441"/>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441"/>
      <c r="AE710" s="441"/>
    </row>
    <row r="711">
      <c r="A711" s="928"/>
      <c r="B711" s="441"/>
      <c r="C711" s="441"/>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441"/>
      <c r="AD711" s="441"/>
      <c r="AE711" s="441"/>
    </row>
    <row r="712">
      <c r="A712" s="928"/>
      <c r="B712" s="441"/>
      <c r="C712" s="441"/>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441"/>
      <c r="AD712" s="441"/>
      <c r="AE712" s="441"/>
    </row>
    <row r="713">
      <c r="A713" s="928"/>
      <c r="B713" s="441"/>
      <c r="C713" s="441"/>
      <c r="D713" s="441"/>
      <c r="E713" s="441"/>
      <c r="F713" s="441"/>
      <c r="G713" s="441"/>
      <c r="H713" s="441"/>
      <c r="I713" s="441"/>
      <c r="J713" s="441"/>
      <c r="K713" s="441"/>
      <c r="L713" s="441"/>
      <c r="M713" s="441"/>
      <c r="N713" s="441"/>
      <c r="O713" s="441"/>
      <c r="P713" s="441"/>
      <c r="Q713" s="441"/>
      <c r="R713" s="441"/>
      <c r="S713" s="441"/>
      <c r="T713" s="441"/>
      <c r="U713" s="441"/>
      <c r="V713" s="441"/>
      <c r="W713" s="441"/>
      <c r="X713" s="441"/>
      <c r="Y713" s="441"/>
      <c r="Z713" s="441"/>
      <c r="AA713" s="441"/>
      <c r="AB713" s="441"/>
      <c r="AC713" s="441"/>
      <c r="AD713" s="441"/>
      <c r="AE713" s="441"/>
    </row>
    <row r="714">
      <c r="A714" s="928"/>
      <c r="B714" s="441"/>
      <c r="C714" s="441"/>
      <c r="D714" s="441"/>
      <c r="E714" s="441"/>
      <c r="F714" s="441"/>
      <c r="G714" s="441"/>
      <c r="H714" s="441"/>
      <c r="I714" s="441"/>
      <c r="J714" s="441"/>
      <c r="K714" s="441"/>
      <c r="L714" s="441"/>
      <c r="M714" s="441"/>
      <c r="N714" s="441"/>
      <c r="O714" s="441"/>
      <c r="P714" s="441"/>
      <c r="Q714" s="441"/>
      <c r="R714" s="441"/>
      <c r="S714" s="441"/>
      <c r="T714" s="441"/>
      <c r="U714" s="441"/>
      <c r="V714" s="441"/>
      <c r="W714" s="441"/>
      <c r="X714" s="441"/>
      <c r="Y714" s="441"/>
      <c r="Z714" s="441"/>
      <c r="AA714" s="441"/>
      <c r="AB714" s="441"/>
      <c r="AC714" s="441"/>
      <c r="AD714" s="441"/>
      <c r="AE714" s="441"/>
    </row>
    <row r="715">
      <c r="A715" s="928"/>
      <c r="B715" s="441"/>
      <c r="C715" s="441"/>
      <c r="D715" s="441"/>
      <c r="E715" s="441"/>
      <c r="F715" s="441"/>
      <c r="G715" s="441"/>
      <c r="H715" s="441"/>
      <c r="I715" s="441"/>
      <c r="J715" s="441"/>
      <c r="K715" s="441"/>
      <c r="L715" s="441"/>
      <c r="M715" s="441"/>
      <c r="N715" s="441"/>
      <c r="O715" s="441"/>
      <c r="P715" s="441"/>
      <c r="Q715" s="441"/>
      <c r="R715" s="441"/>
      <c r="S715" s="441"/>
      <c r="T715" s="441"/>
      <c r="U715" s="441"/>
      <c r="V715" s="441"/>
      <c r="W715" s="441"/>
      <c r="X715" s="441"/>
      <c r="Y715" s="441"/>
      <c r="Z715" s="441"/>
      <c r="AA715" s="441"/>
      <c r="AB715" s="441"/>
      <c r="AC715" s="441"/>
      <c r="AD715" s="441"/>
      <c r="AE715" s="441"/>
    </row>
    <row r="716">
      <c r="A716" s="928"/>
      <c r="B716" s="441"/>
      <c r="C716" s="441"/>
      <c r="D716" s="441"/>
      <c r="E716" s="441"/>
      <c r="F716" s="441"/>
      <c r="G716" s="441"/>
      <c r="H716" s="441"/>
      <c r="I716" s="441"/>
      <c r="J716" s="441"/>
      <c r="K716" s="441"/>
      <c r="L716" s="441"/>
      <c r="M716" s="441"/>
      <c r="N716" s="441"/>
      <c r="O716" s="441"/>
      <c r="P716" s="441"/>
      <c r="Q716" s="441"/>
      <c r="R716" s="441"/>
      <c r="S716" s="441"/>
      <c r="T716" s="441"/>
      <c r="U716" s="441"/>
      <c r="V716" s="441"/>
      <c r="W716" s="441"/>
      <c r="X716" s="441"/>
      <c r="Y716" s="441"/>
      <c r="Z716" s="441"/>
      <c r="AA716" s="441"/>
      <c r="AB716" s="441"/>
      <c r="AC716" s="441"/>
      <c r="AD716" s="441"/>
      <c r="AE716" s="441"/>
    </row>
    <row r="717">
      <c r="A717" s="928"/>
      <c r="B717" s="441"/>
      <c r="C717" s="441"/>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441"/>
      <c r="AE717" s="441"/>
    </row>
    <row r="718">
      <c r="A718" s="928"/>
      <c r="B718" s="441"/>
      <c r="C718" s="441"/>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441"/>
      <c r="AE718" s="441"/>
    </row>
    <row r="719">
      <c r="A719" s="928"/>
      <c r="B719" s="441"/>
      <c r="C719" s="441"/>
      <c r="D719" s="441"/>
      <c r="E719" s="441"/>
      <c r="F719" s="441"/>
      <c r="G719" s="441"/>
      <c r="H719" s="441"/>
      <c r="I719" s="441"/>
      <c r="J719" s="441"/>
      <c r="K719" s="441"/>
      <c r="L719" s="441"/>
      <c r="M719" s="441"/>
      <c r="N719" s="441"/>
      <c r="O719" s="441"/>
      <c r="P719" s="441"/>
      <c r="Q719" s="441"/>
      <c r="R719" s="441"/>
      <c r="S719" s="441"/>
      <c r="T719" s="441"/>
      <c r="U719" s="441"/>
      <c r="V719" s="441"/>
      <c r="W719" s="441"/>
      <c r="X719" s="441"/>
      <c r="Y719" s="441"/>
      <c r="Z719" s="441"/>
      <c r="AA719" s="441"/>
      <c r="AB719" s="441"/>
      <c r="AC719" s="441"/>
      <c r="AD719" s="441"/>
      <c r="AE719" s="441"/>
    </row>
    <row r="720">
      <c r="A720" s="928"/>
      <c r="B720" s="441"/>
      <c r="C720" s="441"/>
      <c r="D720" s="441"/>
      <c r="E720" s="441"/>
      <c r="F720" s="441"/>
      <c r="G720" s="441"/>
      <c r="H720" s="441"/>
      <c r="I720" s="441"/>
      <c r="J720" s="441"/>
      <c r="K720" s="441"/>
      <c r="L720" s="441"/>
      <c r="M720" s="441"/>
      <c r="N720" s="441"/>
      <c r="O720" s="441"/>
      <c r="P720" s="441"/>
      <c r="Q720" s="441"/>
      <c r="R720" s="441"/>
      <c r="S720" s="441"/>
      <c r="T720" s="441"/>
      <c r="U720" s="441"/>
      <c r="V720" s="441"/>
      <c r="W720" s="441"/>
      <c r="X720" s="441"/>
      <c r="Y720" s="441"/>
      <c r="Z720" s="441"/>
      <c r="AA720" s="441"/>
      <c r="AB720" s="441"/>
      <c r="AC720" s="441"/>
      <c r="AD720" s="441"/>
      <c r="AE720" s="441"/>
    </row>
    <row r="721">
      <c r="A721" s="928"/>
      <c r="B721" s="441"/>
      <c r="C721" s="441"/>
      <c r="D721" s="441"/>
      <c r="E721" s="441"/>
      <c r="F721" s="441"/>
      <c r="G721" s="441"/>
      <c r="H721" s="441"/>
      <c r="I721" s="441"/>
      <c r="J721" s="441"/>
      <c r="K721" s="441"/>
      <c r="L721" s="441"/>
      <c r="M721" s="441"/>
      <c r="N721" s="441"/>
      <c r="O721" s="441"/>
      <c r="P721" s="441"/>
      <c r="Q721" s="441"/>
      <c r="R721" s="441"/>
      <c r="S721" s="441"/>
      <c r="T721" s="441"/>
      <c r="U721" s="441"/>
      <c r="V721" s="441"/>
      <c r="W721" s="441"/>
      <c r="X721" s="441"/>
      <c r="Y721" s="441"/>
      <c r="Z721" s="441"/>
      <c r="AA721" s="441"/>
      <c r="AB721" s="441"/>
      <c r="AC721" s="441"/>
      <c r="AD721" s="441"/>
      <c r="AE721" s="441"/>
    </row>
    <row r="722">
      <c r="A722" s="928"/>
      <c r="B722" s="441"/>
      <c r="C722" s="441"/>
      <c r="D722" s="441"/>
      <c r="E722" s="441"/>
      <c r="F722" s="441"/>
      <c r="G722" s="441"/>
      <c r="H722" s="441"/>
      <c r="I722" s="441"/>
      <c r="J722" s="441"/>
      <c r="K722" s="441"/>
      <c r="L722" s="441"/>
      <c r="M722" s="441"/>
      <c r="N722" s="441"/>
      <c r="O722" s="441"/>
      <c r="P722" s="441"/>
      <c r="Q722" s="441"/>
      <c r="R722" s="441"/>
      <c r="S722" s="441"/>
      <c r="T722" s="441"/>
      <c r="U722" s="441"/>
      <c r="V722" s="441"/>
      <c r="W722" s="441"/>
      <c r="X722" s="441"/>
      <c r="Y722" s="441"/>
      <c r="Z722" s="441"/>
      <c r="AA722" s="441"/>
      <c r="AB722" s="441"/>
      <c r="AC722" s="441"/>
      <c r="AD722" s="441"/>
      <c r="AE722" s="441"/>
    </row>
    <row r="723">
      <c r="A723" s="928"/>
      <c r="B723" s="441"/>
      <c r="C723" s="441"/>
      <c r="D723" s="441"/>
      <c r="E723" s="441"/>
      <c r="F723" s="441"/>
      <c r="G723" s="441"/>
      <c r="H723" s="441"/>
      <c r="I723" s="441"/>
      <c r="J723" s="441"/>
      <c r="K723" s="441"/>
      <c r="L723" s="441"/>
      <c r="M723" s="441"/>
      <c r="N723" s="441"/>
      <c r="O723" s="441"/>
      <c r="P723" s="441"/>
      <c r="Q723" s="441"/>
      <c r="R723" s="441"/>
      <c r="S723" s="441"/>
      <c r="T723" s="441"/>
      <c r="U723" s="441"/>
      <c r="V723" s="441"/>
      <c r="W723" s="441"/>
      <c r="X723" s="441"/>
      <c r="Y723" s="441"/>
      <c r="Z723" s="441"/>
      <c r="AA723" s="441"/>
      <c r="AB723" s="441"/>
      <c r="AC723" s="441"/>
      <c r="AD723" s="441"/>
      <c r="AE723" s="441"/>
    </row>
    <row r="724">
      <c r="A724" s="928"/>
      <c r="B724" s="441"/>
      <c r="C724" s="441"/>
      <c r="D724" s="441"/>
      <c r="E724" s="441"/>
      <c r="F724" s="441"/>
      <c r="G724" s="441"/>
      <c r="H724" s="441"/>
      <c r="I724" s="441"/>
      <c r="J724" s="441"/>
      <c r="K724" s="441"/>
      <c r="L724" s="441"/>
      <c r="M724" s="441"/>
      <c r="N724" s="441"/>
      <c r="O724" s="441"/>
      <c r="P724" s="441"/>
      <c r="Q724" s="441"/>
      <c r="R724" s="441"/>
      <c r="S724" s="441"/>
      <c r="T724" s="441"/>
      <c r="U724" s="441"/>
      <c r="V724" s="441"/>
      <c r="W724" s="441"/>
      <c r="X724" s="441"/>
      <c r="Y724" s="441"/>
      <c r="Z724" s="441"/>
      <c r="AA724" s="441"/>
      <c r="AB724" s="441"/>
      <c r="AC724" s="441"/>
      <c r="AD724" s="441"/>
      <c r="AE724" s="441"/>
    </row>
    <row r="725">
      <c r="A725" s="928"/>
      <c r="B725" s="441"/>
      <c r="C725" s="441"/>
      <c r="D725" s="441"/>
      <c r="E725" s="441"/>
      <c r="F725" s="441"/>
      <c r="G725" s="441"/>
      <c r="H725" s="441"/>
      <c r="I725" s="441"/>
      <c r="J725" s="441"/>
      <c r="K725" s="441"/>
      <c r="L725" s="441"/>
      <c r="M725" s="441"/>
      <c r="N725" s="441"/>
      <c r="O725" s="441"/>
      <c r="P725" s="441"/>
      <c r="Q725" s="441"/>
      <c r="R725" s="441"/>
      <c r="S725" s="441"/>
      <c r="T725" s="441"/>
      <c r="U725" s="441"/>
      <c r="V725" s="441"/>
      <c r="W725" s="441"/>
      <c r="X725" s="441"/>
      <c r="Y725" s="441"/>
      <c r="Z725" s="441"/>
      <c r="AA725" s="441"/>
      <c r="AB725" s="441"/>
      <c r="AC725" s="441"/>
      <c r="AD725" s="441"/>
      <c r="AE725" s="441"/>
    </row>
    <row r="726">
      <c r="A726" s="928"/>
      <c r="B726" s="441"/>
      <c r="C726" s="441"/>
      <c r="D726" s="441"/>
      <c r="E726" s="441"/>
      <c r="F726" s="441"/>
      <c r="G726" s="441"/>
      <c r="H726" s="441"/>
      <c r="I726" s="441"/>
      <c r="J726" s="441"/>
      <c r="K726" s="441"/>
      <c r="L726" s="441"/>
      <c r="M726" s="441"/>
      <c r="N726" s="441"/>
      <c r="O726" s="441"/>
      <c r="P726" s="441"/>
      <c r="Q726" s="441"/>
      <c r="R726" s="441"/>
      <c r="S726" s="441"/>
      <c r="T726" s="441"/>
      <c r="U726" s="441"/>
      <c r="V726" s="441"/>
      <c r="W726" s="441"/>
      <c r="X726" s="441"/>
      <c r="Y726" s="441"/>
      <c r="Z726" s="441"/>
      <c r="AA726" s="441"/>
      <c r="AB726" s="441"/>
      <c r="AC726" s="441"/>
      <c r="AD726" s="441"/>
      <c r="AE726" s="441"/>
    </row>
    <row r="727">
      <c r="A727" s="928"/>
      <c r="B727" s="441"/>
      <c r="C727" s="441"/>
      <c r="D727" s="441"/>
      <c r="E727" s="441"/>
      <c r="F727" s="441"/>
      <c r="G727" s="441"/>
      <c r="H727" s="441"/>
      <c r="I727" s="441"/>
      <c r="J727" s="441"/>
      <c r="K727" s="441"/>
      <c r="L727" s="441"/>
      <c r="M727" s="441"/>
      <c r="N727" s="441"/>
      <c r="O727" s="441"/>
      <c r="P727" s="441"/>
      <c r="Q727" s="441"/>
      <c r="R727" s="441"/>
      <c r="S727" s="441"/>
      <c r="T727" s="441"/>
      <c r="U727" s="441"/>
      <c r="V727" s="441"/>
      <c r="W727" s="441"/>
      <c r="X727" s="441"/>
      <c r="Y727" s="441"/>
      <c r="Z727" s="441"/>
      <c r="AA727" s="441"/>
      <c r="AB727" s="441"/>
      <c r="AC727" s="441"/>
      <c r="AD727" s="441"/>
      <c r="AE727" s="441"/>
    </row>
    <row r="728">
      <c r="A728" s="928"/>
      <c r="B728" s="441"/>
      <c r="C728" s="441"/>
      <c r="D728" s="441"/>
      <c r="E728" s="441"/>
      <c r="F728" s="441"/>
      <c r="G728" s="441"/>
      <c r="H728" s="441"/>
      <c r="I728" s="441"/>
      <c r="J728" s="441"/>
      <c r="K728" s="441"/>
      <c r="L728" s="441"/>
      <c r="M728" s="441"/>
      <c r="N728" s="441"/>
      <c r="O728" s="441"/>
      <c r="P728" s="441"/>
      <c r="Q728" s="441"/>
      <c r="R728" s="441"/>
      <c r="S728" s="441"/>
      <c r="T728" s="441"/>
      <c r="U728" s="441"/>
      <c r="V728" s="441"/>
      <c r="W728" s="441"/>
      <c r="X728" s="441"/>
      <c r="Y728" s="441"/>
      <c r="Z728" s="441"/>
      <c r="AA728" s="441"/>
      <c r="AB728" s="441"/>
      <c r="AC728" s="441"/>
      <c r="AD728" s="441"/>
      <c r="AE728" s="441"/>
    </row>
    <row r="729">
      <c r="A729" s="928"/>
      <c r="B729" s="441"/>
      <c r="C729" s="441"/>
      <c r="D729" s="441"/>
      <c r="E729" s="441"/>
      <c r="F729" s="441"/>
      <c r="G729" s="441"/>
      <c r="H729" s="441"/>
      <c r="I729" s="441"/>
      <c r="J729" s="441"/>
      <c r="K729" s="441"/>
      <c r="L729" s="441"/>
      <c r="M729" s="441"/>
      <c r="N729" s="441"/>
      <c r="O729" s="441"/>
      <c r="P729" s="441"/>
      <c r="Q729" s="441"/>
      <c r="R729" s="441"/>
      <c r="S729" s="441"/>
      <c r="T729" s="441"/>
      <c r="U729" s="441"/>
      <c r="V729" s="441"/>
      <c r="W729" s="441"/>
      <c r="X729" s="441"/>
      <c r="Y729" s="441"/>
      <c r="Z729" s="441"/>
      <c r="AA729" s="441"/>
      <c r="AB729" s="441"/>
      <c r="AC729" s="441"/>
      <c r="AD729" s="441"/>
      <c r="AE729" s="441"/>
    </row>
    <row r="730">
      <c r="A730" s="928"/>
      <c r="B730" s="441"/>
      <c r="C730" s="441"/>
      <c r="D730" s="441"/>
      <c r="E730" s="441"/>
      <c r="F730" s="441"/>
      <c r="G730" s="441"/>
      <c r="H730" s="441"/>
      <c r="I730" s="441"/>
      <c r="J730" s="441"/>
      <c r="K730" s="441"/>
      <c r="L730" s="441"/>
      <c r="M730" s="441"/>
      <c r="N730" s="441"/>
      <c r="O730" s="441"/>
      <c r="P730" s="441"/>
      <c r="Q730" s="441"/>
      <c r="R730" s="441"/>
      <c r="S730" s="441"/>
      <c r="T730" s="441"/>
      <c r="U730" s="441"/>
      <c r="V730" s="441"/>
      <c r="W730" s="441"/>
      <c r="X730" s="441"/>
      <c r="Y730" s="441"/>
      <c r="Z730" s="441"/>
      <c r="AA730" s="441"/>
      <c r="AB730" s="441"/>
      <c r="AC730" s="441"/>
      <c r="AD730" s="441"/>
      <c r="AE730" s="441"/>
    </row>
    <row r="731">
      <c r="A731" s="928"/>
      <c r="B731" s="441"/>
      <c r="C731" s="441"/>
      <c r="D731" s="441"/>
      <c r="E731" s="441"/>
      <c r="F731" s="441"/>
      <c r="G731" s="441"/>
      <c r="H731" s="441"/>
      <c r="I731" s="441"/>
      <c r="J731" s="441"/>
      <c r="K731" s="441"/>
      <c r="L731" s="441"/>
      <c r="M731" s="441"/>
      <c r="N731" s="441"/>
      <c r="O731" s="441"/>
      <c r="P731" s="441"/>
      <c r="Q731" s="441"/>
      <c r="R731" s="441"/>
      <c r="S731" s="441"/>
      <c r="T731" s="441"/>
      <c r="U731" s="441"/>
      <c r="V731" s="441"/>
      <c r="W731" s="441"/>
      <c r="X731" s="441"/>
      <c r="Y731" s="441"/>
      <c r="Z731" s="441"/>
      <c r="AA731" s="441"/>
      <c r="AB731" s="441"/>
      <c r="AC731" s="441"/>
      <c r="AD731" s="441"/>
      <c r="AE731" s="441"/>
    </row>
    <row r="732">
      <c r="A732" s="928"/>
      <c r="B732" s="441"/>
      <c r="C732" s="441"/>
      <c r="D732" s="441"/>
      <c r="E732" s="441"/>
      <c r="F732" s="441"/>
      <c r="G732" s="441"/>
      <c r="H732" s="441"/>
      <c r="I732" s="441"/>
      <c r="J732" s="441"/>
      <c r="K732" s="441"/>
      <c r="L732" s="441"/>
      <c r="M732" s="441"/>
      <c r="N732" s="441"/>
      <c r="O732" s="441"/>
      <c r="P732" s="441"/>
      <c r="Q732" s="441"/>
      <c r="R732" s="441"/>
      <c r="S732" s="441"/>
      <c r="T732" s="441"/>
      <c r="U732" s="441"/>
      <c r="V732" s="441"/>
      <c r="W732" s="441"/>
      <c r="X732" s="441"/>
      <c r="Y732" s="441"/>
      <c r="Z732" s="441"/>
      <c r="AA732" s="441"/>
      <c r="AB732" s="441"/>
      <c r="AC732" s="441"/>
      <c r="AD732" s="441"/>
      <c r="AE732" s="441"/>
    </row>
    <row r="733">
      <c r="A733" s="928"/>
      <c r="B733" s="441"/>
      <c r="C733" s="441"/>
      <c r="D733" s="441"/>
      <c r="E733" s="441"/>
      <c r="F733" s="441"/>
      <c r="G733" s="441"/>
      <c r="H733" s="441"/>
      <c r="I733" s="441"/>
      <c r="J733" s="441"/>
      <c r="K733" s="441"/>
      <c r="L733" s="441"/>
      <c r="M733" s="441"/>
      <c r="N733" s="441"/>
      <c r="O733" s="441"/>
      <c r="P733" s="441"/>
      <c r="Q733" s="441"/>
      <c r="R733" s="441"/>
      <c r="S733" s="441"/>
      <c r="T733" s="441"/>
      <c r="U733" s="441"/>
      <c r="V733" s="441"/>
      <c r="W733" s="441"/>
      <c r="X733" s="441"/>
      <c r="Y733" s="441"/>
      <c r="Z733" s="441"/>
      <c r="AA733" s="441"/>
      <c r="AB733" s="441"/>
      <c r="AC733" s="441"/>
      <c r="AD733" s="441"/>
      <c r="AE733" s="441"/>
    </row>
    <row r="734">
      <c r="A734" s="928"/>
      <c r="B734" s="441"/>
      <c r="C734" s="441"/>
      <c r="D734" s="441"/>
      <c r="E734" s="441"/>
      <c r="F734" s="441"/>
      <c r="G734" s="441"/>
      <c r="H734" s="441"/>
      <c r="I734" s="441"/>
      <c r="J734" s="441"/>
      <c r="K734" s="441"/>
      <c r="L734" s="441"/>
      <c r="M734" s="441"/>
      <c r="N734" s="441"/>
      <c r="O734" s="441"/>
      <c r="P734" s="441"/>
      <c r="Q734" s="441"/>
      <c r="R734" s="441"/>
      <c r="S734" s="441"/>
      <c r="T734" s="441"/>
      <c r="U734" s="441"/>
      <c r="V734" s="441"/>
      <c r="W734" s="441"/>
      <c r="X734" s="441"/>
      <c r="Y734" s="441"/>
      <c r="Z734" s="441"/>
      <c r="AA734" s="441"/>
      <c r="AB734" s="441"/>
      <c r="AC734" s="441"/>
      <c r="AD734" s="441"/>
      <c r="AE734" s="441"/>
    </row>
    <row r="735">
      <c r="A735" s="928"/>
      <c r="B735" s="441"/>
      <c r="C735" s="441"/>
      <c r="D735" s="441"/>
      <c r="E735" s="441"/>
      <c r="F735" s="441"/>
      <c r="G735" s="441"/>
      <c r="H735" s="441"/>
      <c r="I735" s="441"/>
      <c r="J735" s="441"/>
      <c r="K735" s="441"/>
      <c r="L735" s="441"/>
      <c r="M735" s="441"/>
      <c r="N735" s="441"/>
      <c r="O735" s="441"/>
      <c r="P735" s="441"/>
      <c r="Q735" s="441"/>
      <c r="R735" s="441"/>
      <c r="S735" s="441"/>
      <c r="T735" s="441"/>
      <c r="U735" s="441"/>
      <c r="V735" s="441"/>
      <c r="W735" s="441"/>
      <c r="X735" s="441"/>
      <c r="Y735" s="441"/>
      <c r="Z735" s="441"/>
      <c r="AA735" s="441"/>
      <c r="AB735" s="441"/>
      <c r="AC735" s="441"/>
      <c r="AD735" s="441"/>
      <c r="AE735" s="441"/>
    </row>
    <row r="736">
      <c r="A736" s="928"/>
      <c r="B736" s="441"/>
      <c r="C736" s="441"/>
      <c r="D736" s="441"/>
      <c r="E736" s="441"/>
      <c r="F736" s="441"/>
      <c r="G736" s="441"/>
      <c r="H736" s="441"/>
      <c r="I736" s="441"/>
      <c r="J736" s="441"/>
      <c r="K736" s="441"/>
      <c r="L736" s="441"/>
      <c r="M736" s="441"/>
      <c r="N736" s="441"/>
      <c r="O736" s="441"/>
      <c r="P736" s="441"/>
      <c r="Q736" s="441"/>
      <c r="R736" s="441"/>
      <c r="S736" s="441"/>
      <c r="T736" s="441"/>
      <c r="U736" s="441"/>
      <c r="V736" s="441"/>
      <c r="W736" s="441"/>
      <c r="X736" s="441"/>
      <c r="Y736" s="441"/>
      <c r="Z736" s="441"/>
      <c r="AA736" s="441"/>
      <c r="AB736" s="441"/>
      <c r="AC736" s="441"/>
      <c r="AD736" s="441"/>
      <c r="AE736" s="441"/>
    </row>
    <row r="737">
      <c r="A737" s="928"/>
      <c r="B737" s="441"/>
      <c r="C737" s="441"/>
      <c r="D737" s="441"/>
      <c r="E737" s="441"/>
      <c r="F737" s="441"/>
      <c r="G737" s="441"/>
      <c r="H737" s="441"/>
      <c r="I737" s="441"/>
      <c r="J737" s="441"/>
      <c r="K737" s="441"/>
      <c r="L737" s="441"/>
      <c r="M737" s="441"/>
      <c r="N737" s="441"/>
      <c r="O737" s="441"/>
      <c r="P737" s="441"/>
      <c r="Q737" s="441"/>
      <c r="R737" s="441"/>
      <c r="S737" s="441"/>
      <c r="T737" s="441"/>
      <c r="U737" s="441"/>
      <c r="V737" s="441"/>
      <c r="W737" s="441"/>
      <c r="X737" s="441"/>
      <c r="Y737" s="441"/>
      <c r="Z737" s="441"/>
      <c r="AA737" s="441"/>
      <c r="AB737" s="441"/>
      <c r="AC737" s="441"/>
      <c r="AD737" s="441"/>
      <c r="AE737" s="441"/>
    </row>
    <row r="738">
      <c r="A738" s="928"/>
      <c r="B738" s="441"/>
      <c r="C738" s="441"/>
      <c r="D738" s="441"/>
      <c r="E738" s="441"/>
      <c r="F738" s="441"/>
      <c r="G738" s="441"/>
      <c r="H738" s="441"/>
      <c r="I738" s="441"/>
      <c r="J738" s="441"/>
      <c r="K738" s="441"/>
      <c r="L738" s="441"/>
      <c r="M738" s="441"/>
      <c r="N738" s="441"/>
      <c r="O738" s="441"/>
      <c r="P738" s="441"/>
      <c r="Q738" s="441"/>
      <c r="R738" s="441"/>
      <c r="S738" s="441"/>
      <c r="T738" s="441"/>
      <c r="U738" s="441"/>
      <c r="V738" s="441"/>
      <c r="W738" s="441"/>
      <c r="X738" s="441"/>
      <c r="Y738" s="441"/>
      <c r="Z738" s="441"/>
      <c r="AA738" s="441"/>
      <c r="AB738" s="441"/>
      <c r="AC738" s="441"/>
      <c r="AD738" s="441"/>
      <c r="AE738" s="441"/>
    </row>
    <row r="739">
      <c r="A739" s="928"/>
      <c r="B739" s="441"/>
      <c r="C739" s="441"/>
      <c r="D739" s="441"/>
      <c r="E739" s="441"/>
      <c r="F739" s="441"/>
      <c r="G739" s="441"/>
      <c r="H739" s="441"/>
      <c r="I739" s="441"/>
      <c r="J739" s="441"/>
      <c r="K739" s="441"/>
      <c r="L739" s="441"/>
      <c r="M739" s="441"/>
      <c r="N739" s="441"/>
      <c r="O739" s="441"/>
      <c r="P739" s="441"/>
      <c r="Q739" s="441"/>
      <c r="R739" s="441"/>
      <c r="S739" s="441"/>
      <c r="T739" s="441"/>
      <c r="U739" s="441"/>
      <c r="V739" s="441"/>
      <c r="W739" s="441"/>
      <c r="X739" s="441"/>
      <c r="Y739" s="441"/>
      <c r="Z739" s="441"/>
      <c r="AA739" s="441"/>
      <c r="AB739" s="441"/>
      <c r="AC739" s="441"/>
      <c r="AD739" s="441"/>
      <c r="AE739" s="441"/>
    </row>
    <row r="740">
      <c r="A740" s="928"/>
      <c r="B740" s="441"/>
      <c r="C740" s="441"/>
      <c r="D740" s="441"/>
      <c r="E740" s="441"/>
      <c r="F740" s="441"/>
      <c r="G740" s="441"/>
      <c r="H740" s="441"/>
      <c r="I740" s="441"/>
      <c r="J740" s="441"/>
      <c r="K740" s="441"/>
      <c r="L740" s="441"/>
      <c r="M740" s="441"/>
      <c r="N740" s="441"/>
      <c r="O740" s="441"/>
      <c r="P740" s="441"/>
      <c r="Q740" s="441"/>
      <c r="R740" s="441"/>
      <c r="S740" s="441"/>
      <c r="T740" s="441"/>
      <c r="U740" s="441"/>
      <c r="V740" s="441"/>
      <c r="W740" s="441"/>
      <c r="X740" s="441"/>
      <c r="Y740" s="441"/>
      <c r="Z740" s="441"/>
      <c r="AA740" s="441"/>
      <c r="AB740" s="441"/>
      <c r="AC740" s="441"/>
      <c r="AD740" s="441"/>
      <c r="AE740" s="441"/>
    </row>
    <row r="741">
      <c r="A741" s="928"/>
      <c r="B741" s="441"/>
      <c r="C741" s="441"/>
      <c r="D741" s="441"/>
      <c r="E741" s="441"/>
      <c r="F741" s="441"/>
      <c r="G741" s="441"/>
      <c r="H741" s="441"/>
      <c r="I741" s="441"/>
      <c r="J741" s="441"/>
      <c r="K741" s="441"/>
      <c r="L741" s="441"/>
      <c r="M741" s="441"/>
      <c r="N741" s="441"/>
      <c r="O741" s="441"/>
      <c r="P741" s="441"/>
      <c r="Q741" s="441"/>
      <c r="R741" s="441"/>
      <c r="S741" s="441"/>
      <c r="T741" s="441"/>
      <c r="U741" s="441"/>
      <c r="V741" s="441"/>
      <c r="W741" s="441"/>
      <c r="X741" s="441"/>
      <c r="Y741" s="441"/>
      <c r="Z741" s="441"/>
      <c r="AA741" s="441"/>
      <c r="AB741" s="441"/>
      <c r="AC741" s="441"/>
      <c r="AD741" s="441"/>
      <c r="AE741" s="441"/>
    </row>
    <row r="742">
      <c r="A742" s="928"/>
      <c r="B742" s="441"/>
      <c r="C742" s="441"/>
      <c r="D742" s="441"/>
      <c r="E742" s="441"/>
      <c r="F742" s="441"/>
      <c r="G742" s="441"/>
      <c r="H742" s="441"/>
      <c r="I742" s="441"/>
      <c r="J742" s="441"/>
      <c r="K742" s="441"/>
      <c r="L742" s="441"/>
      <c r="M742" s="441"/>
      <c r="N742" s="441"/>
      <c r="O742" s="441"/>
      <c r="P742" s="441"/>
      <c r="Q742" s="441"/>
      <c r="R742" s="441"/>
      <c r="S742" s="441"/>
      <c r="T742" s="441"/>
      <c r="U742" s="441"/>
      <c r="V742" s="441"/>
      <c r="W742" s="441"/>
      <c r="X742" s="441"/>
      <c r="Y742" s="441"/>
      <c r="Z742" s="441"/>
      <c r="AA742" s="441"/>
      <c r="AB742" s="441"/>
      <c r="AC742" s="441"/>
      <c r="AD742" s="441"/>
      <c r="AE742" s="441"/>
    </row>
    <row r="743">
      <c r="A743" s="928"/>
      <c r="B743" s="441"/>
      <c r="C743" s="441"/>
      <c r="D743" s="441"/>
      <c r="E743" s="441"/>
      <c r="F743" s="441"/>
      <c r="G743" s="441"/>
      <c r="H743" s="441"/>
      <c r="I743" s="441"/>
      <c r="J743" s="441"/>
      <c r="K743" s="441"/>
      <c r="L743" s="441"/>
      <c r="M743" s="441"/>
      <c r="N743" s="441"/>
      <c r="O743" s="441"/>
      <c r="P743" s="441"/>
      <c r="Q743" s="441"/>
      <c r="R743" s="441"/>
      <c r="S743" s="441"/>
      <c r="T743" s="441"/>
      <c r="U743" s="441"/>
      <c r="V743" s="441"/>
      <c r="W743" s="441"/>
      <c r="X743" s="441"/>
      <c r="Y743" s="441"/>
      <c r="Z743" s="441"/>
      <c r="AA743" s="441"/>
      <c r="AB743" s="441"/>
      <c r="AC743" s="441"/>
      <c r="AD743" s="441"/>
      <c r="AE743" s="441"/>
    </row>
    <row r="744">
      <c r="A744" s="928"/>
      <c r="B744" s="441"/>
      <c r="C744" s="441"/>
      <c r="D744" s="441"/>
      <c r="E744" s="441"/>
      <c r="F744" s="441"/>
      <c r="G744" s="441"/>
      <c r="H744" s="441"/>
      <c r="I744" s="441"/>
      <c r="J744" s="441"/>
      <c r="K744" s="441"/>
      <c r="L744" s="441"/>
      <c r="M744" s="441"/>
      <c r="N744" s="441"/>
      <c r="O744" s="441"/>
      <c r="P744" s="441"/>
      <c r="Q744" s="441"/>
      <c r="R744" s="441"/>
      <c r="S744" s="441"/>
      <c r="T744" s="441"/>
      <c r="U744" s="441"/>
      <c r="V744" s="441"/>
      <c r="W744" s="441"/>
      <c r="X744" s="441"/>
      <c r="Y744" s="441"/>
      <c r="Z744" s="441"/>
      <c r="AA744" s="441"/>
      <c r="AB744" s="441"/>
      <c r="AC744" s="441"/>
      <c r="AD744" s="441"/>
      <c r="AE744" s="441"/>
    </row>
    <row r="745">
      <c r="A745" s="928"/>
      <c r="B745" s="441"/>
      <c r="C745" s="441"/>
      <c r="D745" s="441"/>
      <c r="E745" s="441"/>
      <c r="F745" s="441"/>
      <c r="G745" s="441"/>
      <c r="H745" s="441"/>
      <c r="I745" s="441"/>
      <c r="J745" s="441"/>
      <c r="K745" s="441"/>
      <c r="L745" s="441"/>
      <c r="M745" s="441"/>
      <c r="N745" s="441"/>
      <c r="O745" s="441"/>
      <c r="P745" s="441"/>
      <c r="Q745" s="441"/>
      <c r="R745" s="441"/>
      <c r="S745" s="441"/>
      <c r="T745" s="441"/>
      <c r="U745" s="441"/>
      <c r="V745" s="441"/>
      <c r="W745" s="441"/>
      <c r="X745" s="441"/>
      <c r="Y745" s="441"/>
      <c r="Z745" s="441"/>
      <c r="AA745" s="441"/>
      <c r="AB745" s="441"/>
      <c r="AC745" s="441"/>
      <c r="AD745" s="441"/>
      <c r="AE745" s="441"/>
    </row>
    <row r="746">
      <c r="A746" s="928"/>
      <c r="B746" s="441"/>
      <c r="C746" s="441"/>
      <c r="D746" s="441"/>
      <c r="E746" s="441"/>
      <c r="F746" s="441"/>
      <c r="G746" s="441"/>
      <c r="H746" s="441"/>
      <c r="I746" s="441"/>
      <c r="J746" s="441"/>
      <c r="K746" s="441"/>
      <c r="L746" s="441"/>
      <c r="M746" s="441"/>
      <c r="N746" s="441"/>
      <c r="O746" s="441"/>
      <c r="P746" s="441"/>
      <c r="Q746" s="441"/>
      <c r="R746" s="441"/>
      <c r="S746" s="441"/>
      <c r="T746" s="441"/>
      <c r="U746" s="441"/>
      <c r="V746" s="441"/>
      <c r="W746" s="441"/>
      <c r="X746" s="441"/>
      <c r="Y746" s="441"/>
      <c r="Z746" s="441"/>
      <c r="AA746" s="441"/>
      <c r="AB746" s="441"/>
      <c r="AC746" s="441"/>
      <c r="AD746" s="441"/>
      <c r="AE746" s="441"/>
    </row>
    <row r="747">
      <c r="A747" s="928"/>
      <c r="B747" s="441"/>
      <c r="C747" s="441"/>
      <c r="D747" s="441"/>
      <c r="E747" s="441"/>
      <c r="F747" s="441"/>
      <c r="G747" s="441"/>
      <c r="H747" s="441"/>
      <c r="I747" s="441"/>
      <c r="J747" s="441"/>
      <c r="K747" s="441"/>
      <c r="L747" s="441"/>
      <c r="M747" s="441"/>
      <c r="N747" s="441"/>
      <c r="O747" s="441"/>
      <c r="P747" s="441"/>
      <c r="Q747" s="441"/>
      <c r="R747" s="441"/>
      <c r="S747" s="441"/>
      <c r="T747" s="441"/>
      <c r="U747" s="441"/>
      <c r="V747" s="441"/>
      <c r="W747" s="441"/>
      <c r="X747" s="441"/>
      <c r="Y747" s="441"/>
      <c r="Z747" s="441"/>
      <c r="AA747" s="441"/>
      <c r="AB747" s="441"/>
      <c r="AC747" s="441"/>
      <c r="AD747" s="441"/>
      <c r="AE747" s="441"/>
    </row>
    <row r="748">
      <c r="A748" s="928"/>
      <c r="B748" s="441"/>
      <c r="C748" s="441"/>
      <c r="D748" s="441"/>
      <c r="E748" s="441"/>
      <c r="F748" s="441"/>
      <c r="G748" s="441"/>
      <c r="H748" s="441"/>
      <c r="I748" s="441"/>
      <c r="J748" s="441"/>
      <c r="K748" s="441"/>
      <c r="L748" s="441"/>
      <c r="M748" s="441"/>
      <c r="N748" s="441"/>
      <c r="O748" s="441"/>
      <c r="P748" s="441"/>
      <c r="Q748" s="441"/>
      <c r="R748" s="441"/>
      <c r="S748" s="441"/>
      <c r="T748" s="441"/>
      <c r="U748" s="441"/>
      <c r="V748" s="441"/>
      <c r="W748" s="441"/>
      <c r="X748" s="441"/>
      <c r="Y748" s="441"/>
      <c r="Z748" s="441"/>
      <c r="AA748" s="441"/>
      <c r="AB748" s="441"/>
      <c r="AC748" s="441"/>
      <c r="AD748" s="441"/>
      <c r="AE748" s="441"/>
    </row>
    <row r="749">
      <c r="A749" s="928"/>
      <c r="B749" s="441"/>
      <c r="C749" s="441"/>
      <c r="D749" s="441"/>
      <c r="E749" s="441"/>
      <c r="F749" s="441"/>
      <c r="G749" s="441"/>
      <c r="H749" s="441"/>
      <c r="I749" s="441"/>
      <c r="J749" s="441"/>
      <c r="K749" s="441"/>
      <c r="L749" s="441"/>
      <c r="M749" s="441"/>
      <c r="N749" s="441"/>
      <c r="O749" s="441"/>
      <c r="P749" s="441"/>
      <c r="Q749" s="441"/>
      <c r="R749" s="441"/>
      <c r="S749" s="441"/>
      <c r="T749" s="441"/>
      <c r="U749" s="441"/>
      <c r="V749" s="441"/>
      <c r="W749" s="441"/>
      <c r="X749" s="441"/>
      <c r="Y749" s="441"/>
      <c r="Z749" s="441"/>
      <c r="AA749" s="441"/>
      <c r="AB749" s="441"/>
      <c r="AC749" s="441"/>
      <c r="AD749" s="441"/>
      <c r="AE749" s="441"/>
    </row>
    <row r="750">
      <c r="A750" s="928"/>
      <c r="B750" s="441"/>
      <c r="C750" s="441"/>
      <c r="D750" s="441"/>
      <c r="E750" s="441"/>
      <c r="F750" s="441"/>
      <c r="G750" s="441"/>
      <c r="H750" s="441"/>
      <c r="I750" s="441"/>
      <c r="J750" s="441"/>
      <c r="K750" s="441"/>
      <c r="L750" s="441"/>
      <c r="M750" s="441"/>
      <c r="N750" s="441"/>
      <c r="O750" s="441"/>
      <c r="P750" s="441"/>
      <c r="Q750" s="441"/>
      <c r="R750" s="441"/>
      <c r="S750" s="441"/>
      <c r="T750" s="441"/>
      <c r="U750" s="441"/>
      <c r="V750" s="441"/>
      <c r="W750" s="441"/>
      <c r="X750" s="441"/>
      <c r="Y750" s="441"/>
      <c r="Z750" s="441"/>
      <c r="AA750" s="441"/>
      <c r="AB750" s="441"/>
      <c r="AC750" s="441"/>
      <c r="AD750" s="441"/>
      <c r="AE750" s="441"/>
    </row>
    <row r="751">
      <c r="A751" s="928"/>
      <c r="B751" s="441"/>
      <c r="C751" s="441"/>
      <c r="D751" s="441"/>
      <c r="E751" s="441"/>
      <c r="F751" s="441"/>
      <c r="G751" s="441"/>
      <c r="H751" s="441"/>
      <c r="I751" s="441"/>
      <c r="J751" s="441"/>
      <c r="K751" s="441"/>
      <c r="L751" s="441"/>
      <c r="M751" s="441"/>
      <c r="N751" s="441"/>
      <c r="O751" s="441"/>
      <c r="P751" s="441"/>
      <c r="Q751" s="441"/>
      <c r="R751" s="441"/>
      <c r="S751" s="441"/>
      <c r="T751" s="441"/>
      <c r="U751" s="441"/>
      <c r="V751" s="441"/>
      <c r="W751" s="441"/>
      <c r="X751" s="441"/>
      <c r="Y751" s="441"/>
      <c r="Z751" s="441"/>
      <c r="AA751" s="441"/>
      <c r="AB751" s="441"/>
      <c r="AC751" s="441"/>
      <c r="AD751" s="441"/>
      <c r="AE751" s="441"/>
    </row>
    <row r="752">
      <c r="A752" s="928"/>
      <c r="B752" s="441"/>
      <c r="C752" s="441"/>
      <c r="D752" s="441"/>
      <c r="E752" s="441"/>
      <c r="F752" s="441"/>
      <c r="G752" s="441"/>
      <c r="H752" s="441"/>
      <c r="I752" s="441"/>
      <c r="J752" s="441"/>
      <c r="K752" s="441"/>
      <c r="L752" s="441"/>
      <c r="M752" s="441"/>
      <c r="N752" s="441"/>
      <c r="O752" s="441"/>
      <c r="P752" s="441"/>
      <c r="Q752" s="441"/>
      <c r="R752" s="441"/>
      <c r="S752" s="441"/>
      <c r="T752" s="441"/>
      <c r="U752" s="441"/>
      <c r="V752" s="441"/>
      <c r="W752" s="441"/>
      <c r="X752" s="441"/>
      <c r="Y752" s="441"/>
      <c r="Z752" s="441"/>
      <c r="AA752" s="441"/>
      <c r="AB752" s="441"/>
      <c r="AC752" s="441"/>
      <c r="AD752" s="441"/>
      <c r="AE752" s="441"/>
    </row>
    <row r="753">
      <c r="A753" s="928"/>
      <c r="B753" s="441"/>
      <c r="C753" s="441"/>
      <c r="D753" s="441"/>
      <c r="E753" s="441"/>
      <c r="F753" s="441"/>
      <c r="G753" s="441"/>
      <c r="H753" s="441"/>
      <c r="I753" s="441"/>
      <c r="J753" s="441"/>
      <c r="K753" s="441"/>
      <c r="L753" s="441"/>
      <c r="M753" s="441"/>
      <c r="N753" s="441"/>
      <c r="O753" s="441"/>
      <c r="P753" s="441"/>
      <c r="Q753" s="441"/>
      <c r="R753" s="441"/>
      <c r="S753" s="441"/>
      <c r="T753" s="441"/>
      <c r="U753" s="441"/>
      <c r="V753" s="441"/>
      <c r="W753" s="441"/>
      <c r="X753" s="441"/>
      <c r="Y753" s="441"/>
      <c r="Z753" s="441"/>
      <c r="AA753" s="441"/>
      <c r="AB753" s="441"/>
      <c r="AC753" s="441"/>
      <c r="AD753" s="441"/>
      <c r="AE753" s="441"/>
    </row>
    <row r="754">
      <c r="A754" s="928"/>
      <c r="B754" s="441"/>
      <c r="C754" s="441"/>
      <c r="D754" s="441"/>
      <c r="E754" s="441"/>
      <c r="F754" s="441"/>
      <c r="G754" s="441"/>
      <c r="H754" s="441"/>
      <c r="I754" s="441"/>
      <c r="J754" s="441"/>
      <c r="K754" s="441"/>
      <c r="L754" s="441"/>
      <c r="M754" s="441"/>
      <c r="N754" s="441"/>
      <c r="O754" s="441"/>
      <c r="P754" s="441"/>
      <c r="Q754" s="441"/>
      <c r="R754" s="441"/>
      <c r="S754" s="441"/>
      <c r="T754" s="441"/>
      <c r="U754" s="441"/>
      <c r="V754" s="441"/>
      <c r="W754" s="441"/>
      <c r="X754" s="441"/>
      <c r="Y754" s="441"/>
      <c r="Z754" s="441"/>
      <c r="AA754" s="441"/>
      <c r="AB754" s="441"/>
      <c r="AC754" s="441"/>
      <c r="AD754" s="441"/>
      <c r="AE754" s="441"/>
    </row>
    <row r="755">
      <c r="A755" s="928"/>
      <c r="B755" s="441"/>
      <c r="C755" s="441"/>
      <c r="D755" s="441"/>
      <c r="E755" s="441"/>
      <c r="F755" s="441"/>
      <c r="G755" s="441"/>
      <c r="H755" s="441"/>
      <c r="I755" s="441"/>
      <c r="J755" s="441"/>
      <c r="K755" s="441"/>
      <c r="L755" s="441"/>
      <c r="M755" s="441"/>
      <c r="N755" s="441"/>
      <c r="O755" s="441"/>
      <c r="P755" s="441"/>
      <c r="Q755" s="441"/>
      <c r="R755" s="441"/>
      <c r="S755" s="441"/>
      <c r="T755" s="441"/>
      <c r="U755" s="441"/>
      <c r="V755" s="441"/>
      <c r="W755" s="441"/>
      <c r="X755" s="441"/>
      <c r="Y755" s="441"/>
      <c r="Z755" s="441"/>
      <c r="AA755" s="441"/>
      <c r="AB755" s="441"/>
      <c r="AC755" s="441"/>
      <c r="AD755" s="441"/>
      <c r="AE755" s="441"/>
    </row>
    <row r="756">
      <c r="A756" s="928"/>
      <c r="B756" s="441"/>
      <c r="C756" s="441"/>
      <c r="D756" s="441"/>
      <c r="E756" s="441"/>
      <c r="F756" s="441"/>
      <c r="G756" s="441"/>
      <c r="H756" s="441"/>
      <c r="I756" s="441"/>
      <c r="J756" s="441"/>
      <c r="K756" s="441"/>
      <c r="L756" s="441"/>
      <c r="M756" s="441"/>
      <c r="N756" s="441"/>
      <c r="O756" s="441"/>
      <c r="P756" s="441"/>
      <c r="Q756" s="441"/>
      <c r="R756" s="441"/>
      <c r="S756" s="441"/>
      <c r="T756" s="441"/>
      <c r="U756" s="441"/>
      <c r="V756" s="441"/>
      <c r="W756" s="441"/>
      <c r="X756" s="441"/>
      <c r="Y756" s="441"/>
      <c r="Z756" s="441"/>
      <c r="AA756" s="441"/>
      <c r="AB756" s="441"/>
      <c r="AC756" s="441"/>
      <c r="AD756" s="441"/>
      <c r="AE756" s="441"/>
    </row>
    <row r="757">
      <c r="A757" s="928"/>
      <c r="B757" s="441"/>
      <c r="C757" s="441"/>
      <c r="D757" s="441"/>
      <c r="E757" s="441"/>
      <c r="F757" s="441"/>
      <c r="G757" s="441"/>
      <c r="H757" s="441"/>
      <c r="I757" s="441"/>
      <c r="J757" s="441"/>
      <c r="K757" s="441"/>
      <c r="L757" s="441"/>
      <c r="M757" s="441"/>
      <c r="N757" s="441"/>
      <c r="O757" s="441"/>
      <c r="P757" s="441"/>
      <c r="Q757" s="441"/>
      <c r="R757" s="441"/>
      <c r="S757" s="441"/>
      <c r="T757" s="441"/>
      <c r="U757" s="441"/>
      <c r="V757" s="441"/>
      <c r="W757" s="441"/>
      <c r="X757" s="441"/>
      <c r="Y757" s="441"/>
      <c r="Z757" s="441"/>
      <c r="AA757" s="441"/>
      <c r="AB757" s="441"/>
      <c r="AC757" s="441"/>
      <c r="AD757" s="441"/>
      <c r="AE757" s="441"/>
    </row>
    <row r="758">
      <c r="A758" s="928"/>
      <c r="B758" s="441"/>
      <c r="C758" s="441"/>
      <c r="D758" s="441"/>
      <c r="E758" s="441"/>
      <c r="F758" s="441"/>
      <c r="G758" s="441"/>
      <c r="H758" s="441"/>
      <c r="I758" s="441"/>
      <c r="J758" s="441"/>
      <c r="K758" s="441"/>
      <c r="L758" s="441"/>
      <c r="M758" s="441"/>
      <c r="N758" s="441"/>
      <c r="O758" s="441"/>
      <c r="P758" s="441"/>
      <c r="Q758" s="441"/>
      <c r="R758" s="441"/>
      <c r="S758" s="441"/>
      <c r="T758" s="441"/>
      <c r="U758" s="441"/>
      <c r="V758" s="441"/>
      <c r="W758" s="441"/>
      <c r="X758" s="441"/>
      <c r="Y758" s="441"/>
      <c r="Z758" s="441"/>
      <c r="AA758" s="441"/>
      <c r="AB758" s="441"/>
      <c r="AC758" s="441"/>
      <c r="AD758" s="441"/>
      <c r="AE758" s="441"/>
    </row>
    <row r="759">
      <c r="A759" s="928"/>
      <c r="B759" s="441"/>
      <c r="C759" s="441"/>
      <c r="D759" s="441"/>
      <c r="E759" s="441"/>
      <c r="F759" s="441"/>
      <c r="G759" s="441"/>
      <c r="H759" s="441"/>
      <c r="I759" s="441"/>
      <c r="J759" s="441"/>
      <c r="K759" s="441"/>
      <c r="L759" s="441"/>
      <c r="M759" s="441"/>
      <c r="N759" s="441"/>
      <c r="O759" s="441"/>
      <c r="P759" s="441"/>
      <c r="Q759" s="441"/>
      <c r="R759" s="441"/>
      <c r="S759" s="441"/>
      <c r="T759" s="441"/>
      <c r="U759" s="441"/>
      <c r="V759" s="441"/>
      <c r="W759" s="441"/>
      <c r="X759" s="441"/>
      <c r="Y759" s="441"/>
      <c r="Z759" s="441"/>
      <c r="AA759" s="441"/>
      <c r="AB759" s="441"/>
      <c r="AC759" s="441"/>
      <c r="AD759" s="441"/>
      <c r="AE759" s="441"/>
    </row>
    <row r="760">
      <c r="A760" s="928"/>
      <c r="B760" s="441"/>
      <c r="C760" s="441"/>
      <c r="D760" s="441"/>
      <c r="E760" s="441"/>
      <c r="F760" s="441"/>
      <c r="G760" s="441"/>
      <c r="H760" s="441"/>
      <c r="I760" s="441"/>
      <c r="J760" s="441"/>
      <c r="K760" s="441"/>
      <c r="L760" s="441"/>
      <c r="M760" s="441"/>
      <c r="N760" s="441"/>
      <c r="O760" s="441"/>
      <c r="P760" s="441"/>
      <c r="Q760" s="441"/>
      <c r="R760" s="441"/>
      <c r="S760" s="441"/>
      <c r="T760" s="441"/>
      <c r="U760" s="441"/>
      <c r="V760" s="441"/>
      <c r="W760" s="441"/>
      <c r="X760" s="441"/>
      <c r="Y760" s="441"/>
      <c r="Z760" s="441"/>
      <c r="AA760" s="441"/>
      <c r="AB760" s="441"/>
      <c r="AC760" s="441"/>
      <c r="AD760" s="441"/>
      <c r="AE760" s="441"/>
    </row>
    <row r="761">
      <c r="A761" s="928"/>
      <c r="B761" s="441"/>
      <c r="C761" s="441"/>
      <c r="D761" s="441"/>
      <c r="E761" s="441"/>
      <c r="F761" s="441"/>
      <c r="G761" s="441"/>
      <c r="H761" s="441"/>
      <c r="I761" s="441"/>
      <c r="J761" s="441"/>
      <c r="K761" s="441"/>
      <c r="L761" s="441"/>
      <c r="M761" s="441"/>
      <c r="N761" s="441"/>
      <c r="O761" s="441"/>
      <c r="P761" s="441"/>
      <c r="Q761" s="441"/>
      <c r="R761" s="441"/>
      <c r="S761" s="441"/>
      <c r="T761" s="441"/>
      <c r="U761" s="441"/>
      <c r="V761" s="441"/>
      <c r="W761" s="441"/>
      <c r="X761" s="441"/>
      <c r="Y761" s="441"/>
      <c r="Z761" s="441"/>
      <c r="AA761" s="441"/>
      <c r="AB761" s="441"/>
      <c r="AC761" s="441"/>
      <c r="AD761" s="441"/>
      <c r="AE761" s="441"/>
    </row>
    <row r="762">
      <c r="A762" s="928"/>
      <c r="B762" s="441"/>
      <c r="C762" s="441"/>
      <c r="D762" s="441"/>
      <c r="E762" s="441"/>
      <c r="F762" s="441"/>
      <c r="G762" s="441"/>
      <c r="H762" s="441"/>
      <c r="I762" s="441"/>
      <c r="J762" s="441"/>
      <c r="K762" s="441"/>
      <c r="L762" s="441"/>
      <c r="M762" s="441"/>
      <c r="N762" s="441"/>
      <c r="O762" s="441"/>
      <c r="P762" s="441"/>
      <c r="Q762" s="441"/>
      <c r="R762" s="441"/>
      <c r="S762" s="441"/>
      <c r="T762" s="441"/>
      <c r="U762" s="441"/>
      <c r="V762" s="441"/>
      <c r="W762" s="441"/>
      <c r="X762" s="441"/>
      <c r="Y762" s="441"/>
      <c r="Z762" s="441"/>
      <c r="AA762" s="441"/>
      <c r="AB762" s="441"/>
      <c r="AC762" s="441"/>
      <c r="AD762" s="441"/>
      <c r="AE762" s="441"/>
    </row>
    <row r="763">
      <c r="A763" s="928"/>
      <c r="B763" s="441"/>
      <c r="C763" s="441"/>
      <c r="D763" s="441"/>
      <c r="E763" s="441"/>
      <c r="F763" s="441"/>
      <c r="G763" s="441"/>
      <c r="H763" s="441"/>
      <c r="I763" s="441"/>
      <c r="J763" s="441"/>
      <c r="K763" s="441"/>
      <c r="L763" s="441"/>
      <c r="M763" s="441"/>
      <c r="N763" s="441"/>
      <c r="O763" s="441"/>
      <c r="P763" s="441"/>
      <c r="Q763" s="441"/>
      <c r="R763" s="441"/>
      <c r="S763" s="441"/>
      <c r="T763" s="441"/>
      <c r="U763" s="441"/>
      <c r="V763" s="441"/>
      <c r="W763" s="441"/>
      <c r="X763" s="441"/>
      <c r="Y763" s="441"/>
      <c r="Z763" s="441"/>
      <c r="AA763" s="441"/>
      <c r="AB763" s="441"/>
      <c r="AC763" s="441"/>
      <c r="AD763" s="441"/>
      <c r="AE763" s="441"/>
    </row>
    <row r="764">
      <c r="A764" s="928"/>
      <c r="B764" s="441"/>
      <c r="C764" s="441"/>
      <c r="D764" s="441"/>
      <c r="E764" s="441"/>
      <c r="F764" s="441"/>
      <c r="G764" s="441"/>
      <c r="H764" s="441"/>
      <c r="I764" s="441"/>
      <c r="J764" s="441"/>
      <c r="K764" s="441"/>
      <c r="L764" s="441"/>
      <c r="M764" s="441"/>
      <c r="N764" s="441"/>
      <c r="O764" s="441"/>
      <c r="P764" s="441"/>
      <c r="Q764" s="441"/>
      <c r="R764" s="441"/>
      <c r="S764" s="441"/>
      <c r="T764" s="441"/>
      <c r="U764" s="441"/>
      <c r="V764" s="441"/>
      <c r="W764" s="441"/>
      <c r="X764" s="441"/>
      <c r="Y764" s="441"/>
      <c r="Z764" s="441"/>
      <c r="AA764" s="441"/>
      <c r="AB764" s="441"/>
      <c r="AC764" s="441"/>
      <c r="AD764" s="441"/>
      <c r="AE764" s="441"/>
    </row>
    <row r="765">
      <c r="A765" s="928"/>
      <c r="B765" s="441"/>
      <c r="C765" s="441"/>
      <c r="D765" s="441"/>
      <c r="E765" s="441"/>
      <c r="F765" s="441"/>
      <c r="G765" s="441"/>
      <c r="H765" s="441"/>
      <c r="I765" s="441"/>
      <c r="J765" s="441"/>
      <c r="K765" s="441"/>
      <c r="L765" s="441"/>
      <c r="M765" s="441"/>
      <c r="N765" s="441"/>
      <c r="O765" s="441"/>
      <c r="P765" s="441"/>
      <c r="Q765" s="441"/>
      <c r="R765" s="441"/>
      <c r="S765" s="441"/>
      <c r="T765" s="441"/>
      <c r="U765" s="441"/>
      <c r="V765" s="441"/>
      <c r="W765" s="441"/>
      <c r="X765" s="441"/>
      <c r="Y765" s="441"/>
      <c r="Z765" s="441"/>
      <c r="AA765" s="441"/>
      <c r="AB765" s="441"/>
      <c r="AC765" s="441"/>
      <c r="AD765" s="441"/>
      <c r="AE765" s="441"/>
    </row>
    <row r="766">
      <c r="A766" s="928"/>
      <c r="B766" s="441"/>
      <c r="C766" s="441"/>
      <c r="D766" s="441"/>
      <c r="E766" s="441"/>
      <c r="F766" s="441"/>
      <c r="G766" s="441"/>
      <c r="H766" s="441"/>
      <c r="I766" s="441"/>
      <c r="J766" s="441"/>
      <c r="K766" s="441"/>
      <c r="L766" s="441"/>
      <c r="M766" s="441"/>
      <c r="N766" s="441"/>
      <c r="O766" s="441"/>
      <c r="P766" s="441"/>
      <c r="Q766" s="441"/>
      <c r="R766" s="441"/>
      <c r="S766" s="441"/>
      <c r="T766" s="441"/>
      <c r="U766" s="441"/>
      <c r="V766" s="441"/>
      <c r="W766" s="441"/>
      <c r="X766" s="441"/>
      <c r="Y766" s="441"/>
      <c r="Z766" s="441"/>
      <c r="AA766" s="441"/>
      <c r="AB766" s="441"/>
      <c r="AC766" s="441"/>
      <c r="AD766" s="441"/>
      <c r="AE766" s="441"/>
    </row>
    <row r="767">
      <c r="A767" s="928"/>
      <c r="B767" s="441"/>
      <c r="C767" s="441"/>
      <c r="D767" s="441"/>
      <c r="E767" s="441"/>
      <c r="F767" s="441"/>
      <c r="G767" s="441"/>
      <c r="H767" s="441"/>
      <c r="I767" s="441"/>
      <c r="J767" s="441"/>
      <c r="K767" s="441"/>
      <c r="L767" s="441"/>
      <c r="M767" s="441"/>
      <c r="N767" s="441"/>
      <c r="O767" s="441"/>
      <c r="P767" s="441"/>
      <c r="Q767" s="441"/>
      <c r="R767" s="441"/>
      <c r="S767" s="441"/>
      <c r="T767" s="441"/>
      <c r="U767" s="441"/>
      <c r="V767" s="441"/>
      <c r="W767" s="441"/>
      <c r="X767" s="441"/>
      <c r="Y767" s="441"/>
      <c r="Z767" s="441"/>
      <c r="AA767" s="441"/>
      <c r="AB767" s="441"/>
      <c r="AC767" s="441"/>
      <c r="AD767" s="441"/>
      <c r="AE767" s="441"/>
    </row>
    <row r="768">
      <c r="A768" s="928"/>
      <c r="B768" s="441"/>
      <c r="C768" s="441"/>
      <c r="D768" s="441"/>
      <c r="E768" s="441"/>
      <c r="F768" s="441"/>
      <c r="G768" s="441"/>
      <c r="H768" s="441"/>
      <c r="I768" s="441"/>
      <c r="J768" s="441"/>
      <c r="K768" s="441"/>
      <c r="L768" s="441"/>
      <c r="M768" s="441"/>
      <c r="N768" s="441"/>
      <c r="O768" s="441"/>
      <c r="P768" s="441"/>
      <c r="Q768" s="441"/>
      <c r="R768" s="441"/>
      <c r="S768" s="441"/>
      <c r="T768" s="441"/>
      <c r="U768" s="441"/>
      <c r="V768" s="441"/>
      <c r="W768" s="441"/>
      <c r="X768" s="441"/>
      <c r="Y768" s="441"/>
      <c r="Z768" s="441"/>
      <c r="AA768" s="441"/>
      <c r="AB768" s="441"/>
      <c r="AC768" s="441"/>
      <c r="AD768" s="441"/>
      <c r="AE768" s="441"/>
    </row>
    <row r="769">
      <c r="A769" s="928"/>
      <c r="B769" s="441"/>
      <c r="C769" s="441"/>
      <c r="D769" s="441"/>
      <c r="E769" s="441"/>
      <c r="F769" s="441"/>
      <c r="G769" s="441"/>
      <c r="H769" s="441"/>
      <c r="I769" s="441"/>
      <c r="J769" s="441"/>
      <c r="K769" s="441"/>
      <c r="L769" s="441"/>
      <c r="M769" s="441"/>
      <c r="N769" s="441"/>
      <c r="O769" s="441"/>
      <c r="P769" s="441"/>
      <c r="Q769" s="441"/>
      <c r="R769" s="441"/>
      <c r="S769" s="441"/>
      <c r="T769" s="441"/>
      <c r="U769" s="441"/>
      <c r="V769" s="441"/>
      <c r="W769" s="441"/>
      <c r="X769" s="441"/>
      <c r="Y769" s="441"/>
      <c r="Z769" s="441"/>
      <c r="AA769" s="441"/>
      <c r="AB769" s="441"/>
      <c r="AC769" s="441"/>
      <c r="AD769" s="441"/>
      <c r="AE769" s="441"/>
    </row>
    <row r="770">
      <c r="A770" s="928"/>
      <c r="B770" s="441"/>
      <c r="C770" s="441"/>
      <c r="D770" s="441"/>
      <c r="E770" s="441"/>
      <c r="F770" s="441"/>
      <c r="G770" s="441"/>
      <c r="H770" s="441"/>
      <c r="I770" s="441"/>
      <c r="J770" s="441"/>
      <c r="K770" s="441"/>
      <c r="L770" s="441"/>
      <c r="M770" s="441"/>
      <c r="N770" s="441"/>
      <c r="O770" s="441"/>
      <c r="P770" s="441"/>
      <c r="Q770" s="441"/>
      <c r="R770" s="441"/>
      <c r="S770" s="441"/>
      <c r="T770" s="441"/>
      <c r="U770" s="441"/>
      <c r="V770" s="441"/>
      <c r="W770" s="441"/>
      <c r="X770" s="441"/>
      <c r="Y770" s="441"/>
      <c r="Z770" s="441"/>
      <c r="AA770" s="441"/>
      <c r="AB770" s="441"/>
      <c r="AC770" s="441"/>
      <c r="AD770" s="441"/>
      <c r="AE770" s="441"/>
    </row>
    <row r="771">
      <c r="A771" s="928"/>
      <c r="B771" s="441"/>
      <c r="C771" s="441"/>
      <c r="D771" s="441"/>
      <c r="E771" s="441"/>
      <c r="F771" s="441"/>
      <c r="G771" s="441"/>
      <c r="H771" s="441"/>
      <c r="I771" s="441"/>
      <c r="J771" s="441"/>
      <c r="K771" s="441"/>
      <c r="L771" s="441"/>
      <c r="M771" s="441"/>
      <c r="N771" s="441"/>
      <c r="O771" s="441"/>
      <c r="P771" s="441"/>
      <c r="Q771" s="441"/>
      <c r="R771" s="441"/>
      <c r="S771" s="441"/>
      <c r="T771" s="441"/>
      <c r="U771" s="441"/>
      <c r="V771" s="441"/>
      <c r="W771" s="441"/>
      <c r="X771" s="441"/>
      <c r="Y771" s="441"/>
      <c r="Z771" s="441"/>
      <c r="AA771" s="441"/>
      <c r="AB771" s="441"/>
      <c r="AC771" s="441"/>
      <c r="AD771" s="441"/>
      <c r="AE771" s="441"/>
    </row>
    <row r="772">
      <c r="A772" s="928"/>
      <c r="B772" s="441"/>
      <c r="C772" s="441"/>
      <c r="D772" s="441"/>
      <c r="E772" s="441"/>
      <c r="F772" s="441"/>
      <c r="G772" s="441"/>
      <c r="H772" s="441"/>
      <c r="I772" s="441"/>
      <c r="J772" s="441"/>
      <c r="K772" s="441"/>
      <c r="L772" s="441"/>
      <c r="M772" s="441"/>
      <c r="N772" s="441"/>
      <c r="O772" s="441"/>
      <c r="P772" s="441"/>
      <c r="Q772" s="441"/>
      <c r="R772" s="441"/>
      <c r="S772" s="441"/>
      <c r="T772" s="441"/>
      <c r="U772" s="441"/>
      <c r="V772" s="441"/>
      <c r="W772" s="441"/>
      <c r="X772" s="441"/>
      <c r="Y772" s="441"/>
      <c r="Z772" s="441"/>
      <c r="AA772" s="441"/>
      <c r="AB772" s="441"/>
      <c r="AC772" s="441"/>
      <c r="AD772" s="441"/>
      <c r="AE772" s="441"/>
    </row>
    <row r="773">
      <c r="A773" s="928"/>
      <c r="B773" s="441"/>
      <c r="C773" s="441"/>
      <c r="D773" s="441"/>
      <c r="E773" s="441"/>
      <c r="F773" s="441"/>
      <c r="G773" s="441"/>
      <c r="H773" s="441"/>
      <c r="I773" s="441"/>
      <c r="J773" s="441"/>
      <c r="K773" s="441"/>
      <c r="L773" s="441"/>
      <c r="M773" s="441"/>
      <c r="N773" s="441"/>
      <c r="O773" s="441"/>
      <c r="P773" s="441"/>
      <c r="Q773" s="441"/>
      <c r="R773" s="441"/>
      <c r="S773" s="441"/>
      <c r="T773" s="441"/>
      <c r="U773" s="441"/>
      <c r="V773" s="441"/>
      <c r="W773" s="441"/>
      <c r="X773" s="441"/>
      <c r="Y773" s="441"/>
      <c r="Z773" s="441"/>
      <c r="AA773" s="441"/>
      <c r="AB773" s="441"/>
      <c r="AC773" s="441"/>
      <c r="AD773" s="441"/>
      <c r="AE773" s="441"/>
    </row>
    <row r="774">
      <c r="A774" s="928"/>
      <c r="B774" s="441"/>
      <c r="C774" s="441"/>
      <c r="D774" s="441"/>
      <c r="E774" s="441"/>
      <c r="F774" s="441"/>
      <c r="G774" s="441"/>
      <c r="H774" s="441"/>
      <c r="I774" s="441"/>
      <c r="J774" s="441"/>
      <c r="K774" s="441"/>
      <c r="L774" s="441"/>
      <c r="M774" s="441"/>
      <c r="N774" s="441"/>
      <c r="O774" s="441"/>
      <c r="P774" s="441"/>
      <c r="Q774" s="441"/>
      <c r="R774" s="441"/>
      <c r="S774" s="441"/>
      <c r="T774" s="441"/>
      <c r="U774" s="441"/>
      <c r="V774" s="441"/>
      <c r="W774" s="441"/>
      <c r="X774" s="441"/>
      <c r="Y774" s="441"/>
      <c r="Z774" s="441"/>
      <c r="AA774" s="441"/>
      <c r="AB774" s="441"/>
      <c r="AC774" s="441"/>
      <c r="AD774" s="441"/>
      <c r="AE774" s="441"/>
    </row>
    <row r="775">
      <c r="A775" s="928"/>
      <c r="B775" s="441"/>
      <c r="C775" s="441"/>
      <c r="D775" s="441"/>
      <c r="E775" s="441"/>
      <c r="F775" s="441"/>
      <c r="G775" s="441"/>
      <c r="H775" s="441"/>
      <c r="I775" s="441"/>
      <c r="J775" s="441"/>
      <c r="K775" s="441"/>
      <c r="L775" s="441"/>
      <c r="M775" s="441"/>
      <c r="N775" s="441"/>
      <c r="O775" s="441"/>
      <c r="P775" s="441"/>
      <c r="Q775" s="441"/>
      <c r="R775" s="441"/>
      <c r="S775" s="441"/>
      <c r="T775" s="441"/>
      <c r="U775" s="441"/>
      <c r="V775" s="441"/>
      <c r="W775" s="441"/>
      <c r="X775" s="441"/>
      <c r="Y775" s="441"/>
      <c r="Z775" s="441"/>
      <c r="AA775" s="441"/>
      <c r="AB775" s="441"/>
      <c r="AC775" s="441"/>
      <c r="AD775" s="441"/>
      <c r="AE775" s="441"/>
    </row>
    <row r="776">
      <c r="A776" s="928"/>
      <c r="B776" s="441"/>
      <c r="C776" s="441"/>
      <c r="D776" s="441"/>
      <c r="E776" s="441"/>
      <c r="F776" s="441"/>
      <c r="G776" s="441"/>
      <c r="H776" s="441"/>
      <c r="I776" s="441"/>
      <c r="J776" s="441"/>
      <c r="K776" s="441"/>
      <c r="L776" s="441"/>
      <c r="M776" s="441"/>
      <c r="N776" s="441"/>
      <c r="O776" s="441"/>
      <c r="P776" s="441"/>
      <c r="Q776" s="441"/>
      <c r="R776" s="441"/>
      <c r="S776" s="441"/>
      <c r="T776" s="441"/>
      <c r="U776" s="441"/>
      <c r="V776" s="441"/>
      <c r="W776" s="441"/>
      <c r="X776" s="441"/>
      <c r="Y776" s="441"/>
      <c r="Z776" s="441"/>
      <c r="AA776" s="441"/>
      <c r="AB776" s="441"/>
      <c r="AC776" s="441"/>
      <c r="AD776" s="441"/>
      <c r="AE776" s="441"/>
    </row>
    <row r="777">
      <c r="A777" s="928"/>
      <c r="B777" s="441"/>
      <c r="C777" s="441"/>
      <c r="D777" s="441"/>
      <c r="E777" s="441"/>
      <c r="F777" s="441"/>
      <c r="G777" s="441"/>
      <c r="H777" s="441"/>
      <c r="I777" s="441"/>
      <c r="J777" s="441"/>
      <c r="K777" s="441"/>
      <c r="L777" s="441"/>
      <c r="M777" s="441"/>
      <c r="N777" s="441"/>
      <c r="O777" s="441"/>
      <c r="P777" s="441"/>
      <c r="Q777" s="441"/>
      <c r="R777" s="441"/>
      <c r="S777" s="441"/>
      <c r="T777" s="441"/>
      <c r="U777" s="441"/>
      <c r="V777" s="441"/>
      <c r="W777" s="441"/>
      <c r="X777" s="441"/>
      <c r="Y777" s="441"/>
      <c r="Z777" s="441"/>
      <c r="AA777" s="441"/>
      <c r="AB777" s="441"/>
      <c r="AC777" s="441"/>
      <c r="AD777" s="441"/>
      <c r="AE777" s="441"/>
    </row>
    <row r="778">
      <c r="A778" s="928"/>
      <c r="B778" s="441"/>
      <c r="C778" s="441"/>
      <c r="D778" s="441"/>
      <c r="E778" s="441"/>
      <c r="F778" s="441"/>
      <c r="G778" s="441"/>
      <c r="H778" s="441"/>
      <c r="I778" s="441"/>
      <c r="J778" s="441"/>
      <c r="K778" s="441"/>
      <c r="L778" s="441"/>
      <c r="M778" s="441"/>
      <c r="N778" s="441"/>
      <c r="O778" s="441"/>
      <c r="P778" s="441"/>
      <c r="Q778" s="441"/>
      <c r="R778" s="441"/>
      <c r="S778" s="441"/>
      <c r="T778" s="441"/>
      <c r="U778" s="441"/>
      <c r="V778" s="441"/>
      <c r="W778" s="441"/>
      <c r="X778" s="441"/>
      <c r="Y778" s="441"/>
      <c r="Z778" s="441"/>
      <c r="AA778" s="441"/>
      <c r="AB778" s="441"/>
      <c r="AC778" s="441"/>
      <c r="AD778" s="441"/>
      <c r="AE778" s="441"/>
    </row>
    <row r="779">
      <c r="A779" s="928"/>
      <c r="B779" s="441"/>
      <c r="C779" s="441"/>
      <c r="D779" s="441"/>
      <c r="E779" s="441"/>
      <c r="F779" s="441"/>
      <c r="G779" s="441"/>
      <c r="H779" s="441"/>
      <c r="I779" s="441"/>
      <c r="J779" s="441"/>
      <c r="K779" s="441"/>
      <c r="L779" s="441"/>
      <c r="M779" s="441"/>
      <c r="N779" s="441"/>
      <c r="O779" s="441"/>
      <c r="P779" s="441"/>
      <c r="Q779" s="441"/>
      <c r="R779" s="441"/>
      <c r="S779" s="441"/>
      <c r="T779" s="441"/>
      <c r="U779" s="441"/>
      <c r="V779" s="441"/>
      <c r="W779" s="441"/>
      <c r="X779" s="441"/>
      <c r="Y779" s="441"/>
      <c r="Z779" s="441"/>
      <c r="AA779" s="441"/>
      <c r="AB779" s="441"/>
      <c r="AC779" s="441"/>
      <c r="AD779" s="441"/>
      <c r="AE779" s="441"/>
    </row>
    <row r="780">
      <c r="A780" s="928"/>
      <c r="B780" s="441"/>
      <c r="C780" s="441"/>
      <c r="D780" s="441"/>
      <c r="E780" s="441"/>
      <c r="F780" s="441"/>
      <c r="G780" s="441"/>
      <c r="H780" s="441"/>
      <c r="I780" s="441"/>
      <c r="J780" s="441"/>
      <c r="K780" s="441"/>
      <c r="L780" s="441"/>
      <c r="M780" s="441"/>
      <c r="N780" s="441"/>
      <c r="O780" s="441"/>
      <c r="P780" s="441"/>
      <c r="Q780" s="441"/>
      <c r="R780" s="441"/>
      <c r="S780" s="441"/>
      <c r="T780" s="441"/>
      <c r="U780" s="441"/>
      <c r="V780" s="441"/>
      <c r="W780" s="441"/>
      <c r="X780" s="441"/>
      <c r="Y780" s="441"/>
      <c r="Z780" s="441"/>
      <c r="AA780" s="441"/>
      <c r="AB780" s="441"/>
      <c r="AC780" s="441"/>
      <c r="AD780" s="441"/>
      <c r="AE780" s="441"/>
    </row>
    <row r="781">
      <c r="A781" s="928"/>
      <c r="B781" s="441"/>
      <c r="C781" s="441"/>
      <c r="D781" s="441"/>
      <c r="E781" s="441"/>
      <c r="F781" s="441"/>
      <c r="G781" s="441"/>
      <c r="H781" s="441"/>
      <c r="I781" s="441"/>
      <c r="J781" s="441"/>
      <c r="K781" s="441"/>
      <c r="L781" s="441"/>
      <c r="M781" s="441"/>
      <c r="N781" s="441"/>
      <c r="O781" s="441"/>
      <c r="P781" s="441"/>
      <c r="Q781" s="441"/>
      <c r="R781" s="441"/>
      <c r="S781" s="441"/>
      <c r="T781" s="441"/>
      <c r="U781" s="441"/>
      <c r="V781" s="441"/>
      <c r="W781" s="441"/>
      <c r="X781" s="441"/>
      <c r="Y781" s="441"/>
      <c r="Z781" s="441"/>
      <c r="AA781" s="441"/>
      <c r="AB781" s="441"/>
      <c r="AC781" s="441"/>
      <c r="AD781" s="441"/>
      <c r="AE781" s="441"/>
    </row>
    <row r="782">
      <c r="A782" s="928"/>
      <c r="B782" s="441"/>
      <c r="C782" s="441"/>
      <c r="D782" s="441"/>
      <c r="E782" s="441"/>
      <c r="F782" s="441"/>
      <c r="G782" s="441"/>
      <c r="H782" s="441"/>
      <c r="I782" s="441"/>
      <c r="J782" s="441"/>
      <c r="K782" s="441"/>
      <c r="L782" s="441"/>
      <c r="M782" s="441"/>
      <c r="N782" s="441"/>
      <c r="O782" s="441"/>
      <c r="P782" s="441"/>
      <c r="Q782" s="441"/>
      <c r="R782" s="441"/>
      <c r="S782" s="441"/>
      <c r="T782" s="441"/>
      <c r="U782" s="441"/>
      <c r="V782" s="441"/>
      <c r="W782" s="441"/>
      <c r="X782" s="441"/>
      <c r="Y782" s="441"/>
      <c r="Z782" s="441"/>
      <c r="AA782" s="441"/>
      <c r="AB782" s="441"/>
      <c r="AC782" s="441"/>
      <c r="AD782" s="441"/>
      <c r="AE782" s="441"/>
    </row>
    <row r="783">
      <c r="A783" s="928"/>
      <c r="B783" s="441"/>
      <c r="C783" s="441"/>
      <c r="D783" s="441"/>
      <c r="E783" s="441"/>
      <c r="F783" s="441"/>
      <c r="G783" s="441"/>
      <c r="H783" s="441"/>
      <c r="I783" s="441"/>
      <c r="J783" s="441"/>
      <c r="K783" s="441"/>
      <c r="L783" s="441"/>
      <c r="M783" s="441"/>
      <c r="N783" s="441"/>
      <c r="O783" s="441"/>
      <c r="P783" s="441"/>
      <c r="Q783" s="441"/>
      <c r="R783" s="441"/>
      <c r="S783" s="441"/>
      <c r="T783" s="441"/>
      <c r="U783" s="441"/>
      <c r="V783" s="441"/>
      <c r="W783" s="441"/>
      <c r="X783" s="441"/>
      <c r="Y783" s="441"/>
      <c r="Z783" s="441"/>
      <c r="AA783" s="441"/>
      <c r="AB783" s="441"/>
      <c r="AC783" s="441"/>
      <c r="AD783" s="441"/>
      <c r="AE783" s="441"/>
    </row>
    <row r="784">
      <c r="A784" s="928"/>
      <c r="B784" s="441"/>
      <c r="C784" s="441"/>
      <c r="D784" s="441"/>
      <c r="E784" s="441"/>
      <c r="F784" s="441"/>
      <c r="G784" s="441"/>
      <c r="H784" s="441"/>
      <c r="I784" s="441"/>
      <c r="J784" s="441"/>
      <c r="K784" s="441"/>
      <c r="L784" s="441"/>
      <c r="M784" s="441"/>
      <c r="N784" s="441"/>
      <c r="O784" s="441"/>
      <c r="P784" s="441"/>
      <c r="Q784" s="441"/>
      <c r="R784" s="441"/>
      <c r="S784" s="441"/>
      <c r="T784" s="441"/>
      <c r="U784" s="441"/>
      <c r="V784" s="441"/>
      <c r="W784" s="441"/>
      <c r="X784" s="441"/>
      <c r="Y784" s="441"/>
      <c r="Z784" s="441"/>
      <c r="AA784" s="441"/>
      <c r="AB784" s="441"/>
      <c r="AC784" s="441"/>
      <c r="AD784" s="441"/>
      <c r="AE784" s="441"/>
    </row>
    <row r="785">
      <c r="A785" s="928"/>
      <c r="B785" s="441"/>
      <c r="C785" s="441"/>
      <c r="D785" s="441"/>
      <c r="E785" s="441"/>
      <c r="F785" s="441"/>
      <c r="G785" s="441"/>
      <c r="H785" s="441"/>
      <c r="I785" s="441"/>
      <c r="J785" s="441"/>
      <c r="K785" s="441"/>
      <c r="L785" s="441"/>
      <c r="M785" s="441"/>
      <c r="N785" s="441"/>
      <c r="O785" s="441"/>
      <c r="P785" s="441"/>
      <c r="Q785" s="441"/>
      <c r="R785" s="441"/>
      <c r="S785" s="441"/>
      <c r="T785" s="441"/>
      <c r="U785" s="441"/>
      <c r="V785" s="441"/>
      <c r="W785" s="441"/>
      <c r="X785" s="441"/>
      <c r="Y785" s="441"/>
      <c r="Z785" s="441"/>
      <c r="AA785" s="441"/>
      <c r="AB785" s="441"/>
      <c r="AC785" s="441"/>
      <c r="AD785" s="441"/>
      <c r="AE785" s="441"/>
    </row>
    <row r="786">
      <c r="A786" s="928"/>
      <c r="B786" s="441"/>
      <c r="C786" s="441"/>
      <c r="D786" s="441"/>
      <c r="E786" s="441"/>
      <c r="F786" s="441"/>
      <c r="G786" s="441"/>
      <c r="H786" s="441"/>
      <c r="I786" s="441"/>
      <c r="J786" s="441"/>
      <c r="K786" s="441"/>
      <c r="L786" s="441"/>
      <c r="M786" s="441"/>
      <c r="N786" s="441"/>
      <c r="O786" s="441"/>
      <c r="P786" s="441"/>
      <c r="Q786" s="441"/>
      <c r="R786" s="441"/>
      <c r="S786" s="441"/>
      <c r="T786" s="441"/>
      <c r="U786" s="441"/>
      <c r="V786" s="441"/>
      <c r="W786" s="441"/>
      <c r="X786" s="441"/>
      <c r="Y786" s="441"/>
      <c r="Z786" s="441"/>
      <c r="AA786" s="441"/>
      <c r="AB786" s="441"/>
      <c r="AC786" s="441"/>
      <c r="AD786" s="441"/>
      <c r="AE786" s="441"/>
    </row>
    <row r="787">
      <c r="A787" s="928"/>
      <c r="B787" s="441"/>
      <c r="C787" s="441"/>
      <c r="D787" s="441"/>
      <c r="E787" s="441"/>
      <c r="F787" s="441"/>
      <c r="G787" s="441"/>
      <c r="H787" s="441"/>
      <c r="I787" s="441"/>
      <c r="J787" s="441"/>
      <c r="K787" s="441"/>
      <c r="L787" s="441"/>
      <c r="M787" s="441"/>
      <c r="N787" s="441"/>
      <c r="O787" s="441"/>
      <c r="P787" s="441"/>
      <c r="Q787" s="441"/>
      <c r="R787" s="441"/>
      <c r="S787" s="441"/>
      <c r="T787" s="441"/>
      <c r="U787" s="441"/>
      <c r="V787" s="441"/>
      <c r="W787" s="441"/>
      <c r="X787" s="441"/>
      <c r="Y787" s="441"/>
      <c r="Z787" s="441"/>
      <c r="AA787" s="441"/>
      <c r="AB787" s="441"/>
      <c r="AC787" s="441"/>
      <c r="AD787" s="441"/>
      <c r="AE787" s="441"/>
    </row>
    <row r="788">
      <c r="A788" s="928"/>
      <c r="B788" s="441"/>
      <c r="C788" s="441"/>
      <c r="D788" s="441"/>
      <c r="E788" s="441"/>
      <c r="F788" s="441"/>
      <c r="G788" s="441"/>
      <c r="H788" s="441"/>
      <c r="I788" s="441"/>
      <c r="J788" s="441"/>
      <c r="K788" s="441"/>
      <c r="L788" s="441"/>
      <c r="M788" s="441"/>
      <c r="N788" s="441"/>
      <c r="O788" s="441"/>
      <c r="P788" s="441"/>
      <c r="Q788" s="441"/>
      <c r="R788" s="441"/>
      <c r="S788" s="441"/>
      <c r="T788" s="441"/>
      <c r="U788" s="441"/>
      <c r="V788" s="441"/>
      <c r="W788" s="441"/>
      <c r="X788" s="441"/>
      <c r="Y788" s="441"/>
      <c r="Z788" s="441"/>
      <c r="AA788" s="441"/>
      <c r="AB788" s="441"/>
      <c r="AC788" s="441"/>
      <c r="AD788" s="441"/>
      <c r="AE788" s="441"/>
    </row>
    <row r="789">
      <c r="A789" s="928"/>
      <c r="B789" s="441"/>
      <c r="C789" s="441"/>
      <c r="D789" s="441"/>
      <c r="E789" s="441"/>
      <c r="F789" s="441"/>
      <c r="G789" s="441"/>
      <c r="H789" s="441"/>
      <c r="I789" s="441"/>
      <c r="J789" s="441"/>
      <c r="K789" s="441"/>
      <c r="L789" s="441"/>
      <c r="M789" s="441"/>
      <c r="N789" s="441"/>
      <c r="O789" s="441"/>
      <c r="P789" s="441"/>
      <c r="Q789" s="441"/>
      <c r="R789" s="441"/>
      <c r="S789" s="441"/>
      <c r="T789" s="441"/>
      <c r="U789" s="441"/>
      <c r="V789" s="441"/>
      <c r="W789" s="441"/>
      <c r="X789" s="441"/>
      <c r="Y789" s="441"/>
      <c r="Z789" s="441"/>
      <c r="AA789" s="441"/>
      <c r="AB789" s="441"/>
      <c r="AC789" s="441"/>
      <c r="AD789" s="441"/>
      <c r="AE789" s="441"/>
    </row>
    <row r="790">
      <c r="A790" s="928"/>
      <c r="B790" s="441"/>
      <c r="C790" s="441"/>
      <c r="D790" s="441"/>
      <c r="E790" s="441"/>
      <c r="F790" s="441"/>
      <c r="G790" s="441"/>
      <c r="H790" s="441"/>
      <c r="I790" s="441"/>
      <c r="J790" s="441"/>
      <c r="K790" s="441"/>
      <c r="L790" s="441"/>
      <c r="M790" s="441"/>
      <c r="N790" s="441"/>
      <c r="O790" s="441"/>
      <c r="P790" s="441"/>
      <c r="Q790" s="441"/>
      <c r="R790" s="441"/>
      <c r="S790" s="441"/>
      <c r="T790" s="441"/>
      <c r="U790" s="441"/>
      <c r="V790" s="441"/>
      <c r="W790" s="441"/>
      <c r="X790" s="441"/>
      <c r="Y790" s="441"/>
      <c r="Z790" s="441"/>
      <c r="AA790" s="441"/>
      <c r="AB790" s="441"/>
      <c r="AC790" s="441"/>
      <c r="AD790" s="441"/>
      <c r="AE790" s="441"/>
    </row>
    <row r="791">
      <c r="A791" s="928"/>
      <c r="B791" s="441"/>
      <c r="C791" s="441"/>
      <c r="D791" s="441"/>
      <c r="E791" s="441"/>
      <c r="F791" s="441"/>
      <c r="G791" s="441"/>
      <c r="H791" s="441"/>
      <c r="I791" s="441"/>
      <c r="J791" s="441"/>
      <c r="K791" s="441"/>
      <c r="L791" s="441"/>
      <c r="M791" s="441"/>
      <c r="N791" s="441"/>
      <c r="O791" s="441"/>
      <c r="P791" s="441"/>
      <c r="Q791" s="441"/>
      <c r="R791" s="441"/>
      <c r="S791" s="441"/>
      <c r="T791" s="441"/>
      <c r="U791" s="441"/>
      <c r="V791" s="441"/>
      <c r="W791" s="441"/>
      <c r="X791" s="441"/>
      <c r="Y791" s="441"/>
      <c r="Z791" s="441"/>
      <c r="AA791" s="441"/>
      <c r="AB791" s="441"/>
      <c r="AC791" s="441"/>
      <c r="AD791" s="441"/>
      <c r="AE791" s="441"/>
    </row>
    <row r="792">
      <c r="A792" s="928"/>
      <c r="B792" s="441"/>
      <c r="C792" s="441"/>
      <c r="D792" s="441"/>
      <c r="E792" s="441"/>
      <c r="F792" s="441"/>
      <c r="G792" s="441"/>
      <c r="H792" s="441"/>
      <c r="I792" s="441"/>
      <c r="J792" s="441"/>
      <c r="K792" s="441"/>
      <c r="L792" s="441"/>
      <c r="M792" s="441"/>
      <c r="N792" s="441"/>
      <c r="O792" s="441"/>
      <c r="P792" s="441"/>
      <c r="Q792" s="441"/>
      <c r="R792" s="441"/>
      <c r="S792" s="441"/>
      <c r="T792" s="441"/>
      <c r="U792" s="441"/>
      <c r="V792" s="441"/>
      <c r="W792" s="441"/>
      <c r="X792" s="441"/>
      <c r="Y792" s="441"/>
      <c r="Z792" s="441"/>
      <c r="AA792" s="441"/>
      <c r="AB792" s="441"/>
      <c r="AC792" s="441"/>
      <c r="AD792" s="441"/>
      <c r="AE792" s="441"/>
    </row>
    <row r="793">
      <c r="A793" s="928"/>
      <c r="B793" s="441"/>
      <c r="C793" s="441"/>
      <c r="D793" s="441"/>
      <c r="E793" s="441"/>
      <c r="F793" s="441"/>
      <c r="G793" s="441"/>
      <c r="H793" s="441"/>
      <c r="I793" s="441"/>
      <c r="J793" s="441"/>
      <c r="K793" s="441"/>
      <c r="L793" s="441"/>
      <c r="M793" s="441"/>
      <c r="N793" s="441"/>
      <c r="O793" s="441"/>
      <c r="P793" s="441"/>
      <c r="Q793" s="441"/>
      <c r="R793" s="441"/>
      <c r="S793" s="441"/>
      <c r="T793" s="441"/>
      <c r="U793" s="441"/>
      <c r="V793" s="441"/>
      <c r="W793" s="441"/>
      <c r="X793" s="441"/>
      <c r="Y793" s="441"/>
      <c r="Z793" s="441"/>
      <c r="AA793" s="441"/>
      <c r="AB793" s="441"/>
      <c r="AC793" s="441"/>
      <c r="AD793" s="441"/>
      <c r="AE793" s="441"/>
    </row>
    <row r="794">
      <c r="A794" s="928"/>
      <c r="B794" s="441"/>
      <c r="C794" s="441"/>
      <c r="D794" s="441"/>
      <c r="E794" s="441"/>
      <c r="F794" s="441"/>
      <c r="G794" s="441"/>
      <c r="H794" s="441"/>
      <c r="I794" s="441"/>
      <c r="J794" s="441"/>
      <c r="K794" s="441"/>
      <c r="L794" s="441"/>
      <c r="M794" s="441"/>
      <c r="N794" s="441"/>
      <c r="O794" s="441"/>
      <c r="P794" s="441"/>
      <c r="Q794" s="441"/>
      <c r="R794" s="441"/>
      <c r="S794" s="441"/>
      <c r="T794" s="441"/>
      <c r="U794" s="441"/>
      <c r="V794" s="441"/>
      <c r="W794" s="441"/>
      <c r="X794" s="441"/>
      <c r="Y794" s="441"/>
      <c r="Z794" s="441"/>
      <c r="AA794" s="441"/>
      <c r="AB794" s="441"/>
      <c r="AC794" s="441"/>
      <c r="AD794" s="441"/>
      <c r="AE794" s="441"/>
    </row>
    <row r="795">
      <c r="A795" s="928"/>
      <c r="B795" s="441"/>
      <c r="C795" s="441"/>
      <c r="D795" s="441"/>
      <c r="E795" s="441"/>
      <c r="F795" s="441"/>
      <c r="G795" s="441"/>
      <c r="H795" s="441"/>
      <c r="I795" s="441"/>
      <c r="J795" s="441"/>
      <c r="K795" s="441"/>
      <c r="L795" s="441"/>
      <c r="M795" s="441"/>
      <c r="N795" s="441"/>
      <c r="O795" s="441"/>
      <c r="P795" s="441"/>
      <c r="Q795" s="441"/>
      <c r="R795" s="441"/>
      <c r="S795" s="441"/>
      <c r="T795" s="441"/>
      <c r="U795" s="441"/>
      <c r="V795" s="441"/>
      <c r="W795" s="441"/>
      <c r="X795" s="441"/>
      <c r="Y795" s="441"/>
      <c r="Z795" s="441"/>
      <c r="AA795" s="441"/>
      <c r="AB795" s="441"/>
      <c r="AC795" s="441"/>
      <c r="AD795" s="441"/>
      <c r="AE795" s="441"/>
    </row>
    <row r="796">
      <c r="A796" s="928"/>
      <c r="B796" s="441"/>
      <c r="C796" s="441"/>
      <c r="D796" s="441"/>
      <c r="E796" s="441"/>
      <c r="F796" s="441"/>
      <c r="G796" s="441"/>
      <c r="H796" s="441"/>
      <c r="I796" s="441"/>
      <c r="J796" s="441"/>
      <c r="K796" s="441"/>
      <c r="L796" s="441"/>
      <c r="M796" s="441"/>
      <c r="N796" s="441"/>
      <c r="O796" s="441"/>
      <c r="P796" s="441"/>
      <c r="Q796" s="441"/>
      <c r="R796" s="441"/>
      <c r="S796" s="441"/>
      <c r="T796" s="441"/>
      <c r="U796" s="441"/>
      <c r="V796" s="441"/>
      <c r="W796" s="441"/>
      <c r="X796" s="441"/>
      <c r="Y796" s="441"/>
      <c r="Z796" s="441"/>
      <c r="AA796" s="441"/>
      <c r="AB796" s="441"/>
      <c r="AC796" s="441"/>
      <c r="AD796" s="441"/>
      <c r="AE796" s="441"/>
    </row>
    <row r="797">
      <c r="A797" s="928"/>
      <c r="B797" s="441"/>
      <c r="C797" s="441"/>
      <c r="D797" s="441"/>
      <c r="E797" s="441"/>
      <c r="F797" s="441"/>
      <c r="G797" s="441"/>
      <c r="H797" s="441"/>
      <c r="I797" s="441"/>
      <c r="J797" s="441"/>
      <c r="K797" s="441"/>
      <c r="L797" s="441"/>
      <c r="M797" s="441"/>
      <c r="N797" s="441"/>
      <c r="O797" s="441"/>
      <c r="P797" s="441"/>
      <c r="Q797" s="441"/>
      <c r="R797" s="441"/>
      <c r="S797" s="441"/>
      <c r="T797" s="441"/>
      <c r="U797" s="441"/>
      <c r="V797" s="441"/>
      <c r="W797" s="441"/>
      <c r="X797" s="441"/>
      <c r="Y797" s="441"/>
      <c r="Z797" s="441"/>
      <c r="AA797" s="441"/>
      <c r="AB797" s="441"/>
      <c r="AC797" s="441"/>
      <c r="AD797" s="441"/>
      <c r="AE797" s="441"/>
    </row>
    <row r="798">
      <c r="A798" s="928"/>
      <c r="B798" s="441"/>
      <c r="C798" s="441"/>
      <c r="D798" s="441"/>
      <c r="E798" s="441"/>
      <c r="F798" s="441"/>
      <c r="G798" s="441"/>
      <c r="H798" s="441"/>
      <c r="I798" s="441"/>
      <c r="J798" s="441"/>
      <c r="K798" s="441"/>
      <c r="L798" s="441"/>
      <c r="M798" s="441"/>
      <c r="N798" s="441"/>
      <c r="O798" s="441"/>
      <c r="P798" s="441"/>
      <c r="Q798" s="441"/>
      <c r="R798" s="441"/>
      <c r="S798" s="441"/>
      <c r="T798" s="441"/>
      <c r="U798" s="441"/>
      <c r="V798" s="441"/>
      <c r="W798" s="441"/>
      <c r="X798" s="441"/>
      <c r="Y798" s="441"/>
      <c r="Z798" s="441"/>
      <c r="AA798" s="441"/>
      <c r="AB798" s="441"/>
      <c r="AC798" s="441"/>
      <c r="AD798" s="441"/>
      <c r="AE798" s="441"/>
    </row>
    <row r="799">
      <c r="A799" s="928"/>
      <c r="B799" s="441"/>
      <c r="C799" s="441"/>
      <c r="D799" s="441"/>
      <c r="E799" s="441"/>
      <c r="F799" s="441"/>
      <c r="G799" s="441"/>
      <c r="H799" s="441"/>
      <c r="I799" s="441"/>
      <c r="J799" s="441"/>
      <c r="K799" s="441"/>
      <c r="L799" s="441"/>
      <c r="M799" s="441"/>
      <c r="N799" s="441"/>
      <c r="O799" s="441"/>
      <c r="P799" s="441"/>
      <c r="Q799" s="441"/>
      <c r="R799" s="441"/>
      <c r="S799" s="441"/>
      <c r="T799" s="441"/>
      <c r="U799" s="441"/>
      <c r="V799" s="441"/>
      <c r="W799" s="441"/>
      <c r="X799" s="441"/>
      <c r="Y799" s="441"/>
      <c r="Z799" s="441"/>
      <c r="AA799" s="441"/>
      <c r="AB799" s="441"/>
      <c r="AC799" s="441"/>
      <c r="AD799" s="441"/>
      <c r="AE799" s="441"/>
    </row>
    <row r="800">
      <c r="A800" s="928"/>
      <c r="B800" s="441"/>
      <c r="C800" s="441"/>
      <c r="D800" s="441"/>
      <c r="E800" s="441"/>
      <c r="F800" s="441"/>
      <c r="G800" s="441"/>
      <c r="H800" s="441"/>
      <c r="I800" s="441"/>
      <c r="J800" s="441"/>
      <c r="K800" s="441"/>
      <c r="L800" s="441"/>
      <c r="M800" s="441"/>
      <c r="N800" s="441"/>
      <c r="O800" s="441"/>
      <c r="P800" s="441"/>
      <c r="Q800" s="441"/>
      <c r="R800" s="441"/>
      <c r="S800" s="441"/>
      <c r="T800" s="441"/>
      <c r="U800" s="441"/>
      <c r="V800" s="441"/>
      <c r="W800" s="441"/>
      <c r="X800" s="441"/>
      <c r="Y800" s="441"/>
      <c r="Z800" s="441"/>
      <c r="AA800" s="441"/>
      <c r="AB800" s="441"/>
      <c r="AC800" s="441"/>
      <c r="AD800" s="441"/>
      <c r="AE800" s="441"/>
    </row>
    <row r="801">
      <c r="A801" s="928"/>
      <c r="B801" s="441"/>
      <c r="C801" s="441"/>
      <c r="D801" s="441"/>
      <c r="E801" s="441"/>
      <c r="F801" s="441"/>
      <c r="G801" s="441"/>
      <c r="H801" s="441"/>
      <c r="I801" s="441"/>
      <c r="J801" s="441"/>
      <c r="K801" s="441"/>
      <c r="L801" s="441"/>
      <c r="M801" s="441"/>
      <c r="N801" s="441"/>
      <c r="O801" s="441"/>
      <c r="P801" s="441"/>
      <c r="Q801" s="441"/>
      <c r="R801" s="441"/>
      <c r="S801" s="441"/>
      <c r="T801" s="441"/>
      <c r="U801" s="441"/>
      <c r="V801" s="441"/>
      <c r="W801" s="441"/>
      <c r="X801" s="441"/>
      <c r="Y801" s="441"/>
      <c r="Z801" s="441"/>
      <c r="AA801" s="441"/>
      <c r="AB801" s="441"/>
      <c r="AC801" s="441"/>
      <c r="AD801" s="441"/>
      <c r="AE801" s="441"/>
    </row>
    <row r="802">
      <c r="A802" s="928"/>
      <c r="B802" s="441"/>
      <c r="C802" s="441"/>
      <c r="D802" s="441"/>
      <c r="E802" s="441"/>
      <c r="F802" s="441"/>
      <c r="G802" s="441"/>
      <c r="H802" s="441"/>
      <c r="I802" s="441"/>
      <c r="J802" s="441"/>
      <c r="K802" s="441"/>
      <c r="L802" s="441"/>
      <c r="M802" s="441"/>
      <c r="N802" s="441"/>
      <c r="O802" s="441"/>
      <c r="P802" s="441"/>
      <c r="Q802" s="441"/>
      <c r="R802" s="441"/>
      <c r="S802" s="441"/>
      <c r="T802" s="441"/>
      <c r="U802" s="441"/>
      <c r="V802" s="441"/>
      <c r="W802" s="441"/>
      <c r="X802" s="441"/>
      <c r="Y802" s="441"/>
      <c r="Z802" s="441"/>
      <c r="AA802" s="441"/>
      <c r="AB802" s="441"/>
      <c r="AC802" s="441"/>
      <c r="AD802" s="441"/>
      <c r="AE802" s="441"/>
    </row>
    <row r="803">
      <c r="A803" s="928"/>
      <c r="B803" s="441"/>
      <c r="C803" s="441"/>
      <c r="D803" s="441"/>
      <c r="E803" s="441"/>
      <c r="F803" s="441"/>
      <c r="G803" s="441"/>
      <c r="H803" s="441"/>
      <c r="I803" s="441"/>
      <c r="J803" s="441"/>
      <c r="K803" s="441"/>
      <c r="L803" s="441"/>
      <c r="M803" s="441"/>
      <c r="N803" s="441"/>
      <c r="O803" s="441"/>
      <c r="P803" s="441"/>
      <c r="Q803" s="441"/>
      <c r="R803" s="441"/>
      <c r="S803" s="441"/>
      <c r="T803" s="441"/>
      <c r="U803" s="441"/>
      <c r="V803" s="441"/>
      <c r="W803" s="441"/>
      <c r="X803" s="441"/>
      <c r="Y803" s="441"/>
      <c r="Z803" s="441"/>
      <c r="AA803" s="441"/>
      <c r="AB803" s="441"/>
      <c r="AC803" s="441"/>
      <c r="AD803" s="441"/>
      <c r="AE803" s="441"/>
    </row>
    <row r="804">
      <c r="A804" s="928"/>
      <c r="B804" s="441"/>
      <c r="C804" s="441"/>
      <c r="D804" s="441"/>
      <c r="E804" s="441"/>
      <c r="F804" s="441"/>
      <c r="G804" s="441"/>
      <c r="H804" s="441"/>
      <c r="I804" s="441"/>
      <c r="J804" s="441"/>
      <c r="K804" s="441"/>
      <c r="L804" s="441"/>
      <c r="M804" s="441"/>
      <c r="N804" s="441"/>
      <c r="O804" s="441"/>
      <c r="P804" s="441"/>
      <c r="Q804" s="441"/>
      <c r="R804" s="441"/>
      <c r="S804" s="441"/>
      <c r="T804" s="441"/>
      <c r="U804" s="441"/>
      <c r="V804" s="441"/>
      <c r="W804" s="441"/>
      <c r="X804" s="441"/>
      <c r="Y804" s="441"/>
      <c r="Z804" s="441"/>
      <c r="AA804" s="441"/>
      <c r="AB804" s="441"/>
      <c r="AC804" s="441"/>
      <c r="AD804" s="441"/>
      <c r="AE804" s="441"/>
    </row>
    <row r="805">
      <c r="A805" s="928"/>
      <c r="B805" s="441"/>
      <c r="C805" s="441"/>
      <c r="D805" s="441"/>
      <c r="E805" s="441"/>
      <c r="F805" s="441"/>
      <c r="G805" s="441"/>
      <c r="H805" s="441"/>
      <c r="I805" s="441"/>
      <c r="J805" s="441"/>
      <c r="K805" s="441"/>
      <c r="L805" s="441"/>
      <c r="M805" s="441"/>
      <c r="N805" s="441"/>
      <c r="O805" s="441"/>
      <c r="P805" s="441"/>
      <c r="Q805" s="441"/>
      <c r="R805" s="441"/>
      <c r="S805" s="441"/>
      <c r="T805" s="441"/>
      <c r="U805" s="441"/>
      <c r="V805" s="441"/>
      <c r="W805" s="441"/>
      <c r="X805" s="441"/>
      <c r="Y805" s="441"/>
      <c r="Z805" s="441"/>
      <c r="AA805" s="441"/>
      <c r="AB805" s="441"/>
      <c r="AC805" s="441"/>
      <c r="AD805" s="441"/>
      <c r="AE805" s="441"/>
    </row>
    <row r="806">
      <c r="A806" s="928"/>
      <c r="B806" s="441"/>
      <c r="C806" s="441"/>
      <c r="D806" s="441"/>
      <c r="E806" s="441"/>
      <c r="F806" s="441"/>
      <c r="G806" s="441"/>
      <c r="H806" s="441"/>
      <c r="I806" s="441"/>
      <c r="J806" s="441"/>
      <c r="K806" s="441"/>
      <c r="L806" s="441"/>
      <c r="M806" s="441"/>
      <c r="N806" s="441"/>
      <c r="O806" s="441"/>
      <c r="P806" s="441"/>
      <c r="Q806" s="441"/>
      <c r="R806" s="441"/>
      <c r="S806" s="441"/>
      <c r="T806" s="441"/>
      <c r="U806" s="441"/>
      <c r="V806" s="441"/>
      <c r="W806" s="441"/>
      <c r="X806" s="441"/>
      <c r="Y806" s="441"/>
      <c r="Z806" s="441"/>
      <c r="AA806" s="441"/>
      <c r="AB806" s="441"/>
      <c r="AC806" s="441"/>
      <c r="AD806" s="441"/>
      <c r="AE806" s="441"/>
    </row>
    <row r="807">
      <c r="A807" s="928"/>
      <c r="B807" s="441"/>
      <c r="C807" s="441"/>
      <c r="D807" s="441"/>
      <c r="E807" s="441"/>
      <c r="F807" s="441"/>
      <c r="G807" s="441"/>
      <c r="H807" s="441"/>
      <c r="I807" s="441"/>
      <c r="J807" s="441"/>
      <c r="K807" s="441"/>
      <c r="L807" s="441"/>
      <c r="M807" s="441"/>
      <c r="N807" s="441"/>
      <c r="O807" s="441"/>
      <c r="P807" s="441"/>
      <c r="Q807" s="441"/>
      <c r="R807" s="441"/>
      <c r="S807" s="441"/>
      <c r="T807" s="441"/>
      <c r="U807" s="441"/>
      <c r="V807" s="441"/>
      <c r="W807" s="441"/>
      <c r="X807" s="441"/>
      <c r="Y807" s="441"/>
      <c r="Z807" s="441"/>
      <c r="AA807" s="441"/>
      <c r="AB807" s="441"/>
      <c r="AC807" s="441"/>
      <c r="AD807" s="441"/>
      <c r="AE807" s="441"/>
    </row>
    <row r="808">
      <c r="A808" s="928"/>
      <c r="B808" s="441"/>
      <c r="C808" s="441"/>
      <c r="D808" s="441"/>
      <c r="E808" s="441"/>
      <c r="F808" s="441"/>
      <c r="G808" s="441"/>
      <c r="H808" s="441"/>
      <c r="I808" s="441"/>
      <c r="J808" s="441"/>
      <c r="K808" s="441"/>
      <c r="L808" s="441"/>
      <c r="M808" s="441"/>
      <c r="N808" s="441"/>
      <c r="O808" s="441"/>
      <c r="P808" s="441"/>
      <c r="Q808" s="441"/>
      <c r="R808" s="441"/>
      <c r="S808" s="441"/>
      <c r="T808" s="441"/>
      <c r="U808" s="441"/>
      <c r="V808" s="441"/>
      <c r="W808" s="441"/>
      <c r="X808" s="441"/>
      <c r="Y808" s="441"/>
      <c r="Z808" s="441"/>
      <c r="AA808" s="441"/>
      <c r="AB808" s="441"/>
      <c r="AC808" s="441"/>
      <c r="AD808" s="441"/>
      <c r="AE808" s="441"/>
    </row>
    <row r="809">
      <c r="A809" s="928"/>
      <c r="B809" s="441"/>
      <c r="C809" s="441"/>
      <c r="D809" s="441"/>
      <c r="E809" s="441"/>
      <c r="F809" s="441"/>
      <c r="G809" s="441"/>
      <c r="H809" s="441"/>
      <c r="I809" s="441"/>
      <c r="J809" s="441"/>
      <c r="K809" s="441"/>
      <c r="L809" s="441"/>
      <c r="M809" s="441"/>
      <c r="N809" s="441"/>
      <c r="O809" s="441"/>
      <c r="P809" s="441"/>
      <c r="Q809" s="441"/>
      <c r="R809" s="441"/>
      <c r="S809" s="441"/>
      <c r="T809" s="441"/>
      <c r="U809" s="441"/>
      <c r="V809" s="441"/>
      <c r="W809" s="441"/>
      <c r="X809" s="441"/>
      <c r="Y809" s="441"/>
      <c r="Z809" s="441"/>
      <c r="AA809" s="441"/>
      <c r="AB809" s="441"/>
      <c r="AC809" s="441"/>
      <c r="AD809" s="441"/>
      <c r="AE809" s="441"/>
    </row>
    <row r="810">
      <c r="A810" s="928"/>
      <c r="B810" s="441"/>
      <c r="C810" s="441"/>
      <c r="D810" s="441"/>
      <c r="E810" s="441"/>
      <c r="F810" s="441"/>
      <c r="G810" s="441"/>
      <c r="H810" s="441"/>
      <c r="I810" s="441"/>
      <c r="J810" s="441"/>
      <c r="K810" s="441"/>
      <c r="L810" s="441"/>
      <c r="M810" s="441"/>
      <c r="N810" s="441"/>
      <c r="O810" s="441"/>
      <c r="P810" s="441"/>
      <c r="Q810" s="441"/>
      <c r="R810" s="441"/>
      <c r="S810" s="441"/>
      <c r="T810" s="441"/>
      <c r="U810" s="441"/>
      <c r="V810" s="441"/>
      <c r="W810" s="441"/>
      <c r="X810" s="441"/>
      <c r="Y810" s="441"/>
      <c r="Z810" s="441"/>
      <c r="AA810" s="441"/>
      <c r="AB810" s="441"/>
      <c r="AC810" s="441"/>
      <c r="AD810" s="441"/>
      <c r="AE810" s="441"/>
    </row>
    <row r="811">
      <c r="A811" s="928"/>
      <c r="B811" s="441"/>
      <c r="C811" s="441"/>
      <c r="D811" s="441"/>
      <c r="E811" s="441"/>
      <c r="F811" s="441"/>
      <c r="G811" s="441"/>
      <c r="H811" s="441"/>
      <c r="I811" s="441"/>
      <c r="J811" s="441"/>
      <c r="K811" s="441"/>
      <c r="L811" s="441"/>
      <c r="M811" s="441"/>
      <c r="N811" s="441"/>
      <c r="O811" s="441"/>
      <c r="P811" s="441"/>
      <c r="Q811" s="441"/>
      <c r="R811" s="441"/>
      <c r="S811" s="441"/>
      <c r="T811" s="441"/>
      <c r="U811" s="441"/>
      <c r="V811" s="441"/>
      <c r="W811" s="441"/>
      <c r="X811" s="441"/>
      <c r="Y811" s="441"/>
      <c r="Z811" s="441"/>
      <c r="AA811" s="441"/>
      <c r="AB811" s="441"/>
      <c r="AC811" s="441"/>
      <c r="AD811" s="441"/>
      <c r="AE811" s="441"/>
    </row>
    <row r="812">
      <c r="A812" s="928"/>
      <c r="B812" s="441"/>
      <c r="C812" s="441"/>
      <c r="D812" s="441"/>
      <c r="E812" s="441"/>
      <c r="F812" s="441"/>
      <c r="G812" s="441"/>
      <c r="H812" s="441"/>
      <c r="I812" s="441"/>
      <c r="J812" s="441"/>
      <c r="K812" s="441"/>
      <c r="L812" s="441"/>
      <c r="M812" s="441"/>
      <c r="N812" s="441"/>
      <c r="O812" s="441"/>
      <c r="P812" s="441"/>
      <c r="Q812" s="441"/>
      <c r="R812" s="441"/>
      <c r="S812" s="441"/>
      <c r="T812" s="441"/>
      <c r="U812" s="441"/>
      <c r="V812" s="441"/>
      <c r="W812" s="441"/>
      <c r="X812" s="441"/>
      <c r="Y812" s="441"/>
      <c r="Z812" s="441"/>
      <c r="AA812" s="441"/>
      <c r="AB812" s="441"/>
      <c r="AC812" s="441"/>
      <c r="AD812" s="441"/>
      <c r="AE812" s="441"/>
    </row>
    <row r="813">
      <c r="A813" s="928"/>
      <c r="B813" s="441"/>
      <c r="C813" s="441"/>
      <c r="D813" s="441"/>
      <c r="E813" s="441"/>
      <c r="F813" s="441"/>
      <c r="G813" s="441"/>
      <c r="H813" s="441"/>
      <c r="I813" s="441"/>
      <c r="J813" s="441"/>
      <c r="K813" s="441"/>
      <c r="L813" s="441"/>
      <c r="M813" s="441"/>
      <c r="N813" s="441"/>
      <c r="O813" s="441"/>
      <c r="P813" s="441"/>
      <c r="Q813" s="441"/>
      <c r="R813" s="441"/>
      <c r="S813" s="441"/>
      <c r="T813" s="441"/>
      <c r="U813" s="441"/>
      <c r="V813" s="441"/>
      <c r="W813" s="441"/>
      <c r="X813" s="441"/>
      <c r="Y813" s="441"/>
      <c r="Z813" s="441"/>
      <c r="AA813" s="441"/>
      <c r="AB813" s="441"/>
      <c r="AC813" s="441"/>
      <c r="AD813" s="441"/>
      <c r="AE813" s="441"/>
    </row>
    <row r="814">
      <c r="A814" s="928"/>
      <c r="B814" s="441"/>
      <c r="C814" s="441"/>
      <c r="D814" s="441"/>
      <c r="E814" s="441"/>
      <c r="F814" s="441"/>
      <c r="G814" s="441"/>
      <c r="H814" s="441"/>
      <c r="I814" s="441"/>
      <c r="J814" s="441"/>
      <c r="K814" s="441"/>
      <c r="L814" s="441"/>
      <c r="M814" s="441"/>
      <c r="N814" s="441"/>
      <c r="O814" s="441"/>
      <c r="P814" s="441"/>
      <c r="Q814" s="441"/>
      <c r="R814" s="441"/>
      <c r="S814" s="441"/>
      <c r="T814" s="441"/>
      <c r="U814" s="441"/>
      <c r="V814" s="441"/>
      <c r="W814" s="441"/>
      <c r="X814" s="441"/>
      <c r="Y814" s="441"/>
      <c r="Z814" s="441"/>
      <c r="AA814" s="441"/>
      <c r="AB814" s="441"/>
      <c r="AC814" s="441"/>
      <c r="AD814" s="441"/>
      <c r="AE814" s="441"/>
    </row>
    <row r="815">
      <c r="A815" s="928"/>
      <c r="B815" s="441"/>
      <c r="C815" s="441"/>
      <c r="D815" s="441"/>
      <c r="E815" s="441"/>
      <c r="F815" s="441"/>
      <c r="G815" s="441"/>
      <c r="H815" s="441"/>
      <c r="I815" s="441"/>
      <c r="J815" s="441"/>
      <c r="K815" s="441"/>
      <c r="L815" s="441"/>
      <c r="M815" s="441"/>
      <c r="N815" s="441"/>
      <c r="O815" s="441"/>
      <c r="P815" s="441"/>
      <c r="Q815" s="441"/>
      <c r="R815" s="441"/>
      <c r="S815" s="441"/>
      <c r="T815" s="441"/>
      <c r="U815" s="441"/>
      <c r="V815" s="441"/>
      <c r="W815" s="441"/>
      <c r="X815" s="441"/>
      <c r="Y815" s="441"/>
      <c r="Z815" s="441"/>
      <c r="AA815" s="441"/>
      <c r="AB815" s="441"/>
      <c r="AC815" s="441"/>
      <c r="AD815" s="441"/>
      <c r="AE815" s="441"/>
    </row>
    <row r="816">
      <c r="A816" s="928"/>
      <c r="B816" s="441"/>
      <c r="C816" s="441"/>
      <c r="D816" s="441"/>
      <c r="E816" s="441"/>
      <c r="F816" s="441"/>
      <c r="G816" s="441"/>
      <c r="H816" s="441"/>
      <c r="I816" s="441"/>
      <c r="J816" s="441"/>
      <c r="K816" s="441"/>
      <c r="L816" s="441"/>
      <c r="M816" s="441"/>
      <c r="N816" s="441"/>
      <c r="O816" s="441"/>
      <c r="P816" s="441"/>
      <c r="Q816" s="441"/>
      <c r="R816" s="441"/>
      <c r="S816" s="441"/>
      <c r="T816" s="441"/>
      <c r="U816" s="441"/>
      <c r="V816" s="441"/>
      <c r="W816" s="441"/>
      <c r="X816" s="441"/>
      <c r="Y816" s="441"/>
      <c r="Z816" s="441"/>
      <c r="AA816" s="441"/>
      <c r="AB816" s="441"/>
      <c r="AC816" s="441"/>
      <c r="AD816" s="441"/>
      <c r="AE816" s="441"/>
    </row>
    <row r="817">
      <c r="A817" s="928"/>
      <c r="B817" s="441"/>
      <c r="C817" s="441"/>
      <c r="D817" s="441"/>
      <c r="E817" s="441"/>
      <c r="F817" s="441"/>
      <c r="G817" s="441"/>
      <c r="H817" s="441"/>
      <c r="I817" s="441"/>
      <c r="J817" s="441"/>
      <c r="K817" s="441"/>
      <c r="L817" s="441"/>
      <c r="M817" s="441"/>
      <c r="N817" s="441"/>
      <c r="O817" s="441"/>
      <c r="P817" s="441"/>
      <c r="Q817" s="441"/>
      <c r="R817" s="441"/>
      <c r="S817" s="441"/>
      <c r="T817" s="441"/>
      <c r="U817" s="441"/>
      <c r="V817" s="441"/>
      <c r="W817" s="441"/>
      <c r="X817" s="441"/>
      <c r="Y817" s="441"/>
      <c r="Z817" s="441"/>
      <c r="AA817" s="441"/>
      <c r="AB817" s="441"/>
      <c r="AC817" s="441"/>
      <c r="AD817" s="441"/>
      <c r="AE817" s="441"/>
    </row>
    <row r="818">
      <c r="A818" s="928"/>
      <c r="B818" s="441"/>
      <c r="C818" s="441"/>
      <c r="D818" s="441"/>
      <c r="E818" s="441"/>
      <c r="F818" s="441"/>
      <c r="G818" s="441"/>
      <c r="H818" s="441"/>
      <c r="I818" s="441"/>
      <c r="J818" s="441"/>
      <c r="K818" s="441"/>
      <c r="L818" s="441"/>
      <c r="M818" s="441"/>
      <c r="N818" s="441"/>
      <c r="O818" s="441"/>
      <c r="P818" s="441"/>
      <c r="Q818" s="441"/>
      <c r="R818" s="441"/>
      <c r="S818" s="441"/>
      <c r="T818" s="441"/>
      <c r="U818" s="441"/>
      <c r="V818" s="441"/>
      <c r="W818" s="441"/>
      <c r="X818" s="441"/>
      <c r="Y818" s="441"/>
      <c r="Z818" s="441"/>
      <c r="AA818" s="441"/>
      <c r="AB818" s="441"/>
      <c r="AC818" s="441"/>
      <c r="AD818" s="441"/>
      <c r="AE818" s="441"/>
    </row>
    <row r="819">
      <c r="A819" s="928"/>
      <c r="B819" s="441"/>
      <c r="C819" s="441"/>
      <c r="D819" s="441"/>
      <c r="E819" s="441"/>
      <c r="F819" s="441"/>
      <c r="G819" s="441"/>
      <c r="H819" s="441"/>
      <c r="I819" s="441"/>
      <c r="J819" s="441"/>
      <c r="K819" s="441"/>
      <c r="L819" s="441"/>
      <c r="M819" s="441"/>
      <c r="N819" s="441"/>
      <c r="O819" s="441"/>
      <c r="P819" s="441"/>
      <c r="Q819" s="441"/>
      <c r="R819" s="441"/>
      <c r="S819" s="441"/>
      <c r="T819" s="441"/>
      <c r="U819" s="441"/>
      <c r="V819" s="441"/>
      <c r="W819" s="441"/>
      <c r="X819" s="441"/>
      <c r="Y819" s="441"/>
      <c r="Z819" s="441"/>
      <c r="AA819" s="441"/>
      <c r="AB819" s="441"/>
      <c r="AC819" s="441"/>
      <c r="AD819" s="441"/>
      <c r="AE819" s="441"/>
    </row>
    <row r="820">
      <c r="A820" s="928"/>
      <c r="B820" s="441"/>
      <c r="C820" s="441"/>
      <c r="D820" s="441"/>
      <c r="E820" s="441"/>
      <c r="F820" s="441"/>
      <c r="G820" s="441"/>
      <c r="H820" s="441"/>
      <c r="I820" s="441"/>
      <c r="J820" s="441"/>
      <c r="K820" s="441"/>
      <c r="L820" s="441"/>
      <c r="M820" s="441"/>
      <c r="N820" s="441"/>
      <c r="O820" s="441"/>
      <c r="P820" s="441"/>
      <c r="Q820" s="441"/>
      <c r="R820" s="441"/>
      <c r="S820" s="441"/>
      <c r="T820" s="441"/>
      <c r="U820" s="441"/>
      <c r="V820" s="441"/>
      <c r="W820" s="441"/>
      <c r="X820" s="441"/>
      <c r="Y820" s="441"/>
      <c r="Z820" s="441"/>
      <c r="AA820" s="441"/>
      <c r="AB820" s="441"/>
      <c r="AC820" s="441"/>
      <c r="AD820" s="441"/>
      <c r="AE820" s="441"/>
    </row>
    <row r="821">
      <c r="A821" s="928"/>
      <c r="B821" s="441"/>
      <c r="C821" s="441"/>
      <c r="D821" s="441"/>
      <c r="E821" s="441"/>
      <c r="F821" s="441"/>
      <c r="G821" s="441"/>
      <c r="H821" s="441"/>
      <c r="I821" s="441"/>
      <c r="J821" s="441"/>
      <c r="K821" s="441"/>
      <c r="L821" s="441"/>
      <c r="M821" s="441"/>
      <c r="N821" s="441"/>
      <c r="O821" s="441"/>
      <c r="P821" s="441"/>
      <c r="Q821" s="441"/>
      <c r="R821" s="441"/>
      <c r="S821" s="441"/>
      <c r="T821" s="441"/>
      <c r="U821" s="441"/>
      <c r="V821" s="441"/>
      <c r="W821" s="441"/>
      <c r="X821" s="441"/>
      <c r="Y821" s="441"/>
      <c r="Z821" s="441"/>
      <c r="AA821" s="441"/>
      <c r="AB821" s="441"/>
      <c r="AC821" s="441"/>
      <c r="AD821" s="441"/>
      <c r="AE821" s="441"/>
    </row>
    <row r="822">
      <c r="A822" s="928"/>
      <c r="B822" s="441"/>
      <c r="C822" s="441"/>
      <c r="D822" s="441"/>
      <c r="E822" s="441"/>
      <c r="F822" s="441"/>
      <c r="G822" s="441"/>
      <c r="H822" s="441"/>
      <c r="I822" s="441"/>
      <c r="J822" s="441"/>
      <c r="K822" s="441"/>
      <c r="L822" s="441"/>
      <c r="M822" s="441"/>
      <c r="N822" s="441"/>
      <c r="O822" s="441"/>
      <c r="P822" s="441"/>
      <c r="Q822" s="441"/>
      <c r="R822" s="441"/>
      <c r="S822" s="441"/>
      <c r="T822" s="441"/>
      <c r="U822" s="441"/>
      <c r="V822" s="441"/>
      <c r="W822" s="441"/>
      <c r="X822" s="441"/>
      <c r="Y822" s="441"/>
      <c r="Z822" s="441"/>
      <c r="AA822" s="441"/>
      <c r="AB822" s="441"/>
      <c r="AC822" s="441"/>
      <c r="AD822" s="441"/>
      <c r="AE822" s="441"/>
    </row>
    <row r="823">
      <c r="A823" s="928"/>
      <c r="B823" s="441"/>
      <c r="C823" s="441"/>
      <c r="D823" s="441"/>
      <c r="E823" s="441"/>
      <c r="F823" s="441"/>
      <c r="G823" s="441"/>
      <c r="H823" s="441"/>
      <c r="I823" s="441"/>
      <c r="J823" s="441"/>
      <c r="K823" s="441"/>
      <c r="L823" s="441"/>
      <c r="M823" s="441"/>
      <c r="N823" s="441"/>
      <c r="O823" s="441"/>
      <c r="P823" s="441"/>
      <c r="Q823" s="441"/>
      <c r="R823" s="441"/>
      <c r="S823" s="441"/>
      <c r="T823" s="441"/>
      <c r="U823" s="441"/>
      <c r="V823" s="441"/>
      <c r="W823" s="441"/>
      <c r="X823" s="441"/>
      <c r="Y823" s="441"/>
      <c r="Z823" s="441"/>
      <c r="AA823" s="441"/>
      <c r="AB823" s="441"/>
      <c r="AC823" s="441"/>
      <c r="AD823" s="441"/>
      <c r="AE823" s="441"/>
    </row>
    <row r="824">
      <c r="A824" s="928"/>
      <c r="B824" s="441"/>
      <c r="C824" s="441"/>
      <c r="D824" s="441"/>
      <c r="E824" s="441"/>
      <c r="F824" s="441"/>
      <c r="G824" s="441"/>
      <c r="H824" s="441"/>
      <c r="I824" s="441"/>
      <c r="J824" s="441"/>
      <c r="K824" s="441"/>
      <c r="L824" s="441"/>
      <c r="M824" s="441"/>
      <c r="N824" s="441"/>
      <c r="O824" s="441"/>
      <c r="P824" s="441"/>
      <c r="Q824" s="441"/>
      <c r="R824" s="441"/>
      <c r="S824" s="441"/>
      <c r="T824" s="441"/>
      <c r="U824" s="441"/>
      <c r="V824" s="441"/>
      <c r="W824" s="441"/>
      <c r="X824" s="441"/>
      <c r="Y824" s="441"/>
      <c r="Z824" s="441"/>
      <c r="AA824" s="441"/>
      <c r="AB824" s="441"/>
      <c r="AC824" s="441"/>
      <c r="AD824" s="441"/>
      <c r="AE824" s="441"/>
    </row>
    <row r="825">
      <c r="A825" s="928"/>
      <c r="B825" s="441"/>
      <c r="C825" s="441"/>
      <c r="D825" s="441"/>
      <c r="E825" s="441"/>
      <c r="F825" s="441"/>
      <c r="G825" s="441"/>
      <c r="H825" s="441"/>
      <c r="I825" s="441"/>
      <c r="J825" s="441"/>
      <c r="K825" s="441"/>
      <c r="L825" s="441"/>
      <c r="M825" s="441"/>
      <c r="N825" s="441"/>
      <c r="O825" s="441"/>
      <c r="P825" s="441"/>
      <c r="Q825" s="441"/>
      <c r="R825" s="441"/>
      <c r="S825" s="441"/>
      <c r="T825" s="441"/>
      <c r="U825" s="441"/>
      <c r="V825" s="441"/>
      <c r="W825" s="441"/>
      <c r="X825" s="441"/>
      <c r="Y825" s="441"/>
      <c r="Z825" s="441"/>
      <c r="AA825" s="441"/>
      <c r="AB825" s="441"/>
      <c r="AC825" s="441"/>
      <c r="AD825" s="441"/>
      <c r="AE825" s="441"/>
    </row>
    <row r="826">
      <c r="A826" s="928"/>
      <c r="B826" s="441"/>
      <c r="C826" s="441"/>
      <c r="D826" s="441"/>
      <c r="E826" s="441"/>
      <c r="F826" s="441"/>
      <c r="G826" s="441"/>
      <c r="H826" s="441"/>
      <c r="I826" s="441"/>
      <c r="J826" s="441"/>
      <c r="K826" s="441"/>
      <c r="L826" s="441"/>
      <c r="M826" s="441"/>
      <c r="N826" s="441"/>
      <c r="O826" s="441"/>
      <c r="P826" s="441"/>
      <c r="Q826" s="441"/>
      <c r="R826" s="441"/>
      <c r="S826" s="441"/>
      <c r="T826" s="441"/>
      <c r="U826" s="441"/>
      <c r="V826" s="441"/>
      <c r="W826" s="441"/>
      <c r="X826" s="441"/>
      <c r="Y826" s="441"/>
      <c r="Z826" s="441"/>
      <c r="AA826" s="441"/>
      <c r="AB826" s="441"/>
      <c r="AC826" s="441"/>
      <c r="AD826" s="441"/>
      <c r="AE826" s="441"/>
    </row>
    <row r="827">
      <c r="A827" s="928"/>
      <c r="B827" s="441"/>
      <c r="C827" s="441"/>
      <c r="D827" s="441"/>
      <c r="E827" s="441"/>
      <c r="F827" s="441"/>
      <c r="G827" s="441"/>
      <c r="H827" s="441"/>
      <c r="I827" s="441"/>
      <c r="J827" s="441"/>
      <c r="K827" s="441"/>
      <c r="L827" s="441"/>
      <c r="M827" s="441"/>
      <c r="N827" s="441"/>
      <c r="O827" s="441"/>
      <c r="P827" s="441"/>
      <c r="Q827" s="441"/>
      <c r="R827" s="441"/>
      <c r="S827" s="441"/>
      <c r="T827" s="441"/>
      <c r="U827" s="441"/>
      <c r="V827" s="441"/>
      <c r="W827" s="441"/>
      <c r="X827" s="441"/>
      <c r="Y827" s="441"/>
      <c r="Z827" s="441"/>
      <c r="AA827" s="441"/>
      <c r="AB827" s="441"/>
      <c r="AC827" s="441"/>
      <c r="AD827" s="441"/>
      <c r="AE827" s="441"/>
    </row>
    <row r="828">
      <c r="A828" s="928"/>
      <c r="B828" s="441"/>
      <c r="C828" s="441"/>
      <c r="D828" s="441"/>
      <c r="E828" s="441"/>
      <c r="F828" s="441"/>
      <c r="G828" s="441"/>
      <c r="H828" s="441"/>
      <c r="I828" s="441"/>
      <c r="J828" s="441"/>
      <c r="K828" s="441"/>
      <c r="L828" s="441"/>
      <c r="M828" s="441"/>
      <c r="N828" s="441"/>
      <c r="O828" s="441"/>
      <c r="P828" s="441"/>
      <c r="Q828" s="441"/>
      <c r="R828" s="441"/>
      <c r="S828" s="441"/>
      <c r="T828" s="441"/>
      <c r="U828" s="441"/>
      <c r="V828" s="441"/>
      <c r="W828" s="441"/>
      <c r="X828" s="441"/>
      <c r="Y828" s="441"/>
      <c r="Z828" s="441"/>
      <c r="AA828" s="441"/>
      <c r="AB828" s="441"/>
      <c r="AC828" s="441"/>
      <c r="AD828" s="441"/>
      <c r="AE828" s="441"/>
    </row>
    <row r="829">
      <c r="A829" s="928"/>
      <c r="B829" s="441"/>
      <c r="C829" s="441"/>
      <c r="D829" s="441"/>
      <c r="E829" s="441"/>
      <c r="F829" s="441"/>
      <c r="G829" s="441"/>
      <c r="H829" s="441"/>
      <c r="I829" s="441"/>
      <c r="J829" s="441"/>
      <c r="K829" s="441"/>
      <c r="L829" s="441"/>
      <c r="M829" s="441"/>
      <c r="N829" s="441"/>
      <c r="O829" s="441"/>
      <c r="P829" s="441"/>
      <c r="Q829" s="441"/>
      <c r="R829" s="441"/>
      <c r="S829" s="441"/>
      <c r="T829" s="441"/>
      <c r="U829" s="441"/>
      <c r="V829" s="441"/>
      <c r="W829" s="441"/>
      <c r="X829" s="441"/>
      <c r="Y829" s="441"/>
      <c r="Z829" s="441"/>
      <c r="AA829" s="441"/>
      <c r="AB829" s="441"/>
      <c r="AC829" s="441"/>
      <c r="AD829" s="441"/>
      <c r="AE829" s="441"/>
    </row>
    <row r="830">
      <c r="A830" s="928"/>
      <c r="B830" s="441"/>
      <c r="C830" s="441"/>
      <c r="D830" s="441"/>
      <c r="E830" s="441"/>
      <c r="F830" s="441"/>
      <c r="G830" s="441"/>
      <c r="H830" s="441"/>
      <c r="I830" s="441"/>
      <c r="J830" s="441"/>
      <c r="K830" s="441"/>
      <c r="L830" s="441"/>
      <c r="M830" s="441"/>
      <c r="N830" s="441"/>
      <c r="O830" s="441"/>
      <c r="P830" s="441"/>
      <c r="Q830" s="441"/>
      <c r="R830" s="441"/>
      <c r="S830" s="441"/>
      <c r="T830" s="441"/>
      <c r="U830" s="441"/>
      <c r="V830" s="441"/>
      <c r="W830" s="441"/>
      <c r="X830" s="441"/>
      <c r="Y830" s="441"/>
      <c r="Z830" s="441"/>
      <c r="AA830" s="441"/>
      <c r="AB830" s="441"/>
      <c r="AC830" s="441"/>
      <c r="AD830" s="441"/>
      <c r="AE830" s="441"/>
    </row>
    <row r="831">
      <c r="A831" s="928"/>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row>
    <row r="832">
      <c r="A832" s="928"/>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row>
    <row r="833">
      <c r="A833" s="928"/>
      <c r="B833" s="441"/>
      <c r="C833" s="441"/>
      <c r="D833" s="441"/>
      <c r="E833" s="441"/>
      <c r="F833" s="441"/>
      <c r="G833" s="441"/>
      <c r="H833" s="441"/>
      <c r="I833" s="441"/>
      <c r="J833" s="441"/>
      <c r="K833" s="441"/>
      <c r="L833" s="441"/>
      <c r="M833" s="441"/>
      <c r="N833" s="441"/>
      <c r="O833" s="441"/>
      <c r="P833" s="441"/>
      <c r="Q833" s="441"/>
      <c r="R833" s="441"/>
      <c r="S833" s="441"/>
      <c r="T833" s="441"/>
      <c r="U833" s="441"/>
      <c r="V833" s="441"/>
      <c r="W833" s="441"/>
      <c r="X833" s="441"/>
      <c r="Y833" s="441"/>
      <c r="Z833" s="441"/>
      <c r="AA833" s="441"/>
      <c r="AB833" s="441"/>
      <c r="AC833" s="441"/>
      <c r="AD833" s="441"/>
      <c r="AE833" s="441"/>
    </row>
    <row r="834">
      <c r="A834" s="928"/>
      <c r="B834" s="441"/>
      <c r="C834" s="441"/>
      <c r="D834" s="441"/>
      <c r="E834" s="441"/>
      <c r="F834" s="441"/>
      <c r="G834" s="441"/>
      <c r="H834" s="441"/>
      <c r="I834" s="441"/>
      <c r="J834" s="441"/>
      <c r="K834" s="441"/>
      <c r="L834" s="441"/>
      <c r="M834" s="441"/>
      <c r="N834" s="441"/>
      <c r="O834" s="441"/>
      <c r="P834" s="441"/>
      <c r="Q834" s="441"/>
      <c r="R834" s="441"/>
      <c r="S834" s="441"/>
      <c r="T834" s="441"/>
      <c r="U834" s="441"/>
      <c r="V834" s="441"/>
      <c r="W834" s="441"/>
      <c r="X834" s="441"/>
      <c r="Y834" s="441"/>
      <c r="Z834" s="441"/>
      <c r="AA834" s="441"/>
      <c r="AB834" s="441"/>
      <c r="AC834" s="441"/>
      <c r="AD834" s="441"/>
      <c r="AE834" s="441"/>
    </row>
    <row r="835">
      <c r="A835" s="928"/>
      <c r="B835" s="441"/>
      <c r="C835" s="441"/>
      <c r="D835" s="441"/>
      <c r="E835" s="441"/>
      <c r="F835" s="441"/>
      <c r="G835" s="441"/>
      <c r="H835" s="441"/>
      <c r="I835" s="441"/>
      <c r="J835" s="441"/>
      <c r="K835" s="441"/>
      <c r="L835" s="441"/>
      <c r="M835" s="441"/>
      <c r="N835" s="441"/>
      <c r="O835" s="441"/>
      <c r="P835" s="441"/>
      <c r="Q835" s="441"/>
      <c r="R835" s="441"/>
      <c r="S835" s="441"/>
      <c r="T835" s="441"/>
      <c r="U835" s="441"/>
      <c r="V835" s="441"/>
      <c r="W835" s="441"/>
      <c r="X835" s="441"/>
      <c r="Y835" s="441"/>
      <c r="Z835" s="441"/>
      <c r="AA835" s="441"/>
      <c r="AB835" s="441"/>
      <c r="AC835" s="441"/>
      <c r="AD835" s="441"/>
      <c r="AE835" s="441"/>
    </row>
    <row r="836">
      <c r="A836" s="928"/>
      <c r="B836" s="441"/>
      <c r="C836" s="441"/>
      <c r="D836" s="441"/>
      <c r="E836" s="441"/>
      <c r="F836" s="441"/>
      <c r="G836" s="441"/>
      <c r="H836" s="441"/>
      <c r="I836" s="441"/>
      <c r="J836" s="441"/>
      <c r="K836" s="441"/>
      <c r="L836" s="441"/>
      <c r="M836" s="441"/>
      <c r="N836" s="441"/>
      <c r="O836" s="441"/>
      <c r="P836" s="441"/>
      <c r="Q836" s="441"/>
      <c r="R836" s="441"/>
      <c r="S836" s="441"/>
      <c r="T836" s="441"/>
      <c r="U836" s="441"/>
      <c r="V836" s="441"/>
      <c r="W836" s="441"/>
      <c r="X836" s="441"/>
      <c r="Y836" s="441"/>
      <c r="Z836" s="441"/>
      <c r="AA836" s="441"/>
      <c r="AB836" s="441"/>
      <c r="AC836" s="441"/>
      <c r="AD836" s="441"/>
      <c r="AE836" s="441"/>
    </row>
    <row r="837">
      <c r="A837" s="928"/>
      <c r="B837" s="441"/>
      <c r="C837" s="441"/>
      <c r="D837" s="441"/>
      <c r="E837" s="441"/>
      <c r="F837" s="441"/>
      <c r="G837" s="441"/>
      <c r="H837" s="441"/>
      <c r="I837" s="441"/>
      <c r="J837" s="441"/>
      <c r="K837" s="441"/>
      <c r="L837" s="441"/>
      <c r="M837" s="441"/>
      <c r="N837" s="441"/>
      <c r="O837" s="441"/>
      <c r="P837" s="441"/>
      <c r="Q837" s="441"/>
      <c r="R837" s="441"/>
      <c r="S837" s="441"/>
      <c r="T837" s="441"/>
      <c r="U837" s="441"/>
      <c r="V837" s="441"/>
      <c r="W837" s="441"/>
      <c r="X837" s="441"/>
      <c r="Y837" s="441"/>
      <c r="Z837" s="441"/>
      <c r="AA837" s="441"/>
      <c r="AB837" s="441"/>
      <c r="AC837" s="441"/>
      <c r="AD837" s="441"/>
      <c r="AE837" s="441"/>
    </row>
    <row r="838">
      <c r="A838" s="928"/>
      <c r="B838" s="441"/>
      <c r="C838" s="441"/>
      <c r="D838" s="441"/>
      <c r="E838" s="441"/>
      <c r="F838" s="441"/>
      <c r="G838" s="441"/>
      <c r="H838" s="441"/>
      <c r="I838" s="441"/>
      <c r="J838" s="441"/>
      <c r="K838" s="441"/>
      <c r="L838" s="441"/>
      <c r="M838" s="441"/>
      <c r="N838" s="441"/>
      <c r="O838" s="441"/>
      <c r="P838" s="441"/>
      <c r="Q838" s="441"/>
      <c r="R838" s="441"/>
      <c r="S838" s="441"/>
      <c r="T838" s="441"/>
      <c r="U838" s="441"/>
      <c r="V838" s="441"/>
      <c r="W838" s="441"/>
      <c r="X838" s="441"/>
      <c r="Y838" s="441"/>
      <c r="Z838" s="441"/>
      <c r="AA838" s="441"/>
      <c r="AB838" s="441"/>
      <c r="AC838" s="441"/>
      <c r="AD838" s="441"/>
      <c r="AE838" s="441"/>
    </row>
    <row r="839">
      <c r="A839" s="928"/>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row>
    <row r="840">
      <c r="A840" s="928"/>
      <c r="B840" s="441"/>
      <c r="C840" s="441"/>
      <c r="D840" s="441"/>
      <c r="E840" s="441"/>
      <c r="F840" s="441"/>
      <c r="G840" s="441"/>
      <c r="H840" s="441"/>
      <c r="I840" s="441"/>
      <c r="J840" s="441"/>
      <c r="K840" s="441"/>
      <c r="L840" s="441"/>
      <c r="M840" s="441"/>
      <c r="N840" s="441"/>
      <c r="O840" s="441"/>
      <c r="P840" s="441"/>
      <c r="Q840" s="441"/>
      <c r="R840" s="441"/>
      <c r="S840" s="441"/>
      <c r="T840" s="441"/>
      <c r="U840" s="441"/>
      <c r="V840" s="441"/>
      <c r="W840" s="441"/>
      <c r="X840" s="441"/>
      <c r="Y840" s="441"/>
      <c r="Z840" s="441"/>
      <c r="AA840" s="441"/>
      <c r="AB840" s="441"/>
      <c r="AC840" s="441"/>
      <c r="AD840" s="441"/>
      <c r="AE840" s="441"/>
    </row>
    <row r="841">
      <c r="A841" s="928"/>
      <c r="B841" s="441"/>
      <c r="C841" s="441"/>
      <c r="D841" s="441"/>
      <c r="E841" s="441"/>
      <c r="F841" s="441"/>
      <c r="G841" s="441"/>
      <c r="H841" s="441"/>
      <c r="I841" s="441"/>
      <c r="J841" s="441"/>
      <c r="K841" s="441"/>
      <c r="L841" s="441"/>
      <c r="M841" s="441"/>
      <c r="N841" s="441"/>
      <c r="O841" s="441"/>
      <c r="P841" s="441"/>
      <c r="Q841" s="441"/>
      <c r="R841" s="441"/>
      <c r="S841" s="441"/>
      <c r="T841" s="441"/>
      <c r="U841" s="441"/>
      <c r="V841" s="441"/>
      <c r="W841" s="441"/>
      <c r="X841" s="441"/>
      <c r="Y841" s="441"/>
      <c r="Z841" s="441"/>
      <c r="AA841" s="441"/>
      <c r="AB841" s="441"/>
      <c r="AC841" s="441"/>
      <c r="AD841" s="441"/>
      <c r="AE841" s="441"/>
    </row>
    <row r="842">
      <c r="A842" s="928"/>
      <c r="B842" s="441"/>
      <c r="C842" s="441"/>
      <c r="D842" s="441"/>
      <c r="E842" s="441"/>
      <c r="F842" s="441"/>
      <c r="G842" s="441"/>
      <c r="H842" s="441"/>
      <c r="I842" s="441"/>
      <c r="J842" s="441"/>
      <c r="K842" s="441"/>
      <c r="L842" s="441"/>
      <c r="M842" s="441"/>
      <c r="N842" s="441"/>
      <c r="O842" s="441"/>
      <c r="P842" s="441"/>
      <c r="Q842" s="441"/>
      <c r="R842" s="441"/>
      <c r="S842" s="441"/>
      <c r="T842" s="441"/>
      <c r="U842" s="441"/>
      <c r="V842" s="441"/>
      <c r="W842" s="441"/>
      <c r="X842" s="441"/>
      <c r="Y842" s="441"/>
      <c r="Z842" s="441"/>
      <c r="AA842" s="441"/>
      <c r="AB842" s="441"/>
      <c r="AC842" s="441"/>
      <c r="AD842" s="441"/>
      <c r="AE842" s="441"/>
    </row>
    <row r="843">
      <c r="A843" s="928"/>
      <c r="B843" s="441"/>
      <c r="C843" s="441"/>
      <c r="D843" s="441"/>
      <c r="E843" s="441"/>
      <c r="F843" s="441"/>
      <c r="G843" s="441"/>
      <c r="H843" s="441"/>
      <c r="I843" s="441"/>
      <c r="J843" s="441"/>
      <c r="K843" s="441"/>
      <c r="L843" s="441"/>
      <c r="M843" s="441"/>
      <c r="N843" s="441"/>
      <c r="O843" s="441"/>
      <c r="P843" s="441"/>
      <c r="Q843" s="441"/>
      <c r="R843" s="441"/>
      <c r="S843" s="441"/>
      <c r="T843" s="441"/>
      <c r="U843" s="441"/>
      <c r="V843" s="441"/>
      <c r="W843" s="441"/>
      <c r="X843" s="441"/>
      <c r="Y843" s="441"/>
      <c r="Z843" s="441"/>
      <c r="AA843" s="441"/>
      <c r="AB843" s="441"/>
      <c r="AC843" s="441"/>
      <c r="AD843" s="441"/>
      <c r="AE843" s="441"/>
    </row>
    <row r="844">
      <c r="A844" s="928"/>
      <c r="B844" s="441"/>
      <c r="C844" s="441"/>
      <c r="D844" s="441"/>
      <c r="E844" s="441"/>
      <c r="F844" s="441"/>
      <c r="G844" s="441"/>
      <c r="H844" s="441"/>
      <c r="I844" s="441"/>
      <c r="J844" s="441"/>
      <c r="K844" s="441"/>
      <c r="L844" s="441"/>
      <c r="M844" s="441"/>
      <c r="N844" s="441"/>
      <c r="O844" s="441"/>
      <c r="P844" s="441"/>
      <c r="Q844" s="441"/>
      <c r="R844" s="441"/>
      <c r="S844" s="441"/>
      <c r="T844" s="441"/>
      <c r="U844" s="441"/>
      <c r="V844" s="441"/>
      <c r="W844" s="441"/>
      <c r="X844" s="441"/>
      <c r="Y844" s="441"/>
      <c r="Z844" s="441"/>
      <c r="AA844" s="441"/>
      <c r="AB844" s="441"/>
      <c r="AC844" s="441"/>
      <c r="AD844" s="441"/>
      <c r="AE844" s="441"/>
    </row>
    <row r="845">
      <c r="A845" s="928"/>
      <c r="B845" s="441"/>
      <c r="C845" s="441"/>
      <c r="D845" s="441"/>
      <c r="E845" s="441"/>
      <c r="F845" s="441"/>
      <c r="G845" s="441"/>
      <c r="H845" s="441"/>
      <c r="I845" s="441"/>
      <c r="J845" s="441"/>
      <c r="K845" s="441"/>
      <c r="L845" s="441"/>
      <c r="M845" s="441"/>
      <c r="N845" s="441"/>
      <c r="O845" s="441"/>
      <c r="P845" s="441"/>
      <c r="Q845" s="441"/>
      <c r="R845" s="441"/>
      <c r="S845" s="441"/>
      <c r="T845" s="441"/>
      <c r="U845" s="441"/>
      <c r="V845" s="441"/>
      <c r="W845" s="441"/>
      <c r="X845" s="441"/>
      <c r="Y845" s="441"/>
      <c r="Z845" s="441"/>
      <c r="AA845" s="441"/>
      <c r="AB845" s="441"/>
      <c r="AC845" s="441"/>
      <c r="AD845" s="441"/>
      <c r="AE845" s="441"/>
    </row>
    <row r="846">
      <c r="A846" s="928"/>
      <c r="B846" s="441"/>
      <c r="C846" s="441"/>
      <c r="D846" s="441"/>
      <c r="E846" s="441"/>
      <c r="F846" s="441"/>
      <c r="G846" s="441"/>
      <c r="H846" s="441"/>
      <c r="I846" s="441"/>
      <c r="J846" s="441"/>
      <c r="K846" s="441"/>
      <c r="L846" s="441"/>
      <c r="M846" s="441"/>
      <c r="N846" s="441"/>
      <c r="O846" s="441"/>
      <c r="P846" s="441"/>
      <c r="Q846" s="441"/>
      <c r="R846" s="441"/>
      <c r="S846" s="441"/>
      <c r="T846" s="441"/>
      <c r="U846" s="441"/>
      <c r="V846" s="441"/>
      <c r="W846" s="441"/>
      <c r="X846" s="441"/>
      <c r="Y846" s="441"/>
      <c r="Z846" s="441"/>
      <c r="AA846" s="441"/>
      <c r="AB846" s="441"/>
      <c r="AC846" s="441"/>
      <c r="AD846" s="441"/>
      <c r="AE846" s="441"/>
    </row>
    <row r="847">
      <c r="A847" s="928"/>
      <c r="B847" s="441"/>
      <c r="C847" s="441"/>
      <c r="D847" s="441"/>
      <c r="E847" s="441"/>
      <c r="F847" s="441"/>
      <c r="G847" s="441"/>
      <c r="H847" s="441"/>
      <c r="I847" s="441"/>
      <c r="J847" s="441"/>
      <c r="K847" s="441"/>
      <c r="L847" s="441"/>
      <c r="M847" s="441"/>
      <c r="N847" s="441"/>
      <c r="O847" s="441"/>
      <c r="P847" s="441"/>
      <c r="Q847" s="441"/>
      <c r="R847" s="441"/>
      <c r="S847" s="441"/>
      <c r="T847" s="441"/>
      <c r="U847" s="441"/>
      <c r="V847" s="441"/>
      <c r="W847" s="441"/>
      <c r="X847" s="441"/>
      <c r="Y847" s="441"/>
      <c r="Z847" s="441"/>
      <c r="AA847" s="441"/>
      <c r="AB847" s="441"/>
      <c r="AC847" s="441"/>
      <c r="AD847" s="441"/>
      <c r="AE847" s="441"/>
    </row>
    <row r="848">
      <c r="A848" s="928"/>
      <c r="B848" s="441"/>
      <c r="C848" s="441"/>
      <c r="D848" s="441"/>
      <c r="E848" s="441"/>
      <c r="F848" s="441"/>
      <c r="G848" s="441"/>
      <c r="H848" s="441"/>
      <c r="I848" s="441"/>
      <c r="J848" s="441"/>
      <c r="K848" s="441"/>
      <c r="L848" s="441"/>
      <c r="M848" s="441"/>
      <c r="N848" s="441"/>
      <c r="O848" s="441"/>
      <c r="P848" s="441"/>
      <c r="Q848" s="441"/>
      <c r="R848" s="441"/>
      <c r="S848" s="441"/>
      <c r="T848" s="441"/>
      <c r="U848" s="441"/>
      <c r="V848" s="441"/>
      <c r="W848" s="441"/>
      <c r="X848" s="441"/>
      <c r="Y848" s="441"/>
      <c r="Z848" s="441"/>
      <c r="AA848" s="441"/>
      <c r="AB848" s="441"/>
      <c r="AC848" s="441"/>
      <c r="AD848" s="441"/>
      <c r="AE848" s="441"/>
    </row>
    <row r="849">
      <c r="A849" s="928"/>
      <c r="B849" s="441"/>
      <c r="C849" s="441"/>
      <c r="D849" s="441"/>
      <c r="E849" s="441"/>
      <c r="F849" s="441"/>
      <c r="G849" s="441"/>
      <c r="H849" s="441"/>
      <c r="I849" s="441"/>
      <c r="J849" s="441"/>
      <c r="K849" s="441"/>
      <c r="L849" s="441"/>
      <c r="M849" s="441"/>
      <c r="N849" s="441"/>
      <c r="O849" s="441"/>
      <c r="P849" s="441"/>
      <c r="Q849" s="441"/>
      <c r="R849" s="441"/>
      <c r="S849" s="441"/>
      <c r="T849" s="441"/>
      <c r="U849" s="441"/>
      <c r="V849" s="441"/>
      <c r="W849" s="441"/>
      <c r="X849" s="441"/>
      <c r="Y849" s="441"/>
      <c r="Z849" s="441"/>
      <c r="AA849" s="441"/>
      <c r="AB849" s="441"/>
      <c r="AC849" s="441"/>
      <c r="AD849" s="441"/>
      <c r="AE849" s="441"/>
    </row>
    <row r="850">
      <c r="A850" s="928"/>
      <c r="B850" s="441"/>
      <c r="C850" s="441"/>
      <c r="D850" s="441"/>
      <c r="E850" s="441"/>
      <c r="F850" s="441"/>
      <c r="G850" s="441"/>
      <c r="H850" s="441"/>
      <c r="I850" s="441"/>
      <c r="J850" s="441"/>
      <c r="K850" s="441"/>
      <c r="L850" s="441"/>
      <c r="M850" s="441"/>
      <c r="N850" s="441"/>
      <c r="O850" s="441"/>
      <c r="P850" s="441"/>
      <c r="Q850" s="441"/>
      <c r="R850" s="441"/>
      <c r="S850" s="441"/>
      <c r="T850" s="441"/>
      <c r="U850" s="441"/>
      <c r="V850" s="441"/>
      <c r="W850" s="441"/>
      <c r="X850" s="441"/>
      <c r="Y850" s="441"/>
      <c r="Z850" s="441"/>
      <c r="AA850" s="441"/>
      <c r="AB850" s="441"/>
      <c r="AC850" s="441"/>
      <c r="AD850" s="441"/>
      <c r="AE850" s="441"/>
    </row>
    <row r="851">
      <c r="A851" s="928"/>
      <c r="B851" s="441"/>
      <c r="C851" s="441"/>
      <c r="D851" s="441"/>
      <c r="E851" s="441"/>
      <c r="F851" s="441"/>
      <c r="G851" s="441"/>
      <c r="H851" s="441"/>
      <c r="I851" s="441"/>
      <c r="J851" s="441"/>
      <c r="K851" s="441"/>
      <c r="L851" s="441"/>
      <c r="M851" s="441"/>
      <c r="N851" s="441"/>
      <c r="O851" s="441"/>
      <c r="P851" s="441"/>
      <c r="Q851" s="441"/>
      <c r="R851" s="441"/>
      <c r="S851" s="441"/>
      <c r="T851" s="441"/>
      <c r="U851" s="441"/>
      <c r="V851" s="441"/>
      <c r="W851" s="441"/>
      <c r="X851" s="441"/>
      <c r="Y851" s="441"/>
      <c r="Z851" s="441"/>
      <c r="AA851" s="441"/>
      <c r="AB851" s="441"/>
      <c r="AC851" s="441"/>
      <c r="AD851" s="441"/>
      <c r="AE851" s="441"/>
    </row>
    <row r="852">
      <c r="A852" s="928"/>
      <c r="B852" s="441"/>
      <c r="C852" s="441"/>
      <c r="D852" s="441"/>
      <c r="E852" s="441"/>
      <c r="F852" s="441"/>
      <c r="G852" s="441"/>
      <c r="H852" s="441"/>
      <c r="I852" s="441"/>
      <c r="J852" s="441"/>
      <c r="K852" s="441"/>
      <c r="L852" s="441"/>
      <c r="M852" s="441"/>
      <c r="N852" s="441"/>
      <c r="O852" s="441"/>
      <c r="P852" s="441"/>
      <c r="Q852" s="441"/>
      <c r="R852" s="441"/>
      <c r="S852" s="441"/>
      <c r="T852" s="441"/>
      <c r="U852" s="441"/>
      <c r="V852" s="441"/>
      <c r="W852" s="441"/>
      <c r="X852" s="441"/>
      <c r="Y852" s="441"/>
      <c r="Z852" s="441"/>
      <c r="AA852" s="441"/>
      <c r="AB852" s="441"/>
      <c r="AC852" s="441"/>
      <c r="AD852" s="441"/>
      <c r="AE852" s="441"/>
    </row>
    <row r="853">
      <c r="A853" s="928"/>
      <c r="B853" s="441"/>
      <c r="C853" s="441"/>
      <c r="D853" s="441"/>
      <c r="E853" s="441"/>
      <c r="F853" s="441"/>
      <c r="G853" s="441"/>
      <c r="H853" s="441"/>
      <c r="I853" s="441"/>
      <c r="J853" s="441"/>
      <c r="K853" s="441"/>
      <c r="L853" s="441"/>
      <c r="M853" s="441"/>
      <c r="N853" s="441"/>
      <c r="O853" s="441"/>
      <c r="P853" s="441"/>
      <c r="Q853" s="441"/>
      <c r="R853" s="441"/>
      <c r="S853" s="441"/>
      <c r="T853" s="441"/>
      <c r="U853" s="441"/>
      <c r="V853" s="441"/>
      <c r="W853" s="441"/>
      <c r="X853" s="441"/>
      <c r="Y853" s="441"/>
      <c r="Z853" s="441"/>
      <c r="AA853" s="441"/>
      <c r="AB853" s="441"/>
      <c r="AC853" s="441"/>
      <c r="AD853" s="441"/>
      <c r="AE853" s="441"/>
    </row>
    <row r="854">
      <c r="A854" s="928"/>
      <c r="B854" s="441"/>
      <c r="C854" s="441"/>
      <c r="D854" s="441"/>
      <c r="E854" s="441"/>
      <c r="F854" s="441"/>
      <c r="G854" s="441"/>
      <c r="H854" s="441"/>
      <c r="I854" s="441"/>
      <c r="J854" s="441"/>
      <c r="K854" s="441"/>
      <c r="L854" s="441"/>
      <c r="M854" s="441"/>
      <c r="N854" s="441"/>
      <c r="O854" s="441"/>
      <c r="P854" s="441"/>
      <c r="Q854" s="441"/>
      <c r="R854" s="441"/>
      <c r="S854" s="441"/>
      <c r="T854" s="441"/>
      <c r="U854" s="441"/>
      <c r="V854" s="441"/>
      <c r="W854" s="441"/>
      <c r="X854" s="441"/>
      <c r="Y854" s="441"/>
      <c r="Z854" s="441"/>
      <c r="AA854" s="441"/>
      <c r="AB854" s="441"/>
      <c r="AC854" s="441"/>
      <c r="AD854" s="441"/>
      <c r="AE854" s="441"/>
    </row>
    <row r="855">
      <c r="A855" s="928"/>
      <c r="B855" s="441"/>
      <c r="C855" s="441"/>
      <c r="D855" s="441"/>
      <c r="E855" s="441"/>
      <c r="F855" s="441"/>
      <c r="G855" s="441"/>
      <c r="H855" s="441"/>
      <c r="I855" s="441"/>
      <c r="J855" s="441"/>
      <c r="K855" s="441"/>
      <c r="L855" s="441"/>
      <c r="M855" s="441"/>
      <c r="N855" s="441"/>
      <c r="O855" s="441"/>
      <c r="P855" s="441"/>
      <c r="Q855" s="441"/>
      <c r="R855" s="441"/>
      <c r="S855" s="441"/>
      <c r="T855" s="441"/>
      <c r="U855" s="441"/>
      <c r="V855" s="441"/>
      <c r="W855" s="441"/>
      <c r="X855" s="441"/>
      <c r="Y855" s="441"/>
      <c r="Z855" s="441"/>
      <c r="AA855" s="441"/>
      <c r="AB855" s="441"/>
      <c r="AC855" s="441"/>
      <c r="AD855" s="441"/>
      <c r="AE855" s="441"/>
    </row>
    <row r="856">
      <c r="A856" s="928"/>
      <c r="B856" s="441"/>
      <c r="C856" s="441"/>
      <c r="D856" s="441"/>
      <c r="E856" s="441"/>
      <c r="F856" s="441"/>
      <c r="G856" s="441"/>
      <c r="H856" s="441"/>
      <c r="I856" s="441"/>
      <c r="J856" s="441"/>
      <c r="K856" s="441"/>
      <c r="L856" s="441"/>
      <c r="M856" s="441"/>
      <c r="N856" s="441"/>
      <c r="O856" s="441"/>
      <c r="P856" s="441"/>
      <c r="Q856" s="441"/>
      <c r="R856" s="441"/>
      <c r="S856" s="441"/>
      <c r="T856" s="441"/>
      <c r="U856" s="441"/>
      <c r="V856" s="441"/>
      <c r="W856" s="441"/>
      <c r="X856" s="441"/>
      <c r="Y856" s="441"/>
      <c r="Z856" s="441"/>
      <c r="AA856" s="441"/>
      <c r="AB856" s="441"/>
      <c r="AC856" s="441"/>
      <c r="AD856" s="441"/>
      <c r="AE856" s="441"/>
    </row>
    <row r="857">
      <c r="A857" s="928"/>
      <c r="B857" s="441"/>
      <c r="C857" s="441"/>
      <c r="D857" s="441"/>
      <c r="E857" s="441"/>
      <c r="F857" s="441"/>
      <c r="G857" s="441"/>
      <c r="H857" s="441"/>
      <c r="I857" s="441"/>
      <c r="J857" s="441"/>
      <c r="K857" s="441"/>
      <c r="L857" s="441"/>
      <c r="M857" s="441"/>
      <c r="N857" s="441"/>
      <c r="O857" s="441"/>
      <c r="P857" s="441"/>
      <c r="Q857" s="441"/>
      <c r="R857" s="441"/>
      <c r="S857" s="441"/>
      <c r="T857" s="441"/>
      <c r="U857" s="441"/>
      <c r="V857" s="441"/>
      <c r="W857" s="441"/>
      <c r="X857" s="441"/>
      <c r="Y857" s="441"/>
      <c r="Z857" s="441"/>
      <c r="AA857" s="441"/>
      <c r="AB857" s="441"/>
      <c r="AC857" s="441"/>
      <c r="AD857" s="441"/>
      <c r="AE857" s="441"/>
    </row>
    <row r="858">
      <c r="A858" s="928"/>
      <c r="B858" s="441"/>
      <c r="C858" s="441"/>
      <c r="D858" s="441"/>
      <c r="E858" s="441"/>
      <c r="F858" s="441"/>
      <c r="G858" s="441"/>
      <c r="H858" s="441"/>
      <c r="I858" s="441"/>
      <c r="J858" s="441"/>
      <c r="K858" s="441"/>
      <c r="L858" s="441"/>
      <c r="M858" s="441"/>
      <c r="N858" s="441"/>
      <c r="O858" s="441"/>
      <c r="P858" s="441"/>
      <c r="Q858" s="441"/>
      <c r="R858" s="441"/>
      <c r="S858" s="441"/>
      <c r="T858" s="441"/>
      <c r="U858" s="441"/>
      <c r="V858" s="441"/>
      <c r="W858" s="441"/>
      <c r="X858" s="441"/>
      <c r="Y858" s="441"/>
      <c r="Z858" s="441"/>
      <c r="AA858" s="441"/>
      <c r="AB858" s="441"/>
      <c r="AC858" s="441"/>
      <c r="AD858" s="441"/>
      <c r="AE858" s="441"/>
    </row>
    <row r="859">
      <c r="A859" s="928"/>
      <c r="B859" s="441"/>
      <c r="C859" s="441"/>
      <c r="D859" s="441"/>
      <c r="E859" s="441"/>
      <c r="F859" s="441"/>
      <c r="G859" s="441"/>
      <c r="H859" s="441"/>
      <c r="I859" s="441"/>
      <c r="J859" s="441"/>
      <c r="K859" s="441"/>
      <c r="L859" s="441"/>
      <c r="M859" s="441"/>
      <c r="N859" s="441"/>
      <c r="O859" s="441"/>
      <c r="P859" s="441"/>
      <c r="Q859" s="441"/>
      <c r="R859" s="441"/>
      <c r="S859" s="441"/>
      <c r="T859" s="441"/>
      <c r="U859" s="441"/>
      <c r="V859" s="441"/>
      <c r="W859" s="441"/>
      <c r="X859" s="441"/>
      <c r="Y859" s="441"/>
      <c r="Z859" s="441"/>
      <c r="AA859" s="441"/>
      <c r="AB859" s="441"/>
      <c r="AC859" s="441"/>
      <c r="AD859" s="441"/>
      <c r="AE859" s="441"/>
    </row>
    <row r="860">
      <c r="A860" s="928"/>
      <c r="B860" s="441"/>
      <c r="C860" s="441"/>
      <c r="D860" s="441"/>
      <c r="E860" s="441"/>
      <c r="F860" s="441"/>
      <c r="G860" s="441"/>
      <c r="H860" s="441"/>
      <c r="I860" s="441"/>
      <c r="J860" s="441"/>
      <c r="K860" s="441"/>
      <c r="L860" s="441"/>
      <c r="M860" s="441"/>
      <c r="N860" s="441"/>
      <c r="O860" s="441"/>
      <c r="P860" s="441"/>
      <c r="Q860" s="441"/>
      <c r="R860" s="441"/>
      <c r="S860" s="441"/>
      <c r="T860" s="441"/>
      <c r="U860" s="441"/>
      <c r="V860" s="441"/>
      <c r="W860" s="441"/>
      <c r="X860" s="441"/>
      <c r="Y860" s="441"/>
      <c r="Z860" s="441"/>
      <c r="AA860" s="441"/>
      <c r="AB860" s="441"/>
      <c r="AC860" s="441"/>
      <c r="AD860" s="441"/>
      <c r="AE860" s="441"/>
    </row>
    <row r="861">
      <c r="A861" s="928"/>
      <c r="B861" s="441"/>
      <c r="C861" s="441"/>
      <c r="D861" s="441"/>
      <c r="E861" s="441"/>
      <c r="F861" s="441"/>
      <c r="G861" s="441"/>
      <c r="H861" s="441"/>
      <c r="I861" s="441"/>
      <c r="J861" s="441"/>
      <c r="K861" s="441"/>
      <c r="L861" s="441"/>
      <c r="M861" s="441"/>
      <c r="N861" s="441"/>
      <c r="O861" s="441"/>
      <c r="P861" s="441"/>
      <c r="Q861" s="441"/>
      <c r="R861" s="441"/>
      <c r="S861" s="441"/>
      <c r="T861" s="441"/>
      <c r="U861" s="441"/>
      <c r="V861" s="441"/>
      <c r="W861" s="441"/>
      <c r="X861" s="441"/>
      <c r="Y861" s="441"/>
      <c r="Z861" s="441"/>
      <c r="AA861" s="441"/>
      <c r="AB861" s="441"/>
      <c r="AC861" s="441"/>
      <c r="AD861" s="441"/>
      <c r="AE861" s="441"/>
    </row>
    <row r="862">
      <c r="A862" s="928"/>
      <c r="B862" s="441"/>
      <c r="C862" s="441"/>
      <c r="D862" s="441"/>
      <c r="E862" s="441"/>
      <c r="F862" s="441"/>
      <c r="G862" s="441"/>
      <c r="H862" s="441"/>
      <c r="I862" s="441"/>
      <c r="J862" s="441"/>
      <c r="K862" s="441"/>
      <c r="L862" s="441"/>
      <c r="M862" s="441"/>
      <c r="N862" s="441"/>
      <c r="O862" s="441"/>
      <c r="P862" s="441"/>
      <c r="Q862" s="441"/>
      <c r="R862" s="441"/>
      <c r="S862" s="441"/>
      <c r="T862" s="441"/>
      <c r="U862" s="441"/>
      <c r="V862" s="441"/>
      <c r="W862" s="441"/>
      <c r="X862" s="441"/>
      <c r="Y862" s="441"/>
      <c r="Z862" s="441"/>
      <c r="AA862" s="441"/>
      <c r="AB862" s="441"/>
      <c r="AC862" s="441"/>
      <c r="AD862" s="441"/>
      <c r="AE862" s="441"/>
    </row>
    <row r="863">
      <c r="A863" s="928"/>
      <c r="B863" s="441"/>
      <c r="C863" s="441"/>
      <c r="D863" s="441"/>
      <c r="E863" s="441"/>
      <c r="F863" s="441"/>
      <c r="G863" s="441"/>
      <c r="H863" s="441"/>
      <c r="I863" s="441"/>
      <c r="J863" s="441"/>
      <c r="K863" s="441"/>
      <c r="L863" s="441"/>
      <c r="M863" s="441"/>
      <c r="N863" s="441"/>
      <c r="O863" s="441"/>
      <c r="P863" s="441"/>
      <c r="Q863" s="441"/>
      <c r="R863" s="441"/>
      <c r="S863" s="441"/>
      <c r="T863" s="441"/>
      <c r="U863" s="441"/>
      <c r="V863" s="441"/>
      <c r="W863" s="441"/>
      <c r="X863" s="441"/>
      <c r="Y863" s="441"/>
      <c r="Z863" s="441"/>
      <c r="AA863" s="441"/>
      <c r="AB863" s="441"/>
      <c r="AC863" s="441"/>
      <c r="AD863" s="441"/>
      <c r="AE863" s="441"/>
    </row>
    <row r="864">
      <c r="A864" s="928"/>
      <c r="B864" s="441"/>
      <c r="C864" s="441"/>
      <c r="D864" s="441"/>
      <c r="E864" s="441"/>
      <c r="F864" s="441"/>
      <c r="G864" s="441"/>
      <c r="H864" s="441"/>
      <c r="I864" s="441"/>
      <c r="J864" s="441"/>
      <c r="K864" s="441"/>
      <c r="L864" s="441"/>
      <c r="M864" s="441"/>
      <c r="N864" s="441"/>
      <c r="O864" s="441"/>
      <c r="P864" s="441"/>
      <c r="Q864" s="441"/>
      <c r="R864" s="441"/>
      <c r="S864" s="441"/>
      <c r="T864" s="441"/>
      <c r="U864" s="441"/>
      <c r="V864" s="441"/>
      <c r="W864" s="441"/>
      <c r="X864" s="441"/>
      <c r="Y864" s="441"/>
      <c r="Z864" s="441"/>
      <c r="AA864" s="441"/>
      <c r="AB864" s="441"/>
      <c r="AC864" s="441"/>
      <c r="AD864" s="441"/>
      <c r="AE864" s="441"/>
    </row>
    <row r="865">
      <c r="A865" s="928"/>
      <c r="B865" s="441"/>
      <c r="C865" s="441"/>
      <c r="D865" s="441"/>
      <c r="E865" s="441"/>
      <c r="F865" s="441"/>
      <c r="G865" s="441"/>
      <c r="H865" s="441"/>
      <c r="I865" s="441"/>
      <c r="J865" s="441"/>
      <c r="K865" s="441"/>
      <c r="L865" s="441"/>
      <c r="M865" s="441"/>
      <c r="N865" s="441"/>
      <c r="O865" s="441"/>
      <c r="P865" s="441"/>
      <c r="Q865" s="441"/>
      <c r="R865" s="441"/>
      <c r="S865" s="441"/>
      <c r="T865" s="441"/>
      <c r="U865" s="441"/>
      <c r="V865" s="441"/>
      <c r="W865" s="441"/>
      <c r="X865" s="441"/>
      <c r="Y865" s="441"/>
      <c r="Z865" s="441"/>
      <c r="AA865" s="441"/>
      <c r="AB865" s="441"/>
      <c r="AC865" s="441"/>
      <c r="AD865" s="441"/>
      <c r="AE865" s="441"/>
    </row>
    <row r="866">
      <c r="A866" s="928"/>
      <c r="B866" s="441"/>
      <c r="C866" s="441"/>
      <c r="D866" s="441"/>
      <c r="E866" s="441"/>
      <c r="F866" s="441"/>
      <c r="G866" s="441"/>
      <c r="H866" s="441"/>
      <c r="I866" s="441"/>
      <c r="J866" s="441"/>
      <c r="K866" s="441"/>
      <c r="L866" s="441"/>
      <c r="M866" s="441"/>
      <c r="N866" s="441"/>
      <c r="O866" s="441"/>
      <c r="P866" s="441"/>
      <c r="Q866" s="441"/>
      <c r="R866" s="441"/>
      <c r="S866" s="441"/>
      <c r="T866" s="441"/>
      <c r="U866" s="441"/>
      <c r="V866" s="441"/>
      <c r="W866" s="441"/>
      <c r="X866" s="441"/>
      <c r="Y866" s="441"/>
      <c r="Z866" s="441"/>
      <c r="AA866" s="441"/>
      <c r="AB866" s="441"/>
      <c r="AC866" s="441"/>
      <c r="AD866" s="441"/>
      <c r="AE866" s="441"/>
    </row>
    <row r="867">
      <c r="A867" s="928"/>
      <c r="B867" s="441"/>
      <c r="C867" s="441"/>
      <c r="D867" s="441"/>
      <c r="E867" s="441"/>
      <c r="F867" s="441"/>
      <c r="G867" s="441"/>
      <c r="H867" s="441"/>
      <c r="I867" s="441"/>
      <c r="J867" s="441"/>
      <c r="K867" s="441"/>
      <c r="L867" s="441"/>
      <c r="M867" s="441"/>
      <c r="N867" s="441"/>
      <c r="O867" s="441"/>
      <c r="P867" s="441"/>
      <c r="Q867" s="441"/>
      <c r="R867" s="441"/>
      <c r="S867" s="441"/>
      <c r="T867" s="441"/>
      <c r="U867" s="441"/>
      <c r="V867" s="441"/>
      <c r="W867" s="441"/>
      <c r="X867" s="441"/>
      <c r="Y867" s="441"/>
      <c r="Z867" s="441"/>
      <c r="AA867" s="441"/>
      <c r="AB867" s="441"/>
      <c r="AC867" s="441"/>
      <c r="AD867" s="441"/>
      <c r="AE867" s="441"/>
    </row>
    <row r="868">
      <c r="A868" s="928"/>
      <c r="B868" s="441"/>
      <c r="C868" s="441"/>
      <c r="D868" s="441"/>
      <c r="E868" s="441"/>
      <c r="F868" s="441"/>
      <c r="G868" s="441"/>
      <c r="H868" s="441"/>
      <c r="I868" s="441"/>
      <c r="J868" s="441"/>
      <c r="K868" s="441"/>
      <c r="L868" s="441"/>
      <c r="M868" s="441"/>
      <c r="N868" s="441"/>
      <c r="O868" s="441"/>
      <c r="P868" s="441"/>
      <c r="Q868" s="441"/>
      <c r="R868" s="441"/>
      <c r="S868" s="441"/>
      <c r="T868" s="441"/>
      <c r="U868" s="441"/>
      <c r="V868" s="441"/>
      <c r="W868" s="441"/>
      <c r="X868" s="441"/>
      <c r="Y868" s="441"/>
      <c r="Z868" s="441"/>
      <c r="AA868" s="441"/>
      <c r="AB868" s="441"/>
      <c r="AC868" s="441"/>
      <c r="AD868" s="441"/>
      <c r="AE868" s="441"/>
    </row>
    <row r="869">
      <c r="A869" s="928"/>
      <c r="B869" s="441"/>
      <c r="C869" s="441"/>
      <c r="D869" s="441"/>
      <c r="E869" s="441"/>
      <c r="F869" s="441"/>
      <c r="G869" s="441"/>
      <c r="H869" s="441"/>
      <c r="I869" s="441"/>
      <c r="J869" s="441"/>
      <c r="K869" s="441"/>
      <c r="L869" s="441"/>
      <c r="M869" s="441"/>
      <c r="N869" s="441"/>
      <c r="O869" s="441"/>
      <c r="P869" s="441"/>
      <c r="Q869" s="441"/>
      <c r="R869" s="441"/>
      <c r="S869" s="441"/>
      <c r="T869" s="441"/>
      <c r="U869" s="441"/>
      <c r="V869" s="441"/>
      <c r="W869" s="441"/>
      <c r="X869" s="441"/>
      <c r="Y869" s="441"/>
      <c r="Z869" s="441"/>
      <c r="AA869" s="441"/>
      <c r="AB869" s="441"/>
      <c r="AC869" s="441"/>
      <c r="AD869" s="441"/>
      <c r="AE869" s="441"/>
    </row>
    <row r="870">
      <c r="A870" s="928"/>
      <c r="B870" s="441"/>
      <c r="C870" s="441"/>
      <c r="D870" s="441"/>
      <c r="E870" s="441"/>
      <c r="F870" s="441"/>
      <c r="G870" s="441"/>
      <c r="H870" s="441"/>
      <c r="I870" s="441"/>
      <c r="J870" s="441"/>
      <c r="K870" s="441"/>
      <c r="L870" s="441"/>
      <c r="M870" s="441"/>
      <c r="N870" s="441"/>
      <c r="O870" s="441"/>
      <c r="P870" s="441"/>
      <c r="Q870" s="441"/>
      <c r="R870" s="441"/>
      <c r="S870" s="441"/>
      <c r="T870" s="441"/>
      <c r="U870" s="441"/>
      <c r="V870" s="441"/>
      <c r="W870" s="441"/>
      <c r="X870" s="441"/>
      <c r="Y870" s="441"/>
      <c r="Z870" s="441"/>
      <c r="AA870" s="441"/>
      <c r="AB870" s="441"/>
      <c r="AC870" s="441"/>
      <c r="AD870" s="441"/>
      <c r="AE870" s="441"/>
    </row>
    <row r="871">
      <c r="A871" s="928"/>
      <c r="B871" s="441"/>
      <c r="C871" s="441"/>
      <c r="D871" s="441"/>
      <c r="E871" s="441"/>
      <c r="F871" s="441"/>
      <c r="G871" s="441"/>
      <c r="H871" s="441"/>
      <c r="I871" s="441"/>
      <c r="J871" s="441"/>
      <c r="K871" s="441"/>
      <c r="L871" s="441"/>
      <c r="M871" s="441"/>
      <c r="N871" s="441"/>
      <c r="O871" s="441"/>
      <c r="P871" s="441"/>
      <c r="Q871" s="441"/>
      <c r="R871" s="441"/>
      <c r="S871" s="441"/>
      <c r="T871" s="441"/>
      <c r="U871" s="441"/>
      <c r="V871" s="441"/>
      <c r="W871" s="441"/>
      <c r="X871" s="441"/>
      <c r="Y871" s="441"/>
      <c r="Z871" s="441"/>
      <c r="AA871" s="441"/>
      <c r="AB871" s="441"/>
      <c r="AC871" s="441"/>
      <c r="AD871" s="441"/>
      <c r="AE871" s="441"/>
    </row>
    <row r="872">
      <c r="A872" s="928"/>
      <c r="B872" s="441"/>
      <c r="C872" s="441"/>
      <c r="D872" s="441"/>
      <c r="E872" s="441"/>
      <c r="F872" s="441"/>
      <c r="G872" s="441"/>
      <c r="H872" s="441"/>
      <c r="I872" s="441"/>
      <c r="J872" s="441"/>
      <c r="K872" s="441"/>
      <c r="L872" s="441"/>
      <c r="M872" s="441"/>
      <c r="N872" s="441"/>
      <c r="O872" s="441"/>
      <c r="P872" s="441"/>
      <c r="Q872" s="441"/>
      <c r="R872" s="441"/>
      <c r="S872" s="441"/>
      <c r="T872" s="441"/>
      <c r="U872" s="441"/>
      <c r="V872" s="441"/>
      <c r="W872" s="441"/>
      <c r="X872" s="441"/>
      <c r="Y872" s="441"/>
      <c r="Z872" s="441"/>
      <c r="AA872" s="441"/>
      <c r="AB872" s="441"/>
      <c r="AC872" s="441"/>
      <c r="AD872" s="441"/>
      <c r="AE872" s="441"/>
    </row>
    <row r="873">
      <c r="A873" s="928"/>
      <c r="B873" s="441"/>
      <c r="C873" s="441"/>
      <c r="D873" s="441"/>
      <c r="E873" s="441"/>
      <c r="F873" s="441"/>
      <c r="G873" s="441"/>
      <c r="H873" s="441"/>
      <c r="I873" s="441"/>
      <c r="J873" s="441"/>
      <c r="K873" s="441"/>
      <c r="L873" s="441"/>
      <c r="M873" s="441"/>
      <c r="N873" s="441"/>
      <c r="O873" s="441"/>
      <c r="P873" s="441"/>
      <c r="Q873" s="441"/>
      <c r="R873" s="441"/>
      <c r="S873" s="441"/>
      <c r="T873" s="441"/>
      <c r="U873" s="441"/>
      <c r="V873" s="441"/>
      <c r="W873" s="441"/>
      <c r="X873" s="441"/>
      <c r="Y873" s="441"/>
      <c r="Z873" s="441"/>
      <c r="AA873" s="441"/>
      <c r="AB873" s="441"/>
      <c r="AC873" s="441"/>
      <c r="AD873" s="441"/>
      <c r="AE873" s="441"/>
    </row>
    <row r="874">
      <c r="A874" s="928"/>
      <c r="B874" s="441"/>
      <c r="C874" s="441"/>
      <c r="D874" s="441"/>
      <c r="E874" s="441"/>
      <c r="F874" s="441"/>
      <c r="G874" s="441"/>
      <c r="H874" s="441"/>
      <c r="I874" s="441"/>
      <c r="J874" s="441"/>
      <c r="K874" s="441"/>
      <c r="L874" s="441"/>
      <c r="M874" s="441"/>
      <c r="N874" s="441"/>
      <c r="O874" s="441"/>
      <c r="P874" s="441"/>
      <c r="Q874" s="441"/>
      <c r="R874" s="441"/>
      <c r="S874" s="441"/>
      <c r="T874" s="441"/>
      <c r="U874" s="441"/>
      <c r="V874" s="441"/>
      <c r="W874" s="441"/>
      <c r="X874" s="441"/>
      <c r="Y874" s="441"/>
      <c r="Z874" s="441"/>
      <c r="AA874" s="441"/>
      <c r="AB874" s="441"/>
      <c r="AC874" s="441"/>
      <c r="AD874" s="441"/>
      <c r="AE874" s="441"/>
    </row>
    <row r="875">
      <c r="A875" s="928"/>
      <c r="B875" s="441"/>
      <c r="C875" s="441"/>
      <c r="D875" s="441"/>
      <c r="E875" s="441"/>
      <c r="F875" s="441"/>
      <c r="G875" s="441"/>
      <c r="H875" s="441"/>
      <c r="I875" s="441"/>
      <c r="J875" s="441"/>
      <c r="K875" s="441"/>
      <c r="L875" s="441"/>
      <c r="M875" s="441"/>
      <c r="N875" s="441"/>
      <c r="O875" s="441"/>
      <c r="P875" s="441"/>
      <c r="Q875" s="441"/>
      <c r="R875" s="441"/>
      <c r="S875" s="441"/>
      <c r="T875" s="441"/>
      <c r="U875" s="441"/>
      <c r="V875" s="441"/>
      <c r="W875" s="441"/>
      <c r="X875" s="441"/>
      <c r="Y875" s="441"/>
      <c r="Z875" s="441"/>
      <c r="AA875" s="441"/>
      <c r="AB875" s="441"/>
      <c r="AC875" s="441"/>
      <c r="AD875" s="441"/>
      <c r="AE875" s="441"/>
    </row>
    <row r="876">
      <c r="A876" s="928"/>
      <c r="B876" s="441"/>
      <c r="C876" s="441"/>
      <c r="D876" s="441"/>
      <c r="E876" s="441"/>
      <c r="F876" s="441"/>
      <c r="G876" s="441"/>
      <c r="H876" s="441"/>
      <c r="I876" s="441"/>
      <c r="J876" s="441"/>
      <c r="K876" s="441"/>
      <c r="L876" s="441"/>
      <c r="M876" s="441"/>
      <c r="N876" s="441"/>
      <c r="O876" s="441"/>
      <c r="P876" s="441"/>
      <c r="Q876" s="441"/>
      <c r="R876" s="441"/>
      <c r="S876" s="441"/>
      <c r="T876" s="441"/>
      <c r="U876" s="441"/>
      <c r="V876" s="441"/>
      <c r="W876" s="441"/>
      <c r="X876" s="441"/>
      <c r="Y876" s="441"/>
      <c r="Z876" s="441"/>
      <c r="AA876" s="441"/>
      <c r="AB876" s="441"/>
      <c r="AC876" s="441"/>
      <c r="AD876" s="441"/>
      <c r="AE876" s="441"/>
    </row>
    <row r="877">
      <c r="A877" s="928"/>
      <c r="B877" s="441"/>
      <c r="C877" s="441"/>
      <c r="D877" s="441"/>
      <c r="E877" s="441"/>
      <c r="F877" s="441"/>
      <c r="G877" s="441"/>
      <c r="H877" s="441"/>
      <c r="I877" s="441"/>
      <c r="J877" s="441"/>
      <c r="K877" s="441"/>
      <c r="L877" s="441"/>
      <c r="M877" s="441"/>
      <c r="N877" s="441"/>
      <c r="O877" s="441"/>
      <c r="P877" s="441"/>
      <c r="Q877" s="441"/>
      <c r="R877" s="441"/>
      <c r="S877" s="441"/>
      <c r="T877" s="441"/>
      <c r="U877" s="441"/>
      <c r="V877" s="441"/>
      <c r="W877" s="441"/>
      <c r="X877" s="441"/>
      <c r="Y877" s="441"/>
      <c r="Z877" s="441"/>
      <c r="AA877" s="441"/>
      <c r="AB877" s="441"/>
      <c r="AC877" s="441"/>
      <c r="AD877" s="441"/>
      <c r="AE877" s="441"/>
    </row>
    <row r="878">
      <c r="A878" s="928"/>
      <c r="B878" s="441"/>
      <c r="C878" s="441"/>
      <c r="D878" s="441"/>
      <c r="E878" s="441"/>
      <c r="F878" s="441"/>
      <c r="G878" s="441"/>
      <c r="H878" s="441"/>
      <c r="I878" s="441"/>
      <c r="J878" s="441"/>
      <c r="K878" s="441"/>
      <c r="L878" s="441"/>
      <c r="M878" s="441"/>
      <c r="N878" s="441"/>
      <c r="O878" s="441"/>
      <c r="P878" s="441"/>
      <c r="Q878" s="441"/>
      <c r="R878" s="441"/>
      <c r="S878" s="441"/>
      <c r="T878" s="441"/>
      <c r="U878" s="441"/>
      <c r="V878" s="441"/>
      <c r="W878" s="441"/>
      <c r="X878" s="441"/>
      <c r="Y878" s="441"/>
      <c r="Z878" s="441"/>
      <c r="AA878" s="441"/>
      <c r="AB878" s="441"/>
      <c r="AC878" s="441"/>
      <c r="AD878" s="441"/>
      <c r="AE878" s="441"/>
    </row>
    <row r="879">
      <c r="A879" s="928"/>
      <c r="B879" s="441"/>
      <c r="C879" s="441"/>
      <c r="D879" s="441"/>
      <c r="E879" s="441"/>
      <c r="F879" s="441"/>
      <c r="G879" s="441"/>
      <c r="H879" s="441"/>
      <c r="I879" s="441"/>
      <c r="J879" s="441"/>
      <c r="K879" s="441"/>
      <c r="L879" s="441"/>
      <c r="M879" s="441"/>
      <c r="N879" s="441"/>
      <c r="O879" s="441"/>
      <c r="P879" s="441"/>
      <c r="Q879" s="441"/>
      <c r="R879" s="441"/>
      <c r="S879" s="441"/>
      <c r="T879" s="441"/>
      <c r="U879" s="441"/>
      <c r="V879" s="441"/>
      <c r="W879" s="441"/>
      <c r="X879" s="441"/>
      <c r="Y879" s="441"/>
      <c r="Z879" s="441"/>
      <c r="AA879" s="441"/>
      <c r="AB879" s="441"/>
      <c r="AC879" s="441"/>
      <c r="AD879" s="441"/>
      <c r="AE879" s="441"/>
    </row>
    <row r="880">
      <c r="A880" s="928"/>
      <c r="B880" s="441"/>
      <c r="C880" s="441"/>
      <c r="D880" s="441"/>
      <c r="E880" s="441"/>
      <c r="F880" s="441"/>
      <c r="G880" s="441"/>
      <c r="H880" s="441"/>
      <c r="I880" s="441"/>
      <c r="J880" s="441"/>
      <c r="K880" s="441"/>
      <c r="L880" s="441"/>
      <c r="M880" s="441"/>
      <c r="N880" s="441"/>
      <c r="O880" s="441"/>
      <c r="P880" s="441"/>
      <c r="Q880" s="441"/>
      <c r="R880" s="441"/>
      <c r="S880" s="441"/>
      <c r="T880" s="441"/>
      <c r="U880" s="441"/>
      <c r="V880" s="441"/>
      <c r="W880" s="441"/>
      <c r="X880" s="441"/>
      <c r="Y880" s="441"/>
      <c r="Z880" s="441"/>
      <c r="AA880" s="441"/>
      <c r="AB880" s="441"/>
      <c r="AC880" s="441"/>
      <c r="AD880" s="441"/>
      <c r="AE880" s="441"/>
    </row>
    <row r="881">
      <c r="A881" s="928"/>
      <c r="B881" s="441"/>
      <c r="C881" s="441"/>
      <c r="D881" s="441"/>
      <c r="E881" s="441"/>
      <c r="F881" s="441"/>
      <c r="G881" s="441"/>
      <c r="H881" s="441"/>
      <c r="I881" s="441"/>
      <c r="J881" s="441"/>
      <c r="K881" s="441"/>
      <c r="L881" s="441"/>
      <c r="M881" s="441"/>
      <c r="N881" s="441"/>
      <c r="O881" s="441"/>
      <c r="P881" s="441"/>
      <c r="Q881" s="441"/>
      <c r="R881" s="441"/>
      <c r="S881" s="441"/>
      <c r="T881" s="441"/>
      <c r="U881" s="441"/>
      <c r="V881" s="441"/>
      <c r="W881" s="441"/>
      <c r="X881" s="441"/>
      <c r="Y881" s="441"/>
      <c r="Z881" s="441"/>
      <c r="AA881" s="441"/>
      <c r="AB881" s="441"/>
      <c r="AC881" s="441"/>
      <c r="AD881" s="441"/>
      <c r="AE881" s="441"/>
    </row>
    <row r="882">
      <c r="A882" s="928"/>
      <c r="B882" s="441"/>
      <c r="C882" s="441"/>
      <c r="D882" s="441"/>
      <c r="E882" s="441"/>
      <c r="F882" s="441"/>
      <c r="G882" s="441"/>
      <c r="H882" s="441"/>
      <c r="I882" s="441"/>
      <c r="J882" s="441"/>
      <c r="K882" s="441"/>
      <c r="L882" s="441"/>
      <c r="M882" s="441"/>
      <c r="N882" s="441"/>
      <c r="O882" s="441"/>
      <c r="P882" s="441"/>
      <c r="Q882" s="441"/>
      <c r="R882" s="441"/>
      <c r="S882" s="441"/>
      <c r="T882" s="441"/>
      <c r="U882" s="441"/>
      <c r="V882" s="441"/>
      <c r="W882" s="441"/>
      <c r="X882" s="441"/>
      <c r="Y882" s="441"/>
      <c r="Z882" s="441"/>
      <c r="AA882" s="441"/>
      <c r="AB882" s="441"/>
      <c r="AC882" s="441"/>
      <c r="AD882" s="441"/>
      <c r="AE882" s="441"/>
    </row>
    <row r="883">
      <c r="A883" s="928"/>
      <c r="B883" s="441"/>
      <c r="C883" s="441"/>
      <c r="D883" s="441"/>
      <c r="E883" s="441"/>
      <c r="F883" s="441"/>
      <c r="G883" s="441"/>
      <c r="H883" s="441"/>
      <c r="I883" s="441"/>
      <c r="J883" s="441"/>
      <c r="K883" s="441"/>
      <c r="L883" s="441"/>
      <c r="M883" s="441"/>
      <c r="N883" s="441"/>
      <c r="O883" s="441"/>
      <c r="P883" s="441"/>
      <c r="Q883" s="441"/>
      <c r="R883" s="441"/>
      <c r="S883" s="441"/>
      <c r="T883" s="441"/>
      <c r="U883" s="441"/>
      <c r="V883" s="441"/>
      <c r="W883" s="441"/>
      <c r="X883" s="441"/>
      <c r="Y883" s="441"/>
      <c r="Z883" s="441"/>
      <c r="AA883" s="441"/>
      <c r="AB883" s="441"/>
      <c r="AC883" s="441"/>
      <c r="AD883" s="441"/>
      <c r="AE883" s="441"/>
    </row>
    <row r="884">
      <c r="A884" s="928"/>
      <c r="B884" s="441"/>
      <c r="C884" s="441"/>
      <c r="D884" s="441"/>
      <c r="E884" s="441"/>
      <c r="F884" s="441"/>
      <c r="G884" s="441"/>
      <c r="H884" s="441"/>
      <c r="I884" s="441"/>
      <c r="J884" s="441"/>
      <c r="K884" s="441"/>
      <c r="L884" s="441"/>
      <c r="M884" s="441"/>
      <c r="N884" s="441"/>
      <c r="O884" s="441"/>
      <c r="P884" s="441"/>
      <c r="Q884" s="441"/>
      <c r="R884" s="441"/>
      <c r="S884" s="441"/>
      <c r="T884" s="441"/>
      <c r="U884" s="441"/>
      <c r="V884" s="441"/>
      <c r="W884" s="441"/>
      <c r="X884" s="441"/>
      <c r="Y884" s="441"/>
      <c r="Z884" s="441"/>
      <c r="AA884" s="441"/>
      <c r="AB884" s="441"/>
      <c r="AC884" s="441"/>
      <c r="AD884" s="441"/>
      <c r="AE884" s="441"/>
    </row>
    <row r="885">
      <c r="A885" s="928"/>
      <c r="B885" s="441"/>
      <c r="C885" s="441"/>
      <c r="D885" s="441"/>
      <c r="E885" s="441"/>
      <c r="F885" s="441"/>
      <c r="G885" s="441"/>
      <c r="H885" s="441"/>
      <c r="I885" s="441"/>
      <c r="J885" s="441"/>
      <c r="K885" s="441"/>
      <c r="L885" s="441"/>
      <c r="M885" s="441"/>
      <c r="N885" s="441"/>
      <c r="O885" s="441"/>
      <c r="P885" s="441"/>
      <c r="Q885" s="441"/>
      <c r="R885" s="441"/>
      <c r="S885" s="441"/>
      <c r="T885" s="441"/>
      <c r="U885" s="441"/>
      <c r="V885" s="441"/>
      <c r="W885" s="441"/>
      <c r="X885" s="441"/>
      <c r="Y885" s="441"/>
      <c r="Z885" s="441"/>
      <c r="AA885" s="441"/>
      <c r="AB885" s="441"/>
      <c r="AC885" s="441"/>
      <c r="AD885" s="441"/>
      <c r="AE885" s="441"/>
    </row>
    <row r="886">
      <c r="A886" s="928"/>
      <c r="B886" s="441"/>
      <c r="C886" s="441"/>
      <c r="D886" s="441"/>
      <c r="E886" s="441"/>
      <c r="F886" s="441"/>
      <c r="G886" s="441"/>
      <c r="H886" s="441"/>
      <c r="I886" s="441"/>
      <c r="J886" s="441"/>
      <c r="K886" s="441"/>
      <c r="L886" s="441"/>
      <c r="M886" s="441"/>
      <c r="N886" s="441"/>
      <c r="O886" s="441"/>
      <c r="P886" s="441"/>
      <c r="Q886" s="441"/>
      <c r="R886" s="441"/>
      <c r="S886" s="441"/>
      <c r="T886" s="441"/>
      <c r="U886" s="441"/>
      <c r="V886" s="441"/>
      <c r="W886" s="441"/>
      <c r="X886" s="441"/>
      <c r="Y886" s="441"/>
      <c r="Z886" s="441"/>
      <c r="AA886" s="441"/>
      <c r="AB886" s="441"/>
      <c r="AC886" s="441"/>
      <c r="AD886" s="441"/>
      <c r="AE886" s="441"/>
    </row>
    <row r="887">
      <c r="A887" s="928"/>
      <c r="B887" s="441"/>
      <c r="C887" s="441"/>
      <c r="D887" s="441"/>
      <c r="E887" s="441"/>
      <c r="F887" s="441"/>
      <c r="G887" s="441"/>
      <c r="H887" s="441"/>
      <c r="I887" s="441"/>
      <c r="J887" s="441"/>
      <c r="K887" s="441"/>
      <c r="L887" s="441"/>
      <c r="M887" s="441"/>
      <c r="N887" s="441"/>
      <c r="O887" s="441"/>
      <c r="P887" s="441"/>
      <c r="Q887" s="441"/>
      <c r="R887" s="441"/>
      <c r="S887" s="441"/>
      <c r="T887" s="441"/>
      <c r="U887" s="441"/>
      <c r="V887" s="441"/>
      <c r="W887" s="441"/>
      <c r="X887" s="441"/>
      <c r="Y887" s="441"/>
      <c r="Z887" s="441"/>
      <c r="AA887" s="441"/>
      <c r="AB887" s="441"/>
      <c r="AC887" s="441"/>
      <c r="AD887" s="441"/>
      <c r="AE887" s="441"/>
    </row>
    <row r="888">
      <c r="A888" s="928"/>
      <c r="B888" s="441"/>
      <c r="C888" s="441"/>
      <c r="D888" s="441"/>
      <c r="E888" s="441"/>
      <c r="F888" s="441"/>
      <c r="G888" s="441"/>
      <c r="H888" s="441"/>
      <c r="I888" s="441"/>
      <c r="J888" s="441"/>
      <c r="K888" s="441"/>
      <c r="L888" s="441"/>
      <c r="M888" s="441"/>
      <c r="N888" s="441"/>
      <c r="O888" s="441"/>
      <c r="P888" s="441"/>
      <c r="Q888" s="441"/>
      <c r="R888" s="441"/>
      <c r="S888" s="441"/>
      <c r="T888" s="441"/>
      <c r="U888" s="441"/>
      <c r="V888" s="441"/>
      <c r="W888" s="441"/>
      <c r="X888" s="441"/>
      <c r="Y888" s="441"/>
      <c r="Z888" s="441"/>
      <c r="AA888" s="441"/>
      <c r="AB888" s="441"/>
      <c r="AC888" s="441"/>
      <c r="AD888" s="441"/>
      <c r="AE888" s="441"/>
    </row>
    <row r="889">
      <c r="A889" s="928"/>
      <c r="B889" s="441"/>
      <c r="C889" s="441"/>
      <c r="D889" s="441"/>
      <c r="E889" s="441"/>
      <c r="F889" s="441"/>
      <c r="G889" s="441"/>
      <c r="H889" s="441"/>
      <c r="I889" s="441"/>
      <c r="J889" s="441"/>
      <c r="K889" s="441"/>
      <c r="L889" s="441"/>
      <c r="M889" s="441"/>
      <c r="N889" s="441"/>
      <c r="O889" s="441"/>
      <c r="P889" s="441"/>
      <c r="Q889" s="441"/>
      <c r="R889" s="441"/>
      <c r="S889" s="441"/>
      <c r="T889" s="441"/>
      <c r="U889" s="441"/>
      <c r="V889" s="441"/>
      <c r="W889" s="441"/>
      <c r="X889" s="441"/>
      <c r="Y889" s="441"/>
      <c r="Z889" s="441"/>
      <c r="AA889" s="441"/>
      <c r="AB889" s="441"/>
      <c r="AC889" s="441"/>
      <c r="AD889" s="441"/>
      <c r="AE889" s="441"/>
    </row>
    <row r="890">
      <c r="A890" s="928"/>
      <c r="B890" s="441"/>
      <c r="C890" s="441"/>
      <c r="D890" s="441"/>
      <c r="E890" s="441"/>
      <c r="F890" s="441"/>
      <c r="G890" s="441"/>
      <c r="H890" s="441"/>
      <c r="I890" s="441"/>
      <c r="J890" s="441"/>
      <c r="K890" s="441"/>
      <c r="L890" s="441"/>
      <c r="M890" s="441"/>
      <c r="N890" s="441"/>
      <c r="O890" s="441"/>
      <c r="P890" s="441"/>
      <c r="Q890" s="441"/>
      <c r="R890" s="441"/>
      <c r="S890" s="441"/>
      <c r="T890" s="441"/>
      <c r="U890" s="441"/>
      <c r="V890" s="441"/>
      <c r="W890" s="441"/>
      <c r="X890" s="441"/>
      <c r="Y890" s="441"/>
      <c r="Z890" s="441"/>
      <c r="AA890" s="441"/>
      <c r="AB890" s="441"/>
      <c r="AC890" s="441"/>
      <c r="AD890" s="441"/>
      <c r="AE890" s="441"/>
    </row>
    <row r="891">
      <c r="A891" s="928"/>
      <c r="B891" s="441"/>
      <c r="C891" s="441"/>
      <c r="D891" s="441"/>
      <c r="E891" s="441"/>
      <c r="F891" s="441"/>
      <c r="G891" s="441"/>
      <c r="H891" s="441"/>
      <c r="I891" s="441"/>
      <c r="J891" s="441"/>
      <c r="K891" s="441"/>
      <c r="L891" s="441"/>
      <c r="M891" s="441"/>
      <c r="N891" s="441"/>
      <c r="O891" s="441"/>
      <c r="P891" s="441"/>
      <c r="Q891" s="441"/>
      <c r="R891" s="441"/>
      <c r="S891" s="441"/>
      <c r="T891" s="441"/>
      <c r="U891" s="441"/>
      <c r="V891" s="441"/>
      <c r="W891" s="441"/>
      <c r="X891" s="441"/>
      <c r="Y891" s="441"/>
      <c r="Z891" s="441"/>
      <c r="AA891" s="441"/>
      <c r="AB891" s="441"/>
      <c r="AC891" s="441"/>
      <c r="AD891" s="441"/>
      <c r="AE891" s="441"/>
    </row>
    <row r="892">
      <c r="A892" s="928"/>
      <c r="B892" s="441"/>
      <c r="C892" s="441"/>
      <c r="D892" s="441"/>
      <c r="E892" s="441"/>
      <c r="F892" s="441"/>
      <c r="G892" s="441"/>
      <c r="H892" s="441"/>
      <c r="I892" s="441"/>
      <c r="J892" s="441"/>
      <c r="K892" s="441"/>
      <c r="L892" s="441"/>
      <c r="M892" s="441"/>
      <c r="N892" s="441"/>
      <c r="O892" s="441"/>
      <c r="P892" s="441"/>
      <c r="Q892" s="441"/>
      <c r="R892" s="441"/>
      <c r="S892" s="441"/>
      <c r="T892" s="441"/>
      <c r="U892" s="441"/>
      <c r="V892" s="441"/>
      <c r="W892" s="441"/>
      <c r="X892" s="441"/>
      <c r="Y892" s="441"/>
      <c r="Z892" s="441"/>
      <c r="AA892" s="441"/>
      <c r="AB892" s="441"/>
      <c r="AC892" s="441"/>
      <c r="AD892" s="441"/>
      <c r="AE892" s="441"/>
    </row>
    <row r="893">
      <c r="A893" s="928"/>
      <c r="B893" s="441"/>
      <c r="C893" s="441"/>
      <c r="D893" s="441"/>
      <c r="E893" s="441"/>
      <c r="F893" s="441"/>
      <c r="G893" s="441"/>
      <c r="H893" s="441"/>
      <c r="I893" s="441"/>
      <c r="J893" s="441"/>
      <c r="K893" s="441"/>
      <c r="L893" s="441"/>
      <c r="M893" s="441"/>
      <c r="N893" s="441"/>
      <c r="O893" s="441"/>
      <c r="P893" s="441"/>
      <c r="Q893" s="441"/>
      <c r="R893" s="441"/>
      <c r="S893" s="441"/>
      <c r="T893" s="441"/>
      <c r="U893" s="441"/>
      <c r="V893" s="441"/>
      <c r="W893" s="441"/>
      <c r="X893" s="441"/>
      <c r="Y893" s="441"/>
      <c r="Z893" s="441"/>
      <c r="AA893" s="441"/>
      <c r="AB893" s="441"/>
      <c r="AC893" s="441"/>
      <c r="AD893" s="441"/>
      <c r="AE893" s="441"/>
    </row>
    <row r="894">
      <c r="A894" s="928"/>
      <c r="B894" s="441"/>
      <c r="C894" s="441"/>
      <c r="D894" s="441"/>
      <c r="E894" s="441"/>
      <c r="F894" s="441"/>
      <c r="G894" s="441"/>
      <c r="H894" s="441"/>
      <c r="I894" s="441"/>
      <c r="J894" s="441"/>
      <c r="K894" s="441"/>
      <c r="L894" s="441"/>
      <c r="M894" s="441"/>
      <c r="N894" s="441"/>
      <c r="O894" s="441"/>
      <c r="P894" s="441"/>
      <c r="Q894" s="441"/>
      <c r="R894" s="441"/>
      <c r="S894" s="441"/>
      <c r="T894" s="441"/>
      <c r="U894" s="441"/>
      <c r="V894" s="441"/>
      <c r="W894" s="441"/>
      <c r="X894" s="441"/>
      <c r="Y894" s="441"/>
      <c r="Z894" s="441"/>
      <c r="AA894" s="441"/>
      <c r="AB894" s="441"/>
      <c r="AC894" s="441"/>
      <c r="AD894" s="441"/>
      <c r="AE894" s="441"/>
    </row>
    <row r="895">
      <c r="A895" s="928"/>
      <c r="B895" s="441"/>
      <c r="C895" s="441"/>
      <c r="D895" s="441"/>
      <c r="E895" s="441"/>
      <c r="F895" s="441"/>
      <c r="G895" s="441"/>
      <c r="H895" s="441"/>
      <c r="I895" s="441"/>
      <c r="J895" s="441"/>
      <c r="K895" s="441"/>
      <c r="L895" s="441"/>
      <c r="M895" s="441"/>
      <c r="N895" s="441"/>
      <c r="O895" s="441"/>
      <c r="P895" s="441"/>
      <c r="Q895" s="441"/>
      <c r="R895" s="441"/>
      <c r="S895" s="441"/>
      <c r="T895" s="441"/>
      <c r="U895" s="441"/>
      <c r="V895" s="441"/>
      <c r="W895" s="441"/>
      <c r="X895" s="441"/>
      <c r="Y895" s="441"/>
      <c r="Z895" s="441"/>
      <c r="AA895" s="441"/>
      <c r="AB895" s="441"/>
      <c r="AC895" s="441"/>
      <c r="AD895" s="441"/>
      <c r="AE895" s="441"/>
    </row>
    <row r="896">
      <c r="A896" s="928"/>
      <c r="B896" s="441"/>
      <c r="C896" s="441"/>
      <c r="D896" s="441"/>
      <c r="E896" s="441"/>
      <c r="F896" s="441"/>
      <c r="G896" s="441"/>
      <c r="H896" s="441"/>
      <c r="I896" s="441"/>
      <c r="J896" s="441"/>
      <c r="K896" s="441"/>
      <c r="L896" s="441"/>
      <c r="M896" s="441"/>
      <c r="N896" s="441"/>
      <c r="O896" s="441"/>
      <c r="P896" s="441"/>
      <c r="Q896" s="441"/>
      <c r="R896" s="441"/>
      <c r="S896" s="441"/>
      <c r="T896" s="441"/>
      <c r="U896" s="441"/>
      <c r="V896" s="441"/>
      <c r="W896" s="441"/>
      <c r="X896" s="441"/>
      <c r="Y896" s="441"/>
      <c r="Z896" s="441"/>
      <c r="AA896" s="441"/>
      <c r="AB896" s="441"/>
      <c r="AC896" s="441"/>
      <c r="AD896" s="441"/>
      <c r="AE896" s="441"/>
    </row>
    <row r="897">
      <c r="A897" s="928"/>
      <c r="B897" s="441"/>
      <c r="C897" s="441"/>
      <c r="D897" s="441"/>
      <c r="E897" s="441"/>
      <c r="F897" s="441"/>
      <c r="G897" s="441"/>
      <c r="H897" s="441"/>
      <c r="I897" s="441"/>
      <c r="J897" s="441"/>
      <c r="K897" s="441"/>
      <c r="L897" s="441"/>
      <c r="M897" s="441"/>
      <c r="N897" s="441"/>
      <c r="O897" s="441"/>
      <c r="P897" s="441"/>
      <c r="Q897" s="441"/>
      <c r="R897" s="441"/>
      <c r="S897" s="441"/>
      <c r="T897" s="441"/>
      <c r="U897" s="441"/>
      <c r="V897" s="441"/>
      <c r="W897" s="441"/>
      <c r="X897" s="441"/>
      <c r="Y897" s="441"/>
      <c r="Z897" s="441"/>
      <c r="AA897" s="441"/>
      <c r="AB897" s="441"/>
      <c r="AC897" s="441"/>
      <c r="AD897" s="441"/>
      <c r="AE897" s="441"/>
    </row>
    <row r="898">
      <c r="A898" s="928"/>
      <c r="B898" s="441"/>
      <c r="C898" s="441"/>
      <c r="D898" s="441"/>
      <c r="E898" s="441"/>
      <c r="F898" s="441"/>
      <c r="G898" s="441"/>
      <c r="H898" s="441"/>
      <c r="I898" s="441"/>
      <c r="J898" s="441"/>
      <c r="K898" s="441"/>
      <c r="L898" s="441"/>
      <c r="M898" s="441"/>
      <c r="N898" s="441"/>
      <c r="O898" s="441"/>
      <c r="P898" s="441"/>
      <c r="Q898" s="441"/>
      <c r="R898" s="441"/>
      <c r="S898" s="441"/>
      <c r="T898" s="441"/>
      <c r="U898" s="441"/>
      <c r="V898" s="441"/>
      <c r="W898" s="441"/>
      <c r="X898" s="441"/>
      <c r="Y898" s="441"/>
      <c r="Z898" s="441"/>
      <c r="AA898" s="441"/>
      <c r="AB898" s="441"/>
      <c r="AC898" s="441"/>
      <c r="AD898" s="441"/>
      <c r="AE898" s="441"/>
    </row>
    <row r="899">
      <c r="A899" s="928"/>
      <c r="B899" s="441"/>
      <c r="C899" s="441"/>
      <c r="D899" s="441"/>
      <c r="E899" s="441"/>
      <c r="F899" s="441"/>
      <c r="G899" s="441"/>
      <c r="H899" s="441"/>
      <c r="I899" s="441"/>
      <c r="J899" s="441"/>
      <c r="K899" s="441"/>
      <c r="L899" s="441"/>
      <c r="M899" s="441"/>
      <c r="N899" s="441"/>
      <c r="O899" s="441"/>
      <c r="P899" s="441"/>
      <c r="Q899" s="441"/>
      <c r="R899" s="441"/>
      <c r="S899" s="441"/>
      <c r="T899" s="441"/>
      <c r="U899" s="441"/>
      <c r="V899" s="441"/>
      <c r="W899" s="441"/>
      <c r="X899" s="441"/>
      <c r="Y899" s="441"/>
      <c r="Z899" s="441"/>
      <c r="AA899" s="441"/>
      <c r="AB899" s="441"/>
      <c r="AC899" s="441"/>
      <c r="AD899" s="441"/>
      <c r="AE899" s="441"/>
    </row>
    <row r="900">
      <c r="A900" s="928"/>
      <c r="B900" s="441"/>
      <c r="C900" s="441"/>
      <c r="D900" s="441"/>
      <c r="E900" s="441"/>
      <c r="F900" s="441"/>
      <c r="G900" s="441"/>
      <c r="H900" s="441"/>
      <c r="I900" s="441"/>
      <c r="J900" s="441"/>
      <c r="K900" s="441"/>
      <c r="L900" s="441"/>
      <c r="M900" s="441"/>
      <c r="N900" s="441"/>
      <c r="O900" s="441"/>
      <c r="P900" s="441"/>
      <c r="Q900" s="441"/>
      <c r="R900" s="441"/>
      <c r="S900" s="441"/>
      <c r="T900" s="441"/>
      <c r="U900" s="441"/>
      <c r="V900" s="441"/>
      <c r="W900" s="441"/>
      <c r="X900" s="441"/>
      <c r="Y900" s="441"/>
      <c r="Z900" s="441"/>
      <c r="AA900" s="441"/>
      <c r="AB900" s="441"/>
      <c r="AC900" s="441"/>
      <c r="AD900" s="441"/>
      <c r="AE900" s="441"/>
    </row>
    <row r="901">
      <c r="A901" s="928"/>
      <c r="B901" s="441"/>
      <c r="C901" s="441"/>
      <c r="D901" s="441"/>
      <c r="E901" s="441"/>
      <c r="F901" s="441"/>
      <c r="G901" s="441"/>
      <c r="H901" s="441"/>
      <c r="I901" s="441"/>
      <c r="J901" s="441"/>
      <c r="K901" s="441"/>
      <c r="L901" s="441"/>
      <c r="M901" s="441"/>
      <c r="N901" s="441"/>
      <c r="O901" s="441"/>
      <c r="P901" s="441"/>
      <c r="Q901" s="441"/>
      <c r="R901" s="441"/>
      <c r="S901" s="441"/>
      <c r="T901" s="441"/>
      <c r="U901" s="441"/>
      <c r="V901" s="441"/>
      <c r="W901" s="441"/>
      <c r="X901" s="441"/>
      <c r="Y901" s="441"/>
      <c r="Z901" s="441"/>
      <c r="AA901" s="441"/>
      <c r="AB901" s="441"/>
      <c r="AC901" s="441"/>
      <c r="AD901" s="441"/>
      <c r="AE901" s="441"/>
    </row>
    <row r="902">
      <c r="A902" s="928"/>
      <c r="B902" s="441"/>
      <c r="C902" s="441"/>
      <c r="D902" s="441"/>
      <c r="E902" s="441"/>
      <c r="F902" s="441"/>
      <c r="G902" s="441"/>
      <c r="H902" s="441"/>
      <c r="I902" s="441"/>
      <c r="J902" s="441"/>
      <c r="K902" s="441"/>
      <c r="L902" s="441"/>
      <c r="M902" s="441"/>
      <c r="N902" s="441"/>
      <c r="O902" s="441"/>
      <c r="P902" s="441"/>
      <c r="Q902" s="441"/>
      <c r="R902" s="441"/>
      <c r="S902" s="441"/>
      <c r="T902" s="441"/>
      <c r="U902" s="441"/>
      <c r="V902" s="441"/>
      <c r="W902" s="441"/>
      <c r="X902" s="441"/>
      <c r="Y902" s="441"/>
      <c r="Z902" s="441"/>
      <c r="AA902" s="441"/>
      <c r="AB902" s="441"/>
      <c r="AC902" s="441"/>
      <c r="AD902" s="441"/>
      <c r="AE902" s="441"/>
    </row>
    <row r="903">
      <c r="A903" s="928"/>
      <c r="B903" s="441"/>
      <c r="C903" s="441"/>
      <c r="D903" s="441"/>
      <c r="E903" s="441"/>
      <c r="F903" s="441"/>
      <c r="G903" s="441"/>
      <c r="H903" s="441"/>
      <c r="I903" s="441"/>
      <c r="J903" s="441"/>
      <c r="K903" s="441"/>
      <c r="L903" s="441"/>
      <c r="M903" s="441"/>
      <c r="N903" s="441"/>
      <c r="O903" s="441"/>
      <c r="P903" s="441"/>
      <c r="Q903" s="441"/>
      <c r="R903" s="441"/>
      <c r="S903" s="441"/>
      <c r="T903" s="441"/>
      <c r="U903" s="441"/>
      <c r="V903" s="441"/>
      <c r="W903" s="441"/>
      <c r="X903" s="441"/>
      <c r="Y903" s="441"/>
      <c r="Z903" s="441"/>
      <c r="AA903" s="441"/>
      <c r="AB903" s="441"/>
      <c r="AC903" s="441"/>
      <c r="AD903" s="441"/>
      <c r="AE903" s="441"/>
    </row>
    <row r="904">
      <c r="A904" s="928"/>
      <c r="B904" s="441"/>
      <c r="C904" s="441"/>
      <c r="D904" s="441"/>
      <c r="E904" s="441"/>
      <c r="F904" s="441"/>
      <c r="G904" s="441"/>
      <c r="H904" s="441"/>
      <c r="I904" s="441"/>
      <c r="J904" s="441"/>
      <c r="K904" s="441"/>
      <c r="L904" s="441"/>
      <c r="M904" s="441"/>
      <c r="N904" s="441"/>
      <c r="O904" s="441"/>
      <c r="P904" s="441"/>
      <c r="Q904" s="441"/>
      <c r="R904" s="441"/>
      <c r="S904" s="441"/>
      <c r="T904" s="441"/>
      <c r="U904" s="441"/>
      <c r="V904" s="441"/>
      <c r="W904" s="441"/>
      <c r="X904" s="441"/>
      <c r="Y904" s="441"/>
      <c r="Z904" s="441"/>
      <c r="AA904" s="441"/>
      <c r="AB904" s="441"/>
      <c r="AC904" s="441"/>
      <c r="AD904" s="441"/>
      <c r="AE904" s="441"/>
    </row>
    <row r="905">
      <c r="A905" s="928"/>
      <c r="B905" s="441"/>
      <c r="C905" s="441"/>
      <c r="D905" s="441"/>
      <c r="E905" s="441"/>
      <c r="F905" s="441"/>
      <c r="G905" s="441"/>
      <c r="H905" s="441"/>
      <c r="I905" s="441"/>
      <c r="J905" s="441"/>
      <c r="K905" s="441"/>
      <c r="L905" s="441"/>
      <c r="M905" s="441"/>
      <c r="N905" s="441"/>
      <c r="O905" s="441"/>
      <c r="P905" s="441"/>
      <c r="Q905" s="441"/>
      <c r="R905" s="441"/>
      <c r="S905" s="441"/>
      <c r="T905" s="441"/>
      <c r="U905" s="441"/>
      <c r="V905" s="441"/>
      <c r="W905" s="441"/>
      <c r="X905" s="441"/>
      <c r="Y905" s="441"/>
      <c r="Z905" s="441"/>
      <c r="AA905" s="441"/>
      <c r="AB905" s="441"/>
      <c r="AC905" s="441"/>
      <c r="AD905" s="441"/>
      <c r="AE905" s="441"/>
    </row>
    <row r="906">
      <c r="A906" s="928"/>
      <c r="B906" s="441"/>
      <c r="C906" s="441"/>
      <c r="D906" s="441"/>
      <c r="E906" s="441"/>
      <c r="F906" s="441"/>
      <c r="G906" s="441"/>
      <c r="H906" s="441"/>
      <c r="I906" s="441"/>
      <c r="J906" s="441"/>
      <c r="K906" s="441"/>
      <c r="L906" s="441"/>
      <c r="M906" s="441"/>
      <c r="N906" s="441"/>
      <c r="O906" s="441"/>
      <c r="P906" s="441"/>
      <c r="Q906" s="441"/>
      <c r="R906" s="441"/>
      <c r="S906" s="441"/>
      <c r="T906" s="441"/>
      <c r="U906" s="441"/>
      <c r="V906" s="441"/>
      <c r="W906" s="441"/>
      <c r="X906" s="441"/>
      <c r="Y906" s="441"/>
      <c r="Z906" s="441"/>
      <c r="AA906" s="441"/>
      <c r="AB906" s="441"/>
      <c r="AC906" s="441"/>
      <c r="AD906" s="441"/>
      <c r="AE906" s="441"/>
    </row>
    <row r="907">
      <c r="A907" s="928"/>
      <c r="B907" s="441"/>
      <c r="C907" s="441"/>
      <c r="D907" s="441"/>
      <c r="E907" s="441"/>
      <c r="F907" s="441"/>
      <c r="G907" s="441"/>
      <c r="H907" s="441"/>
      <c r="I907" s="441"/>
      <c r="J907" s="441"/>
      <c r="K907" s="441"/>
      <c r="L907" s="441"/>
      <c r="M907" s="441"/>
      <c r="N907" s="441"/>
      <c r="O907" s="441"/>
      <c r="P907" s="441"/>
      <c r="Q907" s="441"/>
      <c r="R907" s="441"/>
      <c r="S907" s="441"/>
      <c r="T907" s="441"/>
      <c r="U907" s="441"/>
      <c r="V907" s="441"/>
      <c r="W907" s="441"/>
      <c r="X907" s="441"/>
      <c r="Y907" s="441"/>
      <c r="Z907" s="441"/>
      <c r="AA907" s="441"/>
      <c r="AB907" s="441"/>
      <c r="AC907" s="441"/>
      <c r="AD907" s="441"/>
      <c r="AE907" s="441"/>
    </row>
    <row r="908">
      <c r="A908" s="928"/>
      <c r="B908" s="441"/>
      <c r="C908" s="441"/>
      <c r="D908" s="441"/>
      <c r="E908" s="441"/>
      <c r="F908" s="441"/>
      <c r="G908" s="441"/>
      <c r="H908" s="441"/>
      <c r="I908" s="441"/>
      <c r="J908" s="441"/>
      <c r="K908" s="441"/>
      <c r="L908" s="441"/>
      <c r="M908" s="441"/>
      <c r="N908" s="441"/>
      <c r="O908" s="441"/>
      <c r="P908" s="441"/>
      <c r="Q908" s="441"/>
      <c r="R908" s="441"/>
      <c r="S908" s="441"/>
      <c r="T908" s="441"/>
      <c r="U908" s="441"/>
      <c r="V908" s="441"/>
      <c r="W908" s="441"/>
      <c r="X908" s="441"/>
      <c r="Y908" s="441"/>
      <c r="Z908" s="441"/>
      <c r="AA908" s="441"/>
      <c r="AB908" s="441"/>
      <c r="AC908" s="441"/>
      <c r="AD908" s="441"/>
      <c r="AE908" s="441"/>
    </row>
    <row r="909">
      <c r="A909" s="928"/>
      <c r="B909" s="441"/>
      <c r="C909" s="441"/>
      <c r="D909" s="441"/>
      <c r="E909" s="441"/>
      <c r="F909" s="441"/>
      <c r="G909" s="441"/>
      <c r="H909" s="441"/>
      <c r="I909" s="441"/>
      <c r="J909" s="441"/>
      <c r="K909" s="441"/>
      <c r="L909" s="441"/>
      <c r="M909" s="441"/>
      <c r="N909" s="441"/>
      <c r="O909" s="441"/>
      <c r="P909" s="441"/>
      <c r="Q909" s="441"/>
      <c r="R909" s="441"/>
      <c r="S909" s="441"/>
      <c r="T909" s="441"/>
      <c r="U909" s="441"/>
      <c r="V909" s="441"/>
      <c r="W909" s="441"/>
      <c r="X909" s="441"/>
      <c r="Y909" s="441"/>
      <c r="Z909" s="441"/>
      <c r="AA909" s="441"/>
      <c r="AB909" s="441"/>
      <c r="AC909" s="441"/>
      <c r="AD909" s="441"/>
      <c r="AE909" s="441"/>
    </row>
    <row r="910">
      <c r="A910" s="928"/>
      <c r="B910" s="441"/>
      <c r="C910" s="441"/>
      <c r="D910" s="441"/>
      <c r="E910" s="441"/>
      <c r="F910" s="441"/>
      <c r="G910" s="441"/>
      <c r="H910" s="441"/>
      <c r="I910" s="441"/>
      <c r="J910" s="441"/>
      <c r="K910" s="441"/>
      <c r="L910" s="441"/>
      <c r="M910" s="441"/>
      <c r="N910" s="441"/>
      <c r="O910" s="441"/>
      <c r="P910" s="441"/>
      <c r="Q910" s="441"/>
      <c r="R910" s="441"/>
      <c r="S910" s="441"/>
      <c r="T910" s="441"/>
      <c r="U910" s="441"/>
      <c r="V910" s="441"/>
      <c r="W910" s="441"/>
      <c r="X910" s="441"/>
      <c r="Y910" s="441"/>
      <c r="Z910" s="441"/>
      <c r="AA910" s="441"/>
      <c r="AB910" s="441"/>
      <c r="AC910" s="441"/>
      <c r="AD910" s="441"/>
      <c r="AE910" s="441"/>
    </row>
    <row r="911">
      <c r="A911" s="928"/>
      <c r="B911" s="441"/>
      <c r="C911" s="441"/>
      <c r="D911" s="441"/>
      <c r="E911" s="441"/>
      <c r="F911" s="441"/>
      <c r="G911" s="441"/>
      <c r="H911" s="441"/>
      <c r="I911" s="441"/>
      <c r="J911" s="441"/>
      <c r="K911" s="441"/>
      <c r="L911" s="441"/>
      <c r="M911" s="441"/>
      <c r="N911" s="441"/>
      <c r="O911" s="441"/>
      <c r="P911" s="441"/>
      <c r="Q911" s="441"/>
      <c r="R911" s="441"/>
      <c r="S911" s="441"/>
      <c r="T911" s="441"/>
      <c r="U911" s="441"/>
      <c r="V911" s="441"/>
      <c r="W911" s="441"/>
      <c r="X911" s="441"/>
      <c r="Y911" s="441"/>
      <c r="Z911" s="441"/>
      <c r="AA911" s="441"/>
      <c r="AB911" s="441"/>
      <c r="AC911" s="441"/>
      <c r="AD911" s="441"/>
      <c r="AE911" s="441"/>
    </row>
    <row r="912">
      <c r="A912" s="928"/>
      <c r="B912" s="441"/>
      <c r="C912" s="441"/>
      <c r="D912" s="441"/>
      <c r="E912" s="441"/>
      <c r="F912" s="441"/>
      <c r="G912" s="441"/>
      <c r="H912" s="441"/>
      <c r="I912" s="441"/>
      <c r="J912" s="441"/>
      <c r="K912" s="441"/>
      <c r="L912" s="441"/>
      <c r="M912" s="441"/>
      <c r="N912" s="441"/>
      <c r="O912" s="441"/>
      <c r="P912" s="441"/>
      <c r="Q912" s="441"/>
      <c r="R912" s="441"/>
      <c r="S912" s="441"/>
      <c r="T912" s="441"/>
      <c r="U912" s="441"/>
      <c r="V912" s="441"/>
      <c r="W912" s="441"/>
      <c r="X912" s="441"/>
      <c r="Y912" s="441"/>
      <c r="Z912" s="441"/>
      <c r="AA912" s="441"/>
      <c r="AB912" s="441"/>
      <c r="AC912" s="441"/>
      <c r="AD912" s="441"/>
      <c r="AE912" s="441"/>
    </row>
    <row r="913">
      <c r="A913" s="928"/>
      <c r="B913" s="441"/>
      <c r="C913" s="441"/>
      <c r="D913" s="441"/>
      <c r="E913" s="441"/>
      <c r="F913" s="441"/>
      <c r="G913" s="441"/>
      <c r="H913" s="441"/>
      <c r="I913" s="441"/>
      <c r="J913" s="441"/>
      <c r="K913" s="441"/>
      <c r="L913" s="441"/>
      <c r="M913" s="441"/>
      <c r="N913" s="441"/>
      <c r="O913" s="441"/>
      <c r="P913" s="441"/>
      <c r="Q913" s="441"/>
      <c r="R913" s="441"/>
      <c r="S913" s="441"/>
      <c r="T913" s="441"/>
      <c r="U913" s="441"/>
      <c r="V913" s="441"/>
      <c r="W913" s="441"/>
      <c r="X913" s="441"/>
      <c r="Y913" s="441"/>
      <c r="Z913" s="441"/>
      <c r="AA913" s="441"/>
      <c r="AB913" s="441"/>
      <c r="AC913" s="441"/>
      <c r="AD913" s="441"/>
      <c r="AE913" s="441"/>
    </row>
    <row r="914">
      <c r="A914" s="928"/>
      <c r="B914" s="441"/>
      <c r="C914" s="441"/>
      <c r="D914" s="441"/>
      <c r="E914" s="441"/>
      <c r="F914" s="441"/>
      <c r="G914" s="441"/>
      <c r="H914" s="441"/>
      <c r="I914" s="441"/>
      <c r="J914" s="441"/>
      <c r="K914" s="441"/>
      <c r="L914" s="441"/>
      <c r="M914" s="441"/>
      <c r="N914" s="441"/>
      <c r="O914" s="441"/>
      <c r="P914" s="441"/>
      <c r="Q914" s="441"/>
      <c r="R914" s="441"/>
      <c r="S914" s="441"/>
      <c r="T914" s="441"/>
      <c r="U914" s="441"/>
      <c r="V914" s="441"/>
      <c r="W914" s="441"/>
      <c r="X914" s="441"/>
      <c r="Y914" s="441"/>
      <c r="Z914" s="441"/>
      <c r="AA914" s="441"/>
      <c r="AB914" s="441"/>
      <c r="AC914" s="441"/>
      <c r="AD914" s="441"/>
      <c r="AE914" s="441"/>
    </row>
    <row r="915">
      <c r="A915" s="928"/>
      <c r="B915" s="441"/>
      <c r="C915" s="441"/>
      <c r="D915" s="441"/>
      <c r="E915" s="441"/>
      <c r="F915" s="441"/>
      <c r="G915" s="441"/>
      <c r="H915" s="441"/>
      <c r="I915" s="441"/>
      <c r="J915" s="441"/>
      <c r="K915" s="441"/>
      <c r="L915" s="441"/>
      <c r="M915" s="441"/>
      <c r="N915" s="441"/>
      <c r="O915" s="441"/>
      <c r="P915" s="441"/>
      <c r="Q915" s="441"/>
      <c r="R915" s="441"/>
      <c r="S915" s="441"/>
      <c r="T915" s="441"/>
      <c r="U915" s="441"/>
      <c r="V915" s="441"/>
      <c r="W915" s="441"/>
      <c r="X915" s="441"/>
      <c r="Y915" s="441"/>
      <c r="Z915" s="441"/>
      <c r="AA915" s="441"/>
      <c r="AB915" s="441"/>
      <c r="AC915" s="441"/>
      <c r="AD915" s="441"/>
      <c r="AE915" s="441"/>
    </row>
    <row r="916">
      <c r="A916" s="928"/>
      <c r="B916" s="441"/>
      <c r="C916" s="441"/>
      <c r="D916" s="441"/>
      <c r="E916" s="441"/>
      <c r="F916" s="441"/>
      <c r="G916" s="441"/>
      <c r="H916" s="441"/>
      <c r="I916" s="441"/>
      <c r="J916" s="441"/>
      <c r="K916" s="441"/>
      <c r="L916" s="441"/>
      <c r="M916" s="441"/>
      <c r="N916" s="441"/>
      <c r="O916" s="441"/>
      <c r="P916" s="441"/>
      <c r="Q916" s="441"/>
      <c r="R916" s="441"/>
      <c r="S916" s="441"/>
      <c r="T916" s="441"/>
      <c r="U916" s="441"/>
      <c r="V916" s="441"/>
      <c r="W916" s="441"/>
      <c r="X916" s="441"/>
      <c r="Y916" s="441"/>
      <c r="Z916" s="441"/>
      <c r="AA916" s="441"/>
      <c r="AB916" s="441"/>
      <c r="AC916" s="441"/>
      <c r="AD916" s="441"/>
      <c r="AE916" s="441"/>
    </row>
    <row r="917">
      <c r="A917" s="928"/>
      <c r="B917" s="441"/>
      <c r="C917" s="441"/>
      <c r="D917" s="441"/>
      <c r="E917" s="441"/>
      <c r="F917" s="441"/>
      <c r="G917" s="441"/>
      <c r="H917" s="441"/>
      <c r="I917" s="441"/>
      <c r="J917" s="441"/>
      <c r="K917" s="441"/>
      <c r="L917" s="441"/>
      <c r="M917" s="441"/>
      <c r="N917" s="441"/>
      <c r="O917" s="441"/>
      <c r="P917" s="441"/>
      <c r="Q917" s="441"/>
      <c r="R917" s="441"/>
      <c r="S917" s="441"/>
      <c r="T917" s="441"/>
      <c r="U917" s="441"/>
      <c r="V917" s="441"/>
      <c r="W917" s="441"/>
      <c r="X917" s="441"/>
      <c r="Y917" s="441"/>
      <c r="Z917" s="441"/>
      <c r="AA917" s="441"/>
      <c r="AB917" s="441"/>
      <c r="AC917" s="441"/>
      <c r="AD917" s="441"/>
      <c r="AE917" s="441"/>
    </row>
    <row r="918">
      <c r="A918" s="928"/>
      <c r="B918" s="441"/>
      <c r="C918" s="441"/>
      <c r="D918" s="441"/>
      <c r="E918" s="441"/>
      <c r="F918" s="441"/>
      <c r="G918" s="441"/>
      <c r="H918" s="441"/>
      <c r="I918" s="441"/>
      <c r="J918" s="441"/>
      <c r="K918" s="441"/>
      <c r="L918" s="441"/>
      <c r="M918" s="441"/>
      <c r="N918" s="441"/>
      <c r="O918" s="441"/>
      <c r="P918" s="441"/>
      <c r="Q918" s="441"/>
      <c r="R918" s="441"/>
      <c r="S918" s="441"/>
      <c r="T918" s="441"/>
      <c r="U918" s="441"/>
      <c r="V918" s="441"/>
      <c r="W918" s="441"/>
      <c r="X918" s="441"/>
      <c r="Y918" s="441"/>
      <c r="Z918" s="441"/>
      <c r="AA918" s="441"/>
      <c r="AB918" s="441"/>
      <c r="AC918" s="441"/>
      <c r="AD918" s="441"/>
      <c r="AE918" s="441"/>
    </row>
    <row r="919">
      <c r="A919" s="928"/>
      <c r="B919" s="441"/>
      <c r="C919" s="441"/>
      <c r="D919" s="441"/>
      <c r="E919" s="441"/>
      <c r="F919" s="441"/>
      <c r="G919" s="441"/>
      <c r="H919" s="441"/>
      <c r="I919" s="441"/>
      <c r="J919" s="441"/>
      <c r="K919" s="441"/>
      <c r="L919" s="441"/>
      <c r="M919" s="441"/>
      <c r="N919" s="441"/>
      <c r="O919" s="441"/>
      <c r="P919" s="441"/>
      <c r="Q919" s="441"/>
      <c r="R919" s="441"/>
      <c r="S919" s="441"/>
      <c r="T919" s="441"/>
      <c r="U919" s="441"/>
      <c r="V919" s="441"/>
      <c r="W919" s="441"/>
      <c r="X919" s="441"/>
      <c r="Y919" s="441"/>
      <c r="Z919" s="441"/>
      <c r="AA919" s="441"/>
      <c r="AB919" s="441"/>
      <c r="AC919" s="441"/>
      <c r="AD919" s="441"/>
      <c r="AE919" s="441"/>
    </row>
    <row r="920">
      <c r="A920" s="928"/>
      <c r="B920" s="441"/>
      <c r="C920" s="441"/>
      <c r="D920" s="441"/>
      <c r="E920" s="441"/>
      <c r="F920" s="441"/>
      <c r="G920" s="441"/>
      <c r="H920" s="441"/>
      <c r="I920" s="441"/>
      <c r="J920" s="441"/>
      <c r="K920" s="441"/>
      <c r="L920" s="441"/>
      <c r="M920" s="441"/>
      <c r="N920" s="441"/>
      <c r="O920" s="441"/>
      <c r="P920" s="441"/>
      <c r="Q920" s="441"/>
      <c r="R920" s="441"/>
      <c r="S920" s="441"/>
      <c r="T920" s="441"/>
      <c r="U920" s="441"/>
      <c r="V920" s="441"/>
      <c r="W920" s="441"/>
      <c r="X920" s="441"/>
      <c r="Y920" s="441"/>
      <c r="Z920" s="441"/>
      <c r="AA920" s="441"/>
      <c r="AB920" s="441"/>
      <c r="AC920" s="441"/>
      <c r="AD920" s="441"/>
      <c r="AE920" s="441"/>
    </row>
    <row r="921">
      <c r="A921" s="928"/>
      <c r="B921" s="441"/>
      <c r="C921" s="441"/>
      <c r="D921" s="441"/>
      <c r="E921" s="441"/>
      <c r="F921" s="441"/>
      <c r="G921" s="441"/>
      <c r="H921" s="441"/>
      <c r="I921" s="441"/>
      <c r="J921" s="441"/>
      <c r="K921" s="441"/>
      <c r="L921" s="441"/>
      <c r="M921" s="441"/>
      <c r="N921" s="441"/>
      <c r="O921" s="441"/>
      <c r="P921" s="441"/>
      <c r="Q921" s="441"/>
      <c r="R921" s="441"/>
      <c r="S921" s="441"/>
      <c r="T921" s="441"/>
      <c r="U921" s="441"/>
      <c r="V921" s="441"/>
      <c r="W921" s="441"/>
      <c r="X921" s="441"/>
      <c r="Y921" s="441"/>
      <c r="Z921" s="441"/>
      <c r="AA921" s="441"/>
      <c r="AB921" s="441"/>
      <c r="AC921" s="441"/>
      <c r="AD921" s="441"/>
      <c r="AE921" s="441"/>
    </row>
    <row r="922">
      <c r="A922" s="928"/>
      <c r="B922" s="441"/>
      <c r="C922" s="441"/>
      <c r="D922" s="441"/>
      <c r="E922" s="441"/>
      <c r="F922" s="441"/>
      <c r="G922" s="441"/>
      <c r="H922" s="441"/>
      <c r="I922" s="441"/>
      <c r="J922" s="441"/>
      <c r="K922" s="441"/>
      <c r="L922" s="441"/>
      <c r="M922" s="441"/>
      <c r="N922" s="441"/>
      <c r="O922" s="441"/>
      <c r="P922" s="441"/>
      <c r="Q922" s="441"/>
      <c r="R922" s="441"/>
      <c r="S922" s="441"/>
      <c r="T922" s="441"/>
      <c r="U922" s="441"/>
      <c r="V922" s="441"/>
      <c r="W922" s="441"/>
      <c r="X922" s="441"/>
      <c r="Y922" s="441"/>
      <c r="Z922" s="441"/>
      <c r="AA922" s="441"/>
      <c r="AB922" s="441"/>
      <c r="AC922" s="441"/>
      <c r="AD922" s="441"/>
      <c r="AE922" s="441"/>
    </row>
    <row r="923">
      <c r="A923" s="928"/>
      <c r="B923" s="441"/>
      <c r="C923" s="441"/>
      <c r="D923" s="441"/>
      <c r="E923" s="441"/>
      <c r="F923" s="441"/>
      <c r="G923" s="441"/>
      <c r="H923" s="441"/>
      <c r="I923" s="441"/>
      <c r="J923" s="441"/>
      <c r="K923" s="441"/>
      <c r="L923" s="441"/>
      <c r="M923" s="441"/>
      <c r="N923" s="441"/>
      <c r="O923" s="441"/>
      <c r="P923" s="441"/>
      <c r="Q923" s="441"/>
      <c r="R923" s="441"/>
      <c r="S923" s="441"/>
      <c r="T923" s="441"/>
      <c r="U923" s="441"/>
      <c r="V923" s="441"/>
      <c r="W923" s="441"/>
      <c r="X923" s="441"/>
      <c r="Y923" s="441"/>
      <c r="Z923" s="441"/>
      <c r="AA923" s="441"/>
      <c r="AB923" s="441"/>
      <c r="AC923" s="441"/>
      <c r="AD923" s="441"/>
      <c r="AE923" s="441"/>
    </row>
    <row r="924">
      <c r="A924" s="928"/>
      <c r="B924" s="441"/>
      <c r="C924" s="441"/>
      <c r="D924" s="441"/>
      <c r="E924" s="441"/>
      <c r="F924" s="441"/>
      <c r="G924" s="441"/>
      <c r="H924" s="441"/>
      <c r="I924" s="441"/>
      <c r="J924" s="441"/>
      <c r="K924" s="441"/>
      <c r="L924" s="441"/>
      <c r="M924" s="441"/>
      <c r="N924" s="441"/>
      <c r="O924" s="441"/>
      <c r="P924" s="441"/>
      <c r="Q924" s="441"/>
      <c r="R924" s="441"/>
      <c r="S924" s="441"/>
      <c r="T924" s="441"/>
      <c r="U924" s="441"/>
      <c r="V924" s="441"/>
      <c r="W924" s="441"/>
      <c r="X924" s="441"/>
      <c r="Y924" s="441"/>
      <c r="Z924" s="441"/>
      <c r="AA924" s="441"/>
      <c r="AB924" s="441"/>
      <c r="AC924" s="441"/>
      <c r="AD924" s="441"/>
      <c r="AE924" s="441"/>
    </row>
    <row r="925">
      <c r="A925" s="928"/>
      <c r="B925" s="441"/>
      <c r="C925" s="441"/>
      <c r="D925" s="441"/>
      <c r="E925" s="441"/>
      <c r="F925" s="441"/>
      <c r="G925" s="441"/>
      <c r="H925" s="441"/>
      <c r="I925" s="441"/>
      <c r="J925" s="441"/>
      <c r="K925" s="441"/>
      <c r="L925" s="441"/>
      <c r="M925" s="441"/>
      <c r="N925" s="441"/>
      <c r="O925" s="441"/>
      <c r="P925" s="441"/>
      <c r="Q925" s="441"/>
      <c r="R925" s="441"/>
      <c r="S925" s="441"/>
      <c r="T925" s="441"/>
      <c r="U925" s="441"/>
      <c r="V925" s="441"/>
      <c r="W925" s="441"/>
      <c r="X925" s="441"/>
      <c r="Y925" s="441"/>
      <c r="Z925" s="441"/>
      <c r="AA925" s="441"/>
      <c r="AB925" s="441"/>
      <c r="AC925" s="441"/>
      <c r="AD925" s="441"/>
      <c r="AE925" s="441"/>
    </row>
    <row r="926">
      <c r="A926" s="928"/>
      <c r="B926" s="441"/>
      <c r="C926" s="441"/>
      <c r="D926" s="441"/>
      <c r="E926" s="441"/>
      <c r="F926" s="441"/>
      <c r="G926" s="441"/>
      <c r="H926" s="441"/>
      <c r="I926" s="441"/>
      <c r="J926" s="441"/>
      <c r="K926" s="441"/>
      <c r="L926" s="441"/>
      <c r="M926" s="441"/>
      <c r="N926" s="441"/>
      <c r="O926" s="441"/>
      <c r="P926" s="441"/>
      <c r="Q926" s="441"/>
      <c r="R926" s="441"/>
      <c r="S926" s="441"/>
      <c r="T926" s="441"/>
      <c r="U926" s="441"/>
      <c r="V926" s="441"/>
      <c r="W926" s="441"/>
      <c r="X926" s="441"/>
      <c r="Y926" s="441"/>
      <c r="Z926" s="441"/>
      <c r="AA926" s="441"/>
      <c r="AB926" s="441"/>
      <c r="AC926" s="441"/>
      <c r="AD926" s="441"/>
      <c r="AE926" s="441"/>
    </row>
    <row r="927">
      <c r="A927" s="928"/>
      <c r="B927" s="441"/>
      <c r="C927" s="441"/>
      <c r="D927" s="441"/>
      <c r="E927" s="441"/>
      <c r="F927" s="441"/>
      <c r="G927" s="441"/>
      <c r="H927" s="441"/>
      <c r="I927" s="441"/>
      <c r="J927" s="441"/>
      <c r="K927" s="441"/>
      <c r="L927" s="441"/>
      <c r="M927" s="441"/>
      <c r="N927" s="441"/>
      <c r="O927" s="441"/>
      <c r="P927" s="441"/>
      <c r="Q927" s="441"/>
      <c r="R927" s="441"/>
      <c r="S927" s="441"/>
      <c r="T927" s="441"/>
      <c r="U927" s="441"/>
      <c r="V927" s="441"/>
      <c r="W927" s="441"/>
      <c r="X927" s="441"/>
      <c r="Y927" s="441"/>
      <c r="Z927" s="441"/>
      <c r="AA927" s="441"/>
      <c r="AB927" s="441"/>
      <c r="AC927" s="441"/>
      <c r="AD927" s="441"/>
      <c r="AE927" s="441"/>
    </row>
    <row r="928">
      <c r="A928" s="928"/>
      <c r="B928" s="441"/>
      <c r="C928" s="441"/>
      <c r="D928" s="441"/>
      <c r="E928" s="441"/>
      <c r="F928" s="441"/>
      <c r="G928" s="441"/>
      <c r="H928" s="441"/>
      <c r="I928" s="441"/>
      <c r="J928" s="441"/>
      <c r="K928" s="441"/>
      <c r="L928" s="441"/>
      <c r="M928" s="441"/>
      <c r="N928" s="441"/>
      <c r="O928" s="441"/>
      <c r="P928" s="441"/>
      <c r="Q928" s="441"/>
      <c r="R928" s="441"/>
      <c r="S928" s="441"/>
      <c r="T928" s="441"/>
      <c r="U928" s="441"/>
      <c r="V928" s="441"/>
      <c r="W928" s="441"/>
      <c r="X928" s="441"/>
      <c r="Y928" s="441"/>
      <c r="Z928" s="441"/>
      <c r="AA928" s="441"/>
      <c r="AB928" s="441"/>
      <c r="AC928" s="441"/>
      <c r="AD928" s="441"/>
      <c r="AE928" s="441"/>
    </row>
    <row r="929">
      <c r="A929" s="928"/>
      <c r="B929" s="441"/>
      <c r="C929" s="441"/>
      <c r="D929" s="441"/>
      <c r="E929" s="441"/>
      <c r="F929" s="441"/>
      <c r="G929" s="441"/>
      <c r="H929" s="441"/>
      <c r="I929" s="441"/>
      <c r="J929" s="441"/>
      <c r="K929" s="441"/>
      <c r="L929" s="441"/>
      <c r="M929" s="441"/>
      <c r="N929" s="441"/>
      <c r="O929" s="441"/>
      <c r="P929" s="441"/>
      <c r="Q929" s="441"/>
      <c r="R929" s="441"/>
      <c r="S929" s="441"/>
      <c r="T929" s="441"/>
      <c r="U929" s="441"/>
      <c r="V929" s="441"/>
      <c r="W929" s="441"/>
      <c r="X929" s="441"/>
      <c r="Y929" s="441"/>
      <c r="Z929" s="441"/>
      <c r="AA929" s="441"/>
      <c r="AB929" s="441"/>
      <c r="AC929" s="441"/>
      <c r="AD929" s="441"/>
      <c r="AE929" s="441"/>
    </row>
    <row r="930">
      <c r="A930" s="928"/>
      <c r="B930" s="441"/>
      <c r="C930" s="441"/>
      <c r="D930" s="441"/>
      <c r="E930" s="441"/>
      <c r="F930" s="441"/>
      <c r="G930" s="441"/>
      <c r="H930" s="441"/>
      <c r="I930" s="441"/>
      <c r="J930" s="441"/>
      <c r="K930" s="441"/>
      <c r="L930" s="441"/>
      <c r="M930" s="441"/>
      <c r="N930" s="441"/>
      <c r="O930" s="441"/>
      <c r="P930" s="441"/>
      <c r="Q930" s="441"/>
      <c r="R930" s="441"/>
      <c r="S930" s="441"/>
      <c r="T930" s="441"/>
      <c r="U930" s="441"/>
      <c r="V930" s="441"/>
      <c r="W930" s="441"/>
      <c r="X930" s="441"/>
      <c r="Y930" s="441"/>
      <c r="Z930" s="441"/>
      <c r="AA930" s="441"/>
      <c r="AB930" s="441"/>
      <c r="AC930" s="441"/>
      <c r="AD930" s="441"/>
      <c r="AE930" s="441"/>
    </row>
    <row r="931">
      <c r="A931" s="928"/>
      <c r="B931" s="441"/>
      <c r="C931" s="441"/>
      <c r="D931" s="441"/>
      <c r="E931" s="441"/>
      <c r="F931" s="441"/>
      <c r="G931" s="441"/>
      <c r="H931" s="441"/>
      <c r="I931" s="441"/>
      <c r="J931" s="441"/>
      <c r="K931" s="441"/>
      <c r="L931" s="441"/>
      <c r="M931" s="441"/>
      <c r="N931" s="441"/>
      <c r="O931" s="441"/>
      <c r="P931" s="441"/>
      <c r="Q931" s="441"/>
      <c r="R931" s="441"/>
      <c r="S931" s="441"/>
      <c r="T931" s="441"/>
      <c r="U931" s="441"/>
      <c r="V931" s="441"/>
      <c r="W931" s="441"/>
      <c r="X931" s="441"/>
      <c r="Y931" s="441"/>
      <c r="Z931" s="441"/>
      <c r="AA931" s="441"/>
      <c r="AB931" s="441"/>
      <c r="AC931" s="441"/>
      <c r="AD931" s="441"/>
      <c r="AE931" s="441"/>
    </row>
    <row r="932">
      <c r="A932" s="928"/>
      <c r="B932" s="441"/>
      <c r="C932" s="441"/>
      <c r="D932" s="441"/>
      <c r="E932" s="441"/>
      <c r="F932" s="441"/>
      <c r="G932" s="441"/>
      <c r="H932" s="441"/>
      <c r="I932" s="441"/>
      <c r="J932" s="441"/>
      <c r="K932" s="441"/>
      <c r="L932" s="441"/>
      <c r="M932" s="441"/>
      <c r="N932" s="441"/>
      <c r="O932" s="441"/>
      <c r="P932" s="441"/>
      <c r="Q932" s="441"/>
      <c r="R932" s="441"/>
      <c r="S932" s="441"/>
      <c r="T932" s="441"/>
      <c r="U932" s="441"/>
      <c r="V932" s="441"/>
      <c r="W932" s="441"/>
      <c r="X932" s="441"/>
      <c r="Y932" s="441"/>
      <c r="Z932" s="441"/>
      <c r="AA932" s="441"/>
      <c r="AB932" s="441"/>
      <c r="AC932" s="441"/>
      <c r="AD932" s="441"/>
      <c r="AE932" s="441"/>
    </row>
    <row r="933">
      <c r="A933" s="928"/>
      <c r="B933" s="441"/>
      <c r="C933" s="441"/>
      <c r="D933" s="441"/>
      <c r="E933" s="441"/>
      <c r="F933" s="441"/>
      <c r="G933" s="441"/>
      <c r="H933" s="441"/>
      <c r="I933" s="441"/>
      <c r="J933" s="441"/>
      <c r="K933" s="441"/>
      <c r="L933" s="441"/>
      <c r="M933" s="441"/>
      <c r="N933" s="441"/>
      <c r="O933" s="441"/>
      <c r="P933" s="441"/>
      <c r="Q933" s="441"/>
      <c r="R933" s="441"/>
      <c r="S933" s="441"/>
      <c r="T933" s="441"/>
      <c r="U933" s="441"/>
      <c r="V933" s="441"/>
      <c r="W933" s="441"/>
      <c r="X933" s="441"/>
      <c r="Y933" s="441"/>
      <c r="Z933" s="441"/>
      <c r="AA933" s="441"/>
      <c r="AB933" s="441"/>
      <c r="AC933" s="441"/>
      <c r="AD933" s="441"/>
      <c r="AE933" s="441"/>
    </row>
    <row r="934">
      <c r="A934" s="928"/>
      <c r="B934" s="441"/>
      <c r="C934" s="441"/>
      <c r="D934" s="441"/>
      <c r="E934" s="441"/>
      <c r="F934" s="441"/>
      <c r="G934" s="441"/>
      <c r="H934" s="441"/>
      <c r="I934" s="441"/>
      <c r="J934" s="441"/>
      <c r="K934" s="441"/>
      <c r="L934" s="441"/>
      <c r="M934" s="441"/>
      <c r="N934" s="441"/>
      <c r="O934" s="441"/>
      <c r="P934" s="441"/>
      <c r="Q934" s="441"/>
      <c r="R934" s="441"/>
      <c r="S934" s="441"/>
      <c r="T934" s="441"/>
      <c r="U934" s="441"/>
      <c r="V934" s="441"/>
      <c r="W934" s="441"/>
      <c r="X934" s="441"/>
      <c r="Y934" s="441"/>
      <c r="Z934" s="441"/>
      <c r="AA934" s="441"/>
      <c r="AB934" s="441"/>
      <c r="AC934" s="441"/>
      <c r="AD934" s="441"/>
      <c r="AE934" s="441"/>
    </row>
    <row r="935">
      <c r="A935" s="928"/>
      <c r="B935" s="441"/>
      <c r="C935" s="441"/>
      <c r="D935" s="441"/>
      <c r="E935" s="441"/>
      <c r="F935" s="441"/>
      <c r="G935" s="441"/>
      <c r="H935" s="441"/>
      <c r="I935" s="441"/>
      <c r="J935" s="441"/>
      <c r="K935" s="441"/>
      <c r="L935" s="441"/>
      <c r="M935" s="441"/>
      <c r="N935" s="441"/>
      <c r="O935" s="441"/>
      <c r="P935" s="441"/>
      <c r="Q935" s="441"/>
      <c r="R935" s="441"/>
      <c r="S935" s="441"/>
      <c r="T935" s="441"/>
      <c r="U935" s="441"/>
      <c r="V935" s="441"/>
      <c r="W935" s="441"/>
      <c r="X935" s="441"/>
      <c r="Y935" s="441"/>
      <c r="Z935" s="441"/>
      <c r="AA935" s="441"/>
      <c r="AB935" s="441"/>
      <c r="AC935" s="441"/>
      <c r="AD935" s="441"/>
      <c r="AE935" s="441"/>
    </row>
    <row r="936">
      <c r="A936" s="928"/>
      <c r="B936" s="441"/>
      <c r="C936" s="441"/>
      <c r="D936" s="441"/>
      <c r="E936" s="441"/>
      <c r="F936" s="441"/>
      <c r="G936" s="441"/>
      <c r="H936" s="441"/>
      <c r="I936" s="441"/>
      <c r="J936" s="441"/>
      <c r="K936" s="441"/>
      <c r="L936" s="441"/>
      <c r="M936" s="441"/>
      <c r="N936" s="441"/>
      <c r="O936" s="441"/>
      <c r="P936" s="441"/>
      <c r="Q936" s="441"/>
      <c r="R936" s="441"/>
      <c r="S936" s="441"/>
      <c r="T936" s="441"/>
      <c r="U936" s="441"/>
      <c r="V936" s="441"/>
      <c r="W936" s="441"/>
      <c r="X936" s="441"/>
      <c r="Y936" s="441"/>
      <c r="Z936" s="441"/>
      <c r="AA936" s="441"/>
      <c r="AB936" s="441"/>
      <c r="AC936" s="441"/>
      <c r="AD936" s="441"/>
      <c r="AE936" s="441"/>
    </row>
    <row r="937">
      <c r="A937" s="928"/>
      <c r="B937" s="441"/>
      <c r="C937" s="441"/>
      <c r="D937" s="441"/>
      <c r="E937" s="441"/>
      <c r="F937" s="441"/>
      <c r="G937" s="441"/>
      <c r="H937" s="441"/>
      <c r="I937" s="441"/>
      <c r="J937" s="441"/>
      <c r="K937" s="441"/>
      <c r="L937" s="441"/>
      <c r="M937" s="441"/>
      <c r="N937" s="441"/>
      <c r="O937" s="441"/>
      <c r="P937" s="441"/>
      <c r="Q937" s="441"/>
      <c r="R937" s="441"/>
      <c r="S937" s="441"/>
      <c r="T937" s="441"/>
      <c r="U937" s="441"/>
      <c r="V937" s="441"/>
      <c r="W937" s="441"/>
      <c r="X937" s="441"/>
      <c r="Y937" s="441"/>
      <c r="Z937" s="441"/>
      <c r="AA937" s="441"/>
      <c r="AB937" s="441"/>
      <c r="AC937" s="441"/>
      <c r="AD937" s="441"/>
      <c r="AE937" s="441"/>
    </row>
    <row r="938">
      <c r="A938" s="928"/>
      <c r="B938" s="441"/>
      <c r="C938" s="441"/>
      <c r="D938" s="441"/>
      <c r="E938" s="441"/>
      <c r="F938" s="441"/>
      <c r="G938" s="441"/>
      <c r="H938" s="441"/>
      <c r="I938" s="441"/>
      <c r="J938" s="441"/>
      <c r="K938" s="441"/>
      <c r="L938" s="441"/>
      <c r="M938" s="441"/>
      <c r="N938" s="441"/>
      <c r="O938" s="441"/>
      <c r="P938" s="441"/>
      <c r="Q938" s="441"/>
      <c r="R938" s="441"/>
      <c r="S938" s="441"/>
      <c r="T938" s="441"/>
      <c r="U938" s="441"/>
      <c r="V938" s="441"/>
      <c r="W938" s="441"/>
      <c r="X938" s="441"/>
      <c r="Y938" s="441"/>
      <c r="Z938" s="441"/>
      <c r="AA938" s="441"/>
      <c r="AB938" s="441"/>
      <c r="AC938" s="441"/>
      <c r="AD938" s="441"/>
      <c r="AE938" s="441"/>
    </row>
    <row r="939">
      <c r="A939" s="928"/>
      <c r="B939" s="441"/>
      <c r="C939" s="441"/>
      <c r="D939" s="441"/>
      <c r="E939" s="441"/>
      <c r="F939" s="441"/>
      <c r="G939" s="441"/>
      <c r="H939" s="441"/>
      <c r="I939" s="441"/>
      <c r="J939" s="441"/>
      <c r="K939" s="441"/>
      <c r="L939" s="441"/>
      <c r="M939" s="441"/>
      <c r="N939" s="441"/>
      <c r="O939" s="441"/>
      <c r="P939" s="441"/>
      <c r="Q939" s="441"/>
      <c r="R939" s="441"/>
      <c r="S939" s="441"/>
      <c r="T939" s="441"/>
      <c r="U939" s="441"/>
      <c r="V939" s="441"/>
      <c r="W939" s="441"/>
      <c r="X939" s="441"/>
      <c r="Y939" s="441"/>
      <c r="Z939" s="441"/>
      <c r="AA939" s="441"/>
      <c r="AB939" s="441"/>
      <c r="AC939" s="441"/>
      <c r="AD939" s="441"/>
      <c r="AE939" s="441"/>
    </row>
    <row r="940">
      <c r="A940" s="928"/>
      <c r="B940" s="441"/>
      <c r="C940" s="441"/>
      <c r="D940" s="441"/>
      <c r="E940" s="441"/>
      <c r="F940" s="441"/>
      <c r="G940" s="441"/>
      <c r="H940" s="441"/>
      <c r="I940" s="441"/>
      <c r="J940" s="441"/>
      <c r="K940" s="441"/>
      <c r="L940" s="441"/>
      <c r="M940" s="441"/>
      <c r="N940" s="441"/>
      <c r="O940" s="441"/>
      <c r="P940" s="441"/>
      <c r="Q940" s="441"/>
      <c r="R940" s="441"/>
      <c r="S940" s="441"/>
      <c r="T940" s="441"/>
      <c r="U940" s="441"/>
      <c r="V940" s="441"/>
      <c r="W940" s="441"/>
      <c r="X940" s="441"/>
      <c r="Y940" s="441"/>
      <c r="Z940" s="441"/>
      <c r="AA940" s="441"/>
      <c r="AB940" s="441"/>
      <c r="AC940" s="441"/>
      <c r="AD940" s="441"/>
      <c r="AE940" s="441"/>
    </row>
    <row r="941">
      <c r="A941" s="928"/>
      <c r="B941" s="441"/>
      <c r="C941" s="441"/>
      <c r="D941" s="441"/>
      <c r="E941" s="441"/>
      <c r="F941" s="441"/>
      <c r="G941" s="441"/>
      <c r="H941" s="441"/>
      <c r="I941" s="441"/>
      <c r="J941" s="441"/>
      <c r="K941" s="441"/>
      <c r="L941" s="441"/>
      <c r="M941" s="441"/>
      <c r="N941" s="441"/>
      <c r="O941" s="441"/>
      <c r="P941" s="441"/>
      <c r="Q941" s="441"/>
      <c r="R941" s="441"/>
      <c r="S941" s="441"/>
      <c r="T941" s="441"/>
      <c r="U941" s="441"/>
      <c r="V941" s="441"/>
      <c r="W941" s="441"/>
      <c r="X941" s="441"/>
      <c r="Y941" s="441"/>
      <c r="Z941" s="441"/>
      <c r="AA941" s="441"/>
      <c r="AB941" s="441"/>
      <c r="AC941" s="441"/>
      <c r="AD941" s="441"/>
      <c r="AE941" s="441"/>
    </row>
    <row r="942">
      <c r="A942" s="928"/>
      <c r="B942" s="441"/>
      <c r="C942" s="441"/>
      <c r="D942" s="441"/>
      <c r="E942" s="441"/>
      <c r="F942" s="441"/>
      <c r="G942" s="441"/>
      <c r="H942" s="441"/>
      <c r="I942" s="441"/>
      <c r="J942" s="441"/>
      <c r="K942" s="441"/>
      <c r="L942" s="441"/>
      <c r="M942" s="441"/>
      <c r="N942" s="441"/>
      <c r="O942" s="441"/>
      <c r="P942" s="441"/>
      <c r="Q942" s="441"/>
      <c r="R942" s="441"/>
      <c r="S942" s="441"/>
      <c r="T942" s="441"/>
      <c r="U942" s="441"/>
      <c r="V942" s="441"/>
      <c r="W942" s="441"/>
      <c r="X942" s="441"/>
      <c r="Y942" s="441"/>
      <c r="Z942" s="441"/>
      <c r="AA942" s="441"/>
      <c r="AB942" s="441"/>
      <c r="AC942" s="441"/>
      <c r="AD942" s="441"/>
      <c r="AE942" s="441"/>
    </row>
    <row r="943">
      <c r="A943" s="928"/>
      <c r="B943" s="441"/>
      <c r="C943" s="441"/>
      <c r="D943" s="441"/>
      <c r="E943" s="441"/>
      <c r="F943" s="441"/>
      <c r="G943" s="441"/>
      <c r="H943" s="441"/>
      <c r="I943" s="441"/>
      <c r="J943" s="441"/>
      <c r="K943" s="441"/>
      <c r="L943" s="441"/>
      <c r="M943" s="441"/>
      <c r="N943" s="441"/>
      <c r="O943" s="441"/>
      <c r="P943" s="441"/>
      <c r="Q943" s="441"/>
      <c r="R943" s="441"/>
      <c r="S943" s="441"/>
      <c r="T943" s="441"/>
      <c r="U943" s="441"/>
      <c r="V943" s="441"/>
      <c r="W943" s="441"/>
      <c r="X943" s="441"/>
      <c r="Y943" s="441"/>
      <c r="Z943" s="441"/>
      <c r="AA943" s="441"/>
      <c r="AB943" s="441"/>
      <c r="AC943" s="441"/>
      <c r="AD943" s="441"/>
      <c r="AE943" s="441"/>
    </row>
    <row r="944">
      <c r="A944" s="928"/>
      <c r="B944" s="441"/>
      <c r="C944" s="441"/>
      <c r="D944" s="441"/>
      <c r="E944" s="441"/>
      <c r="F944" s="441"/>
      <c r="G944" s="441"/>
      <c r="H944" s="441"/>
      <c r="I944" s="441"/>
      <c r="J944" s="441"/>
      <c r="K944" s="441"/>
      <c r="L944" s="441"/>
      <c r="M944" s="441"/>
      <c r="N944" s="441"/>
      <c r="O944" s="441"/>
      <c r="P944" s="441"/>
      <c r="Q944" s="441"/>
      <c r="R944" s="441"/>
      <c r="S944" s="441"/>
      <c r="T944" s="441"/>
      <c r="U944" s="441"/>
      <c r="V944" s="441"/>
      <c r="W944" s="441"/>
      <c r="X944" s="441"/>
      <c r="Y944" s="441"/>
      <c r="Z944" s="441"/>
      <c r="AA944" s="441"/>
      <c r="AB944" s="441"/>
      <c r="AC944" s="441"/>
      <c r="AD944" s="441"/>
      <c r="AE944" s="441"/>
    </row>
    <row r="945">
      <c r="A945" s="928"/>
      <c r="B945" s="441"/>
      <c r="C945" s="441"/>
      <c r="D945" s="441"/>
      <c r="E945" s="441"/>
      <c r="F945" s="441"/>
      <c r="G945" s="441"/>
      <c r="H945" s="441"/>
      <c r="I945" s="441"/>
      <c r="J945" s="441"/>
      <c r="K945" s="441"/>
      <c r="L945" s="441"/>
      <c r="M945" s="441"/>
      <c r="N945" s="441"/>
      <c r="O945" s="441"/>
      <c r="P945" s="441"/>
      <c r="Q945" s="441"/>
      <c r="R945" s="441"/>
      <c r="S945" s="441"/>
      <c r="T945" s="441"/>
      <c r="U945" s="441"/>
      <c r="V945" s="441"/>
      <c r="W945" s="441"/>
      <c r="X945" s="441"/>
      <c r="Y945" s="441"/>
      <c r="Z945" s="441"/>
      <c r="AA945" s="441"/>
      <c r="AB945" s="441"/>
      <c r="AC945" s="441"/>
      <c r="AD945" s="441"/>
      <c r="AE945" s="441"/>
    </row>
    <row r="946">
      <c r="A946" s="928"/>
      <c r="B946" s="441"/>
      <c r="C946" s="441"/>
      <c r="D946" s="441"/>
      <c r="E946" s="441"/>
      <c r="F946" s="441"/>
      <c r="G946" s="441"/>
      <c r="H946" s="441"/>
      <c r="I946" s="441"/>
      <c r="J946" s="441"/>
      <c r="K946" s="441"/>
      <c r="L946" s="441"/>
      <c r="M946" s="441"/>
      <c r="N946" s="441"/>
      <c r="O946" s="441"/>
      <c r="P946" s="441"/>
      <c r="Q946" s="441"/>
      <c r="R946" s="441"/>
      <c r="S946" s="441"/>
      <c r="T946" s="441"/>
      <c r="U946" s="441"/>
      <c r="V946" s="441"/>
      <c r="W946" s="441"/>
      <c r="X946" s="441"/>
      <c r="Y946" s="441"/>
      <c r="Z946" s="441"/>
      <c r="AA946" s="441"/>
      <c r="AB946" s="441"/>
      <c r="AC946" s="441"/>
      <c r="AD946" s="441"/>
      <c r="AE946" s="441"/>
    </row>
    <row r="947">
      <c r="A947" s="928"/>
      <c r="B947" s="441"/>
      <c r="C947" s="441"/>
      <c r="D947" s="441"/>
      <c r="E947" s="441"/>
      <c r="F947" s="441"/>
      <c r="G947" s="441"/>
      <c r="H947" s="441"/>
      <c r="I947" s="441"/>
      <c r="J947" s="441"/>
      <c r="K947" s="441"/>
      <c r="L947" s="441"/>
      <c r="M947" s="441"/>
      <c r="N947" s="441"/>
      <c r="O947" s="441"/>
      <c r="P947" s="441"/>
      <c r="Q947" s="441"/>
      <c r="R947" s="441"/>
      <c r="S947" s="441"/>
      <c r="T947" s="441"/>
      <c r="U947" s="441"/>
      <c r="V947" s="441"/>
      <c r="W947" s="441"/>
      <c r="X947" s="441"/>
      <c r="Y947" s="441"/>
      <c r="Z947" s="441"/>
      <c r="AA947" s="441"/>
      <c r="AB947" s="441"/>
      <c r="AC947" s="441"/>
      <c r="AD947" s="441"/>
      <c r="AE947" s="441"/>
    </row>
    <row r="948">
      <c r="A948" s="928"/>
      <c r="B948" s="441"/>
      <c r="C948" s="441"/>
      <c r="D948" s="441"/>
      <c r="E948" s="441"/>
      <c r="F948" s="441"/>
      <c r="G948" s="441"/>
      <c r="H948" s="441"/>
      <c r="I948" s="441"/>
      <c r="J948" s="441"/>
      <c r="K948" s="441"/>
      <c r="L948" s="441"/>
      <c r="M948" s="441"/>
      <c r="N948" s="441"/>
      <c r="O948" s="441"/>
      <c r="P948" s="441"/>
      <c r="Q948" s="441"/>
      <c r="R948" s="441"/>
      <c r="S948" s="441"/>
      <c r="T948" s="441"/>
      <c r="U948" s="441"/>
      <c r="V948" s="441"/>
      <c r="W948" s="441"/>
      <c r="X948" s="441"/>
      <c r="Y948" s="441"/>
      <c r="Z948" s="441"/>
      <c r="AA948" s="441"/>
      <c r="AB948" s="441"/>
      <c r="AC948" s="441"/>
      <c r="AD948" s="441"/>
      <c r="AE948" s="441"/>
    </row>
    <row r="949">
      <c r="A949" s="928"/>
      <c r="B949" s="441"/>
      <c r="C949" s="441"/>
      <c r="D949" s="441"/>
      <c r="E949" s="441"/>
      <c r="F949" s="441"/>
      <c r="G949" s="441"/>
      <c r="H949" s="441"/>
      <c r="I949" s="441"/>
      <c r="J949" s="441"/>
      <c r="K949" s="441"/>
      <c r="L949" s="441"/>
      <c r="M949" s="441"/>
      <c r="N949" s="441"/>
      <c r="O949" s="441"/>
      <c r="P949" s="441"/>
      <c r="Q949" s="441"/>
      <c r="R949" s="441"/>
      <c r="S949" s="441"/>
      <c r="T949" s="441"/>
      <c r="U949" s="441"/>
      <c r="V949" s="441"/>
      <c r="W949" s="441"/>
      <c r="X949" s="441"/>
      <c r="Y949" s="441"/>
      <c r="Z949" s="441"/>
      <c r="AA949" s="441"/>
      <c r="AB949" s="441"/>
      <c r="AC949" s="441"/>
      <c r="AD949" s="441"/>
      <c r="AE949" s="441"/>
    </row>
    <row r="950">
      <c r="A950" s="928"/>
      <c r="B950" s="441"/>
      <c r="C950" s="441"/>
      <c r="D950" s="441"/>
      <c r="E950" s="441"/>
      <c r="F950" s="441"/>
      <c r="G950" s="441"/>
      <c r="H950" s="441"/>
      <c r="I950" s="441"/>
      <c r="J950" s="441"/>
      <c r="K950" s="441"/>
      <c r="L950" s="441"/>
      <c r="M950" s="441"/>
      <c r="N950" s="441"/>
      <c r="O950" s="441"/>
      <c r="P950" s="441"/>
      <c r="Q950" s="441"/>
      <c r="R950" s="441"/>
      <c r="S950" s="441"/>
      <c r="T950" s="441"/>
      <c r="U950" s="441"/>
      <c r="V950" s="441"/>
      <c r="W950" s="441"/>
      <c r="X950" s="441"/>
      <c r="Y950" s="441"/>
      <c r="Z950" s="441"/>
      <c r="AA950" s="441"/>
      <c r="AB950" s="441"/>
      <c r="AC950" s="441"/>
      <c r="AD950" s="441"/>
      <c r="AE950" s="441"/>
    </row>
    <row r="951">
      <c r="A951" s="928"/>
      <c r="B951" s="441"/>
      <c r="C951" s="441"/>
      <c r="D951" s="441"/>
      <c r="E951" s="441"/>
      <c r="F951" s="441"/>
      <c r="G951" s="441"/>
      <c r="H951" s="441"/>
      <c r="I951" s="441"/>
      <c r="J951" s="441"/>
      <c r="K951" s="441"/>
      <c r="L951" s="441"/>
      <c r="M951" s="441"/>
      <c r="N951" s="441"/>
      <c r="O951" s="441"/>
      <c r="P951" s="441"/>
      <c r="Q951" s="441"/>
      <c r="R951" s="441"/>
      <c r="S951" s="441"/>
      <c r="T951" s="441"/>
      <c r="U951" s="441"/>
      <c r="V951" s="441"/>
      <c r="W951" s="441"/>
      <c r="X951" s="441"/>
      <c r="Y951" s="441"/>
      <c r="Z951" s="441"/>
      <c r="AA951" s="441"/>
      <c r="AB951" s="441"/>
      <c r="AC951" s="441"/>
      <c r="AD951" s="441"/>
      <c r="AE951" s="441"/>
    </row>
    <row r="952">
      <c r="A952" s="928"/>
      <c r="B952" s="441"/>
      <c r="C952" s="441"/>
      <c r="D952" s="441"/>
      <c r="E952" s="441"/>
      <c r="F952" s="441"/>
      <c r="G952" s="441"/>
      <c r="H952" s="441"/>
      <c r="I952" s="441"/>
      <c r="J952" s="441"/>
      <c r="K952" s="441"/>
      <c r="L952" s="441"/>
      <c r="M952" s="441"/>
      <c r="N952" s="441"/>
      <c r="O952" s="441"/>
      <c r="P952" s="441"/>
      <c r="Q952" s="441"/>
      <c r="R952" s="441"/>
      <c r="S952" s="441"/>
      <c r="T952" s="441"/>
      <c r="U952" s="441"/>
      <c r="V952" s="441"/>
      <c r="W952" s="441"/>
      <c r="X952" s="441"/>
      <c r="Y952" s="441"/>
      <c r="Z952" s="441"/>
      <c r="AA952" s="441"/>
      <c r="AB952" s="441"/>
      <c r="AC952" s="441"/>
      <c r="AD952" s="441"/>
      <c r="AE952" s="441"/>
    </row>
    <row r="953">
      <c r="A953" s="928"/>
      <c r="B953" s="441"/>
      <c r="C953" s="441"/>
      <c r="D953" s="441"/>
      <c r="E953" s="441"/>
      <c r="F953" s="441"/>
      <c r="G953" s="441"/>
      <c r="H953" s="441"/>
      <c r="I953" s="441"/>
      <c r="J953" s="441"/>
      <c r="K953" s="441"/>
      <c r="L953" s="441"/>
      <c r="M953" s="441"/>
      <c r="N953" s="441"/>
      <c r="O953" s="441"/>
      <c r="P953" s="441"/>
      <c r="Q953" s="441"/>
      <c r="R953" s="441"/>
      <c r="S953" s="441"/>
      <c r="T953" s="441"/>
      <c r="U953" s="441"/>
      <c r="V953" s="441"/>
      <c r="W953" s="441"/>
      <c r="X953" s="441"/>
      <c r="Y953" s="441"/>
      <c r="Z953" s="441"/>
      <c r="AA953" s="441"/>
      <c r="AB953" s="441"/>
      <c r="AC953" s="441"/>
      <c r="AD953" s="441"/>
      <c r="AE953" s="441"/>
    </row>
    <row r="954">
      <c r="A954" s="928"/>
      <c r="B954" s="441"/>
      <c r="C954" s="441"/>
      <c r="D954" s="441"/>
      <c r="E954" s="441"/>
      <c r="F954" s="441"/>
      <c r="G954" s="441"/>
      <c r="H954" s="441"/>
      <c r="I954" s="441"/>
      <c r="J954" s="441"/>
      <c r="K954" s="441"/>
      <c r="L954" s="441"/>
      <c r="M954" s="441"/>
      <c r="N954" s="441"/>
      <c r="O954" s="441"/>
      <c r="P954" s="441"/>
      <c r="Q954" s="441"/>
      <c r="R954" s="441"/>
      <c r="S954" s="441"/>
      <c r="T954" s="441"/>
      <c r="U954" s="441"/>
      <c r="V954" s="441"/>
      <c r="W954" s="441"/>
      <c r="X954" s="441"/>
      <c r="Y954" s="441"/>
      <c r="Z954" s="441"/>
      <c r="AA954" s="441"/>
      <c r="AB954" s="441"/>
      <c r="AC954" s="441"/>
      <c r="AD954" s="441"/>
      <c r="AE954" s="441"/>
    </row>
    <row r="955">
      <c r="A955" s="928"/>
      <c r="B955" s="441"/>
      <c r="C955" s="441"/>
      <c r="D955" s="441"/>
      <c r="E955" s="441"/>
      <c r="F955" s="441"/>
      <c r="G955" s="441"/>
      <c r="H955" s="441"/>
      <c r="I955" s="441"/>
      <c r="J955" s="441"/>
      <c r="K955" s="441"/>
      <c r="L955" s="441"/>
      <c r="M955" s="441"/>
      <c r="N955" s="441"/>
      <c r="O955" s="441"/>
      <c r="P955" s="441"/>
      <c r="Q955" s="441"/>
      <c r="R955" s="441"/>
      <c r="S955" s="441"/>
      <c r="T955" s="441"/>
      <c r="U955" s="441"/>
      <c r="V955" s="441"/>
      <c r="W955" s="441"/>
      <c r="X955" s="441"/>
      <c r="Y955" s="441"/>
      <c r="Z955" s="441"/>
      <c r="AA955" s="441"/>
      <c r="AB955" s="441"/>
      <c r="AC955" s="441"/>
      <c r="AD955" s="441"/>
      <c r="AE955" s="441"/>
    </row>
    <row r="956">
      <c r="A956" s="928"/>
      <c r="B956" s="441"/>
      <c r="C956" s="441"/>
      <c r="D956" s="441"/>
      <c r="E956" s="441"/>
      <c r="F956" s="441"/>
      <c r="G956" s="441"/>
      <c r="H956" s="441"/>
      <c r="I956" s="441"/>
      <c r="J956" s="441"/>
      <c r="K956" s="441"/>
      <c r="L956" s="441"/>
      <c r="M956" s="441"/>
      <c r="N956" s="441"/>
      <c r="O956" s="441"/>
      <c r="P956" s="441"/>
      <c r="Q956" s="441"/>
      <c r="R956" s="441"/>
      <c r="S956" s="441"/>
      <c r="T956" s="441"/>
      <c r="U956" s="441"/>
      <c r="V956" s="441"/>
      <c r="W956" s="441"/>
      <c r="X956" s="441"/>
      <c r="Y956" s="441"/>
      <c r="Z956" s="441"/>
      <c r="AA956" s="441"/>
      <c r="AB956" s="441"/>
      <c r="AC956" s="441"/>
      <c r="AD956" s="441"/>
      <c r="AE956" s="441"/>
    </row>
    <row r="957">
      <c r="A957" s="928"/>
      <c r="B957" s="441"/>
      <c r="C957" s="441"/>
      <c r="D957" s="441"/>
      <c r="E957" s="441"/>
      <c r="F957" s="441"/>
      <c r="G957" s="441"/>
      <c r="H957" s="441"/>
      <c r="I957" s="441"/>
      <c r="J957" s="441"/>
      <c r="K957" s="441"/>
      <c r="L957" s="441"/>
      <c r="M957" s="441"/>
      <c r="N957" s="441"/>
      <c r="O957" s="441"/>
      <c r="P957" s="441"/>
      <c r="Q957" s="441"/>
      <c r="R957" s="441"/>
      <c r="S957" s="441"/>
      <c r="T957" s="441"/>
      <c r="U957" s="441"/>
      <c r="V957" s="441"/>
      <c r="W957" s="441"/>
      <c r="X957" s="441"/>
      <c r="Y957" s="441"/>
      <c r="Z957" s="441"/>
      <c r="AA957" s="441"/>
      <c r="AB957" s="441"/>
      <c r="AC957" s="441"/>
      <c r="AD957" s="441"/>
      <c r="AE957" s="441"/>
    </row>
    <row r="958">
      <c r="A958" s="928"/>
      <c r="B958" s="441"/>
      <c r="C958" s="441"/>
      <c r="D958" s="441"/>
      <c r="E958" s="441"/>
      <c r="F958" s="441"/>
      <c r="G958" s="441"/>
      <c r="H958" s="441"/>
      <c r="I958" s="441"/>
      <c r="J958" s="441"/>
      <c r="K958" s="441"/>
      <c r="L958" s="441"/>
      <c r="M958" s="441"/>
      <c r="N958" s="441"/>
      <c r="O958" s="441"/>
      <c r="P958" s="441"/>
      <c r="Q958" s="441"/>
      <c r="R958" s="441"/>
      <c r="S958" s="441"/>
      <c r="T958" s="441"/>
      <c r="U958" s="441"/>
      <c r="V958" s="441"/>
      <c r="W958" s="441"/>
      <c r="X958" s="441"/>
      <c r="Y958" s="441"/>
      <c r="Z958" s="441"/>
      <c r="AA958" s="441"/>
      <c r="AB958" s="441"/>
      <c r="AC958" s="441"/>
      <c r="AD958" s="441"/>
      <c r="AE958" s="441"/>
    </row>
    <row r="959">
      <c r="A959" s="928"/>
      <c r="B959" s="441"/>
      <c r="C959" s="441"/>
      <c r="D959" s="441"/>
      <c r="E959" s="441"/>
      <c r="F959" s="441"/>
      <c r="G959" s="441"/>
      <c r="H959" s="441"/>
      <c r="I959" s="441"/>
      <c r="J959" s="441"/>
      <c r="K959" s="441"/>
      <c r="L959" s="441"/>
      <c r="M959" s="441"/>
      <c r="N959" s="441"/>
      <c r="O959" s="441"/>
      <c r="P959" s="441"/>
      <c r="Q959" s="441"/>
      <c r="R959" s="441"/>
      <c r="S959" s="441"/>
      <c r="T959" s="441"/>
      <c r="U959" s="441"/>
      <c r="V959" s="441"/>
      <c r="W959" s="441"/>
      <c r="X959" s="441"/>
      <c r="Y959" s="441"/>
      <c r="Z959" s="441"/>
      <c r="AA959" s="441"/>
      <c r="AB959" s="441"/>
      <c r="AC959" s="441"/>
      <c r="AD959" s="441"/>
      <c r="AE959" s="441"/>
    </row>
    <row r="960">
      <c r="A960" s="928"/>
      <c r="B960" s="441"/>
      <c r="C960" s="441"/>
      <c r="D960" s="441"/>
      <c r="E960" s="441"/>
      <c r="F960" s="441"/>
      <c r="G960" s="441"/>
      <c r="H960" s="441"/>
      <c r="I960" s="441"/>
      <c r="J960" s="441"/>
      <c r="K960" s="441"/>
      <c r="L960" s="441"/>
      <c r="M960" s="441"/>
      <c r="N960" s="441"/>
      <c r="O960" s="441"/>
      <c r="P960" s="441"/>
      <c r="Q960" s="441"/>
      <c r="R960" s="441"/>
      <c r="S960" s="441"/>
      <c r="T960" s="441"/>
      <c r="U960" s="441"/>
      <c r="V960" s="441"/>
      <c r="W960" s="441"/>
      <c r="X960" s="441"/>
      <c r="Y960" s="441"/>
      <c r="Z960" s="441"/>
      <c r="AA960" s="441"/>
      <c r="AB960" s="441"/>
      <c r="AC960" s="441"/>
      <c r="AD960" s="441"/>
      <c r="AE960" s="441"/>
    </row>
    <row r="961">
      <c r="A961" s="928"/>
      <c r="B961" s="441"/>
      <c r="C961" s="441"/>
      <c r="D961" s="441"/>
      <c r="E961" s="441"/>
      <c r="F961" s="441"/>
      <c r="G961" s="441"/>
      <c r="H961" s="441"/>
      <c r="I961" s="441"/>
      <c r="J961" s="441"/>
      <c r="K961" s="441"/>
      <c r="L961" s="441"/>
      <c r="M961" s="441"/>
      <c r="N961" s="441"/>
      <c r="O961" s="441"/>
      <c r="P961" s="441"/>
      <c r="Q961" s="441"/>
      <c r="R961" s="441"/>
      <c r="S961" s="441"/>
      <c r="T961" s="441"/>
      <c r="U961" s="441"/>
      <c r="V961" s="441"/>
      <c r="W961" s="441"/>
      <c r="X961" s="441"/>
      <c r="Y961" s="441"/>
      <c r="Z961" s="441"/>
      <c r="AA961" s="441"/>
      <c r="AB961" s="441"/>
      <c r="AC961" s="441"/>
      <c r="AD961" s="441"/>
      <c r="AE961" s="441"/>
    </row>
    <row r="962">
      <c r="A962" s="928"/>
      <c r="B962" s="441"/>
      <c r="C962" s="441"/>
      <c r="D962" s="441"/>
      <c r="E962" s="441"/>
      <c r="F962" s="441"/>
      <c r="G962" s="441"/>
      <c r="H962" s="441"/>
      <c r="I962" s="441"/>
      <c r="J962" s="441"/>
      <c r="K962" s="441"/>
      <c r="L962" s="441"/>
      <c r="M962" s="441"/>
      <c r="N962" s="441"/>
      <c r="O962" s="441"/>
      <c r="P962" s="441"/>
      <c r="Q962" s="441"/>
      <c r="R962" s="441"/>
      <c r="S962" s="441"/>
      <c r="T962" s="441"/>
      <c r="U962" s="441"/>
      <c r="V962" s="441"/>
      <c r="W962" s="441"/>
      <c r="X962" s="441"/>
      <c r="Y962" s="441"/>
      <c r="Z962" s="441"/>
      <c r="AA962" s="441"/>
      <c r="AB962" s="441"/>
      <c r="AC962" s="441"/>
      <c r="AD962" s="441"/>
      <c r="AE962" s="441"/>
    </row>
    <row r="963">
      <c r="A963" s="928"/>
      <c r="B963" s="441"/>
      <c r="C963" s="441"/>
      <c r="D963" s="441"/>
      <c r="E963" s="441"/>
      <c r="F963" s="441"/>
      <c r="G963" s="441"/>
      <c r="H963" s="441"/>
      <c r="I963" s="441"/>
      <c r="J963" s="441"/>
      <c r="K963" s="441"/>
      <c r="L963" s="441"/>
      <c r="M963" s="441"/>
      <c r="N963" s="441"/>
      <c r="O963" s="441"/>
      <c r="P963" s="441"/>
      <c r="Q963" s="441"/>
      <c r="R963" s="441"/>
      <c r="S963" s="441"/>
      <c r="T963" s="441"/>
      <c r="U963" s="441"/>
      <c r="V963" s="441"/>
      <c r="W963" s="441"/>
      <c r="X963" s="441"/>
      <c r="Y963" s="441"/>
      <c r="Z963" s="441"/>
      <c r="AA963" s="441"/>
      <c r="AB963" s="441"/>
      <c r="AC963" s="441"/>
      <c r="AD963" s="441"/>
      <c r="AE963" s="441"/>
    </row>
    <row r="964">
      <c r="A964" s="928"/>
      <c r="B964" s="441"/>
      <c r="C964" s="441"/>
      <c r="D964" s="441"/>
      <c r="E964" s="441"/>
      <c r="F964" s="441"/>
      <c r="G964" s="441"/>
      <c r="H964" s="441"/>
      <c r="I964" s="441"/>
      <c r="J964" s="441"/>
      <c r="K964" s="441"/>
      <c r="L964" s="441"/>
      <c r="M964" s="441"/>
      <c r="N964" s="441"/>
      <c r="O964" s="441"/>
      <c r="P964" s="441"/>
      <c r="Q964" s="441"/>
      <c r="R964" s="441"/>
      <c r="S964" s="441"/>
      <c r="T964" s="441"/>
      <c r="U964" s="441"/>
      <c r="V964" s="441"/>
      <c r="W964" s="441"/>
      <c r="X964" s="441"/>
      <c r="Y964" s="441"/>
      <c r="Z964" s="441"/>
      <c r="AA964" s="441"/>
      <c r="AB964" s="441"/>
      <c r="AC964" s="441"/>
      <c r="AD964" s="441"/>
      <c r="AE964" s="441"/>
    </row>
    <row r="965">
      <c r="A965" s="928"/>
      <c r="B965" s="441"/>
      <c r="C965" s="441"/>
      <c r="D965" s="441"/>
      <c r="E965" s="441"/>
      <c r="F965" s="441"/>
      <c r="G965" s="441"/>
      <c r="H965" s="441"/>
      <c r="I965" s="441"/>
      <c r="J965" s="441"/>
      <c r="K965" s="441"/>
      <c r="L965" s="441"/>
      <c r="M965" s="441"/>
      <c r="N965" s="441"/>
      <c r="O965" s="441"/>
      <c r="P965" s="441"/>
      <c r="Q965" s="441"/>
      <c r="R965" s="441"/>
      <c r="S965" s="441"/>
      <c r="T965" s="441"/>
      <c r="U965" s="441"/>
      <c r="V965" s="441"/>
      <c r="W965" s="441"/>
      <c r="X965" s="441"/>
      <c r="Y965" s="441"/>
      <c r="Z965" s="441"/>
      <c r="AA965" s="441"/>
      <c r="AB965" s="441"/>
      <c r="AC965" s="441"/>
      <c r="AD965" s="441"/>
      <c r="AE965" s="441"/>
    </row>
    <row r="966">
      <c r="A966" s="928"/>
      <c r="B966" s="441"/>
      <c r="C966" s="441"/>
      <c r="D966" s="441"/>
      <c r="E966" s="441"/>
      <c r="F966" s="441"/>
      <c r="G966" s="441"/>
      <c r="H966" s="441"/>
      <c r="I966" s="441"/>
      <c r="J966" s="441"/>
      <c r="K966" s="441"/>
      <c r="L966" s="441"/>
      <c r="M966" s="441"/>
      <c r="N966" s="441"/>
      <c r="O966" s="441"/>
      <c r="P966" s="441"/>
      <c r="Q966" s="441"/>
      <c r="R966" s="441"/>
      <c r="S966" s="441"/>
      <c r="T966" s="441"/>
      <c r="U966" s="441"/>
      <c r="V966" s="441"/>
      <c r="W966" s="441"/>
      <c r="X966" s="441"/>
      <c r="Y966" s="441"/>
      <c r="Z966" s="441"/>
      <c r="AA966" s="441"/>
      <c r="AB966" s="441"/>
      <c r="AC966" s="441"/>
      <c r="AD966" s="441"/>
      <c r="AE966" s="441"/>
    </row>
    <row r="967">
      <c r="A967" s="928"/>
      <c r="B967" s="441"/>
      <c r="C967" s="441"/>
      <c r="D967" s="441"/>
      <c r="E967" s="441"/>
      <c r="F967" s="441"/>
      <c r="G967" s="441"/>
      <c r="H967" s="441"/>
      <c r="I967" s="441"/>
      <c r="J967" s="441"/>
      <c r="K967" s="441"/>
      <c r="L967" s="441"/>
      <c r="M967" s="441"/>
      <c r="N967" s="441"/>
      <c r="O967" s="441"/>
      <c r="P967" s="441"/>
      <c r="Q967" s="441"/>
      <c r="R967" s="441"/>
      <c r="S967" s="441"/>
      <c r="T967" s="441"/>
      <c r="U967" s="441"/>
      <c r="V967" s="441"/>
      <c r="W967" s="441"/>
      <c r="X967" s="441"/>
      <c r="Y967" s="441"/>
      <c r="Z967" s="441"/>
      <c r="AA967" s="441"/>
      <c r="AB967" s="441"/>
      <c r="AC967" s="441"/>
      <c r="AD967" s="441"/>
      <c r="AE967" s="441"/>
    </row>
    <row r="968">
      <c r="A968" s="928"/>
      <c r="B968" s="441"/>
      <c r="C968" s="441"/>
      <c r="D968" s="441"/>
      <c r="E968" s="441"/>
      <c r="F968" s="441"/>
      <c r="G968" s="441"/>
      <c r="H968" s="441"/>
      <c r="I968" s="441"/>
      <c r="J968" s="441"/>
      <c r="K968" s="441"/>
      <c r="L968" s="441"/>
      <c r="M968" s="441"/>
      <c r="N968" s="441"/>
      <c r="O968" s="441"/>
      <c r="P968" s="441"/>
      <c r="Q968" s="441"/>
      <c r="R968" s="441"/>
      <c r="S968" s="441"/>
      <c r="T968" s="441"/>
      <c r="U968" s="441"/>
      <c r="V968" s="441"/>
      <c r="W968" s="441"/>
      <c r="X968" s="441"/>
      <c r="Y968" s="441"/>
      <c r="Z968" s="441"/>
      <c r="AA968" s="441"/>
      <c r="AB968" s="441"/>
      <c r="AC968" s="441"/>
      <c r="AD968" s="441"/>
      <c r="AE968" s="441"/>
    </row>
    <row r="969">
      <c r="A969" s="928"/>
      <c r="B969" s="441"/>
      <c r="C969" s="441"/>
      <c r="D969" s="441"/>
      <c r="E969" s="441"/>
      <c r="F969" s="441"/>
      <c r="G969" s="441"/>
      <c r="H969" s="441"/>
      <c r="I969" s="441"/>
      <c r="J969" s="441"/>
      <c r="K969" s="441"/>
      <c r="L969" s="441"/>
      <c r="M969" s="441"/>
      <c r="N969" s="441"/>
      <c r="O969" s="441"/>
      <c r="P969" s="441"/>
      <c r="Q969" s="441"/>
      <c r="R969" s="441"/>
      <c r="S969" s="441"/>
      <c r="T969" s="441"/>
      <c r="U969" s="441"/>
      <c r="V969" s="441"/>
      <c r="W969" s="441"/>
      <c r="X969" s="441"/>
      <c r="Y969" s="441"/>
      <c r="Z969" s="441"/>
      <c r="AA969" s="441"/>
      <c r="AB969" s="441"/>
      <c r="AC969" s="441"/>
      <c r="AD969" s="441"/>
      <c r="AE969" s="441"/>
    </row>
    <row r="970">
      <c r="A970" s="928"/>
      <c r="B970" s="441"/>
      <c r="C970" s="441"/>
      <c r="D970" s="441"/>
      <c r="E970" s="441"/>
      <c r="F970" s="441"/>
      <c r="G970" s="441"/>
      <c r="H970" s="441"/>
      <c r="I970" s="441"/>
      <c r="J970" s="441"/>
      <c r="K970" s="441"/>
      <c r="L970" s="441"/>
      <c r="M970" s="441"/>
      <c r="N970" s="441"/>
      <c r="O970" s="441"/>
      <c r="P970" s="441"/>
      <c r="Q970" s="441"/>
      <c r="R970" s="441"/>
      <c r="S970" s="441"/>
      <c r="T970" s="441"/>
      <c r="U970" s="441"/>
      <c r="V970" s="441"/>
      <c r="W970" s="441"/>
      <c r="X970" s="441"/>
      <c r="Y970" s="441"/>
      <c r="Z970" s="441"/>
      <c r="AA970" s="441"/>
      <c r="AB970" s="441"/>
      <c r="AC970" s="441"/>
      <c r="AD970" s="441"/>
      <c r="AE970" s="441"/>
    </row>
    <row r="971">
      <c r="A971" s="928"/>
      <c r="B971" s="441"/>
      <c r="C971" s="441"/>
      <c r="D971" s="441"/>
      <c r="E971" s="441"/>
      <c r="F971" s="441"/>
      <c r="G971" s="441"/>
      <c r="H971" s="441"/>
      <c r="I971" s="441"/>
      <c r="J971" s="441"/>
      <c r="K971" s="441"/>
      <c r="L971" s="441"/>
      <c r="M971" s="441"/>
      <c r="N971" s="441"/>
      <c r="O971" s="441"/>
      <c r="P971" s="441"/>
      <c r="Q971" s="441"/>
      <c r="R971" s="441"/>
      <c r="S971" s="441"/>
      <c r="T971" s="441"/>
      <c r="U971" s="441"/>
      <c r="V971" s="441"/>
      <c r="W971" s="441"/>
      <c r="X971" s="441"/>
      <c r="Y971" s="441"/>
      <c r="Z971" s="441"/>
      <c r="AA971" s="441"/>
      <c r="AB971" s="441"/>
      <c r="AC971" s="441"/>
      <c r="AD971" s="441"/>
      <c r="AE971" s="441"/>
    </row>
    <row r="972">
      <c r="A972" s="928"/>
      <c r="B972" s="441"/>
      <c r="C972" s="441"/>
      <c r="D972" s="441"/>
      <c r="E972" s="441"/>
      <c r="F972" s="441"/>
      <c r="G972" s="441"/>
      <c r="H972" s="441"/>
      <c r="I972" s="441"/>
      <c r="J972" s="441"/>
      <c r="K972" s="441"/>
      <c r="L972" s="441"/>
      <c r="M972" s="441"/>
      <c r="N972" s="441"/>
      <c r="O972" s="441"/>
      <c r="P972" s="441"/>
      <c r="Q972" s="441"/>
      <c r="R972" s="441"/>
      <c r="S972" s="441"/>
      <c r="T972" s="441"/>
      <c r="U972" s="441"/>
      <c r="V972" s="441"/>
      <c r="W972" s="441"/>
      <c r="X972" s="441"/>
      <c r="Y972" s="441"/>
      <c r="Z972" s="441"/>
      <c r="AA972" s="441"/>
      <c r="AB972" s="441"/>
      <c r="AC972" s="441"/>
      <c r="AD972" s="441"/>
      <c r="AE972" s="441"/>
    </row>
    <row r="973">
      <c r="A973" s="928"/>
      <c r="B973" s="441"/>
      <c r="C973" s="441"/>
      <c r="D973" s="441"/>
      <c r="E973" s="441"/>
      <c r="F973" s="441"/>
      <c r="G973" s="441"/>
      <c r="H973" s="441"/>
      <c r="I973" s="441"/>
      <c r="J973" s="441"/>
      <c r="K973" s="441"/>
      <c r="L973" s="441"/>
      <c r="M973" s="441"/>
      <c r="N973" s="441"/>
      <c r="O973" s="441"/>
      <c r="P973" s="441"/>
      <c r="Q973" s="441"/>
      <c r="R973" s="441"/>
      <c r="S973" s="441"/>
      <c r="T973" s="441"/>
      <c r="U973" s="441"/>
      <c r="V973" s="441"/>
      <c r="W973" s="441"/>
      <c r="X973" s="441"/>
      <c r="Y973" s="441"/>
      <c r="Z973" s="441"/>
      <c r="AA973" s="441"/>
      <c r="AB973" s="441"/>
      <c r="AC973" s="441"/>
      <c r="AD973" s="441"/>
      <c r="AE973" s="441"/>
    </row>
    <row r="974">
      <c r="A974" s="928"/>
      <c r="B974" s="441"/>
      <c r="C974" s="441"/>
      <c r="D974" s="441"/>
      <c r="E974" s="441"/>
      <c r="F974" s="441"/>
      <c r="G974" s="441"/>
      <c r="H974" s="441"/>
      <c r="I974" s="441"/>
      <c r="J974" s="441"/>
      <c r="K974" s="441"/>
      <c r="L974" s="441"/>
      <c r="M974" s="441"/>
      <c r="N974" s="441"/>
      <c r="O974" s="441"/>
      <c r="P974" s="441"/>
      <c r="Q974" s="441"/>
      <c r="R974" s="441"/>
      <c r="S974" s="441"/>
      <c r="T974" s="441"/>
      <c r="U974" s="441"/>
      <c r="V974" s="441"/>
      <c r="W974" s="441"/>
      <c r="X974" s="441"/>
      <c r="Y974" s="441"/>
      <c r="Z974" s="441"/>
      <c r="AA974" s="441"/>
      <c r="AB974" s="441"/>
      <c r="AC974" s="441"/>
      <c r="AD974" s="441"/>
      <c r="AE974" s="441"/>
    </row>
    <row r="975">
      <c r="A975" s="928"/>
      <c r="B975" s="441"/>
      <c r="C975" s="441"/>
      <c r="D975" s="441"/>
      <c r="E975" s="441"/>
      <c r="F975" s="441"/>
      <c r="G975" s="441"/>
      <c r="H975" s="441"/>
      <c r="I975" s="441"/>
      <c r="J975" s="441"/>
      <c r="K975" s="441"/>
      <c r="L975" s="441"/>
      <c r="M975" s="441"/>
      <c r="N975" s="441"/>
      <c r="O975" s="441"/>
      <c r="P975" s="441"/>
      <c r="Q975" s="441"/>
      <c r="R975" s="441"/>
      <c r="S975" s="441"/>
      <c r="T975" s="441"/>
      <c r="U975" s="441"/>
      <c r="V975" s="441"/>
      <c r="W975" s="441"/>
      <c r="X975" s="441"/>
      <c r="Y975" s="441"/>
      <c r="Z975" s="441"/>
      <c r="AA975" s="441"/>
      <c r="AB975" s="441"/>
      <c r="AC975" s="441"/>
      <c r="AD975" s="441"/>
      <c r="AE975" s="441"/>
    </row>
    <row r="976">
      <c r="A976" s="928"/>
      <c r="B976" s="441"/>
      <c r="C976" s="441"/>
      <c r="D976" s="441"/>
      <c r="E976" s="441"/>
      <c r="F976" s="441"/>
      <c r="G976" s="441"/>
      <c r="H976" s="441"/>
      <c r="I976" s="441"/>
      <c r="J976" s="441"/>
      <c r="K976" s="441"/>
      <c r="L976" s="441"/>
      <c r="M976" s="441"/>
      <c r="N976" s="441"/>
      <c r="O976" s="441"/>
      <c r="P976" s="441"/>
      <c r="Q976" s="441"/>
      <c r="R976" s="441"/>
      <c r="S976" s="441"/>
      <c r="T976" s="441"/>
      <c r="U976" s="441"/>
      <c r="V976" s="441"/>
      <c r="W976" s="441"/>
      <c r="X976" s="441"/>
      <c r="Y976" s="441"/>
      <c r="Z976" s="441"/>
      <c r="AA976" s="441"/>
      <c r="AB976" s="441"/>
      <c r="AC976" s="441"/>
      <c r="AD976" s="441"/>
      <c r="AE976" s="441"/>
    </row>
    <row r="977">
      <c r="A977" s="928"/>
      <c r="B977" s="441"/>
      <c r="C977" s="441"/>
      <c r="D977" s="441"/>
      <c r="E977" s="441"/>
      <c r="F977" s="441"/>
      <c r="G977" s="441"/>
      <c r="H977" s="441"/>
      <c r="I977" s="441"/>
      <c r="J977" s="441"/>
      <c r="K977" s="441"/>
      <c r="L977" s="441"/>
      <c r="M977" s="441"/>
      <c r="N977" s="441"/>
      <c r="O977" s="441"/>
      <c r="P977" s="441"/>
      <c r="Q977" s="441"/>
      <c r="R977" s="441"/>
      <c r="S977" s="441"/>
      <c r="T977" s="441"/>
      <c r="U977" s="441"/>
      <c r="V977" s="441"/>
      <c r="W977" s="441"/>
      <c r="X977" s="441"/>
      <c r="Y977" s="441"/>
      <c r="Z977" s="441"/>
      <c r="AA977" s="441"/>
      <c r="AB977" s="441"/>
      <c r="AC977" s="441"/>
      <c r="AD977" s="441"/>
      <c r="AE977" s="441"/>
    </row>
    <row r="978">
      <c r="A978" s="928"/>
      <c r="B978" s="441"/>
      <c r="C978" s="441"/>
      <c r="D978" s="441"/>
      <c r="E978" s="441"/>
      <c r="F978" s="441"/>
      <c r="G978" s="441"/>
      <c r="H978" s="441"/>
      <c r="I978" s="441"/>
      <c r="J978" s="441"/>
      <c r="K978" s="441"/>
      <c r="L978" s="441"/>
      <c r="M978" s="441"/>
      <c r="N978" s="441"/>
      <c r="O978" s="441"/>
      <c r="P978" s="441"/>
      <c r="Q978" s="441"/>
      <c r="R978" s="441"/>
      <c r="S978" s="441"/>
      <c r="T978" s="441"/>
      <c r="U978" s="441"/>
      <c r="V978" s="441"/>
      <c r="W978" s="441"/>
      <c r="X978" s="441"/>
      <c r="Y978" s="441"/>
      <c r="Z978" s="441"/>
      <c r="AA978" s="441"/>
      <c r="AB978" s="441"/>
      <c r="AC978" s="441"/>
      <c r="AD978" s="441"/>
      <c r="AE978" s="441"/>
    </row>
    <row r="979">
      <c r="A979" s="928"/>
      <c r="B979" s="441"/>
      <c r="C979" s="441"/>
      <c r="D979" s="441"/>
      <c r="E979" s="441"/>
      <c r="F979" s="441"/>
      <c r="G979" s="441"/>
      <c r="H979" s="441"/>
      <c r="I979" s="441"/>
      <c r="J979" s="441"/>
      <c r="K979" s="441"/>
      <c r="L979" s="441"/>
      <c r="M979" s="441"/>
      <c r="N979" s="441"/>
      <c r="O979" s="441"/>
      <c r="P979" s="441"/>
      <c r="Q979" s="441"/>
      <c r="R979" s="441"/>
      <c r="S979" s="441"/>
      <c r="T979" s="441"/>
      <c r="U979" s="441"/>
      <c r="V979" s="441"/>
      <c r="W979" s="441"/>
      <c r="X979" s="441"/>
      <c r="Y979" s="441"/>
      <c r="Z979" s="441"/>
      <c r="AA979" s="441"/>
      <c r="AB979" s="441"/>
      <c r="AC979" s="441"/>
      <c r="AD979" s="441"/>
      <c r="AE979" s="441"/>
    </row>
    <row r="980">
      <c r="A980" s="928"/>
      <c r="B980" s="441"/>
      <c r="C980" s="441"/>
      <c r="D980" s="441"/>
      <c r="E980" s="441"/>
      <c r="F980" s="441"/>
      <c r="G980" s="441"/>
      <c r="H980" s="441"/>
      <c r="I980" s="441"/>
      <c r="J980" s="441"/>
      <c r="K980" s="441"/>
      <c r="L980" s="441"/>
      <c r="M980" s="441"/>
      <c r="N980" s="441"/>
      <c r="O980" s="441"/>
      <c r="P980" s="441"/>
      <c r="Q980" s="441"/>
      <c r="R980" s="441"/>
      <c r="S980" s="441"/>
      <c r="T980" s="441"/>
      <c r="U980" s="441"/>
      <c r="V980" s="441"/>
      <c r="W980" s="441"/>
      <c r="X980" s="441"/>
      <c r="Y980" s="441"/>
      <c r="Z980" s="441"/>
      <c r="AA980" s="441"/>
      <c r="AB980" s="441"/>
      <c r="AC980" s="441"/>
      <c r="AD980" s="441"/>
      <c r="AE980" s="441"/>
    </row>
    <row r="981">
      <c r="A981" s="928"/>
      <c r="B981" s="441"/>
      <c r="C981" s="441"/>
      <c r="D981" s="441"/>
      <c r="E981" s="441"/>
      <c r="F981" s="441"/>
      <c r="G981" s="441"/>
      <c r="H981" s="441"/>
      <c r="I981" s="441"/>
      <c r="J981" s="441"/>
      <c r="K981" s="441"/>
      <c r="L981" s="441"/>
      <c r="M981" s="441"/>
      <c r="N981" s="441"/>
      <c r="O981" s="441"/>
      <c r="P981" s="441"/>
      <c r="Q981" s="441"/>
      <c r="R981" s="441"/>
      <c r="S981" s="441"/>
      <c r="T981" s="441"/>
      <c r="U981" s="441"/>
      <c r="V981" s="441"/>
      <c r="W981" s="441"/>
      <c r="X981" s="441"/>
      <c r="Y981" s="441"/>
      <c r="Z981" s="441"/>
      <c r="AA981" s="441"/>
      <c r="AB981" s="441"/>
      <c r="AC981" s="441"/>
      <c r="AD981" s="441"/>
      <c r="AE981" s="441"/>
    </row>
    <row r="982">
      <c r="A982" s="928"/>
      <c r="B982" s="441"/>
      <c r="C982" s="441"/>
      <c r="D982" s="441"/>
      <c r="E982" s="441"/>
      <c r="F982" s="441"/>
      <c r="G982" s="441"/>
      <c r="H982" s="441"/>
      <c r="I982" s="441"/>
      <c r="J982" s="441"/>
      <c r="K982" s="441"/>
      <c r="L982" s="441"/>
      <c r="M982" s="441"/>
      <c r="N982" s="441"/>
      <c r="O982" s="441"/>
      <c r="P982" s="441"/>
      <c r="Q982" s="441"/>
      <c r="R982" s="441"/>
      <c r="S982" s="441"/>
      <c r="T982" s="441"/>
      <c r="U982" s="441"/>
      <c r="V982" s="441"/>
      <c r="W982" s="441"/>
      <c r="X982" s="441"/>
      <c r="Y982" s="441"/>
      <c r="Z982" s="441"/>
      <c r="AA982" s="441"/>
      <c r="AB982" s="441"/>
      <c r="AC982" s="441"/>
      <c r="AD982" s="441"/>
      <c r="AE982" s="441"/>
    </row>
    <row r="983">
      <c r="A983" s="928"/>
      <c r="B983" s="441"/>
      <c r="C983" s="441"/>
      <c r="D983" s="441"/>
      <c r="E983" s="441"/>
      <c r="F983" s="441"/>
      <c r="G983" s="441"/>
      <c r="H983" s="441"/>
      <c r="I983" s="441"/>
      <c r="J983" s="441"/>
      <c r="K983" s="441"/>
      <c r="L983" s="441"/>
      <c r="M983" s="441"/>
      <c r="N983" s="441"/>
      <c r="O983" s="441"/>
      <c r="P983" s="441"/>
      <c r="Q983" s="441"/>
      <c r="R983" s="441"/>
      <c r="S983" s="441"/>
      <c r="T983" s="441"/>
      <c r="U983" s="441"/>
      <c r="V983" s="441"/>
      <c r="W983" s="441"/>
      <c r="X983" s="441"/>
      <c r="Y983" s="441"/>
      <c r="Z983" s="441"/>
      <c r="AA983" s="441"/>
      <c r="AB983" s="441"/>
      <c r="AC983" s="441"/>
      <c r="AD983" s="441"/>
      <c r="AE983" s="441"/>
    </row>
    <row r="984">
      <c r="A984" s="928"/>
      <c r="B984" s="441"/>
      <c r="C984" s="441"/>
      <c r="D984" s="441"/>
      <c r="E984" s="441"/>
      <c r="F984" s="441"/>
      <c r="G984" s="441"/>
      <c r="H984" s="441"/>
      <c r="I984" s="441"/>
      <c r="J984" s="441"/>
      <c r="K984" s="441"/>
      <c r="L984" s="441"/>
      <c r="M984" s="441"/>
      <c r="N984" s="441"/>
      <c r="O984" s="441"/>
      <c r="P984" s="441"/>
      <c r="Q984" s="441"/>
      <c r="R984" s="441"/>
      <c r="S984" s="441"/>
      <c r="T984" s="441"/>
      <c r="U984" s="441"/>
      <c r="V984" s="441"/>
      <c r="W984" s="441"/>
      <c r="X984" s="441"/>
      <c r="Y984" s="441"/>
      <c r="Z984" s="441"/>
      <c r="AA984" s="441"/>
      <c r="AB984" s="441"/>
      <c r="AC984" s="441"/>
      <c r="AD984" s="441"/>
      <c r="AE984" s="441"/>
    </row>
    <row r="985">
      <c r="A985" s="928"/>
      <c r="B985" s="441"/>
      <c r="C985" s="441"/>
      <c r="D985" s="441"/>
      <c r="E985" s="441"/>
      <c r="F985" s="441"/>
      <c r="G985" s="441"/>
      <c r="H985" s="441"/>
      <c r="I985" s="441"/>
      <c r="J985" s="441"/>
      <c r="K985" s="441"/>
      <c r="L985" s="441"/>
      <c r="M985" s="441"/>
      <c r="N985" s="441"/>
      <c r="O985" s="441"/>
      <c r="P985" s="441"/>
      <c r="Q985" s="441"/>
      <c r="R985" s="441"/>
      <c r="S985" s="441"/>
      <c r="T985" s="441"/>
      <c r="U985" s="441"/>
      <c r="V985" s="441"/>
      <c r="W985" s="441"/>
      <c r="X985" s="441"/>
      <c r="Y985" s="441"/>
      <c r="Z985" s="441"/>
      <c r="AA985" s="441"/>
      <c r="AB985" s="441"/>
      <c r="AC985" s="441"/>
      <c r="AD985" s="441"/>
      <c r="AE985" s="441"/>
    </row>
    <row r="986">
      <c r="A986" s="928"/>
      <c r="B986" s="441"/>
      <c r="C986" s="441"/>
      <c r="D986" s="441"/>
      <c r="E986" s="441"/>
      <c r="F986" s="441"/>
      <c r="G986" s="441"/>
      <c r="H986" s="441"/>
      <c r="I986" s="441"/>
      <c r="J986" s="441"/>
      <c r="K986" s="441"/>
      <c r="L986" s="441"/>
      <c r="M986" s="441"/>
      <c r="N986" s="441"/>
      <c r="O986" s="441"/>
      <c r="P986" s="441"/>
      <c r="Q986" s="441"/>
      <c r="R986" s="441"/>
      <c r="S986" s="441"/>
      <c r="T986" s="441"/>
      <c r="U986" s="441"/>
      <c r="V986" s="441"/>
      <c r="W986" s="441"/>
      <c r="X986" s="441"/>
      <c r="Y986" s="441"/>
      <c r="Z986" s="441"/>
      <c r="AA986" s="441"/>
      <c r="AB986" s="441"/>
      <c r="AC986" s="441"/>
      <c r="AD986" s="441"/>
      <c r="AE986" s="441"/>
    </row>
    <row r="987">
      <c r="A987" s="928"/>
      <c r="B987" s="441"/>
      <c r="C987" s="441"/>
      <c r="D987" s="441"/>
      <c r="E987" s="441"/>
      <c r="F987" s="441"/>
      <c r="G987" s="441"/>
      <c r="H987" s="441"/>
      <c r="I987" s="441"/>
      <c r="J987" s="441"/>
      <c r="K987" s="441"/>
      <c r="L987" s="441"/>
      <c r="M987" s="441"/>
      <c r="N987" s="441"/>
      <c r="O987" s="441"/>
      <c r="P987" s="441"/>
      <c r="Q987" s="441"/>
      <c r="R987" s="441"/>
      <c r="S987" s="441"/>
      <c r="T987" s="441"/>
      <c r="U987" s="441"/>
      <c r="V987" s="441"/>
      <c r="W987" s="441"/>
      <c r="X987" s="441"/>
      <c r="Y987" s="441"/>
      <c r="Z987" s="441"/>
      <c r="AA987" s="441"/>
      <c r="AB987" s="441"/>
      <c r="AC987" s="441"/>
      <c r="AD987" s="441"/>
      <c r="AE987" s="441"/>
    </row>
    <row r="988">
      <c r="A988" s="928"/>
      <c r="B988" s="441"/>
      <c r="C988" s="441"/>
      <c r="D988" s="441"/>
      <c r="E988" s="441"/>
      <c r="F988" s="441"/>
      <c r="G988" s="441"/>
      <c r="H988" s="441"/>
      <c r="I988" s="441"/>
      <c r="J988" s="441"/>
      <c r="K988" s="441"/>
      <c r="L988" s="441"/>
      <c r="M988" s="441"/>
      <c r="N988" s="441"/>
      <c r="O988" s="441"/>
      <c r="P988" s="441"/>
      <c r="Q988" s="441"/>
      <c r="R988" s="441"/>
      <c r="S988" s="441"/>
      <c r="T988" s="441"/>
      <c r="U988" s="441"/>
      <c r="V988" s="441"/>
      <c r="W988" s="441"/>
      <c r="X988" s="441"/>
      <c r="Y988" s="441"/>
      <c r="Z988" s="441"/>
      <c r="AA988" s="441"/>
      <c r="AB988" s="441"/>
      <c r="AC988" s="441"/>
      <c r="AD988" s="441"/>
      <c r="AE988" s="441"/>
    </row>
    <row r="989">
      <c r="A989" s="928"/>
      <c r="B989" s="441"/>
      <c r="C989" s="441"/>
      <c r="D989" s="441"/>
      <c r="E989" s="441"/>
      <c r="F989" s="441"/>
      <c r="G989" s="441"/>
      <c r="H989" s="441"/>
      <c r="I989" s="441"/>
      <c r="J989" s="441"/>
      <c r="K989" s="441"/>
      <c r="L989" s="441"/>
      <c r="M989" s="441"/>
      <c r="N989" s="441"/>
      <c r="O989" s="441"/>
      <c r="P989" s="441"/>
      <c r="Q989" s="441"/>
      <c r="R989" s="441"/>
      <c r="S989" s="441"/>
      <c r="T989" s="441"/>
      <c r="U989" s="441"/>
      <c r="V989" s="441"/>
      <c r="W989" s="441"/>
      <c r="X989" s="441"/>
      <c r="Y989" s="441"/>
      <c r="Z989" s="441"/>
      <c r="AA989" s="441"/>
      <c r="AB989" s="441"/>
      <c r="AC989" s="441"/>
      <c r="AD989" s="441"/>
      <c r="AE989" s="441"/>
    </row>
    <row r="990">
      <c r="A990" s="928"/>
      <c r="B990" s="441"/>
      <c r="C990" s="441"/>
      <c r="D990" s="441"/>
      <c r="E990" s="441"/>
      <c r="F990" s="441"/>
      <c r="G990" s="441"/>
      <c r="H990" s="441"/>
      <c r="I990" s="441"/>
      <c r="J990" s="441"/>
      <c r="K990" s="441"/>
      <c r="L990" s="441"/>
      <c r="M990" s="441"/>
      <c r="N990" s="441"/>
      <c r="O990" s="441"/>
      <c r="P990" s="441"/>
      <c r="Q990" s="441"/>
      <c r="R990" s="441"/>
      <c r="S990" s="441"/>
      <c r="T990" s="441"/>
      <c r="U990" s="441"/>
      <c r="V990" s="441"/>
      <c r="W990" s="441"/>
      <c r="X990" s="441"/>
      <c r="Y990" s="441"/>
      <c r="Z990" s="441"/>
      <c r="AA990" s="441"/>
      <c r="AB990" s="441"/>
      <c r="AC990" s="441"/>
      <c r="AD990" s="441"/>
      <c r="AE990" s="441"/>
    </row>
    <row r="991">
      <c r="A991" s="928"/>
      <c r="B991" s="441"/>
      <c r="C991" s="441"/>
      <c r="D991" s="441"/>
      <c r="E991" s="441"/>
      <c r="F991" s="441"/>
      <c r="G991" s="441"/>
      <c r="H991" s="441"/>
      <c r="I991" s="441"/>
      <c r="J991" s="441"/>
      <c r="K991" s="441"/>
      <c r="L991" s="441"/>
      <c r="M991" s="441"/>
      <c r="N991" s="441"/>
      <c r="O991" s="441"/>
      <c r="P991" s="441"/>
      <c r="Q991" s="441"/>
      <c r="R991" s="441"/>
      <c r="S991" s="441"/>
      <c r="T991" s="441"/>
      <c r="U991" s="441"/>
      <c r="V991" s="441"/>
      <c r="W991" s="441"/>
      <c r="X991" s="441"/>
      <c r="Y991" s="441"/>
      <c r="Z991" s="441"/>
      <c r="AA991" s="441"/>
      <c r="AB991" s="441"/>
      <c r="AC991" s="441"/>
      <c r="AD991" s="441"/>
      <c r="AE991" s="441"/>
    </row>
    <row r="992">
      <c r="A992" s="928"/>
      <c r="B992" s="441"/>
      <c r="C992" s="441"/>
      <c r="D992" s="441"/>
      <c r="E992" s="441"/>
      <c r="F992" s="441"/>
      <c r="G992" s="441"/>
      <c r="H992" s="441"/>
      <c r="I992" s="441"/>
      <c r="J992" s="441"/>
      <c r="K992" s="441"/>
      <c r="L992" s="441"/>
      <c r="M992" s="441"/>
      <c r="N992" s="441"/>
      <c r="O992" s="441"/>
      <c r="P992" s="441"/>
      <c r="Q992" s="441"/>
      <c r="R992" s="441"/>
      <c r="S992" s="441"/>
      <c r="T992" s="441"/>
      <c r="U992" s="441"/>
      <c r="V992" s="441"/>
      <c r="W992" s="441"/>
      <c r="X992" s="441"/>
      <c r="Y992" s="441"/>
      <c r="Z992" s="441"/>
      <c r="AA992" s="441"/>
      <c r="AB992" s="441"/>
      <c r="AC992" s="441"/>
      <c r="AD992" s="441"/>
      <c r="AE992" s="441"/>
    </row>
    <row r="993">
      <c r="A993" s="928"/>
      <c r="B993" s="441"/>
      <c r="C993" s="441"/>
      <c r="D993" s="441"/>
      <c r="E993" s="441"/>
      <c r="F993" s="441"/>
      <c r="G993" s="441"/>
      <c r="H993" s="441"/>
      <c r="I993" s="441"/>
      <c r="J993" s="441"/>
      <c r="K993" s="441"/>
      <c r="L993" s="441"/>
      <c r="M993" s="441"/>
      <c r="N993" s="441"/>
      <c r="O993" s="441"/>
      <c r="P993" s="441"/>
      <c r="Q993" s="441"/>
      <c r="R993" s="441"/>
      <c r="S993" s="441"/>
      <c r="T993" s="441"/>
      <c r="U993" s="441"/>
      <c r="V993" s="441"/>
      <c r="W993" s="441"/>
      <c r="X993" s="441"/>
      <c r="Y993" s="441"/>
      <c r="Z993" s="441"/>
      <c r="AA993" s="441"/>
      <c r="AB993" s="441"/>
      <c r="AC993" s="441"/>
      <c r="AD993" s="441"/>
      <c r="AE993" s="441"/>
    </row>
    <row r="994">
      <c r="A994" s="928"/>
      <c r="B994" s="441"/>
      <c r="C994" s="441"/>
      <c r="D994" s="441"/>
      <c r="E994" s="441"/>
      <c r="F994" s="441"/>
      <c r="G994" s="441"/>
      <c r="H994" s="441"/>
      <c r="I994" s="441"/>
      <c r="J994" s="441"/>
      <c r="K994" s="441"/>
      <c r="L994" s="441"/>
      <c r="M994" s="441"/>
      <c r="N994" s="441"/>
      <c r="O994" s="441"/>
      <c r="P994" s="441"/>
      <c r="Q994" s="441"/>
      <c r="R994" s="441"/>
      <c r="S994" s="441"/>
      <c r="T994" s="441"/>
      <c r="U994" s="441"/>
      <c r="V994" s="441"/>
      <c r="W994" s="441"/>
      <c r="X994" s="441"/>
      <c r="Y994" s="441"/>
      <c r="Z994" s="441"/>
      <c r="AA994" s="441"/>
      <c r="AB994" s="441"/>
      <c r="AC994" s="441"/>
      <c r="AD994" s="441"/>
      <c r="AE994" s="441"/>
    </row>
    <row r="995">
      <c r="A995" s="928"/>
      <c r="B995" s="441"/>
      <c r="C995" s="441"/>
      <c r="D995" s="441"/>
      <c r="E995" s="441"/>
      <c r="F995" s="441"/>
      <c r="G995" s="441"/>
      <c r="H995" s="441"/>
      <c r="I995" s="441"/>
      <c r="J995" s="441"/>
      <c r="K995" s="441"/>
      <c r="L995" s="441"/>
      <c r="M995" s="441"/>
      <c r="N995" s="441"/>
      <c r="O995" s="441"/>
      <c r="P995" s="441"/>
      <c r="Q995" s="441"/>
      <c r="R995" s="441"/>
      <c r="S995" s="441"/>
      <c r="T995" s="441"/>
      <c r="U995" s="441"/>
      <c r="V995" s="441"/>
      <c r="W995" s="441"/>
      <c r="X995" s="441"/>
      <c r="Y995" s="441"/>
      <c r="Z995" s="441"/>
      <c r="AA995" s="441"/>
      <c r="AB995" s="441"/>
      <c r="AC995" s="441"/>
      <c r="AD995" s="441"/>
      <c r="AE995" s="441"/>
    </row>
    <row r="996">
      <c r="A996" s="928"/>
      <c r="B996" s="441"/>
      <c r="C996" s="441"/>
      <c r="D996" s="441"/>
      <c r="E996" s="441"/>
      <c r="F996" s="441"/>
      <c r="G996" s="441"/>
      <c r="H996" s="441"/>
      <c r="I996" s="441"/>
      <c r="J996" s="441"/>
      <c r="K996" s="441"/>
      <c r="L996" s="441"/>
      <c r="M996" s="441"/>
      <c r="N996" s="441"/>
      <c r="O996" s="441"/>
      <c r="P996" s="441"/>
      <c r="Q996" s="441"/>
      <c r="R996" s="441"/>
      <c r="S996" s="441"/>
      <c r="T996" s="441"/>
      <c r="U996" s="441"/>
      <c r="V996" s="441"/>
      <c r="W996" s="441"/>
      <c r="X996" s="441"/>
      <c r="Y996" s="441"/>
      <c r="Z996" s="441"/>
      <c r="AA996" s="441"/>
      <c r="AB996" s="441"/>
      <c r="AC996" s="441"/>
      <c r="AD996" s="441"/>
      <c r="AE996" s="441"/>
    </row>
    <row r="997">
      <c r="A997" s="928"/>
      <c r="B997" s="441"/>
      <c r="C997" s="441"/>
      <c r="D997" s="441"/>
      <c r="E997" s="441"/>
      <c r="F997" s="441"/>
      <c r="G997" s="441"/>
      <c r="H997" s="441"/>
      <c r="I997" s="441"/>
      <c r="J997" s="441"/>
      <c r="K997" s="441"/>
      <c r="L997" s="441"/>
      <c r="M997" s="441"/>
      <c r="N997" s="441"/>
      <c r="O997" s="441"/>
      <c r="P997" s="441"/>
      <c r="Q997" s="441"/>
      <c r="R997" s="441"/>
      <c r="S997" s="441"/>
      <c r="T997" s="441"/>
      <c r="U997" s="441"/>
      <c r="V997" s="441"/>
      <c r="W997" s="441"/>
      <c r="X997" s="441"/>
      <c r="Y997" s="441"/>
      <c r="Z997" s="441"/>
      <c r="AA997" s="441"/>
      <c r="AB997" s="441"/>
      <c r="AC997" s="441"/>
      <c r="AD997" s="441"/>
      <c r="AE997" s="441"/>
    </row>
    <row r="998">
      <c r="A998" s="928"/>
      <c r="B998" s="441"/>
      <c r="C998" s="441"/>
      <c r="D998" s="441"/>
      <c r="E998" s="441"/>
      <c r="F998" s="441"/>
      <c r="G998" s="441"/>
      <c r="H998" s="441"/>
      <c r="I998" s="441"/>
      <c r="J998" s="441"/>
      <c r="K998" s="441"/>
      <c r="L998" s="441"/>
      <c r="M998" s="441"/>
      <c r="N998" s="441"/>
      <c r="O998" s="441"/>
      <c r="P998" s="441"/>
      <c r="Q998" s="441"/>
      <c r="R998" s="441"/>
      <c r="S998" s="441"/>
      <c r="T998" s="441"/>
      <c r="U998" s="441"/>
      <c r="V998" s="441"/>
      <c r="W998" s="441"/>
      <c r="X998" s="441"/>
      <c r="Y998" s="441"/>
      <c r="Z998" s="441"/>
      <c r="AA998" s="441"/>
      <c r="AB998" s="441"/>
      <c r="AC998" s="441"/>
      <c r="AD998" s="441"/>
      <c r="AE998" s="441"/>
    </row>
    <row r="999">
      <c r="A999" s="928"/>
      <c r="B999" s="441"/>
      <c r="C999" s="441"/>
      <c r="D999" s="441"/>
      <c r="E999" s="441"/>
      <c r="F999" s="441"/>
      <c r="G999" s="441"/>
      <c r="H999" s="441"/>
      <c r="I999" s="441"/>
      <c r="J999" s="441"/>
      <c r="K999" s="441"/>
      <c r="L999" s="441"/>
      <c r="M999" s="441"/>
      <c r="N999" s="441"/>
      <c r="O999" s="441"/>
      <c r="P999" s="441"/>
      <c r="Q999" s="441"/>
      <c r="R999" s="441"/>
      <c r="S999" s="441"/>
      <c r="T999" s="441"/>
      <c r="U999" s="441"/>
      <c r="V999" s="441"/>
      <c r="W999" s="441"/>
      <c r="X999" s="441"/>
      <c r="Y999" s="441"/>
      <c r="Z999" s="441"/>
      <c r="AA999" s="441"/>
      <c r="AB999" s="441"/>
      <c r="AC999" s="441"/>
      <c r="AD999" s="441"/>
      <c r="AE999" s="441"/>
    </row>
    <row r="1000">
      <c r="A1000" s="928"/>
      <c r="B1000" s="441"/>
      <c r="C1000" s="441"/>
      <c r="D1000" s="441"/>
      <c r="E1000" s="441"/>
      <c r="F1000" s="441"/>
      <c r="G1000" s="441"/>
      <c r="H1000" s="441"/>
      <c r="I1000" s="441"/>
      <c r="J1000" s="441"/>
      <c r="K1000" s="441"/>
      <c r="L1000" s="441"/>
      <c r="M1000" s="441"/>
      <c r="N1000" s="441"/>
      <c r="O1000" s="441"/>
      <c r="P1000" s="441"/>
      <c r="Q1000" s="441"/>
      <c r="R1000" s="441"/>
      <c r="S1000" s="441"/>
      <c r="T1000" s="441"/>
      <c r="U1000" s="441"/>
      <c r="V1000" s="441"/>
      <c r="W1000" s="441"/>
      <c r="X1000" s="441"/>
      <c r="Y1000" s="441"/>
      <c r="Z1000" s="441"/>
      <c r="AA1000" s="441"/>
      <c r="AB1000" s="441"/>
      <c r="AC1000" s="441"/>
      <c r="AD1000" s="441"/>
      <c r="AE1000" s="441"/>
    </row>
    <row r="1001">
      <c r="A1001" s="441"/>
      <c r="B1001" s="441"/>
      <c r="C1001" s="441"/>
      <c r="D1001" s="441"/>
      <c r="E1001" s="441"/>
      <c r="F1001" s="441"/>
      <c r="G1001" s="441"/>
      <c r="H1001" s="441"/>
      <c r="I1001" s="441"/>
      <c r="J1001" s="441"/>
      <c r="K1001" s="441"/>
      <c r="L1001" s="441"/>
      <c r="M1001" s="441"/>
      <c r="N1001" s="441"/>
      <c r="O1001" s="441"/>
      <c r="P1001" s="441"/>
      <c r="Q1001" s="441"/>
      <c r="R1001" s="441"/>
      <c r="S1001" s="441"/>
      <c r="T1001" s="441"/>
      <c r="U1001" s="441"/>
      <c r="V1001" s="441"/>
      <c r="W1001" s="441"/>
      <c r="X1001" s="441"/>
      <c r="Y1001" s="441"/>
      <c r="Z1001" s="441"/>
      <c r="AA1001" s="441"/>
      <c r="AB1001" s="441"/>
      <c r="AC1001" s="441"/>
      <c r="AD1001" s="441"/>
      <c r="AE1001" s="441"/>
    </row>
    <row r="1002">
      <c r="A1002" s="441"/>
      <c r="B1002" s="441"/>
      <c r="C1002" s="441"/>
      <c r="D1002" s="441"/>
      <c r="E1002" s="441"/>
      <c r="F1002" s="441"/>
      <c r="G1002" s="441"/>
      <c r="H1002" s="441"/>
      <c r="I1002" s="441"/>
      <c r="J1002" s="441"/>
      <c r="K1002" s="441"/>
      <c r="L1002" s="441"/>
      <c r="M1002" s="441"/>
      <c r="N1002" s="441"/>
      <c r="O1002" s="441"/>
      <c r="P1002" s="441"/>
      <c r="Q1002" s="441"/>
      <c r="R1002" s="441"/>
      <c r="S1002" s="441"/>
      <c r="T1002" s="441"/>
      <c r="U1002" s="441"/>
      <c r="V1002" s="441"/>
      <c r="W1002" s="441"/>
      <c r="X1002" s="441"/>
      <c r="Y1002" s="441"/>
      <c r="Z1002" s="441"/>
      <c r="AA1002" s="441"/>
      <c r="AB1002" s="441"/>
      <c r="AC1002" s="441"/>
      <c r="AD1002" s="441"/>
      <c r="AE1002" s="441"/>
    </row>
  </sheetData>
  <mergeCells count="17">
    <mergeCell ref="I6:I7"/>
    <mergeCell ref="J6:J7"/>
    <mergeCell ref="K6:K7"/>
    <mergeCell ref="L6:L7"/>
    <mergeCell ref="M6:M7"/>
    <mergeCell ref="N6:N7"/>
    <mergeCell ref="T6:T7"/>
    <mergeCell ref="U6:U7"/>
    <mergeCell ref="B80:B83"/>
    <mergeCell ref="B84:B87"/>
    <mergeCell ref="B6:B7"/>
    <mergeCell ref="C6:C7"/>
    <mergeCell ref="D6:D7"/>
    <mergeCell ref="E6:E7"/>
    <mergeCell ref="F6:F7"/>
    <mergeCell ref="G6:G7"/>
    <mergeCell ref="H6:H7"/>
  </mergeCells>
  <hyperlinks>
    <hyperlink r:id="rId2" ref="T78"/>
  </hyperlinks>
  <printOptions/>
  <pageMargins bottom="0.75" footer="0.0" header="0.0" left="0.7" right="0.7" top="0.75"/>
  <pageSetup paperSize="9" orientation="portrait"/>
  <drawing r:id="rId3"/>
  <legacy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3.13"/>
    <col customWidth="1" min="2" max="2" width="28.13"/>
    <col customWidth="1" min="3" max="3" width="12.38"/>
    <col customWidth="1" min="4" max="4" width="12.13"/>
    <col customWidth="1" min="5" max="5" width="7.63"/>
    <col customWidth="1" min="6" max="9" width="8.75"/>
    <col customWidth="1" min="10" max="10" width="7.63"/>
    <col customWidth="1" min="11" max="11" width="11.63"/>
    <col customWidth="1" min="12" max="13" width="7.63"/>
    <col customWidth="1" min="14" max="14" width="9.63"/>
    <col customWidth="1" min="15" max="16" width="8.13"/>
    <col customWidth="1" min="17" max="25" width="7.63"/>
  </cols>
  <sheetData>
    <row r="1" ht="12.75" customHeight="1">
      <c r="A1" s="928"/>
      <c r="B1" s="929"/>
      <c r="C1" s="929"/>
      <c r="D1" s="929"/>
      <c r="E1" s="929"/>
      <c r="F1" s="929"/>
      <c r="G1" s="929"/>
      <c r="H1" s="929"/>
      <c r="I1" s="929"/>
      <c r="J1" s="929"/>
      <c r="K1" s="929"/>
      <c r="L1" s="929"/>
      <c r="M1" s="929"/>
      <c r="N1" s="929"/>
      <c r="O1" s="929"/>
      <c r="P1" s="929"/>
      <c r="Q1" s="929"/>
      <c r="R1" s="929"/>
      <c r="S1" s="929"/>
      <c r="T1" s="929"/>
      <c r="U1" s="929"/>
      <c r="V1" s="929"/>
      <c r="W1" s="929"/>
      <c r="X1" s="929"/>
      <c r="Y1" s="929"/>
    </row>
    <row r="2" ht="12.75" customHeight="1">
      <c r="A2" s="928"/>
      <c r="B2" s="930" t="s">
        <v>1351</v>
      </c>
    </row>
    <row r="3" ht="12.75" customHeight="1">
      <c r="A3" s="928"/>
      <c r="B3" s="936" t="s">
        <v>1352</v>
      </c>
      <c r="F3" s="984"/>
      <c r="G3" s="984"/>
    </row>
    <row r="4" ht="12.75" customHeight="1">
      <c r="A4" s="928"/>
      <c r="B4" s="936" t="s">
        <v>1353</v>
      </c>
      <c r="F4" s="984"/>
      <c r="G4" s="984"/>
      <c r="H4" s="984"/>
      <c r="I4" s="984"/>
    </row>
    <row r="5" ht="12.75" customHeight="1">
      <c r="A5" s="928"/>
      <c r="F5" s="984" t="s">
        <v>1354</v>
      </c>
      <c r="G5" s="984" t="s">
        <v>1355</v>
      </c>
      <c r="H5" s="984" t="s">
        <v>1354</v>
      </c>
      <c r="I5" s="984" t="s">
        <v>1355</v>
      </c>
    </row>
    <row r="6" ht="12.75" customHeight="1">
      <c r="A6" s="928"/>
      <c r="B6" s="985" t="s">
        <v>1356</v>
      </c>
      <c r="F6" s="986" t="s">
        <v>1357</v>
      </c>
      <c r="G6" s="986" t="s">
        <v>1357</v>
      </c>
      <c r="H6" s="986" t="s">
        <v>1358</v>
      </c>
      <c r="I6" s="986" t="s">
        <v>1358</v>
      </c>
      <c r="K6" s="928"/>
      <c r="L6" s="928"/>
    </row>
    <row r="7" ht="12.75" customHeight="1">
      <c r="A7" s="928"/>
      <c r="B7" s="987" t="s">
        <v>130</v>
      </c>
      <c r="C7" s="988" t="str">
        <f>'Материалы и инструменты'!D44</f>
        <v>Глина</v>
      </c>
      <c r="D7" s="988" t="str">
        <f>'Материалы и инструменты'!E44</f>
        <v>Фарфор</v>
      </c>
      <c r="F7" s="988" t="str">
        <f t="shared" ref="F7:I7" si="1">$C$7</f>
        <v>Глина</v>
      </c>
      <c r="G7" s="988" t="str">
        <f t="shared" si="1"/>
        <v>Глина</v>
      </c>
      <c r="H7" s="988" t="str">
        <f t="shared" si="1"/>
        <v>Глина</v>
      </c>
      <c r="I7" s="988" t="str">
        <f t="shared" si="1"/>
        <v>Глина</v>
      </c>
      <c r="K7" s="988" t="s">
        <v>1359</v>
      </c>
      <c r="L7" s="988"/>
      <c r="M7" s="989" t="s">
        <v>1360</v>
      </c>
    </row>
    <row r="8" ht="12.75" customHeight="1">
      <c r="A8" s="928"/>
      <c r="B8" s="990" t="s">
        <v>1361</v>
      </c>
      <c r="C8" s="991">
        <f t="shared" ref="C8:D8" si="2">C16*C15+C10*C9+C13*C14</f>
        <v>0.13</v>
      </c>
      <c r="D8" s="991">
        <f t="shared" si="2"/>
        <v>2.5</v>
      </c>
      <c r="F8" s="991">
        <f t="shared" ref="F8:I8" si="3">F16*F15+F10*F9+F13*F14</f>
        <v>0.102</v>
      </c>
      <c r="G8" s="991">
        <f t="shared" si="3"/>
        <v>0.11</v>
      </c>
      <c r="H8" s="991">
        <f t="shared" si="3"/>
        <v>2.2</v>
      </c>
      <c r="I8" s="991">
        <f t="shared" si="3"/>
        <v>3</v>
      </c>
      <c r="K8" s="992" t="s">
        <v>1362</v>
      </c>
      <c r="L8" s="993"/>
      <c r="M8" s="994">
        <v>12.0</v>
      </c>
    </row>
    <row r="9" ht="12.75" customHeight="1">
      <c r="A9" s="928"/>
      <c r="B9" s="995" t="s">
        <v>1363</v>
      </c>
      <c r="C9" s="996">
        <f>'Материалы и инструменты'!D45</f>
        <v>0.03</v>
      </c>
      <c r="D9" s="996">
        <f>'Материалы и инструменты'!E45</f>
        <v>1.5</v>
      </c>
      <c r="F9" s="996">
        <f>'Материалы и инструменты'!D45</f>
        <v>0.03</v>
      </c>
      <c r="G9" s="996">
        <f>'Материалы и инструменты'!D45</f>
        <v>0.03</v>
      </c>
      <c r="H9" s="996">
        <f>'Материалы и инструменты'!D45</f>
        <v>0.03</v>
      </c>
      <c r="I9" s="996">
        <f>'Материалы и инструменты'!D45</f>
        <v>0.03</v>
      </c>
      <c r="K9" s="992" t="s">
        <v>1364</v>
      </c>
      <c r="L9" s="993"/>
      <c r="M9" s="994">
        <v>8.0</v>
      </c>
    </row>
    <row r="10" ht="12.75" customHeight="1">
      <c r="A10" s="928"/>
      <c r="B10" s="995" t="s">
        <v>1365</v>
      </c>
      <c r="C10" s="997">
        <v>1.0</v>
      </c>
      <c r="D10" s="997">
        <v>1.0</v>
      </c>
      <c r="F10" s="998">
        <v>2.0</v>
      </c>
      <c r="G10" s="998">
        <v>2.0</v>
      </c>
      <c r="H10" s="998">
        <v>40.0</v>
      </c>
      <c r="I10" s="998">
        <v>40.0</v>
      </c>
      <c r="K10" s="928"/>
      <c r="L10" s="928"/>
    </row>
    <row r="11" ht="12.75" customHeight="1">
      <c r="A11" s="928"/>
      <c r="B11" s="999" t="s">
        <v>1366</v>
      </c>
      <c r="C11" s="1000" t="s">
        <v>1367</v>
      </c>
      <c r="D11" s="1000" t="s">
        <v>1368</v>
      </c>
      <c r="F11" s="1000" t="s">
        <v>1367</v>
      </c>
      <c r="G11" s="1000" t="s">
        <v>1367</v>
      </c>
      <c r="H11" s="1000" t="s">
        <v>1367</v>
      </c>
      <c r="I11" s="1000" t="s">
        <v>1367</v>
      </c>
      <c r="K11" s="928"/>
      <c r="L11" s="928"/>
    </row>
    <row r="12" ht="12.75" customHeight="1">
      <c r="A12" s="928"/>
      <c r="B12" s="1001" t="s">
        <v>1369</v>
      </c>
      <c r="C12" s="1000" t="s">
        <v>1238</v>
      </c>
      <c r="D12" s="1000" t="str">
        <f>'Материалы и инструменты'!F148</f>
        <v>Каменный уголь</v>
      </c>
      <c r="F12" s="1000" t="s">
        <v>1238</v>
      </c>
      <c r="G12" s="1000" t="s">
        <v>1238</v>
      </c>
      <c r="H12" s="1000" t="s">
        <v>1238</v>
      </c>
      <c r="I12" s="1000" t="s">
        <v>1238</v>
      </c>
    </row>
    <row r="13" ht="12.75" customHeight="1">
      <c r="A13" s="928"/>
      <c r="B13" s="1002" t="s">
        <v>1370</v>
      </c>
      <c r="C13" s="1000">
        <f>'Материалы и инструменты'!$D$149</f>
        <v>0.01</v>
      </c>
      <c r="D13" s="1000">
        <f>'Материалы и инструменты'!F149</f>
        <v>0.14</v>
      </c>
      <c r="F13" s="1000">
        <f>'Материалы и инструменты'!$D$149</f>
        <v>0.01</v>
      </c>
      <c r="G13" s="1000">
        <f>'Материалы и инструменты'!$D$149</f>
        <v>0.01</v>
      </c>
      <c r="H13" s="1000">
        <f>'Материалы и инструменты'!$D$149</f>
        <v>0.01</v>
      </c>
      <c r="I13" s="1000">
        <f>'Материалы и инструменты'!$D$149</f>
        <v>0.01</v>
      </c>
    </row>
    <row r="14" ht="12.75" customHeight="1">
      <c r="A14" s="928"/>
      <c r="B14" s="1002" t="s">
        <v>1231</v>
      </c>
      <c r="C14" s="1003">
        <f t="shared" ref="C14:D14" si="4">C10*2</f>
        <v>2</v>
      </c>
      <c r="D14" s="1003">
        <f t="shared" si="4"/>
        <v>2</v>
      </c>
      <c r="F14" s="1003">
        <f t="shared" ref="F14:I14" si="5">F10*2</f>
        <v>4</v>
      </c>
      <c r="G14" s="1003">
        <f t="shared" si="5"/>
        <v>4</v>
      </c>
      <c r="H14" s="1003">
        <f t="shared" si="5"/>
        <v>80</v>
      </c>
      <c r="I14" s="1003">
        <f t="shared" si="5"/>
        <v>80</v>
      </c>
    </row>
    <row r="15" ht="12.75" customHeight="1">
      <c r="A15" s="928"/>
      <c r="B15" s="1004" t="s">
        <v>1371</v>
      </c>
      <c r="C15" s="981">
        <v>4.0</v>
      </c>
      <c r="D15" s="981">
        <v>9.0</v>
      </c>
      <c r="F15" s="1005">
        <v>0.1</v>
      </c>
      <c r="G15" s="1005">
        <v>0.5</v>
      </c>
      <c r="H15" s="1005">
        <v>10.0</v>
      </c>
      <c r="I15" s="1005">
        <v>50.0</v>
      </c>
    </row>
    <row r="16" ht="12.75" customHeight="1">
      <c r="A16" s="928"/>
      <c r="B16" s="1004" t="s">
        <v>1372</v>
      </c>
      <c r="C16" s="981">
        <f t="shared" ref="C16:D16" si="6">(0.02*C17)*C17</f>
        <v>0.02</v>
      </c>
      <c r="D16" s="981">
        <f t="shared" si="6"/>
        <v>0.08</v>
      </c>
      <c r="F16" s="981">
        <f t="shared" ref="F16:I16" si="7">(0.02*F17)*F17</f>
        <v>0.02</v>
      </c>
      <c r="G16" s="981">
        <f t="shared" si="7"/>
        <v>0.02</v>
      </c>
      <c r="H16" s="981">
        <f t="shared" si="7"/>
        <v>0.02</v>
      </c>
      <c r="I16" s="981">
        <f t="shared" si="7"/>
        <v>0.02</v>
      </c>
    </row>
    <row r="17" ht="12.75" customHeight="1">
      <c r="A17" s="928"/>
      <c r="B17" s="1004" t="s">
        <v>1373</v>
      </c>
      <c r="C17" s="981">
        <v>1.0</v>
      </c>
      <c r="D17" s="981">
        <v>2.0</v>
      </c>
      <c r="F17" s="981">
        <v>1.0</v>
      </c>
      <c r="G17" s="981">
        <v>1.0</v>
      </c>
      <c r="H17" s="981">
        <v>1.0</v>
      </c>
      <c r="I17" s="981">
        <v>1.0</v>
      </c>
    </row>
    <row r="18" ht="12.75" customHeight="1">
      <c r="A18" s="928"/>
      <c r="B18" s="1006" t="s">
        <v>1374</v>
      </c>
      <c r="C18" s="1007">
        <v>10.0</v>
      </c>
      <c r="D18" s="1007">
        <v>12.0</v>
      </c>
      <c r="F18" s="1007">
        <v>10.0</v>
      </c>
      <c r="G18" s="1007">
        <v>10.0</v>
      </c>
      <c r="H18" s="1007">
        <v>10.0</v>
      </c>
      <c r="I18" s="1007">
        <v>10.0</v>
      </c>
    </row>
    <row r="19" ht="12.75" customHeight="1">
      <c r="A19" s="928"/>
      <c r="B19" s="1004" t="s">
        <v>1375</v>
      </c>
      <c r="C19" s="1008" t="s">
        <v>1237</v>
      </c>
      <c r="D19" s="1008" t="s">
        <v>1237</v>
      </c>
      <c r="F19" s="1008" t="s">
        <v>1237</v>
      </c>
      <c r="G19" s="1008" t="s">
        <v>1237</v>
      </c>
      <c r="H19" s="1008" t="s">
        <v>1237</v>
      </c>
      <c r="I19" s="1008" t="s">
        <v>1237</v>
      </c>
    </row>
    <row r="20" ht="12.75" customHeight="1">
      <c r="A20" s="928"/>
      <c r="B20" s="990" t="s">
        <v>1376</v>
      </c>
      <c r="C20" s="1009">
        <f t="shared" ref="C20:D20" si="8">C21*C22+C9*C10+C13*C14</f>
        <v>0.69</v>
      </c>
      <c r="D20" s="1009">
        <f t="shared" si="8"/>
        <v>5.02</v>
      </c>
      <c r="G20" s="1010">
        <v>2.0</v>
      </c>
    </row>
    <row r="21" ht="12.75" customHeight="1">
      <c r="A21" s="928"/>
      <c r="B21" s="1004" t="s">
        <v>1371</v>
      </c>
      <c r="C21" s="981">
        <v>8.0</v>
      </c>
      <c r="D21" s="981">
        <v>18.0</v>
      </c>
      <c r="G21" s="1011"/>
      <c r="K21" s="986"/>
    </row>
    <row r="22" ht="12.75" customHeight="1">
      <c r="A22" s="928"/>
      <c r="B22" s="1004" t="s">
        <v>1372</v>
      </c>
      <c r="C22" s="981">
        <f t="shared" ref="C22:D22" si="9">(0.02*C23)*C23</f>
        <v>0.08</v>
      </c>
      <c r="D22" s="981">
        <f t="shared" si="9"/>
        <v>0.18</v>
      </c>
      <c r="G22" s="1011"/>
    </row>
    <row r="23" ht="12.75" customHeight="1">
      <c r="A23" s="928"/>
      <c r="B23" s="1004" t="s">
        <v>1373</v>
      </c>
      <c r="C23" s="981">
        <v>2.0</v>
      </c>
      <c r="D23" s="981">
        <v>3.0</v>
      </c>
      <c r="G23" s="1011"/>
    </row>
    <row r="24" ht="12.75" customHeight="1">
      <c r="A24" s="928"/>
      <c r="B24" s="1006" t="s">
        <v>1374</v>
      </c>
      <c r="C24" s="1007">
        <v>12.0</v>
      </c>
      <c r="D24" s="1007">
        <v>14.0</v>
      </c>
      <c r="G24" s="1011"/>
    </row>
    <row r="25" ht="12.75" customHeight="1">
      <c r="A25" s="928"/>
      <c r="B25" s="1004" t="s">
        <v>1375</v>
      </c>
      <c r="C25" s="1008" t="s">
        <v>1237</v>
      </c>
      <c r="D25" s="1008" t="s">
        <v>1237</v>
      </c>
      <c r="G25" s="1011"/>
    </row>
    <row r="26" ht="12.75" customHeight="1">
      <c r="A26" s="928"/>
    </row>
    <row r="27" ht="12.75" customHeight="1">
      <c r="A27" s="928"/>
      <c r="B27" s="985" t="s">
        <v>1377</v>
      </c>
      <c r="G27" s="1011"/>
      <c r="K27" s="986" t="s">
        <v>1378</v>
      </c>
      <c r="L27" s="1012"/>
      <c r="M27" s="1012"/>
      <c r="N27" s="1012"/>
      <c r="O27" s="1012"/>
      <c r="P27" s="1012"/>
      <c r="Q27" s="1012"/>
    </row>
    <row r="28" ht="12.75" customHeight="1">
      <c r="A28" s="928"/>
      <c r="B28" s="987" t="s">
        <v>130</v>
      </c>
      <c r="C28" s="1013" t="str">
        <f>'Материалы и инструменты'!D44</f>
        <v>Глина</v>
      </c>
      <c r="G28" s="1011"/>
      <c r="K28" s="1014"/>
      <c r="L28" s="1015"/>
      <c r="M28" s="1016"/>
      <c r="N28" s="1017" t="s">
        <v>1379</v>
      </c>
      <c r="O28" s="1018" t="s">
        <v>1380</v>
      </c>
      <c r="P28" s="1018" t="s">
        <v>1381</v>
      </c>
      <c r="Q28" s="1012"/>
    </row>
    <row r="29" ht="12.75" customHeight="1">
      <c r="A29" s="928"/>
      <c r="B29" s="990" t="s">
        <v>1382</v>
      </c>
      <c r="C29" s="991">
        <f>C38*C36+C31*C30+C34*C35</f>
        <v>20.7</v>
      </c>
      <c r="G29" s="1011"/>
      <c r="K29" s="992" t="s">
        <v>1383</v>
      </c>
      <c r="L29" s="1019"/>
      <c r="M29" s="993"/>
      <c r="N29" s="992">
        <v>190.0</v>
      </c>
      <c r="O29" s="992">
        <v>240.0</v>
      </c>
      <c r="P29" s="1020">
        <v>290.0</v>
      </c>
      <c r="Q29" s="1012"/>
    </row>
    <row r="30" ht="12.75" customHeight="1">
      <c r="A30" s="928"/>
      <c r="B30" s="995" t="s">
        <v>1363</v>
      </c>
      <c r="C30" s="996">
        <f>'Материалы и инструменты'!D45</f>
        <v>0.03</v>
      </c>
      <c r="G30" s="1010"/>
      <c r="K30" s="1021" t="s">
        <v>37</v>
      </c>
      <c r="L30" s="993"/>
      <c r="M30" s="1022"/>
      <c r="N30" s="1020">
        <f>VLOOKUP(N$29, 'Здоровье и опыт'!$B$2:$H$5002, MATCH($K30, 'Здоровье и опыт'!$B$2:$H$2, 0), FALSE)</f>
        <v>23</v>
      </c>
      <c r="O30" s="1020">
        <f>VLOOKUP(O$29, 'Здоровье и опыт'!$B$2:$H$5002, MATCH($K30, 'Здоровье и опыт'!$B$2:$H$2, 0), FALSE)</f>
        <v>29</v>
      </c>
      <c r="P30" s="1020">
        <f>VLOOKUP(P$29, 'Здоровье и опыт'!$B$2:$H$5002, MATCH($K30, 'Здоровье и опыт'!$B$2:$H$2, 0), FALSE)</f>
        <v>35</v>
      </c>
      <c r="Q30" s="1012"/>
    </row>
    <row r="31" ht="12.75" customHeight="1">
      <c r="A31" s="928"/>
      <c r="B31" s="995" t="s">
        <v>1365</v>
      </c>
      <c r="C31" s="998">
        <v>30.0</v>
      </c>
      <c r="G31" s="1010"/>
      <c r="K31" s="1021" t="s">
        <v>1384</v>
      </c>
      <c r="L31" s="993"/>
      <c r="M31" s="1022"/>
      <c r="N31" s="1020">
        <f>VLOOKUP(N$29, 'Здоровье и опыт'!$B$2:$H$5002, MATCH(K31, 'Здоровье и опыт'!$B$2:$H$2, 0), FALSE)</f>
        <v>45</v>
      </c>
      <c r="O31" s="1020">
        <f>VLOOKUP(O$29, 'Здоровье и опыт'!$B$2:$H$5002, MATCH($K31, 'Здоровье и опыт'!$B$2:$H$2, 0), FALSE)</f>
        <v>57</v>
      </c>
      <c r="P31" s="1020">
        <f>VLOOKUP(P$29, 'Здоровье и опыт'!$B$2:$H$5002, MATCH($K31, 'Здоровье и опыт'!$B$2:$H$2, 0), FALSE)</f>
        <v>69</v>
      </c>
      <c r="Q31" s="1012"/>
    </row>
    <row r="32" ht="12.75" customHeight="1">
      <c r="A32" s="928"/>
      <c r="B32" s="999" t="s">
        <v>1366</v>
      </c>
      <c r="C32" s="1000" t="s">
        <v>1367</v>
      </c>
      <c r="K32" s="1021" t="s">
        <v>47</v>
      </c>
      <c r="L32" s="993"/>
      <c r="M32" s="1022"/>
      <c r="N32" s="1020">
        <f>VLOOKUP(N$29, 'Здоровье и опыт'!$B$2:$H$5002, MATCH(K32, 'Здоровье и опыт'!$B$2:$H$2, 0), FALSE)</f>
        <v>30</v>
      </c>
      <c r="O32" s="1020">
        <f>VLOOKUP(O$29, 'Здоровье и опыт'!$B$2:$H$5002, MATCH($K32, 'Здоровье и опыт'!$B$2:$H$2, 0), FALSE)</f>
        <v>38</v>
      </c>
      <c r="P32" s="1020">
        <f>VLOOKUP(P$29, 'Здоровье и опыт'!$B$2:$H$5002, MATCH($K32, 'Здоровье и опыт'!$B$2:$H$2, 0), FALSE)</f>
        <v>46</v>
      </c>
      <c r="Q32" s="1012"/>
    </row>
    <row r="33" ht="12.75" customHeight="1">
      <c r="A33" s="928"/>
      <c r="B33" s="1001" t="s">
        <v>1369</v>
      </c>
      <c r="C33" s="1000" t="s">
        <v>1238</v>
      </c>
      <c r="K33" s="1021" t="s">
        <v>48</v>
      </c>
      <c r="L33" s="993"/>
      <c r="M33" s="1022"/>
      <c r="N33" s="1020">
        <f>VLOOKUP(N$29, 'Здоровье и опыт'!$B$2:$H$5002, MATCH(K33, 'Здоровье и опыт'!$B$2:$H$2, 0), FALSE)</f>
        <v>30</v>
      </c>
      <c r="O33" s="1020">
        <f>VLOOKUP(O$29, 'Здоровье и опыт'!$B$2:$H$5002, MATCH($K33, 'Здоровье и опыт'!$B$2:$H$2, 0), FALSE)</f>
        <v>38</v>
      </c>
      <c r="P33" s="1020">
        <f>VLOOKUP(P$29, 'Здоровье и опыт'!$B$2:$H$5002, MATCH($K33, 'Здоровье и опыт'!$B$2:$H$2, 0), FALSE)</f>
        <v>46</v>
      </c>
      <c r="Q33" s="1012"/>
    </row>
    <row r="34" ht="12.75" customHeight="1">
      <c r="A34" s="928"/>
      <c r="B34" s="1002" t="s">
        <v>1370</v>
      </c>
      <c r="C34" s="1000">
        <f>'Материалы и инструменты'!$D$149</f>
        <v>0.01</v>
      </c>
      <c r="K34" s="1021" t="s">
        <v>75</v>
      </c>
      <c r="L34" s="1015"/>
      <c r="M34" s="1016"/>
      <c r="N34" s="1020">
        <f>VLOOKUP(N$29, 'Здоровье и опыт'!$B$2:$H$5002, MATCH(K34, 'Здоровье и опыт'!$B$2:$H$2, 0), FALSE)</f>
        <v>31</v>
      </c>
      <c r="O34" s="1020">
        <f>VLOOKUP(O$29, 'Здоровье и опыт'!$B$2:$H$5002, MATCH($K34, 'Здоровье и опыт'!$B$2:$H$2, 0), FALSE)</f>
        <v>39</v>
      </c>
      <c r="P34" s="1020">
        <f>VLOOKUP(P$29, 'Здоровье и опыт'!$B$2:$H$5002, MATCH($K34, 'Здоровье и опыт'!$B$2:$H$2, 0), FALSE)</f>
        <v>47</v>
      </c>
      <c r="Q34" s="928"/>
    </row>
    <row r="35" ht="12.75" customHeight="1">
      <c r="A35" s="928"/>
      <c r="B35" s="1002" t="s">
        <v>1231</v>
      </c>
      <c r="C35" s="1003">
        <f>C31*2</f>
        <v>60</v>
      </c>
      <c r="K35" s="1021" t="s">
        <v>76</v>
      </c>
      <c r="L35" s="1015"/>
      <c r="M35" s="1016"/>
      <c r="N35" s="1020">
        <f>VLOOKUP(N$29, 'Здоровье и опыт'!$B$2:$H$5002, MATCH(K35, 'Здоровье и опыт'!$B$2:$H$2, 0), FALSE)</f>
        <v>31</v>
      </c>
      <c r="O35" s="1020">
        <f>VLOOKUP(O$29, 'Здоровье и опыт'!$B$2:$H$5002, MATCH($K35, 'Здоровье и опыт'!$B$2:$H$2, 0), FALSE)</f>
        <v>39</v>
      </c>
      <c r="P35" s="1020">
        <f>VLOOKUP(P$29, 'Здоровье и опыт'!$B$2:$H$5002, MATCH($K35, 'Здоровье и опыт'!$B$2:$H$2, 0), FALSE)</f>
        <v>47</v>
      </c>
      <c r="Q35" s="928"/>
    </row>
    <row r="36" ht="12.75" customHeight="1">
      <c r="A36" s="928"/>
      <c r="B36" s="1004" t="s">
        <v>1371</v>
      </c>
      <c r="C36" s="981">
        <f>C31*C37</f>
        <v>60</v>
      </c>
      <c r="G36" s="1010"/>
      <c r="K36" s="992" t="s">
        <v>106</v>
      </c>
      <c r="L36" s="1023"/>
      <c r="M36" s="993"/>
      <c r="N36" s="992">
        <v>8.0</v>
      </c>
      <c r="O36" s="1020">
        <v>9.0</v>
      </c>
      <c r="P36" s="994">
        <v>10.0</v>
      </c>
      <c r="Q36" s="928"/>
    </row>
    <row r="37" ht="12.75" customHeight="1">
      <c r="A37" s="928"/>
      <c r="B37" s="1004" t="s">
        <v>1385</v>
      </c>
      <c r="C37" s="1005">
        <v>2.0</v>
      </c>
      <c r="G37" s="1010"/>
      <c r="K37" s="1024" t="s">
        <v>1386</v>
      </c>
      <c r="L37" s="1025"/>
      <c r="M37" s="1025"/>
      <c r="N37" s="1026" t="s">
        <v>808</v>
      </c>
      <c r="O37" s="1027" t="s">
        <v>809</v>
      </c>
      <c r="P37" s="1028" t="s">
        <v>1160</v>
      </c>
      <c r="Q37" s="928"/>
    </row>
    <row r="38" ht="12.75" customHeight="1">
      <c r="A38" s="928"/>
      <c r="B38" s="1004" t="s">
        <v>1372</v>
      </c>
      <c r="C38" s="981">
        <f>(0.02*C39)*C39</f>
        <v>0.32</v>
      </c>
      <c r="G38" s="1010"/>
      <c r="K38" s="992" t="s">
        <v>1387</v>
      </c>
      <c r="L38" s="993"/>
      <c r="M38" s="993"/>
      <c r="N38" s="992">
        <v>3.0</v>
      </c>
      <c r="O38" s="1020">
        <v>3.0</v>
      </c>
      <c r="P38" s="994">
        <v>3.0</v>
      </c>
      <c r="Q38" s="928"/>
    </row>
    <row r="39" ht="12.75" customHeight="1">
      <c r="A39" s="928"/>
      <c r="B39" s="1004" t="s">
        <v>1388</v>
      </c>
      <c r="C39" s="1005">
        <v>4.0</v>
      </c>
      <c r="G39" s="1010"/>
      <c r="K39" s="992" t="s">
        <v>1389</v>
      </c>
      <c r="L39" s="1015"/>
      <c r="M39" s="1015"/>
      <c r="N39" s="1029">
        <v>0.05</v>
      </c>
      <c r="O39" s="1030">
        <v>0.05</v>
      </c>
      <c r="P39" s="1031">
        <v>0.05</v>
      </c>
      <c r="Q39" s="928"/>
    </row>
    <row r="40" ht="12.75" customHeight="1">
      <c r="A40" s="928"/>
      <c r="B40" s="1006" t="s">
        <v>1390</v>
      </c>
      <c r="C40" s="1008">
        <f>20+(C39-1)*4</f>
        <v>32</v>
      </c>
      <c r="G40" s="1010"/>
      <c r="K40" s="992" t="s">
        <v>1391</v>
      </c>
      <c r="L40" s="993"/>
      <c r="M40" s="993"/>
      <c r="N40" s="992">
        <v>3.0</v>
      </c>
      <c r="O40" s="1020">
        <v>4.0</v>
      </c>
      <c r="P40" s="994">
        <v>4.0</v>
      </c>
      <c r="Q40" s="928"/>
    </row>
    <row r="41" ht="12.75" customHeight="1">
      <c r="A41" s="928"/>
      <c r="B41" s="1004" t="s">
        <v>1375</v>
      </c>
      <c r="C41" s="953" t="s">
        <v>1250</v>
      </c>
      <c r="K41" s="992" t="s">
        <v>1392</v>
      </c>
      <c r="L41" s="1032"/>
      <c r="M41" s="1032"/>
      <c r="N41" s="992">
        <v>4.0</v>
      </c>
      <c r="O41" s="1020">
        <v>5.0</v>
      </c>
      <c r="P41" s="994">
        <v>6.0</v>
      </c>
      <c r="Q41" s="928"/>
    </row>
    <row r="42" ht="12.75" customHeight="1">
      <c r="A42" s="928"/>
      <c r="B42" s="990" t="s">
        <v>1393</v>
      </c>
      <c r="C42" s="1009">
        <f>C43*C45+C30*C31+C34*C35</f>
        <v>61.5</v>
      </c>
      <c r="G42" s="1010">
        <v>2.0</v>
      </c>
      <c r="K42" s="1024" t="s">
        <v>168</v>
      </c>
      <c r="L42" s="1025"/>
      <c r="M42" s="1025"/>
      <c r="N42" s="1024">
        <v>2.0</v>
      </c>
      <c r="O42" s="1033">
        <v>3.0</v>
      </c>
      <c r="P42" s="1034">
        <v>4.0</v>
      </c>
      <c r="Q42" s="1012"/>
    </row>
    <row r="43" ht="12.75" customHeight="1">
      <c r="A43" s="928"/>
      <c r="B43" s="1004" t="s">
        <v>1371</v>
      </c>
      <c r="C43" s="997">
        <f>C$31*C44</f>
        <v>120</v>
      </c>
      <c r="G43" s="1010"/>
      <c r="K43" s="1035" t="s">
        <v>317</v>
      </c>
      <c r="L43" s="1036"/>
      <c r="M43" s="1036"/>
      <c r="N43" s="1035">
        <v>2.0</v>
      </c>
      <c r="O43" s="1037">
        <v>3.0</v>
      </c>
      <c r="P43" s="1038">
        <v>4.0</v>
      </c>
      <c r="Q43" s="1012"/>
    </row>
    <row r="44" ht="12.75" customHeight="1">
      <c r="A44" s="928"/>
      <c r="B44" s="1004" t="s">
        <v>1385</v>
      </c>
      <c r="C44" s="997">
        <f>C$37*$G42</f>
        <v>4</v>
      </c>
      <c r="G44" s="1010"/>
      <c r="K44" s="1039" t="s">
        <v>1394</v>
      </c>
      <c r="L44" s="1040"/>
      <c r="M44" s="1040"/>
      <c r="N44" s="1041">
        <v>0.5</v>
      </c>
      <c r="O44" s="1042">
        <v>0.6</v>
      </c>
      <c r="P44" s="1043">
        <v>0.7</v>
      </c>
      <c r="Q44" s="1012"/>
    </row>
    <row r="45" ht="12.75" customHeight="1">
      <c r="A45" s="928"/>
      <c r="B45" s="1004" t="s">
        <v>1372</v>
      </c>
      <c r="C45" s="997">
        <f>(0.02*C46)*C46</f>
        <v>0.5</v>
      </c>
      <c r="G45" s="1010"/>
      <c r="K45" s="984" t="s">
        <v>1395</v>
      </c>
      <c r="L45" s="1012"/>
      <c r="M45" s="1012"/>
      <c r="N45" s="1012"/>
      <c r="O45" s="1012"/>
      <c r="P45" s="1012"/>
      <c r="Q45" s="1012"/>
    </row>
    <row r="46" ht="12.75" customHeight="1">
      <c r="A46" s="928"/>
      <c r="B46" s="1004" t="s">
        <v>1388</v>
      </c>
      <c r="C46" s="998">
        <v>5.0</v>
      </c>
      <c r="G46" s="1010"/>
    </row>
    <row r="47" ht="12.75" customHeight="1">
      <c r="A47" s="928"/>
      <c r="B47" s="1006" t="s">
        <v>1390</v>
      </c>
      <c r="C47" s="953">
        <f>20+(C46-1)*4</f>
        <v>36</v>
      </c>
      <c r="G47" s="1010"/>
    </row>
    <row r="48" ht="12.75" customHeight="1">
      <c r="A48" s="928"/>
      <c r="B48" s="1004" t="s">
        <v>1375</v>
      </c>
      <c r="C48" s="953" t="s">
        <v>1250</v>
      </c>
    </row>
    <row r="49" ht="12.75" customHeight="1">
      <c r="A49" s="928"/>
      <c r="B49" s="990" t="s">
        <v>1396</v>
      </c>
      <c r="C49" s="1009">
        <f>C50*C52+C30*C31+C34*C35</f>
        <v>131.1</v>
      </c>
      <c r="G49" s="1044">
        <v>3.0</v>
      </c>
    </row>
    <row r="50" ht="12.75" customHeight="1">
      <c r="A50" s="928"/>
      <c r="B50" s="1004" t="s">
        <v>1371</v>
      </c>
      <c r="C50" s="997">
        <f>C$31*C51</f>
        <v>180</v>
      </c>
      <c r="G50" s="1010"/>
    </row>
    <row r="51" ht="12.75" customHeight="1">
      <c r="A51" s="928"/>
      <c r="B51" s="1004" t="s">
        <v>1385</v>
      </c>
      <c r="C51" s="997">
        <f>C$37*$G49</f>
        <v>6</v>
      </c>
      <c r="G51" s="1010"/>
    </row>
    <row r="52" ht="12.75" customHeight="1">
      <c r="A52" s="928"/>
      <c r="B52" s="1004" t="s">
        <v>1372</v>
      </c>
      <c r="C52" s="997">
        <f>(0.02*C53)*C53</f>
        <v>0.72</v>
      </c>
      <c r="G52" s="1010"/>
    </row>
    <row r="53" ht="12.75" customHeight="1">
      <c r="A53" s="928"/>
      <c r="B53" s="1004" t="s">
        <v>1388</v>
      </c>
      <c r="C53" s="998">
        <v>6.0</v>
      </c>
      <c r="G53" s="1010"/>
    </row>
    <row r="54" ht="12.75" customHeight="1">
      <c r="A54" s="928"/>
      <c r="B54" s="1006" t="s">
        <v>1390</v>
      </c>
      <c r="C54" s="953">
        <f>20+(C53-1)*4</f>
        <v>40</v>
      </c>
      <c r="G54" s="1010"/>
    </row>
    <row r="55" ht="12.75" customHeight="1">
      <c r="A55" s="928"/>
      <c r="B55" s="1004" t="s">
        <v>1375</v>
      </c>
      <c r="C55" s="953" t="s">
        <v>1250</v>
      </c>
      <c r="G55" s="1010"/>
    </row>
    <row r="56" ht="12.75" customHeight="1">
      <c r="A56" s="928"/>
    </row>
    <row r="57" ht="12.75" customHeight="1">
      <c r="A57" s="928"/>
      <c r="B57" s="985" t="s">
        <v>1397</v>
      </c>
      <c r="G57" s="1010"/>
      <c r="K57" s="986" t="s">
        <v>1398</v>
      </c>
      <c r="L57" s="1012"/>
      <c r="M57" s="1012"/>
      <c r="N57" s="1012"/>
      <c r="O57" s="1012"/>
      <c r="P57" s="1012"/>
      <c r="Q57" s="1012"/>
      <c r="R57" s="1012"/>
    </row>
    <row r="58" ht="12.75" customHeight="1">
      <c r="A58" s="928"/>
      <c r="B58" s="987" t="s">
        <v>130</v>
      </c>
      <c r="C58" s="1013" t="str">
        <f>'Материалы и инструменты'!E44</f>
        <v>Фарфор</v>
      </c>
      <c r="G58" s="1010"/>
      <c r="K58" s="1014"/>
      <c r="L58" s="1015"/>
      <c r="M58" s="1016"/>
      <c r="N58" s="1017" t="s">
        <v>1379</v>
      </c>
      <c r="O58" s="1018" t="s">
        <v>1380</v>
      </c>
      <c r="P58" s="1018" t="s">
        <v>1381</v>
      </c>
      <c r="Q58" s="1012"/>
      <c r="R58" s="1012"/>
    </row>
    <row r="59" ht="12.75" customHeight="1">
      <c r="A59" s="928"/>
      <c r="B59" s="990" t="s">
        <v>1399</v>
      </c>
      <c r="C59" s="991">
        <f>C68*C66+C61*C60+C64*C65</f>
        <v>98.4</v>
      </c>
      <c r="G59" s="1010"/>
      <c r="K59" s="992" t="s">
        <v>1383</v>
      </c>
      <c r="L59" s="1019"/>
      <c r="M59" s="993"/>
      <c r="N59" s="992">
        <v>160.0</v>
      </c>
      <c r="O59" s="992">
        <v>200.0</v>
      </c>
      <c r="P59" s="1020">
        <v>240.0</v>
      </c>
      <c r="Q59" s="1012"/>
      <c r="R59" s="1012"/>
    </row>
    <row r="60" ht="12.75" customHeight="1">
      <c r="A60" s="928"/>
      <c r="B60" s="995" t="s">
        <v>1363</v>
      </c>
      <c r="C60" s="996">
        <f>'Материалы и инструменты'!E45</f>
        <v>1.5</v>
      </c>
      <c r="G60" s="1010"/>
      <c r="K60" s="1021" t="s">
        <v>37</v>
      </c>
      <c r="L60" s="993"/>
      <c r="M60" s="1022"/>
      <c r="N60" s="1020">
        <f>VLOOKUP(N$59, 'Здоровье и опыт'!$B$2:$H$5002, MATCH($K60, 'Здоровье и опыт'!$B$2:$H$2, 0), FALSE)</f>
        <v>19</v>
      </c>
      <c r="O60" s="1020">
        <f>VLOOKUP(O$59, 'Здоровье и опыт'!$B$2:$H$5002, MATCH($K60, 'Здоровье и опыт'!$B$2:$H$2, 0), FALSE)</f>
        <v>24</v>
      </c>
      <c r="P60" s="1020">
        <f>VLOOKUP(P$59, 'Здоровье и опыт'!$B$2:$H$5002, MATCH($K60, 'Здоровье и опыт'!$B$2:$H$2, 0), FALSE)</f>
        <v>29</v>
      </c>
      <c r="Q60" s="1012"/>
      <c r="R60" s="1012"/>
    </row>
    <row r="61" ht="12.75" customHeight="1">
      <c r="A61" s="928"/>
      <c r="B61" s="995" t="s">
        <v>1365</v>
      </c>
      <c r="C61" s="998">
        <v>30.0</v>
      </c>
      <c r="G61" s="1010"/>
      <c r="K61" s="1021" t="s">
        <v>1384</v>
      </c>
      <c r="L61" s="993"/>
      <c r="M61" s="1022"/>
      <c r="N61" s="1020">
        <f>VLOOKUP(N$59, 'Здоровье и опыт'!$B$2:$H$5002, MATCH($K61, 'Здоровье и опыт'!$B$2:$H$2, 0), FALSE)</f>
        <v>39</v>
      </c>
      <c r="O61" s="1020">
        <f>VLOOKUP(O$59, 'Здоровье и опыт'!$B$2:$H$5002, MATCH($K61, 'Здоровье и опыт'!$B$2:$H$2, 0), FALSE)</f>
        <v>48</v>
      </c>
      <c r="P61" s="1020">
        <f>VLOOKUP(P$59, 'Здоровье и опыт'!$B$2:$H$5002, MATCH($K61, 'Здоровье и опыт'!$B$2:$H$2, 0), FALSE)</f>
        <v>57</v>
      </c>
      <c r="Q61" s="1012"/>
      <c r="R61" s="1012"/>
    </row>
    <row r="62" ht="12.75" customHeight="1">
      <c r="A62" s="928"/>
      <c r="B62" s="999" t="s">
        <v>1400</v>
      </c>
      <c r="C62" s="1000" t="s">
        <v>1368</v>
      </c>
      <c r="K62" s="1021" t="s">
        <v>47</v>
      </c>
      <c r="L62" s="993"/>
      <c r="M62" s="1022"/>
      <c r="N62" s="1020">
        <f>VLOOKUP(N$59, 'Здоровье и опыт'!$B$2:$H$5002, MATCH($K62, 'Здоровье и опыт'!$B$2:$H$2, 0), FALSE)</f>
        <v>25</v>
      </c>
      <c r="O62" s="1020">
        <f>VLOOKUP(O$59, 'Здоровье и опыт'!$B$2:$H$5002, MATCH($K62, 'Здоровье и опыт'!$B$2:$H$2, 0), FALSE)</f>
        <v>32</v>
      </c>
      <c r="P62" s="1020">
        <f>VLOOKUP(P$59, 'Здоровье и опыт'!$B$2:$H$5002, MATCH($K62, 'Здоровье и опыт'!$B$2:$H$2, 0), FALSE)</f>
        <v>38</v>
      </c>
      <c r="Q62" s="1012"/>
      <c r="R62" s="1012"/>
    </row>
    <row r="63" ht="12.75" customHeight="1">
      <c r="A63" s="928"/>
      <c r="B63" s="1001" t="s">
        <v>1369</v>
      </c>
      <c r="C63" s="1000" t="str">
        <f>'Материалы и инструменты'!F148</f>
        <v>Каменный уголь</v>
      </c>
      <c r="K63" s="1021" t="s">
        <v>48</v>
      </c>
      <c r="L63" s="993"/>
      <c r="M63" s="1022"/>
      <c r="N63" s="1020">
        <f>VLOOKUP(N$59, 'Здоровье и опыт'!$B$2:$H$5002, MATCH($K63, 'Здоровье и опыт'!$B$2:$H$2, 0), FALSE)</f>
        <v>25</v>
      </c>
      <c r="O63" s="1020">
        <f>VLOOKUP(O$59, 'Здоровье и опыт'!$B$2:$H$5002, MATCH($K63, 'Здоровье и опыт'!$B$2:$H$2, 0), FALSE)</f>
        <v>32</v>
      </c>
      <c r="P63" s="1020">
        <f>VLOOKUP(P$59, 'Здоровье и опыт'!$B$2:$H$5002, MATCH($K63, 'Здоровье и опыт'!$B$2:$H$2, 0), FALSE)</f>
        <v>38</v>
      </c>
      <c r="Q63" s="1012"/>
      <c r="R63" s="1012"/>
    </row>
    <row r="64" ht="12.75" customHeight="1">
      <c r="A64" s="928"/>
      <c r="B64" s="1002" t="s">
        <v>1370</v>
      </c>
      <c r="C64" s="1000">
        <f>'Материалы и инструменты'!F149</f>
        <v>0.14</v>
      </c>
      <c r="K64" s="1021" t="s">
        <v>75</v>
      </c>
      <c r="L64" s="1015"/>
      <c r="M64" s="1016"/>
      <c r="N64" s="1020">
        <f>VLOOKUP(N$59, 'Здоровье и опыт'!$B$2:$H$5002, MATCH($K64, 'Здоровье и опыт'!$B$2:$H$2, 0), FALSE)</f>
        <v>26</v>
      </c>
      <c r="O64" s="1020">
        <f>VLOOKUP(O$59, 'Здоровье и опыт'!$B$2:$H$5002, MATCH($K64, 'Здоровье и опыт'!$B$2:$H$2, 0), FALSE)</f>
        <v>32</v>
      </c>
      <c r="P64" s="1020">
        <f>VLOOKUP(P$59, 'Здоровье и опыт'!$B$2:$H$5002, MATCH($K64, 'Здоровье и опыт'!$B$2:$H$2, 0), FALSE)</f>
        <v>39</v>
      </c>
      <c r="Q64" s="928"/>
      <c r="R64" s="1012"/>
    </row>
    <row r="65" ht="12.75" customHeight="1">
      <c r="A65" s="928"/>
      <c r="B65" s="1002" t="s">
        <v>1231</v>
      </c>
      <c r="C65" s="1003">
        <f>C61*2</f>
        <v>60</v>
      </c>
      <c r="K65" s="1021" t="s">
        <v>76</v>
      </c>
      <c r="L65" s="1015"/>
      <c r="M65" s="1016"/>
      <c r="N65" s="1020">
        <f>VLOOKUP(N$59, 'Здоровье и опыт'!$B$2:$H$5002, MATCH($K65, 'Здоровье и опыт'!$B$2:$H$2, 0), FALSE)</f>
        <v>26</v>
      </c>
      <c r="O65" s="1020">
        <f>VLOOKUP(O$59, 'Здоровье и опыт'!$B$2:$H$5002, MATCH($K65, 'Здоровье и опыт'!$B$2:$H$2, 0), FALSE)</f>
        <v>32</v>
      </c>
      <c r="P65" s="1020">
        <f>VLOOKUP(P$59, 'Здоровье и опыт'!$B$2:$H$5002, MATCH($K65, 'Здоровье и опыт'!$B$2:$H$2, 0), FALSE)</f>
        <v>39</v>
      </c>
      <c r="Q65" s="928"/>
      <c r="R65" s="1012"/>
    </row>
    <row r="66" ht="12.75" customHeight="1">
      <c r="A66" s="928"/>
      <c r="B66" s="1004" t="s">
        <v>1371</v>
      </c>
      <c r="C66" s="981">
        <f>C61*C67</f>
        <v>90</v>
      </c>
      <c r="G66" s="1010"/>
      <c r="K66" s="992" t="s">
        <v>106</v>
      </c>
      <c r="L66" s="1023"/>
      <c r="M66" s="993"/>
      <c r="N66" s="992">
        <v>8.0</v>
      </c>
      <c r="O66" s="1020">
        <v>9.0</v>
      </c>
      <c r="P66" s="994">
        <v>10.0</v>
      </c>
      <c r="Q66" s="928"/>
      <c r="R66" s="1012"/>
    </row>
    <row r="67" ht="12.75" customHeight="1">
      <c r="A67" s="928"/>
      <c r="B67" s="1004" t="s">
        <v>1385</v>
      </c>
      <c r="C67" s="1005">
        <v>3.0</v>
      </c>
      <c r="G67" s="1010"/>
      <c r="K67" s="1024" t="s">
        <v>1386</v>
      </c>
      <c r="L67" s="1025"/>
      <c r="M67" s="1025"/>
      <c r="N67" s="1026" t="s">
        <v>807</v>
      </c>
      <c r="O67" s="1027" t="s">
        <v>1073</v>
      </c>
      <c r="P67" s="1028" t="s">
        <v>1159</v>
      </c>
      <c r="Q67" s="928"/>
      <c r="R67" s="1012"/>
    </row>
    <row r="68" ht="12.75" customHeight="1">
      <c r="A68" s="928"/>
      <c r="B68" s="1004" t="s">
        <v>1372</v>
      </c>
      <c r="C68" s="981">
        <f>(0.02*C69)*C69</f>
        <v>0.5</v>
      </c>
      <c r="G68" s="1010"/>
      <c r="K68" s="992" t="s">
        <v>1387</v>
      </c>
      <c r="L68" s="993"/>
      <c r="M68" s="993"/>
      <c r="N68" s="992">
        <v>3.0</v>
      </c>
      <c r="O68" s="1020">
        <v>3.0</v>
      </c>
      <c r="P68" s="994">
        <v>3.0</v>
      </c>
      <c r="Q68" s="928"/>
      <c r="R68" s="1012"/>
    </row>
    <row r="69" ht="12.75" customHeight="1">
      <c r="A69" s="928"/>
      <c r="B69" s="1004" t="s">
        <v>1388</v>
      </c>
      <c r="C69" s="1005">
        <v>5.0</v>
      </c>
      <c r="G69" s="1010"/>
      <c r="K69" s="992" t="s">
        <v>1389</v>
      </c>
      <c r="L69" s="1015"/>
      <c r="M69" s="1015"/>
      <c r="N69" s="1029">
        <v>0.05</v>
      </c>
      <c r="O69" s="1030">
        <v>0.05</v>
      </c>
      <c r="P69" s="1031">
        <v>0.05</v>
      </c>
      <c r="Q69" s="928"/>
      <c r="R69" s="1012"/>
    </row>
    <row r="70" ht="12.75" customHeight="1">
      <c r="A70" s="928"/>
      <c r="B70" s="1006" t="s">
        <v>1390</v>
      </c>
      <c r="C70" s="1008">
        <f>20+(C69-1)*4</f>
        <v>36</v>
      </c>
      <c r="G70" s="1010"/>
      <c r="K70" s="992" t="s">
        <v>1391</v>
      </c>
      <c r="L70" s="993"/>
      <c r="M70" s="993"/>
      <c r="N70" s="992">
        <v>4.0</v>
      </c>
      <c r="O70" s="1020">
        <v>5.0</v>
      </c>
      <c r="P70" s="994">
        <v>5.0</v>
      </c>
      <c r="Q70" s="928"/>
      <c r="R70" s="1012"/>
    </row>
    <row r="71" ht="12.75" customHeight="1">
      <c r="A71" s="928"/>
      <c r="B71" s="1004" t="s">
        <v>1375</v>
      </c>
      <c r="C71" s="953" t="s">
        <v>1250</v>
      </c>
      <c r="K71" s="992" t="s">
        <v>1392</v>
      </c>
      <c r="L71" s="1032"/>
      <c r="M71" s="1032"/>
      <c r="N71" s="992">
        <v>5.0</v>
      </c>
      <c r="O71" s="1020">
        <v>6.0</v>
      </c>
      <c r="P71" s="994">
        <v>7.0</v>
      </c>
      <c r="Q71" s="928"/>
      <c r="R71" s="1012"/>
    </row>
    <row r="72" ht="12.75" customHeight="1">
      <c r="A72" s="928"/>
      <c r="B72" s="990" t="s">
        <v>1401</v>
      </c>
      <c r="C72" s="1009">
        <f>C73*C75+C60*C61+C64*C65</f>
        <v>183</v>
      </c>
      <c r="G72" s="1010">
        <v>2.0</v>
      </c>
      <c r="K72" s="1024" t="s">
        <v>168</v>
      </c>
      <c r="L72" s="1025"/>
      <c r="M72" s="1025"/>
      <c r="N72" s="1024">
        <v>3.0</v>
      </c>
      <c r="O72" s="1033">
        <v>4.0</v>
      </c>
      <c r="P72" s="1034">
        <v>5.0</v>
      </c>
      <c r="Q72" s="1012"/>
      <c r="R72" s="1012"/>
    </row>
    <row r="73" ht="12.75" customHeight="1">
      <c r="A73" s="928"/>
      <c r="B73" s="1004" t="s">
        <v>1371</v>
      </c>
      <c r="C73" s="997">
        <f>C$61*C74</f>
        <v>180</v>
      </c>
      <c r="G73" s="1010"/>
      <c r="K73" s="1035" t="s">
        <v>317</v>
      </c>
      <c r="L73" s="1036"/>
      <c r="M73" s="1036"/>
      <c r="N73" s="1035">
        <v>4.0</v>
      </c>
      <c r="O73" s="1037">
        <v>6.0</v>
      </c>
      <c r="P73" s="1038">
        <v>8.0</v>
      </c>
      <c r="Q73" s="1012"/>
      <c r="R73" s="1012"/>
    </row>
    <row r="74" ht="12.75" customHeight="1">
      <c r="A74" s="928"/>
      <c r="B74" s="1004" t="s">
        <v>1385</v>
      </c>
      <c r="C74" s="997">
        <f>C$67*$G72</f>
        <v>6</v>
      </c>
      <c r="G74" s="1010"/>
      <c r="K74" s="1039" t="s">
        <v>1394</v>
      </c>
      <c r="L74" s="1040"/>
      <c r="M74" s="1040"/>
      <c r="N74" s="1041">
        <v>0.6</v>
      </c>
      <c r="O74" s="1042">
        <v>0.7</v>
      </c>
      <c r="P74" s="1043">
        <v>0.8</v>
      </c>
      <c r="Q74" s="1012"/>
      <c r="R74" s="1012"/>
    </row>
    <row r="75" ht="12.75" customHeight="1">
      <c r="A75" s="928"/>
      <c r="B75" s="1004" t="s">
        <v>1372</v>
      </c>
      <c r="C75" s="997">
        <f>(0.02*C76)*C76</f>
        <v>0.72</v>
      </c>
      <c r="G75" s="1010"/>
      <c r="K75" s="1045" t="s">
        <v>1402</v>
      </c>
      <c r="L75" s="1046"/>
      <c r="M75" s="1046"/>
      <c r="N75" s="1045">
        <v>120.0</v>
      </c>
      <c r="O75" s="1047">
        <v>160.0</v>
      </c>
      <c r="P75" s="1048">
        <v>200.0</v>
      </c>
      <c r="Q75" s="1012"/>
      <c r="R75" s="1012"/>
    </row>
    <row r="76" ht="12.75" customHeight="1">
      <c r="A76" s="928"/>
      <c r="B76" s="1004" t="s">
        <v>1388</v>
      </c>
      <c r="C76" s="998">
        <v>6.0</v>
      </c>
      <c r="G76" s="1010"/>
      <c r="K76" s="1045" t="s">
        <v>1403</v>
      </c>
      <c r="L76" s="1046"/>
      <c r="M76" s="1046"/>
      <c r="N76" s="1045">
        <v>1.0</v>
      </c>
      <c r="O76" s="1047">
        <v>2.0</v>
      </c>
      <c r="P76" s="1048">
        <v>3.0</v>
      </c>
      <c r="Q76" s="1012"/>
      <c r="R76" s="1012"/>
    </row>
    <row r="77" ht="12.75" customHeight="1">
      <c r="A77" s="928"/>
      <c r="B77" s="1006" t="s">
        <v>1390</v>
      </c>
      <c r="C77" s="953">
        <f>20+(C76-1)*4</f>
        <v>40</v>
      </c>
      <c r="G77" s="1010"/>
      <c r="K77" s="984" t="s">
        <v>1404</v>
      </c>
      <c r="L77" s="1012"/>
      <c r="M77" s="1012"/>
      <c r="N77" s="1012"/>
      <c r="O77" s="1012"/>
      <c r="P77" s="1012"/>
      <c r="Q77" s="1012"/>
      <c r="R77" s="1012"/>
    </row>
    <row r="78" ht="12.75" customHeight="1">
      <c r="A78" s="928"/>
      <c r="B78" s="1004" t="s">
        <v>1375</v>
      </c>
      <c r="C78" s="953" t="s">
        <v>1250</v>
      </c>
      <c r="K78" s="984" t="s">
        <v>1405</v>
      </c>
      <c r="L78" s="1012"/>
      <c r="M78" s="1012"/>
      <c r="N78" s="1012"/>
      <c r="O78" s="1012"/>
      <c r="P78" s="1012"/>
      <c r="Q78" s="1012"/>
      <c r="R78" s="1012"/>
    </row>
    <row r="79" ht="12.75" customHeight="1">
      <c r="A79" s="928"/>
      <c r="B79" s="990" t="s">
        <v>1406</v>
      </c>
      <c r="C79" s="1009">
        <f>C80*C82+C60*C61+C64*C65</f>
        <v>318</v>
      </c>
      <c r="G79" s="1044">
        <v>3.0</v>
      </c>
    </row>
    <row r="80" ht="12.75" customHeight="1">
      <c r="A80" s="928"/>
      <c r="B80" s="1004" t="s">
        <v>1371</v>
      </c>
      <c r="C80" s="997">
        <f>C$61*C81</f>
        <v>270</v>
      </c>
      <c r="G80" s="1010"/>
    </row>
    <row r="81" ht="12.75" customHeight="1">
      <c r="A81" s="928"/>
      <c r="B81" s="1004" t="s">
        <v>1385</v>
      </c>
      <c r="C81" s="997">
        <f>C$67*$G79</f>
        <v>9</v>
      </c>
      <c r="G81" s="1010"/>
    </row>
    <row r="82" ht="12.75" customHeight="1">
      <c r="A82" s="928"/>
      <c r="B82" s="1004" t="s">
        <v>1372</v>
      </c>
      <c r="C82" s="997">
        <f>(0.02*C83)*C83</f>
        <v>0.98</v>
      </c>
      <c r="G82" s="1010"/>
    </row>
    <row r="83" ht="12.75" customHeight="1">
      <c r="A83" s="928"/>
      <c r="B83" s="1004" t="s">
        <v>1388</v>
      </c>
      <c r="C83" s="998">
        <v>7.0</v>
      </c>
      <c r="G83" s="1010"/>
    </row>
    <row r="84" ht="12.75" customHeight="1">
      <c r="A84" s="928"/>
      <c r="B84" s="1006" t="s">
        <v>1390</v>
      </c>
      <c r="C84" s="953">
        <f>20+(C83-1)*4</f>
        <v>44</v>
      </c>
      <c r="G84" s="1010"/>
    </row>
    <row r="85" ht="12.75" customHeight="1">
      <c r="A85" s="928"/>
      <c r="B85" s="1004" t="s">
        <v>1375</v>
      </c>
      <c r="C85" s="953" t="s">
        <v>1263</v>
      </c>
      <c r="G85" s="1010"/>
    </row>
    <row r="86" ht="12.75" customHeight="1">
      <c r="A86" s="928"/>
    </row>
    <row r="87" ht="12.75" customHeight="1">
      <c r="A87" s="928"/>
      <c r="B87" s="985" t="s">
        <v>1407</v>
      </c>
      <c r="G87" s="1010"/>
      <c r="K87" s="986" t="s">
        <v>1408</v>
      </c>
      <c r="L87" s="1012"/>
      <c r="M87" s="1012"/>
      <c r="N87" s="1012"/>
      <c r="O87" s="1012"/>
      <c r="P87" s="1012"/>
      <c r="Q87" s="1012"/>
    </row>
    <row r="88" ht="12.75" customHeight="1">
      <c r="A88" s="928"/>
      <c r="B88" s="987" t="s">
        <v>130</v>
      </c>
      <c r="C88" s="1013" t="str">
        <f>'Материалы и инструменты'!F44</f>
        <v>Магма</v>
      </c>
      <c r="G88" s="1010"/>
      <c r="K88" s="1014"/>
      <c r="L88" s="1015"/>
      <c r="M88" s="1016"/>
      <c r="N88" s="1017" t="s">
        <v>1379</v>
      </c>
      <c r="O88" s="1018" t="s">
        <v>1380</v>
      </c>
      <c r="P88" s="1018" t="s">
        <v>1381</v>
      </c>
      <c r="Q88" s="1012"/>
    </row>
    <row r="89" ht="12.75" customHeight="1">
      <c r="A89" s="928"/>
      <c r="B89" s="990" t="s">
        <v>1382</v>
      </c>
      <c r="C89" s="991">
        <f>C98*C96+C91*C90+C94*C95</f>
        <v>231.6</v>
      </c>
      <c r="G89" s="1010"/>
      <c r="K89" s="992" t="s">
        <v>1383</v>
      </c>
      <c r="L89" s="1019"/>
      <c r="M89" s="993"/>
      <c r="N89" s="992">
        <v>340.0</v>
      </c>
      <c r="O89" s="992">
        <v>390.0</v>
      </c>
      <c r="P89" s="1020">
        <v>440.0</v>
      </c>
      <c r="Q89" s="1012"/>
    </row>
    <row r="90" ht="12.75" customHeight="1">
      <c r="A90" s="928"/>
      <c r="B90" s="995" t="s">
        <v>1363</v>
      </c>
      <c r="C90" s="996">
        <f>'Материалы и инструменты'!F45</f>
        <v>4.5</v>
      </c>
      <c r="G90" s="1010"/>
      <c r="K90" s="1021" t="s">
        <v>37</v>
      </c>
      <c r="L90" s="993"/>
      <c r="M90" s="1022"/>
      <c r="N90" s="1020">
        <f>VLOOKUP(N$89, 'Здоровье и опыт'!$B$2:$H$5002, MATCH($K90, 'Здоровье и опыт'!$B$2:$H$2, 0), FALSE)</f>
        <v>41</v>
      </c>
      <c r="O90" s="1020">
        <f>VLOOKUP(O$89, 'Здоровье и опыт'!$B$2:$H$5002, MATCH($K90, 'Здоровье и опыт'!$B$2:$H$2, 0), FALSE)</f>
        <v>47</v>
      </c>
      <c r="P90" s="1020">
        <f>VLOOKUP(P$89, 'Здоровье и опыт'!$B$2:$H$5002, MATCH($K90, 'Здоровье и опыт'!$B$2:$H$2, 0), FALSE)</f>
        <v>53</v>
      </c>
      <c r="Q90" s="1012"/>
    </row>
    <row r="91" ht="12.75" customHeight="1">
      <c r="A91" s="928"/>
      <c r="B91" s="995" t="s">
        <v>1365</v>
      </c>
      <c r="C91" s="998">
        <v>30.0</v>
      </c>
      <c r="G91" s="1010"/>
      <c r="K91" s="1021" t="s">
        <v>1384</v>
      </c>
      <c r="L91" s="993"/>
      <c r="M91" s="1022"/>
      <c r="N91" s="1020">
        <f>VLOOKUP(N$89, 'Здоровье и опыт'!$B$2:$H$5002, MATCH($K91, 'Здоровье и опыт'!$B$2:$H$2, 0), FALSE)</f>
        <v>81</v>
      </c>
      <c r="O91" s="1020">
        <f>VLOOKUP(O$89, 'Здоровье и опыт'!$B$2:$H$5002, MATCH($K91, 'Здоровье и опыт'!$B$2:$H$2, 0), FALSE)</f>
        <v>93</v>
      </c>
      <c r="P91" s="1020">
        <f>VLOOKUP(P$89, 'Здоровье и опыт'!$B$2:$H$5002, MATCH($K91, 'Здоровье и опыт'!$B$2:$H$2, 0), FALSE)</f>
        <v>105</v>
      </c>
      <c r="Q91" s="1012"/>
    </row>
    <row r="92" ht="12.75" customHeight="1">
      <c r="A92" s="928"/>
      <c r="B92" s="999" t="s">
        <v>1400</v>
      </c>
      <c r="C92" s="1000" t="s">
        <v>1409</v>
      </c>
      <c r="K92" s="1021" t="s">
        <v>47</v>
      </c>
      <c r="L92" s="993"/>
      <c r="M92" s="1022"/>
      <c r="N92" s="1020">
        <f>VLOOKUP(N$89, 'Здоровье и опыт'!$B$2:$H$5002, MATCH($K92, 'Здоровье и опыт'!$B$2:$H$2, 0), FALSE)</f>
        <v>54</v>
      </c>
      <c r="O92" s="1020">
        <f>VLOOKUP(O$89, 'Здоровье и опыт'!$B$2:$H$5002, MATCH($K92, 'Здоровье и опыт'!$B$2:$H$2, 0), FALSE)</f>
        <v>62</v>
      </c>
      <c r="P92" s="1020">
        <f>VLOOKUP(P$89, 'Здоровье и опыт'!$B$2:$H$5002, MATCH($K92, 'Здоровье и опыт'!$B$2:$H$2, 0), FALSE)</f>
        <v>70</v>
      </c>
      <c r="Q92" s="1012"/>
    </row>
    <row r="93" ht="12.75" customHeight="1">
      <c r="A93" s="928"/>
      <c r="B93" s="1001" t="s">
        <v>1369</v>
      </c>
      <c r="C93" s="1000" t="str">
        <f>'Материалы и инструменты'!F148</f>
        <v>Каменный уголь</v>
      </c>
      <c r="K93" s="1021" t="s">
        <v>48</v>
      </c>
      <c r="L93" s="993"/>
      <c r="M93" s="1022"/>
      <c r="N93" s="1020">
        <f>VLOOKUP(N$89, 'Здоровье и опыт'!$B$2:$H$5002, MATCH($K93, 'Здоровье и опыт'!$B$2:$H$2, 0), FALSE)</f>
        <v>54</v>
      </c>
      <c r="O93" s="1020">
        <f>VLOOKUP(O$89, 'Здоровье и опыт'!$B$2:$H$5002, MATCH($K93, 'Здоровье и опыт'!$B$2:$H$2, 0), FALSE)</f>
        <v>62</v>
      </c>
      <c r="P93" s="1020">
        <f>VLOOKUP(P$89, 'Здоровье и опыт'!$B$2:$H$5002, MATCH($K93, 'Здоровье и опыт'!$B$2:$H$2, 0), FALSE)</f>
        <v>70</v>
      </c>
      <c r="Q93" s="1012"/>
    </row>
    <row r="94" ht="12.75" customHeight="1">
      <c r="A94" s="928"/>
      <c r="B94" s="1002" t="s">
        <v>1370</v>
      </c>
      <c r="C94" s="1000">
        <f>'Материалы и инструменты'!F149</f>
        <v>0.14</v>
      </c>
      <c r="K94" s="1021" t="s">
        <v>75</v>
      </c>
      <c r="L94" s="1015"/>
      <c r="M94" s="1016"/>
      <c r="N94" s="1020">
        <f>VLOOKUP(N$89, 'Здоровье и опыт'!$B$2:$H$5002, MATCH($K94, 'Здоровье и опыт'!$B$2:$H$2, 0), FALSE)</f>
        <v>55</v>
      </c>
      <c r="O94" s="1020">
        <f>VLOOKUP(O$89, 'Здоровье и опыт'!$B$2:$H$5002, MATCH($K94, 'Здоровье и опыт'!$B$2:$H$2, 0), FALSE)</f>
        <v>63</v>
      </c>
      <c r="P94" s="1020">
        <f>VLOOKUP(P$89, 'Здоровье и опыт'!$B$2:$H$5002, MATCH($K94, 'Здоровье и опыт'!$B$2:$H$2, 0), FALSE)</f>
        <v>71</v>
      </c>
      <c r="Q94" s="1012"/>
    </row>
    <row r="95" ht="12.75" customHeight="1">
      <c r="A95" s="928"/>
      <c r="B95" s="1002" t="s">
        <v>1231</v>
      </c>
      <c r="C95" s="1003">
        <f>C91*2</f>
        <v>60</v>
      </c>
      <c r="K95" s="1021" t="s">
        <v>76</v>
      </c>
      <c r="L95" s="1015"/>
      <c r="M95" s="1016"/>
      <c r="N95" s="1020">
        <f>VLOOKUP(N$89, 'Здоровье и опыт'!$B$2:$H$5002, MATCH($K95, 'Здоровье и опыт'!$B$2:$H$2, 0), FALSE)</f>
        <v>55</v>
      </c>
      <c r="O95" s="1020">
        <f>VLOOKUP(O$89, 'Здоровье и опыт'!$B$2:$H$5002, MATCH($K95, 'Здоровье и опыт'!$B$2:$H$2, 0), FALSE)</f>
        <v>63</v>
      </c>
      <c r="P95" s="1020">
        <f>VLOOKUP(P$89, 'Здоровье и опыт'!$B$2:$H$5002, MATCH($K95, 'Здоровье и опыт'!$B$2:$H$2, 0), FALSE)</f>
        <v>71</v>
      </c>
      <c r="Q95" s="1012"/>
    </row>
    <row r="96" ht="12.75" customHeight="1">
      <c r="A96" s="928"/>
      <c r="B96" s="1004" t="s">
        <v>1371</v>
      </c>
      <c r="C96" s="981">
        <f>C91*C97</f>
        <v>90</v>
      </c>
      <c r="G96" s="1010"/>
      <c r="K96" s="992" t="s">
        <v>106</v>
      </c>
      <c r="L96" s="1023"/>
      <c r="M96" s="993"/>
      <c r="N96" s="992">
        <v>11.0</v>
      </c>
      <c r="O96" s="1020">
        <v>12.0</v>
      </c>
      <c r="P96" s="994">
        <v>13.0</v>
      </c>
      <c r="Q96" s="1012"/>
    </row>
    <row r="97" ht="12.75" customHeight="1">
      <c r="A97" s="928"/>
      <c r="B97" s="1004" t="s">
        <v>1410</v>
      </c>
      <c r="C97" s="1005">
        <v>3.0</v>
      </c>
      <c r="G97" s="1010"/>
      <c r="K97" s="1024" t="s">
        <v>1386</v>
      </c>
      <c r="L97" s="1025"/>
      <c r="M97" s="1025"/>
      <c r="N97" s="1027" t="s">
        <v>811</v>
      </c>
      <c r="O97" s="1027" t="s">
        <v>959</v>
      </c>
      <c r="P97" s="1027" t="s">
        <v>1411</v>
      </c>
      <c r="Q97" s="1012"/>
    </row>
    <row r="98" ht="12.75" customHeight="1">
      <c r="A98" s="928"/>
      <c r="B98" s="1004" t="s">
        <v>1412</v>
      </c>
      <c r="C98" s="981">
        <f>(0.02*C99)*C99</f>
        <v>0.98</v>
      </c>
      <c r="G98" s="1010"/>
      <c r="K98" s="1035" t="s">
        <v>1413</v>
      </c>
      <c r="L98" s="1036"/>
      <c r="M98" s="1036"/>
      <c r="N98" s="1049" t="s">
        <v>774</v>
      </c>
      <c r="O98" s="1050" t="s">
        <v>775</v>
      </c>
      <c r="P98" s="1051" t="s">
        <v>935</v>
      </c>
      <c r="Q98" s="1012"/>
    </row>
    <row r="99" ht="12.75" customHeight="1">
      <c r="A99" s="928"/>
      <c r="B99" s="1004" t="s">
        <v>1388</v>
      </c>
      <c r="C99" s="1005">
        <v>7.0</v>
      </c>
      <c r="G99" s="1010"/>
      <c r="K99" s="992" t="s">
        <v>1387</v>
      </c>
      <c r="L99" s="993"/>
      <c r="M99" s="993"/>
      <c r="N99" s="992">
        <v>3.0</v>
      </c>
      <c r="O99" s="1020">
        <v>3.0</v>
      </c>
      <c r="P99" s="994">
        <v>3.0</v>
      </c>
      <c r="Q99" s="1012"/>
    </row>
    <row r="100" ht="12.75" customHeight="1">
      <c r="A100" s="928"/>
      <c r="B100" s="1006" t="s">
        <v>1390</v>
      </c>
      <c r="C100" s="1008">
        <f>20+(C99-1)*4</f>
        <v>44</v>
      </c>
      <c r="G100" s="1010"/>
      <c r="K100" s="992" t="s">
        <v>1389</v>
      </c>
      <c r="L100" s="1015"/>
      <c r="M100" s="1015"/>
      <c r="N100" s="1029">
        <v>0.1</v>
      </c>
      <c r="O100" s="1029">
        <v>0.1</v>
      </c>
      <c r="P100" s="1030">
        <v>0.1</v>
      </c>
      <c r="Q100" s="1012"/>
    </row>
    <row r="101" ht="12.75" customHeight="1">
      <c r="A101" s="928"/>
      <c r="B101" s="1004" t="s">
        <v>1375</v>
      </c>
      <c r="C101" s="953" t="s">
        <v>1263</v>
      </c>
      <c r="K101" s="992" t="s">
        <v>1391</v>
      </c>
      <c r="L101" s="993"/>
      <c r="M101" s="993"/>
      <c r="N101" s="992">
        <v>4.0</v>
      </c>
      <c r="O101" s="1020">
        <v>4.0</v>
      </c>
      <c r="P101" s="994">
        <v>5.0</v>
      </c>
      <c r="Q101" s="1012"/>
    </row>
    <row r="102" ht="12.75" customHeight="1">
      <c r="A102" s="928"/>
      <c r="B102" s="990" t="s">
        <v>1393</v>
      </c>
      <c r="C102" s="1009">
        <f>C103*C105+C90*C91+C94*C95</f>
        <v>373.8</v>
      </c>
      <c r="G102" s="1010">
        <v>2.0</v>
      </c>
      <c r="K102" s="992" t="s">
        <v>1392</v>
      </c>
      <c r="L102" s="1032"/>
      <c r="M102" s="1032"/>
      <c r="N102" s="992">
        <v>7.0</v>
      </c>
      <c r="O102" s="1020">
        <v>8.0</v>
      </c>
      <c r="P102" s="994">
        <v>9.0</v>
      </c>
      <c r="Q102" s="1012"/>
    </row>
    <row r="103" ht="12.75" customHeight="1">
      <c r="A103" s="928"/>
      <c r="B103" s="1004" t="s">
        <v>1371</v>
      </c>
      <c r="C103" s="997">
        <f>C$91*C104</f>
        <v>180</v>
      </c>
      <c r="G103" s="1010"/>
      <c r="K103" s="1024" t="s">
        <v>168</v>
      </c>
      <c r="L103" s="1025"/>
      <c r="M103" s="1025"/>
      <c r="N103" s="1024">
        <v>5.0</v>
      </c>
      <c r="O103" s="1033">
        <v>6.0</v>
      </c>
      <c r="P103" s="1034">
        <v>7.0</v>
      </c>
      <c r="Q103" s="1012"/>
    </row>
    <row r="104" ht="12.75" customHeight="1">
      <c r="A104" s="928"/>
      <c r="B104" s="1004" t="s">
        <v>1410</v>
      </c>
      <c r="C104" s="997">
        <f>C$97*$G102</f>
        <v>6</v>
      </c>
      <c r="G104" s="1010"/>
      <c r="K104" s="1035" t="s">
        <v>317</v>
      </c>
      <c r="L104" s="1036"/>
      <c r="M104" s="1036"/>
      <c r="N104" s="1035">
        <v>5.0</v>
      </c>
      <c r="O104" s="1037">
        <v>6.0</v>
      </c>
      <c r="P104" s="1038">
        <v>7.0</v>
      </c>
      <c r="Q104" s="1012"/>
    </row>
    <row r="105" ht="12.75" customHeight="1">
      <c r="A105" s="928"/>
      <c r="B105" s="1004" t="s">
        <v>1412</v>
      </c>
      <c r="C105" s="997">
        <f>(0.02*C106)*C106</f>
        <v>1.28</v>
      </c>
      <c r="G105" s="1010"/>
      <c r="K105" s="1039" t="s">
        <v>1394</v>
      </c>
      <c r="L105" s="1040"/>
      <c r="M105" s="1040"/>
      <c r="N105" s="1041">
        <v>0.8</v>
      </c>
      <c r="O105" s="1042">
        <v>0.9</v>
      </c>
      <c r="P105" s="1043">
        <v>1.0</v>
      </c>
      <c r="Q105" s="1012"/>
    </row>
    <row r="106" ht="12.75" customHeight="1">
      <c r="A106" s="928"/>
      <c r="B106" s="1004" t="s">
        <v>1388</v>
      </c>
      <c r="C106" s="998">
        <v>8.0</v>
      </c>
      <c r="G106" s="1010"/>
      <c r="K106" s="984" t="s">
        <v>1414</v>
      </c>
      <c r="L106" s="1012"/>
      <c r="M106" s="1012"/>
      <c r="N106" s="1012"/>
      <c r="O106" s="1012"/>
      <c r="P106" s="1012"/>
      <c r="Q106" s="1012"/>
    </row>
    <row r="107" ht="12.75" customHeight="1">
      <c r="A107" s="928"/>
      <c r="B107" s="1006" t="s">
        <v>1390</v>
      </c>
      <c r="C107" s="953">
        <f>20+(C106-1)*4</f>
        <v>48</v>
      </c>
      <c r="G107" s="1010"/>
    </row>
    <row r="108" ht="12.75" customHeight="1">
      <c r="A108" s="928"/>
      <c r="B108" s="1004" t="s">
        <v>1375</v>
      </c>
      <c r="C108" s="953" t="s">
        <v>1263</v>
      </c>
    </row>
    <row r="109" ht="12.75" customHeight="1">
      <c r="A109" s="928"/>
      <c r="B109" s="990" t="s">
        <v>1396</v>
      </c>
      <c r="C109" s="1009">
        <f>C110*C112+C90*C91+C94*C95</f>
        <v>580.8</v>
      </c>
      <c r="G109" s="1044">
        <v>3.0</v>
      </c>
    </row>
    <row r="110" ht="12.75" customHeight="1">
      <c r="A110" s="928"/>
      <c r="B110" s="1004" t="s">
        <v>1371</v>
      </c>
      <c r="C110" s="997">
        <f>C$91*C111</f>
        <v>270</v>
      </c>
      <c r="G110" s="1010"/>
    </row>
    <row r="111" ht="12.75" customHeight="1">
      <c r="A111" s="928"/>
      <c r="B111" s="1004" t="s">
        <v>1410</v>
      </c>
      <c r="C111" s="997">
        <f>C$97*$G109</f>
        <v>9</v>
      </c>
      <c r="G111" s="1010"/>
    </row>
    <row r="112" ht="12.75" customHeight="1">
      <c r="A112" s="928"/>
      <c r="B112" s="1004" t="s">
        <v>1412</v>
      </c>
      <c r="C112" s="997">
        <f>(0.02*C113)*C113</f>
        <v>1.62</v>
      </c>
      <c r="G112" s="1010"/>
    </row>
    <row r="113" ht="12.75" customHeight="1">
      <c r="A113" s="928"/>
      <c r="B113" s="1004" t="s">
        <v>1388</v>
      </c>
      <c r="C113" s="998">
        <v>9.0</v>
      </c>
      <c r="G113" s="1010"/>
    </row>
    <row r="114" ht="12.75" customHeight="1">
      <c r="A114" s="928"/>
      <c r="B114" s="1006" t="s">
        <v>1390</v>
      </c>
      <c r="C114" s="953">
        <f>20+(C113-1)*4</f>
        <v>52</v>
      </c>
      <c r="G114" s="1010"/>
    </row>
    <row r="115" ht="12.75" customHeight="1">
      <c r="A115" s="928"/>
      <c r="B115" s="1004" t="s">
        <v>1375</v>
      </c>
      <c r="C115" s="953" t="s">
        <v>1263</v>
      </c>
    </row>
    <row r="116" ht="12.75" customHeight="1">
      <c r="A116" s="928"/>
    </row>
    <row r="117" ht="12.75" customHeight="1">
      <c r="A117" s="928"/>
    </row>
    <row r="118" ht="12.75" customHeight="1">
      <c r="A118" s="928"/>
    </row>
    <row r="119" ht="12.75" customHeight="1">
      <c r="A119" s="928"/>
    </row>
    <row r="120" ht="12.75" customHeight="1">
      <c r="A120" s="928"/>
    </row>
    <row r="121" ht="12.75" customHeight="1">
      <c r="A121" s="928"/>
    </row>
    <row r="122" ht="12.75" customHeight="1">
      <c r="A122" s="928"/>
    </row>
    <row r="123" ht="12.75" customHeight="1">
      <c r="A123" s="928"/>
    </row>
    <row r="124" ht="12.75" customHeight="1">
      <c r="A124" s="928"/>
    </row>
    <row r="125" ht="12.75" customHeight="1">
      <c r="A125" s="928"/>
    </row>
    <row r="126" ht="12.75" customHeight="1">
      <c r="A126" s="928"/>
    </row>
    <row r="127" ht="12.75" customHeight="1">
      <c r="A127" s="928"/>
    </row>
    <row r="128" ht="12.75" customHeight="1">
      <c r="A128" s="928"/>
    </row>
    <row r="129" ht="12.75" customHeight="1">
      <c r="A129" s="928"/>
    </row>
    <row r="130" ht="12.75" customHeight="1">
      <c r="A130" s="928"/>
    </row>
    <row r="131" ht="12.75" customHeight="1">
      <c r="A131" s="928"/>
    </row>
    <row r="132" ht="12.75" customHeight="1">
      <c r="A132" s="928"/>
    </row>
    <row r="133" ht="12.75" customHeight="1">
      <c r="A133" s="928"/>
    </row>
    <row r="134" ht="12.75" customHeight="1">
      <c r="A134" s="928"/>
    </row>
    <row r="135" ht="12.75" customHeight="1">
      <c r="A135" s="928"/>
    </row>
    <row r="136" ht="12.75" customHeight="1">
      <c r="A136" s="928"/>
    </row>
    <row r="137" ht="12.75" customHeight="1">
      <c r="A137" s="928"/>
    </row>
    <row r="138" ht="12.75" customHeight="1">
      <c r="A138" s="928"/>
    </row>
    <row r="139" ht="12.75" customHeight="1">
      <c r="A139" s="928"/>
    </row>
    <row r="140" ht="12.75" customHeight="1">
      <c r="A140" s="928"/>
    </row>
    <row r="141" ht="12.75" customHeight="1">
      <c r="A141" s="928"/>
    </row>
    <row r="142" ht="12.75" customHeight="1">
      <c r="A142" s="928"/>
    </row>
    <row r="143" ht="12.75" customHeight="1">
      <c r="A143" s="928"/>
    </row>
    <row r="144" ht="12.75" customHeight="1">
      <c r="A144" s="928"/>
    </row>
    <row r="145" ht="12.75" customHeight="1">
      <c r="A145" s="928"/>
    </row>
    <row r="146" ht="12.75" customHeight="1">
      <c r="A146" s="928"/>
    </row>
    <row r="147" ht="12.75" customHeight="1">
      <c r="A147" s="928"/>
    </row>
    <row r="148" ht="12.75" customHeight="1">
      <c r="A148" s="928"/>
    </row>
    <row r="149" ht="12.75" customHeight="1">
      <c r="A149" s="928"/>
    </row>
    <row r="150" ht="12.75" customHeight="1">
      <c r="A150" s="928"/>
    </row>
    <row r="151" ht="12.75" customHeight="1">
      <c r="A151" s="928"/>
    </row>
    <row r="152" ht="12.75" customHeight="1">
      <c r="A152" s="928"/>
    </row>
    <row r="153" ht="12.75" customHeight="1">
      <c r="A153" s="928"/>
    </row>
    <row r="154" ht="12.75" customHeight="1">
      <c r="A154" s="928"/>
    </row>
    <row r="155" ht="12.75" customHeight="1">
      <c r="A155" s="928"/>
    </row>
    <row r="156" ht="12.75" customHeight="1">
      <c r="A156" s="928"/>
    </row>
    <row r="157" ht="12.75" customHeight="1">
      <c r="A157" s="928"/>
    </row>
    <row r="158" ht="12.75" customHeight="1">
      <c r="A158" s="928"/>
    </row>
    <row r="159" ht="12.75" customHeight="1">
      <c r="A159" s="928"/>
    </row>
    <row r="160" ht="12.75" customHeight="1">
      <c r="A160" s="928"/>
    </row>
    <row r="161" ht="12.75" customHeight="1">
      <c r="A161" s="928"/>
    </row>
    <row r="162" ht="12.75" customHeight="1">
      <c r="A162" s="928"/>
    </row>
    <row r="163" ht="12.75" customHeight="1">
      <c r="A163" s="928"/>
    </row>
    <row r="164" ht="12.75" customHeight="1">
      <c r="A164" s="928"/>
    </row>
    <row r="165" ht="12.75" customHeight="1">
      <c r="A165" s="928"/>
    </row>
    <row r="166" ht="12.75" customHeight="1">
      <c r="A166" s="928"/>
    </row>
    <row r="167" ht="12.75" customHeight="1">
      <c r="A167" s="928"/>
    </row>
    <row r="168" ht="12.75" customHeight="1">
      <c r="A168" s="928"/>
    </row>
    <row r="169" ht="12.75" customHeight="1">
      <c r="A169" s="928"/>
    </row>
    <row r="170" ht="12.75" customHeight="1">
      <c r="A170" s="928"/>
    </row>
    <row r="171" ht="12.75" customHeight="1">
      <c r="A171" s="928"/>
    </row>
    <row r="172" ht="12.75" customHeight="1">
      <c r="A172" s="928"/>
    </row>
    <row r="173" ht="12.75" customHeight="1">
      <c r="A173" s="928"/>
    </row>
    <row r="174" ht="12.75" customHeight="1">
      <c r="A174" s="928"/>
    </row>
    <row r="175" ht="12.75" customHeight="1">
      <c r="A175" s="928"/>
    </row>
    <row r="176" ht="12.75" customHeight="1">
      <c r="A176" s="928"/>
    </row>
    <row r="177" ht="12.75" customHeight="1">
      <c r="A177" s="928"/>
    </row>
    <row r="178" ht="12.75" customHeight="1">
      <c r="A178" s="928"/>
    </row>
    <row r="179" ht="12.75" customHeight="1">
      <c r="A179" s="928"/>
    </row>
    <row r="180" ht="12.75" customHeight="1">
      <c r="A180" s="928"/>
    </row>
    <row r="181" ht="12.75" customHeight="1">
      <c r="A181" s="928"/>
    </row>
    <row r="182" ht="12.75" customHeight="1">
      <c r="A182" s="928"/>
    </row>
    <row r="183" ht="12.75" customHeight="1">
      <c r="A183" s="928"/>
    </row>
    <row r="184" ht="12.75" customHeight="1">
      <c r="A184" s="928"/>
    </row>
    <row r="185" ht="12.75" customHeight="1">
      <c r="A185" s="928"/>
    </row>
    <row r="186" ht="12.75" customHeight="1">
      <c r="A186" s="928"/>
    </row>
    <row r="187" ht="12.75" customHeight="1">
      <c r="A187" s="928"/>
    </row>
    <row r="188" ht="12.75" customHeight="1">
      <c r="A188" s="928"/>
    </row>
    <row r="189" ht="12.75" customHeight="1">
      <c r="A189" s="928"/>
    </row>
    <row r="190" ht="12.75" customHeight="1">
      <c r="A190" s="928"/>
    </row>
    <row r="191" ht="12.75" customHeight="1">
      <c r="A191" s="928"/>
    </row>
    <row r="192" ht="12.75" customHeight="1">
      <c r="A192" s="928"/>
    </row>
    <row r="193" ht="12.75" customHeight="1">
      <c r="A193" s="928"/>
    </row>
    <row r="194" ht="12.75" customHeight="1">
      <c r="A194" s="928"/>
    </row>
    <row r="195" ht="12.75" customHeight="1">
      <c r="A195" s="928"/>
    </row>
    <row r="196" ht="12.75" customHeight="1">
      <c r="A196" s="928"/>
    </row>
    <row r="197" ht="12.75" customHeight="1">
      <c r="A197" s="928"/>
    </row>
    <row r="198" ht="12.75" customHeight="1">
      <c r="A198" s="928"/>
    </row>
    <row r="199" ht="12.75" customHeight="1">
      <c r="A199" s="928"/>
    </row>
    <row r="200" ht="12.75" customHeight="1">
      <c r="A200" s="928"/>
    </row>
    <row r="201" ht="12.75" customHeight="1">
      <c r="A201" s="928"/>
    </row>
    <row r="202" ht="12.75" customHeight="1">
      <c r="A202" s="928"/>
    </row>
    <row r="203" ht="12.75" customHeight="1">
      <c r="A203" s="928"/>
    </row>
    <row r="204" ht="12.75" customHeight="1">
      <c r="A204" s="928"/>
    </row>
    <row r="205" ht="12.75" customHeight="1">
      <c r="A205" s="928"/>
    </row>
    <row r="206" ht="12.75" customHeight="1">
      <c r="A206" s="928"/>
    </row>
    <row r="207" ht="12.75" customHeight="1">
      <c r="A207" s="928"/>
    </row>
    <row r="208" ht="12.75" customHeight="1">
      <c r="A208" s="928"/>
    </row>
    <row r="209" ht="12.75" customHeight="1">
      <c r="A209" s="928"/>
    </row>
    <row r="210" ht="12.75" customHeight="1">
      <c r="A210" s="928"/>
    </row>
    <row r="211" ht="12.75" customHeight="1">
      <c r="A211" s="928"/>
    </row>
    <row r="212" ht="12.75" customHeight="1">
      <c r="A212" s="928"/>
    </row>
    <row r="213" ht="12.75" customHeight="1">
      <c r="A213" s="928"/>
    </row>
    <row r="214" ht="12.75" customHeight="1">
      <c r="A214" s="928"/>
    </row>
    <row r="215" ht="12.75" customHeight="1">
      <c r="A215" s="928"/>
    </row>
    <row r="216" ht="12.75" customHeight="1">
      <c r="A216" s="928"/>
    </row>
    <row r="217" ht="12.75" customHeight="1">
      <c r="A217" s="928"/>
    </row>
    <row r="218" ht="12.75" customHeight="1">
      <c r="A218" s="928"/>
    </row>
    <row r="219" ht="12.75" customHeight="1">
      <c r="A219" s="928"/>
    </row>
    <row r="220" ht="12.75" customHeight="1">
      <c r="A220" s="928"/>
    </row>
    <row r="221" ht="12.75" customHeight="1">
      <c r="A221" s="928"/>
    </row>
    <row r="222" ht="12.75" customHeight="1">
      <c r="A222" s="928"/>
    </row>
    <row r="223" ht="12.75" customHeight="1">
      <c r="A223" s="928"/>
    </row>
    <row r="224" ht="12.75" customHeight="1">
      <c r="A224" s="928"/>
    </row>
    <row r="225" ht="12.75" customHeight="1">
      <c r="A225" s="928"/>
    </row>
    <row r="226" ht="12.75" customHeight="1">
      <c r="A226" s="928"/>
    </row>
    <row r="227" ht="12.75" customHeight="1">
      <c r="A227" s="928"/>
    </row>
    <row r="228" ht="12.75" customHeight="1">
      <c r="A228" s="928"/>
    </row>
    <row r="229" ht="12.75" customHeight="1">
      <c r="A229" s="928"/>
    </row>
    <row r="230" ht="12.75" customHeight="1">
      <c r="A230" s="928"/>
    </row>
    <row r="231" ht="12.75" customHeight="1">
      <c r="A231" s="928"/>
    </row>
    <row r="232" ht="12.75" customHeight="1">
      <c r="A232" s="928"/>
    </row>
    <row r="233" ht="12.75" customHeight="1">
      <c r="A233" s="928"/>
    </row>
    <row r="234" ht="12.75" customHeight="1">
      <c r="A234" s="928"/>
    </row>
    <row r="235" ht="12.75" customHeight="1">
      <c r="A235" s="928"/>
    </row>
    <row r="236" ht="12.75" customHeight="1">
      <c r="A236" s="928"/>
    </row>
    <row r="237" ht="12.75" customHeight="1">
      <c r="A237" s="928"/>
    </row>
    <row r="238" ht="12.75" customHeight="1">
      <c r="A238" s="928"/>
    </row>
    <row r="239" ht="12.75" customHeight="1">
      <c r="A239" s="928"/>
    </row>
    <row r="240" ht="12.75" customHeight="1">
      <c r="A240" s="928"/>
    </row>
    <row r="241" ht="12.75" customHeight="1">
      <c r="A241" s="928"/>
    </row>
    <row r="242" ht="12.75" customHeight="1">
      <c r="A242" s="928"/>
    </row>
    <row r="243" ht="12.75" customHeight="1">
      <c r="A243" s="928"/>
    </row>
    <row r="244" ht="12.75" customHeight="1">
      <c r="A244" s="928"/>
    </row>
    <row r="245" ht="12.75" customHeight="1">
      <c r="A245" s="928"/>
    </row>
    <row r="246" ht="12.75" customHeight="1">
      <c r="A246" s="928"/>
    </row>
    <row r="247" ht="12.75" customHeight="1">
      <c r="A247" s="928"/>
    </row>
    <row r="248" ht="12.75" customHeight="1">
      <c r="A248" s="928"/>
    </row>
    <row r="249" ht="12.75" customHeight="1">
      <c r="A249" s="928"/>
    </row>
    <row r="250" ht="12.75" customHeight="1">
      <c r="A250" s="928"/>
    </row>
    <row r="251" ht="12.75" customHeight="1">
      <c r="A251" s="928"/>
    </row>
    <row r="252" ht="12.75" customHeight="1">
      <c r="A252" s="928"/>
    </row>
    <row r="253" ht="12.75" customHeight="1">
      <c r="A253" s="928"/>
    </row>
    <row r="254" ht="12.75" customHeight="1">
      <c r="A254" s="928"/>
    </row>
    <row r="255" ht="12.75" customHeight="1">
      <c r="A255" s="928"/>
    </row>
    <row r="256" ht="12.75" customHeight="1">
      <c r="A256" s="928"/>
    </row>
    <row r="257" ht="12.75" customHeight="1">
      <c r="A257" s="928"/>
    </row>
    <row r="258" ht="12.75" customHeight="1">
      <c r="A258" s="928"/>
    </row>
    <row r="259" ht="12.75" customHeight="1">
      <c r="A259" s="928"/>
    </row>
    <row r="260" ht="12.75" customHeight="1">
      <c r="A260" s="928"/>
    </row>
    <row r="261" ht="12.75" customHeight="1">
      <c r="A261" s="928"/>
    </row>
    <row r="262" ht="12.75" customHeight="1">
      <c r="A262" s="928"/>
    </row>
    <row r="263" ht="12.75" customHeight="1">
      <c r="A263" s="928"/>
    </row>
    <row r="264" ht="12.75" customHeight="1">
      <c r="A264" s="928"/>
    </row>
    <row r="265" ht="12.75" customHeight="1">
      <c r="A265" s="928"/>
    </row>
    <row r="266" ht="12.75" customHeight="1">
      <c r="A266" s="928"/>
    </row>
    <row r="267" ht="12.75" customHeight="1">
      <c r="A267" s="928"/>
    </row>
    <row r="268" ht="12.75" customHeight="1">
      <c r="A268" s="928"/>
    </row>
    <row r="269" ht="12.75" customHeight="1">
      <c r="A269" s="928"/>
    </row>
    <row r="270" ht="12.75" customHeight="1">
      <c r="A270" s="928"/>
    </row>
    <row r="271" ht="12.75" customHeight="1">
      <c r="A271" s="928"/>
    </row>
    <row r="272" ht="12.75" customHeight="1">
      <c r="A272" s="928"/>
    </row>
    <row r="273" ht="12.75" customHeight="1">
      <c r="A273" s="928"/>
    </row>
    <row r="274" ht="12.75" customHeight="1">
      <c r="A274" s="928"/>
    </row>
    <row r="275" ht="12.75" customHeight="1">
      <c r="A275" s="928"/>
    </row>
    <row r="276" ht="12.75" customHeight="1">
      <c r="A276" s="928"/>
    </row>
    <row r="277" ht="12.75" customHeight="1">
      <c r="A277" s="928"/>
    </row>
    <row r="278" ht="12.75" customHeight="1">
      <c r="A278" s="928"/>
    </row>
    <row r="279" ht="12.75" customHeight="1">
      <c r="A279" s="928"/>
    </row>
    <row r="280" ht="12.75" customHeight="1">
      <c r="A280" s="928"/>
    </row>
    <row r="281" ht="12.75" customHeight="1">
      <c r="A281" s="928"/>
    </row>
    <row r="282" ht="12.75" customHeight="1">
      <c r="A282" s="928"/>
    </row>
    <row r="283" ht="12.75" customHeight="1">
      <c r="A283" s="928"/>
    </row>
    <row r="284" ht="12.75" customHeight="1">
      <c r="A284" s="928"/>
    </row>
    <row r="285" ht="12.75" customHeight="1">
      <c r="A285" s="928"/>
    </row>
    <row r="286" ht="12.75" customHeight="1">
      <c r="A286" s="928"/>
    </row>
    <row r="287" ht="12.75" customHeight="1">
      <c r="A287" s="928"/>
    </row>
    <row r="288" ht="12.75" customHeight="1">
      <c r="A288" s="928"/>
    </row>
    <row r="289" ht="12.75" customHeight="1">
      <c r="A289" s="928"/>
    </row>
    <row r="290" ht="12.75" customHeight="1">
      <c r="A290" s="928"/>
    </row>
    <row r="291" ht="12.75" customHeight="1">
      <c r="A291" s="928"/>
    </row>
    <row r="292" ht="12.75" customHeight="1">
      <c r="A292" s="928"/>
    </row>
    <row r="293" ht="12.75" customHeight="1">
      <c r="A293" s="928"/>
    </row>
    <row r="294" ht="12.75" customHeight="1">
      <c r="A294" s="928"/>
    </row>
    <row r="295" ht="12.75" customHeight="1">
      <c r="A295" s="928"/>
    </row>
    <row r="296" ht="12.75" customHeight="1">
      <c r="A296" s="928"/>
    </row>
    <row r="297" ht="12.75" customHeight="1">
      <c r="A297" s="928"/>
    </row>
    <row r="298" ht="12.75" customHeight="1">
      <c r="A298" s="928"/>
    </row>
    <row r="299" ht="12.75" customHeight="1">
      <c r="A299" s="928"/>
    </row>
    <row r="300" ht="12.75" customHeight="1">
      <c r="A300" s="928"/>
    </row>
    <row r="301" ht="12.75" customHeight="1">
      <c r="A301" s="928"/>
    </row>
    <row r="302" ht="12.75" customHeight="1">
      <c r="A302" s="928"/>
    </row>
    <row r="303" ht="12.75" customHeight="1">
      <c r="A303" s="928"/>
    </row>
    <row r="304" ht="12.75" customHeight="1">
      <c r="A304" s="928"/>
    </row>
    <row r="305" ht="12.75" customHeight="1">
      <c r="A305" s="928"/>
    </row>
    <row r="306" ht="12.75" customHeight="1">
      <c r="A306" s="928"/>
    </row>
    <row r="307" ht="12.75" customHeight="1">
      <c r="A307" s="928"/>
    </row>
    <row r="308" ht="12.75" customHeight="1">
      <c r="A308" s="928"/>
    </row>
    <row r="309" ht="12.75" customHeight="1">
      <c r="A309" s="928"/>
    </row>
    <row r="310" ht="12.75" customHeight="1">
      <c r="A310" s="928"/>
    </row>
    <row r="311" ht="12.75" customHeight="1">
      <c r="A311" s="928"/>
    </row>
    <row r="312" ht="12.75" customHeight="1">
      <c r="A312" s="928"/>
    </row>
    <row r="313" ht="12.75" customHeight="1">
      <c r="A313" s="928"/>
    </row>
    <row r="314" ht="12.75" customHeight="1">
      <c r="A314" s="928"/>
    </row>
    <row r="315" ht="12.75" customHeight="1">
      <c r="A315" s="928"/>
    </row>
    <row r="316" ht="12.75" customHeight="1">
      <c r="A316" s="928"/>
    </row>
    <row r="317" ht="12.75" customHeight="1">
      <c r="A317" s="928"/>
    </row>
    <row r="318" ht="12.75" customHeight="1">
      <c r="A318" s="928"/>
    </row>
    <row r="319" ht="12.75" customHeight="1">
      <c r="A319" s="928"/>
    </row>
    <row r="320" ht="12.75" customHeight="1">
      <c r="A320" s="928"/>
    </row>
    <row r="321" ht="12.75" customHeight="1">
      <c r="A321" s="928"/>
    </row>
    <row r="322" ht="12.75" customHeight="1">
      <c r="A322" s="928"/>
    </row>
    <row r="323" ht="12.75" customHeight="1">
      <c r="A323" s="928"/>
    </row>
    <row r="324" ht="12.75" customHeight="1">
      <c r="A324" s="928"/>
    </row>
    <row r="325" ht="12.75" customHeight="1">
      <c r="A325" s="928"/>
    </row>
    <row r="326" ht="12.75" customHeight="1">
      <c r="A326" s="928"/>
    </row>
    <row r="327" ht="12.75" customHeight="1">
      <c r="A327" s="928"/>
    </row>
    <row r="328" ht="12.75" customHeight="1">
      <c r="A328" s="928"/>
    </row>
    <row r="329" ht="12.75" customHeight="1">
      <c r="A329" s="928"/>
    </row>
    <row r="330" ht="12.75" customHeight="1">
      <c r="A330" s="928"/>
    </row>
    <row r="331" ht="12.75" customHeight="1">
      <c r="A331" s="928"/>
    </row>
    <row r="332" ht="12.75" customHeight="1">
      <c r="A332" s="928"/>
    </row>
    <row r="333" ht="12.75" customHeight="1">
      <c r="A333" s="928"/>
    </row>
    <row r="334" ht="12.75" customHeight="1">
      <c r="A334" s="928"/>
    </row>
    <row r="335" ht="12.75" customHeight="1">
      <c r="A335" s="928"/>
    </row>
    <row r="336" ht="12.75" customHeight="1">
      <c r="A336" s="928"/>
    </row>
    <row r="337" ht="12.75" customHeight="1">
      <c r="A337" s="928"/>
    </row>
    <row r="338" ht="12.75" customHeight="1">
      <c r="A338" s="928"/>
    </row>
    <row r="339" ht="12.75" customHeight="1">
      <c r="A339" s="928"/>
    </row>
    <row r="340" ht="12.75" customHeight="1">
      <c r="A340" s="928"/>
    </row>
    <row r="341" ht="12.75" customHeight="1">
      <c r="A341" s="928"/>
    </row>
    <row r="342" ht="12.75" customHeight="1">
      <c r="A342" s="928"/>
    </row>
    <row r="343" ht="12.75" customHeight="1">
      <c r="A343" s="928"/>
    </row>
    <row r="344" ht="12.75" customHeight="1">
      <c r="A344" s="928"/>
    </row>
    <row r="345" ht="12.75" customHeight="1">
      <c r="A345" s="928"/>
    </row>
    <row r="346" ht="12.75" customHeight="1">
      <c r="A346" s="928"/>
    </row>
    <row r="347" ht="12.75" customHeight="1">
      <c r="A347" s="928"/>
    </row>
    <row r="348" ht="12.75" customHeight="1">
      <c r="A348" s="928"/>
    </row>
    <row r="349" ht="12.75" customHeight="1">
      <c r="A349" s="928"/>
    </row>
    <row r="350" ht="12.75" customHeight="1">
      <c r="A350" s="928"/>
    </row>
    <row r="351" ht="12.75" customHeight="1">
      <c r="A351" s="928"/>
    </row>
    <row r="352" ht="12.75" customHeight="1">
      <c r="A352" s="928"/>
    </row>
    <row r="353" ht="12.75" customHeight="1">
      <c r="A353" s="928"/>
    </row>
    <row r="354" ht="12.75" customHeight="1">
      <c r="A354" s="928"/>
    </row>
    <row r="355" ht="12.75" customHeight="1">
      <c r="A355" s="928"/>
    </row>
    <row r="356" ht="12.75" customHeight="1">
      <c r="A356" s="928"/>
    </row>
    <row r="357" ht="12.75" customHeight="1">
      <c r="A357" s="928"/>
    </row>
    <row r="358" ht="12.75" customHeight="1">
      <c r="A358" s="928"/>
    </row>
    <row r="359" ht="12.75" customHeight="1">
      <c r="A359" s="928"/>
    </row>
    <row r="360" ht="12.75" customHeight="1">
      <c r="A360" s="928"/>
    </row>
    <row r="361" ht="12.75" customHeight="1">
      <c r="A361" s="928"/>
    </row>
    <row r="362" ht="12.75" customHeight="1">
      <c r="A362" s="928"/>
    </row>
    <row r="363" ht="12.75" customHeight="1">
      <c r="A363" s="928"/>
    </row>
    <row r="364" ht="12.75" customHeight="1">
      <c r="A364" s="928"/>
    </row>
    <row r="365" ht="12.75" customHeight="1">
      <c r="A365" s="928"/>
    </row>
    <row r="366" ht="12.75" customHeight="1">
      <c r="A366" s="928"/>
    </row>
    <row r="367" ht="12.75" customHeight="1">
      <c r="A367" s="928"/>
    </row>
    <row r="368" ht="12.75" customHeight="1">
      <c r="A368" s="928"/>
    </row>
    <row r="369" ht="12.75" customHeight="1">
      <c r="A369" s="928"/>
    </row>
    <row r="370" ht="12.75" customHeight="1">
      <c r="A370" s="928"/>
    </row>
    <row r="371" ht="12.75" customHeight="1">
      <c r="A371" s="928"/>
    </row>
    <row r="372" ht="12.75" customHeight="1">
      <c r="A372" s="928"/>
    </row>
    <row r="373" ht="12.75" customHeight="1">
      <c r="A373" s="928"/>
    </row>
    <row r="374" ht="12.75" customHeight="1">
      <c r="A374" s="928"/>
    </row>
    <row r="375" ht="12.75" customHeight="1">
      <c r="A375" s="928"/>
    </row>
    <row r="376" ht="12.75" customHeight="1">
      <c r="A376" s="928"/>
    </row>
    <row r="377" ht="12.75" customHeight="1">
      <c r="A377" s="928"/>
    </row>
    <row r="378" ht="12.75" customHeight="1">
      <c r="A378" s="928"/>
    </row>
    <row r="379" ht="12.75" customHeight="1">
      <c r="A379" s="928"/>
    </row>
    <row r="380" ht="12.75" customHeight="1">
      <c r="A380" s="928"/>
    </row>
    <row r="381" ht="12.75" customHeight="1">
      <c r="A381" s="928"/>
    </row>
    <row r="382" ht="12.75" customHeight="1">
      <c r="A382" s="928"/>
    </row>
    <row r="383" ht="12.75" customHeight="1">
      <c r="A383" s="928"/>
    </row>
    <row r="384" ht="12.75" customHeight="1">
      <c r="A384" s="928"/>
    </row>
    <row r="385" ht="12.75" customHeight="1">
      <c r="A385" s="928"/>
    </row>
    <row r="386" ht="12.75" customHeight="1">
      <c r="A386" s="928"/>
    </row>
    <row r="387" ht="12.75" customHeight="1">
      <c r="A387" s="928"/>
    </row>
    <row r="388" ht="12.75" customHeight="1">
      <c r="A388" s="928"/>
    </row>
    <row r="389" ht="12.75" customHeight="1">
      <c r="A389" s="928"/>
    </row>
    <row r="390" ht="12.75" customHeight="1">
      <c r="A390" s="928"/>
    </row>
    <row r="391" ht="12.75" customHeight="1">
      <c r="A391" s="928"/>
    </row>
    <row r="392" ht="12.75" customHeight="1">
      <c r="A392" s="928"/>
    </row>
    <row r="393" ht="12.75" customHeight="1">
      <c r="A393" s="928"/>
    </row>
    <row r="394" ht="12.75" customHeight="1">
      <c r="A394" s="928"/>
    </row>
    <row r="395" ht="12.75" customHeight="1">
      <c r="A395" s="928"/>
    </row>
    <row r="396" ht="12.75" customHeight="1">
      <c r="A396" s="928"/>
    </row>
    <row r="397" ht="12.75" customHeight="1">
      <c r="A397" s="928"/>
    </row>
    <row r="398" ht="12.75" customHeight="1">
      <c r="A398" s="928"/>
    </row>
    <row r="399" ht="12.75" customHeight="1">
      <c r="A399" s="928"/>
    </row>
    <row r="400" ht="12.75" customHeight="1">
      <c r="A400" s="928"/>
    </row>
    <row r="401" ht="12.75" customHeight="1">
      <c r="A401" s="928"/>
    </row>
    <row r="402" ht="12.75" customHeight="1">
      <c r="A402" s="928"/>
    </row>
    <row r="403" ht="12.75" customHeight="1">
      <c r="A403" s="928"/>
    </row>
    <row r="404" ht="12.75" customHeight="1">
      <c r="A404" s="928"/>
    </row>
    <row r="405" ht="12.75" customHeight="1">
      <c r="A405" s="928"/>
    </row>
    <row r="406" ht="12.75" customHeight="1">
      <c r="A406" s="928"/>
    </row>
    <row r="407" ht="12.75" customHeight="1">
      <c r="A407" s="928"/>
    </row>
    <row r="408" ht="12.75" customHeight="1">
      <c r="A408" s="928"/>
    </row>
    <row r="409" ht="12.75" customHeight="1">
      <c r="A409" s="928"/>
    </row>
    <row r="410" ht="12.75" customHeight="1">
      <c r="A410" s="928"/>
    </row>
    <row r="411" ht="12.75" customHeight="1">
      <c r="A411" s="928"/>
    </row>
    <row r="412" ht="12.75" customHeight="1">
      <c r="A412" s="928"/>
    </row>
    <row r="413" ht="12.75" customHeight="1">
      <c r="A413" s="928"/>
    </row>
    <row r="414" ht="12.75" customHeight="1">
      <c r="A414" s="928"/>
    </row>
    <row r="415" ht="12.75" customHeight="1">
      <c r="A415" s="928"/>
    </row>
    <row r="416" ht="12.75" customHeight="1">
      <c r="A416" s="928"/>
    </row>
    <row r="417" ht="12.75" customHeight="1">
      <c r="A417" s="928"/>
    </row>
    <row r="418" ht="12.75" customHeight="1">
      <c r="A418" s="928"/>
    </row>
    <row r="419" ht="12.75" customHeight="1">
      <c r="A419" s="928"/>
    </row>
    <row r="420" ht="12.75" customHeight="1">
      <c r="A420" s="928"/>
    </row>
    <row r="421" ht="12.75" customHeight="1">
      <c r="A421" s="928"/>
    </row>
    <row r="422" ht="12.75" customHeight="1">
      <c r="A422" s="928"/>
    </row>
    <row r="423" ht="12.75" customHeight="1">
      <c r="A423" s="928"/>
    </row>
    <row r="424" ht="12.75" customHeight="1">
      <c r="A424" s="928"/>
    </row>
    <row r="425" ht="12.75" customHeight="1">
      <c r="A425" s="928"/>
    </row>
    <row r="426" ht="12.75" customHeight="1">
      <c r="A426" s="928"/>
    </row>
    <row r="427" ht="12.75" customHeight="1">
      <c r="A427" s="928"/>
    </row>
    <row r="428" ht="12.75" customHeight="1">
      <c r="A428" s="928"/>
    </row>
    <row r="429" ht="12.75" customHeight="1">
      <c r="A429" s="928"/>
    </row>
    <row r="430" ht="12.75" customHeight="1">
      <c r="A430" s="928"/>
    </row>
    <row r="431" ht="12.75" customHeight="1">
      <c r="A431" s="928"/>
    </row>
    <row r="432" ht="12.75" customHeight="1">
      <c r="A432" s="928"/>
    </row>
    <row r="433" ht="12.75" customHeight="1">
      <c r="A433" s="928"/>
    </row>
    <row r="434" ht="12.75" customHeight="1">
      <c r="A434" s="928"/>
    </row>
    <row r="435" ht="12.75" customHeight="1">
      <c r="A435" s="928"/>
    </row>
    <row r="436" ht="12.75" customHeight="1">
      <c r="A436" s="928"/>
    </row>
    <row r="437" ht="12.75" customHeight="1">
      <c r="A437" s="928"/>
    </row>
    <row r="438" ht="12.75" customHeight="1">
      <c r="A438" s="928"/>
    </row>
    <row r="439" ht="12.75" customHeight="1">
      <c r="A439" s="928"/>
    </row>
    <row r="440" ht="12.75" customHeight="1">
      <c r="A440" s="928"/>
    </row>
    <row r="441" ht="12.75" customHeight="1">
      <c r="A441" s="928"/>
    </row>
    <row r="442" ht="12.75" customHeight="1">
      <c r="A442" s="928"/>
    </row>
    <row r="443" ht="12.75" customHeight="1">
      <c r="A443" s="928"/>
    </row>
    <row r="444" ht="12.75" customHeight="1">
      <c r="A444" s="928"/>
    </row>
    <row r="445" ht="12.75" customHeight="1">
      <c r="A445" s="928"/>
    </row>
    <row r="446" ht="12.75" customHeight="1">
      <c r="A446" s="928"/>
    </row>
    <row r="447" ht="12.75" customHeight="1">
      <c r="A447" s="928"/>
    </row>
    <row r="448" ht="12.75" customHeight="1">
      <c r="A448" s="928"/>
    </row>
    <row r="449" ht="12.75" customHeight="1">
      <c r="A449" s="928"/>
    </row>
    <row r="450" ht="12.75" customHeight="1">
      <c r="A450" s="928"/>
    </row>
    <row r="451" ht="12.75" customHeight="1">
      <c r="A451" s="928"/>
    </row>
    <row r="452" ht="12.75" customHeight="1">
      <c r="A452" s="928"/>
    </row>
    <row r="453" ht="12.75" customHeight="1">
      <c r="A453" s="928"/>
    </row>
    <row r="454" ht="12.75" customHeight="1">
      <c r="A454" s="928"/>
    </row>
    <row r="455" ht="12.75" customHeight="1">
      <c r="A455" s="928"/>
    </row>
    <row r="456" ht="12.75" customHeight="1">
      <c r="A456" s="928"/>
    </row>
    <row r="457" ht="12.75" customHeight="1">
      <c r="A457" s="928"/>
    </row>
    <row r="458" ht="12.75" customHeight="1">
      <c r="A458" s="928"/>
    </row>
    <row r="459" ht="12.75" customHeight="1">
      <c r="A459" s="928"/>
    </row>
    <row r="460" ht="12.75" customHeight="1">
      <c r="A460" s="928"/>
    </row>
    <row r="461" ht="12.75" customHeight="1">
      <c r="A461" s="928"/>
    </row>
    <row r="462" ht="12.75" customHeight="1">
      <c r="A462" s="928"/>
    </row>
    <row r="463" ht="12.75" customHeight="1">
      <c r="A463" s="928"/>
    </row>
    <row r="464" ht="12.75" customHeight="1">
      <c r="A464" s="928"/>
    </row>
    <row r="465" ht="12.75" customHeight="1">
      <c r="A465" s="928"/>
    </row>
    <row r="466" ht="12.75" customHeight="1">
      <c r="A466" s="928"/>
    </row>
    <row r="467" ht="12.75" customHeight="1">
      <c r="A467" s="928"/>
    </row>
    <row r="468" ht="12.75" customHeight="1">
      <c r="A468" s="928"/>
    </row>
    <row r="469" ht="12.75" customHeight="1">
      <c r="A469" s="928"/>
    </row>
    <row r="470" ht="12.75" customHeight="1">
      <c r="A470" s="928"/>
    </row>
    <row r="471" ht="12.75" customHeight="1">
      <c r="A471" s="928"/>
    </row>
    <row r="472" ht="12.75" customHeight="1">
      <c r="A472" s="928"/>
    </row>
    <row r="473" ht="12.75" customHeight="1">
      <c r="A473" s="928"/>
    </row>
    <row r="474" ht="12.75" customHeight="1">
      <c r="A474" s="928"/>
    </row>
    <row r="475" ht="12.75" customHeight="1">
      <c r="A475" s="928"/>
    </row>
    <row r="476" ht="12.75" customHeight="1">
      <c r="A476" s="928"/>
    </row>
    <row r="477" ht="12.75" customHeight="1">
      <c r="A477" s="928"/>
    </row>
    <row r="478" ht="12.75" customHeight="1">
      <c r="A478" s="928"/>
    </row>
    <row r="479" ht="12.75" customHeight="1">
      <c r="A479" s="928"/>
    </row>
    <row r="480" ht="12.75" customHeight="1">
      <c r="A480" s="928"/>
    </row>
    <row r="481" ht="12.75" customHeight="1">
      <c r="A481" s="928"/>
    </row>
    <row r="482" ht="12.75" customHeight="1">
      <c r="A482" s="928"/>
    </row>
    <row r="483" ht="12.75" customHeight="1">
      <c r="A483" s="928"/>
    </row>
    <row r="484" ht="12.75" customHeight="1">
      <c r="A484" s="928"/>
    </row>
    <row r="485" ht="12.75" customHeight="1">
      <c r="A485" s="928"/>
    </row>
    <row r="486" ht="12.75" customHeight="1">
      <c r="A486" s="928"/>
    </row>
    <row r="487" ht="12.75" customHeight="1">
      <c r="A487" s="928"/>
    </row>
    <row r="488" ht="12.75" customHeight="1">
      <c r="A488" s="928"/>
    </row>
    <row r="489" ht="12.75" customHeight="1">
      <c r="A489" s="928"/>
    </row>
    <row r="490" ht="12.75" customHeight="1">
      <c r="A490" s="928"/>
    </row>
    <row r="491" ht="12.75" customHeight="1">
      <c r="A491" s="928"/>
    </row>
    <row r="492" ht="12.75" customHeight="1">
      <c r="A492" s="928"/>
    </row>
    <row r="493" ht="12.75" customHeight="1">
      <c r="A493" s="928"/>
    </row>
    <row r="494" ht="12.75" customHeight="1">
      <c r="A494" s="928"/>
    </row>
    <row r="495" ht="12.75" customHeight="1">
      <c r="A495" s="928"/>
    </row>
    <row r="496" ht="12.75" customHeight="1">
      <c r="A496" s="928"/>
    </row>
    <row r="497" ht="12.75" customHeight="1">
      <c r="A497" s="928"/>
    </row>
    <row r="498" ht="12.75" customHeight="1">
      <c r="A498" s="928"/>
    </row>
    <row r="499" ht="12.75" customHeight="1">
      <c r="A499" s="928"/>
    </row>
    <row r="500" ht="12.75" customHeight="1">
      <c r="A500" s="928"/>
    </row>
    <row r="501" ht="12.75" customHeight="1">
      <c r="A501" s="928"/>
    </row>
    <row r="502" ht="12.75" customHeight="1">
      <c r="A502" s="928"/>
    </row>
    <row r="503" ht="12.75" customHeight="1">
      <c r="A503" s="928"/>
    </row>
    <row r="504" ht="12.75" customHeight="1">
      <c r="A504" s="928"/>
    </row>
    <row r="505" ht="12.75" customHeight="1">
      <c r="A505" s="928"/>
    </row>
    <row r="506" ht="12.75" customHeight="1">
      <c r="A506" s="928"/>
    </row>
    <row r="507" ht="12.75" customHeight="1">
      <c r="A507" s="928"/>
    </row>
    <row r="508" ht="12.75" customHeight="1">
      <c r="A508" s="928"/>
    </row>
    <row r="509" ht="12.75" customHeight="1">
      <c r="A509" s="928"/>
    </row>
    <row r="510" ht="12.75" customHeight="1">
      <c r="A510" s="928"/>
    </row>
    <row r="511" ht="12.75" customHeight="1">
      <c r="A511" s="928"/>
    </row>
    <row r="512" ht="12.75" customHeight="1">
      <c r="A512" s="928"/>
    </row>
    <row r="513" ht="12.75" customHeight="1">
      <c r="A513" s="928"/>
    </row>
    <row r="514" ht="12.75" customHeight="1">
      <c r="A514" s="928"/>
    </row>
    <row r="515" ht="12.75" customHeight="1">
      <c r="A515" s="928"/>
    </row>
    <row r="516" ht="12.75" customHeight="1">
      <c r="A516" s="928"/>
    </row>
    <row r="517" ht="12.75" customHeight="1">
      <c r="A517" s="928"/>
    </row>
    <row r="518" ht="12.75" customHeight="1">
      <c r="A518" s="928"/>
    </row>
    <row r="519" ht="12.75" customHeight="1">
      <c r="A519" s="928"/>
    </row>
    <row r="520" ht="12.75" customHeight="1">
      <c r="A520" s="928"/>
    </row>
    <row r="521" ht="12.75" customHeight="1">
      <c r="A521" s="928"/>
    </row>
    <row r="522" ht="12.75" customHeight="1">
      <c r="A522" s="928"/>
    </row>
    <row r="523" ht="12.75" customHeight="1">
      <c r="A523" s="928"/>
    </row>
    <row r="524" ht="12.75" customHeight="1">
      <c r="A524" s="928"/>
    </row>
    <row r="525" ht="12.75" customHeight="1">
      <c r="A525" s="928"/>
    </row>
    <row r="526" ht="12.75" customHeight="1">
      <c r="A526" s="928"/>
    </row>
    <row r="527" ht="12.75" customHeight="1">
      <c r="A527" s="928"/>
    </row>
    <row r="528" ht="12.75" customHeight="1">
      <c r="A528" s="928"/>
    </row>
    <row r="529" ht="12.75" customHeight="1">
      <c r="A529" s="928"/>
    </row>
    <row r="530" ht="12.75" customHeight="1">
      <c r="A530" s="928"/>
    </row>
    <row r="531" ht="12.75" customHeight="1">
      <c r="A531" s="928"/>
    </row>
    <row r="532" ht="12.75" customHeight="1">
      <c r="A532" s="928"/>
    </row>
    <row r="533" ht="12.75" customHeight="1">
      <c r="A533" s="928"/>
    </row>
    <row r="534" ht="12.75" customHeight="1">
      <c r="A534" s="928"/>
    </row>
    <row r="535" ht="12.75" customHeight="1">
      <c r="A535" s="928"/>
    </row>
    <row r="536" ht="12.75" customHeight="1">
      <c r="A536" s="928"/>
    </row>
    <row r="537" ht="12.75" customHeight="1">
      <c r="A537" s="928"/>
    </row>
    <row r="538" ht="12.75" customHeight="1">
      <c r="A538" s="928"/>
    </row>
    <row r="539" ht="12.75" customHeight="1">
      <c r="A539" s="928"/>
    </row>
    <row r="540" ht="12.75" customHeight="1">
      <c r="A540" s="928"/>
    </row>
    <row r="541" ht="12.75" customHeight="1">
      <c r="A541" s="928"/>
    </row>
    <row r="542" ht="12.75" customHeight="1">
      <c r="A542" s="928"/>
    </row>
    <row r="543" ht="12.75" customHeight="1">
      <c r="A543" s="928"/>
    </row>
    <row r="544" ht="12.75" customHeight="1">
      <c r="A544" s="928"/>
    </row>
    <row r="545" ht="12.75" customHeight="1">
      <c r="A545" s="928"/>
    </row>
    <row r="546" ht="12.75" customHeight="1">
      <c r="A546" s="928"/>
    </row>
    <row r="547" ht="12.75" customHeight="1">
      <c r="A547" s="928"/>
    </row>
    <row r="548" ht="12.75" customHeight="1">
      <c r="A548" s="928"/>
    </row>
    <row r="549" ht="12.75" customHeight="1">
      <c r="A549" s="928"/>
    </row>
    <row r="550" ht="12.75" customHeight="1">
      <c r="A550" s="928"/>
    </row>
    <row r="551" ht="12.75" customHeight="1">
      <c r="A551" s="928"/>
    </row>
    <row r="552" ht="12.75" customHeight="1">
      <c r="A552" s="928"/>
    </row>
    <row r="553" ht="12.75" customHeight="1">
      <c r="A553" s="928"/>
    </row>
    <row r="554" ht="12.75" customHeight="1">
      <c r="A554" s="928"/>
    </row>
    <row r="555" ht="12.75" customHeight="1">
      <c r="A555" s="928"/>
    </row>
    <row r="556" ht="12.75" customHeight="1">
      <c r="A556" s="928"/>
    </row>
    <row r="557" ht="12.75" customHeight="1">
      <c r="A557" s="928"/>
    </row>
    <row r="558" ht="12.75" customHeight="1">
      <c r="A558" s="928"/>
    </row>
    <row r="559" ht="12.75" customHeight="1">
      <c r="A559" s="928"/>
    </row>
    <row r="560" ht="12.75" customHeight="1">
      <c r="A560" s="928"/>
    </row>
    <row r="561" ht="12.75" customHeight="1">
      <c r="A561" s="928"/>
    </row>
    <row r="562" ht="12.75" customHeight="1">
      <c r="A562" s="928"/>
    </row>
    <row r="563" ht="12.75" customHeight="1">
      <c r="A563" s="928"/>
    </row>
    <row r="564" ht="12.75" customHeight="1">
      <c r="A564" s="928"/>
    </row>
    <row r="565" ht="12.75" customHeight="1">
      <c r="A565" s="928"/>
    </row>
    <row r="566" ht="12.75" customHeight="1">
      <c r="A566" s="928"/>
    </row>
    <row r="567" ht="12.75" customHeight="1">
      <c r="A567" s="928"/>
    </row>
    <row r="568" ht="12.75" customHeight="1">
      <c r="A568" s="928"/>
    </row>
    <row r="569" ht="12.75" customHeight="1">
      <c r="A569" s="928"/>
    </row>
    <row r="570" ht="12.75" customHeight="1">
      <c r="A570" s="928"/>
    </row>
    <row r="571" ht="12.75" customHeight="1">
      <c r="A571" s="928"/>
    </row>
    <row r="572" ht="12.75" customHeight="1">
      <c r="A572" s="928"/>
    </row>
    <row r="573" ht="12.75" customHeight="1">
      <c r="A573" s="928"/>
    </row>
    <row r="574" ht="12.75" customHeight="1">
      <c r="A574" s="928"/>
    </row>
    <row r="575" ht="12.75" customHeight="1">
      <c r="A575" s="928"/>
    </row>
    <row r="576" ht="12.75" customHeight="1">
      <c r="A576" s="928"/>
    </row>
    <row r="577" ht="12.75" customHeight="1">
      <c r="A577" s="928"/>
    </row>
    <row r="578" ht="12.75" customHeight="1">
      <c r="A578" s="928"/>
    </row>
    <row r="579" ht="12.75" customHeight="1">
      <c r="A579" s="928"/>
    </row>
    <row r="580" ht="12.75" customHeight="1">
      <c r="A580" s="928"/>
    </row>
    <row r="581" ht="12.75" customHeight="1">
      <c r="A581" s="928"/>
    </row>
    <row r="582" ht="12.75" customHeight="1">
      <c r="A582" s="928"/>
    </row>
    <row r="583" ht="12.75" customHeight="1">
      <c r="A583" s="928"/>
    </row>
    <row r="584" ht="12.75" customHeight="1">
      <c r="A584" s="928"/>
    </row>
    <row r="585" ht="12.75" customHeight="1">
      <c r="A585" s="928"/>
    </row>
    <row r="586" ht="12.75" customHeight="1">
      <c r="A586" s="928"/>
    </row>
    <row r="587" ht="12.75" customHeight="1">
      <c r="A587" s="928"/>
    </row>
    <row r="588" ht="12.75" customHeight="1">
      <c r="A588" s="928"/>
    </row>
    <row r="589" ht="12.75" customHeight="1">
      <c r="A589" s="928"/>
    </row>
    <row r="590" ht="12.75" customHeight="1">
      <c r="A590" s="928"/>
    </row>
    <row r="591" ht="12.75" customHeight="1">
      <c r="A591" s="928"/>
    </row>
    <row r="592" ht="12.75" customHeight="1">
      <c r="A592" s="928"/>
    </row>
    <row r="593" ht="12.75" customHeight="1">
      <c r="A593" s="928"/>
    </row>
    <row r="594" ht="12.75" customHeight="1">
      <c r="A594" s="928"/>
    </row>
    <row r="595" ht="12.75" customHeight="1">
      <c r="A595" s="928"/>
    </row>
    <row r="596" ht="12.75" customHeight="1">
      <c r="A596" s="928"/>
    </row>
    <row r="597" ht="12.75" customHeight="1">
      <c r="A597" s="928"/>
    </row>
    <row r="598" ht="12.75" customHeight="1">
      <c r="A598" s="928"/>
    </row>
    <row r="599" ht="12.75" customHeight="1">
      <c r="A599" s="928"/>
    </row>
    <row r="600" ht="12.75" customHeight="1">
      <c r="A600" s="928"/>
    </row>
    <row r="601" ht="12.75" customHeight="1">
      <c r="A601" s="928"/>
    </row>
    <row r="602" ht="12.75" customHeight="1">
      <c r="A602" s="928"/>
    </row>
    <row r="603" ht="12.75" customHeight="1">
      <c r="A603" s="928"/>
    </row>
    <row r="604" ht="12.75" customHeight="1">
      <c r="A604" s="928"/>
    </row>
    <row r="605" ht="12.75" customHeight="1">
      <c r="A605" s="928"/>
    </row>
    <row r="606" ht="12.75" customHeight="1">
      <c r="A606" s="928"/>
    </row>
    <row r="607" ht="12.75" customHeight="1">
      <c r="A607" s="928"/>
    </row>
    <row r="608" ht="12.75" customHeight="1">
      <c r="A608" s="928"/>
    </row>
    <row r="609" ht="12.75" customHeight="1">
      <c r="A609" s="928"/>
    </row>
    <row r="610" ht="12.75" customHeight="1">
      <c r="A610" s="928"/>
    </row>
    <row r="611" ht="12.75" customHeight="1">
      <c r="A611" s="928"/>
    </row>
    <row r="612" ht="12.75" customHeight="1">
      <c r="A612" s="928"/>
    </row>
    <row r="613" ht="12.75" customHeight="1">
      <c r="A613" s="928"/>
    </row>
    <row r="614" ht="12.75" customHeight="1">
      <c r="A614" s="928"/>
    </row>
    <row r="615" ht="12.75" customHeight="1">
      <c r="A615" s="928"/>
    </row>
    <row r="616" ht="12.75" customHeight="1">
      <c r="A616" s="928"/>
    </row>
    <row r="617" ht="12.75" customHeight="1">
      <c r="A617" s="928"/>
    </row>
    <row r="618" ht="12.75" customHeight="1">
      <c r="A618" s="928"/>
    </row>
    <row r="619" ht="12.75" customHeight="1">
      <c r="A619" s="928"/>
    </row>
    <row r="620" ht="12.75" customHeight="1">
      <c r="A620" s="928"/>
    </row>
    <row r="621" ht="12.75" customHeight="1">
      <c r="A621" s="928"/>
    </row>
    <row r="622" ht="12.75" customHeight="1">
      <c r="A622" s="928"/>
    </row>
    <row r="623" ht="12.75" customHeight="1">
      <c r="A623" s="928"/>
    </row>
    <row r="624" ht="12.75" customHeight="1">
      <c r="A624" s="928"/>
    </row>
    <row r="625" ht="12.75" customHeight="1">
      <c r="A625" s="928"/>
    </row>
    <row r="626" ht="12.75" customHeight="1">
      <c r="A626" s="928"/>
    </row>
    <row r="627" ht="12.75" customHeight="1">
      <c r="A627" s="928"/>
    </row>
    <row r="628" ht="12.75" customHeight="1">
      <c r="A628" s="928"/>
    </row>
    <row r="629" ht="12.75" customHeight="1">
      <c r="A629" s="928"/>
    </row>
    <row r="630" ht="12.75" customHeight="1">
      <c r="A630" s="928"/>
    </row>
    <row r="631" ht="12.75" customHeight="1">
      <c r="A631" s="928"/>
    </row>
    <row r="632" ht="12.75" customHeight="1">
      <c r="A632" s="928"/>
    </row>
    <row r="633" ht="12.75" customHeight="1">
      <c r="A633" s="928"/>
    </row>
    <row r="634" ht="12.75" customHeight="1">
      <c r="A634" s="928"/>
    </row>
    <row r="635" ht="12.75" customHeight="1">
      <c r="A635" s="928"/>
    </row>
    <row r="636" ht="12.75" customHeight="1">
      <c r="A636" s="928"/>
    </row>
    <row r="637" ht="12.75" customHeight="1">
      <c r="A637" s="928"/>
    </row>
    <row r="638" ht="12.75" customHeight="1">
      <c r="A638" s="928"/>
    </row>
    <row r="639" ht="12.75" customHeight="1">
      <c r="A639" s="928"/>
    </row>
    <row r="640" ht="12.75" customHeight="1">
      <c r="A640" s="928"/>
    </row>
    <row r="641" ht="12.75" customHeight="1">
      <c r="A641" s="928"/>
    </row>
    <row r="642" ht="12.75" customHeight="1">
      <c r="A642" s="928"/>
    </row>
    <row r="643" ht="12.75" customHeight="1">
      <c r="A643" s="928"/>
    </row>
    <row r="644" ht="12.75" customHeight="1">
      <c r="A644" s="928"/>
    </row>
    <row r="645" ht="12.75" customHeight="1">
      <c r="A645" s="928"/>
    </row>
    <row r="646" ht="12.75" customHeight="1">
      <c r="A646" s="928"/>
    </row>
    <row r="647" ht="12.75" customHeight="1">
      <c r="A647" s="928"/>
    </row>
    <row r="648" ht="12.75" customHeight="1">
      <c r="A648" s="928"/>
    </row>
    <row r="649" ht="12.75" customHeight="1">
      <c r="A649" s="928"/>
    </row>
    <row r="650" ht="12.75" customHeight="1">
      <c r="A650" s="928"/>
    </row>
    <row r="651" ht="12.75" customHeight="1">
      <c r="A651" s="928"/>
    </row>
    <row r="652" ht="12.75" customHeight="1">
      <c r="A652" s="928"/>
    </row>
    <row r="653" ht="12.75" customHeight="1">
      <c r="A653" s="928"/>
    </row>
    <row r="654" ht="12.75" customHeight="1">
      <c r="A654" s="928"/>
    </row>
    <row r="655" ht="12.75" customHeight="1">
      <c r="A655" s="928"/>
    </row>
    <row r="656" ht="12.75" customHeight="1">
      <c r="A656" s="928"/>
    </row>
    <row r="657" ht="12.75" customHeight="1">
      <c r="A657" s="928"/>
    </row>
    <row r="658" ht="12.75" customHeight="1">
      <c r="A658" s="928"/>
    </row>
    <row r="659" ht="12.75" customHeight="1">
      <c r="A659" s="928"/>
    </row>
    <row r="660" ht="12.75" customHeight="1">
      <c r="A660" s="928"/>
    </row>
    <row r="661" ht="12.75" customHeight="1">
      <c r="A661" s="928"/>
    </row>
    <row r="662" ht="12.75" customHeight="1">
      <c r="A662" s="928"/>
    </row>
    <row r="663" ht="12.75" customHeight="1">
      <c r="A663" s="928"/>
    </row>
    <row r="664" ht="12.75" customHeight="1">
      <c r="A664" s="928"/>
    </row>
    <row r="665" ht="12.75" customHeight="1">
      <c r="A665" s="928"/>
    </row>
    <row r="666" ht="12.75" customHeight="1">
      <c r="A666" s="928"/>
    </row>
    <row r="667" ht="12.75" customHeight="1">
      <c r="A667" s="928"/>
    </row>
    <row r="668" ht="12.75" customHeight="1">
      <c r="A668" s="928"/>
    </row>
    <row r="669" ht="12.75" customHeight="1">
      <c r="A669" s="928"/>
    </row>
    <row r="670" ht="12.75" customHeight="1">
      <c r="A670" s="928"/>
    </row>
    <row r="671" ht="12.75" customHeight="1">
      <c r="A671" s="928"/>
    </row>
    <row r="672" ht="12.75" customHeight="1">
      <c r="A672" s="928"/>
    </row>
    <row r="673" ht="12.75" customHeight="1">
      <c r="A673" s="928"/>
    </row>
    <row r="674" ht="12.75" customHeight="1">
      <c r="A674" s="928"/>
    </row>
    <row r="675" ht="12.75" customHeight="1">
      <c r="A675" s="928"/>
    </row>
    <row r="676" ht="12.75" customHeight="1">
      <c r="A676" s="928"/>
    </row>
    <row r="677" ht="12.75" customHeight="1">
      <c r="A677" s="928"/>
    </row>
    <row r="678" ht="12.75" customHeight="1">
      <c r="A678" s="928"/>
    </row>
    <row r="679" ht="12.75" customHeight="1">
      <c r="A679" s="928"/>
    </row>
    <row r="680" ht="12.75" customHeight="1">
      <c r="A680" s="928"/>
    </row>
    <row r="681" ht="12.75" customHeight="1">
      <c r="A681" s="928"/>
    </row>
    <row r="682" ht="12.75" customHeight="1">
      <c r="A682" s="928"/>
    </row>
    <row r="683" ht="12.75" customHeight="1">
      <c r="A683" s="928"/>
    </row>
    <row r="684" ht="12.75" customHeight="1">
      <c r="A684" s="928"/>
    </row>
    <row r="685" ht="12.75" customHeight="1">
      <c r="A685" s="928"/>
    </row>
    <row r="686" ht="12.75" customHeight="1">
      <c r="A686" s="928"/>
    </row>
    <row r="687" ht="12.75" customHeight="1">
      <c r="A687" s="928"/>
    </row>
    <row r="688" ht="12.75" customHeight="1">
      <c r="A688" s="928"/>
    </row>
    <row r="689" ht="12.75" customHeight="1">
      <c r="A689" s="928"/>
    </row>
    <row r="690" ht="12.75" customHeight="1">
      <c r="A690" s="928"/>
    </row>
    <row r="691" ht="12.75" customHeight="1">
      <c r="A691" s="928"/>
    </row>
    <row r="692" ht="12.75" customHeight="1">
      <c r="A692" s="928"/>
    </row>
    <row r="693" ht="12.75" customHeight="1">
      <c r="A693" s="928"/>
    </row>
    <row r="694" ht="12.75" customHeight="1">
      <c r="A694" s="928"/>
    </row>
    <row r="695" ht="12.75" customHeight="1">
      <c r="A695" s="928"/>
    </row>
    <row r="696" ht="12.75" customHeight="1">
      <c r="A696" s="928"/>
    </row>
    <row r="697" ht="12.75" customHeight="1">
      <c r="A697" s="928"/>
    </row>
    <row r="698" ht="12.75" customHeight="1">
      <c r="A698" s="928"/>
    </row>
    <row r="699" ht="12.75" customHeight="1">
      <c r="A699" s="928"/>
    </row>
    <row r="700" ht="12.75" customHeight="1">
      <c r="A700" s="928"/>
    </row>
    <row r="701" ht="12.75" customHeight="1">
      <c r="A701" s="928"/>
    </row>
    <row r="702" ht="12.75" customHeight="1">
      <c r="A702" s="928"/>
    </row>
    <row r="703" ht="12.75" customHeight="1">
      <c r="A703" s="928"/>
    </row>
    <row r="704" ht="12.75" customHeight="1">
      <c r="A704" s="928"/>
    </row>
    <row r="705" ht="12.75" customHeight="1">
      <c r="A705" s="928"/>
    </row>
    <row r="706" ht="12.75" customHeight="1">
      <c r="A706" s="928"/>
    </row>
    <row r="707" ht="12.75" customHeight="1">
      <c r="A707" s="928"/>
    </row>
    <row r="708" ht="12.75" customHeight="1">
      <c r="A708" s="928"/>
    </row>
    <row r="709" ht="12.75" customHeight="1">
      <c r="A709" s="928"/>
    </row>
    <row r="710" ht="12.75" customHeight="1">
      <c r="A710" s="928"/>
    </row>
    <row r="711" ht="12.75" customHeight="1">
      <c r="A711" s="928"/>
    </row>
    <row r="712" ht="12.75" customHeight="1">
      <c r="A712" s="928"/>
    </row>
    <row r="713" ht="12.75" customHeight="1">
      <c r="A713" s="928"/>
    </row>
    <row r="714" ht="12.75" customHeight="1">
      <c r="A714" s="928"/>
    </row>
    <row r="715" ht="12.75" customHeight="1">
      <c r="A715" s="928"/>
    </row>
    <row r="716" ht="12.75" customHeight="1">
      <c r="A716" s="928"/>
    </row>
    <row r="717" ht="12.75" customHeight="1">
      <c r="A717" s="928"/>
    </row>
    <row r="718" ht="12.75" customHeight="1">
      <c r="A718" s="928"/>
    </row>
    <row r="719" ht="12.75" customHeight="1">
      <c r="A719" s="928"/>
    </row>
    <row r="720" ht="12.75" customHeight="1">
      <c r="A720" s="928"/>
    </row>
    <row r="721" ht="12.75" customHeight="1">
      <c r="A721" s="928"/>
    </row>
    <row r="722" ht="12.75" customHeight="1">
      <c r="A722" s="928"/>
    </row>
    <row r="723" ht="12.75" customHeight="1">
      <c r="A723" s="928"/>
    </row>
    <row r="724" ht="12.75" customHeight="1">
      <c r="A724" s="928"/>
    </row>
    <row r="725" ht="12.75" customHeight="1">
      <c r="A725" s="928"/>
    </row>
    <row r="726" ht="12.75" customHeight="1">
      <c r="A726" s="928"/>
    </row>
    <row r="727" ht="12.75" customHeight="1">
      <c r="A727" s="928"/>
    </row>
    <row r="728" ht="12.75" customHeight="1">
      <c r="A728" s="928"/>
    </row>
    <row r="729" ht="12.75" customHeight="1">
      <c r="A729" s="928"/>
    </row>
    <row r="730" ht="12.75" customHeight="1">
      <c r="A730" s="928"/>
    </row>
    <row r="731" ht="12.75" customHeight="1">
      <c r="A731" s="928"/>
    </row>
    <row r="732" ht="12.75" customHeight="1">
      <c r="A732" s="928"/>
    </row>
    <row r="733" ht="12.75" customHeight="1">
      <c r="A733" s="928"/>
    </row>
    <row r="734" ht="12.75" customHeight="1">
      <c r="A734" s="928"/>
    </row>
    <row r="735" ht="12.75" customHeight="1">
      <c r="A735" s="928"/>
    </row>
    <row r="736" ht="12.75" customHeight="1">
      <c r="A736" s="928"/>
    </row>
    <row r="737" ht="12.75" customHeight="1">
      <c r="A737" s="928"/>
    </row>
    <row r="738" ht="12.75" customHeight="1">
      <c r="A738" s="928"/>
    </row>
    <row r="739" ht="12.75" customHeight="1">
      <c r="A739" s="928"/>
    </row>
    <row r="740" ht="12.75" customHeight="1">
      <c r="A740" s="928"/>
    </row>
    <row r="741" ht="12.75" customHeight="1">
      <c r="A741" s="928"/>
    </row>
    <row r="742" ht="12.75" customHeight="1">
      <c r="A742" s="928"/>
    </row>
    <row r="743" ht="12.75" customHeight="1">
      <c r="A743" s="928"/>
    </row>
    <row r="744" ht="12.75" customHeight="1">
      <c r="A744" s="928"/>
    </row>
    <row r="745" ht="12.75" customHeight="1">
      <c r="A745" s="928"/>
    </row>
    <row r="746" ht="12.75" customHeight="1">
      <c r="A746" s="928"/>
    </row>
    <row r="747" ht="12.75" customHeight="1">
      <c r="A747" s="928"/>
    </row>
    <row r="748" ht="12.75" customHeight="1">
      <c r="A748" s="928"/>
    </row>
    <row r="749" ht="12.75" customHeight="1">
      <c r="A749" s="928"/>
    </row>
    <row r="750" ht="12.75" customHeight="1">
      <c r="A750" s="928"/>
    </row>
    <row r="751" ht="12.75" customHeight="1">
      <c r="A751" s="928"/>
    </row>
    <row r="752" ht="12.75" customHeight="1">
      <c r="A752" s="928"/>
    </row>
    <row r="753" ht="12.75" customHeight="1">
      <c r="A753" s="928"/>
    </row>
    <row r="754" ht="12.75" customHeight="1">
      <c r="A754" s="928"/>
    </row>
    <row r="755" ht="12.75" customHeight="1">
      <c r="A755" s="928"/>
    </row>
    <row r="756" ht="12.75" customHeight="1">
      <c r="A756" s="928"/>
    </row>
    <row r="757" ht="12.75" customHeight="1">
      <c r="A757" s="928"/>
    </row>
    <row r="758" ht="12.75" customHeight="1">
      <c r="A758" s="928"/>
    </row>
    <row r="759" ht="12.75" customHeight="1">
      <c r="A759" s="928"/>
    </row>
    <row r="760" ht="12.75" customHeight="1">
      <c r="A760" s="928"/>
    </row>
    <row r="761" ht="12.75" customHeight="1">
      <c r="A761" s="928"/>
    </row>
    <row r="762" ht="12.75" customHeight="1">
      <c r="A762" s="928"/>
    </row>
    <row r="763" ht="12.75" customHeight="1">
      <c r="A763" s="928"/>
    </row>
    <row r="764" ht="12.75" customHeight="1">
      <c r="A764" s="928"/>
    </row>
    <row r="765" ht="12.75" customHeight="1">
      <c r="A765" s="928"/>
    </row>
    <row r="766" ht="12.75" customHeight="1">
      <c r="A766" s="928"/>
    </row>
    <row r="767" ht="12.75" customHeight="1">
      <c r="A767" s="928"/>
    </row>
    <row r="768" ht="12.75" customHeight="1">
      <c r="A768" s="928"/>
    </row>
    <row r="769" ht="12.75" customHeight="1">
      <c r="A769" s="928"/>
    </row>
    <row r="770" ht="12.75" customHeight="1">
      <c r="A770" s="928"/>
    </row>
    <row r="771" ht="12.75" customHeight="1">
      <c r="A771" s="928"/>
    </row>
    <row r="772" ht="12.75" customHeight="1">
      <c r="A772" s="928"/>
    </row>
    <row r="773" ht="12.75" customHeight="1">
      <c r="A773" s="928"/>
    </row>
    <row r="774" ht="12.75" customHeight="1">
      <c r="A774" s="928"/>
    </row>
    <row r="775" ht="12.75" customHeight="1">
      <c r="A775" s="928"/>
    </row>
    <row r="776" ht="12.75" customHeight="1">
      <c r="A776" s="928"/>
    </row>
    <row r="777" ht="12.75" customHeight="1">
      <c r="A777" s="928"/>
    </row>
    <row r="778" ht="12.75" customHeight="1">
      <c r="A778" s="928"/>
    </row>
    <row r="779" ht="12.75" customHeight="1">
      <c r="A779" s="928"/>
    </row>
    <row r="780" ht="12.75" customHeight="1">
      <c r="A780" s="928"/>
    </row>
    <row r="781" ht="12.75" customHeight="1">
      <c r="A781" s="928"/>
    </row>
    <row r="782" ht="12.75" customHeight="1">
      <c r="A782" s="928"/>
    </row>
    <row r="783" ht="12.75" customHeight="1">
      <c r="A783" s="928"/>
    </row>
    <row r="784" ht="12.75" customHeight="1">
      <c r="A784" s="928"/>
    </row>
    <row r="785" ht="12.75" customHeight="1">
      <c r="A785" s="928"/>
    </row>
    <row r="786" ht="12.75" customHeight="1">
      <c r="A786" s="928"/>
    </row>
    <row r="787" ht="12.75" customHeight="1">
      <c r="A787" s="928"/>
    </row>
    <row r="788" ht="12.75" customHeight="1">
      <c r="A788" s="928"/>
    </row>
    <row r="789" ht="12.75" customHeight="1">
      <c r="A789" s="928"/>
    </row>
    <row r="790" ht="12.75" customHeight="1">
      <c r="A790" s="928"/>
    </row>
    <row r="791" ht="12.75" customHeight="1">
      <c r="A791" s="928"/>
    </row>
    <row r="792" ht="12.75" customHeight="1">
      <c r="A792" s="928"/>
    </row>
    <row r="793" ht="12.75" customHeight="1">
      <c r="A793" s="928"/>
    </row>
    <row r="794" ht="12.75" customHeight="1">
      <c r="A794" s="928"/>
    </row>
    <row r="795" ht="12.75" customHeight="1">
      <c r="A795" s="928"/>
    </row>
    <row r="796" ht="12.75" customHeight="1">
      <c r="A796" s="928"/>
    </row>
    <row r="797" ht="12.75" customHeight="1">
      <c r="A797" s="928"/>
    </row>
    <row r="798" ht="12.75" customHeight="1">
      <c r="A798" s="928"/>
    </row>
    <row r="799" ht="12.75" customHeight="1">
      <c r="A799" s="928"/>
    </row>
    <row r="800" ht="12.75" customHeight="1">
      <c r="A800" s="928"/>
    </row>
    <row r="801" ht="12.75" customHeight="1">
      <c r="A801" s="928"/>
    </row>
    <row r="802" ht="12.75" customHeight="1">
      <c r="A802" s="928"/>
    </row>
    <row r="803" ht="12.75" customHeight="1">
      <c r="A803" s="928"/>
    </row>
    <row r="804" ht="12.75" customHeight="1">
      <c r="A804" s="928"/>
    </row>
    <row r="805" ht="12.75" customHeight="1">
      <c r="A805" s="928"/>
    </row>
    <row r="806" ht="12.75" customHeight="1">
      <c r="A806" s="928"/>
    </row>
    <row r="807" ht="12.75" customHeight="1">
      <c r="A807" s="928"/>
    </row>
    <row r="808" ht="12.75" customHeight="1">
      <c r="A808" s="928"/>
    </row>
    <row r="809" ht="12.75" customHeight="1">
      <c r="A809" s="928"/>
    </row>
    <row r="810" ht="12.75" customHeight="1">
      <c r="A810" s="928"/>
    </row>
    <row r="811" ht="12.75" customHeight="1">
      <c r="A811" s="928"/>
    </row>
    <row r="812" ht="12.75" customHeight="1">
      <c r="A812" s="928"/>
    </row>
    <row r="813" ht="12.75" customHeight="1">
      <c r="A813" s="928"/>
    </row>
    <row r="814" ht="12.75" customHeight="1">
      <c r="A814" s="928"/>
    </row>
    <row r="815" ht="12.75" customHeight="1">
      <c r="A815" s="928"/>
    </row>
    <row r="816" ht="12.75" customHeight="1">
      <c r="A816" s="928"/>
    </row>
    <row r="817" ht="12.75" customHeight="1">
      <c r="A817" s="928"/>
    </row>
    <row r="818" ht="12.75" customHeight="1">
      <c r="A818" s="928"/>
    </row>
    <row r="819" ht="12.75" customHeight="1">
      <c r="A819" s="928"/>
    </row>
    <row r="820" ht="12.75" customHeight="1">
      <c r="A820" s="928"/>
    </row>
    <row r="821" ht="12.75" customHeight="1">
      <c r="A821" s="928"/>
    </row>
    <row r="822" ht="12.75" customHeight="1">
      <c r="A822" s="928"/>
    </row>
    <row r="823" ht="12.75" customHeight="1">
      <c r="A823" s="928"/>
    </row>
    <row r="824" ht="12.75" customHeight="1">
      <c r="A824" s="928"/>
    </row>
    <row r="825" ht="12.75" customHeight="1">
      <c r="A825" s="928"/>
    </row>
    <row r="826" ht="12.75" customHeight="1">
      <c r="A826" s="928"/>
    </row>
    <row r="827" ht="12.75" customHeight="1">
      <c r="A827" s="928"/>
    </row>
    <row r="828" ht="12.75" customHeight="1">
      <c r="A828" s="928"/>
    </row>
    <row r="829" ht="12.75" customHeight="1">
      <c r="A829" s="928"/>
    </row>
    <row r="830" ht="12.75" customHeight="1">
      <c r="A830" s="928"/>
    </row>
    <row r="831" ht="12.75" customHeight="1">
      <c r="A831" s="928"/>
    </row>
    <row r="832" ht="12.75" customHeight="1">
      <c r="A832" s="928"/>
    </row>
    <row r="833" ht="12.75" customHeight="1">
      <c r="A833" s="928"/>
    </row>
    <row r="834" ht="12.75" customHeight="1">
      <c r="A834" s="928"/>
    </row>
    <row r="835" ht="12.75" customHeight="1">
      <c r="A835" s="928"/>
    </row>
    <row r="836" ht="12.75" customHeight="1">
      <c r="A836" s="928"/>
    </row>
    <row r="837" ht="12.75" customHeight="1">
      <c r="A837" s="928"/>
    </row>
    <row r="838" ht="12.75" customHeight="1">
      <c r="A838" s="928"/>
    </row>
    <row r="839" ht="12.75" customHeight="1">
      <c r="A839" s="928"/>
    </row>
    <row r="840" ht="12.75" customHeight="1">
      <c r="A840" s="928"/>
    </row>
    <row r="841" ht="12.75" customHeight="1">
      <c r="A841" s="928"/>
    </row>
    <row r="842" ht="12.75" customHeight="1">
      <c r="A842" s="928"/>
    </row>
    <row r="843" ht="12.75" customHeight="1">
      <c r="A843" s="928"/>
    </row>
    <row r="844" ht="12.75" customHeight="1">
      <c r="A844" s="928"/>
    </row>
    <row r="845" ht="12.75" customHeight="1">
      <c r="A845" s="928"/>
    </row>
    <row r="846" ht="12.75" customHeight="1">
      <c r="A846" s="928"/>
    </row>
    <row r="847" ht="12.75" customHeight="1">
      <c r="A847" s="928"/>
    </row>
    <row r="848" ht="12.75" customHeight="1">
      <c r="A848" s="928"/>
    </row>
    <row r="849" ht="12.75" customHeight="1">
      <c r="A849" s="928"/>
    </row>
    <row r="850" ht="12.75" customHeight="1">
      <c r="A850" s="928"/>
    </row>
    <row r="851" ht="12.75" customHeight="1">
      <c r="A851" s="928"/>
    </row>
    <row r="852" ht="12.75" customHeight="1">
      <c r="A852" s="928"/>
    </row>
    <row r="853" ht="12.75" customHeight="1">
      <c r="A853" s="928"/>
    </row>
    <row r="854" ht="12.75" customHeight="1">
      <c r="A854" s="928"/>
    </row>
    <row r="855" ht="12.75" customHeight="1">
      <c r="A855" s="928"/>
    </row>
    <row r="856" ht="12.75" customHeight="1">
      <c r="A856" s="928"/>
    </row>
    <row r="857" ht="12.75" customHeight="1">
      <c r="A857" s="928"/>
    </row>
    <row r="858" ht="12.75" customHeight="1">
      <c r="A858" s="928"/>
    </row>
    <row r="859" ht="12.75" customHeight="1">
      <c r="A859" s="928"/>
    </row>
    <row r="860" ht="12.75" customHeight="1">
      <c r="A860" s="928"/>
    </row>
    <row r="861" ht="12.75" customHeight="1">
      <c r="A861" s="928"/>
    </row>
    <row r="862" ht="12.75" customHeight="1">
      <c r="A862" s="928"/>
    </row>
    <row r="863" ht="12.75" customHeight="1">
      <c r="A863" s="928"/>
    </row>
    <row r="864" ht="12.75" customHeight="1">
      <c r="A864" s="928"/>
    </row>
    <row r="865" ht="12.75" customHeight="1">
      <c r="A865" s="928"/>
    </row>
    <row r="866" ht="12.75" customHeight="1">
      <c r="A866" s="928"/>
    </row>
    <row r="867" ht="12.75" customHeight="1">
      <c r="A867" s="928"/>
    </row>
    <row r="868" ht="12.75" customHeight="1">
      <c r="A868" s="928"/>
    </row>
    <row r="869" ht="12.75" customHeight="1">
      <c r="A869" s="928"/>
    </row>
    <row r="870" ht="12.75" customHeight="1">
      <c r="A870" s="928"/>
    </row>
    <row r="871" ht="12.75" customHeight="1">
      <c r="A871" s="928"/>
    </row>
    <row r="872" ht="12.75" customHeight="1">
      <c r="A872" s="928"/>
    </row>
    <row r="873" ht="12.75" customHeight="1">
      <c r="A873" s="928"/>
    </row>
    <row r="874" ht="12.75" customHeight="1">
      <c r="A874" s="928"/>
    </row>
    <row r="875" ht="12.75" customHeight="1">
      <c r="A875" s="928"/>
    </row>
    <row r="876" ht="12.75" customHeight="1">
      <c r="A876" s="928"/>
    </row>
    <row r="877" ht="12.75" customHeight="1">
      <c r="A877" s="928"/>
    </row>
    <row r="878" ht="12.75" customHeight="1">
      <c r="A878" s="928"/>
    </row>
    <row r="879" ht="12.75" customHeight="1">
      <c r="A879" s="928"/>
    </row>
    <row r="880" ht="12.75" customHeight="1">
      <c r="A880" s="928"/>
    </row>
    <row r="881" ht="12.75" customHeight="1">
      <c r="A881" s="928"/>
    </row>
    <row r="882" ht="12.75" customHeight="1">
      <c r="A882" s="928"/>
    </row>
    <row r="883" ht="12.75" customHeight="1">
      <c r="A883" s="928"/>
    </row>
    <row r="884" ht="12.75" customHeight="1">
      <c r="A884" s="928"/>
    </row>
    <row r="885" ht="12.75" customHeight="1">
      <c r="A885" s="928"/>
    </row>
    <row r="886" ht="12.75" customHeight="1">
      <c r="A886" s="928"/>
    </row>
    <row r="887" ht="12.75" customHeight="1">
      <c r="A887" s="928"/>
    </row>
    <row r="888" ht="12.75" customHeight="1">
      <c r="A888" s="928"/>
    </row>
    <row r="889" ht="12.75" customHeight="1">
      <c r="A889" s="928"/>
    </row>
    <row r="890" ht="12.75" customHeight="1">
      <c r="A890" s="928"/>
    </row>
    <row r="891" ht="12.75" customHeight="1">
      <c r="A891" s="928"/>
    </row>
    <row r="892" ht="12.75" customHeight="1">
      <c r="A892" s="928"/>
    </row>
    <row r="893" ht="12.75" customHeight="1">
      <c r="A893" s="928"/>
    </row>
    <row r="894" ht="12.75" customHeight="1">
      <c r="A894" s="928"/>
    </row>
    <row r="895" ht="12.75" customHeight="1">
      <c r="A895" s="928"/>
    </row>
    <row r="896" ht="12.75" customHeight="1">
      <c r="A896" s="928"/>
    </row>
    <row r="897" ht="12.75" customHeight="1">
      <c r="A897" s="928"/>
    </row>
    <row r="898" ht="12.75" customHeight="1">
      <c r="A898" s="928"/>
    </row>
    <row r="899" ht="12.75" customHeight="1">
      <c r="A899" s="928"/>
    </row>
    <row r="900" ht="12.75" customHeight="1">
      <c r="A900" s="928"/>
    </row>
    <row r="901" ht="12.75" customHeight="1">
      <c r="A901" s="928"/>
    </row>
    <row r="902" ht="12.75" customHeight="1">
      <c r="A902" s="928"/>
    </row>
    <row r="903" ht="12.75" customHeight="1">
      <c r="A903" s="928"/>
    </row>
    <row r="904" ht="12.75" customHeight="1">
      <c r="A904" s="928"/>
    </row>
    <row r="905" ht="12.75" customHeight="1">
      <c r="A905" s="928"/>
    </row>
    <row r="906" ht="12.75" customHeight="1">
      <c r="A906" s="928"/>
    </row>
    <row r="907" ht="12.75" customHeight="1">
      <c r="A907" s="928"/>
    </row>
    <row r="908" ht="12.75" customHeight="1">
      <c r="A908" s="928"/>
    </row>
    <row r="909" ht="12.75" customHeight="1">
      <c r="A909" s="928"/>
    </row>
    <row r="910" ht="12.75" customHeight="1">
      <c r="A910" s="928"/>
    </row>
    <row r="911" ht="12.75" customHeight="1">
      <c r="A911" s="928"/>
    </row>
    <row r="912" ht="12.75" customHeight="1">
      <c r="A912" s="928"/>
    </row>
    <row r="913" ht="12.75" customHeight="1">
      <c r="A913" s="928"/>
    </row>
    <row r="914" ht="12.75" customHeight="1">
      <c r="A914" s="928"/>
    </row>
    <row r="915" ht="12.75" customHeight="1">
      <c r="A915" s="928"/>
    </row>
    <row r="916" ht="12.75" customHeight="1">
      <c r="A916" s="928"/>
    </row>
    <row r="917" ht="12.75" customHeight="1">
      <c r="A917" s="928"/>
    </row>
    <row r="918" ht="12.75" customHeight="1">
      <c r="A918" s="928"/>
    </row>
    <row r="919" ht="12.75" customHeight="1">
      <c r="A919" s="928"/>
    </row>
    <row r="920" ht="12.75" customHeight="1">
      <c r="A920" s="928"/>
    </row>
    <row r="921" ht="12.75" customHeight="1">
      <c r="A921" s="928"/>
    </row>
    <row r="922" ht="12.75" customHeight="1">
      <c r="A922" s="928"/>
    </row>
    <row r="923" ht="12.75" customHeight="1">
      <c r="A923" s="928"/>
    </row>
    <row r="924" ht="12.75" customHeight="1">
      <c r="A924" s="928"/>
    </row>
    <row r="925" ht="12.75" customHeight="1">
      <c r="A925" s="928"/>
    </row>
    <row r="926" ht="12.75" customHeight="1">
      <c r="A926" s="928"/>
    </row>
    <row r="927" ht="12.75" customHeight="1">
      <c r="A927" s="928"/>
    </row>
    <row r="928" ht="12.75" customHeight="1">
      <c r="A928" s="928"/>
    </row>
    <row r="929" ht="12.75" customHeight="1">
      <c r="A929" s="928"/>
    </row>
    <row r="930" ht="12.75" customHeight="1">
      <c r="A930" s="928"/>
    </row>
    <row r="931" ht="12.75" customHeight="1">
      <c r="A931" s="928"/>
    </row>
    <row r="932" ht="12.75" customHeight="1">
      <c r="A932" s="928"/>
    </row>
    <row r="933" ht="12.75" customHeight="1">
      <c r="A933" s="928"/>
    </row>
    <row r="934" ht="12.75" customHeight="1">
      <c r="A934" s="928"/>
    </row>
    <row r="935" ht="12.75" customHeight="1">
      <c r="A935" s="928"/>
    </row>
    <row r="936" ht="12.75" customHeight="1">
      <c r="A936" s="928"/>
    </row>
    <row r="937" ht="12.75" customHeight="1">
      <c r="A937" s="928"/>
    </row>
    <row r="938" ht="12.75" customHeight="1">
      <c r="A938" s="928"/>
    </row>
    <row r="939" ht="12.75" customHeight="1">
      <c r="A939" s="928"/>
    </row>
    <row r="940" ht="12.75" customHeight="1">
      <c r="A940" s="928"/>
    </row>
    <row r="941" ht="12.75" customHeight="1">
      <c r="A941" s="928"/>
    </row>
    <row r="942" ht="12.75" customHeight="1">
      <c r="A942" s="928"/>
    </row>
    <row r="943" ht="12.75" customHeight="1">
      <c r="A943" s="928"/>
    </row>
    <row r="944" ht="12.75" customHeight="1">
      <c r="A944" s="928"/>
    </row>
    <row r="945" ht="12.75" customHeight="1">
      <c r="A945" s="928"/>
    </row>
    <row r="946" ht="12.75" customHeight="1">
      <c r="A946" s="928"/>
    </row>
    <row r="947" ht="12.75" customHeight="1">
      <c r="A947" s="928"/>
    </row>
    <row r="948" ht="12.75" customHeight="1">
      <c r="A948" s="928"/>
    </row>
    <row r="949" ht="12.75" customHeight="1">
      <c r="A949" s="928"/>
    </row>
    <row r="950" ht="12.75" customHeight="1">
      <c r="A950" s="928"/>
    </row>
    <row r="951" ht="12.75" customHeight="1">
      <c r="A951" s="928"/>
    </row>
    <row r="952" ht="12.75" customHeight="1">
      <c r="A952" s="928"/>
    </row>
    <row r="953" ht="12.75" customHeight="1">
      <c r="A953" s="928"/>
    </row>
    <row r="954" ht="12.75" customHeight="1">
      <c r="A954" s="928"/>
    </row>
    <row r="955" ht="12.75" customHeight="1">
      <c r="A955" s="928"/>
    </row>
    <row r="956" ht="12.75" customHeight="1">
      <c r="A956" s="928"/>
    </row>
    <row r="957" ht="12.75" customHeight="1">
      <c r="A957" s="928"/>
    </row>
    <row r="958" ht="12.75" customHeight="1">
      <c r="A958" s="928"/>
    </row>
    <row r="959" ht="12.75" customHeight="1">
      <c r="A959" s="928"/>
    </row>
    <row r="960" ht="12.75" customHeight="1">
      <c r="A960" s="928"/>
    </row>
    <row r="961" ht="12.75" customHeight="1">
      <c r="A961" s="928"/>
    </row>
    <row r="962" ht="12.75" customHeight="1">
      <c r="A962" s="928"/>
    </row>
    <row r="963" ht="12.75" customHeight="1">
      <c r="A963" s="928"/>
    </row>
    <row r="964" ht="12.75" customHeight="1">
      <c r="A964" s="928"/>
    </row>
    <row r="965" ht="12.75" customHeight="1">
      <c r="A965" s="928"/>
    </row>
    <row r="966" ht="12.75" customHeight="1">
      <c r="A966" s="928"/>
    </row>
    <row r="967" ht="12.75" customHeight="1">
      <c r="A967" s="928"/>
    </row>
    <row r="968" ht="12.75" customHeight="1">
      <c r="A968" s="928"/>
    </row>
    <row r="969" ht="12.75" customHeight="1">
      <c r="A969" s="928"/>
    </row>
    <row r="970" ht="12.75" customHeight="1">
      <c r="A970" s="928"/>
    </row>
    <row r="971" ht="12.75" customHeight="1">
      <c r="A971" s="928"/>
    </row>
    <row r="972" ht="12.75" customHeight="1">
      <c r="A972" s="928"/>
    </row>
    <row r="973" ht="12.75" customHeight="1">
      <c r="A973" s="928"/>
    </row>
    <row r="974" ht="12.75" customHeight="1">
      <c r="A974" s="928"/>
    </row>
    <row r="975" ht="12.75" customHeight="1">
      <c r="A975" s="928"/>
    </row>
    <row r="976" ht="12.75" customHeight="1">
      <c r="A976" s="928"/>
    </row>
    <row r="977" ht="12.75" customHeight="1">
      <c r="A977" s="928"/>
    </row>
    <row r="978" ht="12.75" customHeight="1">
      <c r="A978" s="928"/>
    </row>
    <row r="979" ht="12.75" customHeight="1">
      <c r="A979" s="928"/>
    </row>
    <row r="980" ht="12.75" customHeight="1">
      <c r="A980" s="928"/>
    </row>
    <row r="981" ht="12.75" customHeight="1">
      <c r="A981" s="928"/>
    </row>
    <row r="982" ht="12.75" customHeight="1">
      <c r="A982" s="928"/>
    </row>
    <row r="983" ht="12.75" customHeight="1">
      <c r="A983" s="928"/>
    </row>
    <row r="984" ht="12.75" customHeight="1">
      <c r="A984" s="928"/>
    </row>
    <row r="985" ht="12.75" customHeight="1">
      <c r="A985" s="928"/>
    </row>
    <row r="986" ht="12.75" customHeight="1">
      <c r="A986" s="928"/>
    </row>
    <row r="987" ht="12.75" customHeight="1">
      <c r="A987" s="928"/>
    </row>
    <row r="988" ht="12.75" customHeight="1">
      <c r="A988" s="928"/>
    </row>
    <row r="989" ht="12.75" customHeight="1">
      <c r="A989" s="928"/>
    </row>
    <row r="990" ht="12.75" customHeight="1">
      <c r="A990" s="928"/>
    </row>
    <row r="991" ht="12.75" customHeight="1">
      <c r="A991" s="928"/>
    </row>
    <row r="992" ht="12.75" customHeight="1">
      <c r="A992" s="928"/>
    </row>
    <row r="993" ht="12.75" customHeight="1">
      <c r="A993" s="928"/>
    </row>
    <row r="994" ht="12.75" customHeight="1">
      <c r="A994" s="928"/>
    </row>
    <row r="995" ht="12.75" customHeight="1">
      <c r="A995" s="928"/>
    </row>
    <row r="996" ht="12.75" customHeight="1">
      <c r="A996" s="928"/>
    </row>
    <row r="997" ht="12.75" customHeight="1">
      <c r="A997" s="928"/>
    </row>
    <row r="998" ht="12.75" customHeight="1">
      <c r="A998" s="928"/>
    </row>
    <row r="999" ht="12.75" customHeight="1">
      <c r="A999" s="928"/>
    </row>
    <row r="1000" ht="12.75" customHeight="1">
      <c r="A1000" s="928"/>
    </row>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sheetData>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13"/>
    <col customWidth="1" min="2" max="2" width="26.63"/>
    <col customWidth="1" min="3" max="8" width="11.5"/>
    <col customWidth="1" min="9" max="9" width="13.25"/>
    <col customWidth="1" min="10" max="10" width="10.88"/>
    <col customWidth="1" min="11" max="11" width="13.38"/>
    <col customWidth="1" min="12" max="12" width="13.0"/>
    <col customWidth="1" min="13" max="13" width="15.13"/>
    <col customWidth="1" min="14" max="14" width="13.13"/>
    <col customWidth="1" min="15" max="15" width="10.5"/>
    <col customWidth="1" min="16" max="16" width="11.38"/>
    <col customWidth="1" min="17" max="19" width="10.5"/>
  </cols>
  <sheetData>
    <row r="1">
      <c r="A1" s="928"/>
      <c r="B1" s="928"/>
      <c r="C1" s="928"/>
      <c r="D1" s="928"/>
      <c r="E1" s="928"/>
      <c r="F1" s="928"/>
      <c r="G1" s="928"/>
      <c r="H1" s="928"/>
      <c r="I1" s="928"/>
      <c r="J1" s="928"/>
      <c r="K1" s="928"/>
      <c r="L1" s="928"/>
      <c r="M1" s="928"/>
      <c r="N1" s="928"/>
      <c r="O1" s="928"/>
      <c r="P1" s="928"/>
      <c r="Q1" s="928"/>
      <c r="R1" s="928"/>
      <c r="S1" s="928"/>
      <c r="T1" s="928"/>
      <c r="U1" s="928"/>
      <c r="V1" s="928"/>
      <c r="W1" s="928"/>
      <c r="X1" s="928"/>
    </row>
    <row r="2">
      <c r="A2" s="928"/>
      <c r="B2" s="930" t="s">
        <v>1415</v>
      </c>
      <c r="C2" s="928"/>
      <c r="D2" s="928"/>
      <c r="E2" s="928"/>
      <c r="F2" s="928"/>
      <c r="G2" s="928"/>
      <c r="H2" s="928"/>
      <c r="I2" s="928"/>
      <c r="J2" s="928"/>
      <c r="K2" s="928"/>
      <c r="L2" s="928"/>
      <c r="M2" s="928"/>
      <c r="N2" s="928"/>
      <c r="O2" s="928"/>
      <c r="P2" s="928"/>
      <c r="Q2" s="928"/>
      <c r="R2" s="928"/>
      <c r="S2" s="928"/>
      <c r="T2" s="928"/>
      <c r="U2" s="928"/>
      <c r="V2" s="928"/>
      <c r="W2" s="928"/>
      <c r="X2" s="928"/>
    </row>
    <row r="3">
      <c r="A3" s="928"/>
      <c r="B3" s="1052" t="s">
        <v>1416</v>
      </c>
      <c r="C3" s="928"/>
      <c r="D3" s="928"/>
      <c r="E3" s="928"/>
      <c r="F3" s="928"/>
      <c r="G3" s="928"/>
      <c r="H3" s="928"/>
      <c r="I3" s="928"/>
      <c r="J3" s="928"/>
      <c r="K3" s="928"/>
      <c r="L3" s="928"/>
      <c r="M3" s="928"/>
      <c r="N3" s="928"/>
      <c r="O3" s="928"/>
      <c r="P3" s="928"/>
      <c r="Q3" s="928"/>
      <c r="R3" s="928"/>
      <c r="S3" s="928"/>
      <c r="T3" s="928"/>
      <c r="U3" s="928"/>
      <c r="V3" s="928"/>
      <c r="W3" s="928"/>
      <c r="X3" s="928"/>
    </row>
    <row r="4">
      <c r="A4" s="928"/>
      <c r="B4" s="936" t="s">
        <v>1353</v>
      </c>
      <c r="C4" s="928"/>
      <c r="D4" s="928"/>
      <c r="E4" s="928"/>
      <c r="F4" s="928"/>
      <c r="G4" s="928"/>
      <c r="H4" s="928"/>
      <c r="I4" s="928"/>
      <c r="J4" s="928"/>
      <c r="K4" s="928"/>
      <c r="L4" s="928"/>
      <c r="M4" s="928"/>
      <c r="N4" s="928"/>
      <c r="O4" s="928"/>
      <c r="P4" s="928"/>
      <c r="Q4" s="928"/>
      <c r="R4" s="928"/>
      <c r="S4" s="928"/>
      <c r="T4" s="928"/>
      <c r="U4" s="928"/>
      <c r="V4" s="928"/>
      <c r="W4" s="928"/>
      <c r="X4" s="928"/>
    </row>
    <row r="5">
      <c r="A5" s="928"/>
      <c r="B5" s="928"/>
      <c r="C5" s="928"/>
      <c r="D5" s="928"/>
      <c r="E5" s="928"/>
      <c r="F5" s="928"/>
      <c r="G5" s="928"/>
      <c r="H5" s="928"/>
      <c r="I5" s="928"/>
      <c r="J5" s="928"/>
      <c r="K5" s="928"/>
      <c r="L5" s="928"/>
      <c r="M5" s="928"/>
      <c r="N5" s="928"/>
      <c r="O5" s="928"/>
      <c r="P5" s="928"/>
      <c r="Q5" s="928"/>
      <c r="R5" s="928"/>
      <c r="S5" s="928"/>
      <c r="T5" s="928"/>
      <c r="U5" s="928"/>
      <c r="V5" s="928"/>
      <c r="W5" s="928"/>
      <c r="X5" s="928"/>
    </row>
    <row r="6">
      <c r="A6" s="928"/>
      <c r="B6" s="986" t="s">
        <v>1417</v>
      </c>
      <c r="C6" s="1053" t="s">
        <v>1418</v>
      </c>
      <c r="D6" s="1053" t="s">
        <v>1419</v>
      </c>
      <c r="E6" s="1053" t="s">
        <v>1420</v>
      </c>
      <c r="F6" s="928"/>
      <c r="G6" s="928"/>
      <c r="H6" s="928"/>
      <c r="I6" s="928"/>
      <c r="J6" s="928"/>
      <c r="K6" s="928"/>
      <c r="L6" s="928"/>
      <c r="M6" s="928"/>
      <c r="N6" s="1054" t="s">
        <v>1421</v>
      </c>
      <c r="O6" s="928"/>
      <c r="P6" s="928"/>
      <c r="Q6" s="928"/>
      <c r="R6" s="928"/>
      <c r="S6" s="928"/>
      <c r="T6" s="928"/>
      <c r="U6" s="928"/>
      <c r="V6" s="928"/>
      <c r="W6" s="928"/>
      <c r="X6" s="928"/>
    </row>
    <row r="7">
      <c r="A7" s="928"/>
      <c r="B7" s="1055" t="s">
        <v>1422</v>
      </c>
      <c r="C7" s="1056">
        <f t="shared" ref="C7:E7" si="1">C9*C10+C11*C12</f>
        <v>0.48</v>
      </c>
      <c r="D7" s="1056">
        <f t="shared" si="1"/>
        <v>6.56</v>
      </c>
      <c r="E7" s="1056">
        <f t="shared" si="1"/>
        <v>58.32</v>
      </c>
      <c r="F7" s="928"/>
      <c r="G7" s="928"/>
      <c r="H7" s="928"/>
      <c r="I7" s="928"/>
      <c r="J7" s="928"/>
      <c r="K7" s="928"/>
      <c r="L7" s="928"/>
      <c r="M7" s="1057" t="s">
        <v>1423</v>
      </c>
      <c r="N7" s="1058">
        <f>ROUND(N9*N10+N11*N12,2)</f>
        <v>0.03</v>
      </c>
      <c r="O7" s="928"/>
      <c r="P7" s="1059" t="s">
        <v>1424</v>
      </c>
      <c r="Q7" s="928"/>
      <c r="R7" s="928"/>
      <c r="S7" s="928"/>
      <c r="T7" s="928"/>
      <c r="U7" s="928"/>
      <c r="V7" s="928"/>
      <c r="W7" s="928"/>
      <c r="X7" s="928"/>
    </row>
    <row r="8">
      <c r="A8" s="928"/>
      <c r="B8" s="1060" t="s">
        <v>130</v>
      </c>
      <c r="C8" s="1061" t="str">
        <f>'Материалы и инструменты'!D14</f>
        <v>Тонкая шкура</v>
      </c>
      <c r="D8" s="1061" t="str">
        <f>'Материалы и инструменты'!F14</f>
        <v>Средняя шкура</v>
      </c>
      <c r="E8" s="1061" t="str">
        <f>'Материалы и инструменты'!H14</f>
        <v>Толстая шкура</v>
      </c>
      <c r="F8" s="928"/>
      <c r="G8" s="928"/>
      <c r="H8" s="928"/>
      <c r="I8" s="928"/>
      <c r="J8" s="928"/>
      <c r="K8" s="928"/>
      <c r="L8" s="928"/>
      <c r="M8" s="928"/>
      <c r="N8" s="1062" t="str">
        <f>'Материалы и инструменты'!D14</f>
        <v>Тонкая шкура</v>
      </c>
      <c r="O8" s="928"/>
      <c r="P8" s="928"/>
      <c r="Q8" s="928"/>
      <c r="R8" s="928"/>
      <c r="S8" s="928"/>
      <c r="T8" s="928"/>
      <c r="U8" s="928"/>
      <c r="V8" s="928"/>
      <c r="W8" s="928"/>
      <c r="X8" s="928"/>
    </row>
    <row r="9">
      <c r="A9" s="928"/>
      <c r="B9" s="995" t="s">
        <v>1363</v>
      </c>
      <c r="C9" s="996">
        <f>'Материалы и инструменты'!D15</f>
        <v>0.08</v>
      </c>
      <c r="D9" s="996">
        <f>'Материалы и инструменты'!F15</f>
        <v>0.72</v>
      </c>
      <c r="E9" s="1063">
        <f>'Материалы и инструменты'!H15</f>
        <v>19.44</v>
      </c>
      <c r="F9" s="928"/>
      <c r="G9" s="928"/>
      <c r="H9" s="928"/>
      <c r="I9" s="928"/>
      <c r="J9" s="928"/>
      <c r="K9" s="928"/>
      <c r="L9" s="928"/>
      <c r="M9" s="928"/>
      <c r="N9" s="1064">
        <f>'Материалы и инструменты'!D15</f>
        <v>0.08</v>
      </c>
      <c r="O9" s="928"/>
      <c r="P9" s="928"/>
      <c r="Q9" s="928"/>
      <c r="R9" s="928"/>
      <c r="S9" s="928"/>
      <c r="T9" s="928"/>
      <c r="U9" s="928"/>
      <c r="V9" s="928"/>
      <c r="W9" s="928"/>
      <c r="X9" s="928"/>
    </row>
    <row r="10">
      <c r="A10" s="928"/>
      <c r="B10" s="995" t="s">
        <v>1365</v>
      </c>
      <c r="C10" s="953">
        <v>2.0</v>
      </c>
      <c r="D10" s="953">
        <v>2.0</v>
      </c>
      <c r="E10" s="953">
        <v>2.0</v>
      </c>
      <c r="F10" s="928"/>
      <c r="G10" s="928"/>
      <c r="H10" s="928"/>
      <c r="I10" s="928"/>
      <c r="J10" s="928"/>
      <c r="K10" s="928"/>
      <c r="L10" s="928"/>
      <c r="M10" s="928"/>
      <c r="N10" s="1065">
        <v>0.2</v>
      </c>
      <c r="O10" s="928"/>
      <c r="P10" s="928"/>
      <c r="Q10" s="928"/>
      <c r="R10" s="928"/>
      <c r="S10" s="928"/>
      <c r="T10" s="928"/>
      <c r="U10" s="928"/>
      <c r="V10" s="928"/>
      <c r="W10" s="928"/>
      <c r="X10" s="928"/>
    </row>
    <row r="11">
      <c r="A11" s="928"/>
      <c r="B11" s="1004" t="s">
        <v>1371</v>
      </c>
      <c r="C11" s="1008">
        <v>4.0</v>
      </c>
      <c r="D11" s="1008">
        <v>16.0</v>
      </c>
      <c r="E11" s="1008">
        <v>27.0</v>
      </c>
      <c r="F11" s="928"/>
      <c r="G11" s="928"/>
      <c r="H11" s="928"/>
      <c r="I11" s="928"/>
      <c r="J11" s="928"/>
      <c r="K11" s="928"/>
      <c r="L11" s="928"/>
      <c r="M11" s="928"/>
      <c r="N11" s="1065">
        <v>0.5</v>
      </c>
      <c r="O11" s="928"/>
      <c r="P11" s="928"/>
      <c r="Q11" s="928"/>
      <c r="R11" s="928"/>
      <c r="S11" s="928"/>
      <c r="T11" s="928"/>
      <c r="U11" s="928"/>
      <c r="V11" s="928"/>
      <c r="W11" s="928"/>
      <c r="X11" s="928"/>
    </row>
    <row r="12">
      <c r="A12" s="928"/>
      <c r="B12" s="1004" t="s">
        <v>1372</v>
      </c>
      <c r="C12" s="950">
        <f t="shared" ref="C12:E12" si="2">(0.02*C13)*C13</f>
        <v>0.08</v>
      </c>
      <c r="D12" s="950">
        <f t="shared" si="2"/>
        <v>0.32</v>
      </c>
      <c r="E12" s="950">
        <f t="shared" si="2"/>
        <v>0.72</v>
      </c>
      <c r="F12" s="928"/>
      <c r="G12" s="928"/>
      <c r="H12" s="928"/>
      <c r="I12" s="928"/>
      <c r="J12" s="928"/>
      <c r="K12" s="928"/>
      <c r="L12" s="928"/>
      <c r="M12" s="928"/>
      <c r="N12" s="1065">
        <f>(0.02*N13)*N13</f>
        <v>0.02</v>
      </c>
      <c r="O12" s="928"/>
      <c r="P12" s="928"/>
      <c r="Q12" s="928"/>
      <c r="R12" s="928"/>
      <c r="S12" s="928"/>
      <c r="T12" s="928"/>
      <c r="U12" s="928"/>
      <c r="V12" s="928"/>
      <c r="W12" s="928"/>
      <c r="X12" s="928"/>
    </row>
    <row r="13">
      <c r="A13" s="928"/>
      <c r="B13" s="1004" t="s">
        <v>1425</v>
      </c>
      <c r="C13" s="1008">
        <v>2.0</v>
      </c>
      <c r="D13" s="1008">
        <v>4.0</v>
      </c>
      <c r="E13" s="1008">
        <v>6.0</v>
      </c>
      <c r="F13" s="928"/>
      <c r="G13" s="928"/>
      <c r="H13" s="928"/>
      <c r="I13" s="928"/>
      <c r="J13" s="928"/>
      <c r="K13" s="928"/>
      <c r="L13" s="928"/>
      <c r="M13" s="928"/>
      <c r="N13" s="1065">
        <v>1.0</v>
      </c>
      <c r="O13" s="928"/>
      <c r="P13" s="928"/>
      <c r="Q13" s="928"/>
      <c r="R13" s="928"/>
      <c r="S13" s="928"/>
      <c r="T13" s="928"/>
      <c r="U13" s="928"/>
      <c r="V13" s="928"/>
      <c r="W13" s="928"/>
      <c r="X13" s="928"/>
    </row>
    <row r="14">
      <c r="A14" s="928"/>
      <c r="B14" s="1006" t="s">
        <v>1426</v>
      </c>
      <c r="C14" s="1066">
        <v>12.0</v>
      </c>
      <c r="D14" s="1066">
        <v>16.0</v>
      </c>
      <c r="E14" s="1066">
        <v>20.0</v>
      </c>
      <c r="F14" s="928"/>
      <c r="G14" s="928"/>
      <c r="H14" s="928"/>
      <c r="I14" s="928"/>
      <c r="J14" s="928"/>
      <c r="K14" s="928"/>
      <c r="L14" s="928"/>
      <c r="M14" s="928"/>
      <c r="N14" s="1067">
        <v>10.0</v>
      </c>
      <c r="O14" s="928"/>
      <c r="P14" s="928"/>
      <c r="Q14" s="928"/>
      <c r="R14" s="928"/>
      <c r="S14" s="928"/>
      <c r="T14" s="928"/>
      <c r="U14" s="928"/>
      <c r="V14" s="928"/>
      <c r="W14" s="928"/>
      <c r="X14" s="928"/>
    </row>
    <row r="15">
      <c r="A15" s="928"/>
      <c r="B15" s="1004" t="s">
        <v>1427</v>
      </c>
      <c r="C15" s="1008" t="s">
        <v>1237</v>
      </c>
      <c r="D15" s="953" t="s">
        <v>1250</v>
      </c>
      <c r="E15" s="953" t="s">
        <v>1250</v>
      </c>
      <c r="F15" s="928"/>
      <c r="G15" s="928"/>
      <c r="H15" s="928"/>
      <c r="I15" s="928"/>
      <c r="J15" s="928"/>
      <c r="K15" s="928"/>
      <c r="L15" s="928"/>
      <c r="M15" s="928"/>
      <c r="N15" s="1008" t="s">
        <v>1237</v>
      </c>
      <c r="O15" s="928"/>
      <c r="P15" s="928"/>
      <c r="Q15" s="928"/>
      <c r="R15" s="928"/>
      <c r="S15" s="928"/>
      <c r="T15" s="928"/>
      <c r="U15" s="928"/>
      <c r="V15" s="928"/>
      <c r="W15" s="928"/>
      <c r="X15" s="928"/>
    </row>
    <row r="16">
      <c r="A16" s="928"/>
      <c r="B16" s="986"/>
      <c r="C16" s="1068"/>
      <c r="D16" s="1068"/>
      <c r="E16" s="1068"/>
      <c r="F16" s="1068"/>
      <c r="G16" s="1068"/>
      <c r="H16" s="1068"/>
      <c r="I16" s="1068"/>
      <c r="J16" s="1068"/>
      <c r="K16" s="986"/>
      <c r="L16" s="1068"/>
      <c r="M16" s="928"/>
      <c r="N16" s="986"/>
      <c r="O16" s="1068"/>
      <c r="P16" s="928"/>
      <c r="Q16" s="928"/>
      <c r="R16" s="928"/>
      <c r="S16" s="928"/>
      <c r="T16" s="928"/>
      <c r="U16" s="928"/>
      <c r="V16" s="928"/>
      <c r="W16" s="928"/>
      <c r="X16" s="928"/>
    </row>
    <row r="17">
      <c r="A17" s="928"/>
      <c r="B17" s="986" t="s">
        <v>1428</v>
      </c>
      <c r="C17" s="1068"/>
      <c r="D17" s="1068"/>
      <c r="E17" s="1068"/>
      <c r="F17" s="1068"/>
      <c r="G17" s="1068"/>
      <c r="H17" s="1068"/>
      <c r="I17" s="1068"/>
      <c r="J17" s="1068"/>
      <c r="K17" s="986" t="s">
        <v>1429</v>
      </c>
      <c r="L17" s="1068"/>
      <c r="M17" s="928"/>
      <c r="N17" s="986" t="s">
        <v>1430</v>
      </c>
      <c r="O17" s="1068"/>
      <c r="P17" s="928"/>
      <c r="Q17" s="928"/>
      <c r="R17" s="928"/>
      <c r="S17" s="928"/>
      <c r="T17" s="928"/>
      <c r="U17" s="928"/>
      <c r="V17" s="928"/>
      <c r="W17" s="928"/>
      <c r="X17" s="928"/>
    </row>
    <row r="18">
      <c r="A18" s="928"/>
      <c r="B18" s="1057" t="s">
        <v>130</v>
      </c>
      <c r="C18" s="1069" t="s">
        <v>1431</v>
      </c>
      <c r="D18" s="1069" t="s">
        <v>1418</v>
      </c>
      <c r="E18" s="1069" t="s">
        <v>1432</v>
      </c>
      <c r="F18" s="1069" t="s">
        <v>1419</v>
      </c>
      <c r="G18" s="1069" t="s">
        <v>1433</v>
      </c>
      <c r="H18" s="1069" t="s">
        <v>1420</v>
      </c>
      <c r="I18" s="1068"/>
      <c r="J18" s="1070" t="s">
        <v>1434</v>
      </c>
      <c r="K18" s="1069" t="str">
        <f t="shared" ref="K18:L18" si="3">C18</f>
        <v>Тонкая шкура</v>
      </c>
      <c r="L18" s="1069" t="str">
        <f t="shared" si="3"/>
        <v>Тонкая кожа</v>
      </c>
      <c r="M18" s="928"/>
      <c r="N18" s="1069" t="str">
        <f>'Материалы и инструменты'!D14</f>
        <v>Тонкая шкура</v>
      </c>
      <c r="O18" s="1069" t="str">
        <f>'Материалы и инструменты'!E14</f>
        <v>Тонкая кожа</v>
      </c>
      <c r="P18" s="1069" t="str">
        <f>'Материалы и инструменты'!F14</f>
        <v>Средняя шкура</v>
      </c>
      <c r="Q18" s="1069" t="str">
        <f>'Материалы и инструменты'!G14</f>
        <v>Средняя кожа</v>
      </c>
      <c r="R18" s="1069" t="str">
        <f>'Материалы и инструменты'!H14</f>
        <v>Толстая шкура</v>
      </c>
      <c r="S18" s="1069" t="str">
        <f>'Материалы и инструменты'!I14</f>
        <v>Толстая кожа</v>
      </c>
      <c r="T18" s="928"/>
      <c r="U18" s="928"/>
      <c r="V18" s="928"/>
      <c r="W18" s="928"/>
      <c r="X18" s="928"/>
    </row>
    <row r="19">
      <c r="A19" s="928"/>
      <c r="B19" s="1071" t="s">
        <v>1435</v>
      </c>
      <c r="C19" s="1072">
        <f t="shared" ref="C19:H19" si="4">C20*C21+C22*C24</f>
        <v>1.1</v>
      </c>
      <c r="D19" s="1072">
        <f t="shared" si="4"/>
        <v>6.4</v>
      </c>
      <c r="E19" s="1072">
        <f t="shared" si="4"/>
        <v>11.7</v>
      </c>
      <c r="F19" s="1072">
        <f t="shared" si="4"/>
        <v>75.2</v>
      </c>
      <c r="G19" s="1072">
        <f t="shared" si="4"/>
        <v>211.9</v>
      </c>
      <c r="H19" s="1072">
        <f t="shared" si="4"/>
        <v>612</v>
      </c>
      <c r="I19" s="1073"/>
      <c r="J19" s="1074">
        <v>1.0</v>
      </c>
      <c r="K19" s="1072">
        <f t="shared" ref="K19:L19" si="5">K20*K21+K22*K24</f>
        <v>0.5</v>
      </c>
      <c r="L19" s="1072">
        <f t="shared" si="5"/>
        <v>3</v>
      </c>
      <c r="M19" s="928"/>
      <c r="N19" s="1072">
        <f t="shared" ref="N19:S19" si="6">N20*N21+N22*N24</f>
        <v>0.5</v>
      </c>
      <c r="O19" s="1072">
        <f t="shared" si="6"/>
        <v>3</v>
      </c>
      <c r="P19" s="1072">
        <f t="shared" si="6"/>
        <v>5.4</v>
      </c>
      <c r="Q19" s="1072">
        <f t="shared" si="6"/>
        <v>36.8</v>
      </c>
      <c r="R19" s="1072">
        <f t="shared" si="6"/>
        <v>104.7</v>
      </c>
      <c r="S19" s="1072">
        <f t="shared" si="6"/>
        <v>304.2</v>
      </c>
      <c r="T19" s="928"/>
      <c r="U19" s="928"/>
      <c r="V19" s="928"/>
      <c r="W19" s="928"/>
      <c r="X19" s="928"/>
    </row>
    <row r="20">
      <c r="A20" s="928"/>
      <c r="B20" s="995" t="s">
        <v>1436</v>
      </c>
      <c r="C20" s="1075">
        <f>'Материалы и инструменты'!D15</f>
        <v>0.08</v>
      </c>
      <c r="D20" s="1076">
        <f>'Материалы и инструменты'!E15</f>
        <v>0.48</v>
      </c>
      <c r="E20" s="1075">
        <f>'Материалы и инструменты'!F15</f>
        <v>0.72</v>
      </c>
      <c r="F20" s="1076">
        <f>'Материалы и инструменты'!G15</f>
        <v>6.56</v>
      </c>
      <c r="G20" s="1075">
        <f>'Материалы и инструменты'!H15</f>
        <v>19.44</v>
      </c>
      <c r="H20" s="1076">
        <f>'Материалы и инструменты'!I15</f>
        <v>58.32</v>
      </c>
      <c r="I20" s="1073"/>
      <c r="J20" s="1074"/>
      <c r="K20" s="1075">
        <f>'Материалы и инструменты'!D15</f>
        <v>0.08</v>
      </c>
      <c r="L20" s="1076">
        <f>'Материалы и инструменты'!E15</f>
        <v>0.48</v>
      </c>
      <c r="M20" s="928"/>
      <c r="N20" s="1075">
        <f>'Материалы и инструменты'!D15</f>
        <v>0.08</v>
      </c>
      <c r="O20" s="1076">
        <f>'Материалы и инструменты'!E15</f>
        <v>0.48</v>
      </c>
      <c r="P20" s="1075">
        <f>'Материалы и инструменты'!F15</f>
        <v>0.72</v>
      </c>
      <c r="Q20" s="1076">
        <f>'Материалы и инструменты'!G15</f>
        <v>6.56</v>
      </c>
      <c r="R20" s="1075">
        <f>'Материалы и инструменты'!H15</f>
        <v>19.44</v>
      </c>
      <c r="S20" s="1076">
        <f>'Материалы и инструменты'!I15</f>
        <v>58.32</v>
      </c>
      <c r="T20" s="928"/>
      <c r="U20" s="928"/>
      <c r="V20" s="928"/>
      <c r="W20" s="928"/>
      <c r="X20" s="928"/>
    </row>
    <row r="21">
      <c r="A21" s="928"/>
      <c r="B21" s="995" t="s">
        <v>1365</v>
      </c>
      <c r="C21" s="1075">
        <v>10.0</v>
      </c>
      <c r="D21" s="1075">
        <v>10.0</v>
      </c>
      <c r="E21" s="1075">
        <v>10.0</v>
      </c>
      <c r="F21" s="1075">
        <v>10.0</v>
      </c>
      <c r="G21" s="1075">
        <v>10.0</v>
      </c>
      <c r="H21" s="1075">
        <v>10.0</v>
      </c>
      <c r="I21" s="1073"/>
      <c r="J21" s="1074"/>
      <c r="K21" s="953">
        <v>5.0</v>
      </c>
      <c r="L21" s="953">
        <v>5.0</v>
      </c>
      <c r="M21" s="928"/>
      <c r="N21" s="953">
        <v>5.0</v>
      </c>
      <c r="O21" s="953">
        <v>5.0</v>
      </c>
      <c r="P21" s="953">
        <v>5.0</v>
      </c>
      <c r="Q21" s="953">
        <v>5.0</v>
      </c>
      <c r="R21" s="953">
        <v>5.0</v>
      </c>
      <c r="S21" s="953">
        <v>5.0</v>
      </c>
      <c r="T21" s="928"/>
      <c r="U21" s="928"/>
      <c r="V21" s="928"/>
      <c r="W21" s="928"/>
      <c r="X21" s="928"/>
    </row>
    <row r="22">
      <c r="A22" s="928"/>
      <c r="B22" s="995" t="s">
        <v>1371</v>
      </c>
      <c r="C22" s="1075">
        <f t="shared" ref="C22:H22" si="7">C21*C23</f>
        <v>15</v>
      </c>
      <c r="D22" s="1075">
        <f t="shared" si="7"/>
        <v>20</v>
      </c>
      <c r="E22" s="1075">
        <f t="shared" si="7"/>
        <v>25</v>
      </c>
      <c r="F22" s="1075">
        <f t="shared" si="7"/>
        <v>30</v>
      </c>
      <c r="G22" s="1075">
        <f t="shared" si="7"/>
        <v>35</v>
      </c>
      <c r="H22" s="1075">
        <f t="shared" si="7"/>
        <v>40</v>
      </c>
      <c r="I22" s="1073"/>
      <c r="J22" s="1074"/>
      <c r="K22" s="1075">
        <f t="shared" ref="K22:L22" si="8">K21*K23</f>
        <v>5</v>
      </c>
      <c r="L22" s="1075">
        <f t="shared" si="8"/>
        <v>7.5</v>
      </c>
      <c r="M22" s="928"/>
      <c r="N22" s="1075">
        <f t="shared" ref="N22:S22" si="9">N21*N23</f>
        <v>5</v>
      </c>
      <c r="O22" s="1075">
        <f t="shared" si="9"/>
        <v>7.5</v>
      </c>
      <c r="P22" s="1075">
        <f t="shared" si="9"/>
        <v>10</v>
      </c>
      <c r="Q22" s="1075">
        <f t="shared" si="9"/>
        <v>12.5</v>
      </c>
      <c r="R22" s="1075">
        <f t="shared" si="9"/>
        <v>15</v>
      </c>
      <c r="S22" s="1075">
        <f t="shared" si="9"/>
        <v>17.5</v>
      </c>
      <c r="T22" s="928"/>
      <c r="U22" s="928"/>
      <c r="V22" s="928"/>
      <c r="W22" s="928"/>
      <c r="X22" s="928"/>
    </row>
    <row r="23">
      <c r="A23" s="928"/>
      <c r="B23" s="995" t="s">
        <v>1410</v>
      </c>
      <c r="C23" s="1075">
        <v>1.5</v>
      </c>
      <c r="D23" s="1075">
        <f t="shared" ref="D23:H23" si="10">C23+0.5</f>
        <v>2</v>
      </c>
      <c r="E23" s="1075">
        <f t="shared" si="10"/>
        <v>2.5</v>
      </c>
      <c r="F23" s="1075">
        <f t="shared" si="10"/>
        <v>3</v>
      </c>
      <c r="G23" s="1075">
        <f t="shared" si="10"/>
        <v>3.5</v>
      </c>
      <c r="H23" s="1075">
        <f t="shared" si="10"/>
        <v>4</v>
      </c>
      <c r="I23" s="1073"/>
      <c r="J23" s="1074"/>
      <c r="K23" s="953">
        <v>1.0</v>
      </c>
      <c r="L23" s="1075">
        <f>K23+0.5</f>
        <v>1.5</v>
      </c>
      <c r="M23" s="928"/>
      <c r="N23" s="953">
        <v>1.0</v>
      </c>
      <c r="O23" s="1075">
        <f t="shared" ref="O23:S23" si="11">N23+0.5</f>
        <v>1.5</v>
      </c>
      <c r="P23" s="1075">
        <f t="shared" si="11"/>
        <v>2</v>
      </c>
      <c r="Q23" s="1075">
        <f t="shared" si="11"/>
        <v>2.5</v>
      </c>
      <c r="R23" s="1075">
        <f t="shared" si="11"/>
        <v>3</v>
      </c>
      <c r="S23" s="1075">
        <f t="shared" si="11"/>
        <v>3.5</v>
      </c>
      <c r="T23" s="928"/>
      <c r="U23" s="928"/>
      <c r="V23" s="928"/>
      <c r="W23" s="928"/>
      <c r="X23" s="928"/>
    </row>
    <row r="24">
      <c r="A24" s="928"/>
      <c r="B24" s="995" t="s">
        <v>1412</v>
      </c>
      <c r="C24" s="1075">
        <f t="shared" ref="C24:H24" si="12">(0.02*C25)*C25</f>
        <v>0.02</v>
      </c>
      <c r="D24" s="1075">
        <f t="shared" si="12"/>
        <v>0.08</v>
      </c>
      <c r="E24" s="1075">
        <f t="shared" si="12"/>
        <v>0.18</v>
      </c>
      <c r="F24" s="1075">
        <f t="shared" si="12"/>
        <v>0.32</v>
      </c>
      <c r="G24" s="1075">
        <f t="shared" si="12"/>
        <v>0.5</v>
      </c>
      <c r="H24" s="1075">
        <f t="shared" si="12"/>
        <v>0.72</v>
      </c>
      <c r="I24" s="1073"/>
      <c r="J24" s="1074"/>
      <c r="K24" s="1075">
        <f t="shared" ref="K24:L24" si="13">(0.02*K25)*K25</f>
        <v>0.02</v>
      </c>
      <c r="L24" s="1075">
        <f t="shared" si="13"/>
        <v>0.08</v>
      </c>
      <c r="M24" s="928"/>
      <c r="N24" s="1075">
        <f t="shared" ref="N24:S24" si="14">(0.02*N25)*N25</f>
        <v>0.02</v>
      </c>
      <c r="O24" s="1075">
        <f t="shared" si="14"/>
        <v>0.08</v>
      </c>
      <c r="P24" s="1075">
        <f t="shared" si="14"/>
        <v>0.18</v>
      </c>
      <c r="Q24" s="1075">
        <f t="shared" si="14"/>
        <v>0.32</v>
      </c>
      <c r="R24" s="1075">
        <f t="shared" si="14"/>
        <v>0.5</v>
      </c>
      <c r="S24" s="1075">
        <f t="shared" si="14"/>
        <v>0.72</v>
      </c>
      <c r="T24" s="928"/>
      <c r="U24" s="928"/>
      <c r="V24" s="928"/>
      <c r="W24" s="928"/>
      <c r="X24" s="928"/>
    </row>
    <row r="25">
      <c r="A25" s="928"/>
      <c r="B25" s="1004" t="s">
        <v>1437</v>
      </c>
      <c r="C25" s="1075">
        <v>1.0</v>
      </c>
      <c r="D25" s="1075">
        <v>2.0</v>
      </c>
      <c r="E25" s="1075">
        <v>3.0</v>
      </c>
      <c r="F25" s="1075">
        <v>4.0</v>
      </c>
      <c r="G25" s="1075">
        <v>5.0</v>
      </c>
      <c r="H25" s="1075">
        <v>6.0</v>
      </c>
      <c r="I25" s="1073"/>
      <c r="J25" s="1074"/>
      <c r="K25" s="1075">
        <v>1.0</v>
      </c>
      <c r="L25" s="953">
        <v>2.0</v>
      </c>
      <c r="M25" s="928"/>
      <c r="N25" s="1075">
        <v>1.0</v>
      </c>
      <c r="O25" s="953">
        <v>2.0</v>
      </c>
      <c r="P25" s="953">
        <v>3.0</v>
      </c>
      <c r="Q25" s="953">
        <v>4.0</v>
      </c>
      <c r="R25" s="953">
        <v>5.0</v>
      </c>
      <c r="S25" s="953">
        <v>6.0</v>
      </c>
      <c r="T25" s="928"/>
      <c r="U25" s="928"/>
      <c r="V25" s="928"/>
      <c r="W25" s="928"/>
      <c r="X25" s="928"/>
    </row>
    <row r="26">
      <c r="A26" s="928"/>
      <c r="B26" s="1004" t="s">
        <v>1426</v>
      </c>
      <c r="C26" s="1075">
        <v>10.0</v>
      </c>
      <c r="D26" s="953">
        <v>12.0</v>
      </c>
      <c r="E26" s="953">
        <v>14.0</v>
      </c>
      <c r="F26" s="953">
        <v>16.0</v>
      </c>
      <c r="G26" s="953">
        <v>18.0</v>
      </c>
      <c r="H26" s="953">
        <v>20.0</v>
      </c>
      <c r="I26" s="1073"/>
      <c r="J26" s="1074"/>
      <c r="K26" s="1075">
        <v>10.0</v>
      </c>
      <c r="L26" s="953">
        <v>12.0</v>
      </c>
      <c r="M26" s="928"/>
      <c r="N26" s="1075">
        <v>10.0</v>
      </c>
      <c r="O26" s="953">
        <v>12.0</v>
      </c>
      <c r="P26" s="953">
        <v>14.0</v>
      </c>
      <c r="Q26" s="953">
        <v>16.0</v>
      </c>
      <c r="R26" s="953">
        <v>18.0</v>
      </c>
      <c r="S26" s="953">
        <v>20.0</v>
      </c>
      <c r="T26" s="928"/>
      <c r="U26" s="928"/>
      <c r="V26" s="928"/>
      <c r="W26" s="928"/>
      <c r="X26" s="928"/>
    </row>
    <row r="27">
      <c r="A27" s="928"/>
      <c r="B27" s="1004" t="s">
        <v>1438</v>
      </c>
      <c r="C27" s="953" t="s">
        <v>1237</v>
      </c>
      <c r="D27" s="953" t="s">
        <v>1237</v>
      </c>
      <c r="E27" s="953" t="s">
        <v>1237</v>
      </c>
      <c r="F27" s="953" t="s">
        <v>1250</v>
      </c>
      <c r="G27" s="953" t="s">
        <v>1250</v>
      </c>
      <c r="H27" s="953" t="s">
        <v>1250</v>
      </c>
      <c r="I27" s="1073"/>
      <c r="J27" s="1074"/>
      <c r="K27" s="1008" t="s">
        <v>1237</v>
      </c>
      <c r="L27" s="1008" t="s">
        <v>1237</v>
      </c>
      <c r="M27" s="928"/>
      <c r="N27" s="953" t="s">
        <v>1237</v>
      </c>
      <c r="O27" s="953" t="s">
        <v>1237</v>
      </c>
      <c r="P27" s="953" t="s">
        <v>1237</v>
      </c>
      <c r="Q27" s="953" t="s">
        <v>1250</v>
      </c>
      <c r="R27" s="953" t="s">
        <v>1250</v>
      </c>
      <c r="S27" s="953" t="s">
        <v>1250</v>
      </c>
      <c r="T27" s="928"/>
      <c r="U27" s="928"/>
      <c r="V27" s="928"/>
      <c r="W27" s="928"/>
      <c r="X27" s="928"/>
    </row>
    <row r="28">
      <c r="A28" s="928"/>
      <c r="B28" s="1071" t="s">
        <v>1439</v>
      </c>
      <c r="C28" s="1077">
        <f t="shared" ref="C28:H28" si="15">C$20*C$21+C29*C31</f>
        <v>3.2</v>
      </c>
      <c r="D28" s="1077">
        <f t="shared" si="15"/>
        <v>12</v>
      </c>
      <c r="E28" s="1077">
        <f t="shared" si="15"/>
        <v>23.2</v>
      </c>
      <c r="F28" s="1077">
        <f t="shared" si="15"/>
        <v>95.6</v>
      </c>
      <c r="G28" s="1077">
        <f t="shared" si="15"/>
        <v>244.8</v>
      </c>
      <c r="H28" s="1077">
        <f t="shared" si="15"/>
        <v>661.6</v>
      </c>
      <c r="I28" s="1073"/>
      <c r="J28" s="1074">
        <v>2.0</v>
      </c>
      <c r="K28" s="1077">
        <f t="shared" ref="K28:L28" si="16">K$20*K$21+K29*K31</f>
        <v>1.2</v>
      </c>
      <c r="L28" s="1077">
        <f t="shared" si="16"/>
        <v>5.1</v>
      </c>
      <c r="M28" s="928"/>
      <c r="N28" s="1077">
        <f t="shared" ref="N28:S28" si="17">N$20*N$21+N29*N31</f>
        <v>1.2</v>
      </c>
      <c r="O28" s="1077">
        <f t="shared" si="17"/>
        <v>5.1</v>
      </c>
      <c r="P28" s="1077">
        <f t="shared" si="17"/>
        <v>10</v>
      </c>
      <c r="Q28" s="1077">
        <f t="shared" si="17"/>
        <v>45.3</v>
      </c>
      <c r="R28" s="1077">
        <f t="shared" si="17"/>
        <v>118.8</v>
      </c>
      <c r="S28" s="1077">
        <f t="shared" si="17"/>
        <v>325.9</v>
      </c>
      <c r="T28" s="928"/>
      <c r="U28" s="928"/>
      <c r="V28" s="928"/>
      <c r="W28" s="928"/>
      <c r="X28" s="928"/>
    </row>
    <row r="29">
      <c r="A29" s="928"/>
      <c r="B29" s="995" t="s">
        <v>1371</v>
      </c>
      <c r="C29" s="1075">
        <f t="shared" ref="C29:H29" si="18">C$21*C30</f>
        <v>30</v>
      </c>
      <c r="D29" s="1075">
        <f t="shared" si="18"/>
        <v>40</v>
      </c>
      <c r="E29" s="1075">
        <f t="shared" si="18"/>
        <v>50</v>
      </c>
      <c r="F29" s="1075">
        <f t="shared" si="18"/>
        <v>60</v>
      </c>
      <c r="G29" s="1075">
        <f t="shared" si="18"/>
        <v>70</v>
      </c>
      <c r="H29" s="1075">
        <f t="shared" si="18"/>
        <v>80</v>
      </c>
      <c r="I29" s="1073"/>
      <c r="J29" s="1074"/>
      <c r="K29" s="1075">
        <f t="shared" ref="K29:L29" si="19">K$21*K30</f>
        <v>10</v>
      </c>
      <c r="L29" s="1075">
        <f t="shared" si="19"/>
        <v>15</v>
      </c>
      <c r="M29" s="928"/>
      <c r="N29" s="1075">
        <f t="shared" ref="N29:S29" si="20">N$21*N30</f>
        <v>10</v>
      </c>
      <c r="O29" s="1075">
        <f t="shared" si="20"/>
        <v>15</v>
      </c>
      <c r="P29" s="1075">
        <f t="shared" si="20"/>
        <v>20</v>
      </c>
      <c r="Q29" s="1075">
        <f t="shared" si="20"/>
        <v>25</v>
      </c>
      <c r="R29" s="1075">
        <f t="shared" si="20"/>
        <v>30</v>
      </c>
      <c r="S29" s="1075">
        <f t="shared" si="20"/>
        <v>35</v>
      </c>
      <c r="T29" s="928"/>
      <c r="U29" s="928"/>
      <c r="V29" s="928"/>
      <c r="W29" s="928"/>
      <c r="X29" s="928"/>
    </row>
    <row r="30">
      <c r="A30" s="928"/>
      <c r="B30" s="995" t="s">
        <v>1410</v>
      </c>
      <c r="C30" s="1075">
        <f t="shared" ref="C30:H30" si="21">C$23*$J28</f>
        <v>3</v>
      </c>
      <c r="D30" s="1075">
        <f t="shared" si="21"/>
        <v>4</v>
      </c>
      <c r="E30" s="1075">
        <f t="shared" si="21"/>
        <v>5</v>
      </c>
      <c r="F30" s="1075">
        <f t="shared" si="21"/>
        <v>6</v>
      </c>
      <c r="G30" s="1075">
        <f t="shared" si="21"/>
        <v>7</v>
      </c>
      <c r="H30" s="1075">
        <f t="shared" si="21"/>
        <v>8</v>
      </c>
      <c r="I30" s="1073"/>
      <c r="J30" s="1074"/>
      <c r="K30" s="1075">
        <f t="shared" ref="K30:L30" si="22">K$23*$J28</f>
        <v>2</v>
      </c>
      <c r="L30" s="1075">
        <f t="shared" si="22"/>
        <v>3</v>
      </c>
      <c r="M30" s="928"/>
      <c r="N30" s="1075">
        <f t="shared" ref="N30:S30" si="23">N$23*$J28</f>
        <v>2</v>
      </c>
      <c r="O30" s="1075">
        <f t="shared" si="23"/>
        <v>3</v>
      </c>
      <c r="P30" s="1075">
        <f t="shared" si="23"/>
        <v>4</v>
      </c>
      <c r="Q30" s="1075">
        <f t="shared" si="23"/>
        <v>5</v>
      </c>
      <c r="R30" s="1075">
        <f t="shared" si="23"/>
        <v>6</v>
      </c>
      <c r="S30" s="1075">
        <f t="shared" si="23"/>
        <v>7</v>
      </c>
      <c r="T30" s="928"/>
      <c r="U30" s="928"/>
      <c r="V30" s="928"/>
      <c r="W30" s="928"/>
      <c r="X30" s="928"/>
    </row>
    <row r="31">
      <c r="A31" s="928"/>
      <c r="B31" s="995" t="s">
        <v>1412</v>
      </c>
      <c r="C31" s="1075">
        <f t="shared" ref="C31:H31" si="24">(0.02*C32)*C32</f>
        <v>0.08</v>
      </c>
      <c r="D31" s="1075">
        <f t="shared" si="24"/>
        <v>0.18</v>
      </c>
      <c r="E31" s="1075">
        <f t="shared" si="24"/>
        <v>0.32</v>
      </c>
      <c r="F31" s="1075">
        <f t="shared" si="24"/>
        <v>0.5</v>
      </c>
      <c r="G31" s="1075">
        <f t="shared" si="24"/>
        <v>0.72</v>
      </c>
      <c r="H31" s="1075">
        <f t="shared" si="24"/>
        <v>0.98</v>
      </c>
      <c r="I31" s="1073"/>
      <c r="J31" s="1074"/>
      <c r="K31" s="1075">
        <f t="shared" ref="K31:L31" si="25">(0.02*K32)*K32</f>
        <v>0.08</v>
      </c>
      <c r="L31" s="1075">
        <f t="shared" si="25"/>
        <v>0.18</v>
      </c>
      <c r="M31" s="928"/>
      <c r="N31" s="1075">
        <f t="shared" ref="N31:S31" si="26">(0.02*N32)*N32</f>
        <v>0.08</v>
      </c>
      <c r="O31" s="1075">
        <f t="shared" si="26"/>
        <v>0.18</v>
      </c>
      <c r="P31" s="1075">
        <f t="shared" si="26"/>
        <v>0.32</v>
      </c>
      <c r="Q31" s="1075">
        <f t="shared" si="26"/>
        <v>0.5</v>
      </c>
      <c r="R31" s="1075">
        <f t="shared" si="26"/>
        <v>0.72</v>
      </c>
      <c r="S31" s="1075">
        <f t="shared" si="26"/>
        <v>0.98</v>
      </c>
      <c r="T31" s="928"/>
      <c r="U31" s="928"/>
      <c r="V31" s="928"/>
      <c r="W31" s="928"/>
      <c r="X31" s="928"/>
    </row>
    <row r="32">
      <c r="A32" s="928"/>
      <c r="B32" s="1004" t="s">
        <v>1437</v>
      </c>
      <c r="C32" s="1075">
        <v>2.0</v>
      </c>
      <c r="D32" s="1075">
        <v>3.0</v>
      </c>
      <c r="E32" s="1075">
        <v>4.0</v>
      </c>
      <c r="F32" s="1075">
        <v>5.0</v>
      </c>
      <c r="G32" s="1075">
        <v>6.0</v>
      </c>
      <c r="H32" s="1075">
        <v>7.0</v>
      </c>
      <c r="I32" s="1073"/>
      <c r="J32" s="1074"/>
      <c r="K32" s="1075">
        <v>2.0</v>
      </c>
      <c r="L32" s="953">
        <v>3.0</v>
      </c>
      <c r="M32" s="928"/>
      <c r="N32" s="1075">
        <v>2.0</v>
      </c>
      <c r="O32" s="953">
        <v>3.0</v>
      </c>
      <c r="P32" s="953">
        <v>4.0</v>
      </c>
      <c r="Q32" s="953">
        <v>5.0</v>
      </c>
      <c r="R32" s="953">
        <v>6.0</v>
      </c>
      <c r="S32" s="953">
        <v>7.0</v>
      </c>
      <c r="T32" s="928"/>
      <c r="U32" s="928"/>
      <c r="V32" s="928"/>
      <c r="W32" s="928"/>
      <c r="X32" s="928"/>
    </row>
    <row r="33">
      <c r="A33" s="928"/>
      <c r="B33" s="1004" t="s">
        <v>1426</v>
      </c>
      <c r="C33" s="953">
        <v>12.0</v>
      </c>
      <c r="D33" s="953">
        <v>14.0</v>
      </c>
      <c r="E33" s="953">
        <v>16.0</v>
      </c>
      <c r="F33" s="953">
        <v>18.0</v>
      </c>
      <c r="G33" s="953">
        <v>20.0</v>
      </c>
      <c r="H33" s="953">
        <v>22.0</v>
      </c>
      <c r="I33" s="1073"/>
      <c r="J33" s="1074"/>
      <c r="K33" s="953">
        <v>12.0</v>
      </c>
      <c r="L33" s="953">
        <v>14.0</v>
      </c>
      <c r="M33" s="928"/>
      <c r="N33" s="953">
        <v>12.0</v>
      </c>
      <c r="O33" s="953">
        <v>14.0</v>
      </c>
      <c r="P33" s="953">
        <v>16.0</v>
      </c>
      <c r="Q33" s="953">
        <v>18.0</v>
      </c>
      <c r="R33" s="953">
        <v>20.0</v>
      </c>
      <c r="S33" s="953">
        <v>22.0</v>
      </c>
      <c r="T33" s="928"/>
      <c r="U33" s="928"/>
      <c r="V33" s="928"/>
      <c r="W33" s="928"/>
      <c r="X33" s="928"/>
    </row>
    <row r="34">
      <c r="A34" s="928"/>
      <c r="B34" s="1004" t="s">
        <v>1438</v>
      </c>
      <c r="C34" s="953" t="s">
        <v>1237</v>
      </c>
      <c r="D34" s="953" t="s">
        <v>1237</v>
      </c>
      <c r="E34" s="953" t="s">
        <v>1250</v>
      </c>
      <c r="F34" s="953" t="s">
        <v>1250</v>
      </c>
      <c r="G34" s="953" t="s">
        <v>1250</v>
      </c>
      <c r="H34" s="953" t="s">
        <v>1263</v>
      </c>
      <c r="I34" s="1073"/>
      <c r="J34" s="1074"/>
      <c r="K34" s="1008" t="s">
        <v>1237</v>
      </c>
      <c r="L34" s="1008" t="s">
        <v>1237</v>
      </c>
      <c r="M34" s="928"/>
      <c r="N34" s="953" t="s">
        <v>1237</v>
      </c>
      <c r="O34" s="953" t="s">
        <v>1237</v>
      </c>
      <c r="P34" s="953" t="s">
        <v>1250</v>
      </c>
      <c r="Q34" s="953" t="s">
        <v>1250</v>
      </c>
      <c r="R34" s="953" t="s">
        <v>1250</v>
      </c>
      <c r="S34" s="953" t="s">
        <v>1263</v>
      </c>
      <c r="T34" s="928"/>
      <c r="U34" s="928"/>
      <c r="V34" s="928"/>
      <c r="W34" s="928"/>
      <c r="X34" s="928"/>
    </row>
    <row r="35">
      <c r="A35" s="928"/>
      <c r="B35" s="1071" t="s">
        <v>1440</v>
      </c>
      <c r="C35" s="1077">
        <f t="shared" ref="C35:H35" si="27">C$20*C$21+C36*C38</f>
        <v>8.9</v>
      </c>
      <c r="D35" s="1077">
        <f t="shared" si="27"/>
        <v>24</v>
      </c>
      <c r="E35" s="1077">
        <f t="shared" si="27"/>
        <v>44.7</v>
      </c>
      <c r="F35" s="1077">
        <f t="shared" si="27"/>
        <v>130.4</v>
      </c>
      <c r="G35" s="1077">
        <f t="shared" si="27"/>
        <v>297.3</v>
      </c>
      <c r="H35" s="1077">
        <f t="shared" si="27"/>
        <v>736.8</v>
      </c>
      <c r="I35" s="1073"/>
      <c r="J35" s="1074">
        <v>3.0</v>
      </c>
      <c r="K35" s="1073"/>
      <c r="L35" s="1073"/>
      <c r="M35" s="928"/>
      <c r="N35" s="928"/>
      <c r="O35" s="928"/>
      <c r="P35" s="928"/>
      <c r="Q35" s="928"/>
      <c r="R35" s="928"/>
      <c r="S35" s="928"/>
      <c r="T35" s="928"/>
      <c r="U35" s="928"/>
      <c r="V35" s="928"/>
      <c r="W35" s="928"/>
      <c r="X35" s="928"/>
    </row>
    <row r="36">
      <c r="A36" s="928"/>
      <c r="B36" s="995" t="s">
        <v>1371</v>
      </c>
      <c r="C36" s="1075">
        <f t="shared" ref="C36:H36" si="28">C$21*C37</f>
        <v>45</v>
      </c>
      <c r="D36" s="1075">
        <f t="shared" si="28"/>
        <v>60</v>
      </c>
      <c r="E36" s="1075">
        <f t="shared" si="28"/>
        <v>75</v>
      </c>
      <c r="F36" s="1075">
        <f t="shared" si="28"/>
        <v>90</v>
      </c>
      <c r="G36" s="1075">
        <f t="shared" si="28"/>
        <v>105</v>
      </c>
      <c r="H36" s="1075">
        <f t="shared" si="28"/>
        <v>120</v>
      </c>
      <c r="I36" s="1073"/>
      <c r="J36" s="1074"/>
      <c r="K36" s="1073"/>
      <c r="L36" s="1073"/>
      <c r="M36" s="928"/>
      <c r="N36" s="986" t="s">
        <v>1441</v>
      </c>
      <c r="O36" s="928"/>
      <c r="P36" s="928"/>
      <c r="Q36" s="928"/>
      <c r="R36" s="928"/>
      <c r="S36" s="928"/>
      <c r="T36" s="928"/>
      <c r="U36" s="928"/>
      <c r="V36" s="928"/>
      <c r="W36" s="928"/>
      <c r="X36" s="928"/>
    </row>
    <row r="37">
      <c r="A37" s="928"/>
      <c r="B37" s="995" t="s">
        <v>1410</v>
      </c>
      <c r="C37" s="1075">
        <f t="shared" ref="C37:H37" si="29">C$23*$J35</f>
        <v>4.5</v>
      </c>
      <c r="D37" s="1075">
        <f t="shared" si="29"/>
        <v>6</v>
      </c>
      <c r="E37" s="1075">
        <f t="shared" si="29"/>
        <v>7.5</v>
      </c>
      <c r="F37" s="1075">
        <f t="shared" si="29"/>
        <v>9</v>
      </c>
      <c r="G37" s="1075">
        <f t="shared" si="29"/>
        <v>10.5</v>
      </c>
      <c r="H37" s="1075">
        <f t="shared" si="29"/>
        <v>12</v>
      </c>
      <c r="I37" s="1073"/>
      <c r="J37" s="1074"/>
      <c r="K37" s="1073"/>
      <c r="L37" s="1073"/>
      <c r="M37" s="928"/>
      <c r="N37" s="1069" t="str">
        <f t="shared" ref="N37:S37" si="30">N18</f>
        <v>Тонкая шкура</v>
      </c>
      <c r="O37" s="1069" t="str">
        <f t="shared" si="30"/>
        <v>Тонкая кожа</v>
      </c>
      <c r="P37" s="1069" t="str">
        <f t="shared" si="30"/>
        <v>Средняя шкура</v>
      </c>
      <c r="Q37" s="1069" t="str">
        <f t="shared" si="30"/>
        <v>Средняя кожа</v>
      </c>
      <c r="R37" s="1069" t="str">
        <f t="shared" si="30"/>
        <v>Толстая шкура</v>
      </c>
      <c r="S37" s="1069" t="str">
        <f t="shared" si="30"/>
        <v>Толстая кожа</v>
      </c>
      <c r="T37" s="928"/>
      <c r="U37" s="928"/>
      <c r="V37" s="928"/>
      <c r="W37" s="928"/>
      <c r="X37" s="928"/>
    </row>
    <row r="38">
      <c r="A38" s="928"/>
      <c r="B38" s="995" t="s">
        <v>1412</v>
      </c>
      <c r="C38" s="1075">
        <f t="shared" ref="C38:H38" si="31">(0.02*C39)*C39</f>
        <v>0.18</v>
      </c>
      <c r="D38" s="1075">
        <f t="shared" si="31"/>
        <v>0.32</v>
      </c>
      <c r="E38" s="1075">
        <f t="shared" si="31"/>
        <v>0.5</v>
      </c>
      <c r="F38" s="1075">
        <f t="shared" si="31"/>
        <v>0.72</v>
      </c>
      <c r="G38" s="1075">
        <f t="shared" si="31"/>
        <v>0.98</v>
      </c>
      <c r="H38" s="1075">
        <f t="shared" si="31"/>
        <v>1.28</v>
      </c>
      <c r="I38" s="1073"/>
      <c r="J38" s="1074"/>
      <c r="K38" s="1073"/>
      <c r="L38" s="1073"/>
      <c r="M38" s="1057" t="s">
        <v>1442</v>
      </c>
      <c r="N38" s="997">
        <v>0.0</v>
      </c>
      <c r="O38" s="997">
        <v>1.0</v>
      </c>
      <c r="P38" s="997">
        <v>1.0</v>
      </c>
      <c r="Q38" s="997">
        <v>2.0</v>
      </c>
      <c r="R38" s="997">
        <v>2.0</v>
      </c>
      <c r="S38" s="997">
        <v>3.0</v>
      </c>
      <c r="T38" s="928"/>
      <c r="U38" s="928"/>
      <c r="V38" s="928"/>
      <c r="W38" s="928"/>
      <c r="X38" s="928"/>
    </row>
    <row r="39">
      <c r="A39" s="928"/>
      <c r="B39" s="1004" t="s">
        <v>1437</v>
      </c>
      <c r="C39" s="1075">
        <v>3.0</v>
      </c>
      <c r="D39" s="1075">
        <v>4.0</v>
      </c>
      <c r="E39" s="1075">
        <v>5.0</v>
      </c>
      <c r="F39" s="1075">
        <v>6.0</v>
      </c>
      <c r="G39" s="1075">
        <v>7.0</v>
      </c>
      <c r="H39" s="1075">
        <v>8.0</v>
      </c>
      <c r="I39" s="1073"/>
      <c r="J39" s="1074"/>
      <c r="K39" s="1073"/>
      <c r="L39" s="1073"/>
      <c r="M39" s="1057" t="s">
        <v>1443</v>
      </c>
      <c r="N39" s="997">
        <v>1.0</v>
      </c>
      <c r="O39" s="997">
        <v>1.0</v>
      </c>
      <c r="P39" s="997">
        <v>2.0</v>
      </c>
      <c r="Q39" s="997">
        <v>2.0</v>
      </c>
      <c r="R39" s="997">
        <v>3.0</v>
      </c>
      <c r="S39" s="997">
        <v>4.0</v>
      </c>
      <c r="T39" s="928"/>
      <c r="U39" s="928"/>
      <c r="V39" s="928"/>
      <c r="W39" s="928"/>
      <c r="X39" s="928"/>
    </row>
    <row r="40">
      <c r="A40" s="928"/>
      <c r="B40" s="1004" t="s">
        <v>1426</v>
      </c>
      <c r="C40" s="953">
        <v>14.0</v>
      </c>
      <c r="D40" s="953">
        <v>16.0</v>
      </c>
      <c r="E40" s="953">
        <v>18.0</v>
      </c>
      <c r="F40" s="953">
        <v>20.0</v>
      </c>
      <c r="G40" s="953">
        <v>22.0</v>
      </c>
      <c r="H40" s="953">
        <v>24.0</v>
      </c>
      <c r="I40" s="1073"/>
      <c r="J40" s="1074"/>
      <c r="K40" s="1073"/>
      <c r="L40" s="1073"/>
      <c r="M40" s="928"/>
      <c r="N40" s="928"/>
      <c r="O40" s="928"/>
      <c r="P40" s="928"/>
      <c r="Q40" s="928"/>
      <c r="R40" s="928"/>
      <c r="S40" s="928"/>
      <c r="T40" s="928"/>
      <c r="U40" s="928"/>
      <c r="V40" s="928"/>
      <c r="W40" s="928"/>
      <c r="X40" s="928"/>
    </row>
    <row r="41">
      <c r="A41" s="928"/>
      <c r="B41" s="1004" t="s">
        <v>1438</v>
      </c>
      <c r="C41" s="953" t="s">
        <v>1237</v>
      </c>
      <c r="D41" s="953" t="s">
        <v>1250</v>
      </c>
      <c r="E41" s="953" t="s">
        <v>1250</v>
      </c>
      <c r="F41" s="953" t="s">
        <v>1250</v>
      </c>
      <c r="G41" s="953" t="s">
        <v>1263</v>
      </c>
      <c r="H41" s="953" t="s">
        <v>1263</v>
      </c>
      <c r="I41" s="1073"/>
      <c r="J41" s="1074"/>
      <c r="K41" s="1073"/>
      <c r="L41" s="1073"/>
      <c r="M41" s="928"/>
      <c r="N41" s="928"/>
      <c r="O41" s="928"/>
      <c r="P41" s="928"/>
      <c r="Q41" s="928"/>
      <c r="R41" s="928"/>
      <c r="S41" s="928"/>
      <c r="T41" s="928"/>
      <c r="U41" s="928"/>
      <c r="V41" s="928"/>
      <c r="W41" s="928"/>
      <c r="X41" s="928"/>
    </row>
    <row r="42">
      <c r="A42" s="928"/>
      <c r="B42" s="1071" t="s">
        <v>1444</v>
      </c>
      <c r="C42" s="1077">
        <f t="shared" ref="C42:H42" si="32">C$20*C$21+C43*C45</f>
        <v>20</v>
      </c>
      <c r="D42" s="1077">
        <f t="shared" si="32"/>
        <v>44.8</v>
      </c>
      <c r="E42" s="1077">
        <f t="shared" si="32"/>
        <v>79.2</v>
      </c>
      <c r="F42" s="1077">
        <f t="shared" si="32"/>
        <v>183.2</v>
      </c>
      <c r="G42" s="1077">
        <f t="shared" si="32"/>
        <v>373.6</v>
      </c>
      <c r="H42" s="1077">
        <f t="shared" si="32"/>
        <v>842.4</v>
      </c>
      <c r="I42" s="1073"/>
      <c r="J42" s="1074">
        <v>4.0</v>
      </c>
      <c r="K42" s="1073"/>
      <c r="L42" s="1073"/>
      <c r="M42" s="928"/>
      <c r="N42" s="928"/>
      <c r="O42" s="928"/>
      <c r="P42" s="928"/>
      <c r="Q42" s="928"/>
      <c r="R42" s="928"/>
      <c r="S42" s="928"/>
      <c r="T42" s="928"/>
      <c r="U42" s="928"/>
      <c r="V42" s="928"/>
      <c r="W42" s="928"/>
      <c r="X42" s="928"/>
    </row>
    <row r="43">
      <c r="A43" s="928"/>
      <c r="B43" s="995" t="s">
        <v>1371</v>
      </c>
      <c r="C43" s="1075">
        <f t="shared" ref="C43:H43" si="33">C$21*C44</f>
        <v>60</v>
      </c>
      <c r="D43" s="1075">
        <f t="shared" si="33"/>
        <v>80</v>
      </c>
      <c r="E43" s="1075">
        <f t="shared" si="33"/>
        <v>100</v>
      </c>
      <c r="F43" s="1075">
        <f t="shared" si="33"/>
        <v>120</v>
      </c>
      <c r="G43" s="1075">
        <f t="shared" si="33"/>
        <v>140</v>
      </c>
      <c r="H43" s="1075">
        <f t="shared" si="33"/>
        <v>160</v>
      </c>
      <c r="I43" s="1073"/>
      <c r="J43" s="1074"/>
      <c r="K43" s="1073"/>
      <c r="L43" s="1073"/>
      <c r="M43" s="928"/>
      <c r="N43" s="928"/>
      <c r="O43" s="928"/>
      <c r="P43" s="928"/>
      <c r="Q43" s="928"/>
      <c r="R43" s="928"/>
      <c r="S43" s="928"/>
      <c r="T43" s="928"/>
      <c r="U43" s="928"/>
      <c r="V43" s="928"/>
      <c r="W43" s="928"/>
      <c r="X43" s="928"/>
    </row>
    <row r="44">
      <c r="A44" s="928"/>
      <c r="B44" s="995" t="s">
        <v>1410</v>
      </c>
      <c r="C44" s="1075">
        <f t="shared" ref="C44:H44" si="34">C$23*$J42</f>
        <v>6</v>
      </c>
      <c r="D44" s="1075">
        <f t="shared" si="34"/>
        <v>8</v>
      </c>
      <c r="E44" s="1075">
        <f t="shared" si="34"/>
        <v>10</v>
      </c>
      <c r="F44" s="1075">
        <f t="shared" si="34"/>
        <v>12</v>
      </c>
      <c r="G44" s="1075">
        <f t="shared" si="34"/>
        <v>14</v>
      </c>
      <c r="H44" s="1075">
        <f t="shared" si="34"/>
        <v>16</v>
      </c>
      <c r="I44" s="1073"/>
      <c r="J44" s="1074"/>
      <c r="K44" s="1073"/>
      <c r="L44" s="1073"/>
      <c r="M44" s="928"/>
      <c r="N44" s="928"/>
      <c r="O44" s="928"/>
      <c r="P44" s="928"/>
      <c r="Q44" s="928"/>
      <c r="R44" s="928"/>
      <c r="S44" s="928"/>
      <c r="T44" s="928"/>
      <c r="U44" s="928"/>
      <c r="V44" s="928"/>
      <c r="W44" s="928"/>
      <c r="X44" s="928"/>
    </row>
    <row r="45">
      <c r="A45" s="928"/>
      <c r="B45" s="995" t="s">
        <v>1412</v>
      </c>
      <c r="C45" s="1075">
        <f t="shared" ref="C45:H45" si="35">(0.02*C46)*C46</f>
        <v>0.32</v>
      </c>
      <c r="D45" s="1075">
        <f t="shared" si="35"/>
        <v>0.5</v>
      </c>
      <c r="E45" s="1075">
        <f t="shared" si="35"/>
        <v>0.72</v>
      </c>
      <c r="F45" s="1075">
        <f t="shared" si="35"/>
        <v>0.98</v>
      </c>
      <c r="G45" s="1075">
        <f t="shared" si="35"/>
        <v>1.28</v>
      </c>
      <c r="H45" s="1075">
        <f t="shared" si="35"/>
        <v>1.62</v>
      </c>
      <c r="I45" s="1073"/>
      <c r="J45" s="1074"/>
      <c r="K45" s="1073"/>
      <c r="L45" s="1073"/>
      <c r="M45" s="928"/>
      <c r="N45" s="928"/>
      <c r="O45" s="928"/>
      <c r="P45" s="928"/>
      <c r="Q45" s="928"/>
      <c r="R45" s="928"/>
      <c r="S45" s="928"/>
      <c r="T45" s="928"/>
      <c r="U45" s="928"/>
      <c r="V45" s="928"/>
      <c r="W45" s="928"/>
      <c r="X45" s="928"/>
    </row>
    <row r="46">
      <c r="A46" s="928"/>
      <c r="B46" s="1004" t="s">
        <v>1437</v>
      </c>
      <c r="C46" s="1075">
        <v>4.0</v>
      </c>
      <c r="D46" s="1075">
        <v>5.0</v>
      </c>
      <c r="E46" s="1075">
        <v>6.0</v>
      </c>
      <c r="F46" s="1075">
        <v>7.0</v>
      </c>
      <c r="G46" s="1075">
        <v>8.0</v>
      </c>
      <c r="H46" s="1075">
        <v>9.0</v>
      </c>
      <c r="I46" s="1073"/>
      <c r="J46" s="1074"/>
      <c r="K46" s="1073"/>
      <c r="L46" s="1073"/>
      <c r="M46" s="928"/>
      <c r="N46" s="928"/>
      <c r="O46" s="928"/>
      <c r="P46" s="928"/>
      <c r="Q46" s="928"/>
      <c r="R46" s="928"/>
      <c r="S46" s="928"/>
      <c r="T46" s="928"/>
      <c r="U46" s="928"/>
      <c r="V46" s="928"/>
      <c r="W46" s="928"/>
      <c r="X46" s="928"/>
    </row>
    <row r="47">
      <c r="A47" s="928"/>
      <c r="B47" s="1004" t="s">
        <v>1426</v>
      </c>
      <c r="C47" s="953">
        <v>16.0</v>
      </c>
      <c r="D47" s="953">
        <v>18.0</v>
      </c>
      <c r="E47" s="953">
        <v>20.0</v>
      </c>
      <c r="F47" s="953">
        <v>22.0</v>
      </c>
      <c r="G47" s="953">
        <v>24.0</v>
      </c>
      <c r="H47" s="953">
        <v>26.0</v>
      </c>
      <c r="I47" s="1073"/>
      <c r="J47" s="1074"/>
      <c r="K47" s="1073"/>
      <c r="L47" s="1073"/>
      <c r="M47" s="928"/>
      <c r="N47" s="928"/>
      <c r="O47" s="928"/>
      <c r="P47" s="928"/>
      <c r="Q47" s="928"/>
      <c r="R47" s="928"/>
      <c r="S47" s="928"/>
      <c r="T47" s="928"/>
      <c r="U47" s="928"/>
      <c r="V47" s="928"/>
      <c r="W47" s="928"/>
      <c r="X47" s="928"/>
    </row>
    <row r="48">
      <c r="A48" s="928"/>
      <c r="B48" s="1004" t="s">
        <v>1438</v>
      </c>
      <c r="C48" s="953" t="s">
        <v>1250</v>
      </c>
      <c r="D48" s="953" t="s">
        <v>1250</v>
      </c>
      <c r="E48" s="953" t="s">
        <v>1250</v>
      </c>
      <c r="F48" s="953" t="s">
        <v>1263</v>
      </c>
      <c r="G48" s="953" t="s">
        <v>1263</v>
      </c>
      <c r="H48" s="953" t="s">
        <v>1263</v>
      </c>
      <c r="I48" s="928"/>
      <c r="J48" s="928"/>
      <c r="K48" s="928"/>
      <c r="L48" s="928"/>
      <c r="M48" s="928"/>
      <c r="N48" s="928"/>
      <c r="O48" s="928"/>
      <c r="P48" s="928"/>
      <c r="Q48" s="928"/>
      <c r="R48" s="928"/>
      <c r="S48" s="928"/>
      <c r="T48" s="928"/>
      <c r="U48" s="928"/>
      <c r="V48" s="928"/>
      <c r="W48" s="928"/>
      <c r="X48" s="928"/>
    </row>
    <row r="49">
      <c r="A49" s="928"/>
      <c r="B49" s="928"/>
      <c r="C49" s="928"/>
      <c r="D49" s="928"/>
      <c r="E49" s="928"/>
      <c r="F49" s="928"/>
      <c r="G49" s="928"/>
      <c r="H49" s="928"/>
      <c r="I49" s="928"/>
      <c r="J49" s="928"/>
      <c r="K49" s="928"/>
      <c r="L49" s="928"/>
      <c r="M49" s="928"/>
      <c r="N49" s="928"/>
      <c r="O49" s="928"/>
      <c r="P49" s="928"/>
      <c r="Q49" s="928"/>
      <c r="R49" s="928"/>
      <c r="S49" s="928"/>
      <c r="T49" s="928"/>
      <c r="U49" s="928"/>
      <c r="V49" s="928"/>
      <c r="W49" s="928"/>
      <c r="X49" s="928"/>
    </row>
    <row r="50">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row>
    <row r="51">
      <c r="A51" s="928"/>
      <c r="B51" s="406" t="s">
        <v>1445</v>
      </c>
      <c r="C51" s="928"/>
      <c r="D51" s="928"/>
      <c r="E51" s="928"/>
      <c r="F51" s="928"/>
      <c r="G51" s="928"/>
      <c r="H51" s="928"/>
      <c r="I51" s="928"/>
      <c r="J51" s="928"/>
      <c r="K51" s="928"/>
      <c r="L51" s="928"/>
      <c r="M51" s="928"/>
      <c r="N51" s="928"/>
      <c r="O51" s="928"/>
      <c r="P51" s="928"/>
      <c r="Q51" s="928"/>
      <c r="R51" s="928"/>
      <c r="S51" s="928"/>
      <c r="T51" s="928"/>
      <c r="U51" s="928"/>
      <c r="V51" s="928"/>
      <c r="W51" s="928"/>
      <c r="X51" s="928"/>
    </row>
    <row r="52">
      <c r="A52" s="928"/>
      <c r="B52" s="928"/>
      <c r="C52" s="928"/>
      <c r="D52" s="928"/>
      <c r="E52" s="928"/>
      <c r="F52" s="928"/>
      <c r="G52" s="928"/>
      <c r="H52" s="928"/>
      <c r="I52" s="928"/>
      <c r="J52" s="928"/>
      <c r="K52" s="928"/>
      <c r="L52" s="928"/>
      <c r="M52" s="928"/>
      <c r="N52" s="928"/>
      <c r="O52" s="928"/>
      <c r="P52" s="928"/>
      <c r="Q52" s="928"/>
      <c r="R52" s="928"/>
      <c r="S52" s="928"/>
      <c r="T52" s="928"/>
      <c r="U52" s="928"/>
      <c r="V52" s="928"/>
      <c r="W52" s="928"/>
      <c r="X52" s="928"/>
    </row>
    <row r="53">
      <c r="A53" s="928"/>
      <c r="B53" s="928"/>
      <c r="C53" s="928"/>
      <c r="D53" s="928"/>
      <c r="E53" s="928"/>
      <c r="F53" s="928"/>
      <c r="G53" s="928"/>
      <c r="H53" s="928"/>
      <c r="I53" s="928"/>
      <c r="J53" s="928"/>
      <c r="K53" s="928"/>
      <c r="L53" s="928"/>
      <c r="M53" s="928"/>
      <c r="N53" s="928"/>
      <c r="O53" s="928"/>
      <c r="P53" s="928"/>
      <c r="Q53" s="928"/>
      <c r="R53" s="928"/>
      <c r="S53" s="928"/>
      <c r="T53" s="928"/>
      <c r="U53" s="928"/>
      <c r="V53" s="928"/>
      <c r="W53" s="928"/>
      <c r="X53" s="928"/>
    </row>
    <row r="54">
      <c r="A54" s="928"/>
      <c r="B54" s="1078" t="s">
        <v>1446</v>
      </c>
      <c r="C54" s="228"/>
      <c r="D54" s="228"/>
      <c r="E54" s="228"/>
      <c r="F54" s="228"/>
      <c r="G54" s="228"/>
      <c r="H54" s="665"/>
      <c r="I54" s="1079" t="s">
        <v>79</v>
      </c>
      <c r="J54" s="427" t="s">
        <v>176</v>
      </c>
      <c r="K54" s="427" t="s">
        <v>1447</v>
      </c>
      <c r="L54" s="427" t="s">
        <v>1402</v>
      </c>
      <c r="M54" s="427" t="s">
        <v>1448</v>
      </c>
      <c r="N54" s="427" t="s">
        <v>1449</v>
      </c>
      <c r="O54" s="427" t="s">
        <v>1450</v>
      </c>
      <c r="P54" s="928"/>
      <c r="Q54" s="928"/>
      <c r="R54" s="928"/>
      <c r="S54" s="928"/>
      <c r="T54" s="928"/>
      <c r="U54" s="928"/>
      <c r="V54" s="928"/>
      <c r="W54" s="928"/>
      <c r="X54" s="928"/>
    </row>
    <row r="55">
      <c r="A55" s="928"/>
      <c r="B55" s="1080" t="s">
        <v>1428</v>
      </c>
      <c r="C55" s="1081"/>
      <c r="D55" s="1081"/>
      <c r="E55" s="1081"/>
      <c r="F55" s="1081"/>
      <c r="G55" s="1081"/>
      <c r="H55" s="1081"/>
      <c r="I55" s="1081"/>
      <c r="J55" s="1081"/>
      <c r="K55" s="1081"/>
      <c r="L55" s="1081"/>
      <c r="M55" s="1081"/>
      <c r="N55" s="1081"/>
      <c r="O55" s="1082"/>
      <c r="P55" s="928"/>
      <c r="Q55" s="928"/>
      <c r="R55" s="928"/>
      <c r="S55" s="928"/>
      <c r="T55" s="928"/>
      <c r="U55" s="928"/>
      <c r="V55" s="928"/>
      <c r="W55" s="928"/>
      <c r="X55" s="928"/>
    </row>
    <row r="56">
      <c r="A56" s="928"/>
      <c r="B56" s="1083" t="s">
        <v>1451</v>
      </c>
      <c r="C56" s="1084" t="s">
        <v>1431</v>
      </c>
      <c r="D56" s="1084" t="s">
        <v>1418</v>
      </c>
      <c r="E56" s="1084" t="s">
        <v>1432</v>
      </c>
      <c r="F56" s="1084" t="s">
        <v>1419</v>
      </c>
      <c r="G56" s="1084" t="s">
        <v>1433</v>
      </c>
      <c r="H56" s="1085" t="s">
        <v>1420</v>
      </c>
      <c r="I56" s="1086"/>
      <c r="J56" s="1086"/>
      <c r="K56" s="1086"/>
      <c r="L56" s="1086"/>
      <c r="M56" s="1086"/>
      <c r="N56" s="1086"/>
      <c r="O56" s="1086"/>
      <c r="P56" s="928"/>
      <c r="Q56" s="928"/>
      <c r="R56" s="928"/>
      <c r="S56" s="928"/>
      <c r="T56" s="928"/>
      <c r="U56" s="928"/>
      <c r="V56" s="928"/>
      <c r="W56" s="928"/>
      <c r="X56" s="928"/>
    </row>
    <row r="57">
      <c r="A57" s="928"/>
      <c r="B57" s="1087" t="s">
        <v>1452</v>
      </c>
      <c r="C57" s="1088" t="s">
        <v>1453</v>
      </c>
      <c r="D57" s="1088" t="s">
        <v>1454</v>
      </c>
      <c r="E57" s="1088" t="s">
        <v>1455</v>
      </c>
      <c r="F57" s="1088" t="s">
        <v>1456</v>
      </c>
      <c r="G57" s="1088" t="s">
        <v>1457</v>
      </c>
      <c r="H57" s="1089" t="s">
        <v>1458</v>
      </c>
      <c r="I57" s="1090" t="s">
        <v>1459</v>
      </c>
      <c r="J57" s="1091" t="s">
        <v>1460</v>
      </c>
      <c r="K57" s="1092">
        <v>11.0</v>
      </c>
      <c r="L57" s="1093" t="s">
        <v>1461</v>
      </c>
      <c r="M57" s="1093" t="s">
        <v>1462</v>
      </c>
      <c r="N57" s="1093" t="s">
        <v>30</v>
      </c>
      <c r="O57" s="1093" t="s">
        <v>30</v>
      </c>
      <c r="P57" s="928"/>
      <c r="Q57" s="928"/>
      <c r="R57" s="928"/>
      <c r="S57" s="928"/>
      <c r="T57" s="928"/>
      <c r="U57" s="928"/>
      <c r="V57" s="928"/>
      <c r="W57" s="928"/>
      <c r="X57" s="928"/>
    </row>
    <row r="58">
      <c r="A58" s="928"/>
      <c r="B58" s="1094" t="s">
        <v>1463</v>
      </c>
      <c r="C58" s="1095">
        <f t="shared" ref="C58:H58" si="36">C19</f>
        <v>1.1</v>
      </c>
      <c r="D58" s="1095">
        <f t="shared" si="36"/>
        <v>6.4</v>
      </c>
      <c r="E58" s="1095">
        <f t="shared" si="36"/>
        <v>11.7</v>
      </c>
      <c r="F58" s="1095">
        <f t="shared" si="36"/>
        <v>75.2</v>
      </c>
      <c r="G58" s="1095">
        <f t="shared" si="36"/>
        <v>211.9</v>
      </c>
      <c r="H58" s="1095">
        <f t="shared" si="36"/>
        <v>612</v>
      </c>
      <c r="I58" s="428"/>
      <c r="J58" s="428"/>
      <c r="K58" s="428"/>
      <c r="L58" s="428"/>
      <c r="M58" s="428"/>
      <c r="N58" s="428"/>
      <c r="O58" s="428"/>
      <c r="P58" s="928"/>
      <c r="Q58" s="928"/>
      <c r="R58" s="928"/>
      <c r="S58" s="928"/>
      <c r="T58" s="928"/>
      <c r="U58" s="928"/>
      <c r="V58" s="928"/>
      <c r="W58" s="928"/>
      <c r="X58" s="928"/>
    </row>
    <row r="59">
      <c r="A59" s="928"/>
      <c r="B59" s="1087" t="s">
        <v>1211</v>
      </c>
      <c r="C59" s="1088" t="s">
        <v>1453</v>
      </c>
      <c r="D59" s="1088" t="s">
        <v>1454</v>
      </c>
      <c r="E59" s="1088" t="s">
        <v>1455</v>
      </c>
      <c r="F59" s="1088" t="s">
        <v>1456</v>
      </c>
      <c r="G59" s="1088" t="s">
        <v>1457</v>
      </c>
      <c r="H59" s="1089" t="s">
        <v>1458</v>
      </c>
      <c r="I59" s="1090" t="s">
        <v>1464</v>
      </c>
      <c r="J59" s="1091" t="s">
        <v>1465</v>
      </c>
      <c r="K59" s="1092">
        <v>12.0</v>
      </c>
      <c r="L59" s="1093" t="s">
        <v>1466</v>
      </c>
      <c r="M59" s="1093" t="s">
        <v>1467</v>
      </c>
      <c r="N59" s="1093" t="s">
        <v>30</v>
      </c>
      <c r="O59" s="1093" t="s">
        <v>30</v>
      </c>
      <c r="P59" s="928"/>
      <c r="Q59" s="928"/>
      <c r="R59" s="928"/>
      <c r="S59" s="928"/>
      <c r="T59" s="928"/>
      <c r="U59" s="928"/>
      <c r="V59" s="928"/>
      <c r="W59" s="928"/>
      <c r="X59" s="928"/>
    </row>
    <row r="60">
      <c r="A60" s="928"/>
      <c r="B60" s="1094" t="s">
        <v>1463</v>
      </c>
      <c r="C60" s="1096">
        <f t="shared" ref="C60:H60" si="37">C28</f>
        <v>3.2</v>
      </c>
      <c r="D60" s="1096">
        <f t="shared" si="37"/>
        <v>12</v>
      </c>
      <c r="E60" s="1096">
        <f t="shared" si="37"/>
        <v>23.2</v>
      </c>
      <c r="F60" s="1096">
        <f t="shared" si="37"/>
        <v>95.6</v>
      </c>
      <c r="G60" s="1096">
        <f t="shared" si="37"/>
        <v>244.8</v>
      </c>
      <c r="H60" s="1096">
        <f t="shared" si="37"/>
        <v>661.6</v>
      </c>
      <c r="I60" s="428"/>
      <c r="J60" s="428"/>
      <c r="K60" s="428"/>
      <c r="L60" s="428"/>
      <c r="M60" s="428"/>
      <c r="N60" s="428"/>
      <c r="O60" s="428"/>
      <c r="P60" s="928"/>
      <c r="Q60" s="928"/>
      <c r="R60" s="928"/>
      <c r="S60" s="928"/>
      <c r="T60" s="928"/>
      <c r="U60" s="928"/>
      <c r="V60" s="928"/>
      <c r="W60" s="928"/>
      <c r="X60" s="928"/>
    </row>
    <row r="61">
      <c r="A61" s="928"/>
      <c r="B61" s="1087" t="s">
        <v>1212</v>
      </c>
      <c r="C61" s="1088" t="s">
        <v>1453</v>
      </c>
      <c r="D61" s="1088" t="s">
        <v>1454</v>
      </c>
      <c r="E61" s="1088" t="s">
        <v>1455</v>
      </c>
      <c r="F61" s="1088" t="s">
        <v>1456</v>
      </c>
      <c r="G61" s="1088" t="s">
        <v>1457</v>
      </c>
      <c r="H61" s="1089" t="s">
        <v>1458</v>
      </c>
      <c r="I61" s="1090" t="s">
        <v>1468</v>
      </c>
      <c r="J61" s="1091" t="s">
        <v>1465</v>
      </c>
      <c r="K61" s="1092">
        <v>13.0</v>
      </c>
      <c r="L61" s="1093" t="s">
        <v>1469</v>
      </c>
      <c r="M61" s="1093" t="s">
        <v>1470</v>
      </c>
      <c r="N61" s="1093" t="s">
        <v>30</v>
      </c>
      <c r="O61" s="1093" t="s">
        <v>30</v>
      </c>
      <c r="P61" s="928"/>
      <c r="Q61" s="928"/>
      <c r="R61" s="928"/>
      <c r="S61" s="928"/>
      <c r="T61" s="928"/>
      <c r="U61" s="928"/>
      <c r="V61" s="928"/>
      <c r="W61" s="928"/>
      <c r="X61" s="928"/>
    </row>
    <row r="62">
      <c r="A62" s="928"/>
      <c r="B62" s="1094" t="s">
        <v>1463</v>
      </c>
      <c r="C62" s="1096">
        <f t="shared" ref="C62:H62" si="38">C35</f>
        <v>8.9</v>
      </c>
      <c r="D62" s="1096">
        <f t="shared" si="38"/>
        <v>24</v>
      </c>
      <c r="E62" s="1096">
        <f t="shared" si="38"/>
        <v>44.7</v>
      </c>
      <c r="F62" s="1096">
        <f t="shared" si="38"/>
        <v>130.4</v>
      </c>
      <c r="G62" s="1096">
        <f t="shared" si="38"/>
        <v>297.3</v>
      </c>
      <c r="H62" s="1096">
        <f t="shared" si="38"/>
        <v>736.8</v>
      </c>
      <c r="I62" s="428"/>
      <c r="J62" s="428"/>
      <c r="K62" s="428"/>
      <c r="L62" s="428"/>
      <c r="M62" s="428"/>
      <c r="N62" s="428"/>
      <c r="O62" s="428"/>
      <c r="P62" s="928"/>
      <c r="Q62" s="928"/>
      <c r="R62" s="928"/>
      <c r="S62" s="928"/>
      <c r="T62" s="928"/>
      <c r="U62" s="928"/>
      <c r="V62" s="928"/>
      <c r="W62" s="928"/>
      <c r="X62" s="928"/>
    </row>
    <row r="63">
      <c r="A63" s="928"/>
      <c r="B63" s="1087" t="s">
        <v>1213</v>
      </c>
      <c r="C63" s="1088" t="s">
        <v>1454</v>
      </c>
      <c r="D63" s="1088" t="s">
        <v>1455</v>
      </c>
      <c r="E63" s="1088" t="s">
        <v>1471</v>
      </c>
      <c r="F63" s="1088" t="s">
        <v>1472</v>
      </c>
      <c r="G63" s="1088" t="s">
        <v>1473</v>
      </c>
      <c r="H63" s="1089" t="s">
        <v>1474</v>
      </c>
      <c r="I63" s="1090" t="s">
        <v>1475</v>
      </c>
      <c r="J63" s="1091" t="s">
        <v>1465</v>
      </c>
      <c r="K63" s="1092">
        <v>14.0</v>
      </c>
      <c r="L63" s="1093" t="s">
        <v>1476</v>
      </c>
      <c r="M63" s="1093" t="s">
        <v>1477</v>
      </c>
      <c r="N63" s="1093" t="s">
        <v>30</v>
      </c>
      <c r="O63" s="1093" t="s">
        <v>30</v>
      </c>
      <c r="P63" s="928"/>
      <c r="Q63" s="928"/>
      <c r="R63" s="928"/>
      <c r="S63" s="928"/>
      <c r="T63" s="928"/>
      <c r="U63" s="928"/>
      <c r="V63" s="928"/>
      <c r="W63" s="928"/>
      <c r="X63" s="928"/>
    </row>
    <row r="64">
      <c r="A64" s="928"/>
      <c r="B64" s="1094" t="s">
        <v>1463</v>
      </c>
      <c r="C64" s="1096">
        <f t="shared" ref="C64:H64" si="39">C42</f>
        <v>20</v>
      </c>
      <c r="D64" s="1096">
        <f t="shared" si="39"/>
        <v>44.8</v>
      </c>
      <c r="E64" s="1096">
        <f t="shared" si="39"/>
        <v>79.2</v>
      </c>
      <c r="F64" s="1096">
        <f t="shared" si="39"/>
        <v>183.2</v>
      </c>
      <c r="G64" s="1096">
        <f t="shared" si="39"/>
        <v>373.6</v>
      </c>
      <c r="H64" s="1096">
        <f t="shared" si="39"/>
        <v>842.4</v>
      </c>
      <c r="I64" s="428"/>
      <c r="J64" s="428"/>
      <c r="K64" s="428"/>
      <c r="L64" s="428"/>
      <c r="M64" s="428"/>
      <c r="N64" s="428"/>
      <c r="O64" s="428"/>
      <c r="P64" s="928"/>
      <c r="Q64" s="928"/>
      <c r="R64" s="928"/>
      <c r="S64" s="928"/>
      <c r="T64" s="928"/>
      <c r="U64" s="928"/>
      <c r="V64" s="928"/>
      <c r="W64" s="928"/>
      <c r="X64" s="928"/>
    </row>
    <row r="65">
      <c r="A65" s="928"/>
      <c r="B65" s="928"/>
      <c r="C65" s="928"/>
      <c r="D65" s="928"/>
      <c r="E65" s="928"/>
      <c r="F65" s="928"/>
      <c r="G65" s="928"/>
      <c r="H65" s="928"/>
      <c r="I65" s="928"/>
      <c r="J65" s="928"/>
      <c r="K65" s="928"/>
      <c r="L65" s="928"/>
      <c r="M65" s="928"/>
      <c r="N65" s="928"/>
      <c r="O65" s="928"/>
      <c r="P65" s="928"/>
      <c r="Q65" s="928"/>
      <c r="R65" s="928"/>
      <c r="S65" s="928"/>
      <c r="T65" s="928"/>
      <c r="U65" s="928"/>
      <c r="V65" s="928"/>
      <c r="W65" s="928"/>
      <c r="X65" s="928"/>
    </row>
    <row r="66">
      <c r="A66" s="928"/>
      <c r="B66" s="928"/>
      <c r="C66" s="928"/>
      <c r="D66" s="928"/>
      <c r="E66" s="928"/>
      <c r="F66" s="928"/>
      <c r="G66" s="928"/>
      <c r="H66" s="928"/>
      <c r="I66" s="928"/>
      <c r="J66" s="928"/>
      <c r="K66" s="928"/>
      <c r="L66" s="928"/>
      <c r="M66" s="928"/>
      <c r="N66" s="928"/>
      <c r="O66" s="928"/>
      <c r="P66" s="928"/>
      <c r="Q66" s="928"/>
      <c r="R66" s="928"/>
      <c r="S66" s="928"/>
      <c r="T66" s="928"/>
      <c r="U66" s="928"/>
      <c r="V66" s="928"/>
      <c r="W66" s="928"/>
      <c r="X66" s="928"/>
    </row>
    <row r="67">
      <c r="A67" s="928"/>
      <c r="B67" s="928"/>
      <c r="C67" s="928"/>
      <c r="D67" s="928"/>
      <c r="E67" s="928"/>
      <c r="F67" s="928"/>
      <c r="G67" s="928"/>
      <c r="H67" s="928"/>
      <c r="I67" s="928"/>
      <c r="J67" s="928"/>
      <c r="K67" s="928"/>
      <c r="L67" s="928"/>
      <c r="M67" s="928"/>
      <c r="N67" s="928"/>
      <c r="O67" s="928"/>
      <c r="P67" s="928"/>
      <c r="Q67" s="928"/>
      <c r="R67" s="928"/>
      <c r="S67" s="928"/>
      <c r="T67" s="928"/>
      <c r="U67" s="928"/>
      <c r="V67" s="928"/>
      <c r="W67" s="928"/>
      <c r="X67" s="928"/>
    </row>
    <row r="68">
      <c r="A68" s="928"/>
      <c r="B68" s="928"/>
      <c r="C68" s="928"/>
      <c r="D68" s="928"/>
      <c r="E68" s="928"/>
      <c r="F68" s="928"/>
      <c r="G68" s="928"/>
      <c r="H68" s="928"/>
      <c r="I68" s="928"/>
      <c r="J68" s="928"/>
      <c r="K68" s="928"/>
      <c r="L68" s="928"/>
      <c r="M68" s="928"/>
      <c r="N68" s="928"/>
      <c r="O68" s="928"/>
      <c r="P68" s="928"/>
      <c r="Q68" s="928"/>
      <c r="R68" s="928"/>
      <c r="S68" s="928"/>
      <c r="T68" s="928"/>
      <c r="U68" s="928"/>
      <c r="V68" s="928"/>
      <c r="W68" s="928"/>
      <c r="X68" s="928"/>
    </row>
    <row r="69">
      <c r="A69" s="928"/>
      <c r="B69" s="928"/>
      <c r="C69" s="928"/>
      <c r="D69" s="928"/>
      <c r="E69" s="928"/>
      <c r="F69" s="928"/>
      <c r="G69" s="928"/>
      <c r="H69" s="928"/>
      <c r="I69" s="928"/>
      <c r="J69" s="928"/>
      <c r="K69" s="928"/>
      <c r="L69" s="928"/>
      <c r="M69" s="928"/>
      <c r="N69" s="928"/>
      <c r="O69" s="928"/>
      <c r="P69" s="928"/>
      <c r="Q69" s="928"/>
      <c r="R69" s="928"/>
      <c r="S69" s="928"/>
      <c r="T69" s="928"/>
      <c r="U69" s="928"/>
      <c r="V69" s="928"/>
      <c r="W69" s="928"/>
      <c r="X69" s="928"/>
    </row>
    <row r="70">
      <c r="A70" s="928"/>
      <c r="B70" s="928"/>
      <c r="C70" s="928"/>
      <c r="D70" s="928"/>
      <c r="E70" s="928"/>
      <c r="F70" s="928"/>
      <c r="G70" s="928"/>
      <c r="H70" s="928"/>
      <c r="I70" s="928"/>
      <c r="J70" s="928"/>
      <c r="K70" s="928"/>
      <c r="L70" s="928"/>
      <c r="M70" s="928"/>
      <c r="N70" s="928"/>
      <c r="O70" s="928"/>
      <c r="P70" s="928"/>
      <c r="Q70" s="928"/>
      <c r="R70" s="928"/>
      <c r="S70" s="928"/>
      <c r="T70" s="928"/>
      <c r="U70" s="928"/>
      <c r="V70" s="928"/>
      <c r="W70" s="928"/>
      <c r="X70" s="928"/>
    </row>
    <row r="71">
      <c r="A71" s="928"/>
      <c r="B71" s="928"/>
      <c r="C71" s="928"/>
      <c r="D71" s="928"/>
      <c r="E71" s="928"/>
      <c r="F71" s="928"/>
      <c r="G71" s="928"/>
      <c r="H71" s="928"/>
      <c r="I71" s="928"/>
      <c r="J71" s="928"/>
      <c r="K71" s="928"/>
      <c r="L71" s="928"/>
      <c r="M71" s="928"/>
      <c r="N71" s="928"/>
      <c r="O71" s="928"/>
      <c r="P71" s="928"/>
      <c r="Q71" s="928"/>
      <c r="R71" s="928"/>
      <c r="S71" s="928"/>
      <c r="T71" s="928"/>
      <c r="U71" s="928"/>
      <c r="V71" s="928"/>
      <c r="W71" s="928"/>
      <c r="X71" s="928"/>
    </row>
    <row r="72">
      <c r="A72" s="928"/>
      <c r="B72" s="928"/>
      <c r="C72" s="928"/>
      <c r="D72" s="928"/>
      <c r="E72" s="928"/>
      <c r="F72" s="928"/>
      <c r="G72" s="928"/>
      <c r="H72" s="928"/>
      <c r="I72" s="928"/>
      <c r="J72" s="928"/>
      <c r="K72" s="928"/>
      <c r="L72" s="928"/>
      <c r="M72" s="928"/>
      <c r="N72" s="928"/>
      <c r="O72" s="928"/>
      <c r="P72" s="928"/>
      <c r="Q72" s="928"/>
      <c r="R72" s="928"/>
      <c r="S72" s="928"/>
      <c r="T72" s="928"/>
      <c r="U72" s="928"/>
      <c r="V72" s="928"/>
      <c r="W72" s="928"/>
      <c r="X72" s="928"/>
    </row>
    <row r="73">
      <c r="A73" s="928"/>
      <c r="B73" s="928"/>
      <c r="C73" s="928"/>
      <c r="D73" s="928"/>
      <c r="E73" s="928"/>
      <c r="F73" s="928"/>
      <c r="G73" s="928"/>
      <c r="H73" s="928"/>
      <c r="I73" s="928"/>
      <c r="J73" s="928"/>
      <c r="K73" s="928"/>
      <c r="L73" s="928"/>
      <c r="M73" s="928"/>
      <c r="N73" s="928"/>
      <c r="O73" s="928"/>
      <c r="P73" s="928"/>
      <c r="Q73" s="928"/>
      <c r="R73" s="928"/>
      <c r="S73" s="928"/>
      <c r="T73" s="928"/>
      <c r="U73" s="928"/>
      <c r="V73" s="928"/>
      <c r="W73" s="928"/>
      <c r="X73" s="928"/>
    </row>
    <row r="74">
      <c r="A74" s="928"/>
      <c r="B74" s="928"/>
      <c r="C74" s="928"/>
      <c r="D74" s="928"/>
      <c r="E74" s="928"/>
      <c r="F74" s="928"/>
      <c r="G74" s="928"/>
      <c r="H74" s="928"/>
      <c r="I74" s="928"/>
      <c r="J74" s="928"/>
      <c r="K74" s="928"/>
      <c r="L74" s="928"/>
      <c r="M74" s="928"/>
      <c r="N74" s="928"/>
      <c r="O74" s="928"/>
      <c r="P74" s="928"/>
      <c r="Q74" s="928"/>
      <c r="R74" s="928"/>
      <c r="S74" s="928"/>
      <c r="T74" s="928"/>
      <c r="U74" s="928"/>
      <c r="V74" s="928"/>
      <c r="W74" s="928"/>
      <c r="X74" s="928"/>
    </row>
    <row r="75">
      <c r="A75" s="928"/>
      <c r="B75" s="928"/>
      <c r="C75" s="928"/>
      <c r="D75" s="928"/>
      <c r="E75" s="928"/>
      <c r="F75" s="928"/>
      <c r="G75" s="928"/>
      <c r="H75" s="928"/>
      <c r="I75" s="928"/>
      <c r="J75" s="928"/>
      <c r="K75" s="928"/>
      <c r="L75" s="928"/>
      <c r="M75" s="928"/>
      <c r="N75" s="928"/>
      <c r="O75" s="928"/>
      <c r="P75" s="928"/>
      <c r="Q75" s="928"/>
      <c r="R75" s="928"/>
      <c r="S75" s="928"/>
      <c r="T75" s="928"/>
      <c r="U75" s="928"/>
      <c r="V75" s="928"/>
      <c r="W75" s="928"/>
      <c r="X75" s="928"/>
    </row>
    <row r="76">
      <c r="A76" s="928"/>
      <c r="B76" s="928"/>
      <c r="C76" s="928"/>
      <c r="D76" s="928"/>
      <c r="E76" s="928"/>
      <c r="F76" s="928"/>
      <c r="G76" s="928"/>
      <c r="H76" s="928"/>
      <c r="I76" s="928"/>
      <c r="J76" s="928"/>
      <c r="K76" s="928"/>
      <c r="L76" s="928"/>
      <c r="M76" s="928"/>
      <c r="N76" s="928"/>
      <c r="O76" s="928"/>
      <c r="P76" s="928"/>
      <c r="Q76" s="928"/>
      <c r="R76" s="928"/>
      <c r="S76" s="928"/>
      <c r="T76" s="928"/>
      <c r="U76" s="928"/>
      <c r="V76" s="928"/>
      <c r="W76" s="928"/>
      <c r="X76" s="928"/>
    </row>
    <row r="77">
      <c r="A77" s="928"/>
      <c r="B77" s="928"/>
      <c r="C77" s="928"/>
      <c r="D77" s="928"/>
      <c r="E77" s="928"/>
      <c r="F77" s="928"/>
      <c r="G77" s="928"/>
      <c r="H77" s="928"/>
      <c r="I77" s="928"/>
      <c r="J77" s="928"/>
      <c r="K77" s="928"/>
      <c r="L77" s="928"/>
      <c r="M77" s="928"/>
      <c r="N77" s="928"/>
      <c r="O77" s="928"/>
      <c r="P77" s="928"/>
      <c r="Q77" s="928"/>
      <c r="R77" s="928"/>
      <c r="S77" s="928"/>
      <c r="T77" s="928"/>
      <c r="U77" s="928"/>
      <c r="V77" s="928"/>
      <c r="W77" s="928"/>
      <c r="X77" s="928"/>
    </row>
    <row r="78">
      <c r="A78" s="928"/>
      <c r="B78" s="928"/>
      <c r="C78" s="928"/>
      <c r="D78" s="928"/>
      <c r="E78" s="928"/>
      <c r="F78" s="928"/>
      <c r="G78" s="928"/>
      <c r="H78" s="928"/>
      <c r="I78" s="928"/>
      <c r="J78" s="928"/>
      <c r="K78" s="928"/>
      <c r="L78" s="928"/>
      <c r="M78" s="928"/>
      <c r="N78" s="928"/>
      <c r="O78" s="928"/>
      <c r="P78" s="928"/>
      <c r="Q78" s="928"/>
      <c r="R78" s="928"/>
      <c r="S78" s="928"/>
      <c r="T78" s="928"/>
      <c r="U78" s="928"/>
      <c r="V78" s="928"/>
      <c r="W78" s="928"/>
      <c r="X78" s="928"/>
    </row>
    <row r="79">
      <c r="A79" s="928"/>
      <c r="B79" s="928"/>
      <c r="C79" s="928"/>
      <c r="D79" s="928"/>
      <c r="E79" s="928"/>
      <c r="F79" s="928"/>
      <c r="G79" s="928"/>
      <c r="H79" s="928"/>
      <c r="I79" s="928"/>
      <c r="J79" s="928"/>
      <c r="K79" s="928"/>
      <c r="L79" s="928"/>
      <c r="M79" s="928"/>
      <c r="N79" s="928"/>
      <c r="O79" s="928"/>
      <c r="P79" s="928"/>
      <c r="Q79" s="928"/>
      <c r="R79" s="928"/>
      <c r="S79" s="928"/>
      <c r="T79" s="928"/>
      <c r="U79" s="928"/>
      <c r="V79" s="928"/>
      <c r="W79" s="928"/>
      <c r="X79" s="928"/>
    </row>
    <row r="80">
      <c r="A80" s="928"/>
      <c r="B80" s="928"/>
      <c r="C80" s="928"/>
      <c r="D80" s="928"/>
      <c r="E80" s="928"/>
      <c r="F80" s="928"/>
      <c r="G80" s="928"/>
      <c r="H80" s="928"/>
      <c r="I80" s="928"/>
      <c r="J80" s="928"/>
      <c r="K80" s="928"/>
      <c r="L80" s="928"/>
      <c r="M80" s="928"/>
      <c r="N80" s="928"/>
      <c r="O80" s="928"/>
      <c r="P80" s="928"/>
      <c r="Q80" s="928"/>
      <c r="R80" s="928"/>
      <c r="S80" s="928"/>
      <c r="T80" s="928"/>
      <c r="U80" s="928"/>
      <c r="V80" s="928"/>
      <c r="W80" s="928"/>
      <c r="X80" s="928"/>
    </row>
    <row r="81">
      <c r="A81" s="928"/>
      <c r="B81" s="928"/>
      <c r="C81" s="928"/>
      <c r="D81" s="928"/>
      <c r="E81" s="928"/>
      <c r="F81" s="928"/>
      <c r="G81" s="928"/>
      <c r="H81" s="928"/>
      <c r="I81" s="928"/>
      <c r="J81" s="928"/>
      <c r="K81" s="928"/>
      <c r="L81" s="928"/>
      <c r="M81" s="928"/>
      <c r="N81" s="928"/>
      <c r="O81" s="928"/>
      <c r="P81" s="928"/>
      <c r="Q81" s="928"/>
      <c r="R81" s="928"/>
      <c r="S81" s="928"/>
      <c r="T81" s="928"/>
      <c r="U81" s="928"/>
      <c r="V81" s="928"/>
      <c r="W81" s="928"/>
      <c r="X81" s="928"/>
    </row>
    <row r="82">
      <c r="A82" s="928"/>
      <c r="B82" s="928"/>
      <c r="C82" s="928"/>
      <c r="D82" s="928"/>
      <c r="E82" s="928"/>
      <c r="F82" s="928"/>
      <c r="G82" s="928"/>
      <c r="H82" s="928"/>
      <c r="I82" s="928"/>
      <c r="J82" s="928"/>
      <c r="K82" s="928"/>
      <c r="L82" s="928"/>
      <c r="M82" s="928"/>
      <c r="N82" s="928"/>
      <c r="O82" s="928"/>
      <c r="P82" s="928"/>
      <c r="Q82" s="928"/>
      <c r="R82" s="928"/>
      <c r="S82" s="928"/>
      <c r="T82" s="928"/>
      <c r="U82" s="928"/>
      <c r="V82" s="928"/>
      <c r="W82" s="928"/>
      <c r="X82" s="928"/>
    </row>
    <row r="83">
      <c r="A83" s="928"/>
      <c r="B83" s="928"/>
      <c r="C83" s="928"/>
      <c r="D83" s="928"/>
      <c r="E83" s="928"/>
      <c r="F83" s="928"/>
      <c r="G83" s="928"/>
      <c r="H83" s="928"/>
      <c r="I83" s="928"/>
      <c r="J83" s="928"/>
      <c r="K83" s="928"/>
      <c r="L83" s="928"/>
      <c r="M83" s="928"/>
      <c r="N83" s="928"/>
      <c r="O83" s="928"/>
      <c r="P83" s="928"/>
      <c r="Q83" s="928"/>
      <c r="R83" s="928"/>
      <c r="S83" s="928"/>
      <c r="T83" s="928"/>
      <c r="U83" s="928"/>
      <c r="V83" s="928"/>
      <c r="W83" s="928"/>
      <c r="X83" s="928"/>
    </row>
    <row r="84">
      <c r="A84" s="928"/>
      <c r="B84" s="928"/>
      <c r="C84" s="928"/>
      <c r="D84" s="928"/>
      <c r="E84" s="928"/>
      <c r="F84" s="928"/>
      <c r="G84" s="928"/>
      <c r="H84" s="928"/>
      <c r="I84" s="928"/>
      <c r="J84" s="928"/>
      <c r="K84" s="928"/>
      <c r="L84" s="928"/>
      <c r="M84" s="928"/>
      <c r="N84" s="928"/>
      <c r="O84" s="928"/>
      <c r="P84" s="928"/>
      <c r="Q84" s="928"/>
      <c r="R84" s="928"/>
      <c r="S84" s="928"/>
      <c r="T84" s="928"/>
      <c r="U84" s="928"/>
      <c r="V84" s="928"/>
      <c r="W84" s="928"/>
      <c r="X84" s="928"/>
    </row>
    <row r="85">
      <c r="A85" s="928"/>
      <c r="B85" s="928"/>
      <c r="C85" s="928"/>
      <c r="D85" s="928"/>
      <c r="E85" s="928"/>
      <c r="F85" s="928"/>
      <c r="G85" s="928"/>
      <c r="H85" s="928"/>
      <c r="I85" s="928"/>
      <c r="J85" s="928"/>
      <c r="K85" s="928"/>
      <c r="L85" s="928"/>
      <c r="M85" s="928"/>
      <c r="N85" s="928"/>
      <c r="O85" s="928"/>
      <c r="P85" s="928"/>
      <c r="Q85" s="928"/>
      <c r="R85" s="928"/>
      <c r="S85" s="928"/>
      <c r="T85" s="928"/>
      <c r="U85" s="928"/>
      <c r="V85" s="928"/>
      <c r="W85" s="928"/>
      <c r="X85" s="928"/>
    </row>
    <row r="86">
      <c r="A86" s="928"/>
      <c r="B86" s="928"/>
      <c r="C86" s="928"/>
      <c r="D86" s="928"/>
      <c r="E86" s="928"/>
      <c r="F86" s="928"/>
      <c r="G86" s="928"/>
      <c r="H86" s="928"/>
      <c r="I86" s="928"/>
      <c r="J86" s="928"/>
      <c r="K86" s="928"/>
      <c r="L86" s="928"/>
      <c r="M86" s="928"/>
      <c r="N86" s="928"/>
      <c r="O86" s="928"/>
      <c r="P86" s="928"/>
      <c r="Q86" s="928"/>
      <c r="R86" s="928"/>
      <c r="S86" s="928"/>
      <c r="T86" s="928"/>
      <c r="U86" s="928"/>
      <c r="V86" s="928"/>
      <c r="W86" s="928"/>
      <c r="X86" s="928"/>
    </row>
    <row r="87">
      <c r="A87" s="928"/>
      <c r="B87" s="928"/>
      <c r="C87" s="928"/>
      <c r="D87" s="928"/>
      <c r="E87" s="928"/>
      <c r="F87" s="928"/>
      <c r="G87" s="928"/>
      <c r="H87" s="928"/>
      <c r="I87" s="928"/>
      <c r="J87" s="928"/>
      <c r="K87" s="928"/>
      <c r="L87" s="928"/>
      <c r="M87" s="928"/>
      <c r="N87" s="928"/>
      <c r="O87" s="928"/>
      <c r="P87" s="928"/>
      <c r="Q87" s="928"/>
      <c r="R87" s="928"/>
      <c r="S87" s="928"/>
      <c r="T87" s="928"/>
      <c r="U87" s="928"/>
      <c r="V87" s="928"/>
      <c r="W87" s="928"/>
      <c r="X87" s="928"/>
    </row>
    <row r="88">
      <c r="A88" s="928"/>
      <c r="B88" s="928"/>
      <c r="C88" s="928"/>
      <c r="D88" s="928"/>
      <c r="E88" s="928"/>
      <c r="F88" s="928"/>
      <c r="G88" s="928"/>
      <c r="H88" s="928"/>
      <c r="I88" s="928"/>
      <c r="J88" s="928"/>
      <c r="K88" s="928"/>
      <c r="L88" s="928"/>
      <c r="M88" s="928"/>
      <c r="N88" s="928"/>
      <c r="O88" s="928"/>
      <c r="P88" s="928"/>
      <c r="Q88" s="928"/>
      <c r="R88" s="928"/>
      <c r="S88" s="928"/>
      <c r="T88" s="928"/>
      <c r="U88" s="928"/>
      <c r="V88" s="928"/>
      <c r="W88" s="928"/>
      <c r="X88" s="928"/>
    </row>
    <row r="89">
      <c r="A89" s="928"/>
      <c r="B89" s="928"/>
      <c r="C89" s="928"/>
      <c r="D89" s="928"/>
      <c r="E89" s="928"/>
      <c r="F89" s="928"/>
      <c r="G89" s="928"/>
      <c r="H89" s="928"/>
      <c r="I89" s="928"/>
      <c r="J89" s="928"/>
      <c r="K89" s="928"/>
      <c r="L89" s="928"/>
      <c r="M89" s="928"/>
      <c r="N89" s="928"/>
      <c r="O89" s="928"/>
      <c r="P89" s="928"/>
      <c r="Q89" s="928"/>
      <c r="R89" s="928"/>
      <c r="S89" s="928"/>
      <c r="T89" s="928"/>
      <c r="U89" s="928"/>
      <c r="V89" s="928"/>
      <c r="W89" s="928"/>
      <c r="X89" s="928"/>
    </row>
    <row r="90">
      <c r="A90" s="928"/>
      <c r="B90" s="928"/>
      <c r="C90" s="928"/>
      <c r="D90" s="928"/>
      <c r="E90" s="928"/>
      <c r="F90" s="928"/>
      <c r="G90" s="928"/>
      <c r="H90" s="928"/>
      <c r="I90" s="928"/>
      <c r="J90" s="928"/>
      <c r="K90" s="928"/>
      <c r="L90" s="928"/>
      <c r="M90" s="928"/>
      <c r="N90" s="928"/>
      <c r="O90" s="928"/>
      <c r="P90" s="928"/>
      <c r="Q90" s="928"/>
      <c r="R90" s="928"/>
      <c r="S90" s="928"/>
      <c r="T90" s="928"/>
      <c r="U90" s="928"/>
      <c r="V90" s="928"/>
      <c r="W90" s="928"/>
      <c r="X90" s="928"/>
    </row>
    <row r="91">
      <c r="A91" s="928"/>
      <c r="B91" s="928"/>
      <c r="C91" s="928"/>
      <c r="D91" s="928"/>
      <c r="E91" s="928"/>
      <c r="F91" s="928"/>
      <c r="G91" s="928"/>
      <c r="H91" s="928"/>
      <c r="I91" s="928"/>
      <c r="J91" s="928"/>
      <c r="K91" s="928"/>
      <c r="L91" s="928"/>
      <c r="M91" s="928"/>
      <c r="N91" s="928"/>
      <c r="O91" s="928"/>
      <c r="P91" s="928"/>
      <c r="Q91" s="928"/>
      <c r="R91" s="928"/>
      <c r="S91" s="928"/>
      <c r="T91" s="928"/>
      <c r="U91" s="928"/>
      <c r="V91" s="928"/>
      <c r="W91" s="928"/>
      <c r="X91" s="928"/>
    </row>
    <row r="92">
      <c r="A92" s="928"/>
      <c r="B92" s="928"/>
      <c r="C92" s="928"/>
      <c r="D92" s="928"/>
      <c r="E92" s="928"/>
      <c r="F92" s="928"/>
      <c r="G92" s="928"/>
      <c r="H92" s="928"/>
      <c r="I92" s="928"/>
      <c r="J92" s="928"/>
      <c r="K92" s="928"/>
      <c r="L92" s="928"/>
      <c r="M92" s="928"/>
      <c r="N92" s="928"/>
      <c r="O92" s="928"/>
      <c r="P92" s="928"/>
      <c r="Q92" s="928"/>
      <c r="R92" s="928"/>
      <c r="S92" s="928"/>
      <c r="T92" s="928"/>
      <c r="U92" s="928"/>
      <c r="V92" s="928"/>
      <c r="W92" s="928"/>
      <c r="X92" s="928"/>
    </row>
    <row r="93">
      <c r="A93" s="928"/>
      <c r="B93" s="928"/>
      <c r="C93" s="928"/>
      <c r="D93" s="928"/>
      <c r="E93" s="928"/>
      <c r="F93" s="928"/>
      <c r="G93" s="928"/>
      <c r="H93" s="928"/>
      <c r="I93" s="928"/>
      <c r="J93" s="928"/>
      <c r="K93" s="928"/>
      <c r="L93" s="928"/>
      <c r="M93" s="928"/>
      <c r="N93" s="928"/>
      <c r="O93" s="928"/>
      <c r="P93" s="928"/>
      <c r="Q93" s="928"/>
      <c r="R93" s="928"/>
      <c r="S93" s="928"/>
      <c r="T93" s="928"/>
      <c r="U93" s="928"/>
      <c r="V93" s="928"/>
      <c r="W93" s="928"/>
      <c r="X93" s="928"/>
    </row>
    <row r="94">
      <c r="A94" s="928"/>
      <c r="B94" s="928"/>
      <c r="C94" s="928"/>
      <c r="D94" s="928"/>
      <c r="E94" s="928"/>
      <c r="F94" s="928"/>
      <c r="G94" s="928"/>
      <c r="H94" s="928"/>
      <c r="I94" s="928"/>
      <c r="J94" s="928"/>
      <c r="K94" s="928"/>
      <c r="L94" s="928"/>
      <c r="M94" s="928"/>
      <c r="N94" s="928"/>
      <c r="O94" s="928"/>
      <c r="P94" s="928"/>
      <c r="Q94" s="928"/>
      <c r="R94" s="928"/>
      <c r="S94" s="928"/>
      <c r="T94" s="928"/>
      <c r="U94" s="928"/>
      <c r="V94" s="928"/>
      <c r="W94" s="928"/>
      <c r="X94" s="928"/>
    </row>
    <row r="95">
      <c r="A95" s="928"/>
      <c r="B95" s="928"/>
      <c r="C95" s="928"/>
      <c r="D95" s="928"/>
      <c r="E95" s="928"/>
      <c r="F95" s="928"/>
      <c r="G95" s="928"/>
      <c r="H95" s="928"/>
      <c r="I95" s="928"/>
      <c r="J95" s="928"/>
      <c r="K95" s="928"/>
      <c r="L95" s="928"/>
      <c r="M95" s="928"/>
      <c r="N95" s="928"/>
      <c r="O95" s="928"/>
      <c r="P95" s="928"/>
      <c r="Q95" s="928"/>
      <c r="R95" s="928"/>
      <c r="S95" s="928"/>
      <c r="T95" s="928"/>
      <c r="U95" s="928"/>
      <c r="V95" s="928"/>
      <c r="W95" s="928"/>
      <c r="X95" s="928"/>
    </row>
    <row r="96">
      <c r="A96" s="928"/>
      <c r="B96" s="928"/>
      <c r="C96" s="928"/>
      <c r="D96" s="928"/>
      <c r="E96" s="928"/>
      <c r="F96" s="928"/>
      <c r="G96" s="928"/>
      <c r="H96" s="928"/>
      <c r="I96" s="928"/>
      <c r="J96" s="928"/>
      <c r="K96" s="928"/>
      <c r="L96" s="928"/>
      <c r="M96" s="928"/>
      <c r="N96" s="928"/>
      <c r="O96" s="928"/>
      <c r="P96" s="928"/>
      <c r="Q96" s="928"/>
      <c r="R96" s="928"/>
      <c r="S96" s="928"/>
      <c r="T96" s="928"/>
      <c r="U96" s="928"/>
      <c r="V96" s="928"/>
      <c r="W96" s="928"/>
      <c r="X96" s="928"/>
    </row>
    <row r="97">
      <c r="A97" s="928"/>
      <c r="B97" s="928"/>
      <c r="C97" s="928"/>
      <c r="D97" s="928"/>
      <c r="E97" s="928"/>
      <c r="F97" s="928"/>
      <c r="G97" s="928"/>
      <c r="H97" s="928"/>
      <c r="I97" s="928"/>
      <c r="J97" s="928"/>
      <c r="K97" s="928"/>
      <c r="L97" s="928"/>
      <c r="M97" s="928"/>
      <c r="N97" s="928"/>
      <c r="O97" s="928"/>
      <c r="P97" s="928"/>
      <c r="Q97" s="928"/>
      <c r="R97" s="928"/>
      <c r="S97" s="928"/>
      <c r="T97" s="928"/>
      <c r="U97" s="928"/>
      <c r="V97" s="928"/>
      <c r="W97" s="928"/>
      <c r="X97" s="928"/>
    </row>
    <row r="98">
      <c r="A98" s="928"/>
      <c r="B98" s="928"/>
      <c r="C98" s="928"/>
      <c r="D98" s="928"/>
      <c r="E98" s="928"/>
      <c r="F98" s="928"/>
      <c r="G98" s="928"/>
      <c r="H98" s="928"/>
      <c r="I98" s="928"/>
      <c r="J98" s="928"/>
      <c r="K98" s="928"/>
      <c r="L98" s="928"/>
      <c r="M98" s="928"/>
      <c r="N98" s="928"/>
      <c r="O98" s="928"/>
      <c r="P98" s="928"/>
      <c r="Q98" s="928"/>
      <c r="R98" s="928"/>
      <c r="S98" s="928"/>
      <c r="T98" s="928"/>
      <c r="U98" s="928"/>
      <c r="V98" s="928"/>
      <c r="W98" s="928"/>
      <c r="X98" s="928"/>
    </row>
    <row r="99">
      <c r="A99" s="928"/>
      <c r="B99" s="928"/>
      <c r="C99" s="928"/>
      <c r="D99" s="928"/>
      <c r="E99" s="928"/>
      <c r="F99" s="928"/>
      <c r="G99" s="928"/>
      <c r="H99" s="928"/>
      <c r="I99" s="928"/>
      <c r="J99" s="928"/>
      <c r="K99" s="928"/>
      <c r="L99" s="928"/>
      <c r="M99" s="928"/>
      <c r="N99" s="928"/>
      <c r="O99" s="928"/>
      <c r="P99" s="928"/>
      <c r="Q99" s="928"/>
      <c r="R99" s="928"/>
      <c r="S99" s="928"/>
      <c r="T99" s="928"/>
      <c r="U99" s="928"/>
      <c r="V99" s="928"/>
      <c r="W99" s="928"/>
      <c r="X99" s="928"/>
    </row>
    <row r="100">
      <c r="A100" s="928"/>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row>
    <row r="101">
      <c r="A101" s="928"/>
      <c r="B101" s="928"/>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row>
    <row r="102">
      <c r="A102" s="928"/>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row>
    <row r="103">
      <c r="A103" s="928"/>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row>
    <row r="104">
      <c r="A104" s="928"/>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row>
    <row r="105">
      <c r="A105" s="928"/>
      <c r="B105" s="928"/>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row>
    <row r="106">
      <c r="A106" s="928"/>
      <c r="B106" s="928"/>
      <c r="C106" s="928"/>
      <c r="D106" s="928"/>
      <c r="E106" s="928"/>
      <c r="F106" s="928"/>
      <c r="G106" s="928"/>
      <c r="H106" s="928"/>
      <c r="I106" s="928"/>
      <c r="J106" s="928"/>
      <c r="K106" s="928"/>
      <c r="L106" s="928"/>
      <c r="M106" s="928"/>
      <c r="N106" s="928"/>
      <c r="O106" s="928"/>
      <c r="P106" s="928"/>
      <c r="Q106" s="928"/>
      <c r="R106" s="928"/>
      <c r="S106" s="928"/>
      <c r="T106" s="928"/>
      <c r="U106" s="928"/>
      <c r="V106" s="928"/>
      <c r="W106" s="928"/>
      <c r="X106" s="928"/>
    </row>
    <row r="107">
      <c r="A107" s="928"/>
      <c r="B107" s="928"/>
      <c r="C107" s="928"/>
      <c r="D107" s="928"/>
      <c r="E107" s="928"/>
      <c r="F107" s="928"/>
      <c r="G107" s="928"/>
      <c r="H107" s="928"/>
      <c r="I107" s="928"/>
      <c r="J107" s="928"/>
      <c r="K107" s="928"/>
      <c r="L107" s="928"/>
      <c r="M107" s="928"/>
      <c r="N107" s="928"/>
      <c r="O107" s="928"/>
      <c r="P107" s="928"/>
      <c r="Q107" s="928"/>
      <c r="R107" s="928"/>
      <c r="S107" s="928"/>
      <c r="T107" s="928"/>
      <c r="U107" s="928"/>
      <c r="V107" s="928"/>
      <c r="W107" s="928"/>
      <c r="X107" s="928"/>
    </row>
    <row r="108">
      <c r="A108" s="928"/>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row>
    <row r="109">
      <c r="A109" s="928"/>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row>
    <row r="110">
      <c r="A110" s="928"/>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row>
    <row r="111">
      <c r="A111" s="92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row>
    <row r="112">
      <c r="A112" s="928"/>
      <c r="B112" s="928"/>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row>
    <row r="113">
      <c r="A113" s="928"/>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row>
    <row r="114">
      <c r="A114" s="928"/>
      <c r="B114" s="928"/>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row>
    <row r="115">
      <c r="A115" s="928"/>
      <c r="B115" s="928"/>
      <c r="C115" s="928"/>
      <c r="D115" s="928"/>
      <c r="E115" s="928"/>
      <c r="F115" s="928"/>
      <c r="G115" s="928"/>
      <c r="H115" s="928"/>
      <c r="I115" s="928"/>
      <c r="J115" s="928"/>
      <c r="K115" s="928"/>
      <c r="L115" s="928"/>
      <c r="M115" s="928"/>
      <c r="N115" s="928"/>
      <c r="O115" s="928"/>
      <c r="P115" s="928"/>
      <c r="Q115" s="928"/>
      <c r="R115" s="928"/>
      <c r="S115" s="928"/>
      <c r="T115" s="928"/>
      <c r="U115" s="928"/>
      <c r="V115" s="928"/>
      <c r="W115" s="928"/>
      <c r="X115" s="928"/>
    </row>
    <row r="116">
      <c r="A116" s="928"/>
      <c r="B116" s="928"/>
      <c r="C116" s="928"/>
      <c r="D116" s="928"/>
      <c r="E116" s="928"/>
      <c r="F116" s="928"/>
      <c r="G116" s="928"/>
      <c r="H116" s="928"/>
      <c r="I116" s="928"/>
      <c r="J116" s="928"/>
      <c r="K116" s="928"/>
      <c r="L116" s="928"/>
      <c r="M116" s="928"/>
      <c r="N116" s="928"/>
      <c r="O116" s="928"/>
      <c r="P116" s="928"/>
      <c r="Q116" s="928"/>
      <c r="R116" s="928"/>
      <c r="S116" s="928"/>
      <c r="T116" s="928"/>
      <c r="U116" s="928"/>
      <c r="V116" s="928"/>
      <c r="W116" s="928"/>
      <c r="X116" s="928"/>
    </row>
    <row r="117">
      <c r="A117" s="928"/>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row>
    <row r="118">
      <c r="A118" s="928"/>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row>
    <row r="119">
      <c r="A119" s="928"/>
      <c r="B119" s="928"/>
      <c r="C119" s="928"/>
      <c r="D119" s="928"/>
      <c r="E119" s="928"/>
      <c r="F119" s="928"/>
      <c r="G119" s="928"/>
      <c r="H119" s="928"/>
      <c r="I119" s="928"/>
      <c r="J119" s="928"/>
      <c r="K119" s="928"/>
      <c r="L119" s="928"/>
      <c r="M119" s="928"/>
      <c r="N119" s="928"/>
      <c r="O119" s="928"/>
      <c r="P119" s="928"/>
      <c r="Q119" s="928"/>
      <c r="R119" s="928"/>
      <c r="S119" s="928"/>
      <c r="T119" s="928"/>
      <c r="U119" s="928"/>
      <c r="V119" s="928"/>
      <c r="W119" s="928"/>
      <c r="X119" s="928"/>
    </row>
    <row r="120">
      <c r="A120" s="928"/>
      <c r="B120" s="928"/>
      <c r="C120" s="928"/>
      <c r="D120" s="928"/>
      <c r="E120" s="928"/>
      <c r="F120" s="928"/>
      <c r="G120" s="928"/>
      <c r="H120" s="928"/>
      <c r="I120" s="928"/>
      <c r="J120" s="928"/>
      <c r="K120" s="928"/>
      <c r="L120" s="928"/>
      <c r="M120" s="928"/>
      <c r="N120" s="928"/>
      <c r="O120" s="928"/>
      <c r="P120" s="928"/>
      <c r="Q120" s="928"/>
      <c r="R120" s="928"/>
      <c r="S120" s="928"/>
      <c r="T120" s="928"/>
      <c r="U120" s="928"/>
      <c r="V120" s="928"/>
      <c r="W120" s="928"/>
      <c r="X120" s="928"/>
    </row>
    <row r="121">
      <c r="A121" s="928"/>
      <c r="B121" s="928"/>
      <c r="C121" s="928"/>
      <c r="D121" s="928"/>
      <c r="E121" s="928"/>
      <c r="F121" s="928"/>
      <c r="G121" s="928"/>
      <c r="H121" s="928"/>
      <c r="I121" s="928"/>
      <c r="J121" s="928"/>
      <c r="K121" s="928"/>
      <c r="L121" s="928"/>
      <c r="M121" s="928"/>
      <c r="N121" s="928"/>
      <c r="O121" s="928"/>
      <c r="P121" s="928"/>
      <c r="Q121" s="928"/>
      <c r="R121" s="928"/>
      <c r="S121" s="928"/>
      <c r="T121" s="928"/>
      <c r="U121" s="928"/>
      <c r="V121" s="928"/>
      <c r="W121" s="928"/>
      <c r="X121" s="928"/>
    </row>
    <row r="122">
      <c r="A122" s="928"/>
      <c r="B122" s="928"/>
      <c r="C122" s="928"/>
      <c r="D122" s="928"/>
      <c r="E122" s="928"/>
      <c r="F122" s="928"/>
      <c r="G122" s="928"/>
      <c r="H122" s="928"/>
      <c r="I122" s="928"/>
      <c r="J122" s="928"/>
      <c r="K122" s="928"/>
      <c r="L122" s="928"/>
      <c r="M122" s="928"/>
      <c r="N122" s="928"/>
      <c r="O122" s="928"/>
      <c r="P122" s="928"/>
      <c r="Q122" s="928"/>
      <c r="R122" s="928"/>
      <c r="S122" s="928"/>
      <c r="T122" s="928"/>
      <c r="U122" s="928"/>
      <c r="V122" s="928"/>
      <c r="W122" s="928"/>
      <c r="X122" s="928"/>
    </row>
    <row r="123">
      <c r="A123" s="928"/>
      <c r="B123" s="928"/>
      <c r="C123" s="928"/>
      <c r="D123" s="928"/>
      <c r="E123" s="928"/>
      <c r="F123" s="928"/>
      <c r="G123" s="928"/>
      <c r="H123" s="928"/>
      <c r="I123" s="928"/>
      <c r="J123" s="928"/>
      <c r="K123" s="928"/>
      <c r="L123" s="928"/>
      <c r="M123" s="928"/>
      <c r="N123" s="928"/>
      <c r="O123" s="928"/>
      <c r="P123" s="928"/>
      <c r="Q123" s="928"/>
      <c r="R123" s="928"/>
      <c r="S123" s="928"/>
      <c r="T123" s="928"/>
      <c r="U123" s="928"/>
      <c r="V123" s="928"/>
      <c r="W123" s="928"/>
      <c r="X123" s="928"/>
    </row>
    <row r="124">
      <c r="A124" s="928"/>
      <c r="B124" s="928"/>
      <c r="C124" s="928"/>
      <c r="D124" s="928"/>
      <c r="E124" s="928"/>
      <c r="F124" s="928"/>
      <c r="G124" s="928"/>
      <c r="H124" s="928"/>
      <c r="I124" s="928"/>
      <c r="J124" s="928"/>
      <c r="K124" s="928"/>
      <c r="L124" s="928"/>
      <c r="M124" s="928"/>
      <c r="N124" s="928"/>
      <c r="O124" s="928"/>
      <c r="P124" s="928"/>
      <c r="Q124" s="928"/>
      <c r="R124" s="928"/>
      <c r="S124" s="928"/>
      <c r="T124" s="928"/>
      <c r="U124" s="928"/>
      <c r="V124" s="928"/>
      <c r="W124" s="928"/>
      <c r="X124" s="928"/>
    </row>
    <row r="125">
      <c r="A125" s="928"/>
      <c r="B125" s="928"/>
      <c r="C125" s="928"/>
      <c r="D125" s="928"/>
      <c r="E125" s="928"/>
      <c r="F125" s="928"/>
      <c r="G125" s="928"/>
      <c r="H125" s="928"/>
      <c r="I125" s="928"/>
      <c r="J125" s="928"/>
      <c r="K125" s="928"/>
      <c r="L125" s="928"/>
      <c r="M125" s="928"/>
      <c r="N125" s="928"/>
      <c r="O125" s="928"/>
      <c r="P125" s="928"/>
      <c r="Q125" s="928"/>
      <c r="R125" s="928"/>
      <c r="S125" s="928"/>
      <c r="T125" s="928"/>
      <c r="U125" s="928"/>
      <c r="V125" s="928"/>
      <c r="W125" s="928"/>
      <c r="X125" s="928"/>
    </row>
    <row r="126">
      <c r="A126" s="928"/>
      <c r="B126" s="928"/>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row>
    <row r="127">
      <c r="A127" s="928"/>
      <c r="B127" s="928"/>
      <c r="C127" s="928"/>
      <c r="D127" s="928"/>
      <c r="E127" s="928"/>
      <c r="F127" s="928"/>
      <c r="G127" s="928"/>
      <c r="H127" s="928"/>
      <c r="I127" s="928"/>
      <c r="J127" s="928"/>
      <c r="K127" s="928"/>
      <c r="L127" s="928"/>
      <c r="M127" s="928"/>
      <c r="N127" s="928"/>
      <c r="O127" s="928"/>
      <c r="P127" s="928"/>
      <c r="Q127" s="928"/>
      <c r="R127" s="928"/>
      <c r="S127" s="928"/>
      <c r="T127" s="928"/>
      <c r="U127" s="928"/>
      <c r="V127" s="928"/>
      <c r="W127" s="928"/>
      <c r="X127" s="928"/>
    </row>
    <row r="128">
      <c r="A128" s="928"/>
      <c r="B128" s="928"/>
      <c r="C128" s="928"/>
      <c r="D128" s="928"/>
      <c r="E128" s="928"/>
      <c r="F128" s="928"/>
      <c r="G128" s="928"/>
      <c r="H128" s="928"/>
      <c r="I128" s="928"/>
      <c r="J128" s="928"/>
      <c r="K128" s="928"/>
      <c r="L128" s="928"/>
      <c r="M128" s="928"/>
      <c r="N128" s="928"/>
      <c r="O128" s="928"/>
      <c r="P128" s="928"/>
      <c r="Q128" s="928"/>
      <c r="R128" s="928"/>
      <c r="S128" s="928"/>
      <c r="T128" s="928"/>
      <c r="U128" s="928"/>
      <c r="V128" s="928"/>
      <c r="W128" s="928"/>
      <c r="X128" s="928"/>
    </row>
    <row r="129">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row>
    <row r="130">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row>
    <row r="131">
      <c r="A131" s="928"/>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8"/>
      <c r="X131" s="928"/>
    </row>
    <row r="132">
      <c r="A132" s="928"/>
      <c r="B132" s="928"/>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row>
    <row r="133">
      <c r="A133" s="928"/>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row>
    <row r="134">
      <c r="A134" s="928"/>
      <c r="B134" s="928"/>
      <c r="C134" s="928"/>
      <c r="D134" s="928"/>
      <c r="E134" s="928"/>
      <c r="F134" s="928"/>
      <c r="G134" s="928"/>
      <c r="H134" s="928"/>
      <c r="I134" s="928"/>
      <c r="J134" s="928"/>
      <c r="K134" s="928"/>
      <c r="L134" s="928"/>
      <c r="M134" s="928"/>
      <c r="N134" s="928"/>
      <c r="O134" s="928"/>
      <c r="P134" s="928"/>
      <c r="Q134" s="928"/>
      <c r="R134" s="928"/>
      <c r="S134" s="928"/>
      <c r="T134" s="928"/>
      <c r="U134" s="928"/>
      <c r="V134" s="928"/>
      <c r="W134" s="928"/>
      <c r="X134" s="928"/>
    </row>
    <row r="135">
      <c r="A135" s="928"/>
      <c r="B135" s="928"/>
      <c r="C135" s="928"/>
      <c r="D135" s="928"/>
      <c r="E135" s="928"/>
      <c r="F135" s="928"/>
      <c r="G135" s="928"/>
      <c r="H135" s="928"/>
      <c r="I135" s="928"/>
      <c r="J135" s="928"/>
      <c r="K135" s="928"/>
      <c r="L135" s="928"/>
      <c r="M135" s="928"/>
      <c r="N135" s="928"/>
      <c r="O135" s="928"/>
      <c r="P135" s="928"/>
      <c r="Q135" s="928"/>
      <c r="R135" s="928"/>
      <c r="S135" s="928"/>
      <c r="T135" s="928"/>
      <c r="U135" s="928"/>
      <c r="V135" s="928"/>
      <c r="W135" s="928"/>
      <c r="X135" s="928"/>
    </row>
    <row r="136">
      <c r="A136" s="928"/>
      <c r="B136" s="928"/>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row>
    <row r="137">
      <c r="A137" s="928"/>
      <c r="B137" s="928"/>
      <c r="C137" s="928"/>
      <c r="D137" s="928"/>
      <c r="E137" s="928"/>
      <c r="F137" s="928"/>
      <c r="G137" s="928"/>
      <c r="H137" s="928"/>
      <c r="I137" s="928"/>
      <c r="J137" s="928"/>
      <c r="K137" s="928"/>
      <c r="L137" s="928"/>
      <c r="M137" s="928"/>
      <c r="N137" s="928"/>
      <c r="O137" s="928"/>
      <c r="P137" s="928"/>
      <c r="Q137" s="928"/>
      <c r="R137" s="928"/>
      <c r="S137" s="928"/>
      <c r="T137" s="928"/>
      <c r="U137" s="928"/>
      <c r="V137" s="928"/>
      <c r="W137" s="928"/>
      <c r="X137" s="928"/>
    </row>
    <row r="138">
      <c r="A138" s="928"/>
      <c r="B138" s="928"/>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row>
    <row r="139">
      <c r="A139" s="928"/>
      <c r="B139" s="928"/>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row>
    <row r="140">
      <c r="A140" s="928"/>
      <c r="B140" s="928"/>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row>
    <row r="141">
      <c r="A141" s="928"/>
      <c r="B141" s="928"/>
      <c r="C141" s="928"/>
      <c r="D141" s="928"/>
      <c r="E141" s="928"/>
      <c r="F141" s="928"/>
      <c r="G141" s="928"/>
      <c r="H141" s="928"/>
      <c r="I141" s="928"/>
      <c r="J141" s="928"/>
      <c r="K141" s="928"/>
      <c r="L141" s="928"/>
      <c r="M141" s="928"/>
      <c r="N141" s="928"/>
      <c r="O141" s="928"/>
      <c r="P141" s="928"/>
      <c r="Q141" s="928"/>
      <c r="R141" s="928"/>
      <c r="S141" s="928"/>
      <c r="T141" s="928"/>
      <c r="U141" s="928"/>
      <c r="V141" s="928"/>
      <c r="W141" s="928"/>
      <c r="X141" s="928"/>
    </row>
    <row r="142">
      <c r="A142" s="928"/>
      <c r="B142" s="928"/>
      <c r="C142" s="928"/>
      <c r="D142" s="928"/>
      <c r="E142" s="928"/>
      <c r="F142" s="928"/>
      <c r="G142" s="928"/>
      <c r="H142" s="928"/>
      <c r="I142" s="928"/>
      <c r="J142" s="928"/>
      <c r="K142" s="928"/>
      <c r="L142" s="928"/>
      <c r="M142" s="928"/>
      <c r="N142" s="928"/>
      <c r="O142" s="928"/>
      <c r="P142" s="928"/>
      <c r="Q142" s="928"/>
      <c r="R142" s="928"/>
      <c r="S142" s="928"/>
      <c r="T142" s="928"/>
      <c r="U142" s="928"/>
      <c r="V142" s="928"/>
      <c r="W142" s="928"/>
      <c r="X142" s="928"/>
    </row>
    <row r="143">
      <c r="A143" s="928"/>
      <c r="B143" s="928"/>
      <c r="C143" s="928"/>
      <c r="D143" s="928"/>
      <c r="E143" s="928"/>
      <c r="F143" s="928"/>
      <c r="G143" s="928"/>
      <c r="H143" s="928"/>
      <c r="I143" s="928"/>
      <c r="J143" s="928"/>
      <c r="K143" s="928"/>
      <c r="L143" s="928"/>
      <c r="M143" s="928"/>
      <c r="N143" s="928"/>
      <c r="O143" s="928"/>
      <c r="P143" s="928"/>
      <c r="Q143" s="928"/>
      <c r="R143" s="928"/>
      <c r="S143" s="928"/>
      <c r="T143" s="928"/>
      <c r="U143" s="928"/>
      <c r="V143" s="928"/>
      <c r="W143" s="928"/>
      <c r="X143" s="928"/>
    </row>
    <row r="144">
      <c r="A144" s="928"/>
      <c r="B144" s="928"/>
      <c r="C144" s="928"/>
      <c r="D144" s="928"/>
      <c r="E144" s="928"/>
      <c r="F144" s="928"/>
      <c r="G144" s="928"/>
      <c r="H144" s="928"/>
      <c r="I144" s="928"/>
      <c r="J144" s="928"/>
      <c r="K144" s="928"/>
      <c r="L144" s="928"/>
      <c r="M144" s="928"/>
      <c r="N144" s="928"/>
      <c r="O144" s="928"/>
      <c r="P144" s="928"/>
      <c r="Q144" s="928"/>
      <c r="R144" s="928"/>
      <c r="S144" s="928"/>
      <c r="T144" s="928"/>
      <c r="U144" s="928"/>
      <c r="V144" s="928"/>
      <c r="W144" s="928"/>
      <c r="X144" s="928"/>
    </row>
    <row r="145">
      <c r="A145" s="928"/>
      <c r="B145" s="928"/>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row>
    <row r="146">
      <c r="A146" s="928"/>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row>
    <row r="147">
      <c r="A147" s="92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row>
    <row r="148">
      <c r="A148" s="928"/>
      <c r="B148" s="928"/>
      <c r="C148" s="928"/>
      <c r="D148" s="928"/>
      <c r="E148" s="928"/>
      <c r="F148" s="928"/>
      <c r="G148" s="928"/>
      <c r="H148" s="928"/>
      <c r="I148" s="928"/>
      <c r="J148" s="928"/>
      <c r="K148" s="928"/>
      <c r="L148" s="928"/>
      <c r="M148" s="928"/>
      <c r="N148" s="928"/>
      <c r="O148" s="928"/>
      <c r="P148" s="928"/>
      <c r="Q148" s="928"/>
      <c r="R148" s="928"/>
      <c r="S148" s="928"/>
      <c r="T148" s="928"/>
      <c r="U148" s="928"/>
      <c r="V148" s="928"/>
      <c r="W148" s="928"/>
      <c r="X148" s="928"/>
    </row>
    <row r="149">
      <c r="A149" s="92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row>
    <row r="150">
      <c r="A150" s="928"/>
      <c r="B150" s="928"/>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row>
    <row r="151">
      <c r="A151" s="92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row>
    <row r="152">
      <c r="A152" s="928"/>
      <c r="B152" s="928"/>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row>
    <row r="153">
      <c r="A153" s="92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row>
    <row r="154">
      <c r="A154" s="928"/>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row>
    <row r="155">
      <c r="A155" s="928"/>
      <c r="B155" s="928"/>
      <c r="C155" s="928"/>
      <c r="D155" s="928"/>
      <c r="E155" s="928"/>
      <c r="F155" s="928"/>
      <c r="G155" s="928"/>
      <c r="H155" s="928"/>
      <c r="I155" s="928"/>
      <c r="J155" s="928"/>
      <c r="K155" s="928"/>
      <c r="L155" s="928"/>
      <c r="M155" s="928"/>
      <c r="N155" s="928"/>
      <c r="O155" s="928"/>
      <c r="P155" s="928"/>
      <c r="Q155" s="928"/>
      <c r="R155" s="928"/>
      <c r="S155" s="928"/>
      <c r="T155" s="928"/>
      <c r="U155" s="928"/>
      <c r="V155" s="928"/>
      <c r="W155" s="928"/>
      <c r="X155" s="928"/>
    </row>
    <row r="156">
      <c r="A156" s="928"/>
      <c r="B156" s="928"/>
      <c r="C156" s="928"/>
      <c r="D156" s="928"/>
      <c r="E156" s="928"/>
      <c r="F156" s="928"/>
      <c r="G156" s="928"/>
      <c r="H156" s="928"/>
      <c r="I156" s="928"/>
      <c r="J156" s="928"/>
      <c r="K156" s="928"/>
      <c r="L156" s="928"/>
      <c r="M156" s="928"/>
      <c r="N156" s="928"/>
      <c r="O156" s="928"/>
      <c r="P156" s="928"/>
      <c r="Q156" s="928"/>
      <c r="R156" s="928"/>
      <c r="S156" s="928"/>
      <c r="T156" s="928"/>
      <c r="U156" s="928"/>
      <c r="V156" s="928"/>
      <c r="W156" s="928"/>
      <c r="X156" s="928"/>
    </row>
    <row r="157">
      <c r="A157" s="928"/>
      <c r="B157" s="928"/>
      <c r="C157" s="928"/>
      <c r="D157" s="928"/>
      <c r="E157" s="928"/>
      <c r="F157" s="928"/>
      <c r="G157" s="928"/>
      <c r="H157" s="928"/>
      <c r="I157" s="928"/>
      <c r="J157" s="928"/>
      <c r="K157" s="928"/>
      <c r="L157" s="928"/>
      <c r="M157" s="928"/>
      <c r="N157" s="928"/>
      <c r="O157" s="928"/>
      <c r="P157" s="928"/>
      <c r="Q157" s="928"/>
      <c r="R157" s="928"/>
      <c r="S157" s="928"/>
      <c r="T157" s="928"/>
      <c r="U157" s="928"/>
      <c r="V157" s="928"/>
      <c r="W157" s="928"/>
      <c r="X157" s="928"/>
    </row>
    <row r="158">
      <c r="A158" s="928"/>
      <c r="B158" s="928"/>
      <c r="C158" s="928"/>
      <c r="D158" s="928"/>
      <c r="E158" s="928"/>
      <c r="F158" s="928"/>
      <c r="G158" s="928"/>
      <c r="H158" s="928"/>
      <c r="I158" s="928"/>
      <c r="J158" s="928"/>
      <c r="K158" s="928"/>
      <c r="L158" s="928"/>
      <c r="M158" s="928"/>
      <c r="N158" s="928"/>
      <c r="O158" s="928"/>
      <c r="P158" s="928"/>
      <c r="Q158" s="928"/>
      <c r="R158" s="928"/>
      <c r="S158" s="928"/>
      <c r="T158" s="928"/>
      <c r="U158" s="928"/>
      <c r="V158" s="928"/>
      <c r="W158" s="928"/>
      <c r="X158" s="928"/>
    </row>
    <row r="159">
      <c r="A159" s="928"/>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row>
    <row r="160">
      <c r="A160" s="928"/>
      <c r="B160" s="928"/>
      <c r="C160" s="928"/>
      <c r="D160" s="928"/>
      <c r="E160" s="928"/>
      <c r="F160" s="928"/>
      <c r="G160" s="928"/>
      <c r="H160" s="928"/>
      <c r="I160" s="928"/>
      <c r="J160" s="928"/>
      <c r="K160" s="928"/>
      <c r="L160" s="928"/>
      <c r="M160" s="928"/>
      <c r="N160" s="928"/>
      <c r="O160" s="928"/>
      <c r="P160" s="928"/>
      <c r="Q160" s="928"/>
      <c r="R160" s="928"/>
      <c r="S160" s="928"/>
      <c r="T160" s="928"/>
      <c r="U160" s="928"/>
      <c r="V160" s="928"/>
      <c r="W160" s="928"/>
      <c r="X160" s="928"/>
    </row>
    <row r="161">
      <c r="A161" s="928"/>
      <c r="B161" s="928"/>
      <c r="C161" s="928"/>
      <c r="D161" s="928"/>
      <c r="E161" s="928"/>
      <c r="F161" s="928"/>
      <c r="G161" s="928"/>
      <c r="H161" s="928"/>
      <c r="I161" s="928"/>
      <c r="J161" s="928"/>
      <c r="K161" s="928"/>
      <c r="L161" s="928"/>
      <c r="M161" s="928"/>
      <c r="N161" s="928"/>
      <c r="O161" s="928"/>
      <c r="P161" s="928"/>
      <c r="Q161" s="928"/>
      <c r="R161" s="928"/>
      <c r="S161" s="928"/>
      <c r="T161" s="928"/>
      <c r="U161" s="928"/>
      <c r="V161" s="928"/>
      <c r="W161" s="928"/>
      <c r="X161" s="928"/>
    </row>
    <row r="162">
      <c r="A162" s="928"/>
      <c r="B162" s="928"/>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row>
    <row r="163">
      <c r="A163" s="928"/>
      <c r="B163" s="928"/>
      <c r="C163" s="928"/>
      <c r="D163" s="928"/>
      <c r="E163" s="928"/>
      <c r="F163" s="928"/>
      <c r="G163" s="928"/>
      <c r="H163" s="928"/>
      <c r="I163" s="928"/>
      <c r="J163" s="928"/>
      <c r="K163" s="928"/>
      <c r="L163" s="928"/>
      <c r="M163" s="928"/>
      <c r="N163" s="928"/>
      <c r="O163" s="928"/>
      <c r="P163" s="928"/>
      <c r="Q163" s="928"/>
      <c r="R163" s="928"/>
      <c r="S163" s="928"/>
      <c r="T163" s="928"/>
      <c r="U163" s="928"/>
      <c r="V163" s="928"/>
      <c r="W163" s="928"/>
      <c r="X163" s="928"/>
    </row>
    <row r="164">
      <c r="A164" s="928"/>
      <c r="B164" s="928"/>
      <c r="C164" s="928"/>
      <c r="D164" s="928"/>
      <c r="E164" s="928"/>
      <c r="F164" s="928"/>
      <c r="G164" s="928"/>
      <c r="H164" s="928"/>
      <c r="I164" s="928"/>
      <c r="J164" s="928"/>
      <c r="K164" s="928"/>
      <c r="L164" s="928"/>
      <c r="M164" s="928"/>
      <c r="N164" s="928"/>
      <c r="O164" s="928"/>
      <c r="P164" s="928"/>
      <c r="Q164" s="928"/>
      <c r="R164" s="928"/>
      <c r="S164" s="928"/>
      <c r="T164" s="928"/>
      <c r="U164" s="928"/>
      <c r="V164" s="928"/>
      <c r="W164" s="928"/>
      <c r="X164" s="928"/>
    </row>
    <row r="165">
      <c r="A165" s="928"/>
      <c r="B165" s="928"/>
      <c r="C165" s="928"/>
      <c r="D165" s="928"/>
      <c r="E165" s="928"/>
      <c r="F165" s="928"/>
      <c r="G165" s="928"/>
      <c r="H165" s="928"/>
      <c r="I165" s="928"/>
      <c r="J165" s="928"/>
      <c r="K165" s="928"/>
      <c r="L165" s="928"/>
      <c r="M165" s="928"/>
      <c r="N165" s="928"/>
      <c r="O165" s="928"/>
      <c r="P165" s="928"/>
      <c r="Q165" s="928"/>
      <c r="R165" s="928"/>
      <c r="S165" s="928"/>
      <c r="T165" s="928"/>
      <c r="U165" s="928"/>
      <c r="V165" s="928"/>
      <c r="W165" s="928"/>
      <c r="X165" s="928"/>
    </row>
    <row r="166">
      <c r="A166" s="928"/>
      <c r="B166" s="928"/>
      <c r="C166" s="928"/>
      <c r="D166" s="928"/>
      <c r="E166" s="928"/>
      <c r="F166" s="928"/>
      <c r="G166" s="928"/>
      <c r="H166" s="928"/>
      <c r="I166" s="928"/>
      <c r="J166" s="928"/>
      <c r="K166" s="928"/>
      <c r="L166" s="928"/>
      <c r="M166" s="928"/>
      <c r="N166" s="928"/>
      <c r="O166" s="928"/>
      <c r="P166" s="928"/>
      <c r="Q166" s="928"/>
      <c r="R166" s="928"/>
      <c r="S166" s="928"/>
      <c r="T166" s="928"/>
      <c r="U166" s="928"/>
      <c r="V166" s="928"/>
      <c r="W166" s="928"/>
      <c r="X166" s="928"/>
    </row>
    <row r="167">
      <c r="A167" s="928"/>
      <c r="B167" s="928"/>
      <c r="C167" s="928"/>
      <c r="D167" s="928"/>
      <c r="E167" s="928"/>
      <c r="F167" s="928"/>
      <c r="G167" s="928"/>
      <c r="H167" s="928"/>
      <c r="I167" s="928"/>
      <c r="J167" s="928"/>
      <c r="K167" s="928"/>
      <c r="L167" s="928"/>
      <c r="M167" s="928"/>
      <c r="N167" s="928"/>
      <c r="O167" s="928"/>
      <c r="P167" s="928"/>
      <c r="Q167" s="928"/>
      <c r="R167" s="928"/>
      <c r="S167" s="928"/>
      <c r="T167" s="928"/>
      <c r="U167" s="928"/>
      <c r="V167" s="928"/>
      <c r="W167" s="928"/>
      <c r="X167" s="928"/>
    </row>
    <row r="168">
      <c r="A168" s="928"/>
      <c r="B168" s="928"/>
      <c r="C168" s="928"/>
      <c r="D168" s="928"/>
      <c r="E168" s="928"/>
      <c r="F168" s="928"/>
      <c r="G168" s="928"/>
      <c r="H168" s="928"/>
      <c r="I168" s="928"/>
      <c r="J168" s="928"/>
      <c r="K168" s="928"/>
      <c r="L168" s="928"/>
      <c r="M168" s="928"/>
      <c r="N168" s="928"/>
      <c r="O168" s="928"/>
      <c r="P168" s="928"/>
      <c r="Q168" s="928"/>
      <c r="R168" s="928"/>
      <c r="S168" s="928"/>
      <c r="T168" s="928"/>
      <c r="U168" s="928"/>
      <c r="V168" s="928"/>
      <c r="W168" s="928"/>
      <c r="X168" s="928"/>
    </row>
    <row r="169">
      <c r="A169" s="928"/>
      <c r="B169" s="928"/>
      <c r="C169" s="928"/>
      <c r="D169" s="928"/>
      <c r="E169" s="928"/>
      <c r="F169" s="928"/>
      <c r="G169" s="928"/>
      <c r="H169" s="928"/>
      <c r="I169" s="928"/>
      <c r="J169" s="928"/>
      <c r="K169" s="928"/>
      <c r="L169" s="928"/>
      <c r="M169" s="928"/>
      <c r="N169" s="928"/>
      <c r="O169" s="928"/>
      <c r="P169" s="928"/>
      <c r="Q169" s="928"/>
      <c r="R169" s="928"/>
      <c r="S169" s="928"/>
      <c r="T169" s="928"/>
      <c r="U169" s="928"/>
      <c r="V169" s="928"/>
      <c r="W169" s="928"/>
      <c r="X169" s="928"/>
    </row>
    <row r="170">
      <c r="A170" s="928"/>
      <c r="B170" s="928"/>
      <c r="C170" s="928"/>
      <c r="D170" s="928"/>
      <c r="E170" s="928"/>
      <c r="F170" s="928"/>
      <c r="G170" s="928"/>
      <c r="H170" s="928"/>
      <c r="I170" s="928"/>
      <c r="J170" s="928"/>
      <c r="K170" s="928"/>
      <c r="L170" s="928"/>
      <c r="M170" s="928"/>
      <c r="N170" s="928"/>
      <c r="O170" s="928"/>
      <c r="P170" s="928"/>
      <c r="Q170" s="928"/>
      <c r="R170" s="928"/>
      <c r="S170" s="928"/>
      <c r="T170" s="928"/>
      <c r="U170" s="928"/>
      <c r="V170" s="928"/>
      <c r="W170" s="928"/>
      <c r="X170" s="928"/>
    </row>
    <row r="171">
      <c r="A171" s="928"/>
      <c r="B171" s="928"/>
      <c r="C171" s="928"/>
      <c r="D171" s="928"/>
      <c r="E171" s="928"/>
      <c r="F171" s="928"/>
      <c r="G171" s="928"/>
      <c r="H171" s="928"/>
      <c r="I171" s="928"/>
      <c r="J171" s="928"/>
      <c r="K171" s="928"/>
      <c r="L171" s="928"/>
      <c r="M171" s="928"/>
      <c r="N171" s="928"/>
      <c r="O171" s="928"/>
      <c r="P171" s="928"/>
      <c r="Q171" s="928"/>
      <c r="R171" s="928"/>
      <c r="S171" s="928"/>
      <c r="T171" s="928"/>
      <c r="U171" s="928"/>
      <c r="V171" s="928"/>
      <c r="W171" s="928"/>
      <c r="X171" s="928"/>
    </row>
    <row r="172">
      <c r="A172" s="928"/>
      <c r="B172" s="928"/>
      <c r="C172" s="928"/>
      <c r="D172" s="928"/>
      <c r="E172" s="928"/>
      <c r="F172" s="928"/>
      <c r="G172" s="928"/>
      <c r="H172" s="928"/>
      <c r="I172" s="928"/>
      <c r="J172" s="928"/>
      <c r="K172" s="928"/>
      <c r="L172" s="928"/>
      <c r="M172" s="928"/>
      <c r="N172" s="928"/>
      <c r="O172" s="928"/>
      <c r="P172" s="928"/>
      <c r="Q172" s="928"/>
      <c r="R172" s="928"/>
      <c r="S172" s="928"/>
      <c r="T172" s="928"/>
      <c r="U172" s="928"/>
      <c r="V172" s="928"/>
      <c r="W172" s="928"/>
      <c r="X172" s="928"/>
    </row>
    <row r="173">
      <c r="A173" s="928"/>
      <c r="B173" s="928"/>
      <c r="C173" s="928"/>
      <c r="D173" s="928"/>
      <c r="E173" s="928"/>
      <c r="F173" s="928"/>
      <c r="G173" s="928"/>
      <c r="H173" s="928"/>
      <c r="I173" s="928"/>
      <c r="J173" s="928"/>
      <c r="K173" s="928"/>
      <c r="L173" s="928"/>
      <c r="M173" s="928"/>
      <c r="N173" s="928"/>
      <c r="O173" s="928"/>
      <c r="P173" s="928"/>
      <c r="Q173" s="928"/>
      <c r="R173" s="928"/>
      <c r="S173" s="928"/>
      <c r="T173" s="928"/>
      <c r="U173" s="928"/>
      <c r="V173" s="928"/>
      <c r="W173" s="928"/>
      <c r="X173" s="928"/>
    </row>
    <row r="174">
      <c r="A174" s="928"/>
      <c r="B174" s="928"/>
      <c r="C174" s="928"/>
      <c r="D174" s="928"/>
      <c r="E174" s="928"/>
      <c r="F174" s="928"/>
      <c r="G174" s="928"/>
      <c r="H174" s="928"/>
      <c r="I174" s="928"/>
      <c r="J174" s="928"/>
      <c r="K174" s="928"/>
      <c r="L174" s="928"/>
      <c r="M174" s="928"/>
      <c r="N174" s="928"/>
      <c r="O174" s="928"/>
      <c r="P174" s="928"/>
      <c r="Q174" s="928"/>
      <c r="R174" s="928"/>
      <c r="S174" s="928"/>
      <c r="T174" s="928"/>
      <c r="U174" s="928"/>
      <c r="V174" s="928"/>
      <c r="W174" s="928"/>
      <c r="X174" s="928"/>
    </row>
    <row r="175">
      <c r="A175" s="928"/>
      <c r="B175" s="928"/>
      <c r="C175" s="928"/>
      <c r="D175" s="928"/>
      <c r="E175" s="928"/>
      <c r="F175" s="928"/>
      <c r="G175" s="928"/>
      <c r="H175" s="928"/>
      <c r="I175" s="928"/>
      <c r="J175" s="928"/>
      <c r="K175" s="928"/>
      <c r="L175" s="928"/>
      <c r="M175" s="928"/>
      <c r="N175" s="928"/>
      <c r="O175" s="928"/>
      <c r="P175" s="928"/>
      <c r="Q175" s="928"/>
      <c r="R175" s="928"/>
      <c r="S175" s="928"/>
      <c r="T175" s="928"/>
      <c r="U175" s="928"/>
      <c r="V175" s="928"/>
      <c r="W175" s="928"/>
      <c r="X175" s="928"/>
    </row>
    <row r="176">
      <c r="A176" s="928"/>
      <c r="B176" s="928"/>
      <c r="C176" s="928"/>
      <c r="D176" s="928"/>
      <c r="E176" s="928"/>
      <c r="F176" s="928"/>
      <c r="G176" s="928"/>
      <c r="H176" s="928"/>
      <c r="I176" s="928"/>
      <c r="J176" s="928"/>
      <c r="K176" s="928"/>
      <c r="L176" s="928"/>
      <c r="M176" s="928"/>
      <c r="N176" s="928"/>
      <c r="O176" s="928"/>
      <c r="P176" s="928"/>
      <c r="Q176" s="928"/>
      <c r="R176" s="928"/>
      <c r="S176" s="928"/>
      <c r="T176" s="928"/>
      <c r="U176" s="928"/>
      <c r="V176" s="928"/>
      <c r="W176" s="928"/>
      <c r="X176" s="928"/>
    </row>
    <row r="177">
      <c r="A177" s="928"/>
      <c r="B177" s="928"/>
      <c r="C177" s="928"/>
      <c r="D177" s="928"/>
      <c r="E177" s="928"/>
      <c r="F177" s="928"/>
      <c r="G177" s="928"/>
      <c r="H177" s="928"/>
      <c r="I177" s="928"/>
      <c r="J177" s="928"/>
      <c r="K177" s="928"/>
      <c r="L177" s="928"/>
      <c r="M177" s="928"/>
      <c r="N177" s="928"/>
      <c r="O177" s="928"/>
      <c r="P177" s="928"/>
      <c r="Q177" s="928"/>
      <c r="R177" s="928"/>
      <c r="S177" s="928"/>
      <c r="T177" s="928"/>
      <c r="U177" s="928"/>
      <c r="V177" s="928"/>
      <c r="W177" s="928"/>
      <c r="X177" s="928"/>
    </row>
    <row r="178">
      <c r="A178" s="928"/>
      <c r="B178" s="928"/>
      <c r="C178" s="928"/>
      <c r="D178" s="928"/>
      <c r="E178" s="928"/>
      <c r="F178" s="928"/>
      <c r="G178" s="928"/>
      <c r="H178" s="928"/>
      <c r="I178" s="928"/>
      <c r="J178" s="928"/>
      <c r="K178" s="928"/>
      <c r="L178" s="928"/>
      <c r="M178" s="928"/>
      <c r="N178" s="928"/>
      <c r="O178" s="928"/>
      <c r="P178" s="928"/>
      <c r="Q178" s="928"/>
      <c r="R178" s="928"/>
      <c r="S178" s="928"/>
      <c r="T178" s="928"/>
      <c r="U178" s="928"/>
      <c r="V178" s="928"/>
      <c r="W178" s="928"/>
      <c r="X178" s="928"/>
    </row>
    <row r="179">
      <c r="A179" s="928"/>
      <c r="B179" s="928"/>
      <c r="C179" s="928"/>
      <c r="D179" s="928"/>
      <c r="E179" s="928"/>
      <c r="F179" s="928"/>
      <c r="G179" s="928"/>
      <c r="H179" s="928"/>
      <c r="I179" s="928"/>
      <c r="J179" s="928"/>
      <c r="K179" s="928"/>
      <c r="L179" s="928"/>
      <c r="M179" s="928"/>
      <c r="N179" s="928"/>
      <c r="O179" s="928"/>
      <c r="P179" s="928"/>
      <c r="Q179" s="928"/>
      <c r="R179" s="928"/>
      <c r="S179" s="928"/>
      <c r="T179" s="928"/>
      <c r="U179" s="928"/>
      <c r="V179" s="928"/>
      <c r="W179" s="928"/>
      <c r="X179" s="928"/>
    </row>
    <row r="180">
      <c r="A180" s="928"/>
      <c r="B180" s="928"/>
      <c r="C180" s="928"/>
      <c r="D180" s="928"/>
      <c r="E180" s="928"/>
      <c r="F180" s="928"/>
      <c r="G180" s="928"/>
      <c r="H180" s="928"/>
      <c r="I180" s="928"/>
      <c r="J180" s="928"/>
      <c r="K180" s="928"/>
      <c r="L180" s="928"/>
      <c r="M180" s="928"/>
      <c r="N180" s="928"/>
      <c r="O180" s="928"/>
      <c r="P180" s="928"/>
      <c r="Q180" s="928"/>
      <c r="R180" s="928"/>
      <c r="S180" s="928"/>
      <c r="T180" s="928"/>
      <c r="U180" s="928"/>
      <c r="V180" s="928"/>
      <c r="W180" s="928"/>
      <c r="X180" s="928"/>
    </row>
    <row r="181">
      <c r="A181" s="928"/>
      <c r="B181" s="928"/>
      <c r="C181" s="928"/>
      <c r="D181" s="928"/>
      <c r="E181" s="928"/>
      <c r="F181" s="928"/>
      <c r="G181" s="928"/>
      <c r="H181" s="928"/>
      <c r="I181" s="928"/>
      <c r="J181" s="928"/>
      <c r="K181" s="928"/>
      <c r="L181" s="928"/>
      <c r="M181" s="928"/>
      <c r="N181" s="928"/>
      <c r="O181" s="928"/>
      <c r="P181" s="928"/>
      <c r="Q181" s="928"/>
      <c r="R181" s="928"/>
      <c r="S181" s="928"/>
      <c r="T181" s="928"/>
      <c r="U181" s="928"/>
      <c r="V181" s="928"/>
      <c r="W181" s="928"/>
      <c r="X181" s="928"/>
    </row>
    <row r="182">
      <c r="A182" s="928"/>
      <c r="B182" s="928"/>
      <c r="C182" s="928"/>
      <c r="D182" s="928"/>
      <c r="E182" s="928"/>
      <c r="F182" s="928"/>
      <c r="G182" s="928"/>
      <c r="H182" s="928"/>
      <c r="I182" s="928"/>
      <c r="J182" s="928"/>
      <c r="K182" s="928"/>
      <c r="L182" s="928"/>
      <c r="M182" s="928"/>
      <c r="N182" s="928"/>
      <c r="O182" s="928"/>
      <c r="P182" s="928"/>
      <c r="Q182" s="928"/>
      <c r="R182" s="928"/>
      <c r="S182" s="928"/>
      <c r="T182" s="928"/>
      <c r="U182" s="928"/>
      <c r="V182" s="928"/>
      <c r="W182" s="928"/>
      <c r="X182" s="928"/>
    </row>
    <row r="183">
      <c r="A183" s="928"/>
      <c r="B183" s="928"/>
      <c r="C183" s="928"/>
      <c r="D183" s="928"/>
      <c r="E183" s="928"/>
      <c r="F183" s="928"/>
      <c r="G183" s="928"/>
      <c r="H183" s="928"/>
      <c r="I183" s="928"/>
      <c r="J183" s="928"/>
      <c r="K183" s="928"/>
      <c r="L183" s="928"/>
      <c r="M183" s="928"/>
      <c r="N183" s="928"/>
      <c r="O183" s="928"/>
      <c r="P183" s="928"/>
      <c r="Q183" s="928"/>
      <c r="R183" s="928"/>
      <c r="S183" s="928"/>
      <c r="T183" s="928"/>
      <c r="U183" s="928"/>
      <c r="V183" s="928"/>
      <c r="W183" s="928"/>
      <c r="X183" s="928"/>
    </row>
    <row r="184">
      <c r="A184" s="928"/>
      <c r="B184" s="928"/>
      <c r="C184" s="928"/>
      <c r="D184" s="928"/>
      <c r="E184" s="928"/>
      <c r="F184" s="928"/>
      <c r="G184" s="928"/>
      <c r="H184" s="928"/>
      <c r="I184" s="928"/>
      <c r="J184" s="928"/>
      <c r="K184" s="928"/>
      <c r="L184" s="928"/>
      <c r="M184" s="928"/>
      <c r="N184" s="928"/>
      <c r="O184" s="928"/>
      <c r="P184" s="928"/>
      <c r="Q184" s="928"/>
      <c r="R184" s="928"/>
      <c r="S184" s="928"/>
      <c r="T184" s="928"/>
      <c r="U184" s="928"/>
      <c r="V184" s="928"/>
      <c r="W184" s="928"/>
      <c r="X184" s="928"/>
    </row>
    <row r="185">
      <c r="A185" s="928"/>
      <c r="B185" s="928"/>
      <c r="C185" s="928"/>
      <c r="D185" s="928"/>
      <c r="E185" s="928"/>
      <c r="F185" s="928"/>
      <c r="G185" s="928"/>
      <c r="H185" s="928"/>
      <c r="I185" s="928"/>
      <c r="J185" s="928"/>
      <c r="K185" s="928"/>
      <c r="L185" s="928"/>
      <c r="M185" s="928"/>
      <c r="N185" s="928"/>
      <c r="O185" s="928"/>
      <c r="P185" s="928"/>
      <c r="Q185" s="928"/>
      <c r="R185" s="928"/>
      <c r="S185" s="928"/>
      <c r="T185" s="928"/>
      <c r="U185" s="928"/>
      <c r="V185" s="928"/>
      <c r="W185" s="928"/>
      <c r="X185" s="928"/>
    </row>
    <row r="186">
      <c r="A186" s="928"/>
      <c r="B186" s="928"/>
      <c r="C186" s="928"/>
      <c r="D186" s="928"/>
      <c r="E186" s="928"/>
      <c r="F186" s="928"/>
      <c r="G186" s="928"/>
      <c r="H186" s="928"/>
      <c r="I186" s="928"/>
      <c r="J186" s="928"/>
      <c r="K186" s="928"/>
      <c r="L186" s="928"/>
      <c r="M186" s="928"/>
      <c r="N186" s="928"/>
      <c r="O186" s="928"/>
      <c r="P186" s="928"/>
      <c r="Q186" s="928"/>
      <c r="R186" s="928"/>
      <c r="S186" s="928"/>
      <c r="T186" s="928"/>
      <c r="U186" s="928"/>
      <c r="V186" s="928"/>
      <c r="W186" s="928"/>
      <c r="X186" s="928"/>
    </row>
    <row r="187">
      <c r="A187" s="928"/>
      <c r="B187" s="928"/>
      <c r="C187" s="928"/>
      <c r="D187" s="928"/>
      <c r="E187" s="928"/>
      <c r="F187" s="928"/>
      <c r="G187" s="928"/>
      <c r="H187" s="928"/>
      <c r="I187" s="928"/>
      <c r="J187" s="928"/>
      <c r="K187" s="928"/>
      <c r="L187" s="928"/>
      <c r="M187" s="928"/>
      <c r="N187" s="928"/>
      <c r="O187" s="928"/>
      <c r="P187" s="928"/>
      <c r="Q187" s="928"/>
      <c r="R187" s="928"/>
      <c r="S187" s="928"/>
      <c r="T187" s="928"/>
      <c r="U187" s="928"/>
      <c r="V187" s="928"/>
      <c r="W187" s="928"/>
      <c r="X187" s="928"/>
    </row>
    <row r="188">
      <c r="A188" s="928"/>
      <c r="B188" s="928"/>
      <c r="C188" s="928"/>
      <c r="D188" s="928"/>
      <c r="E188" s="928"/>
      <c r="F188" s="928"/>
      <c r="G188" s="928"/>
      <c r="H188" s="928"/>
      <c r="I188" s="928"/>
      <c r="J188" s="928"/>
      <c r="K188" s="928"/>
      <c r="L188" s="928"/>
      <c r="M188" s="928"/>
      <c r="N188" s="928"/>
      <c r="O188" s="928"/>
      <c r="P188" s="928"/>
      <c r="Q188" s="928"/>
      <c r="R188" s="928"/>
      <c r="S188" s="928"/>
      <c r="T188" s="928"/>
      <c r="U188" s="928"/>
      <c r="V188" s="928"/>
      <c r="W188" s="928"/>
      <c r="X188" s="928"/>
    </row>
    <row r="189">
      <c r="A189" s="928"/>
      <c r="B189" s="928"/>
      <c r="C189" s="928"/>
      <c r="D189" s="928"/>
      <c r="E189" s="928"/>
      <c r="F189" s="928"/>
      <c r="G189" s="928"/>
      <c r="H189" s="928"/>
      <c r="I189" s="928"/>
      <c r="J189" s="928"/>
      <c r="K189" s="928"/>
      <c r="L189" s="928"/>
      <c r="M189" s="928"/>
      <c r="N189" s="928"/>
      <c r="O189" s="928"/>
      <c r="P189" s="928"/>
      <c r="Q189" s="928"/>
      <c r="R189" s="928"/>
      <c r="S189" s="928"/>
      <c r="T189" s="928"/>
      <c r="U189" s="928"/>
      <c r="V189" s="928"/>
      <c r="W189" s="928"/>
      <c r="X189" s="928"/>
    </row>
    <row r="190">
      <c r="A190" s="928"/>
      <c r="B190" s="928"/>
      <c r="C190" s="928"/>
      <c r="D190" s="928"/>
      <c r="E190" s="928"/>
      <c r="F190" s="928"/>
      <c r="G190" s="928"/>
      <c r="H190" s="928"/>
      <c r="I190" s="928"/>
      <c r="J190" s="928"/>
      <c r="K190" s="928"/>
      <c r="L190" s="928"/>
      <c r="M190" s="928"/>
      <c r="N190" s="928"/>
      <c r="O190" s="928"/>
      <c r="P190" s="928"/>
      <c r="Q190" s="928"/>
      <c r="R190" s="928"/>
      <c r="S190" s="928"/>
      <c r="T190" s="928"/>
      <c r="U190" s="928"/>
      <c r="V190" s="928"/>
      <c r="W190" s="928"/>
      <c r="X190" s="928"/>
    </row>
    <row r="191">
      <c r="A191" s="928"/>
      <c r="B191" s="928"/>
      <c r="C191" s="928"/>
      <c r="D191" s="928"/>
      <c r="E191" s="928"/>
      <c r="F191" s="928"/>
      <c r="G191" s="928"/>
      <c r="H191" s="928"/>
      <c r="I191" s="928"/>
      <c r="J191" s="928"/>
      <c r="K191" s="928"/>
      <c r="L191" s="928"/>
      <c r="M191" s="928"/>
      <c r="N191" s="928"/>
      <c r="O191" s="928"/>
      <c r="P191" s="928"/>
      <c r="Q191" s="928"/>
      <c r="R191" s="928"/>
      <c r="S191" s="928"/>
      <c r="T191" s="928"/>
      <c r="U191" s="928"/>
      <c r="V191" s="928"/>
      <c r="W191" s="928"/>
      <c r="X191" s="928"/>
    </row>
    <row r="192">
      <c r="A192" s="928"/>
      <c r="B192" s="928"/>
      <c r="C192" s="928"/>
      <c r="D192" s="928"/>
      <c r="E192" s="928"/>
      <c r="F192" s="928"/>
      <c r="G192" s="928"/>
      <c r="H192" s="928"/>
      <c r="I192" s="928"/>
      <c r="J192" s="928"/>
      <c r="K192" s="928"/>
      <c r="L192" s="928"/>
      <c r="M192" s="928"/>
      <c r="N192" s="928"/>
      <c r="O192" s="928"/>
      <c r="P192" s="928"/>
      <c r="Q192" s="928"/>
      <c r="R192" s="928"/>
      <c r="S192" s="928"/>
      <c r="T192" s="928"/>
      <c r="U192" s="928"/>
      <c r="V192" s="928"/>
      <c r="W192" s="928"/>
      <c r="X192" s="928"/>
    </row>
    <row r="193">
      <c r="A193" s="928"/>
      <c r="B193" s="928"/>
      <c r="C193" s="928"/>
      <c r="D193" s="928"/>
      <c r="E193" s="928"/>
      <c r="F193" s="928"/>
      <c r="G193" s="928"/>
      <c r="H193" s="928"/>
      <c r="I193" s="928"/>
      <c r="J193" s="928"/>
      <c r="K193" s="928"/>
      <c r="L193" s="928"/>
      <c r="M193" s="928"/>
      <c r="N193" s="928"/>
      <c r="O193" s="928"/>
      <c r="P193" s="928"/>
      <c r="Q193" s="928"/>
      <c r="R193" s="928"/>
      <c r="S193" s="928"/>
      <c r="T193" s="928"/>
      <c r="U193" s="928"/>
      <c r="V193" s="928"/>
      <c r="W193" s="928"/>
      <c r="X193" s="928"/>
    </row>
    <row r="194">
      <c r="A194" s="928"/>
      <c r="B194" s="928"/>
      <c r="C194" s="928"/>
      <c r="D194" s="928"/>
      <c r="E194" s="928"/>
      <c r="F194" s="928"/>
      <c r="G194" s="928"/>
      <c r="H194" s="928"/>
      <c r="I194" s="928"/>
      <c r="J194" s="928"/>
      <c r="K194" s="928"/>
      <c r="L194" s="928"/>
      <c r="M194" s="928"/>
      <c r="N194" s="928"/>
      <c r="O194" s="928"/>
      <c r="P194" s="928"/>
      <c r="Q194" s="928"/>
      <c r="R194" s="928"/>
      <c r="S194" s="928"/>
      <c r="T194" s="928"/>
      <c r="U194" s="928"/>
      <c r="V194" s="928"/>
      <c r="W194" s="928"/>
      <c r="X194" s="928"/>
    </row>
    <row r="195">
      <c r="A195" s="928"/>
      <c r="B195" s="928"/>
      <c r="C195" s="928"/>
      <c r="D195" s="928"/>
      <c r="E195" s="928"/>
      <c r="F195" s="928"/>
      <c r="G195" s="928"/>
      <c r="H195" s="928"/>
      <c r="I195" s="928"/>
      <c r="J195" s="928"/>
      <c r="K195" s="928"/>
      <c r="L195" s="928"/>
      <c r="M195" s="928"/>
      <c r="N195" s="928"/>
      <c r="O195" s="928"/>
      <c r="P195" s="928"/>
      <c r="Q195" s="928"/>
      <c r="R195" s="928"/>
      <c r="S195" s="928"/>
      <c r="T195" s="928"/>
      <c r="U195" s="928"/>
      <c r="V195" s="928"/>
      <c r="W195" s="928"/>
      <c r="X195" s="928"/>
    </row>
    <row r="196">
      <c r="A196" s="928"/>
      <c r="B196" s="928"/>
      <c r="C196" s="928"/>
      <c r="D196" s="928"/>
      <c r="E196" s="928"/>
      <c r="F196" s="928"/>
      <c r="G196" s="928"/>
      <c r="H196" s="928"/>
      <c r="I196" s="928"/>
      <c r="J196" s="928"/>
      <c r="K196" s="928"/>
      <c r="L196" s="928"/>
      <c r="M196" s="928"/>
      <c r="N196" s="928"/>
      <c r="O196" s="928"/>
      <c r="P196" s="928"/>
      <c r="Q196" s="928"/>
      <c r="R196" s="928"/>
      <c r="S196" s="928"/>
      <c r="T196" s="928"/>
      <c r="U196" s="928"/>
      <c r="V196" s="928"/>
      <c r="W196" s="928"/>
      <c r="X196" s="928"/>
    </row>
    <row r="197">
      <c r="A197" s="928"/>
      <c r="B197" s="928"/>
      <c r="C197" s="928"/>
      <c r="D197" s="928"/>
      <c r="E197" s="928"/>
      <c r="F197" s="928"/>
      <c r="G197" s="928"/>
      <c r="H197" s="928"/>
      <c r="I197" s="928"/>
      <c r="J197" s="928"/>
      <c r="K197" s="928"/>
      <c r="L197" s="928"/>
      <c r="M197" s="928"/>
      <c r="N197" s="928"/>
      <c r="O197" s="928"/>
      <c r="P197" s="928"/>
      <c r="Q197" s="928"/>
      <c r="R197" s="928"/>
      <c r="S197" s="928"/>
      <c r="T197" s="928"/>
      <c r="U197" s="928"/>
      <c r="V197" s="928"/>
      <c r="W197" s="928"/>
      <c r="X197" s="928"/>
    </row>
    <row r="198">
      <c r="A198" s="928"/>
      <c r="B198" s="928"/>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928"/>
    </row>
    <row r="199">
      <c r="A199" s="928"/>
      <c r="B199" s="928"/>
      <c r="C199" s="928"/>
      <c r="D199" s="928"/>
      <c r="E199" s="928"/>
      <c r="F199" s="928"/>
      <c r="G199" s="928"/>
      <c r="H199" s="928"/>
      <c r="I199" s="928"/>
      <c r="J199" s="928"/>
      <c r="K199" s="928"/>
      <c r="L199" s="928"/>
      <c r="M199" s="928"/>
      <c r="N199" s="928"/>
      <c r="O199" s="928"/>
      <c r="P199" s="928"/>
      <c r="Q199" s="928"/>
      <c r="R199" s="928"/>
      <c r="S199" s="928"/>
      <c r="T199" s="928"/>
      <c r="U199" s="928"/>
      <c r="V199" s="928"/>
      <c r="W199" s="928"/>
      <c r="X199" s="928"/>
    </row>
    <row r="200">
      <c r="A200" s="928"/>
      <c r="B200" s="928"/>
      <c r="C200" s="928"/>
      <c r="D200" s="928"/>
      <c r="E200" s="928"/>
      <c r="F200" s="928"/>
      <c r="G200" s="928"/>
      <c r="H200" s="928"/>
      <c r="I200" s="928"/>
      <c r="J200" s="928"/>
      <c r="K200" s="928"/>
      <c r="L200" s="928"/>
      <c r="M200" s="928"/>
      <c r="N200" s="928"/>
      <c r="O200" s="928"/>
      <c r="P200" s="928"/>
      <c r="Q200" s="928"/>
      <c r="R200" s="928"/>
      <c r="S200" s="928"/>
      <c r="T200" s="928"/>
      <c r="U200" s="928"/>
      <c r="V200" s="928"/>
      <c r="W200" s="928"/>
      <c r="X200" s="928"/>
    </row>
    <row r="201">
      <c r="A201" s="928"/>
      <c r="B201" s="928"/>
      <c r="C201" s="928"/>
      <c r="D201" s="928"/>
      <c r="E201" s="928"/>
      <c r="F201" s="928"/>
      <c r="G201" s="928"/>
      <c r="H201" s="928"/>
      <c r="I201" s="928"/>
      <c r="J201" s="928"/>
      <c r="K201" s="928"/>
      <c r="L201" s="928"/>
      <c r="M201" s="928"/>
      <c r="N201" s="928"/>
      <c r="O201" s="928"/>
      <c r="P201" s="928"/>
      <c r="Q201" s="928"/>
      <c r="R201" s="928"/>
      <c r="S201" s="928"/>
      <c r="T201" s="928"/>
      <c r="U201" s="928"/>
      <c r="V201" s="928"/>
      <c r="W201" s="928"/>
      <c r="X201" s="928"/>
    </row>
    <row r="202">
      <c r="A202" s="928"/>
      <c r="B202" s="928"/>
      <c r="C202" s="928"/>
      <c r="D202" s="928"/>
      <c r="E202" s="928"/>
      <c r="F202" s="928"/>
      <c r="G202" s="928"/>
      <c r="H202" s="928"/>
      <c r="I202" s="928"/>
      <c r="J202" s="928"/>
      <c r="K202" s="928"/>
      <c r="L202" s="928"/>
      <c r="M202" s="928"/>
      <c r="N202" s="928"/>
      <c r="O202" s="928"/>
      <c r="P202" s="928"/>
      <c r="Q202" s="928"/>
      <c r="R202" s="928"/>
      <c r="S202" s="928"/>
      <c r="T202" s="928"/>
      <c r="U202" s="928"/>
      <c r="V202" s="928"/>
      <c r="W202" s="928"/>
      <c r="X202" s="928"/>
    </row>
    <row r="203">
      <c r="A203" s="928"/>
      <c r="B203" s="928"/>
      <c r="C203" s="928"/>
      <c r="D203" s="928"/>
      <c r="E203" s="928"/>
      <c r="F203" s="928"/>
      <c r="G203" s="928"/>
      <c r="H203" s="928"/>
      <c r="I203" s="928"/>
      <c r="J203" s="928"/>
      <c r="K203" s="928"/>
      <c r="L203" s="928"/>
      <c r="M203" s="928"/>
      <c r="N203" s="928"/>
      <c r="O203" s="928"/>
      <c r="P203" s="928"/>
      <c r="Q203" s="928"/>
      <c r="R203" s="928"/>
      <c r="S203" s="928"/>
      <c r="T203" s="928"/>
      <c r="U203" s="928"/>
      <c r="V203" s="928"/>
      <c r="W203" s="928"/>
      <c r="X203" s="928"/>
    </row>
    <row r="204">
      <c r="A204" s="928"/>
      <c r="B204" s="928"/>
      <c r="C204" s="928"/>
      <c r="D204" s="928"/>
      <c r="E204" s="928"/>
      <c r="F204" s="928"/>
      <c r="G204" s="928"/>
      <c r="H204" s="928"/>
      <c r="I204" s="928"/>
      <c r="J204" s="928"/>
      <c r="K204" s="928"/>
      <c r="L204" s="928"/>
      <c r="M204" s="928"/>
      <c r="N204" s="928"/>
      <c r="O204" s="928"/>
      <c r="P204" s="928"/>
      <c r="Q204" s="928"/>
      <c r="R204" s="928"/>
      <c r="S204" s="928"/>
      <c r="T204" s="928"/>
      <c r="U204" s="928"/>
      <c r="V204" s="928"/>
      <c r="W204" s="928"/>
      <c r="X204" s="928"/>
    </row>
    <row r="205">
      <c r="A205" s="928"/>
      <c r="B205" s="928"/>
      <c r="C205" s="928"/>
      <c r="D205" s="928"/>
      <c r="E205" s="928"/>
      <c r="F205" s="928"/>
      <c r="G205" s="928"/>
      <c r="H205" s="928"/>
      <c r="I205" s="928"/>
      <c r="J205" s="928"/>
      <c r="K205" s="928"/>
      <c r="L205" s="928"/>
      <c r="M205" s="928"/>
      <c r="N205" s="928"/>
      <c r="O205" s="928"/>
      <c r="P205" s="928"/>
      <c r="Q205" s="928"/>
      <c r="R205" s="928"/>
      <c r="S205" s="928"/>
      <c r="T205" s="928"/>
      <c r="U205" s="928"/>
      <c r="V205" s="928"/>
      <c r="W205" s="928"/>
      <c r="X205" s="928"/>
    </row>
    <row r="206">
      <c r="A206" s="928"/>
      <c r="B206" s="928"/>
      <c r="C206" s="928"/>
      <c r="D206" s="928"/>
      <c r="E206" s="928"/>
      <c r="F206" s="928"/>
      <c r="G206" s="928"/>
      <c r="H206" s="928"/>
      <c r="I206" s="928"/>
      <c r="J206" s="928"/>
      <c r="K206" s="928"/>
      <c r="L206" s="928"/>
      <c r="M206" s="928"/>
      <c r="N206" s="928"/>
      <c r="O206" s="928"/>
      <c r="P206" s="928"/>
      <c r="Q206" s="928"/>
      <c r="R206" s="928"/>
      <c r="S206" s="928"/>
      <c r="T206" s="928"/>
      <c r="U206" s="928"/>
      <c r="V206" s="928"/>
      <c r="W206" s="928"/>
      <c r="X206" s="928"/>
    </row>
    <row r="207">
      <c r="A207" s="928"/>
      <c r="B207" s="928"/>
      <c r="C207" s="928"/>
      <c r="D207" s="928"/>
      <c r="E207" s="928"/>
      <c r="F207" s="928"/>
      <c r="G207" s="928"/>
      <c r="H207" s="928"/>
      <c r="I207" s="928"/>
      <c r="J207" s="928"/>
      <c r="K207" s="928"/>
      <c r="L207" s="928"/>
      <c r="M207" s="928"/>
      <c r="N207" s="928"/>
      <c r="O207" s="928"/>
      <c r="P207" s="928"/>
      <c r="Q207" s="928"/>
      <c r="R207" s="928"/>
      <c r="S207" s="928"/>
      <c r="T207" s="928"/>
      <c r="U207" s="928"/>
      <c r="V207" s="928"/>
      <c r="W207" s="928"/>
      <c r="X207" s="928"/>
    </row>
    <row r="208">
      <c r="A208" s="92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row>
    <row r="209">
      <c r="A209" s="92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row>
    <row r="210">
      <c r="A210" s="92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row>
    <row r="211">
      <c r="A211" s="92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row>
    <row r="212">
      <c r="A212" s="92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row>
    <row r="213">
      <c r="A213" s="92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row>
    <row r="214">
      <c r="A214" s="92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row>
    <row r="215">
      <c r="A215" s="92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row>
    <row r="216">
      <c r="A216" s="92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row>
    <row r="217">
      <c r="A217" s="92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row>
    <row r="218">
      <c r="A218" s="92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row>
    <row r="219">
      <c r="A219" s="92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row>
    <row r="220">
      <c r="A220" s="92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row>
    <row r="221">
      <c r="A221" s="92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row>
    <row r="222">
      <c r="A222" s="92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row>
    <row r="223">
      <c r="A223" s="92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row>
    <row r="224">
      <c r="A224" s="92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row>
    <row r="225">
      <c r="A225" s="92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row>
    <row r="226">
      <c r="A226" s="92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row>
    <row r="227">
      <c r="A227" s="92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row>
    <row r="228">
      <c r="A228" s="92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row>
    <row r="229">
      <c r="A229" s="928"/>
      <c r="B229" s="928"/>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row>
    <row r="230">
      <c r="A230" s="928"/>
      <c r="B230" s="928"/>
      <c r="C230" s="928"/>
      <c r="D230" s="928"/>
      <c r="E230" s="928"/>
      <c r="F230" s="928"/>
      <c r="G230" s="928"/>
      <c r="H230" s="928"/>
      <c r="I230" s="928"/>
      <c r="J230" s="928"/>
      <c r="K230" s="928"/>
      <c r="L230" s="928"/>
      <c r="M230" s="928"/>
      <c r="N230" s="928"/>
      <c r="O230" s="928"/>
      <c r="P230" s="928"/>
      <c r="Q230" s="928"/>
      <c r="R230" s="928"/>
      <c r="S230" s="928"/>
      <c r="T230" s="928"/>
      <c r="U230" s="928"/>
      <c r="V230" s="928"/>
      <c r="W230" s="928"/>
      <c r="X230" s="928"/>
    </row>
    <row r="231">
      <c r="A231" s="928"/>
      <c r="B231" s="928"/>
      <c r="C231" s="928"/>
      <c r="D231" s="928"/>
      <c r="E231" s="928"/>
      <c r="F231" s="928"/>
      <c r="G231" s="928"/>
      <c r="H231" s="928"/>
      <c r="I231" s="928"/>
      <c r="J231" s="928"/>
      <c r="K231" s="928"/>
      <c r="L231" s="928"/>
      <c r="M231" s="928"/>
      <c r="N231" s="928"/>
      <c r="O231" s="928"/>
      <c r="P231" s="928"/>
      <c r="Q231" s="928"/>
      <c r="R231" s="928"/>
      <c r="S231" s="928"/>
      <c r="T231" s="928"/>
      <c r="U231" s="928"/>
      <c r="V231" s="928"/>
      <c r="W231" s="928"/>
      <c r="X231" s="928"/>
    </row>
    <row r="232">
      <c r="A232" s="928"/>
      <c r="B232" s="928"/>
      <c r="C232" s="928"/>
      <c r="D232" s="928"/>
      <c r="E232" s="928"/>
      <c r="F232" s="928"/>
      <c r="G232" s="928"/>
      <c r="H232" s="928"/>
      <c r="I232" s="928"/>
      <c r="J232" s="928"/>
      <c r="K232" s="928"/>
      <c r="L232" s="928"/>
      <c r="M232" s="928"/>
      <c r="N232" s="928"/>
      <c r="O232" s="928"/>
      <c r="P232" s="928"/>
      <c r="Q232" s="928"/>
      <c r="R232" s="928"/>
      <c r="S232" s="928"/>
      <c r="T232" s="928"/>
      <c r="U232" s="928"/>
      <c r="V232" s="928"/>
      <c r="W232" s="928"/>
      <c r="X232" s="928"/>
    </row>
    <row r="233">
      <c r="A233" s="928"/>
      <c r="B233" s="928"/>
      <c r="C233" s="928"/>
      <c r="D233" s="928"/>
      <c r="E233" s="928"/>
      <c r="F233" s="928"/>
      <c r="G233" s="928"/>
      <c r="H233" s="928"/>
      <c r="I233" s="928"/>
      <c r="J233" s="928"/>
      <c r="K233" s="928"/>
      <c r="L233" s="928"/>
      <c r="M233" s="928"/>
      <c r="N233" s="928"/>
      <c r="O233" s="928"/>
      <c r="P233" s="928"/>
      <c r="Q233" s="928"/>
      <c r="R233" s="928"/>
      <c r="S233" s="928"/>
      <c r="T233" s="928"/>
      <c r="U233" s="928"/>
      <c r="V233" s="928"/>
      <c r="W233" s="928"/>
      <c r="X233" s="928"/>
    </row>
    <row r="234">
      <c r="A234" s="928"/>
      <c r="B234" s="928"/>
      <c r="C234" s="928"/>
      <c r="D234" s="928"/>
      <c r="E234" s="928"/>
      <c r="F234" s="928"/>
      <c r="G234" s="928"/>
      <c r="H234" s="928"/>
      <c r="I234" s="928"/>
      <c r="J234" s="928"/>
      <c r="K234" s="928"/>
      <c r="L234" s="928"/>
      <c r="M234" s="928"/>
      <c r="N234" s="928"/>
      <c r="O234" s="928"/>
      <c r="P234" s="928"/>
      <c r="Q234" s="928"/>
      <c r="R234" s="928"/>
      <c r="S234" s="928"/>
      <c r="T234" s="928"/>
      <c r="U234" s="928"/>
      <c r="V234" s="928"/>
      <c r="W234" s="928"/>
      <c r="X234" s="928"/>
    </row>
    <row r="235">
      <c r="A235" s="928"/>
      <c r="B235" s="928"/>
      <c r="C235" s="928"/>
      <c r="D235" s="928"/>
      <c r="E235" s="928"/>
      <c r="F235" s="928"/>
      <c r="G235" s="928"/>
      <c r="H235" s="928"/>
      <c r="I235" s="928"/>
      <c r="J235" s="928"/>
      <c r="K235" s="928"/>
      <c r="L235" s="928"/>
      <c r="M235" s="928"/>
      <c r="N235" s="928"/>
      <c r="O235" s="928"/>
      <c r="P235" s="928"/>
      <c r="Q235" s="928"/>
      <c r="R235" s="928"/>
      <c r="S235" s="928"/>
      <c r="T235" s="928"/>
      <c r="U235" s="928"/>
      <c r="V235" s="928"/>
      <c r="W235" s="928"/>
      <c r="X235" s="928"/>
    </row>
    <row r="236">
      <c r="A236" s="928"/>
      <c r="B236" s="928"/>
      <c r="C236" s="928"/>
      <c r="D236" s="928"/>
      <c r="E236" s="928"/>
      <c r="F236" s="928"/>
      <c r="G236" s="928"/>
      <c r="H236" s="928"/>
      <c r="I236" s="928"/>
      <c r="J236" s="928"/>
      <c r="K236" s="928"/>
      <c r="L236" s="928"/>
      <c r="M236" s="928"/>
      <c r="N236" s="928"/>
      <c r="O236" s="928"/>
      <c r="P236" s="928"/>
      <c r="Q236" s="928"/>
      <c r="R236" s="928"/>
      <c r="S236" s="928"/>
      <c r="T236" s="928"/>
      <c r="U236" s="928"/>
      <c r="V236" s="928"/>
      <c r="W236" s="928"/>
      <c r="X236" s="928"/>
    </row>
    <row r="237">
      <c r="A237" s="928"/>
      <c r="B237" s="928"/>
      <c r="C237" s="928"/>
      <c r="D237" s="928"/>
      <c r="E237" s="928"/>
      <c r="F237" s="928"/>
      <c r="G237" s="928"/>
      <c r="H237" s="928"/>
      <c r="I237" s="928"/>
      <c r="J237" s="928"/>
      <c r="K237" s="928"/>
      <c r="L237" s="928"/>
      <c r="M237" s="928"/>
      <c r="N237" s="928"/>
      <c r="O237" s="928"/>
      <c r="P237" s="928"/>
      <c r="Q237" s="928"/>
      <c r="R237" s="928"/>
      <c r="S237" s="928"/>
      <c r="T237" s="928"/>
      <c r="U237" s="928"/>
      <c r="V237" s="928"/>
      <c r="W237" s="928"/>
      <c r="X237" s="928"/>
    </row>
    <row r="238">
      <c r="A238" s="928"/>
      <c r="B238" s="928"/>
      <c r="C238" s="928"/>
      <c r="D238" s="928"/>
      <c r="E238" s="928"/>
      <c r="F238" s="928"/>
      <c r="G238" s="928"/>
      <c r="H238" s="928"/>
      <c r="I238" s="928"/>
      <c r="J238" s="928"/>
      <c r="K238" s="928"/>
      <c r="L238" s="928"/>
      <c r="M238" s="928"/>
      <c r="N238" s="928"/>
      <c r="O238" s="928"/>
      <c r="P238" s="928"/>
      <c r="Q238" s="928"/>
      <c r="R238" s="928"/>
      <c r="S238" s="928"/>
      <c r="T238" s="928"/>
      <c r="U238" s="928"/>
      <c r="V238" s="928"/>
      <c r="W238" s="928"/>
      <c r="X238" s="928"/>
    </row>
    <row r="239">
      <c r="A239" s="928"/>
      <c r="B239" s="928"/>
      <c r="C239" s="928"/>
      <c r="D239" s="928"/>
      <c r="E239" s="928"/>
      <c r="F239" s="928"/>
      <c r="G239" s="928"/>
      <c r="H239" s="928"/>
      <c r="I239" s="928"/>
      <c r="J239" s="928"/>
      <c r="K239" s="928"/>
      <c r="L239" s="928"/>
      <c r="M239" s="928"/>
      <c r="N239" s="928"/>
      <c r="O239" s="928"/>
      <c r="P239" s="928"/>
      <c r="Q239" s="928"/>
      <c r="R239" s="928"/>
      <c r="S239" s="928"/>
      <c r="T239" s="928"/>
      <c r="U239" s="928"/>
      <c r="V239" s="928"/>
      <c r="W239" s="928"/>
      <c r="X239" s="928"/>
    </row>
    <row r="240">
      <c r="A240" s="928"/>
      <c r="B240" s="928"/>
      <c r="C240" s="928"/>
      <c r="D240" s="928"/>
      <c r="E240" s="928"/>
      <c r="F240" s="928"/>
      <c r="G240" s="928"/>
      <c r="H240" s="928"/>
      <c r="I240" s="928"/>
      <c r="J240" s="928"/>
      <c r="K240" s="928"/>
      <c r="L240" s="928"/>
      <c r="M240" s="928"/>
      <c r="N240" s="928"/>
      <c r="O240" s="928"/>
      <c r="P240" s="928"/>
      <c r="Q240" s="928"/>
      <c r="R240" s="928"/>
      <c r="S240" s="928"/>
      <c r="T240" s="928"/>
      <c r="U240" s="928"/>
      <c r="V240" s="928"/>
      <c r="W240" s="928"/>
      <c r="X240" s="928"/>
    </row>
    <row r="241">
      <c r="A241" s="928"/>
      <c r="B241" s="928"/>
      <c r="C241" s="928"/>
      <c r="D241" s="928"/>
      <c r="E241" s="928"/>
      <c r="F241" s="928"/>
      <c r="G241" s="928"/>
      <c r="H241" s="928"/>
      <c r="I241" s="928"/>
      <c r="J241" s="928"/>
      <c r="K241" s="928"/>
      <c r="L241" s="928"/>
      <c r="M241" s="928"/>
      <c r="N241" s="928"/>
      <c r="O241" s="928"/>
      <c r="P241" s="928"/>
      <c r="Q241" s="928"/>
      <c r="R241" s="928"/>
      <c r="S241" s="928"/>
      <c r="T241" s="928"/>
      <c r="U241" s="928"/>
      <c r="V241" s="928"/>
      <c r="W241" s="928"/>
      <c r="X241" s="928"/>
    </row>
    <row r="242">
      <c r="A242" s="928"/>
      <c r="B242" s="928"/>
      <c r="C242" s="928"/>
      <c r="D242" s="928"/>
      <c r="E242" s="928"/>
      <c r="F242" s="928"/>
      <c r="G242" s="928"/>
      <c r="H242" s="928"/>
      <c r="I242" s="928"/>
      <c r="J242" s="928"/>
      <c r="K242" s="928"/>
      <c r="L242" s="928"/>
      <c r="M242" s="928"/>
      <c r="N242" s="928"/>
      <c r="O242" s="928"/>
      <c r="P242" s="928"/>
      <c r="Q242" s="928"/>
      <c r="R242" s="928"/>
      <c r="S242" s="928"/>
      <c r="T242" s="928"/>
      <c r="U242" s="928"/>
      <c r="V242" s="928"/>
      <c r="W242" s="928"/>
      <c r="X242" s="928"/>
    </row>
    <row r="243">
      <c r="A243" s="928"/>
      <c r="B243" s="928"/>
      <c r="C243" s="928"/>
      <c r="D243" s="928"/>
      <c r="E243" s="928"/>
      <c r="F243" s="928"/>
      <c r="G243" s="928"/>
      <c r="H243" s="928"/>
      <c r="I243" s="928"/>
      <c r="J243" s="928"/>
      <c r="K243" s="928"/>
      <c r="L243" s="928"/>
      <c r="M243" s="928"/>
      <c r="N243" s="928"/>
      <c r="O243" s="928"/>
      <c r="P243" s="928"/>
      <c r="Q243" s="928"/>
      <c r="R243" s="928"/>
      <c r="S243" s="928"/>
      <c r="T243" s="928"/>
      <c r="U243" s="928"/>
      <c r="V243" s="928"/>
      <c r="W243" s="928"/>
      <c r="X243" s="928"/>
    </row>
    <row r="244">
      <c r="A244" s="928"/>
      <c r="B244" s="928"/>
      <c r="C244" s="928"/>
      <c r="D244" s="928"/>
      <c r="E244" s="928"/>
      <c r="F244" s="928"/>
      <c r="G244" s="928"/>
      <c r="H244" s="928"/>
      <c r="I244" s="928"/>
      <c r="J244" s="928"/>
      <c r="K244" s="928"/>
      <c r="L244" s="928"/>
      <c r="M244" s="928"/>
      <c r="N244" s="928"/>
      <c r="O244" s="928"/>
      <c r="P244" s="928"/>
      <c r="Q244" s="928"/>
      <c r="R244" s="928"/>
      <c r="S244" s="928"/>
      <c r="T244" s="928"/>
      <c r="U244" s="928"/>
      <c r="V244" s="928"/>
      <c r="W244" s="928"/>
      <c r="X244" s="928"/>
    </row>
    <row r="245">
      <c r="A245" s="928"/>
      <c r="B245" s="928"/>
      <c r="C245" s="928"/>
      <c r="D245" s="928"/>
      <c r="E245" s="928"/>
      <c r="F245" s="928"/>
      <c r="G245" s="928"/>
      <c r="H245" s="928"/>
      <c r="I245" s="928"/>
      <c r="J245" s="928"/>
      <c r="K245" s="928"/>
      <c r="L245" s="928"/>
      <c r="M245" s="928"/>
      <c r="N245" s="928"/>
      <c r="O245" s="928"/>
      <c r="P245" s="928"/>
      <c r="Q245" s="928"/>
      <c r="R245" s="928"/>
      <c r="S245" s="928"/>
      <c r="T245" s="928"/>
      <c r="U245" s="928"/>
      <c r="V245" s="928"/>
      <c r="W245" s="928"/>
      <c r="X245" s="928"/>
    </row>
    <row r="246">
      <c r="A246" s="928"/>
      <c r="B246" s="928"/>
      <c r="C246" s="928"/>
      <c r="D246" s="928"/>
      <c r="E246" s="928"/>
      <c r="F246" s="928"/>
      <c r="G246" s="928"/>
      <c r="H246" s="928"/>
      <c r="I246" s="928"/>
      <c r="J246" s="928"/>
      <c r="K246" s="928"/>
      <c r="L246" s="928"/>
      <c r="M246" s="928"/>
      <c r="N246" s="928"/>
      <c r="O246" s="928"/>
      <c r="P246" s="928"/>
      <c r="Q246" s="928"/>
      <c r="R246" s="928"/>
      <c r="S246" s="928"/>
      <c r="T246" s="928"/>
      <c r="U246" s="928"/>
      <c r="V246" s="928"/>
      <c r="W246" s="928"/>
      <c r="X246" s="928"/>
    </row>
    <row r="247">
      <c r="A247" s="928"/>
      <c r="B247" s="928"/>
      <c r="C247" s="928"/>
      <c r="D247" s="928"/>
      <c r="E247" s="928"/>
      <c r="F247" s="928"/>
      <c r="G247" s="928"/>
      <c r="H247" s="928"/>
      <c r="I247" s="928"/>
      <c r="J247" s="928"/>
      <c r="K247" s="928"/>
      <c r="L247" s="928"/>
      <c r="M247" s="928"/>
      <c r="N247" s="928"/>
      <c r="O247" s="928"/>
      <c r="P247" s="928"/>
      <c r="Q247" s="928"/>
      <c r="R247" s="928"/>
      <c r="S247" s="928"/>
      <c r="T247" s="928"/>
      <c r="U247" s="928"/>
      <c r="V247" s="928"/>
      <c r="W247" s="928"/>
      <c r="X247" s="928"/>
    </row>
    <row r="248">
      <c r="A248" s="928"/>
      <c r="B248" s="928"/>
      <c r="C248" s="928"/>
      <c r="D248" s="928"/>
      <c r="E248" s="928"/>
      <c r="F248" s="928"/>
      <c r="G248" s="928"/>
      <c r="H248" s="928"/>
      <c r="I248" s="928"/>
      <c r="J248" s="928"/>
      <c r="K248" s="928"/>
      <c r="L248" s="928"/>
      <c r="M248" s="928"/>
      <c r="N248" s="928"/>
      <c r="O248" s="928"/>
      <c r="P248" s="928"/>
      <c r="Q248" s="928"/>
      <c r="R248" s="928"/>
      <c r="S248" s="928"/>
      <c r="T248" s="928"/>
      <c r="U248" s="928"/>
      <c r="V248" s="928"/>
      <c r="W248" s="928"/>
      <c r="X248" s="928"/>
    </row>
    <row r="249">
      <c r="A249" s="928"/>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row>
    <row r="250">
      <c r="A250" s="928"/>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row>
    <row r="251">
      <c r="A251" s="928"/>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row>
    <row r="252">
      <c r="A252" s="928"/>
      <c r="B252" s="928"/>
      <c r="C252" s="928"/>
      <c r="D252" s="928"/>
      <c r="E252" s="928"/>
      <c r="F252" s="928"/>
      <c r="G252" s="928"/>
      <c r="H252" s="928"/>
      <c r="I252" s="928"/>
      <c r="J252" s="928"/>
      <c r="K252" s="928"/>
      <c r="L252" s="928"/>
      <c r="M252" s="928"/>
      <c r="N252" s="928"/>
      <c r="O252" s="928"/>
      <c r="P252" s="928"/>
      <c r="Q252" s="928"/>
      <c r="R252" s="928"/>
      <c r="S252" s="928"/>
      <c r="T252" s="928"/>
      <c r="U252" s="928"/>
      <c r="V252" s="928"/>
      <c r="W252" s="928"/>
      <c r="X252" s="928"/>
    </row>
    <row r="253">
      <c r="A253" s="928"/>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row>
    <row r="254">
      <c r="A254" s="928"/>
      <c r="B254" s="928"/>
      <c r="C254" s="928"/>
      <c r="D254" s="928"/>
      <c r="E254" s="928"/>
      <c r="F254" s="928"/>
      <c r="G254" s="928"/>
      <c r="H254" s="928"/>
      <c r="I254" s="928"/>
      <c r="J254" s="928"/>
      <c r="K254" s="928"/>
      <c r="L254" s="928"/>
      <c r="M254" s="928"/>
      <c r="N254" s="928"/>
      <c r="O254" s="928"/>
      <c r="P254" s="928"/>
      <c r="Q254" s="928"/>
      <c r="R254" s="928"/>
      <c r="S254" s="928"/>
      <c r="T254" s="928"/>
      <c r="U254" s="928"/>
      <c r="V254" s="928"/>
      <c r="W254" s="928"/>
      <c r="X254" s="928"/>
    </row>
    <row r="255">
      <c r="A255" s="928"/>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row>
    <row r="256">
      <c r="A256" s="928"/>
      <c r="B256" s="928"/>
      <c r="C256" s="928"/>
      <c r="D256" s="928"/>
      <c r="E256" s="928"/>
      <c r="F256" s="928"/>
      <c r="G256" s="928"/>
      <c r="H256" s="928"/>
      <c r="I256" s="928"/>
      <c r="J256" s="928"/>
      <c r="K256" s="928"/>
      <c r="L256" s="928"/>
      <c r="M256" s="928"/>
      <c r="N256" s="928"/>
      <c r="O256" s="928"/>
      <c r="P256" s="928"/>
      <c r="Q256" s="928"/>
      <c r="R256" s="928"/>
      <c r="S256" s="928"/>
      <c r="T256" s="928"/>
      <c r="U256" s="928"/>
      <c r="V256" s="928"/>
      <c r="W256" s="928"/>
      <c r="X256" s="928"/>
    </row>
    <row r="257">
      <c r="A257" s="928"/>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row>
    <row r="258">
      <c r="A258" s="928"/>
      <c r="B258" s="928"/>
      <c r="C258" s="928"/>
      <c r="D258" s="928"/>
      <c r="E258" s="928"/>
      <c r="F258" s="928"/>
      <c r="G258" s="928"/>
      <c r="H258" s="928"/>
      <c r="I258" s="928"/>
      <c r="J258" s="928"/>
      <c r="K258" s="928"/>
      <c r="L258" s="928"/>
      <c r="M258" s="928"/>
      <c r="N258" s="928"/>
      <c r="O258" s="928"/>
      <c r="P258" s="928"/>
      <c r="Q258" s="928"/>
      <c r="R258" s="928"/>
      <c r="S258" s="928"/>
      <c r="T258" s="928"/>
      <c r="U258" s="928"/>
      <c r="V258" s="928"/>
      <c r="W258" s="928"/>
      <c r="X258" s="928"/>
    </row>
    <row r="259">
      <c r="A259" s="928"/>
      <c r="B259" s="928"/>
      <c r="C259" s="928"/>
      <c r="D259" s="928"/>
      <c r="E259" s="928"/>
      <c r="F259" s="928"/>
      <c r="G259" s="928"/>
      <c r="H259" s="928"/>
      <c r="I259" s="928"/>
      <c r="J259" s="928"/>
      <c r="K259" s="928"/>
      <c r="L259" s="928"/>
      <c r="M259" s="928"/>
      <c r="N259" s="928"/>
      <c r="O259" s="928"/>
      <c r="P259" s="928"/>
      <c r="Q259" s="928"/>
      <c r="R259" s="928"/>
      <c r="S259" s="928"/>
      <c r="T259" s="928"/>
      <c r="U259" s="928"/>
      <c r="V259" s="928"/>
      <c r="W259" s="928"/>
      <c r="X259" s="928"/>
    </row>
    <row r="260">
      <c r="A260" s="928"/>
      <c r="B260" s="928"/>
      <c r="C260" s="928"/>
      <c r="D260" s="928"/>
      <c r="E260" s="928"/>
      <c r="F260" s="928"/>
      <c r="G260" s="928"/>
      <c r="H260" s="928"/>
      <c r="I260" s="928"/>
      <c r="J260" s="928"/>
      <c r="K260" s="928"/>
      <c r="L260" s="928"/>
      <c r="M260" s="928"/>
      <c r="N260" s="928"/>
      <c r="O260" s="928"/>
      <c r="P260" s="928"/>
      <c r="Q260" s="928"/>
      <c r="R260" s="928"/>
      <c r="S260" s="928"/>
      <c r="T260" s="928"/>
      <c r="U260" s="928"/>
      <c r="V260" s="928"/>
      <c r="W260" s="928"/>
      <c r="X260" s="928"/>
    </row>
    <row r="261">
      <c r="A261" s="928"/>
      <c r="B261" s="928"/>
      <c r="C261" s="928"/>
      <c r="D261" s="928"/>
      <c r="E261" s="928"/>
      <c r="F261" s="928"/>
      <c r="G261" s="928"/>
      <c r="H261" s="928"/>
      <c r="I261" s="928"/>
      <c r="J261" s="928"/>
      <c r="K261" s="928"/>
      <c r="L261" s="928"/>
      <c r="M261" s="928"/>
      <c r="N261" s="928"/>
      <c r="O261" s="928"/>
      <c r="P261" s="928"/>
      <c r="Q261" s="928"/>
      <c r="R261" s="928"/>
      <c r="S261" s="928"/>
      <c r="T261" s="928"/>
      <c r="U261" s="928"/>
      <c r="V261" s="928"/>
      <c r="W261" s="928"/>
      <c r="X261" s="928"/>
    </row>
    <row r="262">
      <c r="A262" s="928"/>
      <c r="B262" s="928"/>
      <c r="C262" s="928"/>
      <c r="D262" s="928"/>
      <c r="E262" s="928"/>
      <c r="F262" s="928"/>
      <c r="G262" s="928"/>
      <c r="H262" s="928"/>
      <c r="I262" s="928"/>
      <c r="J262" s="928"/>
      <c r="K262" s="928"/>
      <c r="L262" s="928"/>
      <c r="M262" s="928"/>
      <c r="N262" s="928"/>
      <c r="O262" s="928"/>
      <c r="P262" s="928"/>
      <c r="Q262" s="928"/>
      <c r="R262" s="928"/>
      <c r="S262" s="928"/>
      <c r="T262" s="928"/>
      <c r="U262" s="928"/>
      <c r="V262" s="928"/>
      <c r="W262" s="928"/>
      <c r="X262" s="928"/>
    </row>
    <row r="263">
      <c r="A263" s="928"/>
      <c r="B263" s="928"/>
      <c r="C263" s="928"/>
      <c r="D263" s="928"/>
      <c r="E263" s="928"/>
      <c r="F263" s="928"/>
      <c r="G263" s="928"/>
      <c r="H263" s="928"/>
      <c r="I263" s="928"/>
      <c r="J263" s="928"/>
      <c r="K263" s="928"/>
      <c r="L263" s="928"/>
      <c r="M263" s="928"/>
      <c r="N263" s="928"/>
      <c r="O263" s="928"/>
      <c r="P263" s="928"/>
      <c r="Q263" s="928"/>
      <c r="R263" s="928"/>
      <c r="S263" s="928"/>
      <c r="T263" s="928"/>
      <c r="U263" s="928"/>
      <c r="V263" s="928"/>
      <c r="W263" s="928"/>
      <c r="X263" s="928"/>
    </row>
    <row r="264">
      <c r="A264" s="928"/>
      <c r="B264" s="928"/>
      <c r="C264" s="928"/>
      <c r="D264" s="928"/>
      <c r="E264" s="928"/>
      <c r="F264" s="928"/>
      <c r="G264" s="928"/>
      <c r="H264" s="928"/>
      <c r="I264" s="928"/>
      <c r="J264" s="928"/>
      <c r="K264" s="928"/>
      <c r="L264" s="928"/>
      <c r="M264" s="928"/>
      <c r="N264" s="928"/>
      <c r="O264" s="928"/>
      <c r="P264" s="928"/>
      <c r="Q264" s="928"/>
      <c r="R264" s="928"/>
      <c r="S264" s="928"/>
      <c r="T264" s="928"/>
      <c r="U264" s="928"/>
      <c r="V264" s="928"/>
      <c r="W264" s="928"/>
      <c r="X264" s="928"/>
    </row>
    <row r="265">
      <c r="A265" s="928"/>
      <c r="B265" s="928"/>
      <c r="C265" s="928"/>
      <c r="D265" s="928"/>
      <c r="E265" s="928"/>
      <c r="F265" s="928"/>
      <c r="G265" s="928"/>
      <c r="H265" s="928"/>
      <c r="I265" s="928"/>
      <c r="J265" s="928"/>
      <c r="K265" s="928"/>
      <c r="L265" s="928"/>
      <c r="M265" s="928"/>
      <c r="N265" s="928"/>
      <c r="O265" s="928"/>
      <c r="P265" s="928"/>
      <c r="Q265" s="928"/>
      <c r="R265" s="928"/>
      <c r="S265" s="928"/>
      <c r="T265" s="928"/>
      <c r="U265" s="928"/>
      <c r="V265" s="928"/>
      <c r="W265" s="928"/>
      <c r="X265" s="928"/>
    </row>
    <row r="266">
      <c r="A266" s="928"/>
      <c r="B266" s="928"/>
      <c r="C266" s="928"/>
      <c r="D266" s="928"/>
      <c r="E266" s="928"/>
      <c r="F266" s="928"/>
      <c r="G266" s="928"/>
      <c r="H266" s="928"/>
      <c r="I266" s="928"/>
      <c r="J266" s="928"/>
      <c r="K266" s="928"/>
      <c r="L266" s="928"/>
      <c r="M266" s="928"/>
      <c r="N266" s="928"/>
      <c r="O266" s="928"/>
      <c r="P266" s="928"/>
      <c r="Q266" s="928"/>
      <c r="R266" s="928"/>
      <c r="S266" s="928"/>
      <c r="T266" s="928"/>
      <c r="U266" s="928"/>
      <c r="V266" s="928"/>
      <c r="W266" s="928"/>
      <c r="X266" s="928"/>
    </row>
    <row r="267">
      <c r="A267" s="928"/>
      <c r="B267" s="928"/>
      <c r="C267" s="928"/>
      <c r="D267" s="928"/>
      <c r="E267" s="928"/>
      <c r="F267" s="928"/>
      <c r="G267" s="928"/>
      <c r="H267" s="928"/>
      <c r="I267" s="928"/>
      <c r="J267" s="928"/>
      <c r="K267" s="928"/>
      <c r="L267" s="928"/>
      <c r="M267" s="928"/>
      <c r="N267" s="928"/>
      <c r="O267" s="928"/>
      <c r="P267" s="928"/>
      <c r="Q267" s="928"/>
      <c r="R267" s="928"/>
      <c r="S267" s="928"/>
      <c r="T267" s="928"/>
      <c r="U267" s="928"/>
      <c r="V267" s="928"/>
      <c r="W267" s="928"/>
      <c r="X267" s="928"/>
    </row>
    <row r="268">
      <c r="A268" s="928"/>
      <c r="B268" s="928"/>
      <c r="C268" s="928"/>
      <c r="D268" s="928"/>
      <c r="E268" s="928"/>
      <c r="F268" s="928"/>
      <c r="G268" s="928"/>
      <c r="H268" s="928"/>
      <c r="I268" s="928"/>
      <c r="J268" s="928"/>
      <c r="K268" s="928"/>
      <c r="L268" s="928"/>
      <c r="M268" s="928"/>
      <c r="N268" s="928"/>
      <c r="O268" s="928"/>
      <c r="P268" s="928"/>
      <c r="Q268" s="928"/>
      <c r="R268" s="928"/>
      <c r="S268" s="928"/>
      <c r="T268" s="928"/>
      <c r="U268" s="928"/>
      <c r="V268" s="928"/>
      <c r="W268" s="928"/>
      <c r="X268" s="928"/>
    </row>
    <row r="269">
      <c r="A269" s="928"/>
      <c r="B269" s="928"/>
      <c r="C269" s="928"/>
      <c r="D269" s="928"/>
      <c r="E269" s="928"/>
      <c r="F269" s="928"/>
      <c r="G269" s="928"/>
      <c r="H269" s="928"/>
      <c r="I269" s="928"/>
      <c r="J269" s="928"/>
      <c r="K269" s="928"/>
      <c r="L269" s="928"/>
      <c r="M269" s="928"/>
      <c r="N269" s="928"/>
      <c r="O269" s="928"/>
      <c r="P269" s="928"/>
      <c r="Q269" s="928"/>
      <c r="R269" s="928"/>
      <c r="S269" s="928"/>
      <c r="T269" s="928"/>
      <c r="U269" s="928"/>
      <c r="V269" s="928"/>
      <c r="W269" s="928"/>
      <c r="X269" s="928"/>
    </row>
    <row r="270">
      <c r="A270" s="928"/>
      <c r="B270" s="928"/>
      <c r="C270" s="928"/>
      <c r="D270" s="928"/>
      <c r="E270" s="928"/>
      <c r="F270" s="928"/>
      <c r="G270" s="928"/>
      <c r="H270" s="928"/>
      <c r="I270" s="928"/>
      <c r="J270" s="928"/>
      <c r="K270" s="928"/>
      <c r="L270" s="928"/>
      <c r="M270" s="928"/>
      <c r="N270" s="928"/>
      <c r="O270" s="928"/>
      <c r="P270" s="928"/>
      <c r="Q270" s="928"/>
      <c r="R270" s="928"/>
      <c r="S270" s="928"/>
      <c r="T270" s="928"/>
      <c r="U270" s="928"/>
      <c r="V270" s="928"/>
      <c r="W270" s="928"/>
      <c r="X270" s="928"/>
    </row>
    <row r="271">
      <c r="A271" s="928"/>
      <c r="B271" s="928"/>
      <c r="C271" s="928"/>
      <c r="D271" s="928"/>
      <c r="E271" s="928"/>
      <c r="F271" s="928"/>
      <c r="G271" s="928"/>
      <c r="H271" s="928"/>
      <c r="I271" s="928"/>
      <c r="J271" s="928"/>
      <c r="K271" s="928"/>
      <c r="L271" s="928"/>
      <c r="M271" s="928"/>
      <c r="N271" s="928"/>
      <c r="O271" s="928"/>
      <c r="P271" s="928"/>
      <c r="Q271" s="928"/>
      <c r="R271" s="928"/>
      <c r="S271" s="928"/>
      <c r="T271" s="928"/>
      <c r="U271" s="928"/>
      <c r="V271" s="928"/>
      <c r="W271" s="928"/>
      <c r="X271" s="928"/>
    </row>
    <row r="272">
      <c r="A272" s="928"/>
      <c r="B272" s="928"/>
      <c r="C272" s="928"/>
      <c r="D272" s="928"/>
      <c r="E272" s="928"/>
      <c r="F272" s="928"/>
      <c r="G272" s="928"/>
      <c r="H272" s="928"/>
      <c r="I272" s="928"/>
      <c r="J272" s="928"/>
      <c r="K272" s="928"/>
      <c r="L272" s="928"/>
      <c r="M272" s="928"/>
      <c r="N272" s="928"/>
      <c r="O272" s="928"/>
      <c r="P272" s="928"/>
      <c r="Q272" s="928"/>
      <c r="R272" s="928"/>
      <c r="S272" s="928"/>
      <c r="T272" s="928"/>
      <c r="U272" s="928"/>
      <c r="V272" s="928"/>
      <c r="W272" s="928"/>
      <c r="X272" s="928"/>
    </row>
    <row r="273">
      <c r="A273" s="928"/>
      <c r="B273" s="928"/>
      <c r="C273" s="928"/>
      <c r="D273" s="928"/>
      <c r="E273" s="928"/>
      <c r="F273" s="928"/>
      <c r="G273" s="928"/>
      <c r="H273" s="928"/>
      <c r="I273" s="928"/>
      <c r="J273" s="928"/>
      <c r="K273" s="928"/>
      <c r="L273" s="928"/>
      <c r="M273" s="928"/>
      <c r="N273" s="928"/>
      <c r="O273" s="928"/>
      <c r="P273" s="928"/>
      <c r="Q273" s="928"/>
      <c r="R273" s="928"/>
      <c r="S273" s="928"/>
      <c r="T273" s="928"/>
      <c r="U273" s="928"/>
      <c r="V273" s="928"/>
      <c r="W273" s="928"/>
      <c r="X273" s="928"/>
    </row>
    <row r="274">
      <c r="A274" s="928"/>
      <c r="B274" s="928"/>
      <c r="C274" s="928"/>
      <c r="D274" s="928"/>
      <c r="E274" s="928"/>
      <c r="F274" s="928"/>
      <c r="G274" s="928"/>
      <c r="H274" s="928"/>
      <c r="I274" s="928"/>
      <c r="J274" s="928"/>
      <c r="K274" s="928"/>
      <c r="L274" s="928"/>
      <c r="M274" s="928"/>
      <c r="N274" s="928"/>
      <c r="O274" s="928"/>
      <c r="P274" s="928"/>
      <c r="Q274" s="928"/>
      <c r="R274" s="928"/>
      <c r="S274" s="928"/>
      <c r="T274" s="928"/>
      <c r="U274" s="928"/>
      <c r="V274" s="928"/>
      <c r="W274" s="928"/>
      <c r="X274" s="928"/>
    </row>
    <row r="275">
      <c r="A275" s="928"/>
      <c r="B275" s="928"/>
      <c r="C275" s="928"/>
      <c r="D275" s="928"/>
      <c r="E275" s="928"/>
      <c r="F275" s="928"/>
      <c r="G275" s="928"/>
      <c r="H275" s="928"/>
      <c r="I275" s="928"/>
      <c r="J275" s="928"/>
      <c r="K275" s="928"/>
      <c r="L275" s="928"/>
      <c r="M275" s="928"/>
      <c r="N275" s="928"/>
      <c r="O275" s="928"/>
      <c r="P275" s="928"/>
      <c r="Q275" s="928"/>
      <c r="R275" s="928"/>
      <c r="S275" s="928"/>
      <c r="T275" s="928"/>
      <c r="U275" s="928"/>
      <c r="V275" s="928"/>
      <c r="W275" s="928"/>
      <c r="X275" s="928"/>
    </row>
    <row r="276">
      <c r="A276" s="928"/>
      <c r="B276" s="928"/>
      <c r="C276" s="928"/>
      <c r="D276" s="928"/>
      <c r="E276" s="928"/>
      <c r="F276" s="928"/>
      <c r="G276" s="928"/>
      <c r="H276" s="928"/>
      <c r="I276" s="928"/>
      <c r="J276" s="928"/>
      <c r="K276" s="928"/>
      <c r="L276" s="928"/>
      <c r="M276" s="928"/>
      <c r="N276" s="928"/>
      <c r="O276" s="928"/>
      <c r="P276" s="928"/>
      <c r="Q276" s="928"/>
      <c r="R276" s="928"/>
      <c r="S276" s="928"/>
      <c r="T276" s="928"/>
      <c r="U276" s="928"/>
      <c r="V276" s="928"/>
      <c r="W276" s="928"/>
      <c r="X276" s="928"/>
    </row>
    <row r="277">
      <c r="A277" s="928"/>
      <c r="B277" s="928"/>
      <c r="C277" s="928"/>
      <c r="D277" s="928"/>
      <c r="E277" s="928"/>
      <c r="F277" s="928"/>
      <c r="G277" s="928"/>
      <c r="H277" s="928"/>
      <c r="I277" s="928"/>
      <c r="J277" s="928"/>
      <c r="K277" s="928"/>
      <c r="L277" s="928"/>
      <c r="M277" s="928"/>
      <c r="N277" s="928"/>
      <c r="O277" s="928"/>
      <c r="P277" s="928"/>
      <c r="Q277" s="928"/>
      <c r="R277" s="928"/>
      <c r="S277" s="928"/>
      <c r="T277" s="928"/>
      <c r="U277" s="928"/>
      <c r="V277" s="928"/>
      <c r="W277" s="928"/>
      <c r="X277" s="928"/>
    </row>
    <row r="278">
      <c r="A278" s="928"/>
      <c r="B278" s="928"/>
      <c r="C278" s="928"/>
      <c r="D278" s="928"/>
      <c r="E278" s="928"/>
      <c r="F278" s="928"/>
      <c r="G278" s="928"/>
      <c r="H278" s="928"/>
      <c r="I278" s="928"/>
      <c r="J278" s="928"/>
      <c r="K278" s="928"/>
      <c r="L278" s="928"/>
      <c r="M278" s="928"/>
      <c r="N278" s="928"/>
      <c r="O278" s="928"/>
      <c r="P278" s="928"/>
      <c r="Q278" s="928"/>
      <c r="R278" s="928"/>
      <c r="S278" s="928"/>
      <c r="T278" s="928"/>
      <c r="U278" s="928"/>
      <c r="V278" s="928"/>
      <c r="W278" s="928"/>
      <c r="X278" s="928"/>
    </row>
    <row r="279">
      <c r="A279" s="928"/>
      <c r="B279" s="928"/>
      <c r="C279" s="928"/>
      <c r="D279" s="928"/>
      <c r="E279" s="928"/>
      <c r="F279" s="928"/>
      <c r="G279" s="928"/>
      <c r="H279" s="928"/>
      <c r="I279" s="928"/>
      <c r="J279" s="928"/>
      <c r="K279" s="928"/>
      <c r="L279" s="928"/>
      <c r="M279" s="928"/>
      <c r="N279" s="928"/>
      <c r="O279" s="928"/>
      <c r="P279" s="928"/>
      <c r="Q279" s="928"/>
      <c r="R279" s="928"/>
      <c r="S279" s="928"/>
      <c r="T279" s="928"/>
      <c r="U279" s="928"/>
      <c r="V279" s="928"/>
      <c r="W279" s="928"/>
      <c r="X279" s="928"/>
    </row>
    <row r="280">
      <c r="A280" s="928"/>
      <c r="B280" s="928"/>
      <c r="C280" s="928"/>
      <c r="D280" s="928"/>
      <c r="E280" s="928"/>
      <c r="F280" s="928"/>
      <c r="G280" s="928"/>
      <c r="H280" s="928"/>
      <c r="I280" s="928"/>
      <c r="J280" s="928"/>
      <c r="K280" s="928"/>
      <c r="L280" s="928"/>
      <c r="M280" s="928"/>
      <c r="N280" s="928"/>
      <c r="O280" s="928"/>
      <c r="P280" s="928"/>
      <c r="Q280" s="928"/>
      <c r="R280" s="928"/>
      <c r="S280" s="928"/>
      <c r="T280" s="928"/>
      <c r="U280" s="928"/>
      <c r="V280" s="928"/>
      <c r="W280" s="928"/>
      <c r="X280" s="928"/>
    </row>
    <row r="281">
      <c r="A281" s="928"/>
      <c r="B281" s="928"/>
      <c r="C281" s="928"/>
      <c r="D281" s="928"/>
      <c r="E281" s="928"/>
      <c r="F281" s="928"/>
      <c r="G281" s="928"/>
      <c r="H281" s="928"/>
      <c r="I281" s="928"/>
      <c r="J281" s="928"/>
      <c r="K281" s="928"/>
      <c r="L281" s="928"/>
      <c r="M281" s="928"/>
      <c r="N281" s="928"/>
      <c r="O281" s="928"/>
      <c r="P281" s="928"/>
      <c r="Q281" s="928"/>
      <c r="R281" s="928"/>
      <c r="S281" s="928"/>
      <c r="T281" s="928"/>
      <c r="U281" s="928"/>
      <c r="V281" s="928"/>
      <c r="W281" s="928"/>
      <c r="X281" s="928"/>
    </row>
    <row r="282">
      <c r="A282" s="928"/>
      <c r="B282" s="928"/>
      <c r="C282" s="928"/>
      <c r="D282" s="928"/>
      <c r="E282" s="928"/>
      <c r="F282" s="928"/>
      <c r="G282" s="928"/>
      <c r="H282" s="928"/>
      <c r="I282" s="928"/>
      <c r="J282" s="928"/>
      <c r="K282" s="928"/>
      <c r="L282" s="928"/>
      <c r="M282" s="928"/>
      <c r="N282" s="928"/>
      <c r="O282" s="928"/>
      <c r="P282" s="928"/>
      <c r="Q282" s="928"/>
      <c r="R282" s="928"/>
      <c r="S282" s="928"/>
      <c r="T282" s="928"/>
      <c r="U282" s="928"/>
      <c r="V282" s="928"/>
      <c r="W282" s="928"/>
      <c r="X282" s="928"/>
    </row>
    <row r="283">
      <c r="A283" s="928"/>
      <c r="B283" s="928"/>
      <c r="C283" s="928"/>
      <c r="D283" s="928"/>
      <c r="E283" s="928"/>
      <c r="F283" s="928"/>
      <c r="G283" s="928"/>
      <c r="H283" s="928"/>
      <c r="I283" s="928"/>
      <c r="J283" s="928"/>
      <c r="K283" s="928"/>
      <c r="L283" s="928"/>
      <c r="M283" s="928"/>
      <c r="N283" s="928"/>
      <c r="O283" s="928"/>
      <c r="P283" s="928"/>
      <c r="Q283" s="928"/>
      <c r="R283" s="928"/>
      <c r="S283" s="928"/>
      <c r="T283" s="928"/>
      <c r="U283" s="928"/>
      <c r="V283" s="928"/>
      <c r="W283" s="928"/>
      <c r="X283" s="928"/>
    </row>
    <row r="284">
      <c r="A284" s="928"/>
      <c r="B284" s="928"/>
      <c r="C284" s="928"/>
      <c r="D284" s="928"/>
      <c r="E284" s="928"/>
      <c r="F284" s="928"/>
      <c r="G284" s="928"/>
      <c r="H284" s="928"/>
      <c r="I284" s="928"/>
      <c r="J284" s="928"/>
      <c r="K284" s="928"/>
      <c r="L284" s="928"/>
      <c r="M284" s="928"/>
      <c r="N284" s="928"/>
      <c r="O284" s="928"/>
      <c r="P284" s="928"/>
      <c r="Q284" s="928"/>
      <c r="R284" s="928"/>
      <c r="S284" s="928"/>
      <c r="T284" s="928"/>
      <c r="U284" s="928"/>
      <c r="V284" s="928"/>
      <c r="W284" s="928"/>
      <c r="X284" s="928"/>
    </row>
    <row r="285">
      <c r="A285" s="928"/>
      <c r="B285" s="928"/>
      <c r="C285" s="928"/>
      <c r="D285" s="928"/>
      <c r="E285" s="928"/>
      <c r="F285" s="928"/>
      <c r="G285" s="928"/>
      <c r="H285" s="928"/>
      <c r="I285" s="928"/>
      <c r="J285" s="928"/>
      <c r="K285" s="928"/>
      <c r="L285" s="928"/>
      <c r="M285" s="928"/>
      <c r="N285" s="928"/>
      <c r="O285" s="928"/>
      <c r="P285" s="928"/>
      <c r="Q285" s="928"/>
      <c r="R285" s="928"/>
      <c r="S285" s="928"/>
      <c r="T285" s="928"/>
      <c r="U285" s="928"/>
      <c r="V285" s="928"/>
      <c r="W285" s="928"/>
      <c r="X285" s="928"/>
    </row>
    <row r="286">
      <c r="A286" s="928"/>
      <c r="B286" s="928"/>
      <c r="C286" s="928"/>
      <c r="D286" s="928"/>
      <c r="E286" s="928"/>
      <c r="F286" s="928"/>
      <c r="G286" s="928"/>
      <c r="H286" s="928"/>
      <c r="I286" s="928"/>
      <c r="J286" s="928"/>
      <c r="K286" s="928"/>
      <c r="L286" s="928"/>
      <c r="M286" s="928"/>
      <c r="N286" s="928"/>
      <c r="O286" s="928"/>
      <c r="P286" s="928"/>
      <c r="Q286" s="928"/>
      <c r="R286" s="928"/>
      <c r="S286" s="928"/>
      <c r="T286" s="928"/>
      <c r="U286" s="928"/>
      <c r="V286" s="928"/>
      <c r="W286" s="928"/>
      <c r="X286" s="928"/>
    </row>
    <row r="287">
      <c r="A287" s="928"/>
      <c r="B287" s="928"/>
      <c r="C287" s="928"/>
      <c r="D287" s="928"/>
      <c r="E287" s="928"/>
      <c r="F287" s="928"/>
      <c r="G287" s="928"/>
      <c r="H287" s="928"/>
      <c r="I287" s="928"/>
      <c r="J287" s="928"/>
      <c r="K287" s="928"/>
      <c r="L287" s="928"/>
      <c r="M287" s="928"/>
      <c r="N287" s="928"/>
      <c r="O287" s="928"/>
      <c r="P287" s="928"/>
      <c r="Q287" s="928"/>
      <c r="R287" s="928"/>
      <c r="S287" s="928"/>
      <c r="T287" s="928"/>
      <c r="U287" s="928"/>
      <c r="V287" s="928"/>
      <c r="W287" s="928"/>
      <c r="X287" s="928"/>
    </row>
    <row r="288">
      <c r="A288" s="928"/>
      <c r="B288" s="928"/>
      <c r="C288" s="928"/>
      <c r="D288" s="928"/>
      <c r="E288" s="928"/>
      <c r="F288" s="928"/>
      <c r="G288" s="928"/>
      <c r="H288" s="928"/>
      <c r="I288" s="928"/>
      <c r="J288" s="928"/>
      <c r="K288" s="928"/>
      <c r="L288" s="928"/>
      <c r="M288" s="928"/>
      <c r="N288" s="928"/>
      <c r="O288" s="928"/>
      <c r="P288" s="928"/>
      <c r="Q288" s="928"/>
      <c r="R288" s="928"/>
      <c r="S288" s="928"/>
      <c r="T288" s="928"/>
      <c r="U288" s="928"/>
      <c r="V288" s="928"/>
      <c r="W288" s="928"/>
      <c r="X288" s="928"/>
    </row>
    <row r="289">
      <c r="A289" s="928"/>
      <c r="B289" s="928"/>
      <c r="C289" s="928"/>
      <c r="D289" s="928"/>
      <c r="E289" s="928"/>
      <c r="F289" s="928"/>
      <c r="G289" s="928"/>
      <c r="H289" s="928"/>
      <c r="I289" s="928"/>
      <c r="J289" s="928"/>
      <c r="K289" s="928"/>
      <c r="L289" s="928"/>
      <c r="M289" s="928"/>
      <c r="N289" s="928"/>
      <c r="O289" s="928"/>
      <c r="P289" s="928"/>
      <c r="Q289" s="928"/>
      <c r="R289" s="928"/>
      <c r="S289" s="928"/>
      <c r="T289" s="928"/>
      <c r="U289" s="928"/>
      <c r="V289" s="928"/>
      <c r="W289" s="928"/>
      <c r="X289" s="928"/>
    </row>
    <row r="290">
      <c r="A290" s="928"/>
      <c r="B290" s="928"/>
      <c r="C290" s="928"/>
      <c r="D290" s="928"/>
      <c r="E290" s="928"/>
      <c r="F290" s="928"/>
      <c r="G290" s="928"/>
      <c r="H290" s="928"/>
      <c r="I290" s="928"/>
      <c r="J290" s="928"/>
      <c r="K290" s="928"/>
      <c r="L290" s="928"/>
      <c r="M290" s="928"/>
      <c r="N290" s="928"/>
      <c r="O290" s="928"/>
      <c r="P290" s="928"/>
      <c r="Q290" s="928"/>
      <c r="R290" s="928"/>
      <c r="S290" s="928"/>
      <c r="T290" s="928"/>
      <c r="U290" s="928"/>
      <c r="V290" s="928"/>
      <c r="W290" s="928"/>
      <c r="X290" s="928"/>
    </row>
    <row r="291">
      <c r="A291" s="928"/>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row>
    <row r="292">
      <c r="A292" s="928"/>
      <c r="B292" s="928"/>
      <c r="C292" s="928"/>
      <c r="D292" s="928"/>
      <c r="E292" s="928"/>
      <c r="F292" s="928"/>
      <c r="G292" s="928"/>
      <c r="H292" s="928"/>
      <c r="I292" s="928"/>
      <c r="J292" s="928"/>
      <c r="K292" s="928"/>
      <c r="L292" s="928"/>
      <c r="M292" s="928"/>
      <c r="N292" s="928"/>
      <c r="O292" s="928"/>
      <c r="P292" s="928"/>
      <c r="Q292" s="928"/>
      <c r="R292" s="928"/>
      <c r="S292" s="928"/>
      <c r="T292" s="928"/>
      <c r="U292" s="928"/>
      <c r="V292" s="928"/>
      <c r="W292" s="928"/>
      <c r="X292" s="928"/>
    </row>
    <row r="293">
      <c r="A293" s="928"/>
      <c r="B293" s="928"/>
      <c r="C293" s="928"/>
      <c r="D293" s="928"/>
      <c r="E293" s="928"/>
      <c r="F293" s="928"/>
      <c r="G293" s="928"/>
      <c r="H293" s="928"/>
      <c r="I293" s="928"/>
      <c r="J293" s="928"/>
      <c r="K293" s="928"/>
      <c r="L293" s="928"/>
      <c r="M293" s="928"/>
      <c r="N293" s="928"/>
      <c r="O293" s="928"/>
      <c r="P293" s="928"/>
      <c r="Q293" s="928"/>
      <c r="R293" s="928"/>
      <c r="S293" s="928"/>
      <c r="T293" s="928"/>
      <c r="U293" s="928"/>
      <c r="V293" s="928"/>
      <c r="W293" s="928"/>
      <c r="X293" s="928"/>
    </row>
    <row r="294">
      <c r="A294" s="928"/>
      <c r="B294" s="928"/>
      <c r="C294" s="928"/>
      <c r="D294" s="928"/>
      <c r="E294" s="928"/>
      <c r="F294" s="928"/>
      <c r="G294" s="928"/>
      <c r="H294" s="928"/>
      <c r="I294" s="928"/>
      <c r="J294" s="928"/>
      <c r="K294" s="928"/>
      <c r="L294" s="928"/>
      <c r="M294" s="928"/>
      <c r="N294" s="928"/>
      <c r="O294" s="928"/>
      <c r="P294" s="928"/>
      <c r="Q294" s="928"/>
      <c r="R294" s="928"/>
      <c r="S294" s="928"/>
      <c r="T294" s="928"/>
      <c r="U294" s="928"/>
      <c r="V294" s="928"/>
      <c r="W294" s="928"/>
      <c r="X294" s="928"/>
    </row>
    <row r="295">
      <c r="A295" s="928"/>
      <c r="B295" s="928"/>
      <c r="C295" s="928"/>
      <c r="D295" s="928"/>
      <c r="E295" s="928"/>
      <c r="F295" s="928"/>
      <c r="G295" s="928"/>
      <c r="H295" s="928"/>
      <c r="I295" s="928"/>
      <c r="J295" s="928"/>
      <c r="K295" s="928"/>
      <c r="L295" s="928"/>
      <c r="M295" s="928"/>
      <c r="N295" s="928"/>
      <c r="O295" s="928"/>
      <c r="P295" s="928"/>
      <c r="Q295" s="928"/>
      <c r="R295" s="928"/>
      <c r="S295" s="928"/>
      <c r="T295" s="928"/>
      <c r="U295" s="928"/>
      <c r="V295" s="928"/>
      <c r="W295" s="928"/>
      <c r="X295" s="928"/>
    </row>
    <row r="296">
      <c r="A296" s="928"/>
      <c r="B296" s="928"/>
      <c r="C296" s="928"/>
      <c r="D296" s="928"/>
      <c r="E296" s="928"/>
      <c r="F296" s="928"/>
      <c r="G296" s="928"/>
      <c r="H296" s="928"/>
      <c r="I296" s="928"/>
      <c r="J296" s="928"/>
      <c r="K296" s="928"/>
      <c r="L296" s="928"/>
      <c r="M296" s="928"/>
      <c r="N296" s="928"/>
      <c r="O296" s="928"/>
      <c r="P296" s="928"/>
      <c r="Q296" s="928"/>
      <c r="R296" s="928"/>
      <c r="S296" s="928"/>
      <c r="T296" s="928"/>
      <c r="U296" s="928"/>
      <c r="V296" s="928"/>
      <c r="W296" s="928"/>
      <c r="X296" s="928"/>
    </row>
    <row r="297">
      <c r="A297" s="928"/>
      <c r="B297" s="928"/>
      <c r="C297" s="928"/>
      <c r="D297" s="928"/>
      <c r="E297" s="928"/>
      <c r="F297" s="928"/>
      <c r="G297" s="928"/>
      <c r="H297" s="928"/>
      <c r="I297" s="928"/>
      <c r="J297" s="928"/>
      <c r="K297" s="928"/>
      <c r="L297" s="928"/>
      <c r="M297" s="928"/>
      <c r="N297" s="928"/>
      <c r="O297" s="928"/>
      <c r="P297" s="928"/>
      <c r="Q297" s="928"/>
      <c r="R297" s="928"/>
      <c r="S297" s="928"/>
      <c r="T297" s="928"/>
      <c r="U297" s="928"/>
      <c r="V297" s="928"/>
      <c r="W297" s="928"/>
      <c r="X297" s="928"/>
    </row>
    <row r="298">
      <c r="A298" s="928"/>
      <c r="B298" s="928"/>
      <c r="C298" s="928"/>
      <c r="D298" s="928"/>
      <c r="E298" s="928"/>
      <c r="F298" s="928"/>
      <c r="G298" s="928"/>
      <c r="H298" s="928"/>
      <c r="I298" s="928"/>
      <c r="J298" s="928"/>
      <c r="K298" s="928"/>
      <c r="L298" s="928"/>
      <c r="M298" s="928"/>
      <c r="N298" s="928"/>
      <c r="O298" s="928"/>
      <c r="P298" s="928"/>
      <c r="Q298" s="928"/>
      <c r="R298" s="928"/>
      <c r="S298" s="928"/>
      <c r="T298" s="928"/>
      <c r="U298" s="928"/>
      <c r="V298" s="928"/>
      <c r="W298" s="928"/>
      <c r="X298" s="928"/>
    </row>
    <row r="299">
      <c r="A299" s="928"/>
      <c r="B299" s="928"/>
      <c r="C299" s="928"/>
      <c r="D299" s="928"/>
      <c r="E299" s="928"/>
      <c r="F299" s="928"/>
      <c r="G299" s="928"/>
      <c r="H299" s="928"/>
      <c r="I299" s="928"/>
      <c r="J299" s="928"/>
      <c r="K299" s="928"/>
      <c r="L299" s="928"/>
      <c r="M299" s="928"/>
      <c r="N299" s="928"/>
      <c r="O299" s="928"/>
      <c r="P299" s="928"/>
      <c r="Q299" s="928"/>
      <c r="R299" s="928"/>
      <c r="S299" s="928"/>
      <c r="T299" s="928"/>
      <c r="U299" s="928"/>
      <c r="V299" s="928"/>
      <c r="W299" s="928"/>
      <c r="X299" s="928"/>
    </row>
    <row r="300">
      <c r="A300" s="928"/>
      <c r="B300" s="928"/>
      <c r="C300" s="928"/>
      <c r="D300" s="928"/>
      <c r="E300" s="928"/>
      <c r="F300" s="928"/>
      <c r="G300" s="928"/>
      <c r="H300" s="928"/>
      <c r="I300" s="928"/>
      <c r="J300" s="928"/>
      <c r="K300" s="928"/>
      <c r="L300" s="928"/>
      <c r="M300" s="928"/>
      <c r="N300" s="928"/>
      <c r="O300" s="928"/>
      <c r="P300" s="928"/>
      <c r="Q300" s="928"/>
      <c r="R300" s="928"/>
      <c r="S300" s="928"/>
      <c r="T300" s="928"/>
      <c r="U300" s="928"/>
      <c r="V300" s="928"/>
      <c r="W300" s="928"/>
      <c r="X300" s="928"/>
    </row>
    <row r="301">
      <c r="A301" s="928"/>
      <c r="B301" s="928"/>
      <c r="C301" s="928"/>
      <c r="D301" s="928"/>
      <c r="E301" s="928"/>
      <c r="F301" s="928"/>
      <c r="G301" s="928"/>
      <c r="H301" s="928"/>
      <c r="I301" s="928"/>
      <c r="J301" s="928"/>
      <c r="K301" s="928"/>
      <c r="L301" s="928"/>
      <c r="M301" s="928"/>
      <c r="N301" s="928"/>
      <c r="O301" s="928"/>
      <c r="P301" s="928"/>
      <c r="Q301" s="928"/>
      <c r="R301" s="928"/>
      <c r="S301" s="928"/>
      <c r="T301" s="928"/>
      <c r="U301" s="928"/>
      <c r="V301" s="928"/>
      <c r="W301" s="928"/>
      <c r="X301" s="928"/>
    </row>
    <row r="302">
      <c r="A302" s="928"/>
      <c r="B302" s="928"/>
      <c r="C302" s="928"/>
      <c r="D302" s="928"/>
      <c r="E302" s="928"/>
      <c r="F302" s="928"/>
      <c r="G302" s="928"/>
      <c r="H302" s="928"/>
      <c r="I302" s="928"/>
      <c r="J302" s="928"/>
      <c r="K302" s="928"/>
      <c r="L302" s="928"/>
      <c r="M302" s="928"/>
      <c r="N302" s="928"/>
      <c r="O302" s="928"/>
      <c r="P302" s="928"/>
      <c r="Q302" s="928"/>
      <c r="R302" s="928"/>
      <c r="S302" s="928"/>
      <c r="T302" s="928"/>
      <c r="U302" s="928"/>
      <c r="V302" s="928"/>
      <c r="W302" s="928"/>
      <c r="X302" s="928"/>
    </row>
    <row r="303">
      <c r="A303" s="928"/>
      <c r="B303" s="928"/>
      <c r="C303" s="928"/>
      <c r="D303" s="928"/>
      <c r="E303" s="928"/>
      <c r="F303" s="928"/>
      <c r="G303" s="928"/>
      <c r="H303" s="928"/>
      <c r="I303" s="928"/>
      <c r="J303" s="928"/>
      <c r="K303" s="928"/>
      <c r="L303" s="928"/>
      <c r="M303" s="928"/>
      <c r="N303" s="928"/>
      <c r="O303" s="928"/>
      <c r="P303" s="928"/>
      <c r="Q303" s="928"/>
      <c r="R303" s="928"/>
      <c r="S303" s="928"/>
      <c r="T303" s="928"/>
      <c r="U303" s="928"/>
      <c r="V303" s="928"/>
      <c r="W303" s="928"/>
      <c r="X303" s="928"/>
    </row>
    <row r="304">
      <c r="A304" s="928"/>
      <c r="B304" s="928"/>
      <c r="C304" s="928"/>
      <c r="D304" s="928"/>
      <c r="E304" s="928"/>
      <c r="F304" s="928"/>
      <c r="G304" s="928"/>
      <c r="H304" s="928"/>
      <c r="I304" s="928"/>
      <c r="J304" s="928"/>
      <c r="K304" s="928"/>
      <c r="L304" s="928"/>
      <c r="M304" s="928"/>
      <c r="N304" s="928"/>
      <c r="O304" s="928"/>
      <c r="P304" s="928"/>
      <c r="Q304" s="928"/>
      <c r="R304" s="928"/>
      <c r="S304" s="928"/>
      <c r="T304" s="928"/>
      <c r="U304" s="928"/>
      <c r="V304" s="928"/>
      <c r="W304" s="928"/>
      <c r="X304" s="928"/>
    </row>
    <row r="305">
      <c r="A305" s="928"/>
      <c r="B305" s="928"/>
      <c r="C305" s="928"/>
      <c r="D305" s="928"/>
      <c r="E305" s="928"/>
      <c r="F305" s="928"/>
      <c r="G305" s="928"/>
      <c r="H305" s="928"/>
      <c r="I305" s="928"/>
      <c r="J305" s="928"/>
      <c r="K305" s="928"/>
      <c r="L305" s="928"/>
      <c r="M305" s="928"/>
      <c r="N305" s="928"/>
      <c r="O305" s="928"/>
      <c r="P305" s="928"/>
      <c r="Q305" s="928"/>
      <c r="R305" s="928"/>
      <c r="S305" s="928"/>
      <c r="T305" s="928"/>
      <c r="U305" s="928"/>
      <c r="V305" s="928"/>
      <c r="W305" s="928"/>
      <c r="X305" s="928"/>
    </row>
    <row r="306">
      <c r="A306" s="928"/>
      <c r="B306" s="928"/>
      <c r="C306" s="928"/>
      <c r="D306" s="928"/>
      <c r="E306" s="928"/>
      <c r="F306" s="928"/>
      <c r="G306" s="928"/>
      <c r="H306" s="928"/>
      <c r="I306" s="928"/>
      <c r="J306" s="928"/>
      <c r="K306" s="928"/>
      <c r="L306" s="928"/>
      <c r="M306" s="928"/>
      <c r="N306" s="928"/>
      <c r="O306" s="928"/>
      <c r="P306" s="928"/>
      <c r="Q306" s="928"/>
      <c r="R306" s="928"/>
      <c r="S306" s="928"/>
      <c r="T306" s="928"/>
      <c r="U306" s="928"/>
      <c r="V306" s="928"/>
      <c r="W306" s="928"/>
      <c r="X306" s="928"/>
    </row>
    <row r="307">
      <c r="A307" s="928"/>
      <c r="B307" s="928"/>
      <c r="C307" s="928"/>
      <c r="D307" s="928"/>
      <c r="E307" s="928"/>
      <c r="F307" s="928"/>
      <c r="G307" s="928"/>
      <c r="H307" s="928"/>
      <c r="I307" s="928"/>
      <c r="J307" s="928"/>
      <c r="K307" s="928"/>
      <c r="L307" s="928"/>
      <c r="M307" s="928"/>
      <c r="N307" s="928"/>
      <c r="O307" s="928"/>
      <c r="P307" s="928"/>
      <c r="Q307" s="928"/>
      <c r="R307" s="928"/>
      <c r="S307" s="928"/>
      <c r="T307" s="928"/>
      <c r="U307" s="928"/>
      <c r="V307" s="928"/>
      <c r="W307" s="928"/>
      <c r="X307" s="928"/>
    </row>
    <row r="308">
      <c r="A308" s="928"/>
      <c r="B308" s="928"/>
      <c r="C308" s="928"/>
      <c r="D308" s="928"/>
      <c r="E308" s="928"/>
      <c r="F308" s="928"/>
      <c r="G308" s="928"/>
      <c r="H308" s="928"/>
      <c r="I308" s="928"/>
      <c r="J308" s="928"/>
      <c r="K308" s="928"/>
      <c r="L308" s="928"/>
      <c r="M308" s="928"/>
      <c r="N308" s="928"/>
      <c r="O308" s="928"/>
      <c r="P308" s="928"/>
      <c r="Q308" s="928"/>
      <c r="R308" s="928"/>
      <c r="S308" s="928"/>
      <c r="T308" s="928"/>
      <c r="U308" s="928"/>
      <c r="V308" s="928"/>
      <c r="W308" s="928"/>
      <c r="X308" s="928"/>
    </row>
    <row r="309">
      <c r="A309" s="928"/>
      <c r="B309" s="928"/>
      <c r="C309" s="928"/>
      <c r="D309" s="928"/>
      <c r="E309" s="928"/>
      <c r="F309" s="928"/>
      <c r="G309" s="928"/>
      <c r="H309" s="928"/>
      <c r="I309" s="928"/>
      <c r="J309" s="928"/>
      <c r="K309" s="928"/>
      <c r="L309" s="928"/>
      <c r="M309" s="928"/>
      <c r="N309" s="928"/>
      <c r="O309" s="928"/>
      <c r="P309" s="928"/>
      <c r="Q309" s="928"/>
      <c r="R309" s="928"/>
      <c r="S309" s="928"/>
      <c r="T309" s="928"/>
      <c r="U309" s="928"/>
      <c r="V309" s="928"/>
      <c r="W309" s="928"/>
      <c r="X309" s="928"/>
    </row>
    <row r="310">
      <c r="A310" s="928"/>
      <c r="B310" s="928"/>
      <c r="C310" s="928"/>
      <c r="D310" s="928"/>
      <c r="E310" s="928"/>
      <c r="F310" s="928"/>
      <c r="G310" s="928"/>
      <c r="H310" s="928"/>
      <c r="I310" s="928"/>
      <c r="J310" s="928"/>
      <c r="K310" s="928"/>
      <c r="L310" s="928"/>
      <c r="M310" s="928"/>
      <c r="N310" s="928"/>
      <c r="O310" s="928"/>
      <c r="P310" s="928"/>
      <c r="Q310" s="928"/>
      <c r="R310" s="928"/>
      <c r="S310" s="928"/>
      <c r="T310" s="928"/>
      <c r="U310" s="928"/>
      <c r="V310" s="928"/>
      <c r="W310" s="928"/>
      <c r="X310" s="928"/>
    </row>
    <row r="311">
      <c r="A311" s="928"/>
      <c r="B311" s="928"/>
      <c r="C311" s="928"/>
      <c r="D311" s="928"/>
      <c r="E311" s="928"/>
      <c r="F311" s="928"/>
      <c r="G311" s="928"/>
      <c r="H311" s="928"/>
      <c r="I311" s="928"/>
      <c r="J311" s="928"/>
      <c r="K311" s="928"/>
      <c r="L311" s="928"/>
      <c r="M311" s="928"/>
      <c r="N311" s="928"/>
      <c r="O311" s="928"/>
      <c r="P311" s="928"/>
      <c r="Q311" s="928"/>
      <c r="R311" s="928"/>
      <c r="S311" s="928"/>
      <c r="T311" s="928"/>
      <c r="U311" s="928"/>
      <c r="V311" s="928"/>
      <c r="W311" s="928"/>
      <c r="X311" s="928"/>
    </row>
    <row r="312">
      <c r="A312" s="928"/>
      <c r="B312" s="928"/>
      <c r="C312" s="928"/>
      <c r="D312" s="928"/>
      <c r="E312" s="928"/>
      <c r="F312" s="928"/>
      <c r="G312" s="928"/>
      <c r="H312" s="928"/>
      <c r="I312" s="928"/>
      <c r="J312" s="928"/>
      <c r="K312" s="928"/>
      <c r="L312" s="928"/>
      <c r="M312" s="928"/>
      <c r="N312" s="928"/>
      <c r="O312" s="928"/>
      <c r="P312" s="928"/>
      <c r="Q312" s="928"/>
      <c r="R312" s="928"/>
      <c r="S312" s="928"/>
      <c r="T312" s="928"/>
      <c r="U312" s="928"/>
      <c r="V312" s="928"/>
      <c r="W312" s="928"/>
      <c r="X312" s="928"/>
    </row>
    <row r="313">
      <c r="A313" s="928"/>
      <c r="B313" s="928"/>
      <c r="C313" s="928"/>
      <c r="D313" s="928"/>
      <c r="E313" s="928"/>
      <c r="F313" s="928"/>
      <c r="G313" s="928"/>
      <c r="H313" s="928"/>
      <c r="I313" s="928"/>
      <c r="J313" s="928"/>
      <c r="K313" s="928"/>
      <c r="L313" s="928"/>
      <c r="M313" s="928"/>
      <c r="N313" s="928"/>
      <c r="O313" s="928"/>
      <c r="P313" s="928"/>
      <c r="Q313" s="928"/>
      <c r="R313" s="928"/>
      <c r="S313" s="928"/>
      <c r="T313" s="928"/>
      <c r="U313" s="928"/>
      <c r="V313" s="928"/>
      <c r="W313" s="928"/>
      <c r="X313" s="928"/>
    </row>
    <row r="314">
      <c r="A314" s="928"/>
      <c r="B314" s="928"/>
      <c r="C314" s="928"/>
      <c r="D314" s="928"/>
      <c r="E314" s="928"/>
      <c r="F314" s="928"/>
      <c r="G314" s="928"/>
      <c r="H314" s="928"/>
      <c r="I314" s="928"/>
      <c r="J314" s="928"/>
      <c r="K314" s="928"/>
      <c r="L314" s="928"/>
      <c r="M314" s="928"/>
      <c r="N314" s="928"/>
      <c r="O314" s="928"/>
      <c r="P314" s="928"/>
      <c r="Q314" s="928"/>
      <c r="R314" s="928"/>
      <c r="S314" s="928"/>
      <c r="T314" s="928"/>
      <c r="U314" s="928"/>
      <c r="V314" s="928"/>
      <c r="W314" s="928"/>
      <c r="X314" s="928"/>
    </row>
    <row r="315">
      <c r="A315" s="928"/>
      <c r="B315" s="928"/>
      <c r="C315" s="928"/>
      <c r="D315" s="928"/>
      <c r="E315" s="928"/>
      <c r="F315" s="928"/>
      <c r="G315" s="928"/>
      <c r="H315" s="928"/>
      <c r="I315" s="928"/>
      <c r="J315" s="928"/>
      <c r="K315" s="928"/>
      <c r="L315" s="928"/>
      <c r="M315" s="928"/>
      <c r="N315" s="928"/>
      <c r="O315" s="928"/>
      <c r="P315" s="928"/>
      <c r="Q315" s="928"/>
      <c r="R315" s="928"/>
      <c r="S315" s="928"/>
      <c r="T315" s="928"/>
      <c r="U315" s="928"/>
      <c r="V315" s="928"/>
      <c r="W315" s="928"/>
      <c r="X315" s="928"/>
    </row>
    <row r="316">
      <c r="A316" s="928"/>
      <c r="B316" s="928"/>
      <c r="C316" s="928"/>
      <c r="D316" s="928"/>
      <c r="E316" s="928"/>
      <c r="F316" s="928"/>
      <c r="G316" s="928"/>
      <c r="H316" s="928"/>
      <c r="I316" s="928"/>
      <c r="J316" s="928"/>
      <c r="K316" s="928"/>
      <c r="L316" s="928"/>
      <c r="M316" s="928"/>
      <c r="N316" s="928"/>
      <c r="O316" s="928"/>
      <c r="P316" s="928"/>
      <c r="Q316" s="928"/>
      <c r="R316" s="928"/>
      <c r="S316" s="928"/>
      <c r="T316" s="928"/>
      <c r="U316" s="928"/>
      <c r="V316" s="928"/>
      <c r="W316" s="928"/>
      <c r="X316" s="928"/>
    </row>
    <row r="317">
      <c r="A317" s="928"/>
      <c r="B317" s="928"/>
      <c r="C317" s="928"/>
      <c r="D317" s="928"/>
      <c r="E317" s="928"/>
      <c r="F317" s="928"/>
      <c r="G317" s="928"/>
      <c r="H317" s="928"/>
      <c r="I317" s="928"/>
      <c r="J317" s="928"/>
      <c r="K317" s="928"/>
      <c r="L317" s="928"/>
      <c r="M317" s="928"/>
      <c r="N317" s="928"/>
      <c r="O317" s="928"/>
      <c r="P317" s="928"/>
      <c r="Q317" s="928"/>
      <c r="R317" s="928"/>
      <c r="S317" s="928"/>
      <c r="T317" s="928"/>
      <c r="U317" s="928"/>
      <c r="V317" s="928"/>
      <c r="W317" s="928"/>
      <c r="X317" s="928"/>
    </row>
    <row r="318">
      <c r="A318" s="928"/>
      <c r="B318" s="928"/>
      <c r="C318" s="928"/>
      <c r="D318" s="928"/>
      <c r="E318" s="928"/>
      <c r="F318" s="928"/>
      <c r="G318" s="928"/>
      <c r="H318" s="928"/>
      <c r="I318" s="928"/>
      <c r="J318" s="928"/>
      <c r="K318" s="928"/>
      <c r="L318" s="928"/>
      <c r="M318" s="928"/>
      <c r="N318" s="928"/>
      <c r="O318" s="928"/>
      <c r="P318" s="928"/>
      <c r="Q318" s="928"/>
      <c r="R318" s="928"/>
      <c r="S318" s="928"/>
      <c r="T318" s="928"/>
      <c r="U318" s="928"/>
      <c r="V318" s="928"/>
      <c r="W318" s="928"/>
      <c r="X318" s="928"/>
    </row>
    <row r="319">
      <c r="A319" s="928"/>
      <c r="B319" s="928"/>
      <c r="C319" s="928"/>
      <c r="D319" s="928"/>
      <c r="E319" s="928"/>
      <c r="F319" s="928"/>
      <c r="G319" s="928"/>
      <c r="H319" s="928"/>
      <c r="I319" s="928"/>
      <c r="J319" s="928"/>
      <c r="K319" s="928"/>
      <c r="L319" s="928"/>
      <c r="M319" s="928"/>
      <c r="N319" s="928"/>
      <c r="O319" s="928"/>
      <c r="P319" s="928"/>
      <c r="Q319" s="928"/>
      <c r="R319" s="928"/>
      <c r="S319" s="928"/>
      <c r="T319" s="928"/>
      <c r="U319" s="928"/>
      <c r="V319" s="928"/>
      <c r="W319" s="928"/>
      <c r="X319" s="928"/>
    </row>
    <row r="320">
      <c r="A320" s="928"/>
      <c r="B320" s="928"/>
      <c r="C320" s="928"/>
      <c r="D320" s="928"/>
      <c r="E320" s="928"/>
      <c r="F320" s="928"/>
      <c r="G320" s="928"/>
      <c r="H320" s="928"/>
      <c r="I320" s="928"/>
      <c r="J320" s="928"/>
      <c r="K320" s="928"/>
      <c r="L320" s="928"/>
      <c r="M320" s="928"/>
      <c r="N320" s="928"/>
      <c r="O320" s="928"/>
      <c r="P320" s="928"/>
      <c r="Q320" s="928"/>
      <c r="R320" s="928"/>
      <c r="S320" s="928"/>
      <c r="T320" s="928"/>
      <c r="U320" s="928"/>
      <c r="V320" s="928"/>
      <c r="W320" s="928"/>
      <c r="X320" s="928"/>
    </row>
    <row r="321">
      <c r="A321" s="928"/>
      <c r="B321" s="928"/>
      <c r="C321" s="928"/>
      <c r="D321" s="928"/>
      <c r="E321" s="928"/>
      <c r="F321" s="928"/>
      <c r="G321" s="928"/>
      <c r="H321" s="928"/>
      <c r="I321" s="928"/>
      <c r="J321" s="928"/>
      <c r="K321" s="928"/>
      <c r="L321" s="928"/>
      <c r="M321" s="928"/>
      <c r="N321" s="928"/>
      <c r="O321" s="928"/>
      <c r="P321" s="928"/>
      <c r="Q321" s="928"/>
      <c r="R321" s="928"/>
      <c r="S321" s="928"/>
      <c r="T321" s="928"/>
      <c r="U321" s="928"/>
      <c r="V321" s="928"/>
      <c r="W321" s="928"/>
      <c r="X321" s="928"/>
    </row>
    <row r="322">
      <c r="A322" s="928"/>
      <c r="B322" s="928"/>
      <c r="C322" s="928"/>
      <c r="D322" s="928"/>
      <c r="E322" s="928"/>
      <c r="F322" s="928"/>
      <c r="G322" s="928"/>
      <c r="H322" s="928"/>
      <c r="I322" s="928"/>
      <c r="J322" s="928"/>
      <c r="K322" s="928"/>
      <c r="L322" s="928"/>
      <c r="M322" s="928"/>
      <c r="N322" s="928"/>
      <c r="O322" s="928"/>
      <c r="P322" s="928"/>
      <c r="Q322" s="928"/>
      <c r="R322" s="928"/>
      <c r="S322" s="928"/>
      <c r="T322" s="928"/>
      <c r="U322" s="928"/>
      <c r="V322" s="928"/>
      <c r="W322" s="928"/>
      <c r="X322" s="928"/>
    </row>
    <row r="323">
      <c r="A323" s="928"/>
      <c r="B323" s="928"/>
      <c r="C323" s="928"/>
      <c r="D323" s="928"/>
      <c r="E323" s="928"/>
      <c r="F323" s="928"/>
      <c r="G323" s="928"/>
      <c r="H323" s="928"/>
      <c r="I323" s="928"/>
      <c r="J323" s="928"/>
      <c r="K323" s="928"/>
      <c r="L323" s="928"/>
      <c r="M323" s="928"/>
      <c r="N323" s="928"/>
      <c r="O323" s="928"/>
      <c r="P323" s="928"/>
      <c r="Q323" s="928"/>
      <c r="R323" s="928"/>
      <c r="S323" s="928"/>
      <c r="T323" s="928"/>
      <c r="U323" s="928"/>
      <c r="V323" s="928"/>
      <c r="W323" s="928"/>
      <c r="X323" s="928"/>
    </row>
    <row r="324">
      <c r="A324" s="928"/>
      <c r="B324" s="928"/>
      <c r="C324" s="928"/>
      <c r="D324" s="928"/>
      <c r="E324" s="928"/>
      <c r="F324" s="928"/>
      <c r="G324" s="928"/>
      <c r="H324" s="928"/>
      <c r="I324" s="928"/>
      <c r="J324" s="928"/>
      <c r="K324" s="928"/>
      <c r="L324" s="928"/>
      <c r="M324" s="928"/>
      <c r="N324" s="928"/>
      <c r="O324" s="928"/>
      <c r="P324" s="928"/>
      <c r="Q324" s="928"/>
      <c r="R324" s="928"/>
      <c r="S324" s="928"/>
      <c r="T324" s="928"/>
      <c r="U324" s="928"/>
      <c r="V324" s="928"/>
      <c r="W324" s="928"/>
      <c r="X324" s="928"/>
    </row>
    <row r="325">
      <c r="A325" s="928"/>
      <c r="B325" s="928"/>
      <c r="C325" s="928"/>
      <c r="D325" s="928"/>
      <c r="E325" s="928"/>
      <c r="F325" s="928"/>
      <c r="G325" s="928"/>
      <c r="H325" s="928"/>
      <c r="I325" s="928"/>
      <c r="J325" s="928"/>
      <c r="K325" s="928"/>
      <c r="L325" s="928"/>
      <c r="M325" s="928"/>
      <c r="N325" s="928"/>
      <c r="O325" s="928"/>
      <c r="P325" s="928"/>
      <c r="Q325" s="928"/>
      <c r="R325" s="928"/>
      <c r="S325" s="928"/>
      <c r="T325" s="928"/>
      <c r="U325" s="928"/>
      <c r="V325" s="928"/>
      <c r="W325" s="928"/>
      <c r="X325" s="928"/>
    </row>
    <row r="326">
      <c r="A326" s="928"/>
      <c r="B326" s="928"/>
      <c r="C326" s="928"/>
      <c r="D326" s="928"/>
      <c r="E326" s="928"/>
      <c r="F326" s="928"/>
      <c r="G326" s="928"/>
      <c r="H326" s="928"/>
      <c r="I326" s="928"/>
      <c r="J326" s="928"/>
      <c r="K326" s="928"/>
      <c r="L326" s="928"/>
      <c r="M326" s="928"/>
      <c r="N326" s="928"/>
      <c r="O326" s="928"/>
      <c r="P326" s="928"/>
      <c r="Q326" s="928"/>
      <c r="R326" s="928"/>
      <c r="S326" s="928"/>
      <c r="T326" s="928"/>
      <c r="U326" s="928"/>
      <c r="V326" s="928"/>
      <c r="W326" s="928"/>
      <c r="X326" s="928"/>
    </row>
    <row r="327">
      <c r="A327" s="928"/>
      <c r="B327" s="928"/>
      <c r="C327" s="928"/>
      <c r="D327" s="928"/>
      <c r="E327" s="928"/>
      <c r="F327" s="928"/>
      <c r="G327" s="928"/>
      <c r="H327" s="928"/>
      <c r="I327" s="928"/>
      <c r="J327" s="928"/>
      <c r="K327" s="928"/>
      <c r="L327" s="928"/>
      <c r="M327" s="928"/>
      <c r="N327" s="928"/>
      <c r="O327" s="928"/>
      <c r="P327" s="928"/>
      <c r="Q327" s="928"/>
      <c r="R327" s="928"/>
      <c r="S327" s="928"/>
      <c r="T327" s="928"/>
      <c r="U327" s="928"/>
      <c r="V327" s="928"/>
      <c r="W327" s="928"/>
      <c r="X327" s="928"/>
    </row>
    <row r="328">
      <c r="A328" s="928"/>
      <c r="B328" s="928"/>
      <c r="C328" s="928"/>
      <c r="D328" s="928"/>
      <c r="E328" s="928"/>
      <c r="F328" s="928"/>
      <c r="G328" s="928"/>
      <c r="H328" s="928"/>
      <c r="I328" s="928"/>
      <c r="J328" s="928"/>
      <c r="K328" s="928"/>
      <c r="L328" s="928"/>
      <c r="M328" s="928"/>
      <c r="N328" s="928"/>
      <c r="O328" s="928"/>
      <c r="P328" s="928"/>
      <c r="Q328" s="928"/>
      <c r="R328" s="928"/>
      <c r="S328" s="928"/>
      <c r="T328" s="928"/>
      <c r="U328" s="928"/>
      <c r="V328" s="928"/>
      <c r="W328" s="928"/>
      <c r="X328" s="928"/>
    </row>
    <row r="329">
      <c r="A329" s="928"/>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row>
    <row r="330">
      <c r="A330" s="928"/>
      <c r="B330" s="928"/>
      <c r="C330" s="928"/>
      <c r="D330" s="928"/>
      <c r="E330" s="928"/>
      <c r="F330" s="928"/>
      <c r="G330" s="928"/>
      <c r="H330" s="928"/>
      <c r="I330" s="928"/>
      <c r="J330" s="928"/>
      <c r="K330" s="928"/>
      <c r="L330" s="928"/>
      <c r="M330" s="928"/>
      <c r="N330" s="928"/>
      <c r="O330" s="928"/>
      <c r="P330" s="928"/>
      <c r="Q330" s="928"/>
      <c r="R330" s="928"/>
      <c r="S330" s="928"/>
      <c r="T330" s="928"/>
      <c r="U330" s="928"/>
      <c r="V330" s="928"/>
      <c r="W330" s="928"/>
      <c r="X330" s="928"/>
    </row>
    <row r="331">
      <c r="A331" s="928"/>
      <c r="B331" s="928"/>
      <c r="C331" s="928"/>
      <c r="D331" s="928"/>
      <c r="E331" s="928"/>
      <c r="F331" s="928"/>
      <c r="G331" s="928"/>
      <c r="H331" s="928"/>
      <c r="I331" s="928"/>
      <c r="J331" s="928"/>
      <c r="K331" s="928"/>
      <c r="L331" s="928"/>
      <c r="M331" s="928"/>
      <c r="N331" s="928"/>
      <c r="O331" s="928"/>
      <c r="P331" s="928"/>
      <c r="Q331" s="928"/>
      <c r="R331" s="928"/>
      <c r="S331" s="928"/>
      <c r="T331" s="928"/>
      <c r="U331" s="928"/>
      <c r="V331" s="928"/>
      <c r="W331" s="928"/>
      <c r="X331" s="928"/>
    </row>
    <row r="332">
      <c r="A332" s="928"/>
      <c r="B332" s="928"/>
      <c r="C332" s="928"/>
      <c r="D332" s="928"/>
      <c r="E332" s="928"/>
      <c r="F332" s="928"/>
      <c r="G332" s="928"/>
      <c r="H332" s="928"/>
      <c r="I332" s="928"/>
      <c r="J332" s="928"/>
      <c r="K332" s="928"/>
      <c r="L332" s="928"/>
      <c r="M332" s="928"/>
      <c r="N332" s="928"/>
      <c r="O332" s="928"/>
      <c r="P332" s="928"/>
      <c r="Q332" s="928"/>
      <c r="R332" s="928"/>
      <c r="S332" s="928"/>
      <c r="T332" s="928"/>
      <c r="U332" s="928"/>
      <c r="V332" s="928"/>
      <c r="W332" s="928"/>
      <c r="X332" s="928"/>
    </row>
    <row r="333">
      <c r="A333" s="928"/>
      <c r="B333" s="928"/>
      <c r="C333" s="928"/>
      <c r="D333" s="928"/>
      <c r="E333" s="928"/>
      <c r="F333" s="928"/>
      <c r="G333" s="928"/>
      <c r="H333" s="928"/>
      <c r="I333" s="928"/>
      <c r="J333" s="928"/>
      <c r="K333" s="928"/>
      <c r="L333" s="928"/>
      <c r="M333" s="928"/>
      <c r="N333" s="928"/>
      <c r="O333" s="928"/>
      <c r="P333" s="928"/>
      <c r="Q333" s="928"/>
      <c r="R333" s="928"/>
      <c r="S333" s="928"/>
      <c r="T333" s="928"/>
      <c r="U333" s="928"/>
      <c r="V333" s="928"/>
      <c r="W333" s="928"/>
      <c r="X333" s="928"/>
    </row>
    <row r="334">
      <c r="A334" s="928"/>
      <c r="B334" s="928"/>
      <c r="C334" s="928"/>
      <c r="D334" s="928"/>
      <c r="E334" s="928"/>
      <c r="F334" s="928"/>
      <c r="G334" s="928"/>
      <c r="H334" s="928"/>
      <c r="I334" s="928"/>
      <c r="J334" s="928"/>
      <c r="K334" s="928"/>
      <c r="L334" s="928"/>
      <c r="M334" s="928"/>
      <c r="N334" s="928"/>
      <c r="O334" s="928"/>
      <c r="P334" s="928"/>
      <c r="Q334" s="928"/>
      <c r="R334" s="928"/>
      <c r="S334" s="928"/>
      <c r="T334" s="928"/>
      <c r="U334" s="928"/>
      <c r="V334" s="928"/>
      <c r="W334" s="928"/>
      <c r="X334" s="928"/>
    </row>
    <row r="335">
      <c r="A335" s="928"/>
      <c r="B335" s="928"/>
      <c r="C335" s="928"/>
      <c r="D335" s="928"/>
      <c r="E335" s="928"/>
      <c r="F335" s="928"/>
      <c r="G335" s="928"/>
      <c r="H335" s="928"/>
      <c r="I335" s="928"/>
      <c r="J335" s="928"/>
      <c r="K335" s="928"/>
      <c r="L335" s="928"/>
      <c r="M335" s="928"/>
      <c r="N335" s="928"/>
      <c r="O335" s="928"/>
      <c r="P335" s="928"/>
      <c r="Q335" s="928"/>
      <c r="R335" s="928"/>
      <c r="S335" s="928"/>
      <c r="T335" s="928"/>
      <c r="U335" s="928"/>
      <c r="V335" s="928"/>
      <c r="W335" s="928"/>
      <c r="X335" s="928"/>
    </row>
    <row r="336">
      <c r="A336" s="928"/>
      <c r="B336" s="928"/>
      <c r="C336" s="928"/>
      <c r="D336" s="928"/>
      <c r="E336" s="928"/>
      <c r="F336" s="928"/>
      <c r="G336" s="928"/>
      <c r="H336" s="928"/>
      <c r="I336" s="928"/>
      <c r="J336" s="928"/>
      <c r="K336" s="928"/>
      <c r="L336" s="928"/>
      <c r="M336" s="928"/>
      <c r="N336" s="928"/>
      <c r="O336" s="928"/>
      <c r="P336" s="928"/>
      <c r="Q336" s="928"/>
      <c r="R336" s="928"/>
      <c r="S336" s="928"/>
      <c r="T336" s="928"/>
      <c r="U336" s="928"/>
      <c r="V336" s="928"/>
      <c r="W336" s="928"/>
      <c r="X336" s="928"/>
    </row>
    <row r="337">
      <c r="A337" s="928"/>
      <c r="B337" s="928"/>
      <c r="C337" s="928"/>
      <c r="D337" s="928"/>
      <c r="E337" s="928"/>
      <c r="F337" s="928"/>
      <c r="G337" s="928"/>
      <c r="H337" s="928"/>
      <c r="I337" s="928"/>
      <c r="J337" s="928"/>
      <c r="K337" s="928"/>
      <c r="L337" s="928"/>
      <c r="M337" s="928"/>
      <c r="N337" s="928"/>
      <c r="O337" s="928"/>
      <c r="P337" s="928"/>
      <c r="Q337" s="928"/>
      <c r="R337" s="928"/>
      <c r="S337" s="928"/>
      <c r="T337" s="928"/>
      <c r="U337" s="928"/>
      <c r="V337" s="928"/>
      <c r="W337" s="928"/>
      <c r="X337" s="928"/>
    </row>
    <row r="338">
      <c r="A338" s="928"/>
      <c r="B338" s="928"/>
      <c r="C338" s="928"/>
      <c r="D338" s="928"/>
      <c r="E338" s="928"/>
      <c r="F338" s="928"/>
      <c r="G338" s="928"/>
      <c r="H338" s="928"/>
      <c r="I338" s="928"/>
      <c r="J338" s="928"/>
      <c r="K338" s="928"/>
      <c r="L338" s="928"/>
      <c r="M338" s="928"/>
      <c r="N338" s="928"/>
      <c r="O338" s="928"/>
      <c r="P338" s="928"/>
      <c r="Q338" s="928"/>
      <c r="R338" s="928"/>
      <c r="S338" s="928"/>
      <c r="T338" s="928"/>
      <c r="U338" s="928"/>
      <c r="V338" s="928"/>
      <c r="W338" s="928"/>
      <c r="X338" s="928"/>
    </row>
    <row r="339">
      <c r="A339" s="928"/>
      <c r="B339" s="928"/>
      <c r="C339" s="928"/>
      <c r="D339" s="928"/>
      <c r="E339" s="928"/>
      <c r="F339" s="928"/>
      <c r="G339" s="928"/>
      <c r="H339" s="928"/>
      <c r="I339" s="928"/>
      <c r="J339" s="928"/>
      <c r="K339" s="928"/>
      <c r="L339" s="928"/>
      <c r="M339" s="928"/>
      <c r="N339" s="928"/>
      <c r="O339" s="928"/>
      <c r="P339" s="928"/>
      <c r="Q339" s="928"/>
      <c r="R339" s="928"/>
      <c r="S339" s="928"/>
      <c r="T339" s="928"/>
      <c r="U339" s="928"/>
      <c r="V339" s="928"/>
      <c r="W339" s="928"/>
      <c r="X339" s="928"/>
    </row>
    <row r="340">
      <c r="A340" s="928"/>
      <c r="B340" s="928"/>
      <c r="C340" s="928"/>
      <c r="D340" s="928"/>
      <c r="E340" s="928"/>
      <c r="F340" s="928"/>
      <c r="G340" s="928"/>
      <c r="H340" s="928"/>
      <c r="I340" s="928"/>
      <c r="J340" s="928"/>
      <c r="K340" s="928"/>
      <c r="L340" s="928"/>
      <c r="M340" s="928"/>
      <c r="N340" s="928"/>
      <c r="O340" s="928"/>
      <c r="P340" s="928"/>
      <c r="Q340" s="928"/>
      <c r="R340" s="928"/>
      <c r="S340" s="928"/>
      <c r="T340" s="928"/>
      <c r="U340" s="928"/>
      <c r="V340" s="928"/>
      <c r="W340" s="928"/>
      <c r="X340" s="928"/>
    </row>
    <row r="341">
      <c r="A341" s="928"/>
      <c r="B341" s="928"/>
      <c r="C341" s="928"/>
      <c r="D341" s="928"/>
      <c r="E341" s="928"/>
      <c r="F341" s="928"/>
      <c r="G341" s="928"/>
      <c r="H341" s="928"/>
      <c r="I341" s="928"/>
      <c r="J341" s="928"/>
      <c r="K341" s="928"/>
      <c r="L341" s="928"/>
      <c r="M341" s="928"/>
      <c r="N341" s="928"/>
      <c r="O341" s="928"/>
      <c r="P341" s="928"/>
      <c r="Q341" s="928"/>
      <c r="R341" s="928"/>
      <c r="S341" s="928"/>
      <c r="T341" s="928"/>
      <c r="U341" s="928"/>
      <c r="V341" s="928"/>
      <c r="W341" s="928"/>
      <c r="X341" s="928"/>
    </row>
    <row r="342">
      <c r="A342" s="928"/>
      <c r="B342" s="928"/>
      <c r="C342" s="928"/>
      <c r="D342" s="928"/>
      <c r="E342" s="928"/>
      <c r="F342" s="928"/>
      <c r="G342" s="928"/>
      <c r="H342" s="928"/>
      <c r="I342" s="928"/>
      <c r="J342" s="928"/>
      <c r="K342" s="928"/>
      <c r="L342" s="928"/>
      <c r="M342" s="928"/>
      <c r="N342" s="928"/>
      <c r="O342" s="928"/>
      <c r="P342" s="928"/>
      <c r="Q342" s="928"/>
      <c r="R342" s="928"/>
      <c r="S342" s="928"/>
      <c r="T342" s="928"/>
      <c r="U342" s="928"/>
      <c r="V342" s="928"/>
      <c r="W342" s="928"/>
      <c r="X342" s="928"/>
    </row>
    <row r="343">
      <c r="A343" s="928"/>
      <c r="B343" s="928"/>
      <c r="C343" s="928"/>
      <c r="D343" s="928"/>
      <c r="E343" s="928"/>
      <c r="F343" s="928"/>
      <c r="G343" s="928"/>
      <c r="H343" s="928"/>
      <c r="I343" s="928"/>
      <c r="J343" s="928"/>
      <c r="K343" s="928"/>
      <c r="L343" s="928"/>
      <c r="M343" s="928"/>
      <c r="N343" s="928"/>
      <c r="O343" s="928"/>
      <c r="P343" s="928"/>
      <c r="Q343" s="928"/>
      <c r="R343" s="928"/>
      <c r="S343" s="928"/>
      <c r="T343" s="928"/>
      <c r="U343" s="928"/>
      <c r="V343" s="928"/>
      <c r="W343" s="928"/>
      <c r="X343" s="928"/>
    </row>
    <row r="344">
      <c r="A344" s="928"/>
      <c r="B344" s="928"/>
      <c r="C344" s="928"/>
      <c r="D344" s="928"/>
      <c r="E344" s="928"/>
      <c r="F344" s="928"/>
      <c r="G344" s="928"/>
      <c r="H344" s="928"/>
      <c r="I344" s="928"/>
      <c r="J344" s="928"/>
      <c r="K344" s="928"/>
      <c r="L344" s="928"/>
      <c r="M344" s="928"/>
      <c r="N344" s="928"/>
      <c r="O344" s="928"/>
      <c r="P344" s="928"/>
      <c r="Q344" s="928"/>
      <c r="R344" s="928"/>
      <c r="S344" s="928"/>
      <c r="T344" s="928"/>
      <c r="U344" s="928"/>
      <c r="V344" s="928"/>
      <c r="W344" s="928"/>
      <c r="X344" s="928"/>
    </row>
    <row r="345">
      <c r="A345" s="928"/>
      <c r="B345" s="928"/>
      <c r="C345" s="928"/>
      <c r="D345" s="928"/>
      <c r="E345" s="928"/>
      <c r="F345" s="928"/>
      <c r="G345" s="928"/>
      <c r="H345" s="928"/>
      <c r="I345" s="928"/>
      <c r="J345" s="928"/>
      <c r="K345" s="928"/>
      <c r="L345" s="928"/>
      <c r="M345" s="928"/>
      <c r="N345" s="928"/>
      <c r="O345" s="928"/>
      <c r="P345" s="928"/>
      <c r="Q345" s="928"/>
      <c r="R345" s="928"/>
      <c r="S345" s="928"/>
      <c r="T345" s="928"/>
      <c r="U345" s="928"/>
      <c r="V345" s="928"/>
      <c r="W345" s="928"/>
      <c r="X345" s="928"/>
    </row>
    <row r="346">
      <c r="A346" s="928"/>
      <c r="B346" s="928"/>
      <c r="C346" s="928"/>
      <c r="D346" s="928"/>
      <c r="E346" s="928"/>
      <c r="F346" s="928"/>
      <c r="G346" s="928"/>
      <c r="H346" s="928"/>
      <c r="I346" s="928"/>
      <c r="J346" s="928"/>
      <c r="K346" s="928"/>
      <c r="L346" s="928"/>
      <c r="M346" s="928"/>
      <c r="N346" s="928"/>
      <c r="O346" s="928"/>
      <c r="P346" s="928"/>
      <c r="Q346" s="928"/>
      <c r="R346" s="928"/>
      <c r="S346" s="928"/>
      <c r="T346" s="928"/>
      <c r="U346" s="928"/>
      <c r="V346" s="928"/>
      <c r="W346" s="928"/>
      <c r="X346" s="928"/>
    </row>
    <row r="347">
      <c r="A347" s="928"/>
      <c r="B347" s="928"/>
      <c r="C347" s="928"/>
      <c r="D347" s="928"/>
      <c r="E347" s="928"/>
      <c r="F347" s="928"/>
      <c r="G347" s="928"/>
      <c r="H347" s="928"/>
      <c r="I347" s="928"/>
      <c r="J347" s="928"/>
      <c r="K347" s="928"/>
      <c r="L347" s="928"/>
      <c r="M347" s="928"/>
      <c r="N347" s="928"/>
      <c r="O347" s="928"/>
      <c r="P347" s="928"/>
      <c r="Q347" s="928"/>
      <c r="R347" s="928"/>
      <c r="S347" s="928"/>
      <c r="T347" s="928"/>
      <c r="U347" s="928"/>
      <c r="V347" s="928"/>
      <c r="W347" s="928"/>
      <c r="X347" s="928"/>
    </row>
    <row r="348">
      <c r="A348" s="928"/>
      <c r="B348" s="928"/>
      <c r="C348" s="928"/>
      <c r="D348" s="928"/>
      <c r="E348" s="928"/>
      <c r="F348" s="928"/>
      <c r="G348" s="928"/>
      <c r="H348" s="928"/>
      <c r="I348" s="928"/>
      <c r="J348" s="928"/>
      <c r="K348" s="928"/>
      <c r="L348" s="928"/>
      <c r="M348" s="928"/>
      <c r="N348" s="928"/>
      <c r="O348" s="928"/>
      <c r="P348" s="928"/>
      <c r="Q348" s="928"/>
      <c r="R348" s="928"/>
      <c r="S348" s="928"/>
      <c r="T348" s="928"/>
      <c r="U348" s="928"/>
      <c r="V348" s="928"/>
      <c r="W348" s="928"/>
      <c r="X348" s="928"/>
    </row>
    <row r="349">
      <c r="A349" s="928"/>
      <c r="B349" s="928"/>
      <c r="C349" s="928"/>
      <c r="D349" s="928"/>
      <c r="E349" s="928"/>
      <c r="F349" s="928"/>
      <c r="G349" s="928"/>
      <c r="H349" s="928"/>
      <c r="I349" s="928"/>
      <c r="J349" s="928"/>
      <c r="K349" s="928"/>
      <c r="L349" s="928"/>
      <c r="M349" s="928"/>
      <c r="N349" s="928"/>
      <c r="O349" s="928"/>
      <c r="P349" s="928"/>
      <c r="Q349" s="928"/>
      <c r="R349" s="928"/>
      <c r="S349" s="928"/>
      <c r="T349" s="928"/>
      <c r="U349" s="928"/>
      <c r="V349" s="928"/>
      <c r="W349" s="928"/>
      <c r="X349" s="928"/>
    </row>
    <row r="350">
      <c r="A350" s="928"/>
      <c r="B350" s="928"/>
      <c r="C350" s="928"/>
      <c r="D350" s="928"/>
      <c r="E350" s="928"/>
      <c r="F350" s="928"/>
      <c r="G350" s="928"/>
      <c r="H350" s="928"/>
      <c r="I350" s="928"/>
      <c r="J350" s="928"/>
      <c r="K350" s="928"/>
      <c r="L350" s="928"/>
      <c r="M350" s="928"/>
      <c r="N350" s="928"/>
      <c r="O350" s="928"/>
      <c r="P350" s="928"/>
      <c r="Q350" s="928"/>
      <c r="R350" s="928"/>
      <c r="S350" s="928"/>
      <c r="T350" s="928"/>
      <c r="U350" s="928"/>
      <c r="V350" s="928"/>
      <c r="W350" s="928"/>
      <c r="X350" s="928"/>
    </row>
    <row r="351">
      <c r="A351" s="928"/>
      <c r="B351" s="928"/>
      <c r="C351" s="928"/>
      <c r="D351" s="928"/>
      <c r="E351" s="928"/>
      <c r="F351" s="928"/>
      <c r="G351" s="928"/>
      <c r="H351" s="928"/>
      <c r="I351" s="928"/>
      <c r="J351" s="928"/>
      <c r="K351" s="928"/>
      <c r="L351" s="928"/>
      <c r="M351" s="928"/>
      <c r="N351" s="928"/>
      <c r="O351" s="928"/>
      <c r="P351" s="928"/>
      <c r="Q351" s="928"/>
      <c r="R351" s="928"/>
      <c r="S351" s="928"/>
      <c r="T351" s="928"/>
      <c r="U351" s="928"/>
      <c r="V351" s="928"/>
      <c r="W351" s="928"/>
      <c r="X351" s="928"/>
    </row>
    <row r="352">
      <c r="A352" s="928"/>
      <c r="B352" s="928"/>
      <c r="C352" s="928"/>
      <c r="D352" s="928"/>
      <c r="E352" s="928"/>
      <c r="F352" s="928"/>
      <c r="G352" s="928"/>
      <c r="H352" s="928"/>
      <c r="I352" s="928"/>
      <c r="J352" s="928"/>
      <c r="K352" s="928"/>
      <c r="L352" s="928"/>
      <c r="M352" s="928"/>
      <c r="N352" s="928"/>
      <c r="O352" s="928"/>
      <c r="P352" s="928"/>
      <c r="Q352" s="928"/>
      <c r="R352" s="928"/>
      <c r="S352" s="928"/>
      <c r="T352" s="928"/>
      <c r="U352" s="928"/>
      <c r="V352" s="928"/>
      <c r="W352" s="928"/>
      <c r="X352" s="928"/>
    </row>
    <row r="353">
      <c r="A353" s="928"/>
      <c r="B353" s="928"/>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row>
    <row r="354">
      <c r="A354" s="928"/>
      <c r="B354" s="928"/>
      <c r="C354" s="928"/>
      <c r="D354" s="928"/>
      <c r="E354" s="928"/>
      <c r="F354" s="928"/>
      <c r="G354" s="928"/>
      <c r="H354" s="928"/>
      <c r="I354" s="928"/>
      <c r="J354" s="928"/>
      <c r="K354" s="928"/>
      <c r="L354" s="928"/>
      <c r="M354" s="928"/>
      <c r="N354" s="928"/>
      <c r="O354" s="928"/>
      <c r="P354" s="928"/>
      <c r="Q354" s="928"/>
      <c r="R354" s="928"/>
      <c r="S354" s="928"/>
      <c r="T354" s="928"/>
      <c r="U354" s="928"/>
      <c r="V354" s="928"/>
      <c r="W354" s="928"/>
      <c r="X354" s="928"/>
    </row>
    <row r="355">
      <c r="A355" s="928"/>
      <c r="B355" s="928"/>
      <c r="C355" s="928"/>
      <c r="D355" s="928"/>
      <c r="E355" s="928"/>
      <c r="F355" s="928"/>
      <c r="G355" s="928"/>
      <c r="H355" s="928"/>
      <c r="I355" s="928"/>
      <c r="J355" s="928"/>
      <c r="K355" s="928"/>
      <c r="L355" s="928"/>
      <c r="M355" s="928"/>
      <c r="N355" s="928"/>
      <c r="O355" s="928"/>
      <c r="P355" s="928"/>
      <c r="Q355" s="928"/>
      <c r="R355" s="928"/>
      <c r="S355" s="928"/>
      <c r="T355" s="928"/>
      <c r="U355" s="928"/>
      <c r="V355" s="928"/>
      <c r="W355" s="928"/>
      <c r="X355" s="928"/>
    </row>
    <row r="356">
      <c r="A356" s="928"/>
      <c r="B356" s="928"/>
      <c r="C356" s="928"/>
      <c r="D356" s="928"/>
      <c r="E356" s="928"/>
      <c r="F356" s="928"/>
      <c r="G356" s="928"/>
      <c r="H356" s="928"/>
      <c r="I356" s="928"/>
      <c r="J356" s="928"/>
      <c r="K356" s="928"/>
      <c r="L356" s="928"/>
      <c r="M356" s="928"/>
      <c r="N356" s="928"/>
      <c r="O356" s="928"/>
      <c r="P356" s="928"/>
      <c r="Q356" s="928"/>
      <c r="R356" s="928"/>
      <c r="S356" s="928"/>
      <c r="T356" s="928"/>
      <c r="U356" s="928"/>
      <c r="V356" s="928"/>
      <c r="W356" s="928"/>
      <c r="X356" s="928"/>
    </row>
    <row r="357">
      <c r="A357" s="928"/>
      <c r="B357" s="928"/>
      <c r="C357" s="928"/>
      <c r="D357" s="928"/>
      <c r="E357" s="928"/>
      <c r="F357" s="928"/>
      <c r="G357" s="928"/>
      <c r="H357" s="928"/>
      <c r="I357" s="928"/>
      <c r="J357" s="928"/>
      <c r="K357" s="928"/>
      <c r="L357" s="928"/>
      <c r="M357" s="928"/>
      <c r="N357" s="928"/>
      <c r="O357" s="928"/>
      <c r="P357" s="928"/>
      <c r="Q357" s="928"/>
      <c r="R357" s="928"/>
      <c r="S357" s="928"/>
      <c r="T357" s="928"/>
      <c r="U357" s="928"/>
      <c r="V357" s="928"/>
      <c r="W357" s="928"/>
      <c r="X357" s="928"/>
    </row>
    <row r="358">
      <c r="A358" s="928"/>
      <c r="B358" s="928"/>
      <c r="C358" s="928"/>
      <c r="D358" s="928"/>
      <c r="E358" s="928"/>
      <c r="F358" s="928"/>
      <c r="G358" s="928"/>
      <c r="H358" s="928"/>
      <c r="I358" s="928"/>
      <c r="J358" s="928"/>
      <c r="K358" s="928"/>
      <c r="L358" s="928"/>
      <c r="M358" s="928"/>
      <c r="N358" s="928"/>
      <c r="O358" s="928"/>
      <c r="P358" s="928"/>
      <c r="Q358" s="928"/>
      <c r="R358" s="928"/>
      <c r="S358" s="928"/>
      <c r="T358" s="928"/>
      <c r="U358" s="928"/>
      <c r="V358" s="928"/>
      <c r="W358" s="928"/>
      <c r="X358" s="928"/>
    </row>
    <row r="359">
      <c r="A359" s="928"/>
      <c r="B359" s="928"/>
      <c r="C359" s="928"/>
      <c r="D359" s="928"/>
      <c r="E359" s="928"/>
      <c r="F359" s="928"/>
      <c r="G359" s="928"/>
      <c r="H359" s="928"/>
      <c r="I359" s="928"/>
      <c r="J359" s="928"/>
      <c r="K359" s="928"/>
      <c r="L359" s="928"/>
      <c r="M359" s="928"/>
      <c r="N359" s="928"/>
      <c r="O359" s="928"/>
      <c r="P359" s="928"/>
      <c r="Q359" s="928"/>
      <c r="R359" s="928"/>
      <c r="S359" s="928"/>
      <c r="T359" s="928"/>
      <c r="U359" s="928"/>
      <c r="V359" s="928"/>
      <c r="W359" s="928"/>
      <c r="X359" s="928"/>
    </row>
    <row r="360">
      <c r="A360" s="928"/>
      <c r="B360" s="928"/>
      <c r="C360" s="928"/>
      <c r="D360" s="928"/>
      <c r="E360" s="928"/>
      <c r="F360" s="928"/>
      <c r="G360" s="928"/>
      <c r="H360" s="928"/>
      <c r="I360" s="928"/>
      <c r="J360" s="928"/>
      <c r="K360" s="928"/>
      <c r="L360" s="928"/>
      <c r="M360" s="928"/>
      <c r="N360" s="928"/>
      <c r="O360" s="928"/>
      <c r="P360" s="928"/>
      <c r="Q360" s="928"/>
      <c r="R360" s="928"/>
      <c r="S360" s="928"/>
      <c r="T360" s="928"/>
      <c r="U360" s="928"/>
      <c r="V360" s="928"/>
      <c r="W360" s="928"/>
      <c r="X360" s="928"/>
    </row>
    <row r="361">
      <c r="A361" s="928"/>
      <c r="B361" s="928"/>
      <c r="C361" s="928"/>
      <c r="D361" s="928"/>
      <c r="E361" s="928"/>
      <c r="F361" s="928"/>
      <c r="G361" s="928"/>
      <c r="H361" s="928"/>
      <c r="I361" s="928"/>
      <c r="J361" s="928"/>
      <c r="K361" s="928"/>
      <c r="L361" s="928"/>
      <c r="M361" s="928"/>
      <c r="N361" s="928"/>
      <c r="O361" s="928"/>
      <c r="P361" s="928"/>
      <c r="Q361" s="928"/>
      <c r="R361" s="928"/>
      <c r="S361" s="928"/>
      <c r="T361" s="928"/>
      <c r="U361" s="928"/>
      <c r="V361" s="928"/>
      <c r="W361" s="928"/>
      <c r="X361" s="928"/>
    </row>
    <row r="362">
      <c r="A362" s="928"/>
      <c r="B362" s="928"/>
      <c r="C362" s="928"/>
      <c r="D362" s="928"/>
      <c r="E362" s="928"/>
      <c r="F362" s="928"/>
      <c r="G362" s="928"/>
      <c r="H362" s="928"/>
      <c r="I362" s="928"/>
      <c r="J362" s="928"/>
      <c r="K362" s="928"/>
      <c r="L362" s="928"/>
      <c r="M362" s="928"/>
      <c r="N362" s="928"/>
      <c r="O362" s="928"/>
      <c r="P362" s="928"/>
      <c r="Q362" s="928"/>
      <c r="R362" s="928"/>
      <c r="S362" s="928"/>
      <c r="T362" s="928"/>
      <c r="U362" s="928"/>
      <c r="V362" s="928"/>
      <c r="W362" s="928"/>
      <c r="X362" s="928"/>
    </row>
    <row r="363">
      <c r="A363" s="928"/>
      <c r="B363" s="928"/>
      <c r="C363" s="928"/>
      <c r="D363" s="928"/>
      <c r="E363" s="928"/>
      <c r="F363" s="928"/>
      <c r="G363" s="928"/>
      <c r="H363" s="928"/>
      <c r="I363" s="928"/>
      <c r="J363" s="928"/>
      <c r="K363" s="928"/>
      <c r="L363" s="928"/>
      <c r="M363" s="928"/>
      <c r="N363" s="928"/>
      <c r="O363" s="928"/>
      <c r="P363" s="928"/>
      <c r="Q363" s="928"/>
      <c r="R363" s="928"/>
      <c r="S363" s="928"/>
      <c r="T363" s="928"/>
      <c r="U363" s="928"/>
      <c r="V363" s="928"/>
      <c r="W363" s="928"/>
      <c r="X363" s="928"/>
    </row>
    <row r="364">
      <c r="A364" s="928"/>
      <c r="B364" s="928"/>
      <c r="C364" s="928"/>
      <c r="D364" s="928"/>
      <c r="E364" s="928"/>
      <c r="F364" s="928"/>
      <c r="G364" s="928"/>
      <c r="H364" s="928"/>
      <c r="I364" s="928"/>
      <c r="J364" s="928"/>
      <c r="K364" s="928"/>
      <c r="L364" s="928"/>
      <c r="M364" s="928"/>
      <c r="N364" s="928"/>
      <c r="O364" s="928"/>
      <c r="P364" s="928"/>
      <c r="Q364" s="928"/>
      <c r="R364" s="928"/>
      <c r="S364" s="928"/>
      <c r="T364" s="928"/>
      <c r="U364" s="928"/>
      <c r="V364" s="928"/>
      <c r="W364" s="928"/>
      <c r="X364" s="928"/>
    </row>
    <row r="365">
      <c r="A365" s="928"/>
      <c r="B365" s="928"/>
      <c r="C365" s="928"/>
      <c r="D365" s="928"/>
      <c r="E365" s="928"/>
      <c r="F365" s="928"/>
      <c r="G365" s="928"/>
      <c r="H365" s="928"/>
      <c r="I365" s="928"/>
      <c r="J365" s="928"/>
      <c r="K365" s="928"/>
      <c r="L365" s="928"/>
      <c r="M365" s="928"/>
      <c r="N365" s="928"/>
      <c r="O365" s="928"/>
      <c r="P365" s="928"/>
      <c r="Q365" s="928"/>
      <c r="R365" s="928"/>
      <c r="S365" s="928"/>
      <c r="T365" s="928"/>
      <c r="U365" s="928"/>
      <c r="V365" s="928"/>
      <c r="W365" s="928"/>
      <c r="X365" s="928"/>
    </row>
    <row r="366">
      <c r="A366" s="928"/>
      <c r="B366" s="928"/>
      <c r="C366" s="928"/>
      <c r="D366" s="928"/>
      <c r="E366" s="928"/>
      <c r="F366" s="928"/>
      <c r="G366" s="928"/>
      <c r="H366" s="928"/>
      <c r="I366" s="928"/>
      <c r="J366" s="928"/>
      <c r="K366" s="928"/>
      <c r="L366" s="928"/>
      <c r="M366" s="928"/>
      <c r="N366" s="928"/>
      <c r="O366" s="928"/>
      <c r="P366" s="928"/>
      <c r="Q366" s="928"/>
      <c r="R366" s="928"/>
      <c r="S366" s="928"/>
      <c r="T366" s="928"/>
      <c r="U366" s="928"/>
      <c r="V366" s="928"/>
      <c r="W366" s="928"/>
      <c r="X366" s="928"/>
    </row>
    <row r="367">
      <c r="A367" s="928"/>
      <c r="B367" s="928"/>
      <c r="C367" s="928"/>
      <c r="D367" s="928"/>
      <c r="E367" s="928"/>
      <c r="F367" s="928"/>
      <c r="G367" s="928"/>
      <c r="H367" s="928"/>
      <c r="I367" s="928"/>
      <c r="J367" s="928"/>
      <c r="K367" s="928"/>
      <c r="L367" s="928"/>
      <c r="M367" s="928"/>
      <c r="N367" s="928"/>
      <c r="O367" s="928"/>
      <c r="P367" s="928"/>
      <c r="Q367" s="928"/>
      <c r="R367" s="928"/>
      <c r="S367" s="928"/>
      <c r="T367" s="928"/>
      <c r="U367" s="928"/>
      <c r="V367" s="928"/>
      <c r="W367" s="928"/>
      <c r="X367" s="928"/>
    </row>
    <row r="368">
      <c r="A368" s="928"/>
      <c r="B368" s="928"/>
      <c r="C368" s="928"/>
      <c r="D368" s="928"/>
      <c r="E368" s="928"/>
      <c r="F368" s="928"/>
      <c r="G368" s="928"/>
      <c r="H368" s="928"/>
      <c r="I368" s="928"/>
      <c r="J368" s="928"/>
      <c r="K368" s="928"/>
      <c r="L368" s="928"/>
      <c r="M368" s="928"/>
      <c r="N368" s="928"/>
      <c r="O368" s="928"/>
      <c r="P368" s="928"/>
      <c r="Q368" s="928"/>
      <c r="R368" s="928"/>
      <c r="S368" s="928"/>
      <c r="T368" s="928"/>
      <c r="U368" s="928"/>
      <c r="V368" s="928"/>
      <c r="W368" s="928"/>
      <c r="X368" s="928"/>
    </row>
    <row r="369">
      <c r="A369" s="928"/>
      <c r="B369" s="928"/>
      <c r="C369" s="928"/>
      <c r="D369" s="928"/>
      <c r="E369" s="928"/>
      <c r="F369" s="928"/>
      <c r="G369" s="928"/>
      <c r="H369" s="928"/>
      <c r="I369" s="928"/>
      <c r="J369" s="928"/>
      <c r="K369" s="928"/>
      <c r="L369" s="928"/>
      <c r="M369" s="928"/>
      <c r="N369" s="928"/>
      <c r="O369" s="928"/>
      <c r="P369" s="928"/>
      <c r="Q369" s="928"/>
      <c r="R369" s="928"/>
      <c r="S369" s="928"/>
      <c r="T369" s="928"/>
      <c r="U369" s="928"/>
      <c r="V369" s="928"/>
      <c r="W369" s="928"/>
      <c r="X369" s="928"/>
    </row>
    <row r="370">
      <c r="A370" s="928"/>
      <c r="B370" s="928"/>
      <c r="C370" s="928"/>
      <c r="D370" s="928"/>
      <c r="E370" s="928"/>
      <c r="F370" s="928"/>
      <c r="G370" s="928"/>
      <c r="H370" s="928"/>
      <c r="I370" s="928"/>
      <c r="J370" s="928"/>
      <c r="K370" s="928"/>
      <c r="L370" s="928"/>
      <c r="M370" s="928"/>
      <c r="N370" s="928"/>
      <c r="O370" s="928"/>
      <c r="P370" s="928"/>
      <c r="Q370" s="928"/>
      <c r="R370" s="928"/>
      <c r="S370" s="928"/>
      <c r="T370" s="928"/>
      <c r="U370" s="928"/>
      <c r="V370" s="928"/>
      <c r="W370" s="928"/>
      <c r="X370" s="928"/>
    </row>
    <row r="371">
      <c r="A371" s="928"/>
      <c r="B371" s="928"/>
      <c r="C371" s="928"/>
      <c r="D371" s="928"/>
      <c r="E371" s="928"/>
      <c r="F371" s="928"/>
      <c r="G371" s="928"/>
      <c r="H371" s="928"/>
      <c r="I371" s="928"/>
      <c r="J371" s="928"/>
      <c r="K371" s="928"/>
      <c r="L371" s="928"/>
      <c r="M371" s="928"/>
      <c r="N371" s="928"/>
      <c r="O371" s="928"/>
      <c r="P371" s="928"/>
      <c r="Q371" s="928"/>
      <c r="R371" s="928"/>
      <c r="S371" s="928"/>
      <c r="T371" s="928"/>
      <c r="U371" s="928"/>
      <c r="V371" s="928"/>
      <c r="W371" s="928"/>
      <c r="X371" s="928"/>
    </row>
    <row r="372">
      <c r="A372" s="928"/>
      <c r="B372" s="928"/>
      <c r="C372" s="928"/>
      <c r="D372" s="928"/>
      <c r="E372" s="928"/>
      <c r="F372" s="928"/>
      <c r="G372" s="928"/>
      <c r="H372" s="928"/>
      <c r="I372" s="928"/>
      <c r="J372" s="928"/>
      <c r="K372" s="928"/>
      <c r="L372" s="928"/>
      <c r="M372" s="928"/>
      <c r="N372" s="928"/>
      <c r="O372" s="928"/>
      <c r="P372" s="928"/>
      <c r="Q372" s="928"/>
      <c r="R372" s="928"/>
      <c r="S372" s="928"/>
      <c r="T372" s="928"/>
      <c r="U372" s="928"/>
      <c r="V372" s="928"/>
      <c r="W372" s="928"/>
      <c r="X372" s="928"/>
    </row>
    <row r="373">
      <c r="A373" s="928"/>
      <c r="B373" s="928"/>
      <c r="C373" s="928"/>
      <c r="D373" s="928"/>
      <c r="E373" s="928"/>
      <c r="F373" s="928"/>
      <c r="G373" s="928"/>
      <c r="H373" s="928"/>
      <c r="I373" s="928"/>
      <c r="J373" s="928"/>
      <c r="K373" s="928"/>
      <c r="L373" s="928"/>
      <c r="M373" s="928"/>
      <c r="N373" s="928"/>
      <c r="O373" s="928"/>
      <c r="P373" s="928"/>
      <c r="Q373" s="928"/>
      <c r="R373" s="928"/>
      <c r="S373" s="928"/>
      <c r="T373" s="928"/>
      <c r="U373" s="928"/>
      <c r="V373" s="928"/>
      <c r="W373" s="928"/>
      <c r="X373" s="928"/>
    </row>
    <row r="374">
      <c r="A374" s="928"/>
      <c r="B374" s="928"/>
      <c r="C374" s="928"/>
      <c r="D374" s="928"/>
      <c r="E374" s="928"/>
      <c r="F374" s="928"/>
      <c r="G374" s="928"/>
      <c r="H374" s="928"/>
      <c r="I374" s="928"/>
      <c r="J374" s="928"/>
      <c r="K374" s="928"/>
      <c r="L374" s="928"/>
      <c r="M374" s="928"/>
      <c r="N374" s="928"/>
      <c r="O374" s="928"/>
      <c r="P374" s="928"/>
      <c r="Q374" s="928"/>
      <c r="R374" s="928"/>
      <c r="S374" s="928"/>
      <c r="T374" s="928"/>
      <c r="U374" s="928"/>
      <c r="V374" s="928"/>
      <c r="W374" s="928"/>
      <c r="X374" s="928"/>
    </row>
    <row r="375">
      <c r="A375" s="928"/>
      <c r="B375" s="928"/>
      <c r="C375" s="928"/>
      <c r="D375" s="928"/>
      <c r="E375" s="928"/>
      <c r="F375" s="928"/>
      <c r="G375" s="928"/>
      <c r="H375" s="928"/>
      <c r="I375" s="928"/>
      <c r="J375" s="928"/>
      <c r="K375" s="928"/>
      <c r="L375" s="928"/>
      <c r="M375" s="928"/>
      <c r="N375" s="928"/>
      <c r="O375" s="928"/>
      <c r="P375" s="928"/>
      <c r="Q375" s="928"/>
      <c r="R375" s="928"/>
      <c r="S375" s="928"/>
      <c r="T375" s="928"/>
      <c r="U375" s="928"/>
      <c r="V375" s="928"/>
      <c r="W375" s="928"/>
      <c r="X375" s="928"/>
    </row>
    <row r="376">
      <c r="A376" s="928"/>
      <c r="B376" s="928"/>
      <c r="C376" s="928"/>
      <c r="D376" s="928"/>
      <c r="E376" s="928"/>
      <c r="F376" s="928"/>
      <c r="G376" s="928"/>
      <c r="H376" s="928"/>
      <c r="I376" s="928"/>
      <c r="J376" s="928"/>
      <c r="K376" s="928"/>
      <c r="L376" s="928"/>
      <c r="M376" s="928"/>
      <c r="N376" s="928"/>
      <c r="O376" s="928"/>
      <c r="P376" s="928"/>
      <c r="Q376" s="928"/>
      <c r="R376" s="928"/>
      <c r="S376" s="928"/>
      <c r="T376" s="928"/>
      <c r="U376" s="928"/>
      <c r="V376" s="928"/>
      <c r="W376" s="928"/>
      <c r="X376" s="928"/>
    </row>
    <row r="377">
      <c r="A377" s="928"/>
      <c r="B377" s="928"/>
      <c r="C377" s="928"/>
      <c r="D377" s="928"/>
      <c r="E377" s="928"/>
      <c r="F377" s="928"/>
      <c r="G377" s="928"/>
      <c r="H377" s="928"/>
      <c r="I377" s="928"/>
      <c r="J377" s="928"/>
      <c r="K377" s="928"/>
      <c r="L377" s="928"/>
      <c r="M377" s="928"/>
      <c r="N377" s="928"/>
      <c r="O377" s="928"/>
      <c r="P377" s="928"/>
      <c r="Q377" s="928"/>
      <c r="R377" s="928"/>
      <c r="S377" s="928"/>
      <c r="T377" s="928"/>
      <c r="U377" s="928"/>
      <c r="V377" s="928"/>
      <c r="W377" s="928"/>
      <c r="X377" s="928"/>
    </row>
    <row r="378">
      <c r="A378" s="928"/>
      <c r="B378" s="928"/>
      <c r="C378" s="928"/>
      <c r="D378" s="928"/>
      <c r="E378" s="928"/>
      <c r="F378" s="928"/>
      <c r="G378" s="928"/>
      <c r="H378" s="928"/>
      <c r="I378" s="928"/>
      <c r="J378" s="928"/>
      <c r="K378" s="928"/>
      <c r="L378" s="928"/>
      <c r="M378" s="928"/>
      <c r="N378" s="928"/>
      <c r="O378" s="928"/>
      <c r="P378" s="928"/>
      <c r="Q378" s="928"/>
      <c r="R378" s="928"/>
      <c r="S378" s="928"/>
      <c r="T378" s="928"/>
      <c r="U378" s="928"/>
      <c r="V378" s="928"/>
      <c r="W378" s="928"/>
      <c r="X378" s="928"/>
    </row>
    <row r="379">
      <c r="A379" s="928"/>
      <c r="B379" s="928"/>
      <c r="C379" s="928"/>
      <c r="D379" s="928"/>
      <c r="E379" s="928"/>
      <c r="F379" s="928"/>
      <c r="G379" s="928"/>
      <c r="H379" s="928"/>
      <c r="I379" s="928"/>
      <c r="J379" s="928"/>
      <c r="K379" s="928"/>
      <c r="L379" s="928"/>
      <c r="M379" s="928"/>
      <c r="N379" s="928"/>
      <c r="O379" s="928"/>
      <c r="P379" s="928"/>
      <c r="Q379" s="928"/>
      <c r="R379" s="928"/>
      <c r="S379" s="928"/>
      <c r="T379" s="928"/>
      <c r="U379" s="928"/>
      <c r="V379" s="928"/>
      <c r="W379" s="928"/>
      <c r="X379" s="928"/>
    </row>
    <row r="380">
      <c r="A380" s="928"/>
      <c r="B380" s="928"/>
      <c r="C380" s="928"/>
      <c r="D380" s="928"/>
      <c r="E380" s="928"/>
      <c r="F380" s="928"/>
      <c r="G380" s="928"/>
      <c r="H380" s="928"/>
      <c r="I380" s="928"/>
      <c r="J380" s="928"/>
      <c r="K380" s="928"/>
      <c r="L380" s="928"/>
      <c r="M380" s="928"/>
      <c r="N380" s="928"/>
      <c r="O380" s="928"/>
      <c r="P380" s="928"/>
      <c r="Q380" s="928"/>
      <c r="R380" s="928"/>
      <c r="S380" s="928"/>
      <c r="T380" s="928"/>
      <c r="U380" s="928"/>
      <c r="V380" s="928"/>
      <c r="W380" s="928"/>
      <c r="X380" s="928"/>
    </row>
    <row r="381">
      <c r="A381" s="928"/>
      <c r="B381" s="928"/>
      <c r="C381" s="928"/>
      <c r="D381" s="928"/>
      <c r="E381" s="928"/>
      <c r="F381" s="928"/>
      <c r="G381" s="928"/>
      <c r="H381" s="928"/>
      <c r="I381" s="928"/>
      <c r="J381" s="928"/>
      <c r="K381" s="928"/>
      <c r="L381" s="928"/>
      <c r="M381" s="928"/>
      <c r="N381" s="928"/>
      <c r="O381" s="928"/>
      <c r="P381" s="928"/>
      <c r="Q381" s="928"/>
      <c r="R381" s="928"/>
      <c r="S381" s="928"/>
      <c r="T381" s="928"/>
      <c r="U381" s="928"/>
      <c r="V381" s="928"/>
      <c r="W381" s="928"/>
      <c r="X381" s="928"/>
    </row>
    <row r="382">
      <c r="A382" s="928"/>
      <c r="B382" s="928"/>
      <c r="C382" s="928"/>
      <c r="D382" s="928"/>
      <c r="E382" s="928"/>
      <c r="F382" s="928"/>
      <c r="G382" s="928"/>
      <c r="H382" s="928"/>
      <c r="I382" s="928"/>
      <c r="J382" s="928"/>
      <c r="K382" s="928"/>
      <c r="L382" s="928"/>
      <c r="M382" s="928"/>
      <c r="N382" s="928"/>
      <c r="O382" s="928"/>
      <c r="P382" s="928"/>
      <c r="Q382" s="928"/>
      <c r="R382" s="928"/>
      <c r="S382" s="928"/>
      <c r="T382" s="928"/>
      <c r="U382" s="928"/>
      <c r="V382" s="928"/>
      <c r="W382" s="928"/>
      <c r="X382" s="928"/>
    </row>
    <row r="383">
      <c r="A383" s="928"/>
      <c r="B383" s="928"/>
      <c r="C383" s="928"/>
      <c r="D383" s="928"/>
      <c r="E383" s="928"/>
      <c r="F383" s="928"/>
      <c r="G383" s="928"/>
      <c r="H383" s="928"/>
      <c r="I383" s="928"/>
      <c r="J383" s="928"/>
      <c r="K383" s="928"/>
      <c r="L383" s="928"/>
      <c r="M383" s="928"/>
      <c r="N383" s="928"/>
      <c r="O383" s="928"/>
      <c r="P383" s="928"/>
      <c r="Q383" s="928"/>
      <c r="R383" s="928"/>
      <c r="S383" s="928"/>
      <c r="T383" s="928"/>
      <c r="U383" s="928"/>
      <c r="V383" s="928"/>
      <c r="W383" s="928"/>
      <c r="X383" s="928"/>
    </row>
    <row r="384">
      <c r="A384" s="928"/>
      <c r="B384" s="928"/>
      <c r="C384" s="928"/>
      <c r="D384" s="928"/>
      <c r="E384" s="928"/>
      <c r="F384" s="928"/>
      <c r="G384" s="928"/>
      <c r="H384" s="928"/>
      <c r="I384" s="928"/>
      <c r="J384" s="928"/>
      <c r="K384" s="928"/>
      <c r="L384" s="928"/>
      <c r="M384" s="928"/>
      <c r="N384" s="928"/>
      <c r="O384" s="928"/>
      <c r="P384" s="928"/>
      <c r="Q384" s="928"/>
      <c r="R384" s="928"/>
      <c r="S384" s="928"/>
      <c r="T384" s="928"/>
      <c r="U384" s="928"/>
      <c r="V384" s="928"/>
      <c r="W384" s="928"/>
      <c r="X384" s="928"/>
    </row>
    <row r="385">
      <c r="A385" s="928"/>
      <c r="B385" s="928"/>
      <c r="C385" s="928"/>
      <c r="D385" s="928"/>
      <c r="E385" s="928"/>
      <c r="F385" s="928"/>
      <c r="G385" s="928"/>
      <c r="H385" s="928"/>
      <c r="I385" s="928"/>
      <c r="J385" s="928"/>
      <c r="K385" s="928"/>
      <c r="L385" s="928"/>
      <c r="M385" s="928"/>
      <c r="N385" s="928"/>
      <c r="O385" s="928"/>
      <c r="P385" s="928"/>
      <c r="Q385" s="928"/>
      <c r="R385" s="928"/>
      <c r="S385" s="928"/>
      <c r="T385" s="928"/>
      <c r="U385" s="928"/>
      <c r="V385" s="928"/>
      <c r="W385" s="928"/>
      <c r="X385" s="928"/>
    </row>
    <row r="386">
      <c r="A386" s="928"/>
      <c r="B386" s="928"/>
      <c r="C386" s="928"/>
      <c r="D386" s="928"/>
      <c r="E386" s="928"/>
      <c r="F386" s="928"/>
      <c r="G386" s="928"/>
      <c r="H386" s="928"/>
      <c r="I386" s="928"/>
      <c r="J386" s="928"/>
      <c r="K386" s="928"/>
      <c r="L386" s="928"/>
      <c r="M386" s="928"/>
      <c r="N386" s="928"/>
      <c r="O386" s="928"/>
      <c r="P386" s="928"/>
      <c r="Q386" s="928"/>
      <c r="R386" s="928"/>
      <c r="S386" s="928"/>
      <c r="T386" s="928"/>
      <c r="U386" s="928"/>
      <c r="V386" s="928"/>
      <c r="W386" s="928"/>
      <c r="X386" s="928"/>
    </row>
    <row r="387">
      <c r="A387" s="928"/>
      <c r="B387" s="928"/>
      <c r="C387" s="928"/>
      <c r="D387" s="928"/>
      <c r="E387" s="928"/>
      <c r="F387" s="928"/>
      <c r="G387" s="928"/>
      <c r="H387" s="928"/>
      <c r="I387" s="928"/>
      <c r="J387" s="928"/>
      <c r="K387" s="928"/>
      <c r="L387" s="928"/>
      <c r="M387" s="928"/>
      <c r="N387" s="928"/>
      <c r="O387" s="928"/>
      <c r="P387" s="928"/>
      <c r="Q387" s="928"/>
      <c r="R387" s="928"/>
      <c r="S387" s="928"/>
      <c r="T387" s="928"/>
      <c r="U387" s="928"/>
      <c r="V387" s="928"/>
      <c r="W387" s="928"/>
      <c r="X387" s="928"/>
    </row>
    <row r="388">
      <c r="A388" s="928"/>
      <c r="B388" s="928"/>
      <c r="C388" s="928"/>
      <c r="D388" s="928"/>
      <c r="E388" s="928"/>
      <c r="F388" s="928"/>
      <c r="G388" s="928"/>
      <c r="H388" s="928"/>
      <c r="I388" s="928"/>
      <c r="J388" s="928"/>
      <c r="K388" s="928"/>
      <c r="L388" s="928"/>
      <c r="M388" s="928"/>
      <c r="N388" s="928"/>
      <c r="O388" s="928"/>
      <c r="P388" s="928"/>
      <c r="Q388" s="928"/>
      <c r="R388" s="928"/>
      <c r="S388" s="928"/>
      <c r="T388" s="928"/>
      <c r="U388" s="928"/>
      <c r="V388" s="928"/>
      <c r="W388" s="928"/>
      <c r="X388" s="928"/>
    </row>
    <row r="389">
      <c r="A389" s="928"/>
      <c r="B389" s="928"/>
      <c r="C389" s="928"/>
      <c r="D389" s="928"/>
      <c r="E389" s="928"/>
      <c r="F389" s="928"/>
      <c r="G389" s="928"/>
      <c r="H389" s="928"/>
      <c r="I389" s="928"/>
      <c r="J389" s="928"/>
      <c r="K389" s="928"/>
      <c r="L389" s="928"/>
      <c r="M389" s="928"/>
      <c r="N389" s="928"/>
      <c r="O389" s="928"/>
      <c r="P389" s="928"/>
      <c r="Q389" s="928"/>
      <c r="R389" s="928"/>
      <c r="S389" s="928"/>
      <c r="T389" s="928"/>
      <c r="U389" s="928"/>
      <c r="V389" s="928"/>
      <c r="W389" s="928"/>
      <c r="X389" s="928"/>
    </row>
    <row r="390">
      <c r="A390" s="928"/>
      <c r="B390" s="928"/>
      <c r="C390" s="928"/>
      <c r="D390" s="928"/>
      <c r="E390" s="928"/>
      <c r="F390" s="928"/>
      <c r="G390" s="928"/>
      <c r="H390" s="928"/>
      <c r="I390" s="928"/>
      <c r="J390" s="928"/>
      <c r="K390" s="928"/>
      <c r="L390" s="928"/>
      <c r="M390" s="928"/>
      <c r="N390" s="928"/>
      <c r="O390" s="928"/>
      <c r="P390" s="928"/>
      <c r="Q390" s="928"/>
      <c r="R390" s="928"/>
      <c r="S390" s="928"/>
      <c r="T390" s="928"/>
      <c r="U390" s="928"/>
      <c r="V390" s="928"/>
      <c r="W390" s="928"/>
      <c r="X390" s="928"/>
    </row>
    <row r="391">
      <c r="A391" s="928"/>
      <c r="B391" s="928"/>
      <c r="C391" s="928"/>
      <c r="D391" s="928"/>
      <c r="E391" s="928"/>
      <c r="F391" s="928"/>
      <c r="G391" s="928"/>
      <c r="H391" s="928"/>
      <c r="I391" s="928"/>
      <c r="J391" s="928"/>
      <c r="K391" s="928"/>
      <c r="L391" s="928"/>
      <c r="M391" s="928"/>
      <c r="N391" s="928"/>
      <c r="O391" s="928"/>
      <c r="P391" s="928"/>
      <c r="Q391" s="928"/>
      <c r="R391" s="928"/>
      <c r="S391" s="928"/>
      <c r="T391" s="928"/>
      <c r="U391" s="928"/>
      <c r="V391" s="928"/>
      <c r="W391" s="928"/>
      <c r="X391" s="928"/>
    </row>
    <row r="392">
      <c r="A392" s="928"/>
      <c r="B392" s="928"/>
      <c r="C392" s="928"/>
      <c r="D392" s="928"/>
      <c r="E392" s="928"/>
      <c r="F392" s="928"/>
      <c r="G392" s="928"/>
      <c r="H392" s="928"/>
      <c r="I392" s="928"/>
      <c r="J392" s="928"/>
      <c r="K392" s="928"/>
      <c r="L392" s="928"/>
      <c r="M392" s="928"/>
      <c r="N392" s="928"/>
      <c r="O392" s="928"/>
      <c r="P392" s="928"/>
      <c r="Q392" s="928"/>
      <c r="R392" s="928"/>
      <c r="S392" s="928"/>
      <c r="T392" s="928"/>
      <c r="U392" s="928"/>
      <c r="V392" s="928"/>
      <c r="W392" s="928"/>
      <c r="X392" s="928"/>
    </row>
    <row r="393">
      <c r="A393" s="928"/>
      <c r="B393" s="928"/>
      <c r="C393" s="928"/>
      <c r="D393" s="928"/>
      <c r="E393" s="928"/>
      <c r="F393" s="928"/>
      <c r="G393" s="928"/>
      <c r="H393" s="928"/>
      <c r="I393" s="928"/>
      <c r="J393" s="928"/>
      <c r="K393" s="928"/>
      <c r="L393" s="928"/>
      <c r="M393" s="928"/>
      <c r="N393" s="928"/>
      <c r="O393" s="928"/>
      <c r="P393" s="928"/>
      <c r="Q393" s="928"/>
      <c r="R393" s="928"/>
      <c r="S393" s="928"/>
      <c r="T393" s="928"/>
      <c r="U393" s="928"/>
      <c r="V393" s="928"/>
      <c r="W393" s="928"/>
      <c r="X393" s="928"/>
    </row>
    <row r="394">
      <c r="A394" s="928"/>
      <c r="B394" s="928"/>
      <c r="C394" s="928"/>
      <c r="D394" s="928"/>
      <c r="E394" s="928"/>
      <c r="F394" s="928"/>
      <c r="G394" s="928"/>
      <c r="H394" s="928"/>
      <c r="I394" s="928"/>
      <c r="J394" s="928"/>
      <c r="K394" s="928"/>
      <c r="L394" s="928"/>
      <c r="M394" s="928"/>
      <c r="N394" s="928"/>
      <c r="O394" s="928"/>
      <c r="P394" s="928"/>
      <c r="Q394" s="928"/>
      <c r="R394" s="928"/>
      <c r="S394" s="928"/>
      <c r="T394" s="928"/>
      <c r="U394" s="928"/>
      <c r="V394" s="928"/>
      <c r="W394" s="928"/>
      <c r="X394" s="928"/>
    </row>
    <row r="395">
      <c r="A395" s="928"/>
      <c r="B395" s="928"/>
      <c r="C395" s="928"/>
      <c r="D395" s="928"/>
      <c r="E395" s="928"/>
      <c r="F395" s="928"/>
      <c r="G395" s="928"/>
      <c r="H395" s="928"/>
      <c r="I395" s="928"/>
      <c r="J395" s="928"/>
      <c r="K395" s="928"/>
      <c r="L395" s="928"/>
      <c r="M395" s="928"/>
      <c r="N395" s="928"/>
      <c r="O395" s="928"/>
      <c r="P395" s="928"/>
      <c r="Q395" s="928"/>
      <c r="R395" s="928"/>
      <c r="S395" s="928"/>
      <c r="T395" s="928"/>
      <c r="U395" s="928"/>
      <c r="V395" s="928"/>
      <c r="W395" s="928"/>
      <c r="X395" s="928"/>
    </row>
    <row r="396">
      <c r="A396" s="928"/>
      <c r="B396" s="928"/>
      <c r="C396" s="928"/>
      <c r="D396" s="928"/>
      <c r="E396" s="928"/>
      <c r="F396" s="928"/>
      <c r="G396" s="928"/>
      <c r="H396" s="928"/>
      <c r="I396" s="928"/>
      <c r="J396" s="928"/>
      <c r="K396" s="928"/>
      <c r="L396" s="928"/>
      <c r="M396" s="928"/>
      <c r="N396" s="928"/>
      <c r="O396" s="928"/>
      <c r="P396" s="928"/>
      <c r="Q396" s="928"/>
      <c r="R396" s="928"/>
      <c r="S396" s="928"/>
      <c r="T396" s="928"/>
      <c r="U396" s="928"/>
      <c r="V396" s="928"/>
      <c r="W396" s="928"/>
      <c r="X396" s="928"/>
    </row>
    <row r="397">
      <c r="A397" s="928"/>
      <c r="B397" s="928"/>
      <c r="C397" s="928"/>
      <c r="D397" s="928"/>
      <c r="E397" s="928"/>
      <c r="F397" s="928"/>
      <c r="G397" s="928"/>
      <c r="H397" s="928"/>
      <c r="I397" s="928"/>
      <c r="J397" s="928"/>
      <c r="K397" s="928"/>
      <c r="L397" s="928"/>
      <c r="M397" s="928"/>
      <c r="N397" s="928"/>
      <c r="O397" s="928"/>
      <c r="P397" s="928"/>
      <c r="Q397" s="928"/>
      <c r="R397" s="928"/>
      <c r="S397" s="928"/>
      <c r="T397" s="928"/>
      <c r="U397" s="928"/>
      <c r="V397" s="928"/>
      <c r="W397" s="928"/>
      <c r="X397" s="928"/>
    </row>
    <row r="398">
      <c r="A398" s="928"/>
      <c r="B398" s="928"/>
      <c r="C398" s="928"/>
      <c r="D398" s="928"/>
      <c r="E398" s="928"/>
      <c r="F398" s="928"/>
      <c r="G398" s="928"/>
      <c r="H398" s="928"/>
      <c r="I398" s="928"/>
      <c r="J398" s="928"/>
      <c r="K398" s="928"/>
      <c r="L398" s="928"/>
      <c r="M398" s="928"/>
      <c r="N398" s="928"/>
      <c r="O398" s="928"/>
      <c r="P398" s="928"/>
      <c r="Q398" s="928"/>
      <c r="R398" s="928"/>
      <c r="S398" s="928"/>
      <c r="T398" s="928"/>
      <c r="U398" s="928"/>
      <c r="V398" s="928"/>
      <c r="W398" s="928"/>
      <c r="X398" s="928"/>
    </row>
    <row r="399">
      <c r="A399" s="928"/>
      <c r="B399" s="928"/>
      <c r="C399" s="928"/>
      <c r="D399" s="928"/>
      <c r="E399" s="928"/>
      <c r="F399" s="928"/>
      <c r="G399" s="928"/>
      <c r="H399" s="928"/>
      <c r="I399" s="928"/>
      <c r="J399" s="928"/>
      <c r="K399" s="928"/>
      <c r="L399" s="928"/>
      <c r="M399" s="928"/>
      <c r="N399" s="928"/>
      <c r="O399" s="928"/>
      <c r="P399" s="928"/>
      <c r="Q399" s="928"/>
      <c r="R399" s="928"/>
      <c r="S399" s="928"/>
      <c r="T399" s="928"/>
      <c r="U399" s="928"/>
      <c r="V399" s="928"/>
      <c r="W399" s="928"/>
      <c r="X399" s="928"/>
    </row>
    <row r="400">
      <c r="A400" s="928"/>
      <c r="B400" s="928"/>
      <c r="C400" s="928"/>
      <c r="D400" s="928"/>
      <c r="E400" s="928"/>
      <c r="F400" s="928"/>
      <c r="G400" s="928"/>
      <c r="H400" s="928"/>
      <c r="I400" s="928"/>
      <c r="J400" s="928"/>
      <c r="K400" s="928"/>
      <c r="L400" s="928"/>
      <c r="M400" s="928"/>
      <c r="N400" s="928"/>
      <c r="O400" s="928"/>
      <c r="P400" s="928"/>
      <c r="Q400" s="928"/>
      <c r="R400" s="928"/>
      <c r="S400" s="928"/>
      <c r="T400" s="928"/>
      <c r="U400" s="928"/>
      <c r="V400" s="928"/>
      <c r="W400" s="928"/>
      <c r="X400" s="928"/>
    </row>
    <row r="401">
      <c r="A401" s="928"/>
      <c r="B401" s="928"/>
      <c r="C401" s="928"/>
      <c r="D401" s="928"/>
      <c r="E401" s="928"/>
      <c r="F401" s="928"/>
      <c r="G401" s="928"/>
      <c r="H401" s="928"/>
      <c r="I401" s="928"/>
      <c r="J401" s="928"/>
      <c r="K401" s="928"/>
      <c r="L401" s="928"/>
      <c r="M401" s="928"/>
      <c r="N401" s="928"/>
      <c r="O401" s="928"/>
      <c r="P401" s="928"/>
      <c r="Q401" s="928"/>
      <c r="R401" s="928"/>
      <c r="S401" s="928"/>
      <c r="T401" s="928"/>
      <c r="U401" s="928"/>
      <c r="V401" s="928"/>
      <c r="W401" s="928"/>
      <c r="X401" s="928"/>
    </row>
    <row r="402">
      <c r="A402" s="928"/>
      <c r="B402" s="928"/>
      <c r="C402" s="928"/>
      <c r="D402" s="928"/>
      <c r="E402" s="928"/>
      <c r="F402" s="928"/>
      <c r="G402" s="928"/>
      <c r="H402" s="928"/>
      <c r="I402" s="928"/>
      <c r="J402" s="928"/>
      <c r="K402" s="928"/>
      <c r="L402" s="928"/>
      <c r="M402" s="928"/>
      <c r="N402" s="928"/>
      <c r="O402" s="928"/>
      <c r="P402" s="928"/>
      <c r="Q402" s="928"/>
      <c r="R402" s="928"/>
      <c r="S402" s="928"/>
      <c r="T402" s="928"/>
      <c r="U402" s="928"/>
      <c r="V402" s="928"/>
      <c r="W402" s="928"/>
      <c r="X402" s="928"/>
    </row>
    <row r="403">
      <c r="A403" s="928"/>
      <c r="B403" s="928"/>
      <c r="C403" s="928"/>
      <c r="D403" s="928"/>
      <c r="E403" s="928"/>
      <c r="F403" s="928"/>
      <c r="G403" s="928"/>
      <c r="H403" s="928"/>
      <c r="I403" s="928"/>
      <c r="J403" s="928"/>
      <c r="K403" s="928"/>
      <c r="L403" s="928"/>
      <c r="M403" s="928"/>
      <c r="N403" s="928"/>
      <c r="O403" s="928"/>
      <c r="P403" s="928"/>
      <c r="Q403" s="928"/>
      <c r="R403" s="928"/>
      <c r="S403" s="928"/>
      <c r="T403" s="928"/>
      <c r="U403" s="928"/>
      <c r="V403" s="928"/>
      <c r="W403" s="928"/>
      <c r="X403" s="928"/>
    </row>
    <row r="404">
      <c r="A404" s="928"/>
      <c r="B404" s="928"/>
      <c r="C404" s="928"/>
      <c r="D404" s="928"/>
      <c r="E404" s="928"/>
      <c r="F404" s="928"/>
      <c r="G404" s="928"/>
      <c r="H404" s="928"/>
      <c r="I404" s="928"/>
      <c r="J404" s="928"/>
      <c r="K404" s="928"/>
      <c r="L404" s="928"/>
      <c r="M404" s="928"/>
      <c r="N404" s="928"/>
      <c r="O404" s="928"/>
      <c r="P404" s="928"/>
      <c r="Q404" s="928"/>
      <c r="R404" s="928"/>
      <c r="S404" s="928"/>
      <c r="T404" s="928"/>
      <c r="U404" s="928"/>
      <c r="V404" s="928"/>
      <c r="W404" s="928"/>
      <c r="X404" s="928"/>
    </row>
    <row r="405">
      <c r="A405" s="928"/>
      <c r="B405" s="928"/>
      <c r="C405" s="928"/>
      <c r="D405" s="928"/>
      <c r="E405" s="928"/>
      <c r="F405" s="928"/>
      <c r="G405" s="928"/>
      <c r="H405" s="928"/>
      <c r="I405" s="928"/>
      <c r="J405" s="928"/>
      <c r="K405" s="928"/>
      <c r="L405" s="928"/>
      <c r="M405" s="928"/>
      <c r="N405" s="928"/>
      <c r="O405" s="928"/>
      <c r="P405" s="928"/>
      <c r="Q405" s="928"/>
      <c r="R405" s="928"/>
      <c r="S405" s="928"/>
      <c r="T405" s="928"/>
      <c r="U405" s="928"/>
      <c r="V405" s="928"/>
      <c r="W405" s="928"/>
      <c r="X405" s="928"/>
    </row>
    <row r="406">
      <c r="A406" s="928"/>
      <c r="B406" s="928"/>
      <c r="C406" s="928"/>
      <c r="D406" s="928"/>
      <c r="E406" s="928"/>
      <c r="F406" s="928"/>
      <c r="G406" s="928"/>
      <c r="H406" s="928"/>
      <c r="I406" s="928"/>
      <c r="J406" s="928"/>
      <c r="K406" s="928"/>
      <c r="L406" s="928"/>
      <c r="M406" s="928"/>
      <c r="N406" s="928"/>
      <c r="O406" s="928"/>
      <c r="P406" s="928"/>
      <c r="Q406" s="928"/>
      <c r="R406" s="928"/>
      <c r="S406" s="928"/>
      <c r="T406" s="928"/>
      <c r="U406" s="928"/>
      <c r="V406" s="928"/>
      <c r="W406" s="928"/>
      <c r="X406" s="928"/>
    </row>
    <row r="407">
      <c r="A407" s="928"/>
      <c r="B407" s="928"/>
      <c r="C407" s="928"/>
      <c r="D407" s="928"/>
      <c r="E407" s="928"/>
      <c r="F407" s="928"/>
      <c r="G407" s="928"/>
      <c r="H407" s="928"/>
      <c r="I407" s="928"/>
      <c r="J407" s="928"/>
      <c r="K407" s="928"/>
      <c r="L407" s="928"/>
      <c r="M407" s="928"/>
      <c r="N407" s="928"/>
      <c r="O407" s="928"/>
      <c r="P407" s="928"/>
      <c r="Q407" s="928"/>
      <c r="R407" s="928"/>
      <c r="S407" s="928"/>
      <c r="T407" s="928"/>
      <c r="U407" s="928"/>
      <c r="V407" s="928"/>
      <c r="W407" s="928"/>
      <c r="X407" s="928"/>
    </row>
    <row r="408">
      <c r="A408" s="928"/>
      <c r="B408" s="928"/>
      <c r="C408" s="928"/>
      <c r="D408" s="928"/>
      <c r="E408" s="928"/>
      <c r="F408" s="928"/>
      <c r="G408" s="928"/>
      <c r="H408" s="928"/>
      <c r="I408" s="928"/>
      <c r="J408" s="928"/>
      <c r="K408" s="928"/>
      <c r="L408" s="928"/>
      <c r="M408" s="928"/>
      <c r="N408" s="928"/>
      <c r="O408" s="928"/>
      <c r="P408" s="928"/>
      <c r="Q408" s="928"/>
      <c r="R408" s="928"/>
      <c r="S408" s="928"/>
      <c r="T408" s="928"/>
      <c r="U408" s="928"/>
      <c r="V408" s="928"/>
      <c r="W408" s="928"/>
      <c r="X408" s="928"/>
    </row>
    <row r="409">
      <c r="A409" s="928"/>
      <c r="B409" s="928"/>
      <c r="C409" s="928"/>
      <c r="D409" s="928"/>
      <c r="E409" s="928"/>
      <c r="F409" s="928"/>
      <c r="G409" s="928"/>
      <c r="H409" s="928"/>
      <c r="I409" s="928"/>
      <c r="J409" s="928"/>
      <c r="K409" s="928"/>
      <c r="L409" s="928"/>
      <c r="M409" s="928"/>
      <c r="N409" s="928"/>
      <c r="O409" s="928"/>
      <c r="P409" s="928"/>
      <c r="Q409" s="928"/>
      <c r="R409" s="928"/>
      <c r="S409" s="928"/>
      <c r="T409" s="928"/>
      <c r="U409" s="928"/>
      <c r="V409" s="928"/>
      <c r="W409" s="928"/>
      <c r="X409" s="928"/>
    </row>
    <row r="410">
      <c r="A410" s="928"/>
      <c r="B410" s="928"/>
      <c r="C410" s="928"/>
      <c r="D410" s="928"/>
      <c r="E410" s="928"/>
      <c r="F410" s="928"/>
      <c r="G410" s="928"/>
      <c r="H410" s="928"/>
      <c r="I410" s="928"/>
      <c r="J410" s="928"/>
      <c r="K410" s="928"/>
      <c r="L410" s="928"/>
      <c r="M410" s="928"/>
      <c r="N410" s="928"/>
      <c r="O410" s="928"/>
      <c r="P410" s="928"/>
      <c r="Q410" s="928"/>
      <c r="R410" s="928"/>
      <c r="S410" s="928"/>
      <c r="T410" s="928"/>
      <c r="U410" s="928"/>
      <c r="V410" s="928"/>
      <c r="W410" s="928"/>
      <c r="X410" s="928"/>
    </row>
    <row r="411">
      <c r="A411" s="928"/>
      <c r="B411" s="928"/>
      <c r="C411" s="928"/>
      <c r="D411" s="928"/>
      <c r="E411" s="928"/>
      <c r="F411" s="928"/>
      <c r="G411" s="928"/>
      <c r="H411" s="928"/>
      <c r="I411" s="928"/>
      <c r="J411" s="928"/>
      <c r="K411" s="928"/>
      <c r="L411" s="928"/>
      <c r="M411" s="928"/>
      <c r="N411" s="928"/>
      <c r="O411" s="928"/>
      <c r="P411" s="928"/>
      <c r="Q411" s="928"/>
      <c r="R411" s="928"/>
      <c r="S411" s="928"/>
      <c r="T411" s="928"/>
      <c r="U411" s="928"/>
      <c r="V411" s="928"/>
      <c r="W411" s="928"/>
      <c r="X411" s="928"/>
    </row>
    <row r="412">
      <c r="A412" s="928"/>
      <c r="B412" s="928"/>
      <c r="C412" s="928"/>
      <c r="D412" s="928"/>
      <c r="E412" s="928"/>
      <c r="F412" s="928"/>
      <c r="G412" s="928"/>
      <c r="H412" s="928"/>
      <c r="I412" s="928"/>
      <c r="J412" s="928"/>
      <c r="K412" s="928"/>
      <c r="L412" s="928"/>
      <c r="M412" s="928"/>
      <c r="N412" s="928"/>
      <c r="O412" s="928"/>
      <c r="P412" s="928"/>
      <c r="Q412" s="928"/>
      <c r="R412" s="928"/>
      <c r="S412" s="928"/>
      <c r="T412" s="928"/>
      <c r="U412" s="928"/>
      <c r="V412" s="928"/>
      <c r="W412" s="928"/>
      <c r="X412" s="928"/>
    </row>
    <row r="413">
      <c r="A413" s="928"/>
      <c r="B413" s="928"/>
      <c r="C413" s="928"/>
      <c r="D413" s="928"/>
      <c r="E413" s="928"/>
      <c r="F413" s="928"/>
      <c r="G413" s="928"/>
      <c r="H413" s="928"/>
      <c r="I413" s="928"/>
      <c r="J413" s="928"/>
      <c r="K413" s="928"/>
      <c r="L413" s="928"/>
      <c r="M413" s="928"/>
      <c r="N413" s="928"/>
      <c r="O413" s="928"/>
      <c r="P413" s="928"/>
      <c r="Q413" s="928"/>
      <c r="R413" s="928"/>
      <c r="S413" s="928"/>
      <c r="T413" s="928"/>
      <c r="U413" s="928"/>
      <c r="V413" s="928"/>
      <c r="W413" s="928"/>
      <c r="X413" s="928"/>
    </row>
    <row r="414">
      <c r="A414" s="928"/>
      <c r="B414" s="928"/>
      <c r="C414" s="928"/>
      <c r="D414" s="928"/>
      <c r="E414" s="928"/>
      <c r="F414" s="928"/>
      <c r="G414" s="928"/>
      <c r="H414" s="928"/>
      <c r="I414" s="928"/>
      <c r="J414" s="928"/>
      <c r="K414" s="928"/>
      <c r="L414" s="928"/>
      <c r="M414" s="928"/>
      <c r="N414" s="928"/>
      <c r="O414" s="928"/>
      <c r="P414" s="928"/>
      <c r="Q414" s="928"/>
      <c r="R414" s="928"/>
      <c r="S414" s="928"/>
      <c r="T414" s="928"/>
      <c r="U414" s="928"/>
      <c r="V414" s="928"/>
      <c r="W414" s="928"/>
      <c r="X414" s="928"/>
    </row>
    <row r="415">
      <c r="A415" s="928"/>
      <c r="B415" s="928"/>
      <c r="C415" s="928"/>
      <c r="D415" s="928"/>
      <c r="E415" s="928"/>
      <c r="F415" s="928"/>
      <c r="G415" s="928"/>
      <c r="H415" s="928"/>
      <c r="I415" s="928"/>
      <c r="J415" s="928"/>
      <c r="K415" s="928"/>
      <c r="L415" s="928"/>
      <c r="M415" s="928"/>
      <c r="N415" s="928"/>
      <c r="O415" s="928"/>
      <c r="P415" s="928"/>
      <c r="Q415" s="928"/>
      <c r="R415" s="928"/>
      <c r="S415" s="928"/>
      <c r="T415" s="928"/>
      <c r="U415" s="928"/>
      <c r="V415" s="928"/>
      <c r="W415" s="928"/>
      <c r="X415" s="928"/>
    </row>
    <row r="416">
      <c r="A416" s="928"/>
      <c r="B416" s="928"/>
      <c r="C416" s="928"/>
      <c r="D416" s="928"/>
      <c r="E416" s="928"/>
      <c r="F416" s="928"/>
      <c r="G416" s="928"/>
      <c r="H416" s="928"/>
      <c r="I416" s="928"/>
      <c r="J416" s="928"/>
      <c r="K416" s="928"/>
      <c r="L416" s="928"/>
      <c r="M416" s="928"/>
      <c r="N416" s="928"/>
      <c r="O416" s="928"/>
      <c r="P416" s="928"/>
      <c r="Q416" s="928"/>
      <c r="R416" s="928"/>
      <c r="S416" s="928"/>
      <c r="T416" s="928"/>
      <c r="U416" s="928"/>
      <c r="V416" s="928"/>
      <c r="W416" s="928"/>
      <c r="X416" s="928"/>
    </row>
    <row r="417">
      <c r="A417" s="928"/>
      <c r="B417" s="928"/>
      <c r="C417" s="928"/>
      <c r="D417" s="928"/>
      <c r="E417" s="928"/>
      <c r="F417" s="928"/>
      <c r="G417" s="928"/>
      <c r="H417" s="928"/>
      <c r="I417" s="928"/>
      <c r="J417" s="928"/>
      <c r="K417" s="928"/>
      <c r="L417" s="928"/>
      <c r="M417" s="928"/>
      <c r="N417" s="928"/>
      <c r="O417" s="928"/>
      <c r="P417" s="928"/>
      <c r="Q417" s="928"/>
      <c r="R417" s="928"/>
      <c r="S417" s="928"/>
      <c r="T417" s="928"/>
      <c r="U417" s="928"/>
      <c r="V417" s="928"/>
      <c r="W417" s="928"/>
      <c r="X417" s="928"/>
    </row>
    <row r="418">
      <c r="A418" s="928"/>
      <c r="B418" s="928"/>
      <c r="C418" s="928"/>
      <c r="D418" s="928"/>
      <c r="E418" s="928"/>
      <c r="F418" s="928"/>
      <c r="G418" s="928"/>
      <c r="H418" s="928"/>
      <c r="I418" s="928"/>
      <c r="J418" s="928"/>
      <c r="K418" s="928"/>
      <c r="L418" s="928"/>
      <c r="M418" s="928"/>
      <c r="N418" s="928"/>
      <c r="O418" s="928"/>
      <c r="P418" s="928"/>
      <c r="Q418" s="928"/>
      <c r="R418" s="928"/>
      <c r="S418" s="928"/>
      <c r="T418" s="928"/>
      <c r="U418" s="928"/>
      <c r="V418" s="928"/>
      <c r="W418" s="928"/>
      <c r="X418" s="928"/>
    </row>
    <row r="419">
      <c r="A419" s="928"/>
      <c r="B419" s="928"/>
      <c r="C419" s="928"/>
      <c r="D419" s="928"/>
      <c r="E419" s="928"/>
      <c r="F419" s="928"/>
      <c r="G419" s="928"/>
      <c r="H419" s="928"/>
      <c r="I419" s="928"/>
      <c r="J419" s="928"/>
      <c r="K419" s="928"/>
      <c r="L419" s="928"/>
      <c r="M419" s="928"/>
      <c r="N419" s="928"/>
      <c r="O419" s="928"/>
      <c r="P419" s="928"/>
      <c r="Q419" s="928"/>
      <c r="R419" s="928"/>
      <c r="S419" s="928"/>
      <c r="T419" s="928"/>
      <c r="U419" s="928"/>
      <c r="V419" s="928"/>
      <c r="W419" s="928"/>
      <c r="X419" s="928"/>
    </row>
    <row r="420">
      <c r="A420" s="928"/>
      <c r="B420" s="928"/>
      <c r="C420" s="928"/>
      <c r="D420" s="928"/>
      <c r="E420" s="928"/>
      <c r="F420" s="928"/>
      <c r="G420" s="928"/>
      <c r="H420" s="928"/>
      <c r="I420" s="928"/>
      <c r="J420" s="928"/>
      <c r="K420" s="928"/>
      <c r="L420" s="928"/>
      <c r="M420" s="928"/>
      <c r="N420" s="928"/>
      <c r="O420" s="928"/>
      <c r="P420" s="928"/>
      <c r="Q420" s="928"/>
      <c r="R420" s="928"/>
      <c r="S420" s="928"/>
      <c r="T420" s="928"/>
      <c r="U420" s="928"/>
      <c r="V420" s="928"/>
      <c r="W420" s="928"/>
      <c r="X420" s="928"/>
    </row>
    <row r="421">
      <c r="A421" s="928"/>
      <c r="B421" s="928"/>
      <c r="C421" s="928"/>
      <c r="D421" s="928"/>
      <c r="E421" s="928"/>
      <c r="F421" s="928"/>
      <c r="G421" s="928"/>
      <c r="H421" s="928"/>
      <c r="I421" s="928"/>
      <c r="J421" s="928"/>
      <c r="K421" s="928"/>
      <c r="L421" s="928"/>
      <c r="M421" s="928"/>
      <c r="N421" s="928"/>
      <c r="O421" s="928"/>
      <c r="P421" s="928"/>
      <c r="Q421" s="928"/>
      <c r="R421" s="928"/>
      <c r="S421" s="928"/>
      <c r="T421" s="928"/>
      <c r="U421" s="928"/>
      <c r="V421" s="928"/>
      <c r="W421" s="928"/>
      <c r="X421" s="928"/>
    </row>
    <row r="422">
      <c r="A422" s="928"/>
      <c r="B422" s="928"/>
      <c r="C422" s="928"/>
      <c r="D422" s="928"/>
      <c r="E422" s="928"/>
      <c r="F422" s="928"/>
      <c r="G422" s="928"/>
      <c r="H422" s="928"/>
      <c r="I422" s="928"/>
      <c r="J422" s="928"/>
      <c r="K422" s="928"/>
      <c r="L422" s="928"/>
      <c r="M422" s="928"/>
      <c r="N422" s="928"/>
      <c r="O422" s="928"/>
      <c r="P422" s="928"/>
      <c r="Q422" s="928"/>
      <c r="R422" s="928"/>
      <c r="S422" s="928"/>
      <c r="T422" s="928"/>
      <c r="U422" s="928"/>
      <c r="V422" s="928"/>
      <c r="W422" s="928"/>
      <c r="X422" s="928"/>
    </row>
    <row r="423">
      <c r="A423" s="928"/>
      <c r="B423" s="928"/>
      <c r="C423" s="928"/>
      <c r="D423" s="928"/>
      <c r="E423" s="928"/>
      <c r="F423" s="928"/>
      <c r="G423" s="928"/>
      <c r="H423" s="928"/>
      <c r="I423" s="928"/>
      <c r="J423" s="928"/>
      <c r="K423" s="928"/>
      <c r="L423" s="928"/>
      <c r="M423" s="928"/>
      <c r="N423" s="928"/>
      <c r="O423" s="928"/>
      <c r="P423" s="928"/>
      <c r="Q423" s="928"/>
      <c r="R423" s="928"/>
      <c r="S423" s="928"/>
      <c r="T423" s="928"/>
      <c r="U423" s="928"/>
      <c r="V423" s="928"/>
      <c r="W423" s="928"/>
      <c r="X423" s="928"/>
    </row>
    <row r="424">
      <c r="A424" s="928"/>
      <c r="B424" s="928"/>
      <c r="C424" s="928"/>
      <c r="D424" s="928"/>
      <c r="E424" s="928"/>
      <c r="F424" s="928"/>
      <c r="G424" s="928"/>
      <c r="H424" s="928"/>
      <c r="I424" s="928"/>
      <c r="J424" s="928"/>
      <c r="K424" s="928"/>
      <c r="L424" s="928"/>
      <c r="M424" s="928"/>
      <c r="N424" s="928"/>
      <c r="O424" s="928"/>
      <c r="P424" s="928"/>
      <c r="Q424" s="928"/>
      <c r="R424" s="928"/>
      <c r="S424" s="928"/>
      <c r="T424" s="928"/>
      <c r="U424" s="928"/>
      <c r="V424" s="928"/>
      <c r="W424" s="928"/>
      <c r="X424" s="928"/>
    </row>
    <row r="425">
      <c r="A425" s="928"/>
      <c r="B425" s="928"/>
      <c r="C425" s="928"/>
      <c r="D425" s="928"/>
      <c r="E425" s="928"/>
      <c r="F425" s="928"/>
      <c r="G425" s="928"/>
      <c r="H425" s="928"/>
      <c r="I425" s="928"/>
      <c r="J425" s="928"/>
      <c r="K425" s="928"/>
      <c r="L425" s="928"/>
      <c r="M425" s="928"/>
      <c r="N425" s="928"/>
      <c r="O425" s="928"/>
      <c r="P425" s="928"/>
      <c r="Q425" s="928"/>
      <c r="R425" s="928"/>
      <c r="S425" s="928"/>
      <c r="T425" s="928"/>
      <c r="U425" s="928"/>
      <c r="V425" s="928"/>
      <c r="W425" s="928"/>
      <c r="X425" s="928"/>
    </row>
    <row r="426">
      <c r="A426" s="928"/>
      <c r="B426" s="928"/>
      <c r="C426" s="928"/>
      <c r="D426" s="928"/>
      <c r="E426" s="928"/>
      <c r="F426" s="928"/>
      <c r="G426" s="928"/>
      <c r="H426" s="928"/>
      <c r="I426" s="928"/>
      <c r="J426" s="928"/>
      <c r="K426" s="928"/>
      <c r="L426" s="928"/>
      <c r="M426" s="928"/>
      <c r="N426" s="928"/>
      <c r="O426" s="928"/>
      <c r="P426" s="928"/>
      <c r="Q426" s="928"/>
      <c r="R426" s="928"/>
      <c r="S426" s="928"/>
      <c r="T426" s="928"/>
      <c r="U426" s="928"/>
      <c r="V426" s="928"/>
      <c r="W426" s="928"/>
      <c r="X426" s="928"/>
    </row>
    <row r="427">
      <c r="A427" s="928"/>
      <c r="B427" s="928"/>
      <c r="C427" s="928"/>
      <c r="D427" s="928"/>
      <c r="E427" s="928"/>
      <c r="F427" s="928"/>
      <c r="G427" s="928"/>
      <c r="H427" s="928"/>
      <c r="I427" s="928"/>
      <c r="J427" s="928"/>
      <c r="K427" s="928"/>
      <c r="L427" s="928"/>
      <c r="M427" s="928"/>
      <c r="N427" s="928"/>
      <c r="O427" s="928"/>
      <c r="P427" s="928"/>
      <c r="Q427" s="928"/>
      <c r="R427" s="928"/>
      <c r="S427" s="928"/>
      <c r="T427" s="928"/>
      <c r="U427" s="928"/>
      <c r="V427" s="928"/>
      <c r="W427" s="928"/>
      <c r="X427" s="928"/>
    </row>
    <row r="428">
      <c r="A428" s="928"/>
      <c r="B428" s="928"/>
      <c r="C428" s="928"/>
      <c r="D428" s="928"/>
      <c r="E428" s="928"/>
      <c r="F428" s="928"/>
      <c r="G428" s="928"/>
      <c r="H428" s="928"/>
      <c r="I428" s="928"/>
      <c r="J428" s="928"/>
      <c r="K428" s="928"/>
      <c r="L428" s="928"/>
      <c r="M428" s="928"/>
      <c r="N428" s="928"/>
      <c r="O428" s="928"/>
      <c r="P428" s="928"/>
      <c r="Q428" s="928"/>
      <c r="R428" s="928"/>
      <c r="S428" s="928"/>
      <c r="T428" s="928"/>
      <c r="U428" s="928"/>
      <c r="V428" s="928"/>
      <c r="W428" s="928"/>
      <c r="X428" s="928"/>
    </row>
    <row r="429">
      <c r="A429" s="928"/>
      <c r="B429" s="928"/>
      <c r="C429" s="928"/>
      <c r="D429" s="928"/>
      <c r="E429" s="928"/>
      <c r="F429" s="928"/>
      <c r="G429" s="928"/>
      <c r="H429" s="928"/>
      <c r="I429" s="928"/>
      <c r="J429" s="928"/>
      <c r="K429" s="928"/>
      <c r="L429" s="928"/>
      <c r="M429" s="928"/>
      <c r="N429" s="928"/>
      <c r="O429" s="928"/>
      <c r="P429" s="928"/>
      <c r="Q429" s="928"/>
      <c r="R429" s="928"/>
      <c r="S429" s="928"/>
      <c r="T429" s="928"/>
      <c r="U429" s="928"/>
      <c r="V429" s="928"/>
      <c r="W429" s="928"/>
      <c r="X429" s="928"/>
    </row>
    <row r="430">
      <c r="A430" s="928"/>
      <c r="B430" s="928"/>
      <c r="C430" s="928"/>
      <c r="D430" s="928"/>
      <c r="E430" s="928"/>
      <c r="F430" s="928"/>
      <c r="G430" s="928"/>
      <c r="H430" s="928"/>
      <c r="I430" s="928"/>
      <c r="J430" s="928"/>
      <c r="K430" s="928"/>
      <c r="L430" s="928"/>
      <c r="M430" s="928"/>
      <c r="N430" s="928"/>
      <c r="O430" s="928"/>
      <c r="P430" s="928"/>
      <c r="Q430" s="928"/>
      <c r="R430" s="928"/>
      <c r="S430" s="928"/>
      <c r="T430" s="928"/>
      <c r="U430" s="928"/>
      <c r="V430" s="928"/>
      <c r="W430" s="928"/>
      <c r="X430" s="928"/>
    </row>
    <row r="431">
      <c r="A431" s="928"/>
      <c r="B431" s="928"/>
      <c r="C431" s="928"/>
      <c r="D431" s="928"/>
      <c r="E431" s="928"/>
      <c r="F431" s="928"/>
      <c r="G431" s="928"/>
      <c r="H431" s="928"/>
      <c r="I431" s="928"/>
      <c r="J431" s="928"/>
      <c r="K431" s="928"/>
      <c r="L431" s="928"/>
      <c r="M431" s="928"/>
      <c r="N431" s="928"/>
      <c r="O431" s="928"/>
      <c r="P431" s="928"/>
      <c r="Q431" s="928"/>
      <c r="R431" s="928"/>
      <c r="S431" s="928"/>
      <c r="T431" s="928"/>
      <c r="U431" s="928"/>
      <c r="V431" s="928"/>
      <c r="W431" s="928"/>
      <c r="X431" s="928"/>
    </row>
    <row r="432">
      <c r="A432" s="928"/>
      <c r="B432" s="928"/>
      <c r="C432" s="928"/>
      <c r="D432" s="928"/>
      <c r="E432" s="928"/>
      <c r="F432" s="928"/>
      <c r="G432" s="928"/>
      <c r="H432" s="928"/>
      <c r="I432" s="928"/>
      <c r="J432" s="928"/>
      <c r="K432" s="928"/>
      <c r="L432" s="928"/>
      <c r="M432" s="928"/>
      <c r="N432" s="928"/>
      <c r="O432" s="928"/>
      <c r="P432" s="928"/>
      <c r="Q432" s="928"/>
      <c r="R432" s="928"/>
      <c r="S432" s="928"/>
      <c r="T432" s="928"/>
      <c r="U432" s="928"/>
      <c r="V432" s="928"/>
      <c r="W432" s="928"/>
      <c r="X432" s="928"/>
    </row>
    <row r="433">
      <c r="A433" s="928"/>
      <c r="B433" s="928"/>
      <c r="C433" s="928"/>
      <c r="D433" s="928"/>
      <c r="E433" s="928"/>
      <c r="F433" s="928"/>
      <c r="G433" s="928"/>
      <c r="H433" s="928"/>
      <c r="I433" s="928"/>
      <c r="J433" s="928"/>
      <c r="K433" s="928"/>
      <c r="L433" s="928"/>
      <c r="M433" s="928"/>
      <c r="N433" s="928"/>
      <c r="O433" s="928"/>
      <c r="P433" s="928"/>
      <c r="Q433" s="928"/>
      <c r="R433" s="928"/>
      <c r="S433" s="928"/>
      <c r="T433" s="928"/>
      <c r="U433" s="928"/>
      <c r="V433" s="928"/>
      <c r="W433" s="928"/>
      <c r="X433" s="928"/>
    </row>
    <row r="434">
      <c r="A434" s="928"/>
      <c r="B434" s="928"/>
      <c r="C434" s="928"/>
      <c r="D434" s="928"/>
      <c r="E434" s="928"/>
      <c r="F434" s="928"/>
      <c r="G434" s="928"/>
      <c r="H434" s="928"/>
      <c r="I434" s="928"/>
      <c r="J434" s="928"/>
      <c r="K434" s="928"/>
      <c r="L434" s="928"/>
      <c r="M434" s="928"/>
      <c r="N434" s="928"/>
      <c r="O434" s="928"/>
      <c r="P434" s="928"/>
      <c r="Q434" s="928"/>
      <c r="R434" s="928"/>
      <c r="S434" s="928"/>
      <c r="T434" s="928"/>
      <c r="U434" s="928"/>
      <c r="V434" s="928"/>
      <c r="W434" s="928"/>
      <c r="X434" s="928"/>
    </row>
    <row r="435">
      <c r="A435" s="928"/>
      <c r="B435" s="928"/>
      <c r="C435" s="928"/>
      <c r="D435" s="928"/>
      <c r="E435" s="928"/>
      <c r="F435" s="928"/>
      <c r="G435" s="928"/>
      <c r="H435" s="928"/>
      <c r="I435" s="928"/>
      <c r="J435" s="928"/>
      <c r="K435" s="928"/>
      <c r="L435" s="928"/>
      <c r="M435" s="928"/>
      <c r="N435" s="928"/>
      <c r="O435" s="928"/>
      <c r="P435" s="928"/>
      <c r="Q435" s="928"/>
      <c r="R435" s="928"/>
      <c r="S435" s="928"/>
      <c r="T435" s="928"/>
      <c r="U435" s="928"/>
      <c r="V435" s="928"/>
      <c r="W435" s="928"/>
      <c r="X435" s="928"/>
    </row>
    <row r="436">
      <c r="A436" s="928"/>
      <c r="B436" s="928"/>
      <c r="C436" s="928"/>
      <c r="D436" s="928"/>
      <c r="E436" s="928"/>
      <c r="F436" s="928"/>
      <c r="G436" s="928"/>
      <c r="H436" s="928"/>
      <c r="I436" s="928"/>
      <c r="J436" s="928"/>
      <c r="K436" s="928"/>
      <c r="L436" s="928"/>
      <c r="M436" s="928"/>
      <c r="N436" s="928"/>
      <c r="O436" s="928"/>
      <c r="P436" s="928"/>
      <c r="Q436" s="928"/>
      <c r="R436" s="928"/>
      <c r="S436" s="928"/>
      <c r="T436" s="928"/>
      <c r="U436" s="928"/>
      <c r="V436" s="928"/>
      <c r="W436" s="928"/>
      <c r="X436" s="928"/>
    </row>
    <row r="437">
      <c r="A437" s="928"/>
      <c r="B437" s="928"/>
      <c r="C437" s="928"/>
      <c r="D437" s="928"/>
      <c r="E437" s="928"/>
      <c r="F437" s="928"/>
      <c r="G437" s="928"/>
      <c r="H437" s="928"/>
      <c r="I437" s="928"/>
      <c r="J437" s="928"/>
      <c r="K437" s="928"/>
      <c r="L437" s="928"/>
      <c r="M437" s="928"/>
      <c r="N437" s="928"/>
      <c r="O437" s="928"/>
      <c r="P437" s="928"/>
      <c r="Q437" s="928"/>
      <c r="R437" s="928"/>
      <c r="S437" s="928"/>
      <c r="T437" s="928"/>
      <c r="U437" s="928"/>
      <c r="V437" s="928"/>
      <c r="W437" s="928"/>
      <c r="X437" s="928"/>
    </row>
    <row r="438">
      <c r="A438" s="928"/>
      <c r="B438" s="928"/>
      <c r="C438" s="928"/>
      <c r="D438" s="928"/>
      <c r="E438" s="928"/>
      <c r="F438" s="928"/>
      <c r="G438" s="928"/>
      <c r="H438" s="928"/>
      <c r="I438" s="928"/>
      <c r="J438" s="928"/>
      <c r="K438" s="928"/>
      <c r="L438" s="928"/>
      <c r="M438" s="928"/>
      <c r="N438" s="928"/>
      <c r="O438" s="928"/>
      <c r="P438" s="928"/>
      <c r="Q438" s="928"/>
      <c r="R438" s="928"/>
      <c r="S438" s="928"/>
      <c r="T438" s="928"/>
      <c r="U438" s="928"/>
      <c r="V438" s="928"/>
      <c r="W438" s="928"/>
      <c r="X438" s="928"/>
    </row>
    <row r="439">
      <c r="A439" s="928"/>
      <c r="B439" s="928"/>
      <c r="C439" s="928"/>
      <c r="D439" s="928"/>
      <c r="E439" s="928"/>
      <c r="F439" s="928"/>
      <c r="G439" s="928"/>
      <c r="H439" s="928"/>
      <c r="I439" s="928"/>
      <c r="J439" s="928"/>
      <c r="K439" s="928"/>
      <c r="L439" s="928"/>
      <c r="M439" s="928"/>
      <c r="N439" s="928"/>
      <c r="O439" s="928"/>
      <c r="P439" s="928"/>
      <c r="Q439" s="928"/>
      <c r="R439" s="928"/>
      <c r="S439" s="928"/>
      <c r="T439" s="928"/>
      <c r="U439" s="928"/>
      <c r="V439" s="928"/>
      <c r="W439" s="928"/>
      <c r="X439" s="928"/>
    </row>
    <row r="440">
      <c r="A440" s="928"/>
      <c r="B440" s="928"/>
      <c r="C440" s="928"/>
      <c r="D440" s="928"/>
      <c r="E440" s="928"/>
      <c r="F440" s="928"/>
      <c r="G440" s="928"/>
      <c r="H440" s="928"/>
      <c r="I440" s="928"/>
      <c r="J440" s="928"/>
      <c r="K440" s="928"/>
      <c r="L440" s="928"/>
      <c r="M440" s="928"/>
      <c r="N440" s="928"/>
      <c r="O440" s="928"/>
      <c r="P440" s="928"/>
      <c r="Q440" s="928"/>
      <c r="R440" s="928"/>
      <c r="S440" s="928"/>
      <c r="T440" s="928"/>
      <c r="U440" s="928"/>
      <c r="V440" s="928"/>
      <c r="W440" s="928"/>
      <c r="X440" s="928"/>
    </row>
    <row r="441">
      <c r="A441" s="928"/>
      <c r="B441" s="928"/>
      <c r="C441" s="928"/>
      <c r="D441" s="928"/>
      <c r="E441" s="928"/>
      <c r="F441" s="928"/>
      <c r="G441" s="928"/>
      <c r="H441" s="928"/>
      <c r="I441" s="928"/>
      <c r="J441" s="928"/>
      <c r="K441" s="928"/>
      <c r="L441" s="928"/>
      <c r="M441" s="928"/>
      <c r="N441" s="928"/>
      <c r="O441" s="928"/>
      <c r="P441" s="928"/>
      <c r="Q441" s="928"/>
      <c r="R441" s="928"/>
      <c r="S441" s="928"/>
      <c r="T441" s="928"/>
      <c r="U441" s="928"/>
      <c r="V441" s="928"/>
      <c r="W441" s="928"/>
      <c r="X441" s="928"/>
    </row>
    <row r="442">
      <c r="A442" s="928"/>
      <c r="B442" s="928"/>
      <c r="C442" s="928"/>
      <c r="D442" s="928"/>
      <c r="E442" s="928"/>
      <c r="F442" s="928"/>
      <c r="G442" s="928"/>
      <c r="H442" s="928"/>
      <c r="I442" s="928"/>
      <c r="J442" s="928"/>
      <c r="K442" s="928"/>
      <c r="L442" s="928"/>
      <c r="M442" s="928"/>
      <c r="N442" s="928"/>
      <c r="O442" s="928"/>
      <c r="P442" s="928"/>
      <c r="Q442" s="928"/>
      <c r="R442" s="928"/>
      <c r="S442" s="928"/>
      <c r="T442" s="928"/>
      <c r="U442" s="928"/>
      <c r="V442" s="928"/>
      <c r="W442" s="928"/>
      <c r="X442" s="928"/>
    </row>
    <row r="443">
      <c r="A443" s="928"/>
      <c r="B443" s="928"/>
      <c r="C443" s="928"/>
      <c r="D443" s="928"/>
      <c r="E443" s="928"/>
      <c r="F443" s="928"/>
      <c r="G443" s="928"/>
      <c r="H443" s="928"/>
      <c r="I443" s="928"/>
      <c r="J443" s="928"/>
      <c r="K443" s="928"/>
      <c r="L443" s="928"/>
      <c r="M443" s="928"/>
      <c r="N443" s="928"/>
      <c r="O443" s="928"/>
      <c r="P443" s="928"/>
      <c r="Q443" s="928"/>
      <c r="R443" s="928"/>
      <c r="S443" s="928"/>
      <c r="T443" s="928"/>
      <c r="U443" s="928"/>
      <c r="V443" s="928"/>
      <c r="W443" s="928"/>
      <c r="X443" s="928"/>
    </row>
    <row r="444">
      <c r="A444" s="928"/>
      <c r="B444" s="928"/>
      <c r="C444" s="928"/>
      <c r="D444" s="928"/>
      <c r="E444" s="928"/>
      <c r="F444" s="928"/>
      <c r="G444" s="928"/>
      <c r="H444" s="928"/>
      <c r="I444" s="928"/>
      <c r="J444" s="928"/>
      <c r="K444" s="928"/>
      <c r="L444" s="928"/>
      <c r="M444" s="928"/>
      <c r="N444" s="928"/>
      <c r="O444" s="928"/>
      <c r="P444" s="928"/>
      <c r="Q444" s="928"/>
      <c r="R444" s="928"/>
      <c r="S444" s="928"/>
      <c r="T444" s="928"/>
      <c r="U444" s="928"/>
      <c r="V444" s="928"/>
      <c r="W444" s="928"/>
      <c r="X444" s="928"/>
    </row>
    <row r="445">
      <c r="A445" s="928"/>
      <c r="B445" s="928"/>
      <c r="C445" s="928"/>
      <c r="D445" s="928"/>
      <c r="E445" s="928"/>
      <c r="F445" s="928"/>
      <c r="G445" s="928"/>
      <c r="H445" s="928"/>
      <c r="I445" s="928"/>
      <c r="J445" s="928"/>
      <c r="K445" s="928"/>
      <c r="L445" s="928"/>
      <c r="M445" s="928"/>
      <c r="N445" s="928"/>
      <c r="O445" s="928"/>
      <c r="P445" s="928"/>
      <c r="Q445" s="928"/>
      <c r="R445" s="928"/>
      <c r="S445" s="928"/>
      <c r="T445" s="928"/>
      <c r="U445" s="928"/>
      <c r="V445" s="928"/>
      <c r="W445" s="928"/>
      <c r="X445" s="928"/>
    </row>
    <row r="446">
      <c r="A446" s="928"/>
      <c r="B446" s="928"/>
      <c r="C446" s="928"/>
      <c r="D446" s="928"/>
      <c r="E446" s="928"/>
      <c r="F446" s="928"/>
      <c r="G446" s="928"/>
      <c r="H446" s="928"/>
      <c r="I446" s="928"/>
      <c r="J446" s="928"/>
      <c r="K446" s="928"/>
      <c r="L446" s="928"/>
      <c r="M446" s="928"/>
      <c r="N446" s="928"/>
      <c r="O446" s="928"/>
      <c r="P446" s="928"/>
      <c r="Q446" s="928"/>
      <c r="R446" s="928"/>
      <c r="S446" s="928"/>
      <c r="T446" s="928"/>
      <c r="U446" s="928"/>
      <c r="V446" s="928"/>
      <c r="W446" s="928"/>
      <c r="X446" s="928"/>
    </row>
    <row r="447">
      <c r="A447" s="928"/>
      <c r="B447" s="928"/>
      <c r="C447" s="928"/>
      <c r="D447" s="928"/>
      <c r="E447" s="928"/>
      <c r="F447" s="928"/>
      <c r="G447" s="928"/>
      <c r="H447" s="928"/>
      <c r="I447" s="928"/>
      <c r="J447" s="928"/>
      <c r="K447" s="928"/>
      <c r="L447" s="928"/>
      <c r="M447" s="928"/>
      <c r="N447" s="928"/>
      <c r="O447" s="928"/>
      <c r="P447" s="928"/>
      <c r="Q447" s="928"/>
      <c r="R447" s="928"/>
      <c r="S447" s="928"/>
      <c r="T447" s="928"/>
      <c r="U447" s="928"/>
      <c r="V447" s="928"/>
      <c r="W447" s="928"/>
      <c r="X447" s="928"/>
    </row>
    <row r="448">
      <c r="A448" s="928"/>
      <c r="B448" s="928"/>
      <c r="C448" s="928"/>
      <c r="D448" s="928"/>
      <c r="E448" s="928"/>
      <c r="F448" s="928"/>
      <c r="G448" s="928"/>
      <c r="H448" s="928"/>
      <c r="I448" s="928"/>
      <c r="J448" s="928"/>
      <c r="K448" s="928"/>
      <c r="L448" s="928"/>
      <c r="M448" s="928"/>
      <c r="N448" s="928"/>
      <c r="O448" s="928"/>
      <c r="P448" s="928"/>
      <c r="Q448" s="928"/>
      <c r="R448" s="928"/>
      <c r="S448" s="928"/>
      <c r="T448" s="928"/>
      <c r="U448" s="928"/>
      <c r="V448" s="928"/>
      <c r="W448" s="928"/>
      <c r="X448" s="928"/>
    </row>
    <row r="449">
      <c r="A449" s="928"/>
      <c r="B449" s="928"/>
      <c r="C449" s="928"/>
      <c r="D449" s="928"/>
      <c r="E449" s="928"/>
      <c r="F449" s="928"/>
      <c r="G449" s="928"/>
      <c r="H449" s="928"/>
      <c r="I449" s="928"/>
      <c r="J449" s="928"/>
      <c r="K449" s="928"/>
      <c r="L449" s="928"/>
      <c r="M449" s="928"/>
      <c r="N449" s="928"/>
      <c r="O449" s="928"/>
      <c r="P449" s="928"/>
      <c r="Q449" s="928"/>
      <c r="R449" s="928"/>
      <c r="S449" s="928"/>
      <c r="T449" s="928"/>
      <c r="U449" s="928"/>
      <c r="V449" s="928"/>
      <c r="W449" s="928"/>
      <c r="X449" s="928"/>
    </row>
    <row r="450">
      <c r="A450" s="928"/>
      <c r="B450" s="928"/>
      <c r="C450" s="928"/>
      <c r="D450" s="928"/>
      <c r="E450" s="928"/>
      <c r="F450" s="928"/>
      <c r="G450" s="928"/>
      <c r="H450" s="928"/>
      <c r="I450" s="928"/>
      <c r="J450" s="928"/>
      <c r="K450" s="928"/>
      <c r="L450" s="928"/>
      <c r="M450" s="928"/>
      <c r="N450" s="928"/>
      <c r="O450" s="928"/>
      <c r="P450" s="928"/>
      <c r="Q450" s="928"/>
      <c r="R450" s="928"/>
      <c r="S450" s="928"/>
      <c r="T450" s="928"/>
      <c r="U450" s="928"/>
      <c r="V450" s="928"/>
      <c r="W450" s="928"/>
      <c r="X450" s="928"/>
    </row>
    <row r="451">
      <c r="A451" s="928"/>
      <c r="B451" s="928"/>
      <c r="C451" s="928"/>
      <c r="D451" s="928"/>
      <c r="E451" s="928"/>
      <c r="F451" s="928"/>
      <c r="G451" s="928"/>
      <c r="H451" s="928"/>
      <c r="I451" s="928"/>
      <c r="J451" s="928"/>
      <c r="K451" s="928"/>
      <c r="L451" s="928"/>
      <c r="M451" s="928"/>
      <c r="N451" s="928"/>
      <c r="O451" s="928"/>
      <c r="P451" s="928"/>
      <c r="Q451" s="928"/>
      <c r="R451" s="928"/>
      <c r="S451" s="928"/>
      <c r="T451" s="928"/>
      <c r="U451" s="928"/>
      <c r="V451" s="928"/>
      <c r="W451" s="928"/>
      <c r="X451" s="928"/>
    </row>
    <row r="452">
      <c r="A452" s="928"/>
      <c r="B452" s="928"/>
      <c r="C452" s="928"/>
      <c r="D452" s="928"/>
      <c r="E452" s="928"/>
      <c r="F452" s="928"/>
      <c r="G452" s="928"/>
      <c r="H452" s="928"/>
      <c r="I452" s="928"/>
      <c r="J452" s="928"/>
      <c r="K452" s="928"/>
      <c r="L452" s="928"/>
      <c r="M452" s="928"/>
      <c r="N452" s="928"/>
      <c r="O452" s="928"/>
      <c r="P452" s="928"/>
      <c r="Q452" s="928"/>
      <c r="R452" s="928"/>
      <c r="S452" s="928"/>
      <c r="T452" s="928"/>
      <c r="U452" s="928"/>
      <c r="V452" s="928"/>
      <c r="W452" s="928"/>
      <c r="X452" s="928"/>
    </row>
    <row r="453">
      <c r="A453" s="928"/>
      <c r="B453" s="928"/>
      <c r="C453" s="928"/>
      <c r="D453" s="928"/>
      <c r="E453" s="928"/>
      <c r="F453" s="928"/>
      <c r="G453" s="928"/>
      <c r="H453" s="928"/>
      <c r="I453" s="928"/>
      <c r="J453" s="928"/>
      <c r="K453" s="928"/>
      <c r="L453" s="928"/>
      <c r="M453" s="928"/>
      <c r="N453" s="928"/>
      <c r="O453" s="928"/>
      <c r="P453" s="928"/>
      <c r="Q453" s="928"/>
      <c r="R453" s="928"/>
      <c r="S453" s="928"/>
      <c r="T453" s="928"/>
      <c r="U453" s="928"/>
      <c r="V453" s="928"/>
      <c r="W453" s="928"/>
      <c r="X453" s="928"/>
    </row>
    <row r="454">
      <c r="A454" s="928"/>
      <c r="B454" s="928"/>
      <c r="C454" s="928"/>
      <c r="D454" s="928"/>
      <c r="E454" s="928"/>
      <c r="F454" s="928"/>
      <c r="G454" s="928"/>
      <c r="H454" s="928"/>
      <c r="I454" s="928"/>
      <c r="J454" s="928"/>
      <c r="K454" s="928"/>
      <c r="L454" s="928"/>
      <c r="M454" s="928"/>
      <c r="N454" s="928"/>
      <c r="O454" s="928"/>
      <c r="P454" s="928"/>
      <c r="Q454" s="928"/>
      <c r="R454" s="928"/>
      <c r="S454" s="928"/>
      <c r="T454" s="928"/>
      <c r="U454" s="928"/>
      <c r="V454" s="928"/>
      <c r="W454" s="928"/>
      <c r="X454" s="928"/>
    </row>
    <row r="455">
      <c r="A455" s="928"/>
      <c r="B455" s="928"/>
      <c r="C455" s="928"/>
      <c r="D455" s="928"/>
      <c r="E455" s="928"/>
      <c r="F455" s="928"/>
      <c r="G455" s="928"/>
      <c r="H455" s="928"/>
      <c r="I455" s="928"/>
      <c r="J455" s="928"/>
      <c r="K455" s="928"/>
      <c r="L455" s="928"/>
      <c r="M455" s="928"/>
      <c r="N455" s="928"/>
      <c r="O455" s="928"/>
      <c r="P455" s="928"/>
      <c r="Q455" s="928"/>
      <c r="R455" s="928"/>
      <c r="S455" s="928"/>
      <c r="T455" s="928"/>
      <c r="U455" s="928"/>
      <c r="V455" s="928"/>
      <c r="W455" s="928"/>
      <c r="X455" s="928"/>
    </row>
    <row r="456">
      <c r="A456" s="928"/>
      <c r="B456" s="928"/>
      <c r="C456" s="928"/>
      <c r="D456" s="928"/>
      <c r="E456" s="928"/>
      <c r="F456" s="928"/>
      <c r="G456" s="928"/>
      <c r="H456" s="928"/>
      <c r="I456" s="928"/>
      <c r="J456" s="928"/>
      <c r="K456" s="928"/>
      <c r="L456" s="928"/>
      <c r="M456" s="928"/>
      <c r="N456" s="928"/>
      <c r="O456" s="928"/>
      <c r="P456" s="928"/>
      <c r="Q456" s="928"/>
      <c r="R456" s="928"/>
      <c r="S456" s="928"/>
      <c r="T456" s="928"/>
      <c r="U456" s="928"/>
      <c r="V456" s="928"/>
      <c r="W456" s="928"/>
      <c r="X456" s="928"/>
    </row>
    <row r="457">
      <c r="A457" s="928"/>
      <c r="B457" s="928"/>
      <c r="C457" s="928"/>
      <c r="D457" s="928"/>
      <c r="E457" s="928"/>
      <c r="F457" s="928"/>
      <c r="G457" s="928"/>
      <c r="H457" s="928"/>
      <c r="I457" s="928"/>
      <c r="J457" s="928"/>
      <c r="K457" s="928"/>
      <c r="L457" s="928"/>
      <c r="M457" s="928"/>
      <c r="N457" s="928"/>
      <c r="O457" s="928"/>
      <c r="P457" s="928"/>
      <c r="Q457" s="928"/>
      <c r="R457" s="928"/>
      <c r="S457" s="928"/>
      <c r="T457" s="928"/>
      <c r="U457" s="928"/>
      <c r="V457" s="928"/>
      <c r="W457" s="928"/>
      <c r="X457" s="928"/>
    </row>
    <row r="458">
      <c r="A458" s="928"/>
      <c r="B458" s="928"/>
      <c r="C458" s="928"/>
      <c r="D458" s="928"/>
      <c r="E458" s="928"/>
      <c r="F458" s="928"/>
      <c r="G458" s="928"/>
      <c r="H458" s="928"/>
      <c r="I458" s="928"/>
      <c r="J458" s="928"/>
      <c r="K458" s="928"/>
      <c r="L458" s="928"/>
      <c r="M458" s="928"/>
      <c r="N458" s="928"/>
      <c r="O458" s="928"/>
      <c r="P458" s="928"/>
      <c r="Q458" s="928"/>
      <c r="R458" s="928"/>
      <c r="S458" s="928"/>
      <c r="T458" s="928"/>
      <c r="U458" s="928"/>
      <c r="V458" s="928"/>
      <c r="W458" s="928"/>
      <c r="X458" s="928"/>
    </row>
    <row r="459">
      <c r="A459" s="928"/>
      <c r="B459" s="928"/>
      <c r="C459" s="928"/>
      <c r="D459" s="928"/>
      <c r="E459" s="928"/>
      <c r="F459" s="928"/>
      <c r="G459" s="928"/>
      <c r="H459" s="928"/>
      <c r="I459" s="928"/>
      <c r="J459" s="928"/>
      <c r="K459" s="928"/>
      <c r="L459" s="928"/>
      <c r="M459" s="928"/>
      <c r="N459" s="928"/>
      <c r="O459" s="928"/>
      <c r="P459" s="928"/>
      <c r="Q459" s="928"/>
      <c r="R459" s="928"/>
      <c r="S459" s="928"/>
      <c r="T459" s="928"/>
      <c r="U459" s="928"/>
      <c r="V459" s="928"/>
      <c r="W459" s="928"/>
      <c r="X459" s="928"/>
    </row>
    <row r="460">
      <c r="A460" s="928"/>
      <c r="B460" s="928"/>
      <c r="C460" s="928"/>
      <c r="D460" s="928"/>
      <c r="E460" s="928"/>
      <c r="F460" s="928"/>
      <c r="G460" s="928"/>
      <c r="H460" s="928"/>
      <c r="I460" s="928"/>
      <c r="J460" s="928"/>
      <c r="K460" s="928"/>
      <c r="L460" s="928"/>
      <c r="M460" s="928"/>
      <c r="N460" s="928"/>
      <c r="O460" s="928"/>
      <c r="P460" s="928"/>
      <c r="Q460" s="928"/>
      <c r="R460" s="928"/>
      <c r="S460" s="928"/>
      <c r="T460" s="928"/>
      <c r="U460" s="928"/>
      <c r="V460" s="928"/>
      <c r="W460" s="928"/>
      <c r="X460" s="928"/>
    </row>
    <row r="461">
      <c r="A461" s="928"/>
      <c r="B461" s="928"/>
      <c r="C461" s="928"/>
      <c r="D461" s="928"/>
      <c r="E461" s="928"/>
      <c r="F461" s="928"/>
      <c r="G461" s="928"/>
      <c r="H461" s="928"/>
      <c r="I461" s="928"/>
      <c r="J461" s="928"/>
      <c r="K461" s="928"/>
      <c r="L461" s="928"/>
      <c r="M461" s="928"/>
      <c r="N461" s="928"/>
      <c r="O461" s="928"/>
      <c r="P461" s="928"/>
      <c r="Q461" s="928"/>
      <c r="R461" s="928"/>
      <c r="S461" s="928"/>
      <c r="T461" s="928"/>
      <c r="U461" s="928"/>
      <c r="V461" s="928"/>
      <c r="W461" s="928"/>
      <c r="X461" s="928"/>
    </row>
    <row r="462">
      <c r="A462" s="928"/>
      <c r="B462" s="928"/>
      <c r="C462" s="928"/>
      <c r="D462" s="928"/>
      <c r="E462" s="928"/>
      <c r="F462" s="928"/>
      <c r="G462" s="928"/>
      <c r="H462" s="928"/>
      <c r="I462" s="928"/>
      <c r="J462" s="928"/>
      <c r="K462" s="928"/>
      <c r="L462" s="928"/>
      <c r="M462" s="928"/>
      <c r="N462" s="928"/>
      <c r="O462" s="928"/>
      <c r="P462" s="928"/>
      <c r="Q462" s="928"/>
      <c r="R462" s="928"/>
      <c r="S462" s="928"/>
      <c r="T462" s="928"/>
      <c r="U462" s="928"/>
      <c r="V462" s="928"/>
      <c r="W462" s="928"/>
      <c r="X462" s="928"/>
    </row>
    <row r="463">
      <c r="A463" s="928"/>
      <c r="B463" s="928"/>
      <c r="C463" s="928"/>
      <c r="D463" s="928"/>
      <c r="E463" s="928"/>
      <c r="F463" s="928"/>
      <c r="G463" s="928"/>
      <c r="H463" s="928"/>
      <c r="I463" s="928"/>
      <c r="J463" s="928"/>
      <c r="K463" s="928"/>
      <c r="L463" s="928"/>
      <c r="M463" s="928"/>
      <c r="N463" s="928"/>
      <c r="O463" s="928"/>
      <c r="P463" s="928"/>
      <c r="Q463" s="928"/>
      <c r="R463" s="928"/>
      <c r="S463" s="928"/>
      <c r="T463" s="928"/>
      <c r="U463" s="928"/>
      <c r="V463" s="928"/>
      <c r="W463" s="928"/>
      <c r="X463" s="928"/>
    </row>
    <row r="464">
      <c r="A464" s="928"/>
      <c r="B464" s="928"/>
      <c r="C464" s="928"/>
      <c r="D464" s="928"/>
      <c r="E464" s="928"/>
      <c r="F464" s="928"/>
      <c r="G464" s="928"/>
      <c r="H464" s="928"/>
      <c r="I464" s="928"/>
      <c r="J464" s="928"/>
      <c r="K464" s="928"/>
      <c r="L464" s="928"/>
      <c r="M464" s="928"/>
      <c r="N464" s="928"/>
      <c r="O464" s="928"/>
      <c r="P464" s="928"/>
      <c r="Q464" s="928"/>
      <c r="R464" s="928"/>
      <c r="S464" s="928"/>
      <c r="T464" s="928"/>
      <c r="U464" s="928"/>
      <c r="V464" s="928"/>
      <c r="W464" s="928"/>
      <c r="X464" s="928"/>
    </row>
    <row r="465">
      <c r="A465" s="928"/>
      <c r="B465" s="928"/>
      <c r="C465" s="928"/>
      <c r="D465" s="928"/>
      <c r="E465" s="928"/>
      <c r="F465" s="928"/>
      <c r="G465" s="928"/>
      <c r="H465" s="928"/>
      <c r="I465" s="928"/>
      <c r="J465" s="928"/>
      <c r="K465" s="928"/>
      <c r="L465" s="928"/>
      <c r="M465" s="928"/>
      <c r="N465" s="928"/>
      <c r="O465" s="928"/>
      <c r="P465" s="928"/>
      <c r="Q465" s="928"/>
      <c r="R465" s="928"/>
      <c r="S465" s="928"/>
      <c r="T465" s="928"/>
      <c r="U465" s="928"/>
      <c r="V465" s="928"/>
      <c r="W465" s="928"/>
      <c r="X465" s="928"/>
    </row>
    <row r="466">
      <c r="A466" s="928"/>
      <c r="B466" s="928"/>
      <c r="C466" s="928"/>
      <c r="D466" s="928"/>
      <c r="E466" s="928"/>
      <c r="F466" s="928"/>
      <c r="G466" s="928"/>
      <c r="H466" s="928"/>
      <c r="I466" s="928"/>
      <c r="J466" s="928"/>
      <c r="K466" s="928"/>
      <c r="L466" s="928"/>
      <c r="M466" s="928"/>
      <c r="N466" s="928"/>
      <c r="O466" s="928"/>
      <c r="P466" s="928"/>
      <c r="Q466" s="928"/>
      <c r="R466" s="928"/>
      <c r="S466" s="928"/>
      <c r="T466" s="928"/>
      <c r="U466" s="928"/>
      <c r="V466" s="928"/>
      <c r="W466" s="928"/>
      <c r="X466" s="928"/>
    </row>
    <row r="467">
      <c r="A467" s="928"/>
      <c r="B467" s="928"/>
      <c r="C467" s="928"/>
      <c r="D467" s="928"/>
      <c r="E467" s="928"/>
      <c r="F467" s="928"/>
      <c r="G467" s="928"/>
      <c r="H467" s="928"/>
      <c r="I467" s="928"/>
      <c r="J467" s="928"/>
      <c r="K467" s="928"/>
      <c r="L467" s="928"/>
      <c r="M467" s="928"/>
      <c r="N467" s="928"/>
      <c r="O467" s="928"/>
      <c r="P467" s="928"/>
      <c r="Q467" s="928"/>
      <c r="R467" s="928"/>
      <c r="S467" s="928"/>
      <c r="T467" s="928"/>
      <c r="U467" s="928"/>
      <c r="V467" s="928"/>
      <c r="W467" s="928"/>
      <c r="X467" s="928"/>
    </row>
    <row r="468">
      <c r="A468" s="928"/>
      <c r="B468" s="928"/>
      <c r="C468" s="928"/>
      <c r="D468" s="928"/>
      <c r="E468" s="928"/>
      <c r="F468" s="928"/>
      <c r="G468" s="928"/>
      <c r="H468" s="928"/>
      <c r="I468" s="928"/>
      <c r="J468" s="928"/>
      <c r="K468" s="928"/>
      <c r="L468" s="928"/>
      <c r="M468" s="928"/>
      <c r="N468" s="928"/>
      <c r="O468" s="928"/>
      <c r="P468" s="928"/>
      <c r="Q468" s="928"/>
      <c r="R468" s="928"/>
      <c r="S468" s="928"/>
      <c r="T468" s="928"/>
      <c r="U468" s="928"/>
      <c r="V468" s="928"/>
      <c r="W468" s="928"/>
      <c r="X468" s="928"/>
    </row>
    <row r="469">
      <c r="A469" s="928"/>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row>
    <row r="470">
      <c r="A470" s="928"/>
      <c r="B470" s="928"/>
      <c r="C470" s="928"/>
      <c r="D470" s="928"/>
      <c r="E470" s="928"/>
      <c r="F470" s="928"/>
      <c r="G470" s="928"/>
      <c r="H470" s="928"/>
      <c r="I470" s="928"/>
      <c r="J470" s="928"/>
      <c r="K470" s="928"/>
      <c r="L470" s="928"/>
      <c r="M470" s="928"/>
      <c r="N470" s="928"/>
      <c r="O470" s="928"/>
      <c r="P470" s="928"/>
      <c r="Q470" s="928"/>
      <c r="R470" s="928"/>
      <c r="S470" s="928"/>
      <c r="T470" s="928"/>
      <c r="U470" s="928"/>
      <c r="V470" s="928"/>
      <c r="W470" s="928"/>
      <c r="X470" s="928"/>
    </row>
    <row r="471">
      <c r="A471" s="928"/>
      <c r="B471" s="928"/>
      <c r="C471" s="928"/>
      <c r="D471" s="928"/>
      <c r="E471" s="928"/>
      <c r="F471" s="928"/>
      <c r="G471" s="928"/>
      <c r="H471" s="928"/>
      <c r="I471" s="928"/>
      <c r="J471" s="928"/>
      <c r="K471" s="928"/>
      <c r="L471" s="928"/>
      <c r="M471" s="928"/>
      <c r="N471" s="928"/>
      <c r="O471" s="928"/>
      <c r="P471" s="928"/>
      <c r="Q471" s="928"/>
      <c r="R471" s="928"/>
      <c r="S471" s="928"/>
      <c r="T471" s="928"/>
      <c r="U471" s="928"/>
      <c r="V471" s="928"/>
      <c r="W471" s="928"/>
      <c r="X471" s="928"/>
    </row>
    <row r="472">
      <c r="A472" s="928"/>
      <c r="B472" s="928"/>
      <c r="C472" s="928"/>
      <c r="D472" s="928"/>
      <c r="E472" s="928"/>
      <c r="F472" s="928"/>
      <c r="G472" s="928"/>
      <c r="H472" s="928"/>
      <c r="I472" s="928"/>
      <c r="J472" s="928"/>
      <c r="K472" s="928"/>
      <c r="L472" s="928"/>
      <c r="M472" s="928"/>
      <c r="N472" s="928"/>
      <c r="O472" s="928"/>
      <c r="P472" s="928"/>
      <c r="Q472" s="928"/>
      <c r="R472" s="928"/>
      <c r="S472" s="928"/>
      <c r="T472" s="928"/>
      <c r="U472" s="928"/>
      <c r="V472" s="928"/>
      <c r="W472" s="928"/>
      <c r="X472" s="928"/>
    </row>
    <row r="473">
      <c r="A473" s="928"/>
      <c r="B473" s="928"/>
      <c r="C473" s="928"/>
      <c r="D473" s="928"/>
      <c r="E473" s="928"/>
      <c r="F473" s="928"/>
      <c r="G473" s="928"/>
      <c r="H473" s="928"/>
      <c r="I473" s="928"/>
      <c r="J473" s="928"/>
      <c r="K473" s="928"/>
      <c r="L473" s="928"/>
      <c r="M473" s="928"/>
      <c r="N473" s="928"/>
      <c r="O473" s="928"/>
      <c r="P473" s="928"/>
      <c r="Q473" s="928"/>
      <c r="R473" s="928"/>
      <c r="S473" s="928"/>
      <c r="T473" s="928"/>
      <c r="U473" s="928"/>
      <c r="V473" s="928"/>
      <c r="W473" s="928"/>
      <c r="X473" s="928"/>
    </row>
    <row r="474">
      <c r="A474" s="928"/>
      <c r="B474" s="928"/>
      <c r="C474" s="928"/>
      <c r="D474" s="928"/>
      <c r="E474" s="928"/>
      <c r="F474" s="928"/>
      <c r="G474" s="928"/>
      <c r="H474" s="928"/>
      <c r="I474" s="928"/>
      <c r="J474" s="928"/>
      <c r="K474" s="928"/>
      <c r="L474" s="928"/>
      <c r="M474" s="928"/>
      <c r="N474" s="928"/>
      <c r="O474" s="928"/>
      <c r="P474" s="928"/>
      <c r="Q474" s="928"/>
      <c r="R474" s="928"/>
      <c r="S474" s="928"/>
      <c r="T474" s="928"/>
      <c r="U474" s="928"/>
      <c r="V474" s="928"/>
      <c r="W474" s="928"/>
      <c r="X474" s="928"/>
    </row>
    <row r="475">
      <c r="A475" s="928"/>
      <c r="B475" s="928"/>
      <c r="C475" s="928"/>
      <c r="D475" s="928"/>
      <c r="E475" s="928"/>
      <c r="F475" s="928"/>
      <c r="G475" s="928"/>
      <c r="H475" s="928"/>
      <c r="I475" s="928"/>
      <c r="J475" s="928"/>
      <c r="K475" s="928"/>
      <c r="L475" s="928"/>
      <c r="M475" s="928"/>
      <c r="N475" s="928"/>
      <c r="O475" s="928"/>
      <c r="P475" s="928"/>
      <c r="Q475" s="928"/>
      <c r="R475" s="928"/>
      <c r="S475" s="928"/>
      <c r="T475" s="928"/>
      <c r="U475" s="928"/>
      <c r="V475" s="928"/>
      <c r="W475" s="928"/>
      <c r="X475" s="928"/>
    </row>
    <row r="476">
      <c r="A476" s="928"/>
      <c r="B476" s="928"/>
      <c r="C476" s="928"/>
      <c r="D476" s="928"/>
      <c r="E476" s="928"/>
      <c r="F476" s="928"/>
      <c r="G476" s="928"/>
      <c r="H476" s="928"/>
      <c r="I476" s="928"/>
      <c r="J476" s="928"/>
      <c r="K476" s="928"/>
      <c r="L476" s="928"/>
      <c r="M476" s="928"/>
      <c r="N476" s="928"/>
      <c r="O476" s="928"/>
      <c r="P476" s="928"/>
      <c r="Q476" s="928"/>
      <c r="R476" s="928"/>
      <c r="S476" s="928"/>
      <c r="T476" s="928"/>
      <c r="U476" s="928"/>
      <c r="V476" s="928"/>
      <c r="W476" s="928"/>
      <c r="X476" s="928"/>
    </row>
    <row r="477">
      <c r="A477" s="928"/>
      <c r="B477" s="928"/>
      <c r="C477" s="928"/>
      <c r="D477" s="928"/>
      <c r="E477" s="928"/>
      <c r="F477" s="928"/>
      <c r="G477" s="928"/>
      <c r="H477" s="928"/>
      <c r="I477" s="928"/>
      <c r="J477" s="928"/>
      <c r="K477" s="928"/>
      <c r="L477" s="928"/>
      <c r="M477" s="928"/>
      <c r="N477" s="928"/>
      <c r="O477" s="928"/>
      <c r="P477" s="928"/>
      <c r="Q477" s="928"/>
      <c r="R477" s="928"/>
      <c r="S477" s="928"/>
      <c r="T477" s="928"/>
      <c r="U477" s="928"/>
      <c r="V477" s="928"/>
      <c r="W477" s="928"/>
      <c r="X477" s="928"/>
    </row>
    <row r="478">
      <c r="A478" s="928"/>
      <c r="B478" s="928"/>
      <c r="C478" s="928"/>
      <c r="D478" s="928"/>
      <c r="E478" s="928"/>
      <c r="F478" s="928"/>
      <c r="G478" s="928"/>
      <c r="H478" s="928"/>
      <c r="I478" s="928"/>
      <c r="J478" s="928"/>
      <c r="K478" s="928"/>
      <c r="L478" s="928"/>
      <c r="M478" s="928"/>
      <c r="N478" s="928"/>
      <c r="O478" s="928"/>
      <c r="P478" s="928"/>
      <c r="Q478" s="928"/>
      <c r="R478" s="928"/>
      <c r="S478" s="928"/>
      <c r="T478" s="928"/>
      <c r="U478" s="928"/>
      <c r="V478" s="928"/>
      <c r="W478" s="928"/>
      <c r="X478" s="928"/>
    </row>
    <row r="479">
      <c r="A479" s="928"/>
      <c r="B479" s="928"/>
      <c r="C479" s="928"/>
      <c r="D479" s="928"/>
      <c r="E479" s="928"/>
      <c r="F479" s="928"/>
      <c r="G479" s="928"/>
      <c r="H479" s="928"/>
      <c r="I479" s="928"/>
      <c r="J479" s="928"/>
      <c r="K479" s="928"/>
      <c r="L479" s="928"/>
      <c r="M479" s="928"/>
      <c r="N479" s="928"/>
      <c r="O479" s="928"/>
      <c r="P479" s="928"/>
      <c r="Q479" s="928"/>
      <c r="R479" s="928"/>
      <c r="S479" s="928"/>
      <c r="T479" s="928"/>
      <c r="U479" s="928"/>
      <c r="V479" s="928"/>
      <c r="W479" s="928"/>
      <c r="X479" s="928"/>
    </row>
    <row r="480">
      <c r="A480" s="928"/>
      <c r="B480" s="928"/>
      <c r="C480" s="928"/>
      <c r="D480" s="928"/>
      <c r="E480" s="928"/>
      <c r="F480" s="928"/>
      <c r="G480" s="928"/>
      <c r="H480" s="928"/>
      <c r="I480" s="928"/>
      <c r="J480" s="928"/>
      <c r="K480" s="928"/>
      <c r="L480" s="928"/>
      <c r="M480" s="928"/>
      <c r="N480" s="928"/>
      <c r="O480" s="928"/>
      <c r="P480" s="928"/>
      <c r="Q480" s="928"/>
      <c r="R480" s="928"/>
      <c r="S480" s="928"/>
      <c r="T480" s="928"/>
      <c r="U480" s="928"/>
      <c r="V480" s="928"/>
      <c r="W480" s="928"/>
      <c r="X480" s="928"/>
    </row>
    <row r="481">
      <c r="A481" s="928"/>
      <c r="B481" s="928"/>
      <c r="C481" s="928"/>
      <c r="D481" s="928"/>
      <c r="E481" s="928"/>
      <c r="F481" s="928"/>
      <c r="G481" s="928"/>
      <c r="H481" s="928"/>
      <c r="I481" s="928"/>
      <c r="J481" s="928"/>
      <c r="K481" s="928"/>
      <c r="L481" s="928"/>
      <c r="M481" s="928"/>
      <c r="N481" s="928"/>
      <c r="O481" s="928"/>
      <c r="P481" s="928"/>
      <c r="Q481" s="928"/>
      <c r="R481" s="928"/>
      <c r="S481" s="928"/>
      <c r="T481" s="928"/>
      <c r="U481" s="928"/>
      <c r="V481" s="928"/>
      <c r="W481" s="928"/>
      <c r="X481" s="928"/>
    </row>
    <row r="482">
      <c r="A482" s="928"/>
      <c r="B482" s="928"/>
      <c r="C482" s="928"/>
      <c r="D482" s="928"/>
      <c r="E482" s="928"/>
      <c r="F482" s="928"/>
      <c r="G482" s="928"/>
      <c r="H482" s="928"/>
      <c r="I482" s="928"/>
      <c r="J482" s="928"/>
      <c r="K482" s="928"/>
      <c r="L482" s="928"/>
      <c r="M482" s="928"/>
      <c r="N482" s="928"/>
      <c r="O482" s="928"/>
      <c r="P482" s="928"/>
      <c r="Q482" s="928"/>
      <c r="R482" s="928"/>
      <c r="S482" s="928"/>
      <c r="T482" s="928"/>
      <c r="U482" s="928"/>
      <c r="V482" s="928"/>
      <c r="W482" s="928"/>
      <c r="X482" s="928"/>
    </row>
    <row r="483">
      <c r="A483" s="928"/>
      <c r="B483" s="928"/>
      <c r="C483" s="928"/>
      <c r="D483" s="928"/>
      <c r="E483" s="928"/>
      <c r="F483" s="928"/>
      <c r="G483" s="928"/>
      <c r="H483" s="928"/>
      <c r="I483" s="928"/>
      <c r="J483" s="928"/>
      <c r="K483" s="928"/>
      <c r="L483" s="928"/>
      <c r="M483" s="928"/>
      <c r="N483" s="928"/>
      <c r="O483" s="928"/>
      <c r="P483" s="928"/>
      <c r="Q483" s="928"/>
      <c r="R483" s="928"/>
      <c r="S483" s="928"/>
      <c r="T483" s="928"/>
      <c r="U483" s="928"/>
      <c r="V483" s="928"/>
      <c r="W483" s="928"/>
      <c r="X483" s="928"/>
    </row>
    <row r="484">
      <c r="A484" s="928"/>
      <c r="B484" s="928"/>
      <c r="C484" s="928"/>
      <c r="D484" s="928"/>
      <c r="E484" s="928"/>
      <c r="F484" s="928"/>
      <c r="G484" s="928"/>
      <c r="H484" s="928"/>
      <c r="I484" s="928"/>
      <c r="J484" s="928"/>
      <c r="K484" s="928"/>
      <c r="L484" s="928"/>
      <c r="M484" s="928"/>
      <c r="N484" s="928"/>
      <c r="O484" s="928"/>
      <c r="P484" s="928"/>
      <c r="Q484" s="928"/>
      <c r="R484" s="928"/>
      <c r="S484" s="928"/>
      <c r="T484" s="928"/>
      <c r="U484" s="928"/>
      <c r="V484" s="928"/>
      <c r="W484" s="928"/>
      <c r="X484" s="928"/>
    </row>
    <row r="485">
      <c r="A485" s="928"/>
      <c r="B485" s="928"/>
      <c r="C485" s="928"/>
      <c r="D485" s="928"/>
      <c r="E485" s="928"/>
      <c r="F485" s="928"/>
      <c r="G485" s="928"/>
      <c r="H485" s="928"/>
      <c r="I485" s="928"/>
      <c r="J485" s="928"/>
      <c r="K485" s="928"/>
      <c r="L485" s="928"/>
      <c r="M485" s="928"/>
      <c r="N485" s="928"/>
      <c r="O485" s="928"/>
      <c r="P485" s="928"/>
      <c r="Q485" s="928"/>
      <c r="R485" s="928"/>
      <c r="S485" s="928"/>
      <c r="T485" s="928"/>
      <c r="U485" s="928"/>
      <c r="V485" s="928"/>
      <c r="W485" s="928"/>
      <c r="X485" s="928"/>
    </row>
    <row r="486">
      <c r="A486" s="928"/>
      <c r="B486" s="928"/>
      <c r="C486" s="928"/>
      <c r="D486" s="928"/>
      <c r="E486" s="928"/>
      <c r="F486" s="928"/>
      <c r="G486" s="928"/>
      <c r="H486" s="928"/>
      <c r="I486" s="928"/>
      <c r="J486" s="928"/>
      <c r="K486" s="928"/>
      <c r="L486" s="928"/>
      <c r="M486" s="928"/>
      <c r="N486" s="928"/>
      <c r="O486" s="928"/>
      <c r="P486" s="928"/>
      <c r="Q486" s="928"/>
      <c r="R486" s="928"/>
      <c r="S486" s="928"/>
      <c r="T486" s="928"/>
      <c r="U486" s="928"/>
      <c r="V486" s="928"/>
      <c r="W486" s="928"/>
      <c r="X486" s="928"/>
    </row>
    <row r="487">
      <c r="A487" s="928"/>
      <c r="B487" s="928"/>
      <c r="C487" s="928"/>
      <c r="D487" s="928"/>
      <c r="E487" s="928"/>
      <c r="F487" s="928"/>
      <c r="G487" s="928"/>
      <c r="H487" s="928"/>
      <c r="I487" s="928"/>
      <c r="J487" s="928"/>
      <c r="K487" s="928"/>
      <c r="L487" s="928"/>
      <c r="M487" s="928"/>
      <c r="N487" s="928"/>
      <c r="O487" s="928"/>
      <c r="P487" s="928"/>
      <c r="Q487" s="928"/>
      <c r="R487" s="928"/>
      <c r="S487" s="928"/>
      <c r="T487" s="928"/>
      <c r="U487" s="928"/>
      <c r="V487" s="928"/>
      <c r="W487" s="928"/>
      <c r="X487" s="928"/>
    </row>
    <row r="488">
      <c r="A488" s="928"/>
      <c r="B488" s="928"/>
      <c r="C488" s="928"/>
      <c r="D488" s="928"/>
      <c r="E488" s="928"/>
      <c r="F488" s="928"/>
      <c r="G488" s="928"/>
      <c r="H488" s="928"/>
      <c r="I488" s="928"/>
      <c r="J488" s="928"/>
      <c r="K488" s="928"/>
      <c r="L488" s="928"/>
      <c r="M488" s="928"/>
      <c r="N488" s="928"/>
      <c r="O488" s="928"/>
      <c r="P488" s="928"/>
      <c r="Q488" s="928"/>
      <c r="R488" s="928"/>
      <c r="S488" s="928"/>
      <c r="T488" s="928"/>
      <c r="U488" s="928"/>
      <c r="V488" s="928"/>
      <c r="W488" s="928"/>
      <c r="X488" s="928"/>
    </row>
    <row r="489">
      <c r="A489" s="928"/>
      <c r="B489" s="928"/>
      <c r="C489" s="928"/>
      <c r="D489" s="928"/>
      <c r="E489" s="928"/>
      <c r="F489" s="928"/>
      <c r="G489" s="928"/>
      <c r="H489" s="928"/>
      <c r="I489" s="928"/>
      <c r="J489" s="928"/>
      <c r="K489" s="928"/>
      <c r="L489" s="928"/>
      <c r="M489" s="928"/>
      <c r="N489" s="928"/>
      <c r="O489" s="928"/>
      <c r="P489" s="928"/>
      <c r="Q489" s="928"/>
      <c r="R489" s="928"/>
      <c r="S489" s="928"/>
      <c r="T489" s="928"/>
      <c r="U489" s="928"/>
      <c r="V489" s="928"/>
      <c r="W489" s="928"/>
      <c r="X489" s="928"/>
    </row>
    <row r="490">
      <c r="A490" s="928"/>
      <c r="B490" s="928"/>
      <c r="C490" s="928"/>
      <c r="D490" s="928"/>
      <c r="E490" s="928"/>
      <c r="F490" s="928"/>
      <c r="G490" s="928"/>
      <c r="H490" s="928"/>
      <c r="I490" s="928"/>
      <c r="J490" s="928"/>
      <c r="K490" s="928"/>
      <c r="L490" s="928"/>
      <c r="M490" s="928"/>
      <c r="N490" s="928"/>
      <c r="O490" s="928"/>
      <c r="P490" s="928"/>
      <c r="Q490" s="928"/>
      <c r="R490" s="928"/>
      <c r="S490" s="928"/>
      <c r="T490" s="928"/>
      <c r="U490" s="928"/>
      <c r="V490" s="928"/>
      <c r="W490" s="928"/>
      <c r="X490" s="928"/>
    </row>
    <row r="491">
      <c r="A491" s="928"/>
      <c r="B491" s="928"/>
      <c r="C491" s="928"/>
      <c r="D491" s="928"/>
      <c r="E491" s="928"/>
      <c r="F491" s="928"/>
      <c r="G491" s="928"/>
      <c r="H491" s="928"/>
      <c r="I491" s="928"/>
      <c r="J491" s="928"/>
      <c r="K491" s="928"/>
      <c r="L491" s="928"/>
      <c r="M491" s="928"/>
      <c r="N491" s="928"/>
      <c r="O491" s="928"/>
      <c r="P491" s="928"/>
      <c r="Q491" s="928"/>
      <c r="R491" s="928"/>
      <c r="S491" s="928"/>
      <c r="T491" s="928"/>
      <c r="U491" s="928"/>
      <c r="V491" s="928"/>
      <c r="W491" s="928"/>
      <c r="X491" s="928"/>
    </row>
    <row r="492">
      <c r="A492" s="928"/>
      <c r="B492" s="928"/>
      <c r="C492" s="928"/>
      <c r="D492" s="928"/>
      <c r="E492" s="928"/>
      <c r="F492" s="928"/>
      <c r="G492" s="928"/>
      <c r="H492" s="928"/>
      <c r="I492" s="928"/>
      <c r="J492" s="928"/>
      <c r="K492" s="928"/>
      <c r="L492" s="928"/>
      <c r="M492" s="928"/>
      <c r="N492" s="928"/>
      <c r="O492" s="928"/>
      <c r="P492" s="928"/>
      <c r="Q492" s="928"/>
      <c r="R492" s="928"/>
      <c r="S492" s="928"/>
      <c r="T492" s="928"/>
      <c r="U492" s="928"/>
      <c r="V492" s="928"/>
      <c r="W492" s="928"/>
      <c r="X492" s="928"/>
    </row>
    <row r="493">
      <c r="A493" s="928"/>
      <c r="B493" s="928"/>
      <c r="C493" s="928"/>
      <c r="D493" s="928"/>
      <c r="E493" s="928"/>
      <c r="F493" s="928"/>
      <c r="G493" s="928"/>
      <c r="H493" s="928"/>
      <c r="I493" s="928"/>
      <c r="J493" s="928"/>
      <c r="K493" s="928"/>
      <c r="L493" s="928"/>
      <c r="M493" s="928"/>
      <c r="N493" s="928"/>
      <c r="O493" s="928"/>
      <c r="P493" s="928"/>
      <c r="Q493" s="928"/>
      <c r="R493" s="928"/>
      <c r="S493" s="928"/>
      <c r="T493" s="928"/>
      <c r="U493" s="928"/>
      <c r="V493" s="928"/>
      <c r="W493" s="928"/>
      <c r="X493" s="928"/>
    </row>
    <row r="494">
      <c r="A494" s="928"/>
      <c r="B494" s="928"/>
      <c r="C494" s="928"/>
      <c r="D494" s="928"/>
      <c r="E494" s="928"/>
      <c r="F494" s="928"/>
      <c r="G494" s="928"/>
      <c r="H494" s="928"/>
      <c r="I494" s="928"/>
      <c r="J494" s="928"/>
      <c r="K494" s="928"/>
      <c r="L494" s="928"/>
      <c r="M494" s="928"/>
      <c r="N494" s="928"/>
      <c r="O494" s="928"/>
      <c r="P494" s="928"/>
      <c r="Q494" s="928"/>
      <c r="R494" s="928"/>
      <c r="S494" s="928"/>
      <c r="T494" s="928"/>
      <c r="U494" s="928"/>
      <c r="V494" s="928"/>
      <c r="W494" s="928"/>
      <c r="X494" s="928"/>
    </row>
    <row r="495">
      <c r="A495" s="928"/>
      <c r="B495" s="928"/>
      <c r="C495" s="928"/>
      <c r="D495" s="928"/>
      <c r="E495" s="928"/>
      <c r="F495" s="928"/>
      <c r="G495" s="928"/>
      <c r="H495" s="928"/>
      <c r="I495" s="928"/>
      <c r="J495" s="928"/>
      <c r="K495" s="928"/>
      <c r="L495" s="928"/>
      <c r="M495" s="928"/>
      <c r="N495" s="928"/>
      <c r="O495" s="928"/>
      <c r="P495" s="928"/>
      <c r="Q495" s="928"/>
      <c r="R495" s="928"/>
      <c r="S495" s="928"/>
      <c r="T495" s="928"/>
      <c r="U495" s="928"/>
      <c r="V495" s="928"/>
      <c r="W495" s="928"/>
      <c r="X495" s="928"/>
    </row>
    <row r="496">
      <c r="A496" s="928"/>
      <c r="B496" s="928"/>
      <c r="C496" s="928"/>
      <c r="D496" s="928"/>
      <c r="E496" s="928"/>
      <c r="F496" s="928"/>
      <c r="G496" s="928"/>
      <c r="H496" s="928"/>
      <c r="I496" s="928"/>
      <c r="J496" s="928"/>
      <c r="K496" s="928"/>
      <c r="L496" s="928"/>
      <c r="M496" s="928"/>
      <c r="N496" s="928"/>
      <c r="O496" s="928"/>
      <c r="P496" s="928"/>
      <c r="Q496" s="928"/>
      <c r="R496" s="928"/>
      <c r="S496" s="928"/>
      <c r="T496" s="928"/>
      <c r="U496" s="928"/>
      <c r="V496" s="928"/>
      <c r="W496" s="928"/>
      <c r="X496" s="928"/>
    </row>
    <row r="497">
      <c r="A497" s="928"/>
      <c r="B497" s="928"/>
      <c r="C497" s="928"/>
      <c r="D497" s="928"/>
      <c r="E497" s="928"/>
      <c r="F497" s="928"/>
      <c r="G497" s="928"/>
      <c r="H497" s="928"/>
      <c r="I497" s="928"/>
      <c r="J497" s="928"/>
      <c r="K497" s="928"/>
      <c r="L497" s="928"/>
      <c r="M497" s="928"/>
      <c r="N497" s="928"/>
      <c r="O497" s="928"/>
      <c r="P497" s="928"/>
      <c r="Q497" s="928"/>
      <c r="R497" s="928"/>
      <c r="S497" s="928"/>
      <c r="T497" s="928"/>
      <c r="U497" s="928"/>
      <c r="V497" s="928"/>
      <c r="W497" s="928"/>
      <c r="X497" s="928"/>
    </row>
    <row r="498">
      <c r="A498" s="928"/>
      <c r="B498" s="928"/>
      <c r="C498" s="928"/>
      <c r="D498" s="928"/>
      <c r="E498" s="928"/>
      <c r="F498" s="928"/>
      <c r="G498" s="928"/>
      <c r="H498" s="928"/>
      <c r="I498" s="928"/>
      <c r="J498" s="928"/>
      <c r="K498" s="928"/>
      <c r="L498" s="928"/>
      <c r="M498" s="928"/>
      <c r="N498" s="928"/>
      <c r="O498" s="928"/>
      <c r="P498" s="928"/>
      <c r="Q498" s="928"/>
      <c r="R498" s="928"/>
      <c r="S498" s="928"/>
      <c r="T498" s="928"/>
      <c r="U498" s="928"/>
      <c r="V498" s="928"/>
      <c r="W498" s="928"/>
      <c r="X498" s="928"/>
    </row>
    <row r="499">
      <c r="A499" s="928"/>
      <c r="B499" s="928"/>
      <c r="C499" s="928"/>
      <c r="D499" s="928"/>
      <c r="E499" s="928"/>
      <c r="F499" s="928"/>
      <c r="G499" s="928"/>
      <c r="H499" s="928"/>
      <c r="I499" s="928"/>
      <c r="J499" s="928"/>
      <c r="K499" s="928"/>
      <c r="L499" s="928"/>
      <c r="M499" s="928"/>
      <c r="N499" s="928"/>
      <c r="O499" s="928"/>
      <c r="P499" s="928"/>
      <c r="Q499" s="928"/>
      <c r="R499" s="928"/>
      <c r="S499" s="928"/>
      <c r="T499" s="928"/>
      <c r="U499" s="928"/>
      <c r="V499" s="928"/>
      <c r="W499" s="928"/>
      <c r="X499" s="928"/>
    </row>
    <row r="500">
      <c r="A500" s="928"/>
      <c r="B500" s="928"/>
      <c r="C500" s="928"/>
      <c r="D500" s="928"/>
      <c r="E500" s="928"/>
      <c r="F500" s="928"/>
      <c r="G500" s="928"/>
      <c r="H500" s="928"/>
      <c r="I500" s="928"/>
      <c r="J500" s="928"/>
      <c r="K500" s="928"/>
      <c r="L500" s="928"/>
      <c r="M500" s="928"/>
      <c r="N500" s="928"/>
      <c r="O500" s="928"/>
      <c r="P500" s="928"/>
      <c r="Q500" s="928"/>
      <c r="R500" s="928"/>
      <c r="S500" s="928"/>
      <c r="T500" s="928"/>
      <c r="U500" s="928"/>
      <c r="V500" s="928"/>
      <c r="W500" s="928"/>
      <c r="X500" s="928"/>
    </row>
    <row r="501">
      <c r="A501" s="928"/>
      <c r="B501" s="928"/>
      <c r="C501" s="928"/>
      <c r="D501" s="928"/>
      <c r="E501" s="928"/>
      <c r="F501" s="928"/>
      <c r="G501" s="928"/>
      <c r="H501" s="928"/>
      <c r="I501" s="928"/>
      <c r="J501" s="928"/>
      <c r="K501" s="928"/>
      <c r="L501" s="928"/>
      <c r="M501" s="928"/>
      <c r="N501" s="928"/>
      <c r="O501" s="928"/>
      <c r="P501" s="928"/>
      <c r="Q501" s="928"/>
      <c r="R501" s="928"/>
      <c r="S501" s="928"/>
      <c r="T501" s="928"/>
      <c r="U501" s="928"/>
      <c r="V501" s="928"/>
      <c r="W501" s="928"/>
      <c r="X501" s="928"/>
    </row>
    <row r="502">
      <c r="A502" s="928"/>
      <c r="B502" s="928"/>
      <c r="C502" s="928"/>
      <c r="D502" s="928"/>
      <c r="E502" s="928"/>
      <c r="F502" s="928"/>
      <c r="G502" s="928"/>
      <c r="H502" s="928"/>
      <c r="I502" s="928"/>
      <c r="J502" s="928"/>
      <c r="K502" s="928"/>
      <c r="L502" s="928"/>
      <c r="M502" s="928"/>
      <c r="N502" s="928"/>
      <c r="O502" s="928"/>
      <c r="P502" s="928"/>
      <c r="Q502" s="928"/>
      <c r="R502" s="928"/>
      <c r="S502" s="928"/>
      <c r="T502" s="928"/>
      <c r="U502" s="928"/>
      <c r="V502" s="928"/>
      <c r="W502" s="928"/>
      <c r="X502" s="928"/>
    </row>
    <row r="503">
      <c r="A503" s="928"/>
      <c r="B503" s="928"/>
      <c r="C503" s="928"/>
      <c r="D503" s="928"/>
      <c r="E503" s="928"/>
      <c r="F503" s="928"/>
      <c r="G503" s="928"/>
      <c r="H503" s="928"/>
      <c r="I503" s="928"/>
      <c r="J503" s="928"/>
      <c r="K503" s="928"/>
      <c r="L503" s="928"/>
      <c r="M503" s="928"/>
      <c r="N503" s="928"/>
      <c r="O503" s="928"/>
      <c r="P503" s="928"/>
      <c r="Q503" s="928"/>
      <c r="R503" s="928"/>
      <c r="S503" s="928"/>
      <c r="T503" s="928"/>
      <c r="U503" s="928"/>
      <c r="V503" s="928"/>
      <c r="W503" s="928"/>
      <c r="X503" s="928"/>
    </row>
    <row r="504">
      <c r="A504" s="928"/>
      <c r="B504" s="928"/>
      <c r="C504" s="928"/>
      <c r="D504" s="928"/>
      <c r="E504" s="928"/>
      <c r="F504" s="928"/>
      <c r="G504" s="928"/>
      <c r="H504" s="928"/>
      <c r="I504" s="928"/>
      <c r="J504" s="928"/>
      <c r="K504" s="928"/>
      <c r="L504" s="928"/>
      <c r="M504" s="928"/>
      <c r="N504" s="928"/>
      <c r="O504" s="928"/>
      <c r="P504" s="928"/>
      <c r="Q504" s="928"/>
      <c r="R504" s="928"/>
      <c r="S504" s="928"/>
      <c r="T504" s="928"/>
      <c r="U504" s="928"/>
      <c r="V504" s="928"/>
      <c r="W504" s="928"/>
      <c r="X504" s="928"/>
    </row>
    <row r="505">
      <c r="A505" s="928"/>
      <c r="B505" s="928"/>
      <c r="C505" s="928"/>
      <c r="D505" s="928"/>
      <c r="E505" s="928"/>
      <c r="F505" s="928"/>
      <c r="G505" s="928"/>
      <c r="H505" s="928"/>
      <c r="I505" s="928"/>
      <c r="J505" s="928"/>
      <c r="K505" s="928"/>
      <c r="L505" s="928"/>
      <c r="M505" s="928"/>
      <c r="N505" s="928"/>
      <c r="O505" s="928"/>
      <c r="P505" s="928"/>
      <c r="Q505" s="928"/>
      <c r="R505" s="928"/>
      <c r="S505" s="928"/>
      <c r="T505" s="928"/>
      <c r="U505" s="928"/>
      <c r="V505" s="928"/>
      <c r="W505" s="928"/>
      <c r="X505" s="928"/>
    </row>
    <row r="506">
      <c r="A506" s="928"/>
      <c r="B506" s="928"/>
      <c r="C506" s="928"/>
      <c r="D506" s="928"/>
      <c r="E506" s="928"/>
      <c r="F506" s="928"/>
      <c r="G506" s="928"/>
      <c r="H506" s="928"/>
      <c r="I506" s="928"/>
      <c r="J506" s="928"/>
      <c r="K506" s="928"/>
      <c r="L506" s="928"/>
      <c r="M506" s="928"/>
      <c r="N506" s="928"/>
      <c r="O506" s="928"/>
      <c r="P506" s="928"/>
      <c r="Q506" s="928"/>
      <c r="R506" s="928"/>
      <c r="S506" s="928"/>
      <c r="T506" s="928"/>
      <c r="U506" s="928"/>
      <c r="V506" s="928"/>
      <c r="W506" s="928"/>
      <c r="X506" s="928"/>
    </row>
    <row r="507">
      <c r="A507" s="928"/>
      <c r="B507" s="928"/>
      <c r="C507" s="928"/>
      <c r="D507" s="928"/>
      <c r="E507" s="928"/>
      <c r="F507" s="928"/>
      <c r="G507" s="928"/>
      <c r="H507" s="928"/>
      <c r="I507" s="928"/>
      <c r="J507" s="928"/>
      <c r="K507" s="928"/>
      <c r="L507" s="928"/>
      <c r="M507" s="928"/>
      <c r="N507" s="928"/>
      <c r="O507" s="928"/>
      <c r="P507" s="928"/>
      <c r="Q507" s="928"/>
      <c r="R507" s="928"/>
      <c r="S507" s="928"/>
      <c r="T507" s="928"/>
      <c r="U507" s="928"/>
      <c r="V507" s="928"/>
      <c r="W507" s="928"/>
      <c r="X507" s="928"/>
    </row>
    <row r="508">
      <c r="A508" s="928"/>
      <c r="B508" s="928"/>
      <c r="C508" s="928"/>
      <c r="D508" s="928"/>
      <c r="E508" s="928"/>
      <c r="F508" s="928"/>
      <c r="G508" s="928"/>
      <c r="H508" s="928"/>
      <c r="I508" s="928"/>
      <c r="J508" s="928"/>
      <c r="K508" s="928"/>
      <c r="L508" s="928"/>
      <c r="M508" s="928"/>
      <c r="N508" s="928"/>
      <c r="O508" s="928"/>
      <c r="P508" s="928"/>
      <c r="Q508" s="928"/>
      <c r="R508" s="928"/>
      <c r="S508" s="928"/>
      <c r="T508" s="928"/>
      <c r="U508" s="928"/>
      <c r="V508" s="928"/>
      <c r="W508" s="928"/>
      <c r="X508" s="928"/>
    </row>
    <row r="509">
      <c r="A509" s="928"/>
      <c r="B509" s="928"/>
      <c r="C509" s="928"/>
      <c r="D509" s="928"/>
      <c r="E509" s="928"/>
      <c r="F509" s="928"/>
      <c r="G509" s="928"/>
      <c r="H509" s="928"/>
      <c r="I509" s="928"/>
      <c r="J509" s="928"/>
      <c r="K509" s="928"/>
      <c r="L509" s="928"/>
      <c r="M509" s="928"/>
      <c r="N509" s="928"/>
      <c r="O509" s="928"/>
      <c r="P509" s="928"/>
      <c r="Q509" s="928"/>
      <c r="R509" s="928"/>
      <c r="S509" s="928"/>
      <c r="T509" s="928"/>
      <c r="U509" s="928"/>
      <c r="V509" s="928"/>
      <c r="W509" s="928"/>
      <c r="X509" s="928"/>
    </row>
    <row r="510">
      <c r="A510" s="928"/>
      <c r="B510" s="928"/>
      <c r="C510" s="928"/>
      <c r="D510" s="928"/>
      <c r="E510" s="928"/>
      <c r="F510" s="928"/>
      <c r="G510" s="928"/>
      <c r="H510" s="928"/>
      <c r="I510" s="928"/>
      <c r="J510" s="928"/>
      <c r="K510" s="928"/>
      <c r="L510" s="928"/>
      <c r="M510" s="928"/>
      <c r="N510" s="928"/>
      <c r="O510" s="928"/>
      <c r="P510" s="928"/>
      <c r="Q510" s="928"/>
      <c r="R510" s="928"/>
      <c r="S510" s="928"/>
      <c r="T510" s="928"/>
      <c r="U510" s="928"/>
      <c r="V510" s="928"/>
      <c r="W510" s="928"/>
      <c r="X510" s="928"/>
    </row>
    <row r="511">
      <c r="A511" s="928"/>
      <c r="B511" s="928"/>
      <c r="C511" s="928"/>
      <c r="D511" s="928"/>
      <c r="E511" s="928"/>
      <c r="F511" s="928"/>
      <c r="G511" s="928"/>
      <c r="H511" s="928"/>
      <c r="I511" s="928"/>
      <c r="J511" s="928"/>
      <c r="K511" s="928"/>
      <c r="L511" s="928"/>
      <c r="M511" s="928"/>
      <c r="N511" s="928"/>
      <c r="O511" s="928"/>
      <c r="P511" s="928"/>
      <c r="Q511" s="928"/>
      <c r="R511" s="928"/>
      <c r="S511" s="928"/>
      <c r="T511" s="928"/>
      <c r="U511" s="928"/>
      <c r="V511" s="928"/>
      <c r="W511" s="928"/>
      <c r="X511" s="928"/>
    </row>
    <row r="512">
      <c r="A512" s="928"/>
      <c r="B512" s="928"/>
      <c r="C512" s="928"/>
      <c r="D512" s="928"/>
      <c r="E512" s="928"/>
      <c r="F512" s="928"/>
      <c r="G512" s="928"/>
      <c r="H512" s="928"/>
      <c r="I512" s="928"/>
      <c r="J512" s="928"/>
      <c r="K512" s="928"/>
      <c r="L512" s="928"/>
      <c r="M512" s="928"/>
      <c r="N512" s="928"/>
      <c r="O512" s="928"/>
      <c r="P512" s="928"/>
      <c r="Q512" s="928"/>
      <c r="R512" s="928"/>
      <c r="S512" s="928"/>
      <c r="T512" s="928"/>
      <c r="U512" s="928"/>
      <c r="V512" s="928"/>
      <c r="W512" s="928"/>
      <c r="X512" s="928"/>
    </row>
    <row r="513">
      <c r="A513" s="928"/>
      <c r="B513" s="928"/>
      <c r="C513" s="928"/>
      <c r="D513" s="928"/>
      <c r="E513" s="928"/>
      <c r="F513" s="928"/>
      <c r="G513" s="928"/>
      <c r="H513" s="928"/>
      <c r="I513" s="928"/>
      <c r="J513" s="928"/>
      <c r="K513" s="928"/>
      <c r="L513" s="928"/>
      <c r="M513" s="928"/>
      <c r="N513" s="928"/>
      <c r="O513" s="928"/>
      <c r="P513" s="928"/>
      <c r="Q513" s="928"/>
      <c r="R513" s="928"/>
      <c r="S513" s="928"/>
      <c r="T513" s="928"/>
      <c r="U513" s="928"/>
      <c r="V513" s="928"/>
      <c r="W513" s="928"/>
      <c r="X513" s="928"/>
    </row>
    <row r="514">
      <c r="A514" s="928"/>
      <c r="B514" s="928"/>
      <c r="C514" s="928"/>
      <c r="D514" s="928"/>
      <c r="E514" s="928"/>
      <c r="F514" s="928"/>
      <c r="G514" s="928"/>
      <c r="H514" s="928"/>
      <c r="I514" s="928"/>
      <c r="J514" s="928"/>
      <c r="K514" s="928"/>
      <c r="L514" s="928"/>
      <c r="M514" s="928"/>
      <c r="N514" s="928"/>
      <c r="O514" s="928"/>
      <c r="P514" s="928"/>
      <c r="Q514" s="928"/>
      <c r="R514" s="928"/>
      <c r="S514" s="928"/>
      <c r="T514" s="928"/>
      <c r="U514" s="928"/>
      <c r="V514" s="928"/>
      <c r="W514" s="928"/>
      <c r="X514" s="928"/>
    </row>
    <row r="515">
      <c r="A515" s="928"/>
      <c r="B515" s="928"/>
      <c r="C515" s="928"/>
      <c r="D515" s="928"/>
      <c r="E515" s="928"/>
      <c r="F515" s="928"/>
      <c r="G515" s="928"/>
      <c r="H515" s="928"/>
      <c r="I515" s="928"/>
      <c r="J515" s="928"/>
      <c r="K515" s="928"/>
      <c r="L515" s="928"/>
      <c r="M515" s="928"/>
      <c r="N515" s="928"/>
      <c r="O515" s="928"/>
      <c r="P515" s="928"/>
      <c r="Q515" s="928"/>
      <c r="R515" s="928"/>
      <c r="S515" s="928"/>
      <c r="T515" s="928"/>
      <c r="U515" s="928"/>
      <c r="V515" s="928"/>
      <c r="W515" s="928"/>
      <c r="X515" s="928"/>
    </row>
    <row r="516">
      <c r="A516" s="928"/>
      <c r="B516" s="928"/>
      <c r="C516" s="928"/>
      <c r="D516" s="928"/>
      <c r="E516" s="928"/>
      <c r="F516" s="928"/>
      <c r="G516" s="928"/>
      <c r="H516" s="928"/>
      <c r="I516" s="928"/>
      <c r="J516" s="928"/>
      <c r="K516" s="928"/>
      <c r="L516" s="928"/>
      <c r="M516" s="928"/>
      <c r="N516" s="928"/>
      <c r="O516" s="928"/>
      <c r="P516" s="928"/>
      <c r="Q516" s="928"/>
      <c r="R516" s="928"/>
      <c r="S516" s="928"/>
      <c r="T516" s="928"/>
      <c r="U516" s="928"/>
      <c r="V516" s="928"/>
      <c r="W516" s="928"/>
      <c r="X516" s="928"/>
    </row>
    <row r="517">
      <c r="A517" s="928"/>
      <c r="B517" s="928"/>
      <c r="C517" s="928"/>
      <c r="D517" s="928"/>
      <c r="E517" s="928"/>
      <c r="F517" s="928"/>
      <c r="G517" s="928"/>
      <c r="H517" s="928"/>
      <c r="I517" s="928"/>
      <c r="J517" s="928"/>
      <c r="K517" s="928"/>
      <c r="L517" s="928"/>
      <c r="M517" s="928"/>
      <c r="N517" s="928"/>
      <c r="O517" s="928"/>
      <c r="P517" s="928"/>
      <c r="Q517" s="928"/>
      <c r="R517" s="928"/>
      <c r="S517" s="928"/>
      <c r="T517" s="928"/>
      <c r="U517" s="928"/>
      <c r="V517" s="928"/>
      <c r="W517" s="928"/>
      <c r="X517" s="928"/>
    </row>
    <row r="518">
      <c r="A518" s="928"/>
      <c r="B518" s="928"/>
      <c r="C518" s="928"/>
      <c r="D518" s="928"/>
      <c r="E518" s="928"/>
      <c r="F518" s="928"/>
      <c r="G518" s="928"/>
      <c r="H518" s="928"/>
      <c r="I518" s="928"/>
      <c r="J518" s="928"/>
      <c r="K518" s="928"/>
      <c r="L518" s="928"/>
      <c r="M518" s="928"/>
      <c r="N518" s="928"/>
      <c r="O518" s="928"/>
      <c r="P518" s="928"/>
      <c r="Q518" s="928"/>
      <c r="R518" s="928"/>
      <c r="S518" s="928"/>
      <c r="T518" s="928"/>
      <c r="U518" s="928"/>
      <c r="V518" s="928"/>
      <c r="W518" s="928"/>
      <c r="X518" s="928"/>
    </row>
    <row r="519">
      <c r="A519" s="928"/>
      <c r="B519" s="928"/>
      <c r="C519" s="928"/>
      <c r="D519" s="928"/>
      <c r="E519" s="928"/>
      <c r="F519" s="928"/>
      <c r="G519" s="928"/>
      <c r="H519" s="928"/>
      <c r="I519" s="928"/>
      <c r="J519" s="928"/>
      <c r="K519" s="928"/>
      <c r="L519" s="928"/>
      <c r="M519" s="928"/>
      <c r="N519" s="928"/>
      <c r="O519" s="928"/>
      <c r="P519" s="928"/>
      <c r="Q519" s="928"/>
      <c r="R519" s="928"/>
      <c r="S519" s="928"/>
      <c r="T519" s="928"/>
      <c r="U519" s="928"/>
      <c r="V519" s="928"/>
      <c r="W519" s="928"/>
      <c r="X519" s="928"/>
    </row>
    <row r="520">
      <c r="A520" s="928"/>
      <c r="B520" s="928"/>
      <c r="C520" s="928"/>
      <c r="D520" s="928"/>
      <c r="E520" s="928"/>
      <c r="F520" s="928"/>
      <c r="G520" s="928"/>
      <c r="H520" s="928"/>
      <c r="I520" s="928"/>
      <c r="J520" s="928"/>
      <c r="K520" s="928"/>
      <c r="L520" s="928"/>
      <c r="M520" s="928"/>
      <c r="N520" s="928"/>
      <c r="O520" s="928"/>
      <c r="P520" s="928"/>
      <c r="Q520" s="928"/>
      <c r="R520" s="928"/>
      <c r="S520" s="928"/>
      <c r="T520" s="928"/>
      <c r="U520" s="928"/>
      <c r="V520" s="928"/>
      <c r="W520" s="928"/>
      <c r="X520" s="928"/>
    </row>
    <row r="521">
      <c r="A521" s="928"/>
      <c r="B521" s="928"/>
      <c r="C521" s="928"/>
      <c r="D521" s="928"/>
      <c r="E521" s="928"/>
      <c r="F521" s="928"/>
      <c r="G521" s="928"/>
      <c r="H521" s="928"/>
      <c r="I521" s="928"/>
      <c r="J521" s="928"/>
      <c r="K521" s="928"/>
      <c r="L521" s="928"/>
      <c r="M521" s="928"/>
      <c r="N521" s="928"/>
      <c r="O521" s="928"/>
      <c r="P521" s="928"/>
      <c r="Q521" s="928"/>
      <c r="R521" s="928"/>
      <c r="S521" s="928"/>
      <c r="T521" s="928"/>
      <c r="U521" s="928"/>
      <c r="V521" s="928"/>
      <c r="W521" s="928"/>
      <c r="X521" s="928"/>
    </row>
    <row r="522">
      <c r="A522" s="928"/>
      <c r="B522" s="928"/>
      <c r="C522" s="928"/>
      <c r="D522" s="928"/>
      <c r="E522" s="928"/>
      <c r="F522" s="928"/>
      <c r="G522" s="928"/>
      <c r="H522" s="928"/>
      <c r="I522" s="928"/>
      <c r="J522" s="928"/>
      <c r="K522" s="928"/>
      <c r="L522" s="928"/>
      <c r="M522" s="928"/>
      <c r="N522" s="928"/>
      <c r="O522" s="928"/>
      <c r="P522" s="928"/>
      <c r="Q522" s="928"/>
      <c r="R522" s="928"/>
      <c r="S522" s="928"/>
      <c r="T522" s="928"/>
      <c r="U522" s="928"/>
      <c r="V522" s="928"/>
      <c r="W522" s="928"/>
      <c r="X522" s="928"/>
    </row>
    <row r="523">
      <c r="A523" s="928"/>
      <c r="B523" s="928"/>
      <c r="C523" s="928"/>
      <c r="D523" s="928"/>
      <c r="E523" s="928"/>
      <c r="F523" s="928"/>
      <c r="G523" s="928"/>
      <c r="H523" s="928"/>
      <c r="I523" s="928"/>
      <c r="J523" s="928"/>
      <c r="K523" s="928"/>
      <c r="L523" s="928"/>
      <c r="M523" s="928"/>
      <c r="N523" s="928"/>
      <c r="O523" s="928"/>
      <c r="P523" s="928"/>
      <c r="Q523" s="928"/>
      <c r="R523" s="928"/>
      <c r="S523" s="928"/>
      <c r="T523" s="928"/>
      <c r="U523" s="928"/>
      <c r="V523" s="928"/>
      <c r="W523" s="928"/>
      <c r="X523" s="928"/>
    </row>
    <row r="524">
      <c r="A524" s="928"/>
      <c r="B524" s="928"/>
      <c r="C524" s="928"/>
      <c r="D524" s="928"/>
      <c r="E524" s="928"/>
      <c r="F524" s="928"/>
      <c r="G524" s="928"/>
      <c r="H524" s="928"/>
      <c r="I524" s="928"/>
      <c r="J524" s="928"/>
      <c r="K524" s="928"/>
      <c r="L524" s="928"/>
      <c r="M524" s="928"/>
      <c r="N524" s="928"/>
      <c r="O524" s="928"/>
      <c r="P524" s="928"/>
      <c r="Q524" s="928"/>
      <c r="R524" s="928"/>
      <c r="S524" s="928"/>
      <c r="T524" s="928"/>
      <c r="U524" s="928"/>
      <c r="V524" s="928"/>
      <c r="W524" s="928"/>
      <c r="X524" s="928"/>
    </row>
    <row r="525">
      <c r="A525" s="928"/>
      <c r="B525" s="928"/>
      <c r="C525" s="928"/>
      <c r="D525" s="928"/>
      <c r="E525" s="928"/>
      <c r="F525" s="928"/>
      <c r="G525" s="928"/>
      <c r="H525" s="928"/>
      <c r="I525" s="928"/>
      <c r="J525" s="928"/>
      <c r="K525" s="928"/>
      <c r="L525" s="928"/>
      <c r="M525" s="928"/>
      <c r="N525" s="928"/>
      <c r="O525" s="928"/>
      <c r="P525" s="928"/>
      <c r="Q525" s="928"/>
      <c r="R525" s="928"/>
      <c r="S525" s="928"/>
      <c r="T525" s="928"/>
      <c r="U525" s="928"/>
      <c r="V525" s="928"/>
      <c r="W525" s="928"/>
      <c r="X525" s="928"/>
    </row>
    <row r="526">
      <c r="A526" s="928"/>
      <c r="B526" s="928"/>
      <c r="C526" s="928"/>
      <c r="D526" s="928"/>
      <c r="E526" s="928"/>
      <c r="F526" s="928"/>
      <c r="G526" s="928"/>
      <c r="H526" s="928"/>
      <c r="I526" s="928"/>
      <c r="J526" s="928"/>
      <c r="K526" s="928"/>
      <c r="L526" s="928"/>
      <c r="M526" s="928"/>
      <c r="N526" s="928"/>
      <c r="O526" s="928"/>
      <c r="P526" s="928"/>
      <c r="Q526" s="928"/>
      <c r="R526" s="928"/>
      <c r="S526" s="928"/>
      <c r="T526" s="928"/>
      <c r="U526" s="928"/>
      <c r="V526" s="928"/>
      <c r="W526" s="928"/>
      <c r="X526" s="928"/>
    </row>
    <row r="527">
      <c r="A527" s="928"/>
      <c r="B527" s="928"/>
      <c r="C527" s="928"/>
      <c r="D527" s="928"/>
      <c r="E527" s="928"/>
      <c r="F527" s="928"/>
      <c r="G527" s="928"/>
      <c r="H527" s="928"/>
      <c r="I527" s="928"/>
      <c r="J527" s="928"/>
      <c r="K527" s="928"/>
      <c r="L527" s="928"/>
      <c r="M527" s="928"/>
      <c r="N527" s="928"/>
      <c r="O527" s="928"/>
      <c r="P527" s="928"/>
      <c r="Q527" s="928"/>
      <c r="R527" s="928"/>
      <c r="S527" s="928"/>
      <c r="T527" s="928"/>
      <c r="U527" s="928"/>
      <c r="V527" s="928"/>
      <c r="W527" s="928"/>
      <c r="X527" s="928"/>
    </row>
    <row r="528">
      <c r="A528" s="928"/>
      <c r="B528" s="928"/>
      <c r="C528" s="928"/>
      <c r="D528" s="928"/>
      <c r="E528" s="928"/>
      <c r="F528" s="928"/>
      <c r="G528" s="928"/>
      <c r="H528" s="928"/>
      <c r="I528" s="928"/>
      <c r="J528" s="928"/>
      <c r="K528" s="928"/>
      <c r="L528" s="928"/>
      <c r="M528" s="928"/>
      <c r="N528" s="928"/>
      <c r="O528" s="928"/>
      <c r="P528" s="928"/>
      <c r="Q528" s="928"/>
      <c r="R528" s="928"/>
      <c r="S528" s="928"/>
      <c r="T528" s="928"/>
      <c r="U528" s="928"/>
      <c r="V528" s="928"/>
      <c r="W528" s="928"/>
      <c r="X528" s="928"/>
    </row>
    <row r="529">
      <c r="A529" s="928"/>
      <c r="B529" s="928"/>
      <c r="C529" s="928"/>
      <c r="D529" s="928"/>
      <c r="E529" s="928"/>
      <c r="F529" s="928"/>
      <c r="G529" s="928"/>
      <c r="H529" s="928"/>
      <c r="I529" s="928"/>
      <c r="J529" s="928"/>
      <c r="K529" s="928"/>
      <c r="L529" s="928"/>
      <c r="M529" s="928"/>
      <c r="N529" s="928"/>
      <c r="O529" s="928"/>
      <c r="P529" s="928"/>
      <c r="Q529" s="928"/>
      <c r="R529" s="928"/>
      <c r="S529" s="928"/>
      <c r="T529" s="928"/>
      <c r="U529" s="928"/>
      <c r="V529" s="928"/>
      <c r="W529" s="928"/>
      <c r="X529" s="928"/>
    </row>
    <row r="530">
      <c r="A530" s="928"/>
      <c r="B530" s="928"/>
      <c r="C530" s="928"/>
      <c r="D530" s="928"/>
      <c r="E530" s="928"/>
      <c r="F530" s="928"/>
      <c r="G530" s="928"/>
      <c r="H530" s="928"/>
      <c r="I530" s="928"/>
      <c r="J530" s="928"/>
      <c r="K530" s="928"/>
      <c r="L530" s="928"/>
      <c r="M530" s="928"/>
      <c r="N530" s="928"/>
      <c r="O530" s="928"/>
      <c r="P530" s="928"/>
      <c r="Q530" s="928"/>
      <c r="R530" s="928"/>
      <c r="S530" s="928"/>
      <c r="T530" s="928"/>
      <c r="U530" s="928"/>
      <c r="V530" s="928"/>
      <c r="W530" s="928"/>
      <c r="X530" s="928"/>
    </row>
    <row r="531">
      <c r="A531" s="928"/>
      <c r="B531" s="928"/>
      <c r="C531" s="928"/>
      <c r="D531" s="928"/>
      <c r="E531" s="928"/>
      <c r="F531" s="928"/>
      <c r="G531" s="928"/>
      <c r="H531" s="928"/>
      <c r="I531" s="928"/>
      <c r="J531" s="928"/>
      <c r="K531" s="928"/>
      <c r="L531" s="928"/>
      <c r="M531" s="928"/>
      <c r="N531" s="928"/>
      <c r="O531" s="928"/>
      <c r="P531" s="928"/>
      <c r="Q531" s="928"/>
      <c r="R531" s="928"/>
      <c r="S531" s="928"/>
      <c r="T531" s="928"/>
      <c r="U531" s="928"/>
      <c r="V531" s="928"/>
      <c r="W531" s="928"/>
      <c r="X531" s="928"/>
    </row>
    <row r="532">
      <c r="A532" s="928"/>
      <c r="B532" s="928"/>
      <c r="C532" s="928"/>
      <c r="D532" s="928"/>
      <c r="E532" s="928"/>
      <c r="F532" s="928"/>
      <c r="G532" s="928"/>
      <c r="H532" s="928"/>
      <c r="I532" s="928"/>
      <c r="J532" s="928"/>
      <c r="K532" s="928"/>
      <c r="L532" s="928"/>
      <c r="M532" s="928"/>
      <c r="N532" s="928"/>
      <c r="O532" s="928"/>
      <c r="P532" s="928"/>
      <c r="Q532" s="928"/>
      <c r="R532" s="928"/>
      <c r="S532" s="928"/>
      <c r="T532" s="928"/>
      <c r="U532" s="928"/>
      <c r="V532" s="928"/>
      <c r="W532" s="928"/>
      <c r="X532" s="928"/>
    </row>
    <row r="533">
      <c r="A533" s="928"/>
      <c r="B533" s="928"/>
      <c r="C533" s="928"/>
      <c r="D533" s="928"/>
      <c r="E533" s="928"/>
      <c r="F533" s="928"/>
      <c r="G533" s="928"/>
      <c r="H533" s="928"/>
      <c r="I533" s="928"/>
      <c r="J533" s="928"/>
      <c r="K533" s="928"/>
      <c r="L533" s="928"/>
      <c r="M533" s="928"/>
      <c r="N533" s="928"/>
      <c r="O533" s="928"/>
      <c r="P533" s="928"/>
      <c r="Q533" s="928"/>
      <c r="R533" s="928"/>
      <c r="S533" s="928"/>
      <c r="T533" s="928"/>
      <c r="U533" s="928"/>
      <c r="V533" s="928"/>
      <c r="W533" s="928"/>
      <c r="X533" s="928"/>
    </row>
    <row r="534">
      <c r="A534" s="928"/>
      <c r="B534" s="928"/>
      <c r="C534" s="928"/>
      <c r="D534" s="928"/>
      <c r="E534" s="928"/>
      <c r="F534" s="928"/>
      <c r="G534" s="928"/>
      <c r="H534" s="928"/>
      <c r="I534" s="928"/>
      <c r="J534" s="928"/>
      <c r="K534" s="928"/>
      <c r="L534" s="928"/>
      <c r="M534" s="928"/>
      <c r="N534" s="928"/>
      <c r="O534" s="928"/>
      <c r="P534" s="928"/>
      <c r="Q534" s="928"/>
      <c r="R534" s="928"/>
      <c r="S534" s="928"/>
      <c r="T534" s="928"/>
      <c r="U534" s="928"/>
      <c r="V534" s="928"/>
      <c r="W534" s="928"/>
      <c r="X534" s="928"/>
    </row>
    <row r="535">
      <c r="A535" s="928"/>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row>
    <row r="536">
      <c r="A536" s="928"/>
      <c r="B536" s="928"/>
      <c r="C536" s="928"/>
      <c r="D536" s="928"/>
      <c r="E536" s="928"/>
      <c r="F536" s="928"/>
      <c r="G536" s="928"/>
      <c r="H536" s="928"/>
      <c r="I536" s="928"/>
      <c r="J536" s="928"/>
      <c r="K536" s="928"/>
      <c r="L536" s="928"/>
      <c r="M536" s="928"/>
      <c r="N536" s="928"/>
      <c r="O536" s="928"/>
      <c r="P536" s="928"/>
      <c r="Q536" s="928"/>
      <c r="R536" s="928"/>
      <c r="S536" s="928"/>
      <c r="T536" s="928"/>
      <c r="U536" s="928"/>
      <c r="V536" s="928"/>
      <c r="W536" s="928"/>
      <c r="X536" s="928"/>
    </row>
    <row r="537">
      <c r="A537" s="928"/>
      <c r="B537" s="928"/>
      <c r="C537" s="928"/>
      <c r="D537" s="928"/>
      <c r="E537" s="928"/>
      <c r="F537" s="928"/>
      <c r="G537" s="928"/>
      <c r="H537" s="928"/>
      <c r="I537" s="928"/>
      <c r="J537" s="928"/>
      <c r="K537" s="928"/>
      <c r="L537" s="928"/>
      <c r="M537" s="928"/>
      <c r="N537" s="928"/>
      <c r="O537" s="928"/>
      <c r="P537" s="928"/>
      <c r="Q537" s="928"/>
      <c r="R537" s="928"/>
      <c r="S537" s="928"/>
      <c r="T537" s="928"/>
      <c r="U537" s="928"/>
      <c r="V537" s="928"/>
      <c r="W537" s="928"/>
      <c r="X537" s="928"/>
    </row>
    <row r="538">
      <c r="A538" s="928"/>
      <c r="B538" s="928"/>
      <c r="C538" s="928"/>
      <c r="D538" s="928"/>
      <c r="E538" s="928"/>
      <c r="F538" s="928"/>
      <c r="G538" s="928"/>
      <c r="H538" s="928"/>
      <c r="I538" s="928"/>
      <c r="J538" s="928"/>
      <c r="K538" s="928"/>
      <c r="L538" s="928"/>
      <c r="M538" s="928"/>
      <c r="N538" s="928"/>
      <c r="O538" s="928"/>
      <c r="P538" s="928"/>
      <c r="Q538" s="928"/>
      <c r="R538" s="928"/>
      <c r="S538" s="928"/>
      <c r="T538" s="928"/>
      <c r="U538" s="928"/>
      <c r="V538" s="928"/>
      <c r="W538" s="928"/>
      <c r="X538" s="928"/>
    </row>
    <row r="539">
      <c r="A539" s="928"/>
      <c r="B539" s="928"/>
      <c r="C539" s="928"/>
      <c r="D539" s="928"/>
      <c r="E539" s="928"/>
      <c r="F539" s="928"/>
      <c r="G539" s="928"/>
      <c r="H539" s="928"/>
      <c r="I539" s="928"/>
      <c r="J539" s="928"/>
      <c r="K539" s="928"/>
      <c r="L539" s="928"/>
      <c r="M539" s="928"/>
      <c r="N539" s="928"/>
      <c r="O539" s="928"/>
      <c r="P539" s="928"/>
      <c r="Q539" s="928"/>
      <c r="R539" s="928"/>
      <c r="S539" s="928"/>
      <c r="T539" s="928"/>
      <c r="U539" s="928"/>
      <c r="V539" s="928"/>
      <c r="W539" s="928"/>
      <c r="X539" s="928"/>
    </row>
    <row r="540">
      <c r="A540" s="928"/>
      <c r="B540" s="928"/>
      <c r="C540" s="928"/>
      <c r="D540" s="928"/>
      <c r="E540" s="928"/>
      <c r="F540" s="928"/>
      <c r="G540" s="928"/>
      <c r="H540" s="928"/>
      <c r="I540" s="928"/>
      <c r="J540" s="928"/>
      <c r="K540" s="928"/>
      <c r="L540" s="928"/>
      <c r="M540" s="928"/>
      <c r="N540" s="928"/>
      <c r="O540" s="928"/>
      <c r="P540" s="928"/>
      <c r="Q540" s="928"/>
      <c r="R540" s="928"/>
      <c r="S540" s="928"/>
      <c r="T540" s="928"/>
      <c r="U540" s="928"/>
      <c r="V540" s="928"/>
      <c r="W540" s="928"/>
      <c r="X540" s="928"/>
    </row>
    <row r="541">
      <c r="A541" s="928"/>
      <c r="B541" s="928"/>
      <c r="C541" s="928"/>
      <c r="D541" s="928"/>
      <c r="E541" s="928"/>
      <c r="F541" s="928"/>
      <c r="G541" s="928"/>
      <c r="H541" s="928"/>
      <c r="I541" s="928"/>
      <c r="J541" s="928"/>
      <c r="K541" s="928"/>
      <c r="L541" s="928"/>
      <c r="M541" s="928"/>
      <c r="N541" s="928"/>
      <c r="O541" s="928"/>
      <c r="P541" s="928"/>
      <c r="Q541" s="928"/>
      <c r="R541" s="928"/>
      <c r="S541" s="928"/>
      <c r="T541" s="928"/>
      <c r="U541" s="928"/>
      <c r="V541" s="928"/>
      <c r="W541" s="928"/>
      <c r="X541" s="928"/>
    </row>
    <row r="542">
      <c r="A542" s="928"/>
      <c r="B542" s="928"/>
      <c r="C542" s="928"/>
      <c r="D542" s="928"/>
      <c r="E542" s="928"/>
      <c r="F542" s="928"/>
      <c r="G542" s="928"/>
      <c r="H542" s="928"/>
      <c r="I542" s="928"/>
      <c r="J542" s="928"/>
      <c r="K542" s="928"/>
      <c r="L542" s="928"/>
      <c r="M542" s="928"/>
      <c r="N542" s="928"/>
      <c r="O542" s="928"/>
      <c r="P542" s="928"/>
      <c r="Q542" s="928"/>
      <c r="R542" s="928"/>
      <c r="S542" s="928"/>
      <c r="T542" s="928"/>
      <c r="U542" s="928"/>
      <c r="V542" s="928"/>
      <c r="W542" s="928"/>
      <c r="X542" s="928"/>
    </row>
    <row r="543">
      <c r="A543" s="928"/>
      <c r="B543" s="928"/>
      <c r="C543" s="928"/>
      <c r="D543" s="928"/>
      <c r="E543" s="928"/>
      <c r="F543" s="928"/>
      <c r="G543" s="928"/>
      <c r="H543" s="928"/>
      <c r="I543" s="928"/>
      <c r="J543" s="928"/>
      <c r="K543" s="928"/>
      <c r="L543" s="928"/>
      <c r="M543" s="928"/>
      <c r="N543" s="928"/>
      <c r="O543" s="928"/>
      <c r="P543" s="928"/>
      <c r="Q543" s="928"/>
      <c r="R543" s="928"/>
      <c r="S543" s="928"/>
      <c r="T543" s="928"/>
      <c r="U543" s="928"/>
      <c r="V543" s="928"/>
      <c r="W543" s="928"/>
      <c r="X543" s="928"/>
    </row>
    <row r="544">
      <c r="A544" s="928"/>
      <c r="B544" s="928"/>
      <c r="C544" s="928"/>
      <c r="D544" s="928"/>
      <c r="E544" s="928"/>
      <c r="F544" s="928"/>
      <c r="G544" s="928"/>
      <c r="H544" s="928"/>
      <c r="I544" s="928"/>
      <c r="J544" s="928"/>
      <c r="K544" s="928"/>
      <c r="L544" s="928"/>
      <c r="M544" s="928"/>
      <c r="N544" s="928"/>
      <c r="O544" s="928"/>
      <c r="P544" s="928"/>
      <c r="Q544" s="928"/>
      <c r="R544" s="928"/>
      <c r="S544" s="928"/>
      <c r="T544" s="928"/>
      <c r="U544" s="928"/>
      <c r="V544" s="928"/>
      <c r="W544" s="928"/>
      <c r="X544" s="928"/>
    </row>
    <row r="545">
      <c r="A545" s="928"/>
      <c r="B545" s="928"/>
      <c r="C545" s="928"/>
      <c r="D545" s="928"/>
      <c r="E545" s="928"/>
      <c r="F545" s="928"/>
      <c r="G545" s="928"/>
      <c r="H545" s="928"/>
      <c r="I545" s="928"/>
      <c r="J545" s="928"/>
      <c r="K545" s="928"/>
      <c r="L545" s="928"/>
      <c r="M545" s="928"/>
      <c r="N545" s="928"/>
      <c r="O545" s="928"/>
      <c r="P545" s="928"/>
      <c r="Q545" s="928"/>
      <c r="R545" s="928"/>
      <c r="S545" s="928"/>
      <c r="T545" s="928"/>
      <c r="U545" s="928"/>
      <c r="V545" s="928"/>
      <c r="W545" s="928"/>
      <c r="X545" s="928"/>
    </row>
    <row r="546">
      <c r="A546" s="928"/>
      <c r="B546" s="928"/>
      <c r="C546" s="928"/>
      <c r="D546" s="928"/>
      <c r="E546" s="928"/>
      <c r="F546" s="928"/>
      <c r="G546" s="928"/>
      <c r="H546" s="928"/>
      <c r="I546" s="928"/>
      <c r="J546" s="928"/>
      <c r="K546" s="928"/>
      <c r="L546" s="928"/>
      <c r="M546" s="928"/>
      <c r="N546" s="928"/>
      <c r="O546" s="928"/>
      <c r="P546" s="928"/>
      <c r="Q546" s="928"/>
      <c r="R546" s="928"/>
      <c r="S546" s="928"/>
      <c r="T546" s="928"/>
      <c r="U546" s="928"/>
      <c r="V546" s="928"/>
      <c r="W546" s="928"/>
      <c r="X546" s="928"/>
    </row>
    <row r="547">
      <c r="A547" s="928"/>
      <c r="B547" s="928"/>
      <c r="C547" s="928"/>
      <c r="D547" s="928"/>
      <c r="E547" s="928"/>
      <c r="F547" s="928"/>
      <c r="G547" s="928"/>
      <c r="H547" s="928"/>
      <c r="I547" s="928"/>
      <c r="J547" s="928"/>
      <c r="K547" s="928"/>
      <c r="L547" s="928"/>
      <c r="M547" s="928"/>
      <c r="N547" s="928"/>
      <c r="O547" s="928"/>
      <c r="P547" s="928"/>
      <c r="Q547" s="928"/>
      <c r="R547" s="928"/>
      <c r="S547" s="928"/>
      <c r="T547" s="928"/>
      <c r="U547" s="928"/>
      <c r="V547" s="928"/>
      <c r="W547" s="928"/>
      <c r="X547" s="928"/>
    </row>
    <row r="548">
      <c r="A548" s="928"/>
      <c r="B548" s="928"/>
      <c r="C548" s="928"/>
      <c r="D548" s="928"/>
      <c r="E548" s="928"/>
      <c r="F548" s="928"/>
      <c r="G548" s="928"/>
      <c r="H548" s="928"/>
      <c r="I548" s="928"/>
      <c r="J548" s="928"/>
      <c r="K548" s="928"/>
      <c r="L548" s="928"/>
      <c r="M548" s="928"/>
      <c r="N548" s="928"/>
      <c r="O548" s="928"/>
      <c r="P548" s="928"/>
      <c r="Q548" s="928"/>
      <c r="R548" s="928"/>
      <c r="S548" s="928"/>
      <c r="T548" s="928"/>
      <c r="U548" s="928"/>
      <c r="V548" s="928"/>
      <c r="W548" s="928"/>
      <c r="X548" s="928"/>
    </row>
    <row r="549">
      <c r="A549" s="928"/>
      <c r="B549" s="928"/>
      <c r="C549" s="928"/>
      <c r="D549" s="928"/>
      <c r="E549" s="928"/>
      <c r="F549" s="928"/>
      <c r="G549" s="928"/>
      <c r="H549" s="928"/>
      <c r="I549" s="928"/>
      <c r="J549" s="928"/>
      <c r="K549" s="928"/>
      <c r="L549" s="928"/>
      <c r="M549" s="928"/>
      <c r="N549" s="928"/>
      <c r="O549" s="928"/>
      <c r="P549" s="928"/>
      <c r="Q549" s="928"/>
      <c r="R549" s="928"/>
      <c r="S549" s="928"/>
      <c r="T549" s="928"/>
      <c r="U549" s="928"/>
      <c r="V549" s="928"/>
      <c r="W549" s="928"/>
      <c r="X549" s="928"/>
    </row>
    <row r="550">
      <c r="A550" s="928"/>
      <c r="B550" s="928"/>
      <c r="C550" s="928"/>
      <c r="D550" s="928"/>
      <c r="E550" s="928"/>
      <c r="F550" s="928"/>
      <c r="G550" s="928"/>
      <c r="H550" s="928"/>
      <c r="I550" s="928"/>
      <c r="J550" s="928"/>
      <c r="K550" s="928"/>
      <c r="L550" s="928"/>
      <c r="M550" s="928"/>
      <c r="N550" s="928"/>
      <c r="O550" s="928"/>
      <c r="P550" s="928"/>
      <c r="Q550" s="928"/>
      <c r="R550" s="928"/>
      <c r="S550" s="928"/>
      <c r="T550" s="928"/>
      <c r="U550" s="928"/>
      <c r="V550" s="928"/>
      <c r="W550" s="928"/>
      <c r="X550" s="928"/>
    </row>
    <row r="551">
      <c r="A551" s="928"/>
      <c r="B551" s="928"/>
      <c r="C551" s="928"/>
      <c r="D551" s="928"/>
      <c r="E551" s="928"/>
      <c r="F551" s="928"/>
      <c r="G551" s="928"/>
      <c r="H551" s="928"/>
      <c r="I551" s="928"/>
      <c r="J551" s="928"/>
      <c r="K551" s="928"/>
      <c r="L551" s="928"/>
      <c r="M551" s="928"/>
      <c r="N551" s="928"/>
      <c r="O551" s="928"/>
      <c r="P551" s="928"/>
      <c r="Q551" s="928"/>
      <c r="R551" s="928"/>
      <c r="S551" s="928"/>
      <c r="T551" s="928"/>
      <c r="U551" s="928"/>
      <c r="V551" s="928"/>
      <c r="W551" s="928"/>
      <c r="X551" s="928"/>
    </row>
    <row r="552">
      <c r="A552" s="928"/>
      <c r="B552" s="928"/>
      <c r="C552" s="928"/>
      <c r="D552" s="928"/>
      <c r="E552" s="928"/>
      <c r="F552" s="928"/>
      <c r="G552" s="928"/>
      <c r="H552" s="928"/>
      <c r="I552" s="928"/>
      <c r="J552" s="928"/>
      <c r="K552" s="928"/>
      <c r="L552" s="928"/>
      <c r="M552" s="928"/>
      <c r="N552" s="928"/>
      <c r="O552" s="928"/>
      <c r="P552" s="928"/>
      <c r="Q552" s="928"/>
      <c r="R552" s="928"/>
      <c r="S552" s="928"/>
      <c r="T552" s="928"/>
      <c r="U552" s="928"/>
      <c r="V552" s="928"/>
      <c r="W552" s="928"/>
      <c r="X552" s="928"/>
    </row>
    <row r="553">
      <c r="A553" s="928"/>
      <c r="B553" s="928"/>
      <c r="C553" s="928"/>
      <c r="D553" s="928"/>
      <c r="E553" s="928"/>
      <c r="F553" s="928"/>
      <c r="G553" s="928"/>
      <c r="H553" s="928"/>
      <c r="I553" s="928"/>
      <c r="J553" s="928"/>
      <c r="K553" s="928"/>
      <c r="L553" s="928"/>
      <c r="M553" s="928"/>
      <c r="N553" s="928"/>
      <c r="O553" s="928"/>
      <c r="P553" s="928"/>
      <c r="Q553" s="928"/>
      <c r="R553" s="928"/>
      <c r="S553" s="928"/>
      <c r="T553" s="928"/>
      <c r="U553" s="928"/>
      <c r="V553" s="928"/>
      <c r="W553" s="928"/>
      <c r="X553" s="928"/>
    </row>
    <row r="554">
      <c r="A554" s="928"/>
      <c r="B554" s="928"/>
      <c r="C554" s="928"/>
      <c r="D554" s="928"/>
      <c r="E554" s="928"/>
      <c r="F554" s="928"/>
      <c r="G554" s="928"/>
      <c r="H554" s="928"/>
      <c r="I554" s="928"/>
      <c r="J554" s="928"/>
      <c r="K554" s="928"/>
      <c r="L554" s="928"/>
      <c r="M554" s="928"/>
      <c r="N554" s="928"/>
      <c r="O554" s="928"/>
      <c r="P554" s="928"/>
      <c r="Q554" s="928"/>
      <c r="R554" s="928"/>
      <c r="S554" s="928"/>
      <c r="T554" s="928"/>
      <c r="U554" s="928"/>
      <c r="V554" s="928"/>
      <c r="W554" s="928"/>
      <c r="X554" s="928"/>
    </row>
    <row r="555">
      <c r="A555" s="928"/>
      <c r="B555" s="928"/>
      <c r="C555" s="928"/>
      <c r="D555" s="928"/>
      <c r="E555" s="928"/>
      <c r="F555" s="928"/>
      <c r="G555" s="928"/>
      <c r="H555" s="928"/>
      <c r="I555" s="928"/>
      <c r="J555" s="928"/>
      <c r="K555" s="928"/>
      <c r="L555" s="928"/>
      <c r="M555" s="928"/>
      <c r="N555" s="928"/>
      <c r="O555" s="928"/>
      <c r="P555" s="928"/>
      <c r="Q555" s="928"/>
      <c r="R555" s="928"/>
      <c r="S555" s="928"/>
      <c r="T555" s="928"/>
      <c r="U555" s="928"/>
      <c r="V555" s="928"/>
      <c r="W555" s="928"/>
      <c r="X555" s="928"/>
    </row>
    <row r="556">
      <c r="A556" s="928"/>
      <c r="B556" s="928"/>
      <c r="C556" s="928"/>
      <c r="D556" s="928"/>
      <c r="E556" s="928"/>
      <c r="F556" s="928"/>
      <c r="G556" s="928"/>
      <c r="H556" s="928"/>
      <c r="I556" s="928"/>
      <c r="J556" s="928"/>
      <c r="K556" s="928"/>
      <c r="L556" s="928"/>
      <c r="M556" s="928"/>
      <c r="N556" s="928"/>
      <c r="O556" s="928"/>
      <c r="P556" s="928"/>
      <c r="Q556" s="928"/>
      <c r="R556" s="928"/>
      <c r="S556" s="928"/>
      <c r="T556" s="928"/>
      <c r="U556" s="928"/>
      <c r="V556" s="928"/>
      <c r="W556" s="928"/>
      <c r="X556" s="928"/>
    </row>
    <row r="557">
      <c r="A557" s="928"/>
      <c r="B557" s="928"/>
      <c r="C557" s="928"/>
      <c r="D557" s="928"/>
      <c r="E557" s="928"/>
      <c r="F557" s="928"/>
      <c r="G557" s="928"/>
      <c r="H557" s="928"/>
      <c r="I557" s="928"/>
      <c r="J557" s="928"/>
      <c r="K557" s="928"/>
      <c r="L557" s="928"/>
      <c r="M557" s="928"/>
      <c r="N557" s="928"/>
      <c r="O557" s="928"/>
      <c r="P557" s="928"/>
      <c r="Q557" s="928"/>
      <c r="R557" s="928"/>
      <c r="S557" s="928"/>
      <c r="T557" s="928"/>
      <c r="U557" s="928"/>
      <c r="V557" s="928"/>
      <c r="W557" s="928"/>
      <c r="X557" s="928"/>
    </row>
    <row r="558">
      <c r="A558" s="928"/>
      <c r="B558" s="928"/>
      <c r="C558" s="928"/>
      <c r="D558" s="928"/>
      <c r="E558" s="928"/>
      <c r="F558" s="928"/>
      <c r="G558" s="928"/>
      <c r="H558" s="928"/>
      <c r="I558" s="928"/>
      <c r="J558" s="928"/>
      <c r="K558" s="928"/>
      <c r="L558" s="928"/>
      <c r="M558" s="928"/>
      <c r="N558" s="928"/>
      <c r="O558" s="928"/>
      <c r="P558" s="928"/>
      <c r="Q558" s="928"/>
      <c r="R558" s="928"/>
      <c r="S558" s="928"/>
      <c r="T558" s="928"/>
      <c r="U558" s="928"/>
      <c r="V558" s="928"/>
      <c r="W558" s="928"/>
      <c r="X558" s="928"/>
    </row>
    <row r="559">
      <c r="A559" s="928"/>
      <c r="B559" s="928"/>
      <c r="C559" s="928"/>
      <c r="D559" s="928"/>
      <c r="E559" s="928"/>
      <c r="F559" s="928"/>
      <c r="G559" s="928"/>
      <c r="H559" s="928"/>
      <c r="I559" s="928"/>
      <c r="J559" s="928"/>
      <c r="K559" s="928"/>
      <c r="L559" s="928"/>
      <c r="M559" s="928"/>
      <c r="N559" s="928"/>
      <c r="O559" s="928"/>
      <c r="P559" s="928"/>
      <c r="Q559" s="928"/>
      <c r="R559" s="928"/>
      <c r="S559" s="928"/>
      <c r="T559" s="928"/>
      <c r="U559" s="928"/>
      <c r="V559" s="928"/>
      <c r="W559" s="928"/>
      <c r="X559" s="928"/>
    </row>
    <row r="560">
      <c r="A560" s="928"/>
      <c r="B560" s="928"/>
      <c r="C560" s="928"/>
      <c r="D560" s="928"/>
      <c r="E560" s="928"/>
      <c r="F560" s="928"/>
      <c r="G560" s="928"/>
      <c r="H560" s="928"/>
      <c r="I560" s="928"/>
      <c r="J560" s="928"/>
      <c r="K560" s="928"/>
      <c r="L560" s="928"/>
      <c r="M560" s="928"/>
      <c r="N560" s="928"/>
      <c r="O560" s="928"/>
      <c r="P560" s="928"/>
      <c r="Q560" s="928"/>
      <c r="R560" s="928"/>
      <c r="S560" s="928"/>
      <c r="T560" s="928"/>
      <c r="U560" s="928"/>
      <c r="V560" s="928"/>
      <c r="W560" s="928"/>
      <c r="X560" s="928"/>
    </row>
    <row r="561">
      <c r="A561" s="928"/>
      <c r="B561" s="928"/>
      <c r="C561" s="928"/>
      <c r="D561" s="928"/>
      <c r="E561" s="928"/>
      <c r="F561" s="928"/>
      <c r="G561" s="928"/>
      <c r="H561" s="928"/>
      <c r="I561" s="928"/>
      <c r="J561" s="928"/>
      <c r="K561" s="928"/>
      <c r="L561" s="928"/>
      <c r="M561" s="928"/>
      <c r="N561" s="928"/>
      <c r="O561" s="928"/>
      <c r="P561" s="928"/>
      <c r="Q561" s="928"/>
      <c r="R561" s="928"/>
      <c r="S561" s="928"/>
      <c r="T561" s="928"/>
      <c r="U561" s="928"/>
      <c r="V561" s="928"/>
      <c r="W561" s="928"/>
      <c r="X561" s="928"/>
    </row>
    <row r="562">
      <c r="A562" s="928"/>
      <c r="B562" s="928"/>
      <c r="C562" s="928"/>
      <c r="D562" s="928"/>
      <c r="E562" s="928"/>
      <c r="F562" s="928"/>
      <c r="G562" s="928"/>
      <c r="H562" s="928"/>
      <c r="I562" s="928"/>
      <c r="J562" s="928"/>
      <c r="K562" s="928"/>
      <c r="L562" s="928"/>
      <c r="M562" s="928"/>
      <c r="N562" s="928"/>
      <c r="O562" s="928"/>
      <c r="P562" s="928"/>
      <c r="Q562" s="928"/>
      <c r="R562" s="928"/>
      <c r="S562" s="928"/>
      <c r="T562" s="928"/>
      <c r="U562" s="928"/>
      <c r="V562" s="928"/>
      <c r="W562" s="928"/>
      <c r="X562" s="928"/>
    </row>
    <row r="563">
      <c r="A563" s="928"/>
      <c r="B563" s="928"/>
      <c r="C563" s="928"/>
      <c r="D563" s="928"/>
      <c r="E563" s="928"/>
      <c r="F563" s="928"/>
      <c r="G563" s="928"/>
      <c r="H563" s="928"/>
      <c r="I563" s="928"/>
      <c r="J563" s="928"/>
      <c r="K563" s="928"/>
      <c r="L563" s="928"/>
      <c r="M563" s="928"/>
      <c r="N563" s="928"/>
      <c r="O563" s="928"/>
      <c r="P563" s="928"/>
      <c r="Q563" s="928"/>
      <c r="R563" s="928"/>
      <c r="S563" s="928"/>
      <c r="T563" s="928"/>
      <c r="U563" s="928"/>
      <c r="V563" s="928"/>
      <c r="W563" s="928"/>
      <c r="X563" s="928"/>
    </row>
    <row r="564">
      <c r="A564" s="928"/>
      <c r="B564" s="928"/>
      <c r="C564" s="928"/>
      <c r="D564" s="928"/>
      <c r="E564" s="928"/>
      <c r="F564" s="928"/>
      <c r="G564" s="928"/>
      <c r="H564" s="928"/>
      <c r="I564" s="928"/>
      <c r="J564" s="928"/>
      <c r="K564" s="928"/>
      <c r="L564" s="928"/>
      <c r="M564" s="928"/>
      <c r="N564" s="928"/>
      <c r="O564" s="928"/>
      <c r="P564" s="928"/>
      <c r="Q564" s="928"/>
      <c r="R564" s="928"/>
      <c r="S564" s="928"/>
      <c r="T564" s="928"/>
      <c r="U564" s="928"/>
      <c r="V564" s="928"/>
      <c r="W564" s="928"/>
      <c r="X564" s="928"/>
    </row>
    <row r="565">
      <c r="A565" s="928"/>
      <c r="B565" s="928"/>
      <c r="C565" s="928"/>
      <c r="D565" s="928"/>
      <c r="E565" s="928"/>
      <c r="F565" s="928"/>
      <c r="G565" s="928"/>
      <c r="H565" s="928"/>
      <c r="I565" s="928"/>
      <c r="J565" s="928"/>
      <c r="K565" s="928"/>
      <c r="L565" s="928"/>
      <c r="M565" s="928"/>
      <c r="N565" s="928"/>
      <c r="O565" s="928"/>
      <c r="P565" s="928"/>
      <c r="Q565" s="928"/>
      <c r="R565" s="928"/>
      <c r="S565" s="928"/>
      <c r="T565" s="928"/>
      <c r="U565" s="928"/>
      <c r="V565" s="928"/>
      <c r="W565" s="928"/>
      <c r="X565" s="928"/>
    </row>
    <row r="566">
      <c r="A566" s="928"/>
      <c r="B566" s="928"/>
      <c r="C566" s="928"/>
      <c r="D566" s="928"/>
      <c r="E566" s="928"/>
      <c r="F566" s="928"/>
      <c r="G566" s="928"/>
      <c r="H566" s="928"/>
      <c r="I566" s="928"/>
      <c r="J566" s="928"/>
      <c r="K566" s="928"/>
      <c r="L566" s="928"/>
      <c r="M566" s="928"/>
      <c r="N566" s="928"/>
      <c r="O566" s="928"/>
      <c r="P566" s="928"/>
      <c r="Q566" s="928"/>
      <c r="R566" s="928"/>
      <c r="S566" s="928"/>
      <c r="T566" s="928"/>
      <c r="U566" s="928"/>
      <c r="V566" s="928"/>
      <c r="W566" s="928"/>
      <c r="X566" s="928"/>
    </row>
    <row r="567">
      <c r="A567" s="928"/>
      <c r="B567" s="928"/>
      <c r="C567" s="928"/>
      <c r="D567" s="928"/>
      <c r="E567" s="928"/>
      <c r="F567" s="928"/>
      <c r="G567" s="928"/>
      <c r="H567" s="928"/>
      <c r="I567" s="928"/>
      <c r="J567" s="928"/>
      <c r="K567" s="928"/>
      <c r="L567" s="928"/>
      <c r="M567" s="928"/>
      <c r="N567" s="928"/>
      <c r="O567" s="928"/>
      <c r="P567" s="928"/>
      <c r="Q567" s="928"/>
      <c r="R567" s="928"/>
      <c r="S567" s="928"/>
      <c r="T567" s="928"/>
      <c r="U567" s="928"/>
      <c r="V567" s="928"/>
      <c r="W567" s="928"/>
      <c r="X567" s="928"/>
    </row>
    <row r="568">
      <c r="A568" s="928"/>
      <c r="B568" s="928"/>
      <c r="C568" s="928"/>
      <c r="D568" s="928"/>
      <c r="E568" s="928"/>
      <c r="F568" s="928"/>
      <c r="G568" s="928"/>
      <c r="H568" s="928"/>
      <c r="I568" s="928"/>
      <c r="J568" s="928"/>
      <c r="K568" s="928"/>
      <c r="L568" s="928"/>
      <c r="M568" s="928"/>
      <c r="N568" s="928"/>
      <c r="O568" s="928"/>
      <c r="P568" s="928"/>
      <c r="Q568" s="928"/>
      <c r="R568" s="928"/>
      <c r="S568" s="928"/>
      <c r="T568" s="928"/>
      <c r="U568" s="928"/>
      <c r="V568" s="928"/>
      <c r="W568" s="928"/>
      <c r="X568" s="928"/>
    </row>
    <row r="569">
      <c r="A569" s="928"/>
      <c r="B569" s="928"/>
      <c r="C569" s="928"/>
      <c r="D569" s="928"/>
      <c r="E569" s="928"/>
      <c r="F569" s="928"/>
      <c r="G569" s="928"/>
      <c r="H569" s="928"/>
      <c r="I569" s="928"/>
      <c r="J569" s="928"/>
      <c r="K569" s="928"/>
      <c r="L569" s="928"/>
      <c r="M569" s="928"/>
      <c r="N569" s="928"/>
      <c r="O569" s="928"/>
      <c r="P569" s="928"/>
      <c r="Q569" s="928"/>
      <c r="R569" s="928"/>
      <c r="S569" s="928"/>
      <c r="T569" s="928"/>
      <c r="U569" s="928"/>
      <c r="V569" s="928"/>
      <c r="W569" s="928"/>
      <c r="X569" s="928"/>
    </row>
    <row r="570">
      <c r="A570" s="928"/>
      <c r="B570" s="928"/>
      <c r="C570" s="928"/>
      <c r="D570" s="928"/>
      <c r="E570" s="928"/>
      <c r="F570" s="928"/>
      <c r="G570" s="928"/>
      <c r="H570" s="928"/>
      <c r="I570" s="928"/>
      <c r="J570" s="928"/>
      <c r="K570" s="928"/>
      <c r="L570" s="928"/>
      <c r="M570" s="928"/>
      <c r="N570" s="928"/>
      <c r="O570" s="928"/>
      <c r="P570" s="928"/>
      <c r="Q570" s="928"/>
      <c r="R570" s="928"/>
      <c r="S570" s="928"/>
      <c r="T570" s="928"/>
      <c r="U570" s="928"/>
      <c r="V570" s="928"/>
      <c r="W570" s="928"/>
      <c r="X570" s="928"/>
    </row>
    <row r="571">
      <c r="A571" s="928"/>
      <c r="B571" s="928"/>
      <c r="C571" s="928"/>
      <c r="D571" s="928"/>
      <c r="E571" s="928"/>
      <c r="F571" s="928"/>
      <c r="G571" s="928"/>
      <c r="H571" s="928"/>
      <c r="I571" s="928"/>
      <c r="J571" s="928"/>
      <c r="K571" s="928"/>
      <c r="L571" s="928"/>
      <c r="M571" s="928"/>
      <c r="N571" s="928"/>
      <c r="O571" s="928"/>
      <c r="P571" s="928"/>
      <c r="Q571" s="928"/>
      <c r="R571" s="928"/>
      <c r="S571" s="928"/>
      <c r="T571" s="928"/>
      <c r="U571" s="928"/>
      <c r="V571" s="928"/>
      <c r="W571" s="928"/>
      <c r="X571" s="928"/>
    </row>
    <row r="572">
      <c r="A572" s="928"/>
      <c r="B572" s="928"/>
      <c r="C572" s="928"/>
      <c r="D572" s="928"/>
      <c r="E572" s="928"/>
      <c r="F572" s="928"/>
      <c r="G572" s="928"/>
      <c r="H572" s="928"/>
      <c r="I572" s="928"/>
      <c r="J572" s="928"/>
      <c r="K572" s="928"/>
      <c r="L572" s="928"/>
      <c r="M572" s="928"/>
      <c r="N572" s="928"/>
      <c r="O572" s="928"/>
      <c r="P572" s="928"/>
      <c r="Q572" s="928"/>
      <c r="R572" s="928"/>
      <c r="S572" s="928"/>
      <c r="T572" s="928"/>
      <c r="U572" s="928"/>
      <c r="V572" s="928"/>
      <c r="W572" s="928"/>
      <c r="X572" s="928"/>
    </row>
    <row r="573">
      <c r="A573" s="928"/>
      <c r="B573" s="928"/>
      <c r="C573" s="928"/>
      <c r="D573" s="928"/>
      <c r="E573" s="928"/>
      <c r="F573" s="928"/>
      <c r="G573" s="928"/>
      <c r="H573" s="928"/>
      <c r="I573" s="928"/>
      <c r="J573" s="928"/>
      <c r="K573" s="928"/>
      <c r="L573" s="928"/>
      <c r="M573" s="928"/>
      <c r="N573" s="928"/>
      <c r="O573" s="928"/>
      <c r="P573" s="928"/>
      <c r="Q573" s="928"/>
      <c r="R573" s="928"/>
      <c r="S573" s="928"/>
      <c r="T573" s="928"/>
      <c r="U573" s="928"/>
      <c r="V573" s="928"/>
      <c r="W573" s="928"/>
      <c r="X573" s="928"/>
    </row>
    <row r="574">
      <c r="A574" s="928"/>
      <c r="B574" s="928"/>
      <c r="C574" s="928"/>
      <c r="D574" s="928"/>
      <c r="E574" s="928"/>
      <c r="F574" s="928"/>
      <c r="G574" s="928"/>
      <c r="H574" s="928"/>
      <c r="I574" s="928"/>
      <c r="J574" s="928"/>
      <c r="K574" s="928"/>
      <c r="L574" s="928"/>
      <c r="M574" s="928"/>
      <c r="N574" s="928"/>
      <c r="O574" s="928"/>
      <c r="P574" s="928"/>
      <c r="Q574" s="928"/>
      <c r="R574" s="928"/>
      <c r="S574" s="928"/>
      <c r="T574" s="928"/>
      <c r="U574" s="928"/>
      <c r="V574" s="928"/>
      <c r="W574" s="928"/>
      <c r="X574" s="928"/>
    </row>
    <row r="575">
      <c r="A575" s="928"/>
      <c r="B575" s="928"/>
      <c r="C575" s="928"/>
      <c r="D575" s="928"/>
      <c r="E575" s="928"/>
      <c r="F575" s="928"/>
      <c r="G575" s="928"/>
      <c r="H575" s="928"/>
      <c r="I575" s="928"/>
      <c r="J575" s="928"/>
      <c r="K575" s="928"/>
      <c r="L575" s="928"/>
      <c r="M575" s="928"/>
      <c r="N575" s="928"/>
      <c r="O575" s="928"/>
      <c r="P575" s="928"/>
      <c r="Q575" s="928"/>
      <c r="R575" s="928"/>
      <c r="S575" s="928"/>
      <c r="T575" s="928"/>
      <c r="U575" s="928"/>
      <c r="V575" s="928"/>
      <c r="W575" s="928"/>
      <c r="X575" s="928"/>
    </row>
    <row r="576">
      <c r="A576" s="928"/>
      <c r="B576" s="928"/>
      <c r="C576" s="928"/>
      <c r="D576" s="928"/>
      <c r="E576" s="928"/>
      <c r="F576" s="928"/>
      <c r="G576" s="928"/>
      <c r="H576" s="928"/>
      <c r="I576" s="928"/>
      <c r="J576" s="928"/>
      <c r="K576" s="928"/>
      <c r="L576" s="928"/>
      <c r="M576" s="928"/>
      <c r="N576" s="928"/>
      <c r="O576" s="928"/>
      <c r="P576" s="928"/>
      <c r="Q576" s="928"/>
      <c r="R576" s="928"/>
      <c r="S576" s="928"/>
      <c r="T576" s="928"/>
      <c r="U576" s="928"/>
      <c r="V576" s="928"/>
      <c r="W576" s="928"/>
      <c r="X576" s="928"/>
    </row>
    <row r="577">
      <c r="A577" s="928"/>
      <c r="B577" s="928"/>
      <c r="C577" s="928"/>
      <c r="D577" s="928"/>
      <c r="E577" s="928"/>
      <c r="F577" s="928"/>
      <c r="G577" s="928"/>
      <c r="H577" s="928"/>
      <c r="I577" s="928"/>
      <c r="J577" s="928"/>
      <c r="K577" s="928"/>
      <c r="L577" s="928"/>
      <c r="M577" s="928"/>
      <c r="N577" s="928"/>
      <c r="O577" s="928"/>
      <c r="P577" s="928"/>
      <c r="Q577" s="928"/>
      <c r="R577" s="928"/>
      <c r="S577" s="928"/>
      <c r="T577" s="928"/>
      <c r="U577" s="928"/>
      <c r="V577" s="928"/>
      <c r="W577" s="928"/>
      <c r="X577" s="928"/>
    </row>
    <row r="578">
      <c r="A578" s="928"/>
      <c r="B578" s="928"/>
      <c r="C578" s="928"/>
      <c r="D578" s="928"/>
      <c r="E578" s="928"/>
      <c r="F578" s="928"/>
      <c r="G578" s="928"/>
      <c r="H578" s="928"/>
      <c r="I578" s="928"/>
      <c r="J578" s="928"/>
      <c r="K578" s="928"/>
      <c r="L578" s="928"/>
      <c r="M578" s="928"/>
      <c r="N578" s="928"/>
      <c r="O578" s="928"/>
      <c r="P578" s="928"/>
      <c r="Q578" s="928"/>
      <c r="R578" s="928"/>
      <c r="S578" s="928"/>
      <c r="T578" s="928"/>
      <c r="U578" s="928"/>
      <c r="V578" s="928"/>
      <c r="W578" s="928"/>
      <c r="X578" s="928"/>
    </row>
    <row r="579">
      <c r="A579" s="928"/>
      <c r="B579" s="928"/>
      <c r="C579" s="928"/>
      <c r="D579" s="928"/>
      <c r="E579" s="928"/>
      <c r="F579" s="928"/>
      <c r="G579" s="928"/>
      <c r="H579" s="928"/>
      <c r="I579" s="928"/>
      <c r="J579" s="928"/>
      <c r="K579" s="928"/>
      <c r="L579" s="928"/>
      <c r="M579" s="928"/>
      <c r="N579" s="928"/>
      <c r="O579" s="928"/>
      <c r="P579" s="928"/>
      <c r="Q579" s="928"/>
      <c r="R579" s="928"/>
      <c r="S579" s="928"/>
      <c r="T579" s="928"/>
      <c r="U579" s="928"/>
      <c r="V579" s="928"/>
      <c r="W579" s="928"/>
      <c r="X579" s="928"/>
    </row>
    <row r="580">
      <c r="A580" s="928"/>
      <c r="B580" s="928"/>
      <c r="C580" s="928"/>
      <c r="D580" s="928"/>
      <c r="E580" s="928"/>
      <c r="F580" s="928"/>
      <c r="G580" s="928"/>
      <c r="H580" s="928"/>
      <c r="I580" s="928"/>
      <c r="J580" s="928"/>
      <c r="K580" s="928"/>
      <c r="L580" s="928"/>
      <c r="M580" s="928"/>
      <c r="N580" s="928"/>
      <c r="O580" s="928"/>
      <c r="P580" s="928"/>
      <c r="Q580" s="928"/>
      <c r="R580" s="928"/>
      <c r="S580" s="928"/>
      <c r="T580" s="928"/>
      <c r="U580" s="928"/>
      <c r="V580" s="928"/>
      <c r="W580" s="928"/>
      <c r="X580" s="928"/>
    </row>
    <row r="581">
      <c r="A581" s="928"/>
      <c r="B581" s="928"/>
      <c r="C581" s="928"/>
      <c r="D581" s="928"/>
      <c r="E581" s="928"/>
      <c r="F581" s="928"/>
      <c r="G581" s="928"/>
      <c r="H581" s="928"/>
      <c r="I581" s="928"/>
      <c r="J581" s="928"/>
      <c r="K581" s="928"/>
      <c r="L581" s="928"/>
      <c r="M581" s="928"/>
      <c r="N581" s="928"/>
      <c r="O581" s="928"/>
      <c r="P581" s="928"/>
      <c r="Q581" s="928"/>
      <c r="R581" s="928"/>
      <c r="S581" s="928"/>
      <c r="T581" s="928"/>
      <c r="U581" s="928"/>
      <c r="V581" s="928"/>
      <c r="W581" s="928"/>
      <c r="X581" s="928"/>
    </row>
    <row r="582">
      <c r="A582" s="928"/>
      <c r="B582" s="928"/>
      <c r="C582" s="928"/>
      <c r="D582" s="928"/>
      <c r="E582" s="928"/>
      <c r="F582" s="928"/>
      <c r="G582" s="928"/>
      <c r="H582" s="928"/>
      <c r="I582" s="928"/>
      <c r="J582" s="928"/>
      <c r="K582" s="928"/>
      <c r="L582" s="928"/>
      <c r="M582" s="928"/>
      <c r="N582" s="928"/>
      <c r="O582" s="928"/>
      <c r="P582" s="928"/>
      <c r="Q582" s="928"/>
      <c r="R582" s="928"/>
      <c r="S582" s="928"/>
      <c r="T582" s="928"/>
      <c r="U582" s="928"/>
      <c r="V582" s="928"/>
      <c r="W582" s="928"/>
      <c r="X582" s="928"/>
    </row>
    <row r="583">
      <c r="A583" s="928"/>
      <c r="B583" s="928"/>
      <c r="C583" s="928"/>
      <c r="D583" s="928"/>
      <c r="E583" s="928"/>
      <c r="F583" s="928"/>
      <c r="G583" s="928"/>
      <c r="H583" s="928"/>
      <c r="I583" s="928"/>
      <c r="J583" s="928"/>
      <c r="K583" s="928"/>
      <c r="L583" s="928"/>
      <c r="M583" s="928"/>
      <c r="N583" s="928"/>
      <c r="O583" s="928"/>
      <c r="P583" s="928"/>
      <c r="Q583" s="928"/>
      <c r="R583" s="928"/>
      <c r="S583" s="928"/>
      <c r="T583" s="928"/>
      <c r="U583" s="928"/>
      <c r="V583" s="928"/>
      <c r="W583" s="928"/>
      <c r="X583" s="928"/>
    </row>
    <row r="584">
      <c r="A584" s="928"/>
      <c r="B584" s="928"/>
      <c r="C584" s="928"/>
      <c r="D584" s="928"/>
      <c r="E584" s="928"/>
      <c r="F584" s="928"/>
      <c r="G584" s="928"/>
      <c r="H584" s="928"/>
      <c r="I584" s="928"/>
      <c r="J584" s="928"/>
      <c r="K584" s="928"/>
      <c r="L584" s="928"/>
      <c r="M584" s="928"/>
      <c r="N584" s="928"/>
      <c r="O584" s="928"/>
      <c r="P584" s="928"/>
      <c r="Q584" s="928"/>
      <c r="R584" s="928"/>
      <c r="S584" s="928"/>
      <c r="T584" s="928"/>
      <c r="U584" s="928"/>
      <c r="V584" s="928"/>
      <c r="W584" s="928"/>
      <c r="X584" s="928"/>
    </row>
    <row r="585">
      <c r="A585" s="928"/>
      <c r="B585" s="928"/>
      <c r="C585" s="928"/>
      <c r="D585" s="928"/>
      <c r="E585" s="928"/>
      <c r="F585" s="928"/>
      <c r="G585" s="928"/>
      <c r="H585" s="928"/>
      <c r="I585" s="928"/>
      <c r="J585" s="928"/>
      <c r="K585" s="928"/>
      <c r="L585" s="928"/>
      <c r="M585" s="928"/>
      <c r="N585" s="928"/>
      <c r="O585" s="928"/>
      <c r="P585" s="928"/>
      <c r="Q585" s="928"/>
      <c r="R585" s="928"/>
      <c r="S585" s="928"/>
      <c r="T585" s="928"/>
      <c r="U585" s="928"/>
      <c r="V585" s="928"/>
      <c r="W585" s="928"/>
      <c r="X585" s="928"/>
    </row>
    <row r="586">
      <c r="A586" s="928"/>
      <c r="B586" s="928"/>
      <c r="C586" s="928"/>
      <c r="D586" s="928"/>
      <c r="E586" s="928"/>
      <c r="F586" s="928"/>
      <c r="G586" s="928"/>
      <c r="H586" s="928"/>
      <c r="I586" s="928"/>
      <c r="J586" s="928"/>
      <c r="K586" s="928"/>
      <c r="L586" s="928"/>
      <c r="M586" s="928"/>
      <c r="N586" s="928"/>
      <c r="O586" s="928"/>
      <c r="P586" s="928"/>
      <c r="Q586" s="928"/>
      <c r="R586" s="928"/>
      <c r="S586" s="928"/>
      <c r="T586" s="928"/>
      <c r="U586" s="928"/>
      <c r="V586" s="928"/>
      <c r="W586" s="928"/>
      <c r="X586" s="928"/>
    </row>
    <row r="587">
      <c r="A587" s="928"/>
      <c r="B587" s="928"/>
      <c r="C587" s="928"/>
      <c r="D587" s="928"/>
      <c r="E587" s="928"/>
      <c r="F587" s="928"/>
      <c r="G587" s="928"/>
      <c r="H587" s="928"/>
      <c r="I587" s="928"/>
      <c r="J587" s="928"/>
      <c r="K587" s="928"/>
      <c r="L587" s="928"/>
      <c r="M587" s="928"/>
      <c r="N587" s="928"/>
      <c r="O587" s="928"/>
      <c r="P587" s="928"/>
      <c r="Q587" s="928"/>
      <c r="R587" s="928"/>
      <c r="S587" s="928"/>
      <c r="T587" s="928"/>
      <c r="U587" s="928"/>
      <c r="V587" s="928"/>
      <c r="W587" s="928"/>
      <c r="X587" s="928"/>
    </row>
    <row r="588">
      <c r="A588" s="928"/>
      <c r="B588" s="928"/>
      <c r="C588" s="928"/>
      <c r="D588" s="928"/>
      <c r="E588" s="928"/>
      <c r="F588" s="928"/>
      <c r="G588" s="928"/>
      <c r="H588" s="928"/>
      <c r="I588" s="928"/>
      <c r="J588" s="928"/>
      <c r="K588" s="928"/>
      <c r="L588" s="928"/>
      <c r="M588" s="928"/>
      <c r="N588" s="928"/>
      <c r="O588" s="928"/>
      <c r="P588" s="928"/>
      <c r="Q588" s="928"/>
      <c r="R588" s="928"/>
      <c r="S588" s="928"/>
      <c r="T588" s="928"/>
      <c r="U588" s="928"/>
      <c r="V588" s="928"/>
      <c r="W588" s="928"/>
      <c r="X588" s="928"/>
    </row>
    <row r="589">
      <c r="A589" s="928"/>
      <c r="B589" s="928"/>
      <c r="C589" s="928"/>
      <c r="D589" s="928"/>
      <c r="E589" s="928"/>
      <c r="F589" s="928"/>
      <c r="G589" s="928"/>
      <c r="H589" s="928"/>
      <c r="I589" s="928"/>
      <c r="J589" s="928"/>
      <c r="K589" s="928"/>
      <c r="L589" s="928"/>
      <c r="M589" s="928"/>
      <c r="N589" s="928"/>
      <c r="O589" s="928"/>
      <c r="P589" s="928"/>
      <c r="Q589" s="928"/>
      <c r="R589" s="928"/>
      <c r="S589" s="928"/>
      <c r="T589" s="928"/>
      <c r="U589" s="928"/>
      <c r="V589" s="928"/>
      <c r="W589" s="928"/>
      <c r="X589" s="928"/>
    </row>
    <row r="590">
      <c r="A590" s="928"/>
      <c r="B590" s="928"/>
      <c r="C590" s="928"/>
      <c r="D590" s="928"/>
      <c r="E590" s="928"/>
      <c r="F590" s="928"/>
      <c r="G590" s="928"/>
      <c r="H590" s="928"/>
      <c r="I590" s="928"/>
      <c r="J590" s="928"/>
      <c r="K590" s="928"/>
      <c r="L590" s="928"/>
      <c r="M590" s="928"/>
      <c r="N590" s="928"/>
      <c r="O590" s="928"/>
      <c r="P590" s="928"/>
      <c r="Q590" s="928"/>
      <c r="R590" s="928"/>
      <c r="S590" s="928"/>
      <c r="T590" s="928"/>
      <c r="U590" s="928"/>
      <c r="V590" s="928"/>
      <c r="W590" s="928"/>
      <c r="X590" s="928"/>
    </row>
    <row r="591">
      <c r="A591" s="928"/>
      <c r="B591" s="928"/>
      <c r="C591" s="928"/>
      <c r="D591" s="928"/>
      <c r="E591" s="928"/>
      <c r="F591" s="928"/>
      <c r="G591" s="928"/>
      <c r="H591" s="928"/>
      <c r="I591" s="928"/>
      <c r="J591" s="928"/>
      <c r="K591" s="928"/>
      <c r="L591" s="928"/>
      <c r="M591" s="928"/>
      <c r="N591" s="928"/>
      <c r="O591" s="928"/>
      <c r="P591" s="928"/>
      <c r="Q591" s="928"/>
      <c r="R591" s="928"/>
      <c r="S591" s="928"/>
      <c r="T591" s="928"/>
      <c r="U591" s="928"/>
      <c r="V591" s="928"/>
      <c r="W591" s="928"/>
      <c r="X591" s="928"/>
    </row>
    <row r="592">
      <c r="A592" s="928"/>
      <c r="B592" s="928"/>
      <c r="C592" s="928"/>
      <c r="D592" s="928"/>
      <c r="E592" s="928"/>
      <c r="F592" s="928"/>
      <c r="G592" s="928"/>
      <c r="H592" s="928"/>
      <c r="I592" s="928"/>
      <c r="J592" s="928"/>
      <c r="K592" s="928"/>
      <c r="L592" s="928"/>
      <c r="M592" s="928"/>
      <c r="N592" s="928"/>
      <c r="O592" s="928"/>
      <c r="P592" s="928"/>
      <c r="Q592" s="928"/>
      <c r="R592" s="928"/>
      <c r="S592" s="928"/>
      <c r="T592" s="928"/>
      <c r="U592" s="928"/>
      <c r="V592" s="928"/>
      <c r="W592" s="928"/>
      <c r="X592" s="928"/>
    </row>
    <row r="593">
      <c r="A593" s="928"/>
      <c r="B593" s="928"/>
      <c r="C593" s="928"/>
      <c r="D593" s="928"/>
      <c r="E593" s="928"/>
      <c r="F593" s="928"/>
      <c r="G593" s="928"/>
      <c r="H593" s="928"/>
      <c r="I593" s="928"/>
      <c r="J593" s="928"/>
      <c r="K593" s="928"/>
      <c r="L593" s="928"/>
      <c r="M593" s="928"/>
      <c r="N593" s="928"/>
      <c r="O593" s="928"/>
      <c r="P593" s="928"/>
      <c r="Q593" s="928"/>
      <c r="R593" s="928"/>
      <c r="S593" s="928"/>
      <c r="T593" s="928"/>
      <c r="U593" s="928"/>
      <c r="V593" s="928"/>
      <c r="W593" s="928"/>
      <c r="X593" s="928"/>
    </row>
    <row r="594">
      <c r="A594" s="928"/>
      <c r="B594" s="928"/>
      <c r="C594" s="928"/>
      <c r="D594" s="928"/>
      <c r="E594" s="928"/>
      <c r="F594" s="928"/>
      <c r="G594" s="928"/>
      <c r="H594" s="928"/>
      <c r="I594" s="928"/>
      <c r="J594" s="928"/>
      <c r="K594" s="928"/>
      <c r="L594" s="928"/>
      <c r="M594" s="928"/>
      <c r="N594" s="928"/>
      <c r="O594" s="928"/>
      <c r="P594" s="928"/>
      <c r="Q594" s="928"/>
      <c r="R594" s="928"/>
      <c r="S594" s="928"/>
      <c r="T594" s="928"/>
      <c r="U594" s="928"/>
      <c r="V594" s="928"/>
      <c r="W594" s="928"/>
      <c r="X594" s="928"/>
    </row>
    <row r="595">
      <c r="A595" s="928"/>
      <c r="B595" s="928"/>
      <c r="C595" s="928"/>
      <c r="D595" s="928"/>
      <c r="E595" s="928"/>
      <c r="F595" s="928"/>
      <c r="G595" s="928"/>
      <c r="H595" s="928"/>
      <c r="I595" s="928"/>
      <c r="J595" s="928"/>
      <c r="K595" s="928"/>
      <c r="L595" s="928"/>
      <c r="M595" s="928"/>
      <c r="N595" s="928"/>
      <c r="O595" s="928"/>
      <c r="P595" s="928"/>
      <c r="Q595" s="928"/>
      <c r="R595" s="928"/>
      <c r="S595" s="928"/>
      <c r="T595" s="928"/>
      <c r="U595" s="928"/>
      <c r="V595" s="928"/>
      <c r="W595" s="928"/>
      <c r="X595" s="928"/>
    </row>
    <row r="596">
      <c r="A596" s="928"/>
      <c r="B596" s="928"/>
      <c r="C596" s="928"/>
      <c r="D596" s="928"/>
      <c r="E596" s="928"/>
      <c r="F596" s="928"/>
      <c r="G596" s="928"/>
      <c r="H596" s="928"/>
      <c r="I596" s="928"/>
      <c r="J596" s="928"/>
      <c r="K596" s="928"/>
      <c r="L596" s="928"/>
      <c r="M596" s="928"/>
      <c r="N596" s="928"/>
      <c r="O596" s="928"/>
      <c r="P596" s="928"/>
      <c r="Q596" s="928"/>
      <c r="R596" s="928"/>
      <c r="S596" s="928"/>
      <c r="T596" s="928"/>
      <c r="U596" s="928"/>
      <c r="V596" s="928"/>
      <c r="W596" s="928"/>
      <c r="X596" s="928"/>
    </row>
    <row r="597">
      <c r="A597" s="928"/>
      <c r="B597" s="928"/>
      <c r="C597" s="928"/>
      <c r="D597" s="928"/>
      <c r="E597" s="928"/>
      <c r="F597" s="928"/>
      <c r="G597" s="928"/>
      <c r="H597" s="928"/>
      <c r="I597" s="928"/>
      <c r="J597" s="928"/>
      <c r="K597" s="928"/>
      <c r="L597" s="928"/>
      <c r="M597" s="928"/>
      <c r="N597" s="928"/>
      <c r="O597" s="928"/>
      <c r="P597" s="928"/>
      <c r="Q597" s="928"/>
      <c r="R597" s="928"/>
      <c r="S597" s="928"/>
      <c r="T597" s="928"/>
      <c r="U597" s="928"/>
      <c r="V597" s="928"/>
      <c r="W597" s="928"/>
      <c r="X597" s="928"/>
    </row>
    <row r="598">
      <c r="A598" s="928"/>
      <c r="B598" s="928"/>
      <c r="C598" s="928"/>
      <c r="D598" s="928"/>
      <c r="E598" s="928"/>
      <c r="F598" s="928"/>
      <c r="G598" s="928"/>
      <c r="H598" s="928"/>
      <c r="I598" s="928"/>
      <c r="J598" s="928"/>
      <c r="K598" s="928"/>
      <c r="L598" s="928"/>
      <c r="M598" s="928"/>
      <c r="N598" s="928"/>
      <c r="O598" s="928"/>
      <c r="P598" s="928"/>
      <c r="Q598" s="928"/>
      <c r="R598" s="928"/>
      <c r="S598" s="928"/>
      <c r="T598" s="928"/>
      <c r="U598" s="928"/>
      <c r="V598" s="928"/>
      <c r="W598" s="928"/>
      <c r="X598" s="928"/>
    </row>
    <row r="599">
      <c r="A599" s="928"/>
      <c r="B599" s="928"/>
      <c r="C599" s="928"/>
      <c r="D599" s="928"/>
      <c r="E599" s="928"/>
      <c r="F599" s="928"/>
      <c r="G599" s="928"/>
      <c r="H599" s="928"/>
      <c r="I599" s="928"/>
      <c r="J599" s="928"/>
      <c r="K599" s="928"/>
      <c r="L599" s="928"/>
      <c r="M599" s="928"/>
      <c r="N599" s="928"/>
      <c r="O599" s="928"/>
      <c r="P599" s="928"/>
      <c r="Q599" s="928"/>
      <c r="R599" s="928"/>
      <c r="S599" s="928"/>
      <c r="T599" s="928"/>
      <c r="U599" s="928"/>
      <c r="V599" s="928"/>
      <c r="W599" s="928"/>
      <c r="X599" s="928"/>
    </row>
    <row r="600">
      <c r="A600" s="928"/>
      <c r="B600" s="928"/>
      <c r="C600" s="928"/>
      <c r="D600" s="928"/>
      <c r="E600" s="928"/>
      <c r="F600" s="928"/>
      <c r="G600" s="928"/>
      <c r="H600" s="928"/>
      <c r="I600" s="928"/>
      <c r="J600" s="928"/>
      <c r="K600" s="928"/>
      <c r="L600" s="928"/>
      <c r="M600" s="928"/>
      <c r="N600" s="928"/>
      <c r="O600" s="928"/>
      <c r="P600" s="928"/>
      <c r="Q600" s="928"/>
      <c r="R600" s="928"/>
      <c r="S600" s="928"/>
      <c r="T600" s="928"/>
      <c r="U600" s="928"/>
      <c r="V600" s="928"/>
      <c r="W600" s="928"/>
      <c r="X600" s="928"/>
    </row>
    <row r="601">
      <c r="A601" s="928"/>
      <c r="B601" s="928"/>
      <c r="C601" s="928"/>
      <c r="D601" s="928"/>
      <c r="E601" s="928"/>
      <c r="F601" s="928"/>
      <c r="G601" s="928"/>
      <c r="H601" s="928"/>
      <c r="I601" s="928"/>
      <c r="J601" s="928"/>
      <c r="K601" s="928"/>
      <c r="L601" s="928"/>
      <c r="M601" s="928"/>
      <c r="N601" s="928"/>
      <c r="O601" s="928"/>
      <c r="P601" s="928"/>
      <c r="Q601" s="928"/>
      <c r="R601" s="928"/>
      <c r="S601" s="928"/>
      <c r="T601" s="928"/>
      <c r="U601" s="928"/>
      <c r="V601" s="928"/>
      <c r="W601" s="928"/>
      <c r="X601" s="928"/>
    </row>
    <row r="602">
      <c r="A602" s="928"/>
      <c r="B602" s="928"/>
      <c r="C602" s="928"/>
      <c r="D602" s="928"/>
      <c r="E602" s="928"/>
      <c r="F602" s="928"/>
      <c r="G602" s="928"/>
      <c r="H602" s="928"/>
      <c r="I602" s="928"/>
      <c r="J602" s="928"/>
      <c r="K602" s="928"/>
      <c r="L602" s="928"/>
      <c r="M602" s="928"/>
      <c r="N602" s="928"/>
      <c r="O602" s="928"/>
      <c r="P602" s="928"/>
      <c r="Q602" s="928"/>
      <c r="R602" s="928"/>
      <c r="S602" s="928"/>
      <c r="T602" s="928"/>
      <c r="U602" s="928"/>
      <c r="V602" s="928"/>
      <c r="W602" s="928"/>
      <c r="X602" s="928"/>
    </row>
    <row r="603">
      <c r="A603" s="928"/>
      <c r="B603" s="928"/>
      <c r="C603" s="928"/>
      <c r="D603" s="928"/>
      <c r="E603" s="928"/>
      <c r="F603" s="928"/>
      <c r="G603" s="928"/>
      <c r="H603" s="928"/>
      <c r="I603" s="928"/>
      <c r="J603" s="928"/>
      <c r="K603" s="928"/>
      <c r="L603" s="928"/>
      <c r="M603" s="928"/>
      <c r="N603" s="928"/>
      <c r="O603" s="928"/>
      <c r="P603" s="928"/>
      <c r="Q603" s="928"/>
      <c r="R603" s="928"/>
      <c r="S603" s="928"/>
      <c r="T603" s="928"/>
      <c r="U603" s="928"/>
      <c r="V603" s="928"/>
      <c r="W603" s="928"/>
      <c r="X603" s="928"/>
    </row>
    <row r="604">
      <c r="A604" s="928"/>
      <c r="B604" s="928"/>
      <c r="C604" s="928"/>
      <c r="D604" s="928"/>
      <c r="E604" s="928"/>
      <c r="F604" s="928"/>
      <c r="G604" s="928"/>
      <c r="H604" s="928"/>
      <c r="I604" s="928"/>
      <c r="J604" s="928"/>
      <c r="K604" s="928"/>
      <c r="L604" s="928"/>
      <c r="M604" s="928"/>
      <c r="N604" s="928"/>
      <c r="O604" s="928"/>
      <c r="P604" s="928"/>
      <c r="Q604" s="928"/>
      <c r="R604" s="928"/>
      <c r="S604" s="928"/>
      <c r="T604" s="928"/>
      <c r="U604" s="928"/>
      <c r="V604" s="928"/>
      <c r="W604" s="928"/>
      <c r="X604" s="928"/>
    </row>
    <row r="605">
      <c r="A605" s="928"/>
      <c r="B605" s="928"/>
      <c r="C605" s="928"/>
      <c r="D605" s="928"/>
      <c r="E605" s="928"/>
      <c r="F605" s="928"/>
      <c r="G605" s="928"/>
      <c r="H605" s="928"/>
      <c r="I605" s="928"/>
      <c r="J605" s="928"/>
      <c r="K605" s="928"/>
      <c r="L605" s="928"/>
      <c r="M605" s="928"/>
      <c r="N605" s="928"/>
      <c r="O605" s="928"/>
      <c r="P605" s="928"/>
      <c r="Q605" s="928"/>
      <c r="R605" s="928"/>
      <c r="S605" s="928"/>
      <c r="T605" s="928"/>
      <c r="U605" s="928"/>
      <c r="V605" s="928"/>
      <c r="W605" s="928"/>
      <c r="X605" s="928"/>
    </row>
    <row r="606">
      <c r="A606" s="928"/>
      <c r="B606" s="928"/>
      <c r="C606" s="928"/>
      <c r="D606" s="928"/>
      <c r="E606" s="928"/>
      <c r="F606" s="928"/>
      <c r="G606" s="928"/>
      <c r="H606" s="928"/>
      <c r="I606" s="928"/>
      <c r="J606" s="928"/>
      <c r="K606" s="928"/>
      <c r="L606" s="928"/>
      <c r="M606" s="928"/>
      <c r="N606" s="928"/>
      <c r="O606" s="928"/>
      <c r="P606" s="928"/>
      <c r="Q606" s="928"/>
      <c r="R606" s="928"/>
      <c r="S606" s="928"/>
      <c r="T606" s="928"/>
      <c r="U606" s="928"/>
      <c r="V606" s="928"/>
      <c r="W606" s="928"/>
      <c r="X606" s="928"/>
    </row>
    <row r="607">
      <c r="A607" s="928"/>
      <c r="B607" s="928"/>
      <c r="C607" s="928"/>
      <c r="D607" s="928"/>
      <c r="E607" s="928"/>
      <c r="F607" s="928"/>
      <c r="G607" s="928"/>
      <c r="H607" s="928"/>
      <c r="I607" s="928"/>
      <c r="J607" s="928"/>
      <c r="K607" s="928"/>
      <c r="L607" s="928"/>
      <c r="M607" s="928"/>
      <c r="N607" s="928"/>
      <c r="O607" s="928"/>
      <c r="P607" s="928"/>
      <c r="Q607" s="928"/>
      <c r="R607" s="928"/>
      <c r="S607" s="928"/>
      <c r="T607" s="928"/>
      <c r="U607" s="928"/>
      <c r="V607" s="928"/>
      <c r="W607" s="928"/>
      <c r="X607" s="928"/>
    </row>
    <row r="608">
      <c r="A608" s="928"/>
      <c r="B608" s="928"/>
      <c r="C608" s="928"/>
      <c r="D608" s="928"/>
      <c r="E608" s="928"/>
      <c r="F608" s="928"/>
      <c r="G608" s="928"/>
      <c r="H608" s="928"/>
      <c r="I608" s="928"/>
      <c r="J608" s="928"/>
      <c r="K608" s="928"/>
      <c r="L608" s="928"/>
      <c r="M608" s="928"/>
      <c r="N608" s="928"/>
      <c r="O608" s="928"/>
      <c r="P608" s="928"/>
      <c r="Q608" s="928"/>
      <c r="R608" s="928"/>
      <c r="S608" s="928"/>
      <c r="T608" s="928"/>
      <c r="U608" s="928"/>
      <c r="V608" s="928"/>
      <c r="W608" s="928"/>
      <c r="X608" s="928"/>
    </row>
    <row r="609">
      <c r="A609" s="928"/>
      <c r="B609" s="928"/>
      <c r="C609" s="928"/>
      <c r="D609" s="928"/>
      <c r="E609" s="928"/>
      <c r="F609" s="928"/>
      <c r="G609" s="928"/>
      <c r="H609" s="928"/>
      <c r="I609" s="928"/>
      <c r="J609" s="928"/>
      <c r="K609" s="928"/>
      <c r="L609" s="928"/>
      <c r="M609" s="928"/>
      <c r="N609" s="928"/>
      <c r="O609" s="928"/>
      <c r="P609" s="928"/>
      <c r="Q609" s="928"/>
      <c r="R609" s="928"/>
      <c r="S609" s="928"/>
      <c r="T609" s="928"/>
      <c r="U609" s="928"/>
      <c r="V609" s="928"/>
      <c r="W609" s="928"/>
      <c r="X609" s="928"/>
    </row>
    <row r="610">
      <c r="A610" s="928"/>
      <c r="B610" s="928"/>
      <c r="C610" s="928"/>
      <c r="D610" s="928"/>
      <c r="E610" s="928"/>
      <c r="F610" s="928"/>
      <c r="G610" s="928"/>
      <c r="H610" s="928"/>
      <c r="I610" s="928"/>
      <c r="J610" s="928"/>
      <c r="K610" s="928"/>
      <c r="L610" s="928"/>
      <c r="M610" s="928"/>
      <c r="N610" s="928"/>
      <c r="O610" s="928"/>
      <c r="P610" s="928"/>
      <c r="Q610" s="928"/>
      <c r="R610" s="928"/>
      <c r="S610" s="928"/>
      <c r="T610" s="928"/>
      <c r="U610" s="928"/>
      <c r="V610" s="928"/>
      <c r="W610" s="928"/>
      <c r="X610" s="928"/>
    </row>
    <row r="611">
      <c r="A611" s="928"/>
      <c r="B611" s="928"/>
      <c r="C611" s="928"/>
      <c r="D611" s="928"/>
      <c r="E611" s="928"/>
      <c r="F611" s="928"/>
      <c r="G611" s="928"/>
      <c r="H611" s="928"/>
      <c r="I611" s="928"/>
      <c r="J611" s="928"/>
      <c r="K611" s="928"/>
      <c r="L611" s="928"/>
      <c r="M611" s="928"/>
      <c r="N611" s="928"/>
      <c r="O611" s="928"/>
      <c r="P611" s="928"/>
      <c r="Q611" s="928"/>
      <c r="R611" s="928"/>
      <c r="S611" s="928"/>
      <c r="T611" s="928"/>
      <c r="U611" s="928"/>
      <c r="V611" s="928"/>
      <c r="W611" s="928"/>
      <c r="X611" s="928"/>
    </row>
    <row r="612">
      <c r="A612" s="928"/>
      <c r="B612" s="928"/>
      <c r="C612" s="928"/>
      <c r="D612" s="928"/>
      <c r="E612" s="928"/>
      <c r="F612" s="928"/>
      <c r="G612" s="928"/>
      <c r="H612" s="928"/>
      <c r="I612" s="928"/>
      <c r="J612" s="928"/>
      <c r="K612" s="928"/>
      <c r="L612" s="928"/>
      <c r="M612" s="928"/>
      <c r="N612" s="928"/>
      <c r="O612" s="928"/>
      <c r="P612" s="928"/>
      <c r="Q612" s="928"/>
      <c r="R612" s="928"/>
      <c r="S612" s="928"/>
      <c r="T612" s="928"/>
      <c r="U612" s="928"/>
      <c r="V612" s="928"/>
      <c r="W612" s="928"/>
      <c r="X612" s="928"/>
    </row>
    <row r="613">
      <c r="A613" s="928"/>
      <c r="B613" s="928"/>
      <c r="C613" s="928"/>
      <c r="D613" s="928"/>
      <c r="E613" s="928"/>
      <c r="F613" s="928"/>
      <c r="G613" s="928"/>
      <c r="H613" s="928"/>
      <c r="I613" s="928"/>
      <c r="J613" s="928"/>
      <c r="K613" s="928"/>
      <c r="L613" s="928"/>
      <c r="M613" s="928"/>
      <c r="N613" s="928"/>
      <c r="O613" s="928"/>
      <c r="P613" s="928"/>
      <c r="Q613" s="928"/>
      <c r="R613" s="928"/>
      <c r="S613" s="928"/>
      <c r="T613" s="928"/>
      <c r="U613" s="928"/>
      <c r="V613" s="928"/>
      <c r="W613" s="928"/>
      <c r="X613" s="928"/>
    </row>
    <row r="614">
      <c r="A614" s="928"/>
      <c r="B614" s="928"/>
      <c r="C614" s="928"/>
      <c r="D614" s="928"/>
      <c r="E614" s="928"/>
      <c r="F614" s="928"/>
      <c r="G614" s="928"/>
      <c r="H614" s="928"/>
      <c r="I614" s="928"/>
      <c r="J614" s="928"/>
      <c r="K614" s="928"/>
      <c r="L614" s="928"/>
      <c r="M614" s="928"/>
      <c r="N614" s="928"/>
      <c r="O614" s="928"/>
      <c r="P614" s="928"/>
      <c r="Q614" s="928"/>
      <c r="R614" s="928"/>
      <c r="S614" s="928"/>
      <c r="T614" s="928"/>
      <c r="U614" s="928"/>
      <c r="V614" s="928"/>
      <c r="W614" s="928"/>
      <c r="X614" s="928"/>
    </row>
    <row r="615">
      <c r="A615" s="928"/>
      <c r="B615" s="928"/>
      <c r="C615" s="928"/>
      <c r="D615" s="928"/>
      <c r="E615" s="928"/>
      <c r="F615" s="928"/>
      <c r="G615" s="928"/>
      <c r="H615" s="928"/>
      <c r="I615" s="928"/>
      <c r="J615" s="928"/>
      <c r="K615" s="928"/>
      <c r="L615" s="928"/>
      <c r="M615" s="928"/>
      <c r="N615" s="928"/>
      <c r="O615" s="928"/>
      <c r="P615" s="928"/>
      <c r="Q615" s="928"/>
      <c r="R615" s="928"/>
      <c r="S615" s="928"/>
      <c r="T615" s="928"/>
      <c r="U615" s="928"/>
      <c r="V615" s="928"/>
      <c r="W615" s="928"/>
      <c r="X615" s="928"/>
    </row>
    <row r="616">
      <c r="A616" s="928"/>
      <c r="B616" s="928"/>
      <c r="C616" s="928"/>
      <c r="D616" s="928"/>
      <c r="E616" s="928"/>
      <c r="F616" s="928"/>
      <c r="G616" s="928"/>
      <c r="H616" s="928"/>
      <c r="I616" s="928"/>
      <c r="J616" s="928"/>
      <c r="K616" s="928"/>
      <c r="L616" s="928"/>
      <c r="M616" s="928"/>
      <c r="N616" s="928"/>
      <c r="O616" s="928"/>
      <c r="P616" s="928"/>
      <c r="Q616" s="928"/>
      <c r="R616" s="928"/>
      <c r="S616" s="928"/>
      <c r="T616" s="928"/>
      <c r="U616" s="928"/>
      <c r="V616" s="928"/>
      <c r="W616" s="928"/>
      <c r="X616" s="928"/>
    </row>
    <row r="617">
      <c r="A617" s="928"/>
      <c r="B617" s="928"/>
      <c r="C617" s="928"/>
      <c r="D617" s="928"/>
      <c r="E617" s="928"/>
      <c r="F617" s="928"/>
      <c r="G617" s="928"/>
      <c r="H617" s="928"/>
      <c r="I617" s="928"/>
      <c r="J617" s="928"/>
      <c r="K617" s="928"/>
      <c r="L617" s="928"/>
      <c r="M617" s="928"/>
      <c r="N617" s="928"/>
      <c r="O617" s="928"/>
      <c r="P617" s="928"/>
      <c r="Q617" s="928"/>
      <c r="R617" s="928"/>
      <c r="S617" s="928"/>
      <c r="T617" s="928"/>
      <c r="U617" s="928"/>
      <c r="V617" s="928"/>
      <c r="W617" s="928"/>
      <c r="X617" s="928"/>
    </row>
    <row r="618">
      <c r="A618" s="928"/>
      <c r="B618" s="928"/>
      <c r="C618" s="928"/>
      <c r="D618" s="928"/>
      <c r="E618" s="928"/>
      <c r="F618" s="928"/>
      <c r="G618" s="928"/>
      <c r="H618" s="928"/>
      <c r="I618" s="928"/>
      <c r="J618" s="928"/>
      <c r="K618" s="928"/>
      <c r="L618" s="928"/>
      <c r="M618" s="928"/>
      <c r="N618" s="928"/>
      <c r="O618" s="928"/>
      <c r="P618" s="928"/>
      <c r="Q618" s="928"/>
      <c r="R618" s="928"/>
      <c r="S618" s="928"/>
      <c r="T618" s="928"/>
      <c r="U618" s="928"/>
      <c r="V618" s="928"/>
      <c r="W618" s="928"/>
      <c r="X618" s="928"/>
    </row>
    <row r="619">
      <c r="A619" s="928"/>
      <c r="B619" s="928"/>
      <c r="C619" s="928"/>
      <c r="D619" s="928"/>
      <c r="E619" s="928"/>
      <c r="F619" s="928"/>
      <c r="G619" s="928"/>
      <c r="H619" s="928"/>
      <c r="I619" s="928"/>
      <c r="J619" s="928"/>
      <c r="K619" s="928"/>
      <c r="L619" s="928"/>
      <c r="M619" s="928"/>
      <c r="N619" s="928"/>
      <c r="O619" s="928"/>
      <c r="P619" s="928"/>
      <c r="Q619" s="928"/>
      <c r="R619" s="928"/>
      <c r="S619" s="928"/>
      <c r="T619" s="928"/>
      <c r="U619" s="928"/>
      <c r="V619" s="928"/>
      <c r="W619" s="928"/>
      <c r="X619" s="928"/>
    </row>
    <row r="620">
      <c r="A620" s="928"/>
      <c r="B620" s="928"/>
      <c r="C620" s="928"/>
      <c r="D620" s="928"/>
      <c r="E620" s="928"/>
      <c r="F620" s="928"/>
      <c r="G620" s="928"/>
      <c r="H620" s="928"/>
      <c r="I620" s="928"/>
      <c r="J620" s="928"/>
      <c r="K620" s="928"/>
      <c r="L620" s="928"/>
      <c r="M620" s="928"/>
      <c r="N620" s="928"/>
      <c r="O620" s="928"/>
      <c r="P620" s="928"/>
      <c r="Q620" s="928"/>
      <c r="R620" s="928"/>
      <c r="S620" s="928"/>
      <c r="T620" s="928"/>
      <c r="U620" s="928"/>
      <c r="V620" s="928"/>
      <c r="W620" s="928"/>
      <c r="X620" s="928"/>
    </row>
    <row r="621">
      <c r="A621" s="928"/>
      <c r="B621" s="928"/>
      <c r="C621" s="928"/>
      <c r="D621" s="928"/>
      <c r="E621" s="928"/>
      <c r="F621" s="928"/>
      <c r="G621" s="928"/>
      <c r="H621" s="928"/>
      <c r="I621" s="928"/>
      <c r="J621" s="928"/>
      <c r="K621" s="928"/>
      <c r="L621" s="928"/>
      <c r="M621" s="928"/>
      <c r="N621" s="928"/>
      <c r="O621" s="928"/>
      <c r="P621" s="928"/>
      <c r="Q621" s="928"/>
      <c r="R621" s="928"/>
      <c r="S621" s="928"/>
      <c r="T621" s="928"/>
      <c r="U621" s="928"/>
      <c r="V621" s="928"/>
      <c r="W621" s="928"/>
      <c r="X621" s="928"/>
    </row>
    <row r="622">
      <c r="A622" s="928"/>
      <c r="B622" s="928"/>
      <c r="C622" s="928"/>
      <c r="D622" s="928"/>
      <c r="E622" s="928"/>
      <c r="F622" s="928"/>
      <c r="G622" s="928"/>
      <c r="H622" s="928"/>
      <c r="I622" s="928"/>
      <c r="J622" s="928"/>
      <c r="K622" s="928"/>
      <c r="L622" s="928"/>
      <c r="M622" s="928"/>
      <c r="N622" s="928"/>
      <c r="O622" s="928"/>
      <c r="P622" s="928"/>
      <c r="Q622" s="928"/>
      <c r="R622" s="928"/>
      <c r="S622" s="928"/>
      <c r="T622" s="928"/>
      <c r="U622" s="928"/>
      <c r="V622" s="928"/>
      <c r="W622" s="928"/>
      <c r="X622" s="928"/>
    </row>
    <row r="623">
      <c r="A623" s="928"/>
      <c r="B623" s="928"/>
      <c r="C623" s="928"/>
      <c r="D623" s="928"/>
      <c r="E623" s="928"/>
      <c r="F623" s="928"/>
      <c r="G623" s="928"/>
      <c r="H623" s="928"/>
      <c r="I623" s="928"/>
      <c r="J623" s="928"/>
      <c r="K623" s="928"/>
      <c r="L623" s="928"/>
      <c r="M623" s="928"/>
      <c r="N623" s="928"/>
      <c r="O623" s="928"/>
      <c r="P623" s="928"/>
      <c r="Q623" s="928"/>
      <c r="R623" s="928"/>
      <c r="S623" s="928"/>
      <c r="T623" s="928"/>
      <c r="U623" s="928"/>
      <c r="V623" s="928"/>
      <c r="W623" s="928"/>
      <c r="X623" s="928"/>
    </row>
    <row r="624">
      <c r="A624" s="928"/>
      <c r="B624" s="928"/>
      <c r="C624" s="928"/>
      <c r="D624" s="928"/>
      <c r="E624" s="928"/>
      <c r="F624" s="928"/>
      <c r="G624" s="928"/>
      <c r="H624" s="928"/>
      <c r="I624" s="928"/>
      <c r="J624" s="928"/>
      <c r="K624" s="928"/>
      <c r="L624" s="928"/>
      <c r="M624" s="928"/>
      <c r="N624" s="928"/>
      <c r="O624" s="928"/>
      <c r="P624" s="928"/>
      <c r="Q624" s="928"/>
      <c r="R624" s="928"/>
      <c r="S624" s="928"/>
      <c r="T624" s="928"/>
      <c r="U624" s="928"/>
      <c r="V624" s="928"/>
      <c r="W624" s="928"/>
      <c r="X624" s="928"/>
    </row>
    <row r="625">
      <c r="A625" s="928"/>
      <c r="B625" s="928"/>
      <c r="C625" s="928"/>
      <c r="D625" s="928"/>
      <c r="E625" s="928"/>
      <c r="F625" s="928"/>
      <c r="G625" s="928"/>
      <c r="H625" s="928"/>
      <c r="I625" s="928"/>
      <c r="J625" s="928"/>
      <c r="K625" s="928"/>
      <c r="L625" s="928"/>
      <c r="M625" s="928"/>
      <c r="N625" s="928"/>
      <c r="O625" s="928"/>
      <c r="P625" s="928"/>
      <c r="Q625" s="928"/>
      <c r="R625" s="928"/>
      <c r="S625" s="928"/>
      <c r="T625" s="928"/>
      <c r="U625" s="928"/>
      <c r="V625" s="928"/>
      <c r="W625" s="928"/>
      <c r="X625" s="928"/>
    </row>
    <row r="626">
      <c r="A626" s="928"/>
      <c r="B626" s="928"/>
      <c r="C626" s="928"/>
      <c r="D626" s="928"/>
      <c r="E626" s="928"/>
      <c r="F626" s="928"/>
      <c r="G626" s="928"/>
      <c r="H626" s="928"/>
      <c r="I626" s="928"/>
      <c r="J626" s="928"/>
      <c r="K626" s="928"/>
      <c r="L626" s="928"/>
      <c r="M626" s="928"/>
      <c r="N626" s="928"/>
      <c r="O626" s="928"/>
      <c r="P626" s="928"/>
      <c r="Q626" s="928"/>
      <c r="R626" s="928"/>
      <c r="S626" s="928"/>
      <c r="T626" s="928"/>
      <c r="U626" s="928"/>
      <c r="V626" s="928"/>
      <c r="W626" s="928"/>
      <c r="X626" s="928"/>
    </row>
    <row r="627">
      <c r="A627" s="928"/>
      <c r="B627" s="928"/>
      <c r="C627" s="928"/>
      <c r="D627" s="928"/>
      <c r="E627" s="928"/>
      <c r="F627" s="928"/>
      <c r="G627" s="928"/>
      <c r="H627" s="928"/>
      <c r="I627" s="928"/>
      <c r="J627" s="928"/>
      <c r="K627" s="928"/>
      <c r="L627" s="928"/>
      <c r="M627" s="928"/>
      <c r="N627" s="928"/>
      <c r="O627" s="928"/>
      <c r="P627" s="928"/>
      <c r="Q627" s="928"/>
      <c r="R627" s="928"/>
      <c r="S627" s="928"/>
      <c r="T627" s="928"/>
      <c r="U627" s="928"/>
      <c r="V627" s="928"/>
      <c r="W627" s="928"/>
      <c r="X627" s="928"/>
    </row>
    <row r="628">
      <c r="A628" s="928"/>
      <c r="B628" s="928"/>
      <c r="C628" s="928"/>
      <c r="D628" s="928"/>
      <c r="E628" s="928"/>
      <c r="F628" s="928"/>
      <c r="G628" s="928"/>
      <c r="H628" s="928"/>
      <c r="I628" s="928"/>
      <c r="J628" s="928"/>
      <c r="K628" s="928"/>
      <c r="L628" s="928"/>
      <c r="M628" s="928"/>
      <c r="N628" s="928"/>
      <c r="O628" s="928"/>
      <c r="P628" s="928"/>
      <c r="Q628" s="928"/>
      <c r="R628" s="928"/>
      <c r="S628" s="928"/>
      <c r="T628" s="928"/>
      <c r="U628" s="928"/>
      <c r="V628" s="928"/>
      <c r="W628" s="928"/>
      <c r="X628" s="928"/>
    </row>
    <row r="629">
      <c r="A629" s="928"/>
      <c r="B629" s="928"/>
      <c r="C629" s="928"/>
      <c r="D629" s="928"/>
      <c r="E629" s="928"/>
      <c r="F629" s="928"/>
      <c r="G629" s="928"/>
      <c r="H629" s="928"/>
      <c r="I629" s="928"/>
      <c r="J629" s="928"/>
      <c r="K629" s="928"/>
      <c r="L629" s="928"/>
      <c r="M629" s="928"/>
      <c r="N629" s="928"/>
      <c r="O629" s="928"/>
      <c r="P629" s="928"/>
      <c r="Q629" s="928"/>
      <c r="R629" s="928"/>
      <c r="S629" s="928"/>
      <c r="T629" s="928"/>
      <c r="U629" s="928"/>
      <c r="V629" s="928"/>
      <c r="W629" s="928"/>
      <c r="X629" s="928"/>
    </row>
    <row r="630">
      <c r="A630" s="928"/>
      <c r="B630" s="928"/>
      <c r="C630" s="928"/>
      <c r="D630" s="928"/>
      <c r="E630" s="928"/>
      <c r="F630" s="928"/>
      <c r="G630" s="928"/>
      <c r="H630" s="928"/>
      <c r="I630" s="928"/>
      <c r="J630" s="928"/>
      <c r="K630" s="928"/>
      <c r="L630" s="928"/>
      <c r="M630" s="928"/>
      <c r="N630" s="928"/>
      <c r="O630" s="928"/>
      <c r="P630" s="928"/>
      <c r="Q630" s="928"/>
      <c r="R630" s="928"/>
      <c r="S630" s="928"/>
      <c r="T630" s="928"/>
      <c r="U630" s="928"/>
      <c r="V630" s="928"/>
      <c r="W630" s="928"/>
      <c r="X630" s="928"/>
    </row>
    <row r="631">
      <c r="A631" s="928"/>
      <c r="B631" s="928"/>
      <c r="C631" s="928"/>
      <c r="D631" s="928"/>
      <c r="E631" s="928"/>
      <c r="F631" s="928"/>
      <c r="G631" s="928"/>
      <c r="H631" s="928"/>
      <c r="I631" s="928"/>
      <c r="J631" s="928"/>
      <c r="K631" s="928"/>
      <c r="L631" s="928"/>
      <c r="M631" s="928"/>
      <c r="N631" s="928"/>
      <c r="O631" s="928"/>
      <c r="P631" s="928"/>
      <c r="Q631" s="928"/>
      <c r="R631" s="928"/>
      <c r="S631" s="928"/>
      <c r="T631" s="928"/>
      <c r="U631" s="928"/>
      <c r="V631" s="928"/>
      <c r="W631" s="928"/>
      <c r="X631" s="928"/>
    </row>
    <row r="632">
      <c r="A632" s="928"/>
      <c r="B632" s="928"/>
      <c r="C632" s="928"/>
      <c r="D632" s="928"/>
      <c r="E632" s="928"/>
      <c r="F632" s="928"/>
      <c r="G632" s="928"/>
      <c r="H632" s="928"/>
      <c r="I632" s="928"/>
      <c r="J632" s="928"/>
      <c r="K632" s="928"/>
      <c r="L632" s="928"/>
      <c r="M632" s="928"/>
      <c r="N632" s="928"/>
      <c r="O632" s="928"/>
      <c r="P632" s="928"/>
      <c r="Q632" s="928"/>
      <c r="R632" s="928"/>
      <c r="S632" s="928"/>
      <c r="T632" s="928"/>
      <c r="U632" s="928"/>
      <c r="V632" s="928"/>
      <c r="W632" s="928"/>
      <c r="X632" s="928"/>
    </row>
    <row r="633">
      <c r="A633" s="928"/>
      <c r="B633" s="928"/>
      <c r="C633" s="928"/>
      <c r="D633" s="928"/>
      <c r="E633" s="928"/>
      <c r="F633" s="928"/>
      <c r="G633" s="928"/>
      <c r="H633" s="928"/>
      <c r="I633" s="928"/>
      <c r="J633" s="928"/>
      <c r="K633" s="928"/>
      <c r="L633" s="928"/>
      <c r="M633" s="928"/>
      <c r="N633" s="928"/>
      <c r="O633" s="928"/>
      <c r="P633" s="928"/>
      <c r="Q633" s="928"/>
      <c r="R633" s="928"/>
      <c r="S633" s="928"/>
      <c r="T633" s="928"/>
      <c r="U633" s="928"/>
      <c r="V633" s="928"/>
      <c r="W633" s="928"/>
      <c r="X633" s="928"/>
    </row>
    <row r="634">
      <c r="A634" s="928"/>
      <c r="B634" s="928"/>
      <c r="C634" s="928"/>
      <c r="D634" s="928"/>
      <c r="E634" s="928"/>
      <c r="F634" s="928"/>
      <c r="G634" s="928"/>
      <c r="H634" s="928"/>
      <c r="I634" s="928"/>
      <c r="J634" s="928"/>
      <c r="K634" s="928"/>
      <c r="L634" s="928"/>
      <c r="M634" s="928"/>
      <c r="N634" s="928"/>
      <c r="O634" s="928"/>
      <c r="P634" s="928"/>
      <c r="Q634" s="928"/>
      <c r="R634" s="928"/>
      <c r="S634" s="928"/>
      <c r="T634" s="928"/>
      <c r="U634" s="928"/>
      <c r="V634" s="928"/>
      <c r="W634" s="928"/>
      <c r="X634" s="928"/>
    </row>
    <row r="635">
      <c r="A635" s="928"/>
      <c r="B635" s="928"/>
      <c r="C635" s="928"/>
      <c r="D635" s="928"/>
      <c r="E635" s="928"/>
      <c r="F635" s="928"/>
      <c r="G635" s="928"/>
      <c r="H635" s="928"/>
      <c r="I635" s="928"/>
      <c r="J635" s="928"/>
      <c r="K635" s="928"/>
      <c r="L635" s="928"/>
      <c r="M635" s="928"/>
      <c r="N635" s="928"/>
      <c r="O635" s="928"/>
      <c r="P635" s="928"/>
      <c r="Q635" s="928"/>
      <c r="R635" s="928"/>
      <c r="S635" s="928"/>
      <c r="T635" s="928"/>
      <c r="U635" s="928"/>
      <c r="V635" s="928"/>
      <c r="W635" s="928"/>
      <c r="X635" s="928"/>
    </row>
    <row r="636">
      <c r="A636" s="928"/>
      <c r="B636" s="928"/>
      <c r="C636" s="928"/>
      <c r="D636" s="928"/>
      <c r="E636" s="928"/>
      <c r="F636" s="928"/>
      <c r="G636" s="928"/>
      <c r="H636" s="928"/>
      <c r="I636" s="928"/>
      <c r="J636" s="928"/>
      <c r="K636" s="928"/>
      <c r="L636" s="928"/>
      <c r="M636" s="928"/>
      <c r="N636" s="928"/>
      <c r="O636" s="928"/>
      <c r="P636" s="928"/>
      <c r="Q636" s="928"/>
      <c r="R636" s="928"/>
      <c r="S636" s="928"/>
      <c r="T636" s="928"/>
      <c r="U636" s="928"/>
      <c r="V636" s="928"/>
      <c r="W636" s="928"/>
      <c r="X636" s="928"/>
    </row>
    <row r="637">
      <c r="A637" s="928"/>
      <c r="B637" s="928"/>
      <c r="C637" s="928"/>
      <c r="D637" s="928"/>
      <c r="E637" s="928"/>
      <c r="F637" s="928"/>
      <c r="G637" s="928"/>
      <c r="H637" s="928"/>
      <c r="I637" s="928"/>
      <c r="J637" s="928"/>
      <c r="K637" s="928"/>
      <c r="L637" s="928"/>
      <c r="M637" s="928"/>
      <c r="N637" s="928"/>
      <c r="O637" s="928"/>
      <c r="P637" s="928"/>
      <c r="Q637" s="928"/>
      <c r="R637" s="928"/>
      <c r="S637" s="928"/>
      <c r="T637" s="928"/>
      <c r="U637" s="928"/>
      <c r="V637" s="928"/>
      <c r="W637" s="928"/>
      <c r="X637" s="928"/>
    </row>
    <row r="638">
      <c r="A638" s="928"/>
      <c r="B638" s="928"/>
      <c r="C638" s="928"/>
      <c r="D638" s="928"/>
      <c r="E638" s="928"/>
      <c r="F638" s="928"/>
      <c r="G638" s="928"/>
      <c r="H638" s="928"/>
      <c r="I638" s="928"/>
      <c r="J638" s="928"/>
      <c r="K638" s="928"/>
      <c r="L638" s="928"/>
      <c r="M638" s="928"/>
      <c r="N638" s="928"/>
      <c r="O638" s="928"/>
      <c r="P638" s="928"/>
      <c r="Q638" s="928"/>
      <c r="R638" s="928"/>
      <c r="S638" s="928"/>
      <c r="T638" s="928"/>
      <c r="U638" s="928"/>
      <c r="V638" s="928"/>
      <c r="W638" s="928"/>
      <c r="X638" s="928"/>
    </row>
    <row r="639">
      <c r="A639" s="928"/>
      <c r="B639" s="928"/>
      <c r="C639" s="928"/>
      <c r="D639" s="928"/>
      <c r="E639" s="928"/>
      <c r="F639" s="928"/>
      <c r="G639" s="928"/>
      <c r="H639" s="928"/>
      <c r="I639" s="928"/>
      <c r="J639" s="928"/>
      <c r="K639" s="928"/>
      <c r="L639" s="928"/>
      <c r="M639" s="928"/>
      <c r="N639" s="928"/>
      <c r="O639" s="928"/>
      <c r="P639" s="928"/>
      <c r="Q639" s="928"/>
      <c r="R639" s="928"/>
      <c r="S639" s="928"/>
      <c r="T639" s="928"/>
      <c r="U639" s="928"/>
      <c r="V639" s="928"/>
      <c r="W639" s="928"/>
      <c r="X639" s="928"/>
    </row>
    <row r="640">
      <c r="A640" s="928"/>
      <c r="B640" s="928"/>
      <c r="C640" s="928"/>
      <c r="D640" s="928"/>
      <c r="E640" s="928"/>
      <c r="F640" s="928"/>
      <c r="G640" s="928"/>
      <c r="H640" s="928"/>
      <c r="I640" s="928"/>
      <c r="J640" s="928"/>
      <c r="K640" s="928"/>
      <c r="L640" s="928"/>
      <c r="M640" s="928"/>
      <c r="N640" s="928"/>
      <c r="O640" s="928"/>
      <c r="P640" s="928"/>
      <c r="Q640" s="928"/>
      <c r="R640" s="928"/>
      <c r="S640" s="928"/>
      <c r="T640" s="928"/>
      <c r="U640" s="928"/>
      <c r="V640" s="928"/>
      <c r="W640" s="928"/>
      <c r="X640" s="928"/>
    </row>
    <row r="641">
      <c r="A641" s="928"/>
      <c r="B641" s="928"/>
      <c r="C641" s="928"/>
      <c r="D641" s="928"/>
      <c r="E641" s="928"/>
      <c r="F641" s="928"/>
      <c r="G641" s="928"/>
      <c r="H641" s="928"/>
      <c r="I641" s="928"/>
      <c r="J641" s="928"/>
      <c r="K641" s="928"/>
      <c r="L641" s="928"/>
      <c r="M641" s="928"/>
      <c r="N641" s="928"/>
      <c r="O641" s="928"/>
      <c r="P641" s="928"/>
      <c r="Q641" s="928"/>
      <c r="R641" s="928"/>
      <c r="S641" s="928"/>
      <c r="T641" s="928"/>
      <c r="U641" s="928"/>
      <c r="V641" s="928"/>
      <c r="W641" s="928"/>
      <c r="X641" s="928"/>
    </row>
    <row r="642">
      <c r="A642" s="928"/>
      <c r="B642" s="928"/>
      <c r="C642" s="928"/>
      <c r="D642" s="928"/>
      <c r="E642" s="928"/>
      <c r="F642" s="928"/>
      <c r="G642" s="928"/>
      <c r="H642" s="928"/>
      <c r="I642" s="928"/>
      <c r="J642" s="928"/>
      <c r="K642" s="928"/>
      <c r="L642" s="928"/>
      <c r="M642" s="928"/>
      <c r="N642" s="928"/>
      <c r="O642" s="928"/>
      <c r="P642" s="928"/>
      <c r="Q642" s="928"/>
      <c r="R642" s="928"/>
      <c r="S642" s="928"/>
      <c r="T642" s="928"/>
      <c r="U642" s="928"/>
      <c r="V642" s="928"/>
      <c r="W642" s="928"/>
      <c r="X642" s="928"/>
    </row>
    <row r="643">
      <c r="A643" s="928"/>
      <c r="B643" s="928"/>
      <c r="C643" s="928"/>
      <c r="D643" s="928"/>
      <c r="E643" s="928"/>
      <c r="F643" s="928"/>
      <c r="G643" s="928"/>
      <c r="H643" s="928"/>
      <c r="I643" s="928"/>
      <c r="J643" s="928"/>
      <c r="K643" s="928"/>
      <c r="L643" s="928"/>
      <c r="M643" s="928"/>
      <c r="N643" s="928"/>
      <c r="O643" s="928"/>
      <c r="P643" s="928"/>
      <c r="Q643" s="928"/>
      <c r="R643" s="928"/>
      <c r="S643" s="928"/>
      <c r="T643" s="928"/>
      <c r="U643" s="928"/>
      <c r="V643" s="928"/>
      <c r="W643" s="928"/>
      <c r="X643" s="928"/>
    </row>
    <row r="644">
      <c r="A644" s="928"/>
      <c r="B644" s="928"/>
      <c r="C644" s="928"/>
      <c r="D644" s="928"/>
      <c r="E644" s="928"/>
      <c r="F644" s="928"/>
      <c r="G644" s="928"/>
      <c r="H644" s="928"/>
      <c r="I644" s="928"/>
      <c r="J644" s="928"/>
      <c r="K644" s="928"/>
      <c r="L644" s="928"/>
      <c r="M644" s="928"/>
      <c r="N644" s="928"/>
      <c r="O644" s="928"/>
      <c r="P644" s="928"/>
      <c r="Q644" s="928"/>
      <c r="R644" s="928"/>
      <c r="S644" s="928"/>
      <c r="T644" s="928"/>
      <c r="U644" s="928"/>
      <c r="V644" s="928"/>
      <c r="W644" s="928"/>
      <c r="X644" s="928"/>
    </row>
    <row r="645">
      <c r="A645" s="928"/>
      <c r="B645" s="928"/>
      <c r="C645" s="928"/>
      <c r="D645" s="928"/>
      <c r="E645" s="928"/>
      <c r="F645" s="928"/>
      <c r="G645" s="928"/>
      <c r="H645" s="928"/>
      <c r="I645" s="928"/>
      <c r="J645" s="928"/>
      <c r="K645" s="928"/>
      <c r="L645" s="928"/>
      <c r="M645" s="928"/>
      <c r="N645" s="928"/>
      <c r="O645" s="928"/>
      <c r="P645" s="928"/>
      <c r="Q645" s="928"/>
      <c r="R645" s="928"/>
      <c r="S645" s="928"/>
      <c r="T645" s="928"/>
      <c r="U645" s="928"/>
      <c r="V645" s="928"/>
      <c r="W645" s="928"/>
      <c r="X645" s="928"/>
    </row>
    <row r="646">
      <c r="A646" s="928"/>
      <c r="B646" s="928"/>
      <c r="C646" s="928"/>
      <c r="D646" s="928"/>
      <c r="E646" s="928"/>
      <c r="F646" s="928"/>
      <c r="G646" s="928"/>
      <c r="H646" s="928"/>
      <c r="I646" s="928"/>
      <c r="J646" s="928"/>
      <c r="K646" s="928"/>
      <c r="L646" s="928"/>
      <c r="M646" s="928"/>
      <c r="N646" s="928"/>
      <c r="O646" s="928"/>
      <c r="P646" s="928"/>
      <c r="Q646" s="928"/>
      <c r="R646" s="928"/>
      <c r="S646" s="928"/>
      <c r="T646" s="928"/>
      <c r="U646" s="928"/>
      <c r="V646" s="928"/>
      <c r="W646" s="928"/>
      <c r="X646" s="928"/>
    </row>
    <row r="647">
      <c r="A647" s="928"/>
      <c r="B647" s="928"/>
      <c r="C647" s="928"/>
      <c r="D647" s="928"/>
      <c r="E647" s="928"/>
      <c r="F647" s="928"/>
      <c r="G647" s="928"/>
      <c r="H647" s="928"/>
      <c r="I647" s="928"/>
      <c r="J647" s="928"/>
      <c r="K647" s="928"/>
      <c r="L647" s="928"/>
      <c r="M647" s="928"/>
      <c r="N647" s="928"/>
      <c r="O647" s="928"/>
      <c r="P647" s="928"/>
      <c r="Q647" s="928"/>
      <c r="R647" s="928"/>
      <c r="S647" s="928"/>
      <c r="T647" s="928"/>
      <c r="U647" s="928"/>
      <c r="V647" s="928"/>
      <c r="W647" s="928"/>
      <c r="X647" s="928"/>
    </row>
    <row r="648">
      <c r="A648" s="928"/>
      <c r="B648" s="928"/>
      <c r="C648" s="928"/>
      <c r="D648" s="928"/>
      <c r="E648" s="928"/>
      <c r="F648" s="928"/>
      <c r="G648" s="928"/>
      <c r="H648" s="928"/>
      <c r="I648" s="928"/>
      <c r="J648" s="928"/>
      <c r="K648" s="928"/>
      <c r="L648" s="928"/>
      <c r="M648" s="928"/>
      <c r="N648" s="928"/>
      <c r="O648" s="928"/>
      <c r="P648" s="928"/>
      <c r="Q648" s="928"/>
      <c r="R648" s="928"/>
      <c r="S648" s="928"/>
      <c r="T648" s="928"/>
      <c r="U648" s="928"/>
      <c r="V648" s="928"/>
      <c r="W648" s="928"/>
      <c r="X648" s="928"/>
    </row>
    <row r="649">
      <c r="A649" s="928"/>
      <c r="B649" s="928"/>
      <c r="C649" s="928"/>
      <c r="D649" s="928"/>
      <c r="E649" s="928"/>
      <c r="F649" s="928"/>
      <c r="G649" s="928"/>
      <c r="H649" s="928"/>
      <c r="I649" s="928"/>
      <c r="J649" s="928"/>
      <c r="K649" s="928"/>
      <c r="L649" s="928"/>
      <c r="M649" s="928"/>
      <c r="N649" s="928"/>
      <c r="O649" s="928"/>
      <c r="P649" s="928"/>
      <c r="Q649" s="928"/>
      <c r="R649" s="928"/>
      <c r="S649" s="928"/>
      <c r="T649" s="928"/>
      <c r="U649" s="928"/>
      <c r="V649" s="928"/>
      <c r="W649" s="928"/>
      <c r="X649" s="928"/>
    </row>
    <row r="650">
      <c r="A650" s="928"/>
      <c r="B650" s="928"/>
      <c r="C650" s="928"/>
      <c r="D650" s="928"/>
      <c r="E650" s="928"/>
      <c r="F650" s="928"/>
      <c r="G650" s="928"/>
      <c r="H650" s="928"/>
      <c r="I650" s="928"/>
      <c r="J650" s="928"/>
      <c r="K650" s="928"/>
      <c r="L650" s="928"/>
      <c r="M650" s="928"/>
      <c r="N650" s="928"/>
      <c r="O650" s="928"/>
      <c r="P650" s="928"/>
      <c r="Q650" s="928"/>
      <c r="R650" s="928"/>
      <c r="S650" s="928"/>
      <c r="T650" s="928"/>
      <c r="U650" s="928"/>
      <c r="V650" s="928"/>
      <c r="W650" s="928"/>
      <c r="X650" s="928"/>
    </row>
    <row r="651">
      <c r="A651" s="928"/>
      <c r="B651" s="928"/>
      <c r="C651" s="928"/>
      <c r="D651" s="928"/>
      <c r="E651" s="928"/>
      <c r="F651" s="928"/>
      <c r="G651" s="928"/>
      <c r="H651" s="928"/>
      <c r="I651" s="928"/>
      <c r="J651" s="928"/>
      <c r="K651" s="928"/>
      <c r="L651" s="928"/>
      <c r="M651" s="928"/>
      <c r="N651" s="928"/>
      <c r="O651" s="928"/>
      <c r="P651" s="928"/>
      <c r="Q651" s="928"/>
      <c r="R651" s="928"/>
      <c r="S651" s="928"/>
      <c r="T651" s="928"/>
      <c r="U651" s="928"/>
      <c r="V651" s="928"/>
      <c r="W651" s="928"/>
      <c r="X651" s="928"/>
    </row>
    <row r="652">
      <c r="A652" s="928"/>
      <c r="B652" s="928"/>
      <c r="C652" s="928"/>
      <c r="D652" s="928"/>
      <c r="E652" s="928"/>
      <c r="F652" s="928"/>
      <c r="G652" s="928"/>
      <c r="H652" s="928"/>
      <c r="I652" s="928"/>
      <c r="J652" s="928"/>
      <c r="K652" s="928"/>
      <c r="L652" s="928"/>
      <c r="M652" s="928"/>
      <c r="N652" s="928"/>
      <c r="O652" s="928"/>
      <c r="P652" s="928"/>
      <c r="Q652" s="928"/>
      <c r="R652" s="928"/>
      <c r="S652" s="928"/>
      <c r="T652" s="928"/>
      <c r="U652" s="928"/>
      <c r="V652" s="928"/>
      <c r="W652" s="928"/>
      <c r="X652" s="928"/>
    </row>
    <row r="653">
      <c r="A653" s="928"/>
      <c r="B653" s="928"/>
      <c r="C653" s="928"/>
      <c r="D653" s="928"/>
      <c r="E653" s="928"/>
      <c r="F653" s="928"/>
      <c r="G653" s="928"/>
      <c r="H653" s="928"/>
      <c r="I653" s="928"/>
      <c r="J653" s="928"/>
      <c r="K653" s="928"/>
      <c r="L653" s="928"/>
      <c r="M653" s="928"/>
      <c r="N653" s="928"/>
      <c r="O653" s="928"/>
      <c r="P653" s="928"/>
      <c r="Q653" s="928"/>
      <c r="R653" s="928"/>
      <c r="S653" s="928"/>
      <c r="T653" s="928"/>
      <c r="U653" s="928"/>
      <c r="V653" s="928"/>
      <c r="W653" s="928"/>
      <c r="X653" s="928"/>
    </row>
    <row r="654">
      <c r="A654" s="928"/>
      <c r="B654" s="928"/>
      <c r="C654" s="928"/>
      <c r="D654" s="928"/>
      <c r="E654" s="928"/>
      <c r="F654" s="928"/>
      <c r="G654" s="928"/>
      <c r="H654" s="928"/>
      <c r="I654" s="928"/>
      <c r="J654" s="928"/>
      <c r="K654" s="928"/>
      <c r="L654" s="928"/>
      <c r="M654" s="928"/>
      <c r="N654" s="928"/>
      <c r="O654" s="928"/>
      <c r="P654" s="928"/>
      <c r="Q654" s="928"/>
      <c r="R654" s="928"/>
      <c r="S654" s="928"/>
      <c r="T654" s="928"/>
      <c r="U654" s="928"/>
      <c r="V654" s="928"/>
      <c r="W654" s="928"/>
      <c r="X654" s="928"/>
    </row>
    <row r="655">
      <c r="A655" s="928"/>
      <c r="B655" s="928"/>
      <c r="C655" s="928"/>
      <c r="D655" s="928"/>
      <c r="E655" s="928"/>
      <c r="F655" s="928"/>
      <c r="G655" s="928"/>
      <c r="H655" s="928"/>
      <c r="I655" s="928"/>
      <c r="J655" s="928"/>
      <c r="K655" s="928"/>
      <c r="L655" s="928"/>
      <c r="M655" s="928"/>
      <c r="N655" s="928"/>
      <c r="O655" s="928"/>
      <c r="P655" s="928"/>
      <c r="Q655" s="928"/>
      <c r="R655" s="928"/>
      <c r="S655" s="928"/>
      <c r="T655" s="928"/>
      <c r="U655" s="928"/>
      <c r="V655" s="928"/>
      <c r="W655" s="928"/>
      <c r="X655" s="928"/>
    </row>
    <row r="656">
      <c r="A656" s="928"/>
      <c r="B656" s="928"/>
      <c r="C656" s="928"/>
      <c r="D656" s="928"/>
      <c r="E656" s="928"/>
      <c r="F656" s="928"/>
      <c r="G656" s="928"/>
      <c r="H656" s="928"/>
      <c r="I656" s="928"/>
      <c r="J656" s="928"/>
      <c r="K656" s="928"/>
      <c r="L656" s="928"/>
      <c r="M656" s="928"/>
      <c r="N656" s="928"/>
      <c r="O656" s="928"/>
      <c r="P656" s="928"/>
      <c r="Q656" s="928"/>
      <c r="R656" s="928"/>
      <c r="S656" s="928"/>
      <c r="T656" s="928"/>
      <c r="U656" s="928"/>
      <c r="V656" s="928"/>
      <c r="W656" s="928"/>
      <c r="X656" s="928"/>
    </row>
    <row r="657">
      <c r="A657" s="928"/>
      <c r="B657" s="928"/>
      <c r="C657" s="928"/>
      <c r="D657" s="928"/>
      <c r="E657" s="928"/>
      <c r="F657" s="928"/>
      <c r="G657" s="928"/>
      <c r="H657" s="928"/>
      <c r="I657" s="928"/>
      <c r="J657" s="928"/>
      <c r="K657" s="928"/>
      <c r="L657" s="928"/>
      <c r="M657" s="928"/>
      <c r="N657" s="928"/>
      <c r="O657" s="928"/>
      <c r="P657" s="928"/>
      <c r="Q657" s="928"/>
      <c r="R657" s="928"/>
      <c r="S657" s="928"/>
      <c r="T657" s="928"/>
      <c r="U657" s="928"/>
      <c r="V657" s="928"/>
      <c r="W657" s="928"/>
      <c r="X657" s="928"/>
    </row>
    <row r="658">
      <c r="A658" s="928"/>
      <c r="B658" s="928"/>
      <c r="C658" s="928"/>
      <c r="D658" s="928"/>
      <c r="E658" s="928"/>
      <c r="F658" s="928"/>
      <c r="G658" s="928"/>
      <c r="H658" s="928"/>
      <c r="I658" s="928"/>
      <c r="J658" s="928"/>
      <c r="K658" s="928"/>
      <c r="L658" s="928"/>
      <c r="M658" s="928"/>
      <c r="N658" s="928"/>
      <c r="O658" s="928"/>
      <c r="P658" s="928"/>
      <c r="Q658" s="928"/>
      <c r="R658" s="928"/>
      <c r="S658" s="928"/>
      <c r="T658" s="928"/>
      <c r="U658" s="928"/>
      <c r="V658" s="928"/>
      <c r="W658" s="928"/>
      <c r="X658" s="928"/>
    </row>
    <row r="659">
      <c r="A659" s="928"/>
      <c r="B659" s="928"/>
      <c r="C659" s="928"/>
      <c r="D659" s="928"/>
      <c r="E659" s="928"/>
      <c r="F659" s="928"/>
      <c r="G659" s="928"/>
      <c r="H659" s="928"/>
      <c r="I659" s="928"/>
      <c r="J659" s="928"/>
      <c r="K659" s="928"/>
      <c r="L659" s="928"/>
      <c r="M659" s="928"/>
      <c r="N659" s="928"/>
      <c r="O659" s="928"/>
      <c r="P659" s="928"/>
      <c r="Q659" s="928"/>
      <c r="R659" s="928"/>
      <c r="S659" s="928"/>
      <c r="T659" s="928"/>
      <c r="U659" s="928"/>
      <c r="V659" s="928"/>
      <c r="W659" s="928"/>
      <c r="X659" s="928"/>
    </row>
    <row r="660">
      <c r="A660" s="928"/>
      <c r="B660" s="928"/>
      <c r="C660" s="928"/>
      <c r="D660" s="928"/>
      <c r="E660" s="928"/>
      <c r="F660" s="928"/>
      <c r="G660" s="928"/>
      <c r="H660" s="928"/>
      <c r="I660" s="928"/>
      <c r="J660" s="928"/>
      <c r="K660" s="928"/>
      <c r="L660" s="928"/>
      <c r="M660" s="928"/>
      <c r="N660" s="928"/>
      <c r="O660" s="928"/>
      <c r="P660" s="928"/>
      <c r="Q660" s="928"/>
      <c r="R660" s="928"/>
      <c r="S660" s="928"/>
      <c r="T660" s="928"/>
      <c r="U660" s="928"/>
      <c r="V660" s="928"/>
      <c r="W660" s="928"/>
      <c r="X660" s="928"/>
    </row>
    <row r="661">
      <c r="A661" s="928"/>
      <c r="B661" s="928"/>
      <c r="C661" s="928"/>
      <c r="D661" s="928"/>
      <c r="E661" s="928"/>
      <c r="F661" s="928"/>
      <c r="G661" s="928"/>
      <c r="H661" s="928"/>
      <c r="I661" s="928"/>
      <c r="J661" s="928"/>
      <c r="K661" s="928"/>
      <c r="L661" s="928"/>
      <c r="M661" s="928"/>
      <c r="N661" s="928"/>
      <c r="O661" s="928"/>
      <c r="P661" s="928"/>
      <c r="Q661" s="928"/>
      <c r="R661" s="928"/>
      <c r="S661" s="928"/>
      <c r="T661" s="928"/>
      <c r="U661" s="928"/>
      <c r="V661" s="928"/>
      <c r="W661" s="928"/>
      <c r="X661" s="928"/>
    </row>
    <row r="662">
      <c r="A662" s="928"/>
      <c r="B662" s="928"/>
      <c r="C662" s="928"/>
      <c r="D662" s="928"/>
      <c r="E662" s="928"/>
      <c r="F662" s="928"/>
      <c r="G662" s="928"/>
      <c r="H662" s="928"/>
      <c r="I662" s="928"/>
      <c r="J662" s="928"/>
      <c r="K662" s="928"/>
      <c r="L662" s="928"/>
      <c r="M662" s="928"/>
      <c r="N662" s="928"/>
      <c r="O662" s="928"/>
      <c r="P662" s="928"/>
      <c r="Q662" s="928"/>
      <c r="R662" s="928"/>
      <c r="S662" s="928"/>
      <c r="T662" s="928"/>
      <c r="U662" s="928"/>
      <c r="V662" s="928"/>
      <c r="W662" s="928"/>
      <c r="X662" s="928"/>
    </row>
    <row r="663">
      <c r="A663" s="928"/>
      <c r="B663" s="928"/>
      <c r="C663" s="928"/>
      <c r="D663" s="928"/>
      <c r="E663" s="928"/>
      <c r="F663" s="928"/>
      <c r="G663" s="928"/>
      <c r="H663" s="928"/>
      <c r="I663" s="928"/>
      <c r="J663" s="928"/>
      <c r="K663" s="928"/>
      <c r="L663" s="928"/>
      <c r="M663" s="928"/>
      <c r="N663" s="928"/>
      <c r="O663" s="928"/>
      <c r="P663" s="928"/>
      <c r="Q663" s="928"/>
      <c r="R663" s="928"/>
      <c r="S663" s="928"/>
      <c r="T663" s="928"/>
      <c r="U663" s="928"/>
      <c r="V663" s="928"/>
      <c r="W663" s="928"/>
      <c r="X663" s="928"/>
    </row>
    <row r="664">
      <c r="A664" s="928"/>
      <c r="B664" s="928"/>
      <c r="C664" s="928"/>
      <c r="D664" s="928"/>
      <c r="E664" s="928"/>
      <c r="F664" s="928"/>
      <c r="G664" s="928"/>
      <c r="H664" s="928"/>
      <c r="I664" s="928"/>
      <c r="J664" s="928"/>
      <c r="K664" s="928"/>
      <c r="L664" s="928"/>
      <c r="M664" s="928"/>
      <c r="N664" s="928"/>
      <c r="O664" s="928"/>
      <c r="P664" s="928"/>
      <c r="Q664" s="928"/>
      <c r="R664" s="928"/>
      <c r="S664" s="928"/>
      <c r="T664" s="928"/>
      <c r="U664" s="928"/>
      <c r="V664" s="928"/>
      <c r="W664" s="928"/>
      <c r="X664" s="928"/>
    </row>
    <row r="665">
      <c r="A665" s="928"/>
      <c r="B665" s="928"/>
      <c r="C665" s="928"/>
      <c r="D665" s="928"/>
      <c r="E665" s="928"/>
      <c r="F665" s="928"/>
      <c r="G665" s="928"/>
      <c r="H665" s="928"/>
      <c r="I665" s="928"/>
      <c r="J665" s="928"/>
      <c r="K665" s="928"/>
      <c r="L665" s="928"/>
      <c r="M665" s="928"/>
      <c r="N665" s="928"/>
      <c r="O665" s="928"/>
      <c r="P665" s="928"/>
      <c r="Q665" s="928"/>
      <c r="R665" s="928"/>
      <c r="S665" s="928"/>
      <c r="T665" s="928"/>
      <c r="U665" s="928"/>
      <c r="V665" s="928"/>
      <c r="W665" s="928"/>
      <c r="X665" s="928"/>
    </row>
    <row r="666">
      <c r="A666" s="928"/>
      <c r="B666" s="928"/>
      <c r="C666" s="928"/>
      <c r="D666" s="928"/>
      <c r="E666" s="928"/>
      <c r="F666" s="928"/>
      <c r="G666" s="928"/>
      <c r="H666" s="928"/>
      <c r="I666" s="928"/>
      <c r="J666" s="928"/>
      <c r="K666" s="928"/>
      <c r="L666" s="928"/>
      <c r="M666" s="928"/>
      <c r="N666" s="928"/>
      <c r="O666" s="928"/>
      <c r="P666" s="928"/>
      <c r="Q666" s="928"/>
      <c r="R666" s="928"/>
      <c r="S666" s="928"/>
      <c r="T666" s="928"/>
      <c r="U666" s="928"/>
      <c r="V666" s="928"/>
      <c r="W666" s="928"/>
      <c r="X666" s="928"/>
    </row>
    <row r="667">
      <c r="A667" s="928"/>
      <c r="B667" s="928"/>
      <c r="C667" s="928"/>
      <c r="D667" s="928"/>
      <c r="E667" s="928"/>
      <c r="F667" s="928"/>
      <c r="G667" s="928"/>
      <c r="H667" s="928"/>
      <c r="I667" s="928"/>
      <c r="J667" s="928"/>
      <c r="K667" s="928"/>
      <c r="L667" s="928"/>
      <c r="M667" s="928"/>
      <c r="N667" s="928"/>
      <c r="O667" s="928"/>
      <c r="P667" s="928"/>
      <c r="Q667" s="928"/>
      <c r="R667" s="928"/>
      <c r="S667" s="928"/>
      <c r="T667" s="928"/>
      <c r="U667" s="928"/>
      <c r="V667" s="928"/>
      <c r="W667" s="928"/>
      <c r="X667" s="928"/>
    </row>
    <row r="668">
      <c r="A668" s="928"/>
      <c r="B668" s="928"/>
      <c r="C668" s="928"/>
      <c r="D668" s="928"/>
      <c r="E668" s="928"/>
      <c r="F668" s="928"/>
      <c r="G668" s="928"/>
      <c r="H668" s="928"/>
      <c r="I668" s="928"/>
      <c r="J668" s="928"/>
      <c r="K668" s="928"/>
      <c r="L668" s="928"/>
      <c r="M668" s="928"/>
      <c r="N668" s="928"/>
      <c r="O668" s="928"/>
      <c r="P668" s="928"/>
      <c r="Q668" s="928"/>
      <c r="R668" s="928"/>
      <c r="S668" s="928"/>
      <c r="T668" s="928"/>
      <c r="U668" s="928"/>
      <c r="V668" s="928"/>
      <c r="W668" s="928"/>
      <c r="X668" s="928"/>
    </row>
    <row r="669">
      <c r="A669" s="928"/>
      <c r="B669" s="928"/>
      <c r="C669" s="928"/>
      <c r="D669" s="928"/>
      <c r="E669" s="928"/>
      <c r="F669" s="928"/>
      <c r="G669" s="928"/>
      <c r="H669" s="928"/>
      <c r="I669" s="928"/>
      <c r="J669" s="928"/>
      <c r="K669" s="928"/>
      <c r="L669" s="928"/>
      <c r="M669" s="928"/>
      <c r="N669" s="928"/>
      <c r="O669" s="928"/>
      <c r="P669" s="928"/>
      <c r="Q669" s="928"/>
      <c r="R669" s="928"/>
      <c r="S669" s="928"/>
      <c r="T669" s="928"/>
      <c r="U669" s="928"/>
      <c r="V669" s="928"/>
      <c r="W669" s="928"/>
      <c r="X669" s="928"/>
    </row>
    <row r="670">
      <c r="A670" s="928"/>
      <c r="B670" s="928"/>
      <c r="C670" s="928"/>
      <c r="D670" s="928"/>
      <c r="E670" s="928"/>
      <c r="F670" s="928"/>
      <c r="G670" s="928"/>
      <c r="H670" s="928"/>
      <c r="I670" s="928"/>
      <c r="J670" s="928"/>
      <c r="K670" s="928"/>
      <c r="L670" s="928"/>
      <c r="M670" s="928"/>
      <c r="N670" s="928"/>
      <c r="O670" s="928"/>
      <c r="P670" s="928"/>
      <c r="Q670" s="928"/>
      <c r="R670" s="928"/>
      <c r="S670" s="928"/>
      <c r="T670" s="928"/>
      <c r="U670" s="928"/>
      <c r="V670" s="928"/>
      <c r="W670" s="928"/>
      <c r="X670" s="928"/>
    </row>
    <row r="671">
      <c r="A671" s="928"/>
      <c r="B671" s="928"/>
      <c r="C671" s="928"/>
      <c r="D671" s="928"/>
      <c r="E671" s="928"/>
      <c r="F671" s="928"/>
      <c r="G671" s="928"/>
      <c r="H671" s="928"/>
      <c r="I671" s="928"/>
      <c r="J671" s="928"/>
      <c r="K671" s="928"/>
      <c r="L671" s="928"/>
      <c r="M671" s="928"/>
      <c r="N671" s="928"/>
      <c r="O671" s="928"/>
      <c r="P671" s="928"/>
      <c r="Q671" s="928"/>
      <c r="R671" s="928"/>
      <c r="S671" s="928"/>
      <c r="T671" s="928"/>
      <c r="U671" s="928"/>
      <c r="V671" s="928"/>
      <c r="W671" s="928"/>
      <c r="X671" s="928"/>
    </row>
    <row r="672">
      <c r="A672" s="928"/>
      <c r="B672" s="928"/>
      <c r="C672" s="928"/>
      <c r="D672" s="928"/>
      <c r="E672" s="928"/>
      <c r="F672" s="928"/>
      <c r="G672" s="928"/>
      <c r="H672" s="928"/>
      <c r="I672" s="928"/>
      <c r="J672" s="928"/>
      <c r="K672" s="928"/>
      <c r="L672" s="928"/>
      <c r="M672" s="928"/>
      <c r="N672" s="928"/>
      <c r="O672" s="928"/>
      <c r="P672" s="928"/>
      <c r="Q672" s="928"/>
      <c r="R672" s="928"/>
      <c r="S672" s="928"/>
      <c r="T672" s="928"/>
      <c r="U672" s="928"/>
      <c r="V672" s="928"/>
      <c r="W672" s="928"/>
      <c r="X672" s="928"/>
    </row>
    <row r="673">
      <c r="A673" s="928"/>
      <c r="B673" s="928"/>
      <c r="C673" s="928"/>
      <c r="D673" s="928"/>
      <c r="E673" s="928"/>
      <c r="F673" s="928"/>
      <c r="G673" s="928"/>
      <c r="H673" s="928"/>
      <c r="I673" s="928"/>
      <c r="J673" s="928"/>
      <c r="K673" s="928"/>
      <c r="L673" s="928"/>
      <c r="M673" s="928"/>
      <c r="N673" s="928"/>
      <c r="O673" s="928"/>
      <c r="P673" s="928"/>
      <c r="Q673" s="928"/>
      <c r="R673" s="928"/>
      <c r="S673" s="928"/>
      <c r="T673" s="928"/>
      <c r="U673" s="928"/>
      <c r="V673" s="928"/>
      <c r="W673" s="928"/>
      <c r="X673" s="928"/>
    </row>
    <row r="674">
      <c r="A674" s="928"/>
      <c r="B674" s="928"/>
      <c r="C674" s="928"/>
      <c r="D674" s="928"/>
      <c r="E674" s="928"/>
      <c r="F674" s="928"/>
      <c r="G674" s="928"/>
      <c r="H674" s="928"/>
      <c r="I674" s="928"/>
      <c r="J674" s="928"/>
      <c r="K674" s="928"/>
      <c r="L674" s="928"/>
      <c r="M674" s="928"/>
      <c r="N674" s="928"/>
      <c r="O674" s="928"/>
      <c r="P674" s="928"/>
      <c r="Q674" s="928"/>
      <c r="R674" s="928"/>
      <c r="S674" s="928"/>
      <c r="T674" s="928"/>
      <c r="U674" s="928"/>
      <c r="V674" s="928"/>
      <c r="W674" s="928"/>
      <c r="X674" s="928"/>
    </row>
    <row r="675">
      <c r="A675" s="928"/>
      <c r="B675" s="928"/>
      <c r="C675" s="928"/>
      <c r="D675" s="928"/>
      <c r="E675" s="928"/>
      <c r="F675" s="928"/>
      <c r="G675" s="928"/>
      <c r="H675" s="928"/>
      <c r="I675" s="928"/>
      <c r="J675" s="928"/>
      <c r="K675" s="928"/>
      <c r="L675" s="928"/>
      <c r="M675" s="928"/>
      <c r="N675" s="928"/>
      <c r="O675" s="928"/>
      <c r="P675" s="928"/>
      <c r="Q675" s="928"/>
      <c r="R675" s="928"/>
      <c r="S675" s="928"/>
      <c r="T675" s="928"/>
      <c r="U675" s="928"/>
      <c r="V675" s="928"/>
      <c r="W675" s="928"/>
      <c r="X675" s="928"/>
    </row>
    <row r="676">
      <c r="A676" s="928"/>
      <c r="B676" s="928"/>
      <c r="C676" s="928"/>
      <c r="D676" s="928"/>
      <c r="E676" s="928"/>
      <c r="F676" s="928"/>
      <c r="G676" s="928"/>
      <c r="H676" s="928"/>
      <c r="I676" s="928"/>
      <c r="J676" s="928"/>
      <c r="K676" s="928"/>
      <c r="L676" s="928"/>
      <c r="M676" s="928"/>
      <c r="N676" s="928"/>
      <c r="O676" s="928"/>
      <c r="P676" s="928"/>
      <c r="Q676" s="928"/>
      <c r="R676" s="928"/>
      <c r="S676" s="928"/>
      <c r="T676" s="928"/>
      <c r="U676" s="928"/>
      <c r="V676" s="928"/>
      <c r="W676" s="928"/>
      <c r="X676" s="928"/>
    </row>
    <row r="677">
      <c r="A677" s="928"/>
      <c r="B677" s="928"/>
      <c r="C677" s="928"/>
      <c r="D677" s="928"/>
      <c r="E677" s="928"/>
      <c r="F677" s="928"/>
      <c r="G677" s="928"/>
      <c r="H677" s="928"/>
      <c r="I677" s="928"/>
      <c r="J677" s="928"/>
      <c r="K677" s="928"/>
      <c r="L677" s="928"/>
      <c r="M677" s="928"/>
      <c r="N677" s="928"/>
      <c r="O677" s="928"/>
      <c r="P677" s="928"/>
      <c r="Q677" s="928"/>
      <c r="R677" s="928"/>
      <c r="S677" s="928"/>
      <c r="T677" s="928"/>
      <c r="U677" s="928"/>
      <c r="V677" s="928"/>
      <c r="W677" s="928"/>
      <c r="X677" s="928"/>
    </row>
    <row r="678">
      <c r="A678" s="928"/>
      <c r="B678" s="928"/>
      <c r="C678" s="928"/>
      <c r="D678" s="928"/>
      <c r="E678" s="928"/>
      <c r="F678" s="928"/>
      <c r="G678" s="928"/>
      <c r="H678" s="928"/>
      <c r="I678" s="928"/>
      <c r="J678" s="928"/>
      <c r="K678" s="928"/>
      <c r="L678" s="928"/>
      <c r="M678" s="928"/>
      <c r="N678" s="928"/>
      <c r="O678" s="928"/>
      <c r="P678" s="928"/>
      <c r="Q678" s="928"/>
      <c r="R678" s="928"/>
      <c r="S678" s="928"/>
      <c r="T678" s="928"/>
      <c r="U678" s="928"/>
      <c r="V678" s="928"/>
      <c r="W678" s="928"/>
      <c r="X678" s="928"/>
    </row>
    <row r="679">
      <c r="A679" s="928"/>
      <c r="B679" s="928"/>
      <c r="C679" s="928"/>
      <c r="D679" s="928"/>
      <c r="E679" s="928"/>
      <c r="F679" s="928"/>
      <c r="G679" s="928"/>
      <c r="H679" s="928"/>
      <c r="I679" s="928"/>
      <c r="J679" s="928"/>
      <c r="K679" s="928"/>
      <c r="L679" s="928"/>
      <c r="M679" s="928"/>
      <c r="N679" s="928"/>
      <c r="O679" s="928"/>
      <c r="P679" s="928"/>
      <c r="Q679" s="928"/>
      <c r="R679" s="928"/>
      <c r="S679" s="928"/>
      <c r="T679" s="928"/>
      <c r="U679" s="928"/>
      <c r="V679" s="928"/>
      <c r="W679" s="928"/>
      <c r="X679" s="928"/>
    </row>
    <row r="680">
      <c r="A680" s="928"/>
      <c r="B680" s="928"/>
      <c r="C680" s="928"/>
      <c r="D680" s="928"/>
      <c r="E680" s="928"/>
      <c r="F680" s="928"/>
      <c r="G680" s="928"/>
      <c r="H680" s="928"/>
      <c r="I680" s="928"/>
      <c r="J680" s="928"/>
      <c r="K680" s="928"/>
      <c r="L680" s="928"/>
      <c r="M680" s="928"/>
      <c r="N680" s="928"/>
      <c r="O680" s="928"/>
      <c r="P680" s="928"/>
      <c r="Q680" s="928"/>
      <c r="R680" s="928"/>
      <c r="S680" s="928"/>
      <c r="T680" s="928"/>
      <c r="U680" s="928"/>
      <c r="V680" s="928"/>
      <c r="W680" s="928"/>
      <c r="X680" s="928"/>
    </row>
    <row r="681">
      <c r="A681" s="928"/>
      <c r="B681" s="928"/>
      <c r="C681" s="928"/>
      <c r="D681" s="928"/>
      <c r="E681" s="928"/>
      <c r="F681" s="928"/>
      <c r="G681" s="928"/>
      <c r="H681" s="928"/>
      <c r="I681" s="928"/>
      <c r="J681" s="928"/>
      <c r="K681" s="928"/>
      <c r="L681" s="928"/>
      <c r="M681" s="928"/>
      <c r="N681" s="928"/>
      <c r="O681" s="928"/>
      <c r="P681" s="928"/>
      <c r="Q681" s="928"/>
      <c r="R681" s="928"/>
      <c r="S681" s="928"/>
      <c r="T681" s="928"/>
      <c r="U681" s="928"/>
      <c r="V681" s="928"/>
      <c r="W681" s="928"/>
      <c r="X681" s="928"/>
    </row>
    <row r="682">
      <c r="A682" s="928"/>
      <c r="B682" s="928"/>
      <c r="C682" s="928"/>
      <c r="D682" s="928"/>
      <c r="E682" s="928"/>
      <c r="F682" s="928"/>
      <c r="G682" s="928"/>
      <c r="H682" s="928"/>
      <c r="I682" s="928"/>
      <c r="J682" s="928"/>
      <c r="K682" s="928"/>
      <c r="L682" s="928"/>
      <c r="M682" s="928"/>
      <c r="N682" s="928"/>
      <c r="O682" s="928"/>
      <c r="P682" s="928"/>
      <c r="Q682" s="928"/>
      <c r="R682" s="928"/>
      <c r="S682" s="928"/>
      <c r="T682" s="928"/>
      <c r="U682" s="928"/>
      <c r="V682" s="928"/>
      <c r="W682" s="928"/>
      <c r="X682" s="928"/>
    </row>
    <row r="683">
      <c r="A683" s="928"/>
      <c r="B683" s="928"/>
      <c r="C683" s="928"/>
      <c r="D683" s="928"/>
      <c r="E683" s="928"/>
      <c r="F683" s="928"/>
      <c r="G683" s="928"/>
      <c r="H683" s="928"/>
      <c r="I683" s="928"/>
      <c r="J683" s="928"/>
      <c r="K683" s="928"/>
      <c r="L683" s="928"/>
      <c r="M683" s="928"/>
      <c r="N683" s="928"/>
      <c r="O683" s="928"/>
      <c r="P683" s="928"/>
      <c r="Q683" s="928"/>
      <c r="R683" s="928"/>
      <c r="S683" s="928"/>
      <c r="T683" s="928"/>
      <c r="U683" s="928"/>
      <c r="V683" s="928"/>
      <c r="W683" s="928"/>
      <c r="X683" s="928"/>
    </row>
    <row r="684">
      <c r="A684" s="928"/>
      <c r="B684" s="928"/>
      <c r="C684" s="928"/>
      <c r="D684" s="928"/>
      <c r="E684" s="928"/>
      <c r="F684" s="928"/>
      <c r="G684" s="928"/>
      <c r="H684" s="928"/>
      <c r="I684" s="928"/>
      <c r="J684" s="928"/>
      <c r="K684" s="928"/>
      <c r="L684" s="928"/>
      <c r="M684" s="928"/>
      <c r="N684" s="928"/>
      <c r="O684" s="928"/>
      <c r="P684" s="928"/>
      <c r="Q684" s="928"/>
      <c r="R684" s="928"/>
      <c r="S684" s="928"/>
      <c r="T684" s="928"/>
      <c r="U684" s="928"/>
      <c r="V684" s="928"/>
      <c r="W684" s="928"/>
      <c r="X684" s="928"/>
    </row>
    <row r="685">
      <c r="A685" s="928"/>
      <c r="B685" s="928"/>
      <c r="C685" s="928"/>
      <c r="D685" s="928"/>
      <c r="E685" s="928"/>
      <c r="F685" s="928"/>
      <c r="G685" s="928"/>
      <c r="H685" s="928"/>
      <c r="I685" s="928"/>
      <c r="J685" s="928"/>
      <c r="K685" s="928"/>
      <c r="L685" s="928"/>
      <c r="M685" s="928"/>
      <c r="N685" s="928"/>
      <c r="O685" s="928"/>
      <c r="P685" s="928"/>
      <c r="Q685" s="928"/>
      <c r="R685" s="928"/>
      <c r="S685" s="928"/>
      <c r="T685" s="928"/>
      <c r="U685" s="928"/>
      <c r="V685" s="928"/>
      <c r="W685" s="928"/>
      <c r="X685" s="928"/>
    </row>
    <row r="686">
      <c r="A686" s="928"/>
      <c r="B686" s="928"/>
      <c r="C686" s="928"/>
      <c r="D686" s="928"/>
      <c r="E686" s="928"/>
      <c r="F686" s="928"/>
      <c r="G686" s="928"/>
      <c r="H686" s="928"/>
      <c r="I686" s="928"/>
      <c r="J686" s="928"/>
      <c r="K686" s="928"/>
      <c r="L686" s="928"/>
      <c r="M686" s="928"/>
      <c r="N686" s="928"/>
      <c r="O686" s="928"/>
      <c r="P686" s="928"/>
      <c r="Q686" s="928"/>
      <c r="R686" s="928"/>
      <c r="S686" s="928"/>
      <c r="T686" s="928"/>
      <c r="U686" s="928"/>
      <c r="V686" s="928"/>
      <c r="W686" s="928"/>
      <c r="X686" s="928"/>
    </row>
    <row r="687">
      <c r="A687" s="928"/>
      <c r="B687" s="928"/>
      <c r="C687" s="928"/>
      <c r="D687" s="928"/>
      <c r="E687" s="928"/>
      <c r="F687" s="928"/>
      <c r="G687" s="928"/>
      <c r="H687" s="928"/>
      <c r="I687" s="928"/>
      <c r="J687" s="928"/>
      <c r="K687" s="928"/>
      <c r="L687" s="928"/>
      <c r="M687" s="928"/>
      <c r="N687" s="928"/>
      <c r="O687" s="928"/>
      <c r="P687" s="928"/>
      <c r="Q687" s="928"/>
      <c r="R687" s="928"/>
      <c r="S687" s="928"/>
      <c r="T687" s="928"/>
      <c r="U687" s="928"/>
      <c r="V687" s="928"/>
      <c r="W687" s="928"/>
      <c r="X687" s="928"/>
    </row>
    <row r="688">
      <c r="A688" s="928"/>
      <c r="B688" s="928"/>
      <c r="C688" s="928"/>
      <c r="D688" s="928"/>
      <c r="E688" s="928"/>
      <c r="F688" s="928"/>
      <c r="G688" s="928"/>
      <c r="H688" s="928"/>
      <c r="I688" s="928"/>
      <c r="J688" s="928"/>
      <c r="K688" s="928"/>
      <c r="L688" s="928"/>
      <c r="M688" s="928"/>
      <c r="N688" s="928"/>
      <c r="O688" s="928"/>
      <c r="P688" s="928"/>
      <c r="Q688" s="928"/>
      <c r="R688" s="928"/>
      <c r="S688" s="928"/>
      <c r="T688" s="928"/>
      <c r="U688" s="928"/>
      <c r="V688" s="928"/>
      <c r="W688" s="928"/>
      <c r="X688" s="928"/>
    </row>
    <row r="689">
      <c r="A689" s="928"/>
      <c r="B689" s="928"/>
      <c r="C689" s="928"/>
      <c r="D689" s="928"/>
      <c r="E689" s="928"/>
      <c r="F689" s="928"/>
      <c r="G689" s="928"/>
      <c r="H689" s="928"/>
      <c r="I689" s="928"/>
      <c r="J689" s="928"/>
      <c r="K689" s="928"/>
      <c r="L689" s="928"/>
      <c r="M689" s="928"/>
      <c r="N689" s="928"/>
      <c r="O689" s="928"/>
      <c r="P689" s="928"/>
      <c r="Q689" s="928"/>
      <c r="R689" s="928"/>
      <c r="S689" s="928"/>
      <c r="T689" s="928"/>
      <c r="U689" s="928"/>
      <c r="V689" s="928"/>
      <c r="W689" s="928"/>
      <c r="X689" s="928"/>
    </row>
    <row r="690">
      <c r="A690" s="928"/>
      <c r="B690" s="928"/>
      <c r="C690" s="928"/>
      <c r="D690" s="928"/>
      <c r="E690" s="928"/>
      <c r="F690" s="928"/>
      <c r="G690" s="928"/>
      <c r="H690" s="928"/>
      <c r="I690" s="928"/>
      <c r="J690" s="928"/>
      <c r="K690" s="928"/>
      <c r="L690" s="928"/>
      <c r="M690" s="928"/>
      <c r="N690" s="928"/>
      <c r="O690" s="928"/>
      <c r="P690" s="928"/>
      <c r="Q690" s="928"/>
      <c r="R690" s="928"/>
      <c r="S690" s="928"/>
      <c r="T690" s="928"/>
      <c r="U690" s="928"/>
      <c r="V690" s="928"/>
      <c r="W690" s="928"/>
      <c r="X690" s="928"/>
    </row>
    <row r="691">
      <c r="A691" s="928"/>
      <c r="B691" s="928"/>
      <c r="C691" s="928"/>
      <c r="D691" s="928"/>
      <c r="E691" s="928"/>
      <c r="F691" s="928"/>
      <c r="G691" s="928"/>
      <c r="H691" s="928"/>
      <c r="I691" s="928"/>
      <c r="J691" s="928"/>
      <c r="K691" s="928"/>
      <c r="L691" s="928"/>
      <c r="M691" s="928"/>
      <c r="N691" s="928"/>
      <c r="O691" s="928"/>
      <c r="P691" s="928"/>
      <c r="Q691" s="928"/>
      <c r="R691" s="928"/>
      <c r="S691" s="928"/>
      <c r="T691" s="928"/>
      <c r="U691" s="928"/>
      <c r="V691" s="928"/>
      <c r="W691" s="928"/>
      <c r="X691" s="928"/>
    </row>
    <row r="692">
      <c r="A692" s="928"/>
      <c r="B692" s="928"/>
      <c r="C692" s="928"/>
      <c r="D692" s="928"/>
      <c r="E692" s="928"/>
      <c r="F692" s="928"/>
      <c r="G692" s="928"/>
      <c r="H692" s="928"/>
      <c r="I692" s="928"/>
      <c r="J692" s="928"/>
      <c r="K692" s="928"/>
      <c r="L692" s="928"/>
      <c r="M692" s="928"/>
      <c r="N692" s="928"/>
      <c r="O692" s="928"/>
      <c r="P692" s="928"/>
      <c r="Q692" s="928"/>
      <c r="R692" s="928"/>
      <c r="S692" s="928"/>
      <c r="T692" s="928"/>
      <c r="U692" s="928"/>
      <c r="V692" s="928"/>
      <c r="W692" s="928"/>
      <c r="X692" s="928"/>
    </row>
    <row r="693">
      <c r="A693" s="928"/>
      <c r="B693" s="928"/>
      <c r="C693" s="928"/>
      <c r="D693" s="928"/>
      <c r="E693" s="928"/>
      <c r="F693" s="928"/>
      <c r="G693" s="928"/>
      <c r="H693" s="928"/>
      <c r="I693" s="928"/>
      <c r="J693" s="928"/>
      <c r="K693" s="928"/>
      <c r="L693" s="928"/>
      <c r="M693" s="928"/>
      <c r="N693" s="928"/>
      <c r="O693" s="928"/>
      <c r="P693" s="928"/>
      <c r="Q693" s="928"/>
      <c r="R693" s="928"/>
      <c r="S693" s="928"/>
      <c r="T693" s="928"/>
      <c r="U693" s="928"/>
      <c r="V693" s="928"/>
      <c r="W693" s="928"/>
      <c r="X693" s="928"/>
    </row>
    <row r="694">
      <c r="A694" s="928"/>
      <c r="B694" s="928"/>
      <c r="C694" s="928"/>
      <c r="D694" s="928"/>
      <c r="E694" s="928"/>
      <c r="F694" s="928"/>
      <c r="G694" s="928"/>
      <c r="H694" s="928"/>
      <c r="I694" s="928"/>
      <c r="J694" s="928"/>
      <c r="K694" s="928"/>
      <c r="L694" s="928"/>
      <c r="M694" s="928"/>
      <c r="N694" s="928"/>
      <c r="O694" s="928"/>
      <c r="P694" s="928"/>
      <c r="Q694" s="928"/>
      <c r="R694" s="928"/>
      <c r="S694" s="928"/>
      <c r="T694" s="928"/>
      <c r="U694" s="928"/>
      <c r="V694" s="928"/>
      <c r="W694" s="928"/>
      <c r="X694" s="928"/>
    </row>
    <row r="695">
      <c r="A695" s="928"/>
      <c r="B695" s="928"/>
      <c r="C695" s="928"/>
      <c r="D695" s="928"/>
      <c r="E695" s="928"/>
      <c r="F695" s="928"/>
      <c r="G695" s="928"/>
      <c r="H695" s="928"/>
      <c r="I695" s="928"/>
      <c r="J695" s="928"/>
      <c r="K695" s="928"/>
      <c r="L695" s="928"/>
      <c r="M695" s="928"/>
      <c r="N695" s="928"/>
      <c r="O695" s="928"/>
      <c r="P695" s="928"/>
      <c r="Q695" s="928"/>
      <c r="R695" s="928"/>
      <c r="S695" s="928"/>
      <c r="T695" s="928"/>
      <c r="U695" s="928"/>
      <c r="V695" s="928"/>
      <c r="W695" s="928"/>
      <c r="X695" s="928"/>
    </row>
    <row r="696">
      <c r="A696" s="928"/>
      <c r="B696" s="928"/>
      <c r="C696" s="928"/>
      <c r="D696" s="928"/>
      <c r="E696" s="928"/>
      <c r="F696" s="928"/>
      <c r="G696" s="928"/>
      <c r="H696" s="928"/>
      <c r="I696" s="928"/>
      <c r="J696" s="928"/>
      <c r="K696" s="928"/>
      <c r="L696" s="928"/>
      <c r="M696" s="928"/>
      <c r="N696" s="928"/>
      <c r="O696" s="928"/>
      <c r="P696" s="928"/>
      <c r="Q696" s="928"/>
      <c r="R696" s="928"/>
      <c r="S696" s="928"/>
      <c r="T696" s="928"/>
      <c r="U696" s="928"/>
      <c r="V696" s="928"/>
      <c r="W696" s="928"/>
      <c r="X696" s="928"/>
    </row>
    <row r="697">
      <c r="A697" s="928"/>
      <c r="B697" s="928"/>
      <c r="C697" s="928"/>
      <c r="D697" s="928"/>
      <c r="E697" s="928"/>
      <c r="F697" s="928"/>
      <c r="G697" s="928"/>
      <c r="H697" s="928"/>
      <c r="I697" s="928"/>
      <c r="J697" s="928"/>
      <c r="K697" s="928"/>
      <c r="L697" s="928"/>
      <c r="M697" s="928"/>
      <c r="N697" s="928"/>
      <c r="O697" s="928"/>
      <c r="P697" s="928"/>
      <c r="Q697" s="928"/>
      <c r="R697" s="928"/>
      <c r="S697" s="928"/>
      <c r="T697" s="928"/>
      <c r="U697" s="928"/>
      <c r="V697" s="928"/>
      <c r="W697" s="928"/>
      <c r="X697" s="928"/>
    </row>
    <row r="698">
      <c r="A698" s="928"/>
      <c r="B698" s="928"/>
      <c r="C698" s="928"/>
      <c r="D698" s="928"/>
      <c r="E698" s="928"/>
      <c r="F698" s="928"/>
      <c r="G698" s="928"/>
      <c r="H698" s="928"/>
      <c r="I698" s="928"/>
      <c r="J698" s="928"/>
      <c r="K698" s="928"/>
      <c r="L698" s="928"/>
      <c r="M698" s="928"/>
      <c r="N698" s="928"/>
      <c r="O698" s="928"/>
      <c r="P698" s="928"/>
      <c r="Q698" s="928"/>
      <c r="R698" s="928"/>
      <c r="S698" s="928"/>
      <c r="T698" s="928"/>
      <c r="U698" s="928"/>
      <c r="V698" s="928"/>
      <c r="W698" s="928"/>
      <c r="X698" s="928"/>
    </row>
    <row r="699">
      <c r="A699" s="928"/>
      <c r="B699" s="928"/>
      <c r="C699" s="928"/>
      <c r="D699" s="928"/>
      <c r="E699" s="928"/>
      <c r="F699" s="928"/>
      <c r="G699" s="928"/>
      <c r="H699" s="928"/>
      <c r="I699" s="928"/>
      <c r="J699" s="928"/>
      <c r="K699" s="928"/>
      <c r="L699" s="928"/>
      <c r="M699" s="928"/>
      <c r="N699" s="928"/>
      <c r="O699" s="928"/>
      <c r="P699" s="928"/>
      <c r="Q699" s="928"/>
      <c r="R699" s="928"/>
      <c r="S699" s="928"/>
      <c r="T699" s="928"/>
      <c r="U699" s="928"/>
      <c r="V699" s="928"/>
      <c r="W699" s="928"/>
      <c r="X699" s="928"/>
    </row>
    <row r="700">
      <c r="A700" s="928"/>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row>
    <row r="701">
      <c r="A701" s="928"/>
      <c r="B701" s="928"/>
      <c r="C701" s="928"/>
      <c r="D701" s="928"/>
      <c r="E701" s="928"/>
      <c r="F701" s="928"/>
      <c r="G701" s="928"/>
      <c r="H701" s="928"/>
      <c r="I701" s="928"/>
      <c r="J701" s="928"/>
      <c r="K701" s="928"/>
      <c r="L701" s="928"/>
      <c r="M701" s="928"/>
      <c r="N701" s="928"/>
      <c r="O701" s="928"/>
      <c r="P701" s="928"/>
      <c r="Q701" s="928"/>
      <c r="R701" s="928"/>
      <c r="S701" s="928"/>
      <c r="T701" s="928"/>
      <c r="U701" s="928"/>
      <c r="V701" s="928"/>
      <c r="W701" s="928"/>
      <c r="X701" s="928"/>
    </row>
    <row r="702">
      <c r="A702" s="928"/>
      <c r="B702" s="928"/>
      <c r="C702" s="928"/>
      <c r="D702" s="928"/>
      <c r="E702" s="928"/>
      <c r="F702" s="928"/>
      <c r="G702" s="928"/>
      <c r="H702" s="928"/>
      <c r="I702" s="928"/>
      <c r="J702" s="928"/>
      <c r="K702" s="928"/>
      <c r="L702" s="928"/>
      <c r="M702" s="928"/>
      <c r="N702" s="928"/>
      <c r="O702" s="928"/>
      <c r="P702" s="928"/>
      <c r="Q702" s="928"/>
      <c r="R702" s="928"/>
      <c r="S702" s="928"/>
      <c r="T702" s="928"/>
      <c r="U702" s="928"/>
      <c r="V702" s="928"/>
      <c r="W702" s="928"/>
      <c r="X702" s="928"/>
    </row>
    <row r="703">
      <c r="A703" s="928"/>
      <c r="B703" s="928"/>
      <c r="C703" s="928"/>
      <c r="D703" s="928"/>
      <c r="E703" s="928"/>
      <c r="F703" s="928"/>
      <c r="G703" s="928"/>
      <c r="H703" s="928"/>
      <c r="I703" s="928"/>
      <c r="J703" s="928"/>
      <c r="K703" s="928"/>
      <c r="L703" s="928"/>
      <c r="M703" s="928"/>
      <c r="N703" s="928"/>
      <c r="O703" s="928"/>
      <c r="P703" s="928"/>
      <c r="Q703" s="928"/>
      <c r="R703" s="928"/>
      <c r="S703" s="928"/>
      <c r="T703" s="928"/>
      <c r="U703" s="928"/>
      <c r="V703" s="928"/>
      <c r="W703" s="928"/>
      <c r="X703" s="928"/>
    </row>
    <row r="704">
      <c r="A704" s="928"/>
      <c r="B704" s="928"/>
      <c r="C704" s="928"/>
      <c r="D704" s="928"/>
      <c r="E704" s="928"/>
      <c r="F704" s="928"/>
      <c r="G704" s="928"/>
      <c r="H704" s="928"/>
      <c r="I704" s="928"/>
      <c r="J704" s="928"/>
      <c r="K704" s="928"/>
      <c r="L704" s="928"/>
      <c r="M704" s="928"/>
      <c r="N704" s="928"/>
      <c r="O704" s="928"/>
      <c r="P704" s="928"/>
      <c r="Q704" s="928"/>
      <c r="R704" s="928"/>
      <c r="S704" s="928"/>
      <c r="T704" s="928"/>
      <c r="U704" s="928"/>
      <c r="V704" s="928"/>
      <c r="W704" s="928"/>
      <c r="X704" s="928"/>
    </row>
    <row r="705">
      <c r="A705" s="928"/>
      <c r="B705" s="928"/>
      <c r="C705" s="928"/>
      <c r="D705" s="928"/>
      <c r="E705" s="928"/>
      <c r="F705" s="928"/>
      <c r="G705" s="928"/>
      <c r="H705" s="928"/>
      <c r="I705" s="928"/>
      <c r="J705" s="928"/>
      <c r="K705" s="928"/>
      <c r="L705" s="928"/>
      <c r="M705" s="928"/>
      <c r="N705" s="928"/>
      <c r="O705" s="928"/>
      <c r="P705" s="928"/>
      <c r="Q705" s="928"/>
      <c r="R705" s="928"/>
      <c r="S705" s="928"/>
      <c r="T705" s="928"/>
      <c r="U705" s="928"/>
      <c r="V705" s="928"/>
      <c r="W705" s="928"/>
      <c r="X705" s="928"/>
    </row>
    <row r="706">
      <c r="A706" s="928"/>
      <c r="B706" s="928"/>
      <c r="C706" s="928"/>
      <c r="D706" s="928"/>
      <c r="E706" s="928"/>
      <c r="F706" s="928"/>
      <c r="G706" s="928"/>
      <c r="H706" s="928"/>
      <c r="I706" s="928"/>
      <c r="J706" s="928"/>
      <c r="K706" s="928"/>
      <c r="L706" s="928"/>
      <c r="M706" s="928"/>
      <c r="N706" s="928"/>
      <c r="O706" s="928"/>
      <c r="P706" s="928"/>
      <c r="Q706" s="928"/>
      <c r="R706" s="928"/>
      <c r="S706" s="928"/>
      <c r="T706" s="928"/>
      <c r="U706" s="928"/>
      <c r="V706" s="928"/>
      <c r="W706" s="928"/>
      <c r="X706" s="928"/>
    </row>
    <row r="707">
      <c r="A707" s="928"/>
      <c r="B707" s="928"/>
      <c r="C707" s="928"/>
      <c r="D707" s="928"/>
      <c r="E707" s="928"/>
      <c r="F707" s="928"/>
      <c r="G707" s="928"/>
      <c r="H707" s="928"/>
      <c r="I707" s="928"/>
      <c r="J707" s="928"/>
      <c r="K707" s="928"/>
      <c r="L707" s="928"/>
      <c r="M707" s="928"/>
      <c r="N707" s="928"/>
      <c r="O707" s="928"/>
      <c r="P707" s="928"/>
      <c r="Q707" s="928"/>
      <c r="R707" s="928"/>
      <c r="S707" s="928"/>
      <c r="T707" s="928"/>
      <c r="U707" s="928"/>
      <c r="V707" s="928"/>
      <c r="W707" s="928"/>
      <c r="X707" s="928"/>
    </row>
    <row r="708">
      <c r="A708" s="928"/>
      <c r="B708" s="928"/>
      <c r="C708" s="928"/>
      <c r="D708" s="928"/>
      <c r="E708" s="928"/>
      <c r="F708" s="928"/>
      <c r="G708" s="928"/>
      <c r="H708" s="928"/>
      <c r="I708" s="928"/>
      <c r="J708" s="928"/>
      <c r="K708" s="928"/>
      <c r="L708" s="928"/>
      <c r="M708" s="928"/>
      <c r="N708" s="928"/>
      <c r="O708" s="928"/>
      <c r="P708" s="928"/>
      <c r="Q708" s="928"/>
      <c r="R708" s="928"/>
      <c r="S708" s="928"/>
      <c r="T708" s="928"/>
      <c r="U708" s="928"/>
      <c r="V708" s="928"/>
      <c r="W708" s="928"/>
      <c r="X708" s="928"/>
    </row>
    <row r="709">
      <c r="A709" s="928"/>
      <c r="B709" s="928"/>
      <c r="C709" s="928"/>
      <c r="D709" s="928"/>
      <c r="E709" s="928"/>
      <c r="F709" s="928"/>
      <c r="G709" s="928"/>
      <c r="H709" s="928"/>
      <c r="I709" s="928"/>
      <c r="J709" s="928"/>
      <c r="K709" s="928"/>
      <c r="L709" s="928"/>
      <c r="M709" s="928"/>
      <c r="N709" s="928"/>
      <c r="O709" s="928"/>
      <c r="P709" s="928"/>
      <c r="Q709" s="928"/>
      <c r="R709" s="928"/>
      <c r="S709" s="928"/>
      <c r="T709" s="928"/>
      <c r="U709" s="928"/>
      <c r="V709" s="928"/>
      <c r="W709" s="928"/>
      <c r="X709" s="928"/>
    </row>
    <row r="710">
      <c r="A710" s="928"/>
      <c r="B710" s="928"/>
      <c r="C710" s="928"/>
      <c r="D710" s="928"/>
      <c r="E710" s="928"/>
      <c r="F710" s="928"/>
      <c r="G710" s="928"/>
      <c r="H710" s="928"/>
      <c r="I710" s="928"/>
      <c r="J710" s="928"/>
      <c r="K710" s="928"/>
      <c r="L710" s="928"/>
      <c r="M710" s="928"/>
      <c r="N710" s="928"/>
      <c r="O710" s="928"/>
      <c r="P710" s="928"/>
      <c r="Q710" s="928"/>
      <c r="R710" s="928"/>
      <c r="S710" s="928"/>
      <c r="T710" s="928"/>
      <c r="U710" s="928"/>
      <c r="V710" s="928"/>
      <c r="W710" s="928"/>
      <c r="X710" s="928"/>
    </row>
    <row r="711">
      <c r="A711" s="928"/>
      <c r="B711" s="928"/>
      <c r="C711" s="928"/>
      <c r="D711" s="928"/>
      <c r="E711" s="928"/>
      <c r="F711" s="928"/>
      <c r="G711" s="928"/>
      <c r="H711" s="928"/>
      <c r="I711" s="928"/>
      <c r="J711" s="928"/>
      <c r="K711" s="928"/>
      <c r="L711" s="928"/>
      <c r="M711" s="928"/>
      <c r="N711" s="928"/>
      <c r="O711" s="928"/>
      <c r="P711" s="928"/>
      <c r="Q711" s="928"/>
      <c r="R711" s="928"/>
      <c r="S711" s="928"/>
      <c r="T711" s="928"/>
      <c r="U711" s="928"/>
      <c r="V711" s="928"/>
      <c r="W711" s="928"/>
      <c r="X711" s="928"/>
    </row>
    <row r="712">
      <c r="A712" s="928"/>
      <c r="B712" s="928"/>
      <c r="C712" s="928"/>
      <c r="D712" s="928"/>
      <c r="E712" s="928"/>
      <c r="F712" s="928"/>
      <c r="G712" s="928"/>
      <c r="H712" s="928"/>
      <c r="I712" s="928"/>
      <c r="J712" s="928"/>
      <c r="K712" s="928"/>
      <c r="L712" s="928"/>
      <c r="M712" s="928"/>
      <c r="N712" s="928"/>
      <c r="O712" s="928"/>
      <c r="P712" s="928"/>
      <c r="Q712" s="928"/>
      <c r="R712" s="928"/>
      <c r="S712" s="928"/>
      <c r="T712" s="928"/>
      <c r="U712" s="928"/>
      <c r="V712" s="928"/>
      <c r="W712" s="928"/>
      <c r="X712" s="928"/>
    </row>
    <row r="713">
      <c r="A713" s="928"/>
      <c r="B713" s="928"/>
      <c r="C713" s="928"/>
      <c r="D713" s="928"/>
      <c r="E713" s="928"/>
      <c r="F713" s="928"/>
      <c r="G713" s="928"/>
      <c r="H713" s="928"/>
      <c r="I713" s="928"/>
      <c r="J713" s="928"/>
      <c r="K713" s="928"/>
      <c r="L713" s="928"/>
      <c r="M713" s="928"/>
      <c r="N713" s="928"/>
      <c r="O713" s="928"/>
      <c r="P713" s="928"/>
      <c r="Q713" s="928"/>
      <c r="R713" s="928"/>
      <c r="S713" s="928"/>
      <c r="T713" s="928"/>
      <c r="U713" s="928"/>
      <c r="V713" s="928"/>
      <c r="W713" s="928"/>
      <c r="X713" s="928"/>
    </row>
    <row r="714">
      <c r="A714" s="928"/>
      <c r="B714" s="928"/>
      <c r="C714" s="928"/>
      <c r="D714" s="928"/>
      <c r="E714" s="928"/>
      <c r="F714" s="928"/>
      <c r="G714" s="928"/>
      <c r="H714" s="928"/>
      <c r="I714" s="928"/>
      <c r="J714" s="928"/>
      <c r="K714" s="928"/>
      <c r="L714" s="928"/>
      <c r="M714" s="928"/>
      <c r="N714" s="928"/>
      <c r="O714" s="928"/>
      <c r="P714" s="928"/>
      <c r="Q714" s="928"/>
      <c r="R714" s="928"/>
      <c r="S714" s="928"/>
      <c r="T714" s="928"/>
      <c r="U714" s="928"/>
      <c r="V714" s="928"/>
      <c r="W714" s="928"/>
      <c r="X714" s="928"/>
    </row>
    <row r="715">
      <c r="A715" s="928"/>
      <c r="B715" s="928"/>
      <c r="C715" s="928"/>
      <c r="D715" s="928"/>
      <c r="E715" s="928"/>
      <c r="F715" s="928"/>
      <c r="G715" s="928"/>
      <c r="H715" s="928"/>
      <c r="I715" s="928"/>
      <c r="J715" s="928"/>
      <c r="K715" s="928"/>
      <c r="L715" s="928"/>
      <c r="M715" s="928"/>
      <c r="N715" s="928"/>
      <c r="O715" s="928"/>
      <c r="P715" s="928"/>
      <c r="Q715" s="928"/>
      <c r="R715" s="928"/>
      <c r="S715" s="928"/>
      <c r="T715" s="928"/>
      <c r="U715" s="928"/>
      <c r="V715" s="928"/>
      <c r="W715" s="928"/>
      <c r="X715" s="928"/>
    </row>
    <row r="716">
      <c r="A716" s="928"/>
      <c r="B716" s="928"/>
      <c r="C716" s="928"/>
      <c r="D716" s="928"/>
      <c r="E716" s="928"/>
      <c r="F716" s="928"/>
      <c r="G716" s="928"/>
      <c r="H716" s="928"/>
      <c r="I716" s="928"/>
      <c r="J716" s="928"/>
      <c r="K716" s="928"/>
      <c r="L716" s="928"/>
      <c r="M716" s="928"/>
      <c r="N716" s="928"/>
      <c r="O716" s="928"/>
      <c r="P716" s="928"/>
      <c r="Q716" s="928"/>
      <c r="R716" s="928"/>
      <c r="S716" s="928"/>
      <c r="T716" s="928"/>
      <c r="U716" s="928"/>
      <c r="V716" s="928"/>
      <c r="W716" s="928"/>
      <c r="X716" s="928"/>
    </row>
    <row r="717">
      <c r="A717" s="928"/>
      <c r="B717" s="928"/>
      <c r="C717" s="928"/>
      <c r="D717" s="928"/>
      <c r="E717" s="928"/>
      <c r="F717" s="928"/>
      <c r="G717" s="928"/>
      <c r="H717" s="928"/>
      <c r="I717" s="928"/>
      <c r="J717" s="928"/>
      <c r="K717" s="928"/>
      <c r="L717" s="928"/>
      <c r="M717" s="928"/>
      <c r="N717" s="928"/>
      <c r="O717" s="928"/>
      <c r="P717" s="928"/>
      <c r="Q717" s="928"/>
      <c r="R717" s="928"/>
      <c r="S717" s="928"/>
      <c r="T717" s="928"/>
      <c r="U717" s="928"/>
      <c r="V717" s="928"/>
      <c r="W717" s="928"/>
      <c r="X717" s="928"/>
    </row>
    <row r="718">
      <c r="A718" s="928"/>
      <c r="B718" s="928"/>
      <c r="C718" s="928"/>
      <c r="D718" s="928"/>
      <c r="E718" s="928"/>
      <c r="F718" s="928"/>
      <c r="G718" s="928"/>
      <c r="H718" s="928"/>
      <c r="I718" s="928"/>
      <c r="J718" s="928"/>
      <c r="K718" s="928"/>
      <c r="L718" s="928"/>
      <c r="M718" s="928"/>
      <c r="N718" s="928"/>
      <c r="O718" s="928"/>
      <c r="P718" s="928"/>
      <c r="Q718" s="928"/>
      <c r="R718" s="928"/>
      <c r="S718" s="928"/>
      <c r="T718" s="928"/>
      <c r="U718" s="928"/>
      <c r="V718" s="928"/>
      <c r="W718" s="928"/>
      <c r="X718" s="928"/>
    </row>
    <row r="719">
      <c r="A719" s="928"/>
      <c r="B719" s="928"/>
      <c r="C719" s="928"/>
      <c r="D719" s="928"/>
      <c r="E719" s="928"/>
      <c r="F719" s="928"/>
      <c r="G719" s="928"/>
      <c r="H719" s="928"/>
      <c r="I719" s="928"/>
      <c r="J719" s="928"/>
      <c r="K719" s="928"/>
      <c r="L719" s="928"/>
      <c r="M719" s="928"/>
      <c r="N719" s="928"/>
      <c r="O719" s="928"/>
      <c r="P719" s="928"/>
      <c r="Q719" s="928"/>
      <c r="R719" s="928"/>
      <c r="S719" s="928"/>
      <c r="T719" s="928"/>
      <c r="U719" s="928"/>
      <c r="V719" s="928"/>
      <c r="W719" s="928"/>
      <c r="X719" s="928"/>
    </row>
    <row r="720">
      <c r="A720" s="928"/>
      <c r="B720" s="928"/>
      <c r="C720" s="928"/>
      <c r="D720" s="928"/>
      <c r="E720" s="928"/>
      <c r="F720" s="928"/>
      <c r="G720" s="928"/>
      <c r="H720" s="928"/>
      <c r="I720" s="928"/>
      <c r="J720" s="928"/>
      <c r="K720" s="928"/>
      <c r="L720" s="928"/>
      <c r="M720" s="928"/>
      <c r="N720" s="928"/>
      <c r="O720" s="928"/>
      <c r="P720" s="928"/>
      <c r="Q720" s="928"/>
      <c r="R720" s="928"/>
      <c r="S720" s="928"/>
      <c r="T720" s="928"/>
      <c r="U720" s="928"/>
      <c r="V720" s="928"/>
      <c r="W720" s="928"/>
      <c r="X720" s="928"/>
    </row>
    <row r="721">
      <c r="A721" s="928"/>
      <c r="B721" s="928"/>
      <c r="C721" s="928"/>
      <c r="D721" s="928"/>
      <c r="E721" s="928"/>
      <c r="F721" s="928"/>
      <c r="G721" s="928"/>
      <c r="H721" s="928"/>
      <c r="I721" s="928"/>
      <c r="J721" s="928"/>
      <c r="K721" s="928"/>
      <c r="L721" s="928"/>
      <c r="M721" s="928"/>
      <c r="N721" s="928"/>
      <c r="O721" s="928"/>
      <c r="P721" s="928"/>
      <c r="Q721" s="928"/>
      <c r="R721" s="928"/>
      <c r="S721" s="928"/>
      <c r="T721" s="928"/>
      <c r="U721" s="928"/>
      <c r="V721" s="928"/>
      <c r="W721" s="928"/>
      <c r="X721" s="928"/>
    </row>
    <row r="722">
      <c r="A722" s="928"/>
      <c r="B722" s="928"/>
      <c r="C722" s="928"/>
      <c r="D722" s="928"/>
      <c r="E722" s="928"/>
      <c r="F722" s="928"/>
      <c r="G722" s="928"/>
      <c r="H722" s="928"/>
      <c r="I722" s="928"/>
      <c r="J722" s="928"/>
      <c r="K722" s="928"/>
      <c r="L722" s="928"/>
      <c r="M722" s="928"/>
      <c r="N722" s="928"/>
      <c r="O722" s="928"/>
      <c r="P722" s="928"/>
      <c r="Q722" s="928"/>
      <c r="R722" s="928"/>
      <c r="S722" s="928"/>
      <c r="T722" s="928"/>
      <c r="U722" s="928"/>
      <c r="V722" s="928"/>
      <c r="W722" s="928"/>
      <c r="X722" s="928"/>
    </row>
    <row r="723">
      <c r="A723" s="928"/>
      <c r="B723" s="928"/>
      <c r="C723" s="928"/>
      <c r="D723" s="928"/>
      <c r="E723" s="928"/>
      <c r="F723" s="928"/>
      <c r="G723" s="928"/>
      <c r="H723" s="928"/>
      <c r="I723" s="928"/>
      <c r="J723" s="928"/>
      <c r="K723" s="928"/>
      <c r="L723" s="928"/>
      <c r="M723" s="928"/>
      <c r="N723" s="928"/>
      <c r="O723" s="928"/>
      <c r="P723" s="928"/>
      <c r="Q723" s="928"/>
      <c r="R723" s="928"/>
      <c r="S723" s="928"/>
      <c r="T723" s="928"/>
      <c r="U723" s="928"/>
      <c r="V723" s="928"/>
      <c r="W723" s="928"/>
      <c r="X723" s="928"/>
    </row>
    <row r="724">
      <c r="A724" s="928"/>
      <c r="B724" s="928"/>
      <c r="C724" s="928"/>
      <c r="D724" s="928"/>
      <c r="E724" s="928"/>
      <c r="F724" s="928"/>
      <c r="G724" s="928"/>
      <c r="H724" s="928"/>
      <c r="I724" s="928"/>
      <c r="J724" s="928"/>
      <c r="K724" s="928"/>
      <c r="L724" s="928"/>
      <c r="M724" s="928"/>
      <c r="N724" s="928"/>
      <c r="O724" s="928"/>
      <c r="P724" s="928"/>
      <c r="Q724" s="928"/>
      <c r="R724" s="928"/>
      <c r="S724" s="928"/>
      <c r="T724" s="928"/>
      <c r="U724" s="928"/>
      <c r="V724" s="928"/>
      <c r="W724" s="928"/>
      <c r="X724" s="928"/>
    </row>
    <row r="725">
      <c r="A725" s="928"/>
      <c r="B725" s="928"/>
      <c r="C725" s="928"/>
      <c r="D725" s="928"/>
      <c r="E725" s="928"/>
      <c r="F725" s="928"/>
      <c r="G725" s="928"/>
      <c r="H725" s="928"/>
      <c r="I725" s="928"/>
      <c r="J725" s="928"/>
      <c r="K725" s="928"/>
      <c r="L725" s="928"/>
      <c r="M725" s="928"/>
      <c r="N725" s="928"/>
      <c r="O725" s="928"/>
      <c r="P725" s="928"/>
      <c r="Q725" s="928"/>
      <c r="R725" s="928"/>
      <c r="S725" s="928"/>
      <c r="T725" s="928"/>
      <c r="U725" s="928"/>
      <c r="V725" s="928"/>
      <c r="W725" s="928"/>
      <c r="X725" s="928"/>
    </row>
    <row r="726">
      <c r="A726" s="928"/>
      <c r="B726" s="928"/>
      <c r="C726" s="928"/>
      <c r="D726" s="928"/>
      <c r="E726" s="928"/>
      <c r="F726" s="928"/>
      <c r="G726" s="928"/>
      <c r="H726" s="928"/>
      <c r="I726" s="928"/>
      <c r="J726" s="928"/>
      <c r="K726" s="928"/>
      <c r="L726" s="928"/>
      <c r="M726" s="928"/>
      <c r="N726" s="928"/>
      <c r="O726" s="928"/>
      <c r="P726" s="928"/>
      <c r="Q726" s="928"/>
      <c r="R726" s="928"/>
      <c r="S726" s="928"/>
      <c r="T726" s="928"/>
      <c r="U726" s="928"/>
      <c r="V726" s="928"/>
      <c r="W726" s="928"/>
      <c r="X726" s="928"/>
    </row>
    <row r="727">
      <c r="A727" s="928"/>
      <c r="B727" s="928"/>
      <c r="C727" s="928"/>
      <c r="D727" s="928"/>
      <c r="E727" s="928"/>
      <c r="F727" s="928"/>
      <c r="G727" s="928"/>
      <c r="H727" s="928"/>
      <c r="I727" s="928"/>
      <c r="J727" s="928"/>
      <c r="K727" s="928"/>
      <c r="L727" s="928"/>
      <c r="M727" s="928"/>
      <c r="N727" s="928"/>
      <c r="O727" s="928"/>
      <c r="P727" s="928"/>
      <c r="Q727" s="928"/>
      <c r="R727" s="928"/>
      <c r="S727" s="928"/>
      <c r="T727" s="928"/>
      <c r="U727" s="928"/>
      <c r="V727" s="928"/>
      <c r="W727" s="928"/>
      <c r="X727" s="928"/>
    </row>
    <row r="728">
      <c r="A728" s="928"/>
      <c r="B728" s="928"/>
      <c r="C728" s="928"/>
      <c r="D728" s="928"/>
      <c r="E728" s="928"/>
      <c r="F728" s="928"/>
      <c r="G728" s="928"/>
      <c r="H728" s="928"/>
      <c r="I728" s="928"/>
      <c r="J728" s="928"/>
      <c r="K728" s="928"/>
      <c r="L728" s="928"/>
      <c r="M728" s="928"/>
      <c r="N728" s="928"/>
      <c r="O728" s="928"/>
      <c r="P728" s="928"/>
      <c r="Q728" s="928"/>
      <c r="R728" s="928"/>
      <c r="S728" s="928"/>
      <c r="T728" s="928"/>
      <c r="U728" s="928"/>
      <c r="V728" s="928"/>
      <c r="W728" s="928"/>
      <c r="X728" s="928"/>
    </row>
    <row r="729">
      <c r="A729" s="928"/>
      <c r="B729" s="928"/>
      <c r="C729" s="928"/>
      <c r="D729" s="928"/>
      <c r="E729" s="928"/>
      <c r="F729" s="928"/>
      <c r="G729" s="928"/>
      <c r="H729" s="928"/>
      <c r="I729" s="928"/>
      <c r="J729" s="928"/>
      <c r="K729" s="928"/>
      <c r="L729" s="928"/>
      <c r="M729" s="928"/>
      <c r="N729" s="928"/>
      <c r="O729" s="928"/>
      <c r="P729" s="928"/>
      <c r="Q729" s="928"/>
      <c r="R729" s="928"/>
      <c r="S729" s="928"/>
      <c r="T729" s="928"/>
      <c r="U729" s="928"/>
      <c r="V729" s="928"/>
      <c r="W729" s="928"/>
      <c r="X729" s="928"/>
    </row>
    <row r="730">
      <c r="A730" s="928"/>
      <c r="B730" s="928"/>
      <c r="C730" s="928"/>
      <c r="D730" s="928"/>
      <c r="E730" s="928"/>
      <c r="F730" s="928"/>
      <c r="G730" s="928"/>
      <c r="H730" s="928"/>
      <c r="I730" s="928"/>
      <c r="J730" s="928"/>
      <c r="K730" s="928"/>
      <c r="L730" s="928"/>
      <c r="M730" s="928"/>
      <c r="N730" s="928"/>
      <c r="O730" s="928"/>
      <c r="P730" s="928"/>
      <c r="Q730" s="928"/>
      <c r="R730" s="928"/>
      <c r="S730" s="928"/>
      <c r="T730" s="928"/>
      <c r="U730" s="928"/>
      <c r="V730" s="928"/>
      <c r="W730" s="928"/>
      <c r="X730" s="928"/>
    </row>
    <row r="731">
      <c r="A731" s="928"/>
      <c r="B731" s="928"/>
      <c r="C731" s="928"/>
      <c r="D731" s="928"/>
      <c r="E731" s="928"/>
      <c r="F731" s="928"/>
      <c r="G731" s="928"/>
      <c r="H731" s="928"/>
      <c r="I731" s="928"/>
      <c r="J731" s="928"/>
      <c r="K731" s="928"/>
      <c r="L731" s="928"/>
      <c r="M731" s="928"/>
      <c r="N731" s="928"/>
      <c r="O731" s="928"/>
      <c r="P731" s="928"/>
      <c r="Q731" s="928"/>
      <c r="R731" s="928"/>
      <c r="S731" s="928"/>
      <c r="T731" s="928"/>
      <c r="U731" s="928"/>
      <c r="V731" s="928"/>
      <c r="W731" s="928"/>
      <c r="X731" s="928"/>
    </row>
    <row r="732">
      <c r="A732" s="928"/>
      <c r="B732" s="928"/>
      <c r="C732" s="928"/>
      <c r="D732" s="928"/>
      <c r="E732" s="928"/>
      <c r="F732" s="928"/>
      <c r="G732" s="928"/>
      <c r="H732" s="928"/>
      <c r="I732" s="928"/>
      <c r="J732" s="928"/>
      <c r="K732" s="928"/>
      <c r="L732" s="928"/>
      <c r="M732" s="928"/>
      <c r="N732" s="928"/>
      <c r="O732" s="928"/>
      <c r="P732" s="928"/>
      <c r="Q732" s="928"/>
      <c r="R732" s="928"/>
      <c r="S732" s="928"/>
      <c r="T732" s="928"/>
      <c r="U732" s="928"/>
      <c r="V732" s="928"/>
      <c r="W732" s="928"/>
      <c r="X732" s="928"/>
    </row>
    <row r="733">
      <c r="A733" s="928"/>
      <c r="B733" s="928"/>
      <c r="C733" s="928"/>
      <c r="D733" s="928"/>
      <c r="E733" s="928"/>
      <c r="F733" s="928"/>
      <c r="G733" s="928"/>
      <c r="H733" s="928"/>
      <c r="I733" s="928"/>
      <c r="J733" s="928"/>
      <c r="K733" s="928"/>
      <c r="L733" s="928"/>
      <c r="M733" s="928"/>
      <c r="N733" s="928"/>
      <c r="O733" s="928"/>
      <c r="P733" s="928"/>
      <c r="Q733" s="928"/>
      <c r="R733" s="928"/>
      <c r="S733" s="928"/>
      <c r="T733" s="928"/>
      <c r="U733" s="928"/>
      <c r="V733" s="928"/>
      <c r="W733" s="928"/>
      <c r="X733" s="928"/>
    </row>
    <row r="734">
      <c r="A734" s="928"/>
      <c r="B734" s="928"/>
      <c r="C734" s="928"/>
      <c r="D734" s="928"/>
      <c r="E734" s="928"/>
      <c r="F734" s="928"/>
      <c r="G734" s="928"/>
      <c r="H734" s="928"/>
      <c r="I734" s="928"/>
      <c r="J734" s="928"/>
      <c r="K734" s="928"/>
      <c r="L734" s="928"/>
      <c r="M734" s="928"/>
      <c r="N734" s="928"/>
      <c r="O734" s="928"/>
      <c r="P734" s="928"/>
      <c r="Q734" s="928"/>
      <c r="R734" s="928"/>
      <c r="S734" s="928"/>
      <c r="T734" s="928"/>
      <c r="U734" s="928"/>
      <c r="V734" s="928"/>
      <c r="W734" s="928"/>
      <c r="X734" s="928"/>
    </row>
    <row r="735">
      <c r="A735" s="928"/>
      <c r="B735" s="928"/>
      <c r="C735" s="928"/>
      <c r="D735" s="928"/>
      <c r="E735" s="928"/>
      <c r="F735" s="928"/>
      <c r="G735" s="928"/>
      <c r="H735" s="928"/>
      <c r="I735" s="928"/>
      <c r="J735" s="928"/>
      <c r="K735" s="928"/>
      <c r="L735" s="928"/>
      <c r="M735" s="928"/>
      <c r="N735" s="928"/>
      <c r="O735" s="928"/>
      <c r="P735" s="928"/>
      <c r="Q735" s="928"/>
      <c r="R735" s="928"/>
      <c r="S735" s="928"/>
      <c r="T735" s="928"/>
      <c r="U735" s="928"/>
      <c r="V735" s="928"/>
      <c r="W735" s="928"/>
      <c r="X735" s="928"/>
    </row>
    <row r="736">
      <c r="A736" s="928"/>
      <c r="B736" s="928"/>
      <c r="C736" s="928"/>
      <c r="D736" s="928"/>
      <c r="E736" s="928"/>
      <c r="F736" s="928"/>
      <c r="G736" s="928"/>
      <c r="H736" s="928"/>
      <c r="I736" s="928"/>
      <c r="J736" s="928"/>
      <c r="K736" s="928"/>
      <c r="L736" s="928"/>
      <c r="M736" s="928"/>
      <c r="N736" s="928"/>
      <c r="O736" s="928"/>
      <c r="P736" s="928"/>
      <c r="Q736" s="928"/>
      <c r="R736" s="928"/>
      <c r="S736" s="928"/>
      <c r="T736" s="928"/>
      <c r="U736" s="928"/>
      <c r="V736" s="928"/>
      <c r="W736" s="928"/>
      <c r="X736" s="928"/>
    </row>
    <row r="737">
      <c r="A737" s="928"/>
      <c r="B737" s="928"/>
      <c r="C737" s="928"/>
      <c r="D737" s="928"/>
      <c r="E737" s="928"/>
      <c r="F737" s="928"/>
      <c r="G737" s="928"/>
      <c r="H737" s="928"/>
      <c r="I737" s="928"/>
      <c r="J737" s="928"/>
      <c r="K737" s="928"/>
      <c r="L737" s="928"/>
      <c r="M737" s="928"/>
      <c r="N737" s="928"/>
      <c r="O737" s="928"/>
      <c r="P737" s="928"/>
      <c r="Q737" s="928"/>
      <c r="R737" s="928"/>
      <c r="S737" s="928"/>
      <c r="T737" s="928"/>
      <c r="U737" s="928"/>
      <c r="V737" s="928"/>
      <c r="W737" s="928"/>
      <c r="X737" s="928"/>
    </row>
    <row r="738">
      <c r="A738" s="928"/>
      <c r="B738" s="928"/>
      <c r="C738" s="928"/>
      <c r="D738" s="928"/>
      <c r="E738" s="928"/>
      <c r="F738" s="928"/>
      <c r="G738" s="928"/>
      <c r="H738" s="928"/>
      <c r="I738" s="928"/>
      <c r="J738" s="928"/>
      <c r="K738" s="928"/>
      <c r="L738" s="928"/>
      <c r="M738" s="928"/>
      <c r="N738" s="928"/>
      <c r="O738" s="928"/>
      <c r="P738" s="928"/>
      <c r="Q738" s="928"/>
      <c r="R738" s="928"/>
      <c r="S738" s="928"/>
      <c r="T738" s="928"/>
      <c r="U738" s="928"/>
      <c r="V738" s="928"/>
      <c r="W738" s="928"/>
      <c r="X738" s="928"/>
    </row>
    <row r="739">
      <c r="A739" s="928"/>
      <c r="B739" s="928"/>
      <c r="C739" s="928"/>
      <c r="D739" s="928"/>
      <c r="E739" s="928"/>
      <c r="F739" s="928"/>
      <c r="G739" s="928"/>
      <c r="H739" s="928"/>
      <c r="I739" s="928"/>
      <c r="J739" s="928"/>
      <c r="K739" s="928"/>
      <c r="L739" s="928"/>
      <c r="M739" s="928"/>
      <c r="N739" s="928"/>
      <c r="O739" s="928"/>
      <c r="P739" s="928"/>
      <c r="Q739" s="928"/>
      <c r="R739" s="928"/>
      <c r="S739" s="928"/>
      <c r="T739" s="928"/>
      <c r="U739" s="928"/>
      <c r="V739" s="928"/>
      <c r="W739" s="928"/>
      <c r="X739" s="928"/>
    </row>
    <row r="740">
      <c r="A740" s="928"/>
      <c r="B740" s="928"/>
      <c r="C740" s="928"/>
      <c r="D740" s="928"/>
      <c r="E740" s="928"/>
      <c r="F740" s="928"/>
      <c r="G740" s="928"/>
      <c r="H740" s="928"/>
      <c r="I740" s="928"/>
      <c r="J740" s="928"/>
      <c r="K740" s="928"/>
      <c r="L740" s="928"/>
      <c r="M740" s="928"/>
      <c r="N740" s="928"/>
      <c r="O740" s="928"/>
      <c r="P740" s="928"/>
      <c r="Q740" s="928"/>
      <c r="R740" s="928"/>
      <c r="S740" s="928"/>
      <c r="T740" s="928"/>
      <c r="U740" s="928"/>
      <c r="V740" s="928"/>
      <c r="W740" s="928"/>
      <c r="X740" s="928"/>
    </row>
    <row r="741">
      <c r="A741" s="928"/>
      <c r="B741" s="928"/>
      <c r="C741" s="928"/>
      <c r="D741" s="928"/>
      <c r="E741" s="928"/>
      <c r="F741" s="928"/>
      <c r="G741" s="928"/>
      <c r="H741" s="928"/>
      <c r="I741" s="928"/>
      <c r="J741" s="928"/>
      <c r="K741" s="928"/>
      <c r="L741" s="928"/>
      <c r="M741" s="928"/>
      <c r="N741" s="928"/>
      <c r="O741" s="928"/>
      <c r="P741" s="928"/>
      <c r="Q741" s="928"/>
      <c r="R741" s="928"/>
      <c r="S741" s="928"/>
      <c r="T741" s="928"/>
      <c r="U741" s="928"/>
      <c r="V741" s="928"/>
      <c r="W741" s="928"/>
      <c r="X741" s="928"/>
    </row>
    <row r="742">
      <c r="A742" s="928"/>
      <c r="B742" s="928"/>
      <c r="C742" s="928"/>
      <c r="D742" s="928"/>
      <c r="E742" s="928"/>
      <c r="F742" s="928"/>
      <c r="G742" s="928"/>
      <c r="H742" s="928"/>
      <c r="I742" s="928"/>
      <c r="J742" s="928"/>
      <c r="K742" s="928"/>
      <c r="L742" s="928"/>
      <c r="M742" s="928"/>
      <c r="N742" s="928"/>
      <c r="O742" s="928"/>
      <c r="P742" s="928"/>
      <c r="Q742" s="928"/>
      <c r="R742" s="928"/>
      <c r="S742" s="928"/>
      <c r="T742" s="928"/>
      <c r="U742" s="928"/>
      <c r="V742" s="928"/>
      <c r="W742" s="928"/>
      <c r="X742" s="928"/>
    </row>
    <row r="743">
      <c r="A743" s="928"/>
      <c r="B743" s="928"/>
      <c r="C743" s="928"/>
      <c r="D743" s="928"/>
      <c r="E743" s="928"/>
      <c r="F743" s="928"/>
      <c r="G743" s="928"/>
      <c r="H743" s="928"/>
      <c r="I743" s="928"/>
      <c r="J743" s="928"/>
      <c r="K743" s="928"/>
      <c r="L743" s="928"/>
      <c r="M743" s="928"/>
      <c r="N743" s="928"/>
      <c r="O743" s="928"/>
      <c r="P743" s="928"/>
      <c r="Q743" s="928"/>
      <c r="R743" s="928"/>
      <c r="S743" s="928"/>
      <c r="T743" s="928"/>
      <c r="U743" s="928"/>
      <c r="V743" s="928"/>
      <c r="W743" s="928"/>
      <c r="X743" s="928"/>
    </row>
    <row r="744">
      <c r="A744" s="928"/>
      <c r="B744" s="928"/>
      <c r="C744" s="928"/>
      <c r="D744" s="928"/>
      <c r="E744" s="928"/>
      <c r="F744" s="928"/>
      <c r="G744" s="928"/>
      <c r="H744" s="928"/>
      <c r="I744" s="928"/>
      <c r="J744" s="928"/>
      <c r="K744" s="928"/>
      <c r="L744" s="928"/>
      <c r="M744" s="928"/>
      <c r="N744" s="928"/>
      <c r="O744" s="928"/>
      <c r="P744" s="928"/>
      <c r="Q744" s="928"/>
      <c r="R744" s="928"/>
      <c r="S744" s="928"/>
      <c r="T744" s="928"/>
      <c r="U744" s="928"/>
      <c r="V744" s="928"/>
      <c r="W744" s="928"/>
      <c r="X744" s="928"/>
    </row>
    <row r="745">
      <c r="A745" s="928"/>
      <c r="B745" s="928"/>
      <c r="C745" s="928"/>
      <c r="D745" s="928"/>
      <c r="E745" s="928"/>
      <c r="F745" s="928"/>
      <c r="G745" s="928"/>
      <c r="H745" s="928"/>
      <c r="I745" s="928"/>
      <c r="J745" s="928"/>
      <c r="K745" s="928"/>
      <c r="L745" s="928"/>
      <c r="M745" s="928"/>
      <c r="N745" s="928"/>
      <c r="O745" s="928"/>
      <c r="P745" s="928"/>
      <c r="Q745" s="928"/>
      <c r="R745" s="928"/>
      <c r="S745" s="928"/>
      <c r="T745" s="928"/>
      <c r="U745" s="928"/>
      <c r="V745" s="928"/>
      <c r="W745" s="928"/>
      <c r="X745" s="928"/>
    </row>
    <row r="746">
      <c r="A746" s="928"/>
      <c r="B746" s="928"/>
      <c r="C746" s="928"/>
      <c r="D746" s="928"/>
      <c r="E746" s="928"/>
      <c r="F746" s="928"/>
      <c r="G746" s="928"/>
      <c r="H746" s="928"/>
      <c r="I746" s="928"/>
      <c r="J746" s="928"/>
      <c r="K746" s="928"/>
      <c r="L746" s="928"/>
      <c r="M746" s="928"/>
      <c r="N746" s="928"/>
      <c r="O746" s="928"/>
      <c r="P746" s="928"/>
      <c r="Q746" s="928"/>
      <c r="R746" s="928"/>
      <c r="S746" s="928"/>
      <c r="T746" s="928"/>
      <c r="U746" s="928"/>
      <c r="V746" s="928"/>
      <c r="W746" s="928"/>
      <c r="X746" s="928"/>
    </row>
    <row r="747">
      <c r="A747" s="928"/>
      <c r="B747" s="928"/>
      <c r="C747" s="928"/>
      <c r="D747" s="928"/>
      <c r="E747" s="928"/>
      <c r="F747" s="928"/>
      <c r="G747" s="928"/>
      <c r="H747" s="928"/>
      <c r="I747" s="928"/>
      <c r="J747" s="928"/>
      <c r="K747" s="928"/>
      <c r="L747" s="928"/>
      <c r="M747" s="928"/>
      <c r="N747" s="928"/>
      <c r="O747" s="928"/>
      <c r="P747" s="928"/>
      <c r="Q747" s="928"/>
      <c r="R747" s="928"/>
      <c r="S747" s="928"/>
      <c r="T747" s="928"/>
      <c r="U747" s="928"/>
      <c r="V747" s="928"/>
      <c r="W747" s="928"/>
      <c r="X747" s="928"/>
    </row>
    <row r="748">
      <c r="A748" s="928"/>
      <c r="B748" s="928"/>
      <c r="C748" s="928"/>
      <c r="D748" s="928"/>
      <c r="E748" s="928"/>
      <c r="F748" s="928"/>
      <c r="G748" s="928"/>
      <c r="H748" s="928"/>
      <c r="I748" s="928"/>
      <c r="J748" s="928"/>
      <c r="K748" s="928"/>
      <c r="L748" s="928"/>
      <c r="M748" s="928"/>
      <c r="N748" s="928"/>
      <c r="O748" s="928"/>
      <c r="P748" s="928"/>
      <c r="Q748" s="928"/>
      <c r="R748" s="928"/>
      <c r="S748" s="928"/>
      <c r="T748" s="928"/>
      <c r="U748" s="928"/>
      <c r="V748" s="928"/>
      <c r="W748" s="928"/>
      <c r="X748" s="928"/>
    </row>
    <row r="749">
      <c r="A749" s="928"/>
      <c r="B749" s="928"/>
      <c r="C749" s="928"/>
      <c r="D749" s="928"/>
      <c r="E749" s="928"/>
      <c r="F749" s="928"/>
      <c r="G749" s="928"/>
      <c r="H749" s="928"/>
      <c r="I749" s="928"/>
      <c r="J749" s="928"/>
      <c r="K749" s="928"/>
      <c r="L749" s="928"/>
      <c r="M749" s="928"/>
      <c r="N749" s="928"/>
      <c r="O749" s="928"/>
      <c r="P749" s="928"/>
      <c r="Q749" s="928"/>
      <c r="R749" s="928"/>
      <c r="S749" s="928"/>
      <c r="T749" s="928"/>
      <c r="U749" s="928"/>
      <c r="V749" s="928"/>
      <c r="W749" s="928"/>
      <c r="X749" s="928"/>
    </row>
    <row r="750">
      <c r="A750" s="928"/>
      <c r="B750" s="928"/>
      <c r="C750" s="928"/>
      <c r="D750" s="928"/>
      <c r="E750" s="928"/>
      <c r="F750" s="928"/>
      <c r="G750" s="928"/>
      <c r="H750" s="928"/>
      <c r="I750" s="928"/>
      <c r="J750" s="928"/>
      <c r="K750" s="928"/>
      <c r="L750" s="928"/>
      <c r="M750" s="928"/>
      <c r="N750" s="928"/>
      <c r="O750" s="928"/>
      <c r="P750" s="928"/>
      <c r="Q750" s="928"/>
      <c r="R750" s="928"/>
      <c r="S750" s="928"/>
      <c r="T750" s="928"/>
      <c r="U750" s="928"/>
      <c r="V750" s="928"/>
      <c r="W750" s="928"/>
      <c r="X750" s="928"/>
    </row>
    <row r="751">
      <c r="A751" s="928"/>
      <c r="B751" s="928"/>
      <c r="C751" s="928"/>
      <c r="D751" s="928"/>
      <c r="E751" s="928"/>
      <c r="F751" s="928"/>
      <c r="G751" s="928"/>
      <c r="H751" s="928"/>
      <c r="I751" s="928"/>
      <c r="J751" s="928"/>
      <c r="K751" s="928"/>
      <c r="L751" s="928"/>
      <c r="M751" s="928"/>
      <c r="N751" s="928"/>
      <c r="O751" s="928"/>
      <c r="P751" s="928"/>
      <c r="Q751" s="928"/>
      <c r="R751" s="928"/>
      <c r="S751" s="928"/>
      <c r="T751" s="928"/>
      <c r="U751" s="928"/>
      <c r="V751" s="928"/>
      <c r="W751" s="928"/>
      <c r="X751" s="928"/>
    </row>
    <row r="752">
      <c r="A752" s="928"/>
      <c r="B752" s="928"/>
      <c r="C752" s="928"/>
      <c r="D752" s="928"/>
      <c r="E752" s="928"/>
      <c r="F752" s="928"/>
      <c r="G752" s="928"/>
      <c r="H752" s="928"/>
      <c r="I752" s="928"/>
      <c r="J752" s="928"/>
      <c r="K752" s="928"/>
      <c r="L752" s="928"/>
      <c r="M752" s="928"/>
      <c r="N752" s="928"/>
      <c r="O752" s="928"/>
      <c r="P752" s="928"/>
      <c r="Q752" s="928"/>
      <c r="R752" s="928"/>
      <c r="S752" s="928"/>
      <c r="T752" s="928"/>
      <c r="U752" s="928"/>
      <c r="V752" s="928"/>
      <c r="W752" s="928"/>
      <c r="X752" s="928"/>
    </row>
    <row r="753">
      <c r="A753" s="928"/>
      <c r="B753" s="928"/>
      <c r="C753" s="928"/>
      <c r="D753" s="928"/>
      <c r="E753" s="928"/>
      <c r="F753" s="928"/>
      <c r="G753" s="928"/>
      <c r="H753" s="928"/>
      <c r="I753" s="928"/>
      <c r="J753" s="928"/>
      <c r="K753" s="928"/>
      <c r="L753" s="928"/>
      <c r="M753" s="928"/>
      <c r="N753" s="928"/>
      <c r="O753" s="928"/>
      <c r="P753" s="928"/>
      <c r="Q753" s="928"/>
      <c r="R753" s="928"/>
      <c r="S753" s="928"/>
      <c r="T753" s="928"/>
      <c r="U753" s="928"/>
      <c r="V753" s="928"/>
      <c r="W753" s="928"/>
      <c r="X753" s="928"/>
    </row>
    <row r="754">
      <c r="A754" s="928"/>
      <c r="B754" s="928"/>
      <c r="C754" s="928"/>
      <c r="D754" s="928"/>
      <c r="E754" s="928"/>
      <c r="F754" s="928"/>
      <c r="G754" s="928"/>
      <c r="H754" s="928"/>
      <c r="I754" s="928"/>
      <c r="J754" s="928"/>
      <c r="K754" s="928"/>
      <c r="L754" s="928"/>
      <c r="M754" s="928"/>
      <c r="N754" s="928"/>
      <c r="O754" s="928"/>
      <c r="P754" s="928"/>
      <c r="Q754" s="928"/>
      <c r="R754" s="928"/>
      <c r="S754" s="928"/>
      <c r="T754" s="928"/>
      <c r="U754" s="928"/>
      <c r="V754" s="928"/>
      <c r="W754" s="928"/>
      <c r="X754" s="928"/>
    </row>
    <row r="755">
      <c r="A755" s="928"/>
      <c r="B755" s="928"/>
      <c r="C755" s="928"/>
      <c r="D755" s="928"/>
      <c r="E755" s="928"/>
      <c r="F755" s="928"/>
      <c r="G755" s="928"/>
      <c r="H755" s="928"/>
      <c r="I755" s="928"/>
      <c r="J755" s="928"/>
      <c r="K755" s="928"/>
      <c r="L755" s="928"/>
      <c r="M755" s="928"/>
      <c r="N755" s="928"/>
      <c r="O755" s="928"/>
      <c r="P755" s="928"/>
      <c r="Q755" s="928"/>
      <c r="R755" s="928"/>
      <c r="S755" s="928"/>
      <c r="T755" s="928"/>
      <c r="U755" s="928"/>
      <c r="V755" s="928"/>
      <c r="W755" s="928"/>
      <c r="X755" s="928"/>
    </row>
    <row r="756">
      <c r="A756" s="928"/>
      <c r="B756" s="928"/>
      <c r="C756" s="928"/>
      <c r="D756" s="928"/>
      <c r="E756" s="928"/>
      <c r="F756" s="928"/>
      <c r="G756" s="928"/>
      <c r="H756" s="928"/>
      <c r="I756" s="928"/>
      <c r="J756" s="928"/>
      <c r="K756" s="928"/>
      <c r="L756" s="928"/>
      <c r="M756" s="928"/>
      <c r="N756" s="928"/>
      <c r="O756" s="928"/>
      <c r="P756" s="928"/>
      <c r="Q756" s="928"/>
      <c r="R756" s="928"/>
      <c r="S756" s="928"/>
      <c r="T756" s="928"/>
      <c r="U756" s="928"/>
      <c r="V756" s="928"/>
      <c r="W756" s="928"/>
      <c r="X756" s="928"/>
    </row>
    <row r="757">
      <c r="A757" s="928"/>
      <c r="B757" s="928"/>
      <c r="C757" s="928"/>
      <c r="D757" s="928"/>
      <c r="E757" s="928"/>
      <c r="F757" s="928"/>
      <c r="G757" s="928"/>
      <c r="H757" s="928"/>
      <c r="I757" s="928"/>
      <c r="J757" s="928"/>
      <c r="K757" s="928"/>
      <c r="L757" s="928"/>
      <c r="M757" s="928"/>
      <c r="N757" s="928"/>
      <c r="O757" s="928"/>
      <c r="P757" s="928"/>
      <c r="Q757" s="928"/>
      <c r="R757" s="928"/>
      <c r="S757" s="928"/>
      <c r="T757" s="928"/>
      <c r="U757" s="928"/>
      <c r="V757" s="928"/>
      <c r="W757" s="928"/>
      <c r="X757" s="928"/>
    </row>
    <row r="758">
      <c r="A758" s="928"/>
      <c r="B758" s="928"/>
      <c r="C758" s="928"/>
      <c r="D758" s="928"/>
      <c r="E758" s="928"/>
      <c r="F758" s="928"/>
      <c r="G758" s="928"/>
      <c r="H758" s="928"/>
      <c r="I758" s="928"/>
      <c r="J758" s="928"/>
      <c r="K758" s="928"/>
      <c r="L758" s="928"/>
      <c r="M758" s="928"/>
      <c r="N758" s="928"/>
      <c r="O758" s="928"/>
      <c r="P758" s="928"/>
      <c r="Q758" s="928"/>
      <c r="R758" s="928"/>
      <c r="S758" s="928"/>
      <c r="T758" s="928"/>
      <c r="U758" s="928"/>
      <c r="V758" s="928"/>
      <c r="W758" s="928"/>
      <c r="X758" s="928"/>
    </row>
    <row r="759">
      <c r="A759" s="928"/>
      <c r="B759" s="928"/>
      <c r="C759" s="928"/>
      <c r="D759" s="928"/>
      <c r="E759" s="928"/>
      <c r="F759" s="928"/>
      <c r="G759" s="928"/>
      <c r="H759" s="928"/>
      <c r="I759" s="928"/>
      <c r="J759" s="928"/>
      <c r="K759" s="928"/>
      <c r="L759" s="928"/>
      <c r="M759" s="928"/>
      <c r="N759" s="928"/>
      <c r="O759" s="928"/>
      <c r="P759" s="928"/>
      <c r="Q759" s="928"/>
      <c r="R759" s="928"/>
      <c r="S759" s="928"/>
      <c r="T759" s="928"/>
      <c r="U759" s="928"/>
      <c r="V759" s="928"/>
      <c r="W759" s="928"/>
      <c r="X759" s="928"/>
    </row>
    <row r="760">
      <c r="A760" s="928"/>
      <c r="B760" s="928"/>
      <c r="C760" s="928"/>
      <c r="D760" s="928"/>
      <c r="E760" s="928"/>
      <c r="F760" s="928"/>
      <c r="G760" s="928"/>
      <c r="H760" s="928"/>
      <c r="I760" s="928"/>
      <c r="J760" s="928"/>
      <c r="K760" s="928"/>
      <c r="L760" s="928"/>
      <c r="M760" s="928"/>
      <c r="N760" s="928"/>
      <c r="O760" s="928"/>
      <c r="P760" s="928"/>
      <c r="Q760" s="928"/>
      <c r="R760" s="928"/>
      <c r="S760" s="928"/>
      <c r="T760" s="928"/>
      <c r="U760" s="928"/>
      <c r="V760" s="928"/>
      <c r="W760" s="928"/>
      <c r="X760" s="928"/>
    </row>
    <row r="761">
      <c r="A761" s="928"/>
      <c r="B761" s="928"/>
      <c r="C761" s="928"/>
      <c r="D761" s="928"/>
      <c r="E761" s="928"/>
      <c r="F761" s="928"/>
      <c r="G761" s="928"/>
      <c r="H761" s="928"/>
      <c r="I761" s="928"/>
      <c r="J761" s="928"/>
      <c r="K761" s="928"/>
      <c r="L761" s="928"/>
      <c r="M761" s="928"/>
      <c r="N761" s="928"/>
      <c r="O761" s="928"/>
      <c r="P761" s="928"/>
      <c r="Q761" s="928"/>
      <c r="R761" s="928"/>
      <c r="S761" s="928"/>
      <c r="T761" s="928"/>
      <c r="U761" s="928"/>
      <c r="V761" s="928"/>
      <c r="W761" s="928"/>
      <c r="X761" s="928"/>
    </row>
    <row r="762">
      <c r="A762" s="928"/>
      <c r="B762" s="928"/>
      <c r="C762" s="928"/>
      <c r="D762" s="928"/>
      <c r="E762" s="928"/>
      <c r="F762" s="928"/>
      <c r="G762" s="928"/>
      <c r="H762" s="928"/>
      <c r="I762" s="928"/>
      <c r="J762" s="928"/>
      <c r="K762" s="928"/>
      <c r="L762" s="928"/>
      <c r="M762" s="928"/>
      <c r="N762" s="928"/>
      <c r="O762" s="928"/>
      <c r="P762" s="928"/>
      <c r="Q762" s="928"/>
      <c r="R762" s="928"/>
      <c r="S762" s="928"/>
      <c r="T762" s="928"/>
      <c r="U762" s="928"/>
      <c r="V762" s="928"/>
      <c r="W762" s="928"/>
      <c r="X762" s="928"/>
    </row>
    <row r="763">
      <c r="A763" s="928"/>
      <c r="B763" s="928"/>
      <c r="C763" s="928"/>
      <c r="D763" s="928"/>
      <c r="E763" s="928"/>
      <c r="F763" s="928"/>
      <c r="G763" s="928"/>
      <c r="H763" s="928"/>
      <c r="I763" s="928"/>
      <c r="J763" s="928"/>
      <c r="K763" s="928"/>
      <c r="L763" s="928"/>
      <c r="M763" s="928"/>
      <c r="N763" s="928"/>
      <c r="O763" s="928"/>
      <c r="P763" s="928"/>
      <c r="Q763" s="928"/>
      <c r="R763" s="928"/>
      <c r="S763" s="928"/>
      <c r="T763" s="928"/>
      <c r="U763" s="928"/>
      <c r="V763" s="928"/>
      <c r="W763" s="928"/>
      <c r="X763" s="928"/>
    </row>
    <row r="764">
      <c r="A764" s="928"/>
      <c r="B764" s="928"/>
      <c r="C764" s="928"/>
      <c r="D764" s="928"/>
      <c r="E764" s="928"/>
      <c r="F764" s="928"/>
      <c r="G764" s="928"/>
      <c r="H764" s="928"/>
      <c r="I764" s="928"/>
      <c r="J764" s="928"/>
      <c r="K764" s="928"/>
      <c r="L764" s="928"/>
      <c r="M764" s="928"/>
      <c r="N764" s="928"/>
      <c r="O764" s="928"/>
      <c r="P764" s="928"/>
      <c r="Q764" s="928"/>
      <c r="R764" s="928"/>
      <c r="S764" s="928"/>
      <c r="T764" s="928"/>
      <c r="U764" s="928"/>
      <c r="V764" s="928"/>
      <c r="W764" s="928"/>
      <c r="X764" s="928"/>
    </row>
    <row r="765">
      <c r="A765" s="928"/>
      <c r="B765" s="928"/>
      <c r="C765" s="928"/>
      <c r="D765" s="928"/>
      <c r="E765" s="928"/>
      <c r="F765" s="928"/>
      <c r="G765" s="928"/>
      <c r="H765" s="928"/>
      <c r="I765" s="928"/>
      <c r="J765" s="928"/>
      <c r="K765" s="928"/>
      <c r="L765" s="928"/>
      <c r="M765" s="928"/>
      <c r="N765" s="928"/>
      <c r="O765" s="928"/>
      <c r="P765" s="928"/>
      <c r="Q765" s="928"/>
      <c r="R765" s="928"/>
      <c r="S765" s="928"/>
      <c r="T765" s="928"/>
      <c r="U765" s="928"/>
      <c r="V765" s="928"/>
      <c r="W765" s="928"/>
      <c r="X765" s="928"/>
    </row>
    <row r="766">
      <c r="A766" s="928"/>
      <c r="B766" s="928"/>
      <c r="C766" s="928"/>
      <c r="D766" s="928"/>
      <c r="E766" s="928"/>
      <c r="F766" s="928"/>
      <c r="G766" s="928"/>
      <c r="H766" s="928"/>
      <c r="I766" s="928"/>
      <c r="J766" s="928"/>
      <c r="K766" s="928"/>
      <c r="L766" s="928"/>
      <c r="M766" s="928"/>
      <c r="N766" s="928"/>
      <c r="O766" s="928"/>
      <c r="P766" s="928"/>
      <c r="Q766" s="928"/>
      <c r="R766" s="928"/>
      <c r="S766" s="928"/>
      <c r="T766" s="928"/>
      <c r="U766" s="928"/>
      <c r="V766" s="928"/>
      <c r="W766" s="928"/>
      <c r="X766" s="928"/>
    </row>
    <row r="767">
      <c r="A767" s="928"/>
      <c r="B767" s="928"/>
      <c r="C767" s="928"/>
      <c r="D767" s="928"/>
      <c r="E767" s="928"/>
      <c r="F767" s="928"/>
      <c r="G767" s="928"/>
      <c r="H767" s="928"/>
      <c r="I767" s="928"/>
      <c r="J767" s="928"/>
      <c r="K767" s="928"/>
      <c r="L767" s="928"/>
      <c r="M767" s="928"/>
      <c r="N767" s="928"/>
      <c r="O767" s="928"/>
      <c r="P767" s="928"/>
      <c r="Q767" s="928"/>
      <c r="R767" s="928"/>
      <c r="S767" s="928"/>
      <c r="T767" s="928"/>
      <c r="U767" s="928"/>
      <c r="V767" s="928"/>
      <c r="W767" s="928"/>
      <c r="X767" s="928"/>
    </row>
    <row r="768">
      <c r="A768" s="928"/>
      <c r="B768" s="928"/>
      <c r="C768" s="928"/>
      <c r="D768" s="928"/>
      <c r="E768" s="928"/>
      <c r="F768" s="928"/>
      <c r="G768" s="928"/>
      <c r="H768" s="928"/>
      <c r="I768" s="928"/>
      <c r="J768" s="928"/>
      <c r="K768" s="928"/>
      <c r="L768" s="928"/>
      <c r="M768" s="928"/>
      <c r="N768" s="928"/>
      <c r="O768" s="928"/>
      <c r="P768" s="928"/>
      <c r="Q768" s="928"/>
      <c r="R768" s="928"/>
      <c r="S768" s="928"/>
      <c r="T768" s="928"/>
      <c r="U768" s="928"/>
      <c r="V768" s="928"/>
      <c r="W768" s="928"/>
      <c r="X768" s="928"/>
    </row>
    <row r="769">
      <c r="A769" s="928"/>
      <c r="B769" s="928"/>
      <c r="C769" s="928"/>
      <c r="D769" s="928"/>
      <c r="E769" s="928"/>
      <c r="F769" s="928"/>
      <c r="G769" s="928"/>
      <c r="H769" s="928"/>
      <c r="I769" s="928"/>
      <c r="J769" s="928"/>
      <c r="K769" s="928"/>
      <c r="L769" s="928"/>
      <c r="M769" s="928"/>
      <c r="N769" s="928"/>
      <c r="O769" s="928"/>
      <c r="P769" s="928"/>
      <c r="Q769" s="928"/>
      <c r="R769" s="928"/>
      <c r="S769" s="928"/>
      <c r="T769" s="928"/>
      <c r="U769" s="928"/>
      <c r="V769" s="928"/>
      <c r="W769" s="928"/>
      <c r="X769" s="928"/>
    </row>
    <row r="770">
      <c r="A770" s="928"/>
      <c r="B770" s="928"/>
      <c r="C770" s="928"/>
      <c r="D770" s="928"/>
      <c r="E770" s="928"/>
      <c r="F770" s="928"/>
      <c r="G770" s="928"/>
      <c r="H770" s="928"/>
      <c r="I770" s="928"/>
      <c r="J770" s="928"/>
      <c r="K770" s="928"/>
      <c r="L770" s="928"/>
      <c r="M770" s="928"/>
      <c r="N770" s="928"/>
      <c r="O770" s="928"/>
      <c r="P770" s="928"/>
      <c r="Q770" s="928"/>
      <c r="R770" s="928"/>
      <c r="S770" s="928"/>
      <c r="T770" s="928"/>
      <c r="U770" s="928"/>
      <c r="V770" s="928"/>
      <c r="W770" s="928"/>
      <c r="X770" s="928"/>
    </row>
    <row r="771">
      <c r="A771" s="928"/>
      <c r="B771" s="928"/>
      <c r="C771" s="928"/>
      <c r="D771" s="928"/>
      <c r="E771" s="928"/>
      <c r="F771" s="928"/>
      <c r="G771" s="928"/>
      <c r="H771" s="928"/>
      <c r="I771" s="928"/>
      <c r="J771" s="928"/>
      <c r="K771" s="928"/>
      <c r="L771" s="928"/>
      <c r="M771" s="928"/>
      <c r="N771" s="928"/>
      <c r="O771" s="928"/>
      <c r="P771" s="928"/>
      <c r="Q771" s="928"/>
      <c r="R771" s="928"/>
      <c r="S771" s="928"/>
      <c r="T771" s="928"/>
      <c r="U771" s="928"/>
      <c r="V771" s="928"/>
      <c r="W771" s="928"/>
      <c r="X771" s="928"/>
    </row>
    <row r="772">
      <c r="A772" s="928"/>
      <c r="B772" s="928"/>
      <c r="C772" s="928"/>
      <c r="D772" s="928"/>
      <c r="E772" s="928"/>
      <c r="F772" s="928"/>
      <c r="G772" s="928"/>
      <c r="H772" s="928"/>
      <c r="I772" s="928"/>
      <c r="J772" s="928"/>
      <c r="K772" s="928"/>
      <c r="L772" s="928"/>
      <c r="M772" s="928"/>
      <c r="N772" s="928"/>
      <c r="O772" s="928"/>
      <c r="P772" s="928"/>
      <c r="Q772" s="928"/>
      <c r="R772" s="928"/>
      <c r="S772" s="928"/>
      <c r="T772" s="928"/>
      <c r="U772" s="928"/>
      <c r="V772" s="928"/>
      <c r="W772" s="928"/>
      <c r="X772" s="928"/>
    </row>
    <row r="773">
      <c r="A773" s="928"/>
      <c r="B773" s="928"/>
      <c r="C773" s="928"/>
      <c r="D773" s="928"/>
      <c r="E773" s="928"/>
      <c r="F773" s="928"/>
      <c r="G773" s="928"/>
      <c r="H773" s="928"/>
      <c r="I773" s="928"/>
      <c r="J773" s="928"/>
      <c r="K773" s="928"/>
      <c r="L773" s="928"/>
      <c r="M773" s="928"/>
      <c r="N773" s="928"/>
      <c r="O773" s="928"/>
      <c r="P773" s="928"/>
      <c r="Q773" s="928"/>
      <c r="R773" s="928"/>
      <c r="S773" s="928"/>
      <c r="T773" s="928"/>
      <c r="U773" s="928"/>
      <c r="V773" s="928"/>
      <c r="W773" s="928"/>
      <c r="X773" s="928"/>
    </row>
    <row r="774">
      <c r="A774" s="928"/>
      <c r="B774" s="928"/>
      <c r="C774" s="928"/>
      <c r="D774" s="928"/>
      <c r="E774" s="928"/>
      <c r="F774" s="928"/>
      <c r="G774" s="928"/>
      <c r="H774" s="928"/>
      <c r="I774" s="928"/>
      <c r="J774" s="928"/>
      <c r="K774" s="928"/>
      <c r="L774" s="928"/>
      <c r="M774" s="928"/>
      <c r="N774" s="928"/>
      <c r="O774" s="928"/>
      <c r="P774" s="928"/>
      <c r="Q774" s="928"/>
      <c r="R774" s="928"/>
      <c r="S774" s="928"/>
      <c r="T774" s="928"/>
      <c r="U774" s="928"/>
      <c r="V774" s="928"/>
      <c r="W774" s="928"/>
      <c r="X774" s="928"/>
    </row>
    <row r="775">
      <c r="A775" s="928"/>
      <c r="B775" s="928"/>
      <c r="C775" s="928"/>
      <c r="D775" s="928"/>
      <c r="E775" s="928"/>
      <c r="F775" s="928"/>
      <c r="G775" s="928"/>
      <c r="H775" s="928"/>
      <c r="I775" s="928"/>
      <c r="J775" s="928"/>
      <c r="K775" s="928"/>
      <c r="L775" s="928"/>
      <c r="M775" s="928"/>
      <c r="N775" s="928"/>
      <c r="O775" s="928"/>
      <c r="P775" s="928"/>
      <c r="Q775" s="928"/>
      <c r="R775" s="928"/>
      <c r="S775" s="928"/>
      <c r="T775" s="928"/>
      <c r="U775" s="928"/>
      <c r="V775" s="928"/>
      <c r="W775" s="928"/>
      <c r="X775" s="928"/>
    </row>
    <row r="776">
      <c r="A776" s="928"/>
      <c r="B776" s="928"/>
      <c r="C776" s="928"/>
      <c r="D776" s="928"/>
      <c r="E776" s="928"/>
      <c r="F776" s="928"/>
      <c r="G776" s="928"/>
      <c r="H776" s="928"/>
      <c r="I776" s="928"/>
      <c r="J776" s="928"/>
      <c r="K776" s="928"/>
      <c r="L776" s="928"/>
      <c r="M776" s="928"/>
      <c r="N776" s="928"/>
      <c r="O776" s="928"/>
      <c r="P776" s="928"/>
      <c r="Q776" s="928"/>
      <c r="R776" s="928"/>
      <c r="S776" s="928"/>
      <c r="T776" s="928"/>
      <c r="U776" s="928"/>
      <c r="V776" s="928"/>
      <c r="W776" s="928"/>
      <c r="X776" s="928"/>
    </row>
    <row r="777">
      <c r="A777" s="928"/>
      <c r="B777" s="928"/>
      <c r="C777" s="928"/>
      <c r="D777" s="928"/>
      <c r="E777" s="928"/>
      <c r="F777" s="928"/>
      <c r="G777" s="928"/>
      <c r="H777" s="928"/>
      <c r="I777" s="928"/>
      <c r="J777" s="928"/>
      <c r="K777" s="928"/>
      <c r="L777" s="928"/>
      <c r="M777" s="928"/>
      <c r="N777" s="928"/>
      <c r="O777" s="928"/>
      <c r="P777" s="928"/>
      <c r="Q777" s="928"/>
      <c r="R777" s="928"/>
      <c r="S777" s="928"/>
      <c r="T777" s="928"/>
      <c r="U777" s="928"/>
      <c r="V777" s="928"/>
      <c r="W777" s="928"/>
      <c r="X777" s="928"/>
    </row>
    <row r="778">
      <c r="A778" s="928"/>
      <c r="B778" s="928"/>
      <c r="C778" s="928"/>
      <c r="D778" s="928"/>
      <c r="E778" s="928"/>
      <c r="F778" s="928"/>
      <c r="G778" s="928"/>
      <c r="H778" s="928"/>
      <c r="I778" s="928"/>
      <c r="J778" s="928"/>
      <c r="K778" s="928"/>
      <c r="L778" s="928"/>
      <c r="M778" s="928"/>
      <c r="N778" s="928"/>
      <c r="O778" s="928"/>
      <c r="P778" s="928"/>
      <c r="Q778" s="928"/>
      <c r="R778" s="928"/>
      <c r="S778" s="928"/>
      <c r="T778" s="928"/>
      <c r="U778" s="928"/>
      <c r="V778" s="928"/>
      <c r="W778" s="928"/>
      <c r="X778" s="928"/>
    </row>
    <row r="779">
      <c r="A779" s="928"/>
      <c r="B779" s="928"/>
      <c r="C779" s="928"/>
      <c r="D779" s="928"/>
      <c r="E779" s="928"/>
      <c r="F779" s="928"/>
      <c r="G779" s="928"/>
      <c r="H779" s="928"/>
      <c r="I779" s="928"/>
      <c r="J779" s="928"/>
      <c r="K779" s="928"/>
      <c r="L779" s="928"/>
      <c r="M779" s="928"/>
      <c r="N779" s="928"/>
      <c r="O779" s="928"/>
      <c r="P779" s="928"/>
      <c r="Q779" s="928"/>
      <c r="R779" s="928"/>
      <c r="S779" s="928"/>
      <c r="T779" s="928"/>
      <c r="U779" s="928"/>
      <c r="V779" s="928"/>
      <c r="W779" s="928"/>
      <c r="X779" s="928"/>
    </row>
    <row r="780">
      <c r="A780" s="928"/>
      <c r="B780" s="928"/>
      <c r="C780" s="928"/>
      <c r="D780" s="928"/>
      <c r="E780" s="928"/>
      <c r="F780" s="928"/>
      <c r="G780" s="928"/>
      <c r="H780" s="928"/>
      <c r="I780" s="928"/>
      <c r="J780" s="928"/>
      <c r="K780" s="928"/>
      <c r="L780" s="928"/>
      <c r="M780" s="928"/>
      <c r="N780" s="928"/>
      <c r="O780" s="928"/>
      <c r="P780" s="928"/>
      <c r="Q780" s="928"/>
      <c r="R780" s="928"/>
      <c r="S780" s="928"/>
      <c r="T780" s="928"/>
      <c r="U780" s="928"/>
      <c r="V780" s="928"/>
      <c r="W780" s="928"/>
      <c r="X780" s="928"/>
    </row>
    <row r="781">
      <c r="A781" s="928"/>
      <c r="B781" s="928"/>
      <c r="C781" s="928"/>
      <c r="D781" s="928"/>
      <c r="E781" s="928"/>
      <c r="F781" s="928"/>
      <c r="G781" s="928"/>
      <c r="H781" s="928"/>
      <c r="I781" s="928"/>
      <c r="J781" s="928"/>
      <c r="K781" s="928"/>
      <c r="L781" s="928"/>
      <c r="M781" s="928"/>
      <c r="N781" s="928"/>
      <c r="O781" s="928"/>
      <c r="P781" s="928"/>
      <c r="Q781" s="928"/>
      <c r="R781" s="928"/>
      <c r="S781" s="928"/>
      <c r="T781" s="928"/>
      <c r="U781" s="928"/>
      <c r="V781" s="928"/>
      <c r="W781" s="928"/>
      <c r="X781" s="928"/>
    </row>
    <row r="782">
      <c r="A782" s="928"/>
      <c r="B782" s="928"/>
      <c r="C782" s="928"/>
      <c r="D782" s="928"/>
      <c r="E782" s="928"/>
      <c r="F782" s="928"/>
      <c r="G782" s="928"/>
      <c r="H782" s="928"/>
      <c r="I782" s="928"/>
      <c r="J782" s="928"/>
      <c r="K782" s="928"/>
      <c r="L782" s="928"/>
      <c r="M782" s="928"/>
      <c r="N782" s="928"/>
      <c r="O782" s="928"/>
      <c r="P782" s="928"/>
      <c r="Q782" s="928"/>
      <c r="R782" s="928"/>
      <c r="S782" s="928"/>
      <c r="T782" s="928"/>
      <c r="U782" s="928"/>
      <c r="V782" s="928"/>
      <c r="W782" s="928"/>
      <c r="X782" s="928"/>
    </row>
    <row r="783">
      <c r="A783" s="928"/>
      <c r="B783" s="928"/>
      <c r="C783" s="928"/>
      <c r="D783" s="928"/>
      <c r="E783" s="928"/>
      <c r="F783" s="928"/>
      <c r="G783" s="928"/>
      <c r="H783" s="928"/>
      <c r="I783" s="928"/>
      <c r="J783" s="928"/>
      <c r="K783" s="928"/>
      <c r="L783" s="928"/>
      <c r="M783" s="928"/>
      <c r="N783" s="928"/>
      <c r="O783" s="928"/>
      <c r="P783" s="928"/>
      <c r="Q783" s="928"/>
      <c r="R783" s="928"/>
      <c r="S783" s="928"/>
      <c r="T783" s="928"/>
      <c r="U783" s="928"/>
      <c r="V783" s="928"/>
      <c r="W783" s="928"/>
      <c r="X783" s="928"/>
    </row>
    <row r="784">
      <c r="A784" s="928"/>
      <c r="B784" s="928"/>
      <c r="C784" s="928"/>
      <c r="D784" s="928"/>
      <c r="E784" s="928"/>
      <c r="F784" s="928"/>
      <c r="G784" s="928"/>
      <c r="H784" s="928"/>
      <c r="I784" s="928"/>
      <c r="J784" s="928"/>
      <c r="K784" s="928"/>
      <c r="L784" s="928"/>
      <c r="M784" s="928"/>
      <c r="N784" s="928"/>
      <c r="O784" s="928"/>
      <c r="P784" s="928"/>
      <c r="Q784" s="928"/>
      <c r="R784" s="928"/>
      <c r="S784" s="928"/>
      <c r="T784" s="928"/>
      <c r="U784" s="928"/>
      <c r="V784" s="928"/>
      <c r="W784" s="928"/>
      <c r="X784" s="928"/>
    </row>
    <row r="785">
      <c r="A785" s="928"/>
      <c r="B785" s="928"/>
      <c r="C785" s="928"/>
      <c r="D785" s="928"/>
      <c r="E785" s="928"/>
      <c r="F785" s="928"/>
      <c r="G785" s="928"/>
      <c r="H785" s="928"/>
      <c r="I785" s="928"/>
      <c r="J785" s="928"/>
      <c r="K785" s="928"/>
      <c r="L785" s="928"/>
      <c r="M785" s="928"/>
      <c r="N785" s="928"/>
      <c r="O785" s="928"/>
      <c r="P785" s="928"/>
      <c r="Q785" s="928"/>
      <c r="R785" s="928"/>
      <c r="S785" s="928"/>
      <c r="T785" s="928"/>
      <c r="U785" s="928"/>
      <c r="V785" s="928"/>
      <c r="W785" s="928"/>
      <c r="X785" s="928"/>
    </row>
    <row r="786">
      <c r="A786" s="928"/>
      <c r="B786" s="928"/>
      <c r="C786" s="928"/>
      <c r="D786" s="928"/>
      <c r="E786" s="928"/>
      <c r="F786" s="928"/>
      <c r="G786" s="928"/>
      <c r="H786" s="928"/>
      <c r="I786" s="928"/>
      <c r="J786" s="928"/>
      <c r="K786" s="928"/>
      <c r="L786" s="928"/>
      <c r="M786" s="928"/>
      <c r="N786" s="928"/>
      <c r="O786" s="928"/>
      <c r="P786" s="928"/>
      <c r="Q786" s="928"/>
      <c r="R786" s="928"/>
      <c r="S786" s="928"/>
      <c r="T786" s="928"/>
      <c r="U786" s="928"/>
      <c r="V786" s="928"/>
      <c r="W786" s="928"/>
      <c r="X786" s="928"/>
    </row>
    <row r="787">
      <c r="A787" s="928"/>
      <c r="B787" s="928"/>
      <c r="C787" s="928"/>
      <c r="D787" s="928"/>
      <c r="E787" s="928"/>
      <c r="F787" s="928"/>
      <c r="G787" s="928"/>
      <c r="H787" s="928"/>
      <c r="I787" s="928"/>
      <c r="J787" s="928"/>
      <c r="K787" s="928"/>
      <c r="L787" s="928"/>
      <c r="M787" s="928"/>
      <c r="N787" s="928"/>
      <c r="O787" s="928"/>
      <c r="P787" s="928"/>
      <c r="Q787" s="928"/>
      <c r="R787" s="928"/>
      <c r="S787" s="928"/>
      <c r="T787" s="928"/>
      <c r="U787" s="928"/>
      <c r="V787" s="928"/>
      <c r="W787" s="928"/>
      <c r="X787" s="928"/>
    </row>
    <row r="788">
      <c r="A788" s="928"/>
      <c r="B788" s="928"/>
      <c r="C788" s="928"/>
      <c r="D788" s="928"/>
      <c r="E788" s="928"/>
      <c r="F788" s="928"/>
      <c r="G788" s="928"/>
      <c r="H788" s="928"/>
      <c r="I788" s="928"/>
      <c r="J788" s="928"/>
      <c r="K788" s="928"/>
      <c r="L788" s="928"/>
      <c r="M788" s="928"/>
      <c r="N788" s="928"/>
      <c r="O788" s="928"/>
      <c r="P788" s="928"/>
      <c r="Q788" s="928"/>
      <c r="R788" s="928"/>
      <c r="S788" s="928"/>
      <c r="T788" s="928"/>
      <c r="U788" s="928"/>
      <c r="V788" s="928"/>
      <c r="W788" s="928"/>
      <c r="X788" s="928"/>
    </row>
    <row r="789">
      <c r="A789" s="928"/>
      <c r="B789" s="928"/>
      <c r="C789" s="928"/>
      <c r="D789" s="928"/>
      <c r="E789" s="928"/>
      <c r="F789" s="928"/>
      <c r="G789" s="928"/>
      <c r="H789" s="928"/>
      <c r="I789" s="928"/>
      <c r="J789" s="928"/>
      <c r="K789" s="928"/>
      <c r="L789" s="928"/>
      <c r="M789" s="928"/>
      <c r="N789" s="928"/>
      <c r="O789" s="928"/>
      <c r="P789" s="928"/>
      <c r="Q789" s="928"/>
      <c r="R789" s="928"/>
      <c r="S789" s="928"/>
      <c r="T789" s="928"/>
      <c r="U789" s="928"/>
      <c r="V789" s="928"/>
      <c r="W789" s="928"/>
      <c r="X789" s="928"/>
    </row>
    <row r="790">
      <c r="A790" s="928"/>
      <c r="B790" s="928"/>
      <c r="C790" s="928"/>
      <c r="D790" s="928"/>
      <c r="E790" s="928"/>
      <c r="F790" s="928"/>
      <c r="G790" s="928"/>
      <c r="H790" s="928"/>
      <c r="I790" s="928"/>
      <c r="J790" s="928"/>
      <c r="K790" s="928"/>
      <c r="L790" s="928"/>
      <c r="M790" s="928"/>
      <c r="N790" s="928"/>
      <c r="O790" s="928"/>
      <c r="P790" s="928"/>
      <c r="Q790" s="928"/>
      <c r="R790" s="928"/>
      <c r="S790" s="928"/>
      <c r="T790" s="928"/>
      <c r="U790" s="928"/>
      <c r="V790" s="928"/>
      <c r="W790" s="928"/>
      <c r="X790" s="928"/>
    </row>
    <row r="791">
      <c r="A791" s="928"/>
      <c r="B791" s="928"/>
      <c r="C791" s="928"/>
      <c r="D791" s="928"/>
      <c r="E791" s="928"/>
      <c r="F791" s="928"/>
      <c r="G791" s="928"/>
      <c r="H791" s="928"/>
      <c r="I791" s="928"/>
      <c r="J791" s="928"/>
      <c r="K791" s="928"/>
      <c r="L791" s="928"/>
      <c r="M791" s="928"/>
      <c r="N791" s="928"/>
      <c r="O791" s="928"/>
      <c r="P791" s="928"/>
      <c r="Q791" s="928"/>
      <c r="R791" s="928"/>
      <c r="S791" s="928"/>
      <c r="T791" s="928"/>
      <c r="U791" s="928"/>
      <c r="V791" s="928"/>
      <c r="W791" s="928"/>
      <c r="X791" s="928"/>
    </row>
    <row r="792">
      <c r="A792" s="928"/>
      <c r="B792" s="928"/>
      <c r="C792" s="928"/>
      <c r="D792" s="928"/>
      <c r="E792" s="928"/>
      <c r="F792" s="928"/>
      <c r="G792" s="928"/>
      <c r="H792" s="928"/>
      <c r="I792" s="928"/>
      <c r="J792" s="928"/>
      <c r="K792" s="928"/>
      <c r="L792" s="928"/>
      <c r="M792" s="928"/>
      <c r="N792" s="928"/>
      <c r="O792" s="928"/>
      <c r="P792" s="928"/>
      <c r="Q792" s="928"/>
      <c r="R792" s="928"/>
      <c r="S792" s="928"/>
      <c r="T792" s="928"/>
      <c r="U792" s="928"/>
      <c r="V792" s="928"/>
      <c r="W792" s="928"/>
      <c r="X792" s="928"/>
    </row>
    <row r="793">
      <c r="A793" s="928"/>
      <c r="B793" s="928"/>
      <c r="C793" s="928"/>
      <c r="D793" s="928"/>
      <c r="E793" s="928"/>
      <c r="F793" s="928"/>
      <c r="G793" s="928"/>
      <c r="H793" s="928"/>
      <c r="I793" s="928"/>
      <c r="J793" s="928"/>
      <c r="K793" s="928"/>
      <c r="L793" s="928"/>
      <c r="M793" s="928"/>
      <c r="N793" s="928"/>
      <c r="O793" s="928"/>
      <c r="P793" s="928"/>
      <c r="Q793" s="928"/>
      <c r="R793" s="928"/>
      <c r="S793" s="928"/>
      <c r="T793" s="928"/>
      <c r="U793" s="928"/>
      <c r="V793" s="928"/>
      <c r="W793" s="928"/>
      <c r="X793" s="928"/>
    </row>
    <row r="794">
      <c r="A794" s="928"/>
      <c r="B794" s="928"/>
      <c r="C794" s="928"/>
      <c r="D794" s="928"/>
      <c r="E794" s="928"/>
      <c r="F794" s="928"/>
      <c r="G794" s="928"/>
      <c r="H794" s="928"/>
      <c r="I794" s="928"/>
      <c r="J794" s="928"/>
      <c r="K794" s="928"/>
      <c r="L794" s="928"/>
      <c r="M794" s="928"/>
      <c r="N794" s="928"/>
      <c r="O794" s="928"/>
      <c r="P794" s="928"/>
      <c r="Q794" s="928"/>
      <c r="R794" s="928"/>
      <c r="S794" s="928"/>
      <c r="T794" s="928"/>
      <c r="U794" s="928"/>
      <c r="V794" s="928"/>
      <c r="W794" s="928"/>
      <c r="X794" s="928"/>
    </row>
    <row r="795">
      <c r="A795" s="928"/>
      <c r="B795" s="928"/>
      <c r="C795" s="928"/>
      <c r="D795" s="928"/>
      <c r="E795" s="928"/>
      <c r="F795" s="928"/>
      <c r="G795" s="928"/>
      <c r="H795" s="928"/>
      <c r="I795" s="928"/>
      <c r="J795" s="928"/>
      <c r="K795" s="928"/>
      <c r="L795" s="928"/>
      <c r="M795" s="928"/>
      <c r="N795" s="928"/>
      <c r="O795" s="928"/>
      <c r="P795" s="928"/>
      <c r="Q795" s="928"/>
      <c r="R795" s="928"/>
      <c r="S795" s="928"/>
      <c r="T795" s="928"/>
      <c r="U795" s="928"/>
      <c r="V795" s="928"/>
      <c r="W795" s="928"/>
      <c r="X795" s="928"/>
    </row>
    <row r="796">
      <c r="A796" s="928"/>
      <c r="B796" s="928"/>
      <c r="C796" s="928"/>
      <c r="D796" s="928"/>
      <c r="E796" s="928"/>
      <c r="F796" s="928"/>
      <c r="G796" s="928"/>
      <c r="H796" s="928"/>
      <c r="I796" s="928"/>
      <c r="J796" s="928"/>
      <c r="K796" s="928"/>
      <c r="L796" s="928"/>
      <c r="M796" s="928"/>
      <c r="N796" s="928"/>
      <c r="O796" s="928"/>
      <c r="P796" s="928"/>
      <c r="Q796" s="928"/>
      <c r="R796" s="928"/>
      <c r="S796" s="928"/>
      <c r="T796" s="928"/>
      <c r="U796" s="928"/>
      <c r="V796" s="928"/>
      <c r="W796" s="928"/>
      <c r="X796" s="928"/>
    </row>
    <row r="797">
      <c r="A797" s="928"/>
      <c r="B797" s="928"/>
      <c r="C797" s="928"/>
      <c r="D797" s="928"/>
      <c r="E797" s="928"/>
      <c r="F797" s="928"/>
      <c r="G797" s="928"/>
      <c r="H797" s="928"/>
      <c r="I797" s="928"/>
      <c r="J797" s="928"/>
      <c r="K797" s="928"/>
      <c r="L797" s="928"/>
      <c r="M797" s="928"/>
      <c r="N797" s="928"/>
      <c r="O797" s="928"/>
      <c r="P797" s="928"/>
      <c r="Q797" s="928"/>
      <c r="R797" s="928"/>
      <c r="S797" s="928"/>
      <c r="T797" s="928"/>
      <c r="U797" s="928"/>
      <c r="V797" s="928"/>
      <c r="W797" s="928"/>
      <c r="X797" s="928"/>
    </row>
    <row r="798">
      <c r="A798" s="928"/>
      <c r="B798" s="928"/>
      <c r="C798" s="928"/>
      <c r="D798" s="928"/>
      <c r="E798" s="928"/>
      <c r="F798" s="928"/>
      <c r="G798" s="928"/>
      <c r="H798" s="928"/>
      <c r="I798" s="928"/>
      <c r="J798" s="928"/>
      <c r="K798" s="928"/>
      <c r="L798" s="928"/>
      <c r="M798" s="928"/>
      <c r="N798" s="928"/>
      <c r="O798" s="928"/>
      <c r="P798" s="928"/>
      <c r="Q798" s="928"/>
      <c r="R798" s="928"/>
      <c r="S798" s="928"/>
      <c r="T798" s="928"/>
      <c r="U798" s="928"/>
      <c r="V798" s="928"/>
      <c r="W798" s="928"/>
      <c r="X798" s="928"/>
    </row>
    <row r="799">
      <c r="A799" s="928"/>
      <c r="B799" s="928"/>
      <c r="C799" s="928"/>
      <c r="D799" s="928"/>
      <c r="E799" s="928"/>
      <c r="F799" s="928"/>
      <c r="G799" s="928"/>
      <c r="H799" s="928"/>
      <c r="I799" s="928"/>
      <c r="J799" s="928"/>
      <c r="K799" s="928"/>
      <c r="L799" s="928"/>
      <c r="M799" s="928"/>
      <c r="N799" s="928"/>
      <c r="O799" s="928"/>
      <c r="P799" s="928"/>
      <c r="Q799" s="928"/>
      <c r="R799" s="928"/>
      <c r="S799" s="928"/>
      <c r="T799" s="928"/>
      <c r="U799" s="928"/>
      <c r="V799" s="928"/>
      <c r="W799" s="928"/>
      <c r="X799" s="928"/>
    </row>
    <row r="800">
      <c r="A800" s="928"/>
      <c r="B800" s="928"/>
      <c r="C800" s="928"/>
      <c r="D800" s="928"/>
      <c r="E800" s="928"/>
      <c r="F800" s="928"/>
      <c r="G800" s="928"/>
      <c r="H800" s="928"/>
      <c r="I800" s="928"/>
      <c r="J800" s="928"/>
      <c r="K800" s="928"/>
      <c r="L800" s="928"/>
      <c r="M800" s="928"/>
      <c r="N800" s="928"/>
      <c r="O800" s="928"/>
      <c r="P800" s="928"/>
      <c r="Q800" s="928"/>
      <c r="R800" s="928"/>
      <c r="S800" s="928"/>
      <c r="T800" s="928"/>
      <c r="U800" s="928"/>
      <c r="V800" s="928"/>
      <c r="W800" s="928"/>
      <c r="X800" s="928"/>
    </row>
    <row r="801">
      <c r="A801" s="928"/>
      <c r="B801" s="928"/>
      <c r="C801" s="928"/>
      <c r="D801" s="928"/>
      <c r="E801" s="928"/>
      <c r="F801" s="928"/>
      <c r="G801" s="928"/>
      <c r="H801" s="928"/>
      <c r="I801" s="928"/>
      <c r="J801" s="928"/>
      <c r="K801" s="928"/>
      <c r="L801" s="928"/>
      <c r="M801" s="928"/>
      <c r="N801" s="928"/>
      <c r="O801" s="928"/>
      <c r="P801" s="928"/>
      <c r="Q801" s="928"/>
      <c r="R801" s="928"/>
      <c r="S801" s="928"/>
      <c r="T801" s="928"/>
      <c r="U801" s="928"/>
      <c r="V801" s="928"/>
      <c r="W801" s="928"/>
      <c r="X801" s="928"/>
    </row>
    <row r="802">
      <c r="A802" s="928"/>
      <c r="B802" s="928"/>
      <c r="C802" s="928"/>
      <c r="D802" s="928"/>
      <c r="E802" s="928"/>
      <c r="F802" s="928"/>
      <c r="G802" s="928"/>
      <c r="H802" s="928"/>
      <c r="I802" s="928"/>
      <c r="J802" s="928"/>
      <c r="K802" s="928"/>
      <c r="L802" s="928"/>
      <c r="M802" s="928"/>
      <c r="N802" s="928"/>
      <c r="O802" s="928"/>
      <c r="P802" s="928"/>
      <c r="Q802" s="928"/>
      <c r="R802" s="928"/>
      <c r="S802" s="928"/>
      <c r="T802" s="928"/>
      <c r="U802" s="928"/>
      <c r="V802" s="928"/>
      <c r="W802" s="928"/>
      <c r="X802" s="928"/>
    </row>
    <row r="803">
      <c r="A803" s="928"/>
      <c r="B803" s="928"/>
      <c r="C803" s="928"/>
      <c r="D803" s="928"/>
      <c r="E803" s="928"/>
      <c r="F803" s="928"/>
      <c r="G803" s="928"/>
      <c r="H803" s="928"/>
      <c r="I803" s="928"/>
      <c r="J803" s="928"/>
      <c r="K803" s="928"/>
      <c r="L803" s="928"/>
      <c r="M803" s="928"/>
      <c r="N803" s="928"/>
      <c r="O803" s="928"/>
      <c r="P803" s="928"/>
      <c r="Q803" s="928"/>
      <c r="R803" s="928"/>
      <c r="S803" s="928"/>
      <c r="T803" s="928"/>
      <c r="U803" s="928"/>
      <c r="V803" s="928"/>
      <c r="W803" s="928"/>
      <c r="X803" s="928"/>
    </row>
    <row r="804">
      <c r="A804" s="928"/>
      <c r="B804" s="928"/>
      <c r="C804" s="928"/>
      <c r="D804" s="928"/>
      <c r="E804" s="928"/>
      <c r="F804" s="928"/>
      <c r="G804" s="928"/>
      <c r="H804" s="928"/>
      <c r="I804" s="928"/>
      <c r="J804" s="928"/>
      <c r="K804" s="928"/>
      <c r="L804" s="928"/>
      <c r="M804" s="928"/>
      <c r="N804" s="928"/>
      <c r="O804" s="928"/>
      <c r="P804" s="928"/>
      <c r="Q804" s="928"/>
      <c r="R804" s="928"/>
      <c r="S804" s="928"/>
      <c r="T804" s="928"/>
      <c r="U804" s="928"/>
      <c r="V804" s="928"/>
      <c r="W804" s="928"/>
      <c r="X804" s="928"/>
    </row>
    <row r="805">
      <c r="A805" s="928"/>
      <c r="B805" s="928"/>
      <c r="C805" s="928"/>
      <c r="D805" s="928"/>
      <c r="E805" s="928"/>
      <c r="F805" s="928"/>
      <c r="G805" s="928"/>
      <c r="H805" s="928"/>
      <c r="I805" s="928"/>
      <c r="J805" s="928"/>
      <c r="K805" s="928"/>
      <c r="L805" s="928"/>
      <c r="M805" s="928"/>
      <c r="N805" s="928"/>
      <c r="O805" s="928"/>
      <c r="P805" s="928"/>
      <c r="Q805" s="928"/>
      <c r="R805" s="928"/>
      <c r="S805" s="928"/>
      <c r="T805" s="928"/>
      <c r="U805" s="928"/>
      <c r="V805" s="928"/>
      <c r="W805" s="928"/>
      <c r="X805" s="928"/>
    </row>
    <row r="806">
      <c r="A806" s="928"/>
      <c r="B806" s="928"/>
      <c r="C806" s="928"/>
      <c r="D806" s="928"/>
      <c r="E806" s="928"/>
      <c r="F806" s="928"/>
      <c r="G806" s="928"/>
      <c r="H806" s="928"/>
      <c r="I806" s="928"/>
      <c r="J806" s="928"/>
      <c r="K806" s="928"/>
      <c r="L806" s="928"/>
      <c r="M806" s="928"/>
      <c r="N806" s="928"/>
      <c r="O806" s="928"/>
      <c r="P806" s="928"/>
      <c r="Q806" s="928"/>
      <c r="R806" s="928"/>
      <c r="S806" s="928"/>
      <c r="T806" s="928"/>
      <c r="U806" s="928"/>
      <c r="V806" s="928"/>
      <c r="W806" s="928"/>
      <c r="X806" s="928"/>
    </row>
    <row r="807">
      <c r="A807" s="928"/>
      <c r="B807" s="928"/>
      <c r="C807" s="928"/>
      <c r="D807" s="928"/>
      <c r="E807" s="928"/>
      <c r="F807" s="928"/>
      <c r="G807" s="928"/>
      <c r="H807" s="928"/>
      <c r="I807" s="928"/>
      <c r="J807" s="928"/>
      <c r="K807" s="928"/>
      <c r="L807" s="928"/>
      <c r="M807" s="928"/>
      <c r="N807" s="928"/>
      <c r="O807" s="928"/>
      <c r="P807" s="928"/>
      <c r="Q807" s="928"/>
      <c r="R807" s="928"/>
      <c r="S807" s="928"/>
      <c r="T807" s="928"/>
      <c r="U807" s="928"/>
      <c r="V807" s="928"/>
      <c r="W807" s="928"/>
      <c r="X807" s="928"/>
    </row>
    <row r="808">
      <c r="A808" s="928"/>
      <c r="B808" s="928"/>
      <c r="C808" s="928"/>
      <c r="D808" s="928"/>
      <c r="E808" s="928"/>
      <c r="F808" s="928"/>
      <c r="G808" s="928"/>
      <c r="H808" s="928"/>
      <c r="I808" s="928"/>
      <c r="J808" s="928"/>
      <c r="K808" s="928"/>
      <c r="L808" s="928"/>
      <c r="M808" s="928"/>
      <c r="N808" s="928"/>
      <c r="O808" s="928"/>
      <c r="P808" s="928"/>
      <c r="Q808" s="928"/>
      <c r="R808" s="928"/>
      <c r="S808" s="928"/>
      <c r="T808" s="928"/>
      <c r="U808" s="928"/>
      <c r="V808" s="928"/>
      <c r="W808" s="928"/>
      <c r="X808" s="928"/>
    </row>
    <row r="809">
      <c r="A809" s="928"/>
      <c r="B809" s="928"/>
      <c r="C809" s="928"/>
      <c r="D809" s="928"/>
      <c r="E809" s="928"/>
      <c r="F809" s="928"/>
      <c r="G809" s="928"/>
      <c r="H809" s="928"/>
      <c r="I809" s="928"/>
      <c r="J809" s="928"/>
      <c r="K809" s="928"/>
      <c r="L809" s="928"/>
      <c r="M809" s="928"/>
      <c r="N809" s="928"/>
      <c r="O809" s="928"/>
      <c r="P809" s="928"/>
      <c r="Q809" s="928"/>
      <c r="R809" s="928"/>
      <c r="S809" s="928"/>
      <c r="T809" s="928"/>
      <c r="U809" s="928"/>
      <c r="V809" s="928"/>
      <c r="W809" s="928"/>
      <c r="X809" s="928"/>
    </row>
    <row r="810">
      <c r="A810" s="928"/>
      <c r="B810" s="928"/>
      <c r="C810" s="928"/>
      <c r="D810" s="928"/>
      <c r="E810" s="928"/>
      <c r="F810" s="928"/>
      <c r="G810" s="928"/>
      <c r="H810" s="928"/>
      <c r="I810" s="928"/>
      <c r="J810" s="928"/>
      <c r="K810" s="928"/>
      <c r="L810" s="928"/>
      <c r="M810" s="928"/>
      <c r="N810" s="928"/>
      <c r="O810" s="928"/>
      <c r="P810" s="928"/>
      <c r="Q810" s="928"/>
      <c r="R810" s="928"/>
      <c r="S810" s="928"/>
      <c r="T810" s="928"/>
      <c r="U810" s="928"/>
      <c r="V810" s="928"/>
      <c r="W810" s="928"/>
      <c r="X810" s="928"/>
    </row>
    <row r="811">
      <c r="A811" s="928"/>
      <c r="B811" s="928"/>
      <c r="C811" s="928"/>
      <c r="D811" s="928"/>
      <c r="E811" s="928"/>
      <c r="F811" s="928"/>
      <c r="G811" s="928"/>
      <c r="H811" s="928"/>
      <c r="I811" s="928"/>
      <c r="J811" s="928"/>
      <c r="K811" s="928"/>
      <c r="L811" s="928"/>
      <c r="M811" s="928"/>
      <c r="N811" s="928"/>
      <c r="O811" s="928"/>
      <c r="P811" s="928"/>
      <c r="Q811" s="928"/>
      <c r="R811" s="928"/>
      <c r="S811" s="928"/>
      <c r="T811" s="928"/>
      <c r="U811" s="928"/>
      <c r="V811" s="928"/>
      <c r="W811" s="928"/>
      <c r="X811" s="928"/>
    </row>
    <row r="812">
      <c r="A812" s="928"/>
      <c r="B812" s="928"/>
      <c r="C812" s="928"/>
      <c r="D812" s="928"/>
      <c r="E812" s="928"/>
      <c r="F812" s="928"/>
      <c r="G812" s="928"/>
      <c r="H812" s="928"/>
      <c r="I812" s="928"/>
      <c r="J812" s="928"/>
      <c r="K812" s="928"/>
      <c r="L812" s="928"/>
      <c r="M812" s="928"/>
      <c r="N812" s="928"/>
      <c r="O812" s="928"/>
      <c r="P812" s="928"/>
      <c r="Q812" s="928"/>
      <c r="R812" s="928"/>
      <c r="S812" s="928"/>
      <c r="T812" s="928"/>
      <c r="U812" s="928"/>
      <c r="V812" s="928"/>
      <c r="W812" s="928"/>
      <c r="X812" s="928"/>
    </row>
    <row r="813">
      <c r="A813" s="928"/>
      <c r="B813" s="928"/>
      <c r="C813" s="928"/>
      <c r="D813" s="928"/>
      <c r="E813" s="928"/>
      <c r="F813" s="928"/>
      <c r="G813" s="928"/>
      <c r="H813" s="928"/>
      <c r="I813" s="928"/>
      <c r="J813" s="928"/>
      <c r="K813" s="928"/>
      <c r="L813" s="928"/>
      <c r="M813" s="928"/>
      <c r="N813" s="928"/>
      <c r="O813" s="928"/>
      <c r="P813" s="928"/>
      <c r="Q813" s="928"/>
      <c r="R813" s="928"/>
      <c r="S813" s="928"/>
      <c r="T813" s="928"/>
      <c r="U813" s="928"/>
      <c r="V813" s="928"/>
      <c r="W813" s="928"/>
      <c r="X813" s="928"/>
    </row>
    <row r="814">
      <c r="A814" s="928"/>
      <c r="B814" s="928"/>
      <c r="C814" s="928"/>
      <c r="D814" s="928"/>
      <c r="E814" s="928"/>
      <c r="F814" s="928"/>
      <c r="G814" s="928"/>
      <c r="H814" s="928"/>
      <c r="I814" s="928"/>
      <c r="J814" s="928"/>
      <c r="K814" s="928"/>
      <c r="L814" s="928"/>
      <c r="M814" s="928"/>
      <c r="N814" s="928"/>
      <c r="O814" s="928"/>
      <c r="P814" s="928"/>
      <c r="Q814" s="928"/>
      <c r="R814" s="928"/>
      <c r="S814" s="928"/>
      <c r="T814" s="928"/>
      <c r="U814" s="928"/>
      <c r="V814" s="928"/>
      <c r="W814" s="928"/>
      <c r="X814" s="928"/>
    </row>
    <row r="815">
      <c r="A815" s="928"/>
      <c r="B815" s="928"/>
      <c r="C815" s="928"/>
      <c r="D815" s="928"/>
      <c r="E815" s="928"/>
      <c r="F815" s="928"/>
      <c r="G815" s="928"/>
      <c r="H815" s="928"/>
      <c r="I815" s="928"/>
      <c r="J815" s="928"/>
      <c r="K815" s="928"/>
      <c r="L815" s="928"/>
      <c r="M815" s="928"/>
      <c r="N815" s="928"/>
      <c r="O815" s="928"/>
      <c r="P815" s="928"/>
      <c r="Q815" s="928"/>
      <c r="R815" s="928"/>
      <c r="S815" s="928"/>
      <c r="T815" s="928"/>
      <c r="U815" s="928"/>
      <c r="V815" s="928"/>
      <c r="W815" s="928"/>
      <c r="X815" s="928"/>
    </row>
    <row r="816">
      <c r="A816" s="928"/>
      <c r="B816" s="928"/>
      <c r="C816" s="928"/>
      <c r="D816" s="928"/>
      <c r="E816" s="928"/>
      <c r="F816" s="928"/>
      <c r="G816" s="928"/>
      <c r="H816" s="928"/>
      <c r="I816" s="928"/>
      <c r="J816" s="928"/>
      <c r="K816" s="928"/>
      <c r="L816" s="928"/>
      <c r="M816" s="928"/>
      <c r="N816" s="928"/>
      <c r="O816" s="928"/>
      <c r="P816" s="928"/>
      <c r="Q816" s="928"/>
      <c r="R816" s="928"/>
      <c r="S816" s="928"/>
      <c r="T816" s="928"/>
      <c r="U816" s="928"/>
      <c r="V816" s="928"/>
      <c r="W816" s="928"/>
      <c r="X816" s="928"/>
    </row>
    <row r="817">
      <c r="A817" s="928"/>
      <c r="B817" s="928"/>
      <c r="C817" s="928"/>
      <c r="D817" s="928"/>
      <c r="E817" s="928"/>
      <c r="F817" s="928"/>
      <c r="G817" s="928"/>
      <c r="H817" s="928"/>
      <c r="I817" s="928"/>
      <c r="J817" s="928"/>
      <c r="K817" s="928"/>
      <c r="L817" s="928"/>
      <c r="M817" s="928"/>
      <c r="N817" s="928"/>
      <c r="O817" s="928"/>
      <c r="P817" s="928"/>
      <c r="Q817" s="928"/>
      <c r="R817" s="928"/>
      <c r="S817" s="928"/>
      <c r="T817" s="928"/>
      <c r="U817" s="928"/>
      <c r="V817" s="928"/>
      <c r="W817" s="928"/>
      <c r="X817" s="928"/>
    </row>
    <row r="818">
      <c r="A818" s="928"/>
      <c r="B818" s="928"/>
      <c r="C818" s="928"/>
      <c r="D818" s="928"/>
      <c r="E818" s="928"/>
      <c r="F818" s="928"/>
      <c r="G818" s="928"/>
      <c r="H818" s="928"/>
      <c r="I818" s="928"/>
      <c r="J818" s="928"/>
      <c r="K818" s="928"/>
      <c r="L818" s="928"/>
      <c r="M818" s="928"/>
      <c r="N818" s="928"/>
      <c r="O818" s="928"/>
      <c r="P818" s="928"/>
      <c r="Q818" s="928"/>
      <c r="R818" s="928"/>
      <c r="S818" s="928"/>
      <c r="T818" s="928"/>
      <c r="U818" s="928"/>
      <c r="V818" s="928"/>
      <c r="W818" s="928"/>
      <c r="X818" s="928"/>
    </row>
    <row r="819">
      <c r="A819" s="928"/>
      <c r="B819" s="928"/>
      <c r="C819" s="928"/>
      <c r="D819" s="928"/>
      <c r="E819" s="928"/>
      <c r="F819" s="928"/>
      <c r="G819" s="928"/>
      <c r="H819" s="928"/>
      <c r="I819" s="928"/>
      <c r="J819" s="928"/>
      <c r="K819" s="928"/>
      <c r="L819" s="928"/>
      <c r="M819" s="928"/>
      <c r="N819" s="928"/>
      <c r="O819" s="928"/>
      <c r="P819" s="928"/>
      <c r="Q819" s="928"/>
      <c r="R819" s="928"/>
      <c r="S819" s="928"/>
      <c r="T819" s="928"/>
      <c r="U819" s="928"/>
      <c r="V819" s="928"/>
      <c r="W819" s="928"/>
      <c r="X819" s="928"/>
    </row>
    <row r="820">
      <c r="A820" s="928"/>
      <c r="B820" s="928"/>
      <c r="C820" s="928"/>
      <c r="D820" s="928"/>
      <c r="E820" s="928"/>
      <c r="F820" s="928"/>
      <c r="G820" s="928"/>
      <c r="H820" s="928"/>
      <c r="I820" s="928"/>
      <c r="J820" s="928"/>
      <c r="K820" s="928"/>
      <c r="L820" s="928"/>
      <c r="M820" s="928"/>
      <c r="N820" s="928"/>
      <c r="O820" s="928"/>
      <c r="P820" s="928"/>
      <c r="Q820" s="928"/>
      <c r="R820" s="928"/>
      <c r="S820" s="928"/>
      <c r="T820" s="928"/>
      <c r="U820" s="928"/>
      <c r="V820" s="928"/>
      <c r="W820" s="928"/>
      <c r="X820" s="928"/>
    </row>
    <row r="821">
      <c r="A821" s="928"/>
      <c r="B821" s="928"/>
      <c r="C821" s="928"/>
      <c r="D821" s="928"/>
      <c r="E821" s="928"/>
      <c r="F821" s="928"/>
      <c r="G821" s="928"/>
      <c r="H821" s="928"/>
      <c r="I821" s="928"/>
      <c r="J821" s="928"/>
      <c r="K821" s="928"/>
      <c r="L821" s="928"/>
      <c r="M821" s="928"/>
      <c r="N821" s="928"/>
      <c r="O821" s="928"/>
      <c r="P821" s="928"/>
      <c r="Q821" s="928"/>
      <c r="R821" s="928"/>
      <c r="S821" s="928"/>
      <c r="T821" s="928"/>
      <c r="U821" s="928"/>
      <c r="V821" s="928"/>
      <c r="W821" s="928"/>
      <c r="X821" s="928"/>
    </row>
    <row r="822">
      <c r="A822" s="928"/>
      <c r="B822" s="928"/>
      <c r="C822" s="928"/>
      <c r="D822" s="928"/>
      <c r="E822" s="928"/>
      <c r="F822" s="928"/>
      <c r="G822" s="928"/>
      <c r="H822" s="928"/>
      <c r="I822" s="928"/>
      <c r="J822" s="928"/>
      <c r="K822" s="928"/>
      <c r="L822" s="928"/>
      <c r="M822" s="928"/>
      <c r="N822" s="928"/>
      <c r="O822" s="928"/>
      <c r="P822" s="928"/>
      <c r="Q822" s="928"/>
      <c r="R822" s="928"/>
      <c r="S822" s="928"/>
      <c r="T822" s="928"/>
      <c r="U822" s="928"/>
      <c r="V822" s="928"/>
      <c r="W822" s="928"/>
      <c r="X822" s="928"/>
    </row>
    <row r="823">
      <c r="A823" s="928"/>
      <c r="B823" s="928"/>
      <c r="C823" s="928"/>
      <c r="D823" s="928"/>
      <c r="E823" s="928"/>
      <c r="F823" s="928"/>
      <c r="G823" s="928"/>
      <c r="H823" s="928"/>
      <c r="I823" s="928"/>
      <c r="J823" s="928"/>
      <c r="K823" s="928"/>
      <c r="L823" s="928"/>
      <c r="M823" s="928"/>
      <c r="N823" s="928"/>
      <c r="O823" s="928"/>
      <c r="P823" s="928"/>
      <c r="Q823" s="928"/>
      <c r="R823" s="928"/>
      <c r="S823" s="928"/>
      <c r="T823" s="928"/>
      <c r="U823" s="928"/>
      <c r="V823" s="928"/>
      <c r="W823" s="928"/>
      <c r="X823" s="928"/>
    </row>
    <row r="824">
      <c r="A824" s="928"/>
      <c r="B824" s="928"/>
      <c r="C824" s="928"/>
      <c r="D824" s="928"/>
      <c r="E824" s="928"/>
      <c r="F824" s="928"/>
      <c r="G824" s="928"/>
      <c r="H824" s="928"/>
      <c r="I824" s="928"/>
      <c r="J824" s="928"/>
      <c r="K824" s="928"/>
      <c r="L824" s="928"/>
      <c r="M824" s="928"/>
      <c r="N824" s="928"/>
      <c r="O824" s="928"/>
      <c r="P824" s="928"/>
      <c r="Q824" s="928"/>
      <c r="R824" s="928"/>
      <c r="S824" s="928"/>
      <c r="T824" s="928"/>
      <c r="U824" s="928"/>
      <c r="V824" s="928"/>
      <c r="W824" s="928"/>
      <c r="X824" s="928"/>
    </row>
    <row r="825">
      <c r="A825" s="928"/>
      <c r="B825" s="928"/>
      <c r="C825" s="928"/>
      <c r="D825" s="928"/>
      <c r="E825" s="928"/>
      <c r="F825" s="928"/>
      <c r="G825" s="928"/>
      <c r="H825" s="928"/>
      <c r="I825" s="928"/>
      <c r="J825" s="928"/>
      <c r="K825" s="928"/>
      <c r="L825" s="928"/>
      <c r="M825" s="928"/>
      <c r="N825" s="928"/>
      <c r="O825" s="928"/>
      <c r="P825" s="928"/>
      <c r="Q825" s="928"/>
      <c r="R825" s="928"/>
      <c r="S825" s="928"/>
      <c r="T825" s="928"/>
      <c r="U825" s="928"/>
      <c r="V825" s="928"/>
      <c r="W825" s="928"/>
      <c r="X825" s="928"/>
    </row>
    <row r="826">
      <c r="A826" s="928"/>
      <c r="B826" s="928"/>
      <c r="C826" s="928"/>
      <c r="D826" s="928"/>
      <c r="E826" s="928"/>
      <c r="F826" s="928"/>
      <c r="G826" s="928"/>
      <c r="H826" s="928"/>
      <c r="I826" s="928"/>
      <c r="J826" s="928"/>
      <c r="K826" s="928"/>
      <c r="L826" s="928"/>
      <c r="M826" s="928"/>
      <c r="N826" s="928"/>
      <c r="O826" s="928"/>
      <c r="P826" s="928"/>
      <c r="Q826" s="928"/>
      <c r="R826" s="928"/>
      <c r="S826" s="928"/>
      <c r="T826" s="928"/>
      <c r="U826" s="928"/>
      <c r="V826" s="928"/>
      <c r="W826" s="928"/>
      <c r="X826" s="928"/>
    </row>
    <row r="827">
      <c r="A827" s="928"/>
      <c r="B827" s="928"/>
      <c r="C827" s="928"/>
      <c r="D827" s="928"/>
      <c r="E827" s="928"/>
      <c r="F827" s="928"/>
      <c r="G827" s="928"/>
      <c r="H827" s="928"/>
      <c r="I827" s="928"/>
      <c r="J827" s="928"/>
      <c r="K827" s="928"/>
      <c r="L827" s="928"/>
      <c r="M827" s="928"/>
      <c r="N827" s="928"/>
      <c r="O827" s="928"/>
      <c r="P827" s="928"/>
      <c r="Q827" s="928"/>
      <c r="R827" s="928"/>
      <c r="S827" s="928"/>
      <c r="T827" s="928"/>
      <c r="U827" s="928"/>
      <c r="V827" s="928"/>
      <c r="W827" s="928"/>
      <c r="X827" s="928"/>
    </row>
    <row r="828">
      <c r="A828" s="928"/>
      <c r="B828" s="928"/>
      <c r="C828" s="928"/>
      <c r="D828" s="928"/>
      <c r="E828" s="928"/>
      <c r="F828" s="928"/>
      <c r="G828" s="928"/>
      <c r="H828" s="928"/>
      <c r="I828" s="928"/>
      <c r="J828" s="928"/>
      <c r="K828" s="928"/>
      <c r="L828" s="928"/>
      <c r="M828" s="928"/>
      <c r="N828" s="928"/>
      <c r="O828" s="928"/>
      <c r="P828" s="928"/>
      <c r="Q828" s="928"/>
      <c r="R828" s="928"/>
      <c r="S828" s="928"/>
      <c r="T828" s="928"/>
      <c r="U828" s="928"/>
      <c r="V828" s="928"/>
      <c r="W828" s="928"/>
      <c r="X828" s="928"/>
    </row>
    <row r="829">
      <c r="A829" s="928"/>
      <c r="B829" s="928"/>
      <c r="C829" s="928"/>
      <c r="D829" s="928"/>
      <c r="E829" s="928"/>
      <c r="F829" s="928"/>
      <c r="G829" s="928"/>
      <c r="H829" s="928"/>
      <c r="I829" s="928"/>
      <c r="J829" s="928"/>
      <c r="K829" s="928"/>
      <c r="L829" s="928"/>
      <c r="M829" s="928"/>
      <c r="N829" s="928"/>
      <c r="O829" s="928"/>
      <c r="P829" s="928"/>
      <c r="Q829" s="928"/>
      <c r="R829" s="928"/>
      <c r="S829" s="928"/>
      <c r="T829" s="928"/>
      <c r="U829" s="928"/>
      <c r="V829" s="928"/>
      <c r="W829" s="928"/>
      <c r="X829" s="928"/>
    </row>
    <row r="830">
      <c r="A830" s="928"/>
      <c r="B830" s="928"/>
      <c r="C830" s="928"/>
      <c r="D830" s="928"/>
      <c r="E830" s="928"/>
      <c r="F830" s="928"/>
      <c r="G830" s="928"/>
      <c r="H830" s="928"/>
      <c r="I830" s="928"/>
      <c r="J830" s="928"/>
      <c r="K830" s="928"/>
      <c r="L830" s="928"/>
      <c r="M830" s="928"/>
      <c r="N830" s="928"/>
      <c r="O830" s="928"/>
      <c r="P830" s="928"/>
      <c r="Q830" s="928"/>
      <c r="R830" s="928"/>
      <c r="S830" s="928"/>
      <c r="T830" s="928"/>
      <c r="U830" s="928"/>
      <c r="V830" s="928"/>
      <c r="W830" s="928"/>
      <c r="X830" s="928"/>
    </row>
    <row r="831">
      <c r="A831" s="928"/>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row>
    <row r="832">
      <c r="A832" s="928"/>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row>
    <row r="833">
      <c r="A833" s="928"/>
      <c r="B833" s="928"/>
      <c r="C833" s="928"/>
      <c r="D833" s="928"/>
      <c r="E833" s="928"/>
      <c r="F833" s="928"/>
      <c r="G833" s="928"/>
      <c r="H833" s="928"/>
      <c r="I833" s="928"/>
      <c r="J833" s="928"/>
      <c r="K833" s="928"/>
      <c r="L833" s="928"/>
      <c r="M833" s="928"/>
      <c r="N833" s="928"/>
      <c r="O833" s="928"/>
      <c r="P833" s="928"/>
      <c r="Q833" s="928"/>
      <c r="R833" s="928"/>
      <c r="S833" s="928"/>
      <c r="T833" s="928"/>
      <c r="U833" s="928"/>
      <c r="V833" s="928"/>
      <c r="W833" s="928"/>
      <c r="X833" s="928"/>
    </row>
    <row r="834">
      <c r="A834" s="928"/>
      <c r="B834" s="928"/>
      <c r="C834" s="928"/>
      <c r="D834" s="928"/>
      <c r="E834" s="928"/>
      <c r="F834" s="928"/>
      <c r="G834" s="928"/>
      <c r="H834" s="928"/>
      <c r="I834" s="928"/>
      <c r="J834" s="928"/>
      <c r="K834" s="928"/>
      <c r="L834" s="928"/>
      <c r="M834" s="928"/>
      <c r="N834" s="928"/>
      <c r="O834" s="928"/>
      <c r="P834" s="928"/>
      <c r="Q834" s="928"/>
      <c r="R834" s="928"/>
      <c r="S834" s="928"/>
      <c r="T834" s="928"/>
      <c r="U834" s="928"/>
      <c r="V834" s="928"/>
      <c r="W834" s="928"/>
      <c r="X834" s="928"/>
    </row>
    <row r="835">
      <c r="A835" s="928"/>
      <c r="B835" s="928"/>
      <c r="C835" s="928"/>
      <c r="D835" s="928"/>
      <c r="E835" s="928"/>
      <c r="F835" s="928"/>
      <c r="G835" s="928"/>
      <c r="H835" s="928"/>
      <c r="I835" s="928"/>
      <c r="J835" s="928"/>
      <c r="K835" s="928"/>
      <c r="L835" s="928"/>
      <c r="M835" s="928"/>
      <c r="N835" s="928"/>
      <c r="O835" s="928"/>
      <c r="P835" s="928"/>
      <c r="Q835" s="928"/>
      <c r="R835" s="928"/>
      <c r="S835" s="928"/>
      <c r="T835" s="928"/>
      <c r="U835" s="928"/>
      <c r="V835" s="928"/>
      <c r="W835" s="928"/>
      <c r="X835" s="928"/>
    </row>
    <row r="836">
      <c r="A836" s="928"/>
      <c r="B836" s="928"/>
      <c r="C836" s="928"/>
      <c r="D836" s="928"/>
      <c r="E836" s="928"/>
      <c r="F836" s="928"/>
      <c r="G836" s="928"/>
      <c r="H836" s="928"/>
      <c r="I836" s="928"/>
      <c r="J836" s="928"/>
      <c r="K836" s="928"/>
      <c r="L836" s="928"/>
      <c r="M836" s="928"/>
      <c r="N836" s="928"/>
      <c r="O836" s="928"/>
      <c r="P836" s="928"/>
      <c r="Q836" s="928"/>
      <c r="R836" s="928"/>
      <c r="S836" s="928"/>
      <c r="T836" s="928"/>
      <c r="U836" s="928"/>
      <c r="V836" s="928"/>
      <c r="W836" s="928"/>
      <c r="X836" s="928"/>
    </row>
    <row r="837">
      <c r="A837" s="928"/>
      <c r="B837" s="928"/>
      <c r="C837" s="928"/>
      <c r="D837" s="928"/>
      <c r="E837" s="928"/>
      <c r="F837" s="928"/>
      <c r="G837" s="928"/>
      <c r="H837" s="928"/>
      <c r="I837" s="928"/>
      <c r="J837" s="928"/>
      <c r="K837" s="928"/>
      <c r="L837" s="928"/>
      <c r="M837" s="928"/>
      <c r="N837" s="928"/>
      <c r="O837" s="928"/>
      <c r="P837" s="928"/>
      <c r="Q837" s="928"/>
      <c r="R837" s="928"/>
      <c r="S837" s="928"/>
      <c r="T837" s="928"/>
      <c r="U837" s="928"/>
      <c r="V837" s="928"/>
      <c r="W837" s="928"/>
      <c r="X837" s="928"/>
    </row>
    <row r="838">
      <c r="A838" s="928"/>
      <c r="B838" s="928"/>
      <c r="C838" s="928"/>
      <c r="D838" s="928"/>
      <c r="E838" s="928"/>
      <c r="F838" s="928"/>
      <c r="G838" s="928"/>
      <c r="H838" s="928"/>
      <c r="I838" s="928"/>
      <c r="J838" s="928"/>
      <c r="K838" s="928"/>
      <c r="L838" s="928"/>
      <c r="M838" s="928"/>
      <c r="N838" s="928"/>
      <c r="O838" s="928"/>
      <c r="P838" s="928"/>
      <c r="Q838" s="928"/>
      <c r="R838" s="928"/>
      <c r="S838" s="928"/>
      <c r="T838" s="928"/>
      <c r="U838" s="928"/>
      <c r="V838" s="928"/>
      <c r="W838" s="928"/>
      <c r="X838" s="928"/>
    </row>
    <row r="839">
      <c r="A839" s="928"/>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row>
    <row r="840">
      <c r="A840" s="928"/>
      <c r="B840" s="928"/>
      <c r="C840" s="928"/>
      <c r="D840" s="928"/>
      <c r="E840" s="928"/>
      <c r="F840" s="928"/>
      <c r="G840" s="928"/>
      <c r="H840" s="928"/>
      <c r="I840" s="928"/>
      <c r="J840" s="928"/>
      <c r="K840" s="928"/>
      <c r="L840" s="928"/>
      <c r="M840" s="928"/>
      <c r="N840" s="928"/>
      <c r="O840" s="928"/>
      <c r="P840" s="928"/>
      <c r="Q840" s="928"/>
      <c r="R840" s="928"/>
      <c r="S840" s="928"/>
      <c r="T840" s="928"/>
      <c r="U840" s="928"/>
      <c r="V840" s="928"/>
      <c r="W840" s="928"/>
      <c r="X840" s="928"/>
    </row>
    <row r="841">
      <c r="A841" s="928"/>
      <c r="B841" s="928"/>
      <c r="C841" s="928"/>
      <c r="D841" s="928"/>
      <c r="E841" s="928"/>
      <c r="F841" s="928"/>
      <c r="G841" s="928"/>
      <c r="H841" s="928"/>
      <c r="I841" s="928"/>
      <c r="J841" s="928"/>
      <c r="K841" s="928"/>
      <c r="L841" s="928"/>
      <c r="M841" s="928"/>
      <c r="N841" s="928"/>
      <c r="O841" s="928"/>
      <c r="P841" s="928"/>
      <c r="Q841" s="928"/>
      <c r="R841" s="928"/>
      <c r="S841" s="928"/>
      <c r="T841" s="928"/>
      <c r="U841" s="928"/>
      <c r="V841" s="928"/>
      <c r="W841" s="928"/>
      <c r="X841" s="928"/>
    </row>
    <row r="842">
      <c r="A842" s="928"/>
      <c r="B842" s="928"/>
      <c r="C842" s="928"/>
      <c r="D842" s="928"/>
      <c r="E842" s="928"/>
      <c r="F842" s="928"/>
      <c r="G842" s="928"/>
      <c r="H842" s="928"/>
      <c r="I842" s="928"/>
      <c r="J842" s="928"/>
      <c r="K842" s="928"/>
      <c r="L842" s="928"/>
      <c r="M842" s="928"/>
      <c r="N842" s="928"/>
      <c r="O842" s="928"/>
      <c r="P842" s="928"/>
      <c r="Q842" s="928"/>
      <c r="R842" s="928"/>
      <c r="S842" s="928"/>
      <c r="T842" s="928"/>
      <c r="U842" s="928"/>
      <c r="V842" s="928"/>
      <c r="W842" s="928"/>
      <c r="X842" s="928"/>
    </row>
    <row r="843">
      <c r="A843" s="928"/>
      <c r="B843" s="928"/>
      <c r="C843" s="928"/>
      <c r="D843" s="928"/>
      <c r="E843" s="928"/>
      <c r="F843" s="928"/>
      <c r="G843" s="928"/>
      <c r="H843" s="928"/>
      <c r="I843" s="928"/>
      <c r="J843" s="928"/>
      <c r="K843" s="928"/>
      <c r="L843" s="928"/>
      <c r="M843" s="928"/>
      <c r="N843" s="928"/>
      <c r="O843" s="928"/>
      <c r="P843" s="928"/>
      <c r="Q843" s="928"/>
      <c r="R843" s="928"/>
      <c r="S843" s="928"/>
      <c r="T843" s="928"/>
      <c r="U843" s="928"/>
      <c r="V843" s="928"/>
      <c r="W843" s="928"/>
      <c r="X843" s="928"/>
    </row>
    <row r="844">
      <c r="A844" s="928"/>
      <c r="B844" s="928"/>
      <c r="C844" s="928"/>
      <c r="D844" s="928"/>
      <c r="E844" s="928"/>
      <c r="F844" s="928"/>
      <c r="G844" s="928"/>
      <c r="H844" s="928"/>
      <c r="I844" s="928"/>
      <c r="J844" s="928"/>
      <c r="K844" s="928"/>
      <c r="L844" s="928"/>
      <c r="M844" s="928"/>
      <c r="N844" s="928"/>
      <c r="O844" s="928"/>
      <c r="P844" s="928"/>
      <c r="Q844" s="928"/>
      <c r="R844" s="928"/>
      <c r="S844" s="928"/>
      <c r="T844" s="928"/>
      <c r="U844" s="928"/>
      <c r="V844" s="928"/>
      <c r="W844" s="928"/>
      <c r="X844" s="928"/>
    </row>
    <row r="845">
      <c r="A845" s="928"/>
      <c r="B845" s="928"/>
      <c r="C845" s="928"/>
      <c r="D845" s="928"/>
      <c r="E845" s="928"/>
      <c r="F845" s="928"/>
      <c r="G845" s="928"/>
      <c r="H845" s="928"/>
      <c r="I845" s="928"/>
      <c r="J845" s="928"/>
      <c r="K845" s="928"/>
      <c r="L845" s="928"/>
      <c r="M845" s="928"/>
      <c r="N845" s="928"/>
      <c r="O845" s="928"/>
      <c r="P845" s="928"/>
      <c r="Q845" s="928"/>
      <c r="R845" s="928"/>
      <c r="S845" s="928"/>
      <c r="T845" s="928"/>
      <c r="U845" s="928"/>
      <c r="V845" s="928"/>
      <c r="W845" s="928"/>
      <c r="X845" s="928"/>
    </row>
    <row r="846">
      <c r="A846" s="928"/>
      <c r="B846" s="928"/>
      <c r="C846" s="928"/>
      <c r="D846" s="928"/>
      <c r="E846" s="928"/>
      <c r="F846" s="928"/>
      <c r="G846" s="928"/>
      <c r="H846" s="928"/>
      <c r="I846" s="928"/>
      <c r="J846" s="928"/>
      <c r="K846" s="928"/>
      <c r="L846" s="928"/>
      <c r="M846" s="928"/>
      <c r="N846" s="928"/>
      <c r="O846" s="928"/>
      <c r="P846" s="928"/>
      <c r="Q846" s="928"/>
      <c r="R846" s="928"/>
      <c r="S846" s="928"/>
      <c r="T846" s="928"/>
      <c r="U846" s="928"/>
      <c r="V846" s="928"/>
      <c r="W846" s="928"/>
      <c r="X846" s="928"/>
    </row>
    <row r="847">
      <c r="A847" s="928"/>
      <c r="B847" s="928"/>
      <c r="C847" s="928"/>
      <c r="D847" s="928"/>
      <c r="E847" s="928"/>
      <c r="F847" s="928"/>
      <c r="G847" s="928"/>
      <c r="H847" s="928"/>
      <c r="I847" s="928"/>
      <c r="J847" s="928"/>
      <c r="K847" s="928"/>
      <c r="L847" s="928"/>
      <c r="M847" s="928"/>
      <c r="N847" s="928"/>
      <c r="O847" s="928"/>
      <c r="P847" s="928"/>
      <c r="Q847" s="928"/>
      <c r="R847" s="928"/>
      <c r="S847" s="928"/>
      <c r="T847" s="928"/>
      <c r="U847" s="928"/>
      <c r="V847" s="928"/>
      <c r="W847" s="928"/>
      <c r="X847" s="928"/>
    </row>
    <row r="848">
      <c r="A848" s="928"/>
      <c r="B848" s="928"/>
      <c r="C848" s="928"/>
      <c r="D848" s="928"/>
      <c r="E848" s="928"/>
      <c r="F848" s="928"/>
      <c r="G848" s="928"/>
      <c r="H848" s="928"/>
      <c r="I848" s="928"/>
      <c r="J848" s="928"/>
      <c r="K848" s="928"/>
      <c r="L848" s="928"/>
      <c r="M848" s="928"/>
      <c r="N848" s="928"/>
      <c r="O848" s="928"/>
      <c r="P848" s="928"/>
      <c r="Q848" s="928"/>
      <c r="R848" s="928"/>
      <c r="S848" s="928"/>
      <c r="T848" s="928"/>
      <c r="U848" s="928"/>
      <c r="V848" s="928"/>
      <c r="W848" s="928"/>
      <c r="X848" s="928"/>
    </row>
    <row r="849">
      <c r="A849" s="928"/>
      <c r="B849" s="928"/>
      <c r="C849" s="928"/>
      <c r="D849" s="928"/>
      <c r="E849" s="928"/>
      <c r="F849" s="928"/>
      <c r="G849" s="928"/>
      <c r="H849" s="928"/>
      <c r="I849" s="928"/>
      <c r="J849" s="928"/>
      <c r="K849" s="928"/>
      <c r="L849" s="928"/>
      <c r="M849" s="928"/>
      <c r="N849" s="928"/>
      <c r="O849" s="928"/>
      <c r="P849" s="928"/>
      <c r="Q849" s="928"/>
      <c r="R849" s="928"/>
      <c r="S849" s="928"/>
      <c r="T849" s="928"/>
      <c r="U849" s="928"/>
      <c r="V849" s="928"/>
      <c r="W849" s="928"/>
      <c r="X849" s="928"/>
    </row>
    <row r="850">
      <c r="A850" s="928"/>
      <c r="B850" s="928"/>
      <c r="C850" s="928"/>
      <c r="D850" s="928"/>
      <c r="E850" s="928"/>
      <c r="F850" s="928"/>
      <c r="G850" s="928"/>
      <c r="H850" s="928"/>
      <c r="I850" s="928"/>
      <c r="J850" s="928"/>
      <c r="K850" s="928"/>
      <c r="L850" s="928"/>
      <c r="M850" s="928"/>
      <c r="N850" s="928"/>
      <c r="O850" s="928"/>
      <c r="P850" s="928"/>
      <c r="Q850" s="928"/>
      <c r="R850" s="928"/>
      <c r="S850" s="928"/>
      <c r="T850" s="928"/>
      <c r="U850" s="928"/>
      <c r="V850" s="928"/>
      <c r="W850" s="928"/>
      <c r="X850" s="928"/>
    </row>
    <row r="851">
      <c r="A851" s="928"/>
      <c r="B851" s="928"/>
      <c r="C851" s="928"/>
      <c r="D851" s="928"/>
      <c r="E851" s="928"/>
      <c r="F851" s="928"/>
      <c r="G851" s="928"/>
      <c r="H851" s="928"/>
      <c r="I851" s="928"/>
      <c r="J851" s="928"/>
      <c r="K851" s="928"/>
      <c r="L851" s="928"/>
      <c r="M851" s="928"/>
      <c r="N851" s="928"/>
      <c r="O851" s="928"/>
      <c r="P851" s="928"/>
      <c r="Q851" s="928"/>
      <c r="R851" s="928"/>
      <c r="S851" s="928"/>
      <c r="T851" s="928"/>
      <c r="U851" s="928"/>
      <c r="V851" s="928"/>
      <c r="W851" s="928"/>
      <c r="X851" s="928"/>
    </row>
    <row r="852">
      <c r="A852" s="928"/>
      <c r="B852" s="928"/>
      <c r="C852" s="928"/>
      <c r="D852" s="928"/>
      <c r="E852" s="928"/>
      <c r="F852" s="928"/>
      <c r="G852" s="928"/>
      <c r="H852" s="928"/>
      <c r="I852" s="928"/>
      <c r="J852" s="928"/>
      <c r="K852" s="928"/>
      <c r="L852" s="928"/>
      <c r="M852" s="928"/>
      <c r="N852" s="928"/>
      <c r="O852" s="928"/>
      <c r="P852" s="928"/>
      <c r="Q852" s="928"/>
      <c r="R852" s="928"/>
      <c r="S852" s="928"/>
      <c r="T852" s="928"/>
      <c r="U852" s="928"/>
      <c r="V852" s="928"/>
      <c r="W852" s="928"/>
      <c r="X852" s="928"/>
    </row>
    <row r="853">
      <c r="A853" s="928"/>
      <c r="B853" s="928"/>
      <c r="C853" s="928"/>
      <c r="D853" s="928"/>
      <c r="E853" s="928"/>
      <c r="F853" s="928"/>
      <c r="G853" s="928"/>
      <c r="H853" s="928"/>
      <c r="I853" s="928"/>
      <c r="J853" s="928"/>
      <c r="K853" s="928"/>
      <c r="L853" s="928"/>
      <c r="M853" s="928"/>
      <c r="N853" s="928"/>
      <c r="O853" s="928"/>
      <c r="P853" s="928"/>
      <c r="Q853" s="928"/>
      <c r="R853" s="928"/>
      <c r="S853" s="928"/>
      <c r="T853" s="928"/>
      <c r="U853" s="928"/>
      <c r="V853" s="928"/>
      <c r="W853" s="928"/>
      <c r="X853" s="928"/>
    </row>
    <row r="854">
      <c r="A854" s="928"/>
      <c r="B854" s="928"/>
      <c r="C854" s="928"/>
      <c r="D854" s="928"/>
      <c r="E854" s="928"/>
      <c r="F854" s="928"/>
      <c r="G854" s="928"/>
      <c r="H854" s="928"/>
      <c r="I854" s="928"/>
      <c r="J854" s="928"/>
      <c r="K854" s="928"/>
      <c r="L854" s="928"/>
      <c r="M854" s="928"/>
      <c r="N854" s="928"/>
      <c r="O854" s="928"/>
      <c r="P854" s="928"/>
      <c r="Q854" s="928"/>
      <c r="R854" s="928"/>
      <c r="S854" s="928"/>
      <c r="T854" s="928"/>
      <c r="U854" s="928"/>
      <c r="V854" s="928"/>
      <c r="W854" s="928"/>
      <c r="X854" s="928"/>
    </row>
    <row r="855">
      <c r="A855" s="928"/>
      <c r="B855" s="928"/>
      <c r="C855" s="928"/>
      <c r="D855" s="928"/>
      <c r="E855" s="928"/>
      <c r="F855" s="928"/>
      <c r="G855" s="928"/>
      <c r="H855" s="928"/>
      <c r="I855" s="928"/>
      <c r="J855" s="928"/>
      <c r="K855" s="928"/>
      <c r="L855" s="928"/>
      <c r="M855" s="928"/>
      <c r="N855" s="928"/>
      <c r="O855" s="928"/>
      <c r="P855" s="928"/>
      <c r="Q855" s="928"/>
      <c r="R855" s="928"/>
      <c r="S855" s="928"/>
      <c r="T855" s="928"/>
      <c r="U855" s="928"/>
      <c r="V855" s="928"/>
      <c r="W855" s="928"/>
      <c r="X855" s="928"/>
    </row>
    <row r="856">
      <c r="A856" s="928"/>
      <c r="B856" s="928"/>
      <c r="C856" s="928"/>
      <c r="D856" s="928"/>
      <c r="E856" s="928"/>
      <c r="F856" s="928"/>
      <c r="G856" s="928"/>
      <c r="H856" s="928"/>
      <c r="I856" s="928"/>
      <c r="J856" s="928"/>
      <c r="K856" s="928"/>
      <c r="L856" s="928"/>
      <c r="M856" s="928"/>
      <c r="N856" s="928"/>
      <c r="O856" s="928"/>
      <c r="P856" s="928"/>
      <c r="Q856" s="928"/>
      <c r="R856" s="928"/>
      <c r="S856" s="928"/>
      <c r="T856" s="928"/>
      <c r="U856" s="928"/>
      <c r="V856" s="928"/>
      <c r="W856" s="928"/>
      <c r="X856" s="928"/>
    </row>
    <row r="857">
      <c r="A857" s="928"/>
      <c r="B857" s="928"/>
      <c r="C857" s="928"/>
      <c r="D857" s="928"/>
      <c r="E857" s="928"/>
      <c r="F857" s="928"/>
      <c r="G857" s="928"/>
      <c r="H857" s="928"/>
      <c r="I857" s="928"/>
      <c r="J857" s="928"/>
      <c r="K857" s="928"/>
      <c r="L857" s="928"/>
      <c r="M857" s="928"/>
      <c r="N857" s="928"/>
      <c r="O857" s="928"/>
      <c r="P857" s="928"/>
      <c r="Q857" s="928"/>
      <c r="R857" s="928"/>
      <c r="S857" s="928"/>
      <c r="T857" s="928"/>
      <c r="U857" s="928"/>
      <c r="V857" s="928"/>
      <c r="W857" s="928"/>
      <c r="X857" s="928"/>
    </row>
    <row r="858">
      <c r="A858" s="928"/>
      <c r="B858" s="928"/>
      <c r="C858" s="928"/>
      <c r="D858" s="928"/>
      <c r="E858" s="928"/>
      <c r="F858" s="928"/>
      <c r="G858" s="928"/>
      <c r="H858" s="928"/>
      <c r="I858" s="928"/>
      <c r="J858" s="928"/>
      <c r="K858" s="928"/>
      <c r="L858" s="928"/>
      <c r="M858" s="928"/>
      <c r="N858" s="928"/>
      <c r="O858" s="928"/>
      <c r="P858" s="928"/>
      <c r="Q858" s="928"/>
      <c r="R858" s="928"/>
      <c r="S858" s="928"/>
      <c r="T858" s="928"/>
      <c r="U858" s="928"/>
      <c r="V858" s="928"/>
      <c r="W858" s="928"/>
      <c r="X858" s="928"/>
    </row>
    <row r="859">
      <c r="A859" s="928"/>
      <c r="B859" s="928"/>
      <c r="C859" s="928"/>
      <c r="D859" s="928"/>
      <c r="E859" s="928"/>
      <c r="F859" s="928"/>
      <c r="G859" s="928"/>
      <c r="H859" s="928"/>
      <c r="I859" s="928"/>
      <c r="J859" s="928"/>
      <c r="K859" s="928"/>
      <c r="L859" s="928"/>
      <c r="M859" s="928"/>
      <c r="N859" s="928"/>
      <c r="O859" s="928"/>
      <c r="P859" s="928"/>
      <c r="Q859" s="928"/>
      <c r="R859" s="928"/>
      <c r="S859" s="928"/>
      <c r="T859" s="928"/>
      <c r="U859" s="928"/>
      <c r="V859" s="928"/>
      <c r="W859" s="928"/>
      <c r="X859" s="928"/>
    </row>
    <row r="860">
      <c r="A860" s="928"/>
      <c r="B860" s="928"/>
      <c r="C860" s="928"/>
      <c r="D860" s="928"/>
      <c r="E860" s="928"/>
      <c r="F860" s="928"/>
      <c r="G860" s="928"/>
      <c r="H860" s="928"/>
      <c r="I860" s="928"/>
      <c r="J860" s="928"/>
      <c r="K860" s="928"/>
      <c r="L860" s="928"/>
      <c r="M860" s="928"/>
      <c r="N860" s="928"/>
      <c r="O860" s="928"/>
      <c r="P860" s="928"/>
      <c r="Q860" s="928"/>
      <c r="R860" s="928"/>
      <c r="S860" s="928"/>
      <c r="T860" s="928"/>
      <c r="U860" s="928"/>
      <c r="V860" s="928"/>
      <c r="W860" s="928"/>
      <c r="X860" s="928"/>
    </row>
    <row r="861">
      <c r="A861" s="928"/>
      <c r="B861" s="928"/>
      <c r="C861" s="928"/>
      <c r="D861" s="928"/>
      <c r="E861" s="928"/>
      <c r="F861" s="928"/>
      <c r="G861" s="928"/>
      <c r="H861" s="928"/>
      <c r="I861" s="928"/>
      <c r="J861" s="928"/>
      <c r="K861" s="928"/>
      <c r="L861" s="928"/>
      <c r="M861" s="928"/>
      <c r="N861" s="928"/>
      <c r="O861" s="928"/>
      <c r="P861" s="928"/>
      <c r="Q861" s="928"/>
      <c r="R861" s="928"/>
      <c r="S861" s="928"/>
      <c r="T861" s="928"/>
      <c r="U861" s="928"/>
      <c r="V861" s="928"/>
      <c r="W861" s="928"/>
      <c r="X861" s="928"/>
    </row>
    <row r="862">
      <c r="A862" s="928"/>
      <c r="B862" s="928"/>
      <c r="C862" s="928"/>
      <c r="D862" s="928"/>
      <c r="E862" s="928"/>
      <c r="F862" s="928"/>
      <c r="G862" s="928"/>
      <c r="H862" s="928"/>
      <c r="I862" s="928"/>
      <c r="J862" s="928"/>
      <c r="K862" s="928"/>
      <c r="L862" s="928"/>
      <c r="M862" s="928"/>
      <c r="N862" s="928"/>
      <c r="O862" s="928"/>
      <c r="P862" s="928"/>
      <c r="Q862" s="928"/>
      <c r="R862" s="928"/>
      <c r="S862" s="928"/>
      <c r="T862" s="928"/>
      <c r="U862" s="928"/>
      <c r="V862" s="928"/>
      <c r="W862" s="928"/>
      <c r="X862" s="928"/>
    </row>
    <row r="863">
      <c r="A863" s="928"/>
      <c r="B863" s="928"/>
      <c r="C863" s="928"/>
      <c r="D863" s="928"/>
      <c r="E863" s="928"/>
      <c r="F863" s="928"/>
      <c r="G863" s="928"/>
      <c r="H863" s="928"/>
      <c r="I863" s="928"/>
      <c r="J863" s="928"/>
      <c r="K863" s="928"/>
      <c r="L863" s="928"/>
      <c r="M863" s="928"/>
      <c r="N863" s="928"/>
      <c r="O863" s="928"/>
      <c r="P863" s="928"/>
      <c r="Q863" s="928"/>
      <c r="R863" s="928"/>
      <c r="S863" s="928"/>
      <c r="T863" s="928"/>
      <c r="U863" s="928"/>
      <c r="V863" s="928"/>
      <c r="W863" s="928"/>
      <c r="X863" s="928"/>
    </row>
    <row r="864">
      <c r="A864" s="928"/>
      <c r="B864" s="928"/>
      <c r="C864" s="928"/>
      <c r="D864" s="928"/>
      <c r="E864" s="928"/>
      <c r="F864" s="928"/>
      <c r="G864" s="928"/>
      <c r="H864" s="928"/>
      <c r="I864" s="928"/>
      <c r="J864" s="928"/>
      <c r="K864" s="928"/>
      <c r="L864" s="928"/>
      <c r="M864" s="928"/>
      <c r="N864" s="928"/>
      <c r="O864" s="928"/>
      <c r="P864" s="928"/>
      <c r="Q864" s="928"/>
      <c r="R864" s="928"/>
      <c r="S864" s="928"/>
      <c r="T864" s="928"/>
      <c r="U864" s="928"/>
      <c r="V864" s="928"/>
      <c r="W864" s="928"/>
      <c r="X864" s="928"/>
    </row>
    <row r="865">
      <c r="A865" s="928"/>
      <c r="B865" s="928"/>
      <c r="C865" s="928"/>
      <c r="D865" s="928"/>
      <c r="E865" s="928"/>
      <c r="F865" s="928"/>
      <c r="G865" s="928"/>
      <c r="H865" s="928"/>
      <c r="I865" s="928"/>
      <c r="J865" s="928"/>
      <c r="K865" s="928"/>
      <c r="L865" s="928"/>
      <c r="M865" s="928"/>
      <c r="N865" s="928"/>
      <c r="O865" s="928"/>
      <c r="P865" s="928"/>
      <c r="Q865" s="928"/>
      <c r="R865" s="928"/>
      <c r="S865" s="928"/>
      <c r="T865" s="928"/>
      <c r="U865" s="928"/>
      <c r="V865" s="928"/>
      <c r="W865" s="928"/>
      <c r="X865" s="928"/>
    </row>
    <row r="866">
      <c r="A866" s="928"/>
      <c r="B866" s="928"/>
      <c r="C866" s="928"/>
      <c r="D866" s="928"/>
      <c r="E866" s="928"/>
      <c r="F866" s="928"/>
      <c r="G866" s="928"/>
      <c r="H866" s="928"/>
      <c r="I866" s="928"/>
      <c r="J866" s="928"/>
      <c r="K866" s="928"/>
      <c r="L866" s="928"/>
      <c r="M866" s="928"/>
      <c r="N866" s="928"/>
      <c r="O866" s="928"/>
      <c r="P866" s="928"/>
      <c r="Q866" s="928"/>
      <c r="R866" s="928"/>
      <c r="S866" s="928"/>
      <c r="T866" s="928"/>
      <c r="U866" s="928"/>
      <c r="V866" s="928"/>
      <c r="W866" s="928"/>
      <c r="X866" s="928"/>
    </row>
    <row r="867">
      <c r="A867" s="928"/>
      <c r="B867" s="928"/>
      <c r="C867" s="928"/>
      <c r="D867" s="928"/>
      <c r="E867" s="928"/>
      <c r="F867" s="928"/>
      <c r="G867" s="928"/>
      <c r="H867" s="928"/>
      <c r="I867" s="928"/>
      <c r="J867" s="928"/>
      <c r="K867" s="928"/>
      <c r="L867" s="928"/>
      <c r="M867" s="928"/>
      <c r="N867" s="928"/>
      <c r="O867" s="928"/>
      <c r="P867" s="928"/>
      <c r="Q867" s="928"/>
      <c r="R867" s="928"/>
      <c r="S867" s="928"/>
      <c r="T867" s="928"/>
      <c r="U867" s="928"/>
      <c r="V867" s="928"/>
      <c r="W867" s="928"/>
      <c r="X867" s="928"/>
    </row>
    <row r="868">
      <c r="A868" s="928"/>
      <c r="B868" s="928"/>
      <c r="C868" s="928"/>
      <c r="D868" s="928"/>
      <c r="E868" s="928"/>
      <c r="F868" s="928"/>
      <c r="G868" s="928"/>
      <c r="H868" s="928"/>
      <c r="I868" s="928"/>
      <c r="J868" s="928"/>
      <c r="K868" s="928"/>
      <c r="L868" s="928"/>
      <c r="M868" s="928"/>
      <c r="N868" s="928"/>
      <c r="O868" s="928"/>
      <c r="P868" s="928"/>
      <c r="Q868" s="928"/>
      <c r="R868" s="928"/>
      <c r="S868" s="928"/>
      <c r="T868" s="928"/>
      <c r="U868" s="928"/>
      <c r="V868" s="928"/>
      <c r="W868" s="928"/>
      <c r="X868" s="928"/>
    </row>
    <row r="869">
      <c r="A869" s="928"/>
      <c r="B869" s="928"/>
      <c r="C869" s="928"/>
      <c r="D869" s="928"/>
      <c r="E869" s="928"/>
      <c r="F869" s="928"/>
      <c r="G869" s="928"/>
      <c r="H869" s="928"/>
      <c r="I869" s="928"/>
      <c r="J869" s="928"/>
      <c r="K869" s="928"/>
      <c r="L869" s="928"/>
      <c r="M869" s="928"/>
      <c r="N869" s="928"/>
      <c r="O869" s="928"/>
      <c r="P869" s="928"/>
      <c r="Q869" s="928"/>
      <c r="R869" s="928"/>
      <c r="S869" s="928"/>
      <c r="T869" s="928"/>
      <c r="U869" s="928"/>
      <c r="V869" s="928"/>
      <c r="W869" s="928"/>
      <c r="X869" s="928"/>
    </row>
    <row r="870">
      <c r="A870" s="928"/>
      <c r="B870" s="928"/>
      <c r="C870" s="928"/>
      <c r="D870" s="928"/>
      <c r="E870" s="928"/>
      <c r="F870" s="928"/>
      <c r="G870" s="928"/>
      <c r="H870" s="928"/>
      <c r="I870" s="928"/>
      <c r="J870" s="928"/>
      <c r="K870" s="928"/>
      <c r="L870" s="928"/>
      <c r="M870" s="928"/>
      <c r="N870" s="928"/>
      <c r="O870" s="928"/>
      <c r="P870" s="928"/>
      <c r="Q870" s="928"/>
      <c r="R870" s="928"/>
      <c r="S870" s="928"/>
      <c r="T870" s="928"/>
      <c r="U870" s="928"/>
      <c r="V870" s="928"/>
      <c r="W870" s="928"/>
      <c r="X870" s="928"/>
    </row>
    <row r="871">
      <c r="A871" s="928"/>
      <c r="B871" s="928"/>
      <c r="C871" s="928"/>
      <c r="D871" s="928"/>
      <c r="E871" s="928"/>
      <c r="F871" s="928"/>
      <c r="G871" s="928"/>
      <c r="H871" s="928"/>
      <c r="I871" s="928"/>
      <c r="J871" s="928"/>
      <c r="K871" s="928"/>
      <c r="L871" s="928"/>
      <c r="M871" s="928"/>
      <c r="N871" s="928"/>
      <c r="O871" s="928"/>
      <c r="P871" s="928"/>
      <c r="Q871" s="928"/>
      <c r="R871" s="928"/>
      <c r="S871" s="928"/>
      <c r="T871" s="928"/>
      <c r="U871" s="928"/>
      <c r="V871" s="928"/>
      <c r="W871" s="928"/>
      <c r="X871" s="928"/>
    </row>
    <row r="872">
      <c r="A872" s="928"/>
      <c r="B872" s="928"/>
      <c r="C872" s="928"/>
      <c r="D872" s="928"/>
      <c r="E872" s="928"/>
      <c r="F872" s="928"/>
      <c r="G872" s="928"/>
      <c r="H872" s="928"/>
      <c r="I872" s="928"/>
      <c r="J872" s="928"/>
      <c r="K872" s="928"/>
      <c r="L872" s="928"/>
      <c r="M872" s="928"/>
      <c r="N872" s="928"/>
      <c r="O872" s="928"/>
      <c r="P872" s="928"/>
      <c r="Q872" s="928"/>
      <c r="R872" s="928"/>
      <c r="S872" s="928"/>
      <c r="T872" s="928"/>
      <c r="U872" s="928"/>
      <c r="V872" s="928"/>
      <c r="W872" s="928"/>
      <c r="X872" s="928"/>
    </row>
    <row r="873">
      <c r="A873" s="928"/>
      <c r="B873" s="928"/>
      <c r="C873" s="928"/>
      <c r="D873" s="928"/>
      <c r="E873" s="928"/>
      <c r="F873" s="928"/>
      <c r="G873" s="928"/>
      <c r="H873" s="928"/>
      <c r="I873" s="928"/>
      <c r="J873" s="928"/>
      <c r="K873" s="928"/>
      <c r="L873" s="928"/>
      <c r="M873" s="928"/>
      <c r="N873" s="928"/>
      <c r="O873" s="928"/>
      <c r="P873" s="928"/>
      <c r="Q873" s="928"/>
      <c r="R873" s="928"/>
      <c r="S873" s="928"/>
      <c r="T873" s="928"/>
      <c r="U873" s="928"/>
      <c r="V873" s="928"/>
      <c r="W873" s="928"/>
      <c r="X873" s="928"/>
    </row>
    <row r="874">
      <c r="A874" s="928"/>
      <c r="B874" s="928"/>
      <c r="C874" s="928"/>
      <c r="D874" s="928"/>
      <c r="E874" s="928"/>
      <c r="F874" s="928"/>
      <c r="G874" s="928"/>
      <c r="H874" s="928"/>
      <c r="I874" s="928"/>
      <c r="J874" s="928"/>
      <c r="K874" s="928"/>
      <c r="L874" s="928"/>
      <c r="M874" s="928"/>
      <c r="N874" s="928"/>
      <c r="O874" s="928"/>
      <c r="P874" s="928"/>
      <c r="Q874" s="928"/>
      <c r="R874" s="928"/>
      <c r="S874" s="928"/>
      <c r="T874" s="928"/>
      <c r="U874" s="928"/>
      <c r="V874" s="928"/>
      <c r="W874" s="928"/>
      <c r="X874" s="928"/>
    </row>
    <row r="875">
      <c r="A875" s="928"/>
      <c r="B875" s="928"/>
      <c r="C875" s="928"/>
      <c r="D875" s="928"/>
      <c r="E875" s="928"/>
      <c r="F875" s="928"/>
      <c r="G875" s="928"/>
      <c r="H875" s="928"/>
      <c r="I875" s="928"/>
      <c r="J875" s="928"/>
      <c r="K875" s="928"/>
      <c r="L875" s="928"/>
      <c r="M875" s="928"/>
      <c r="N875" s="928"/>
      <c r="O875" s="928"/>
      <c r="P875" s="928"/>
      <c r="Q875" s="928"/>
      <c r="R875" s="928"/>
      <c r="S875" s="928"/>
      <c r="T875" s="928"/>
      <c r="U875" s="928"/>
      <c r="V875" s="928"/>
      <c r="W875" s="928"/>
      <c r="X875" s="928"/>
    </row>
    <row r="876">
      <c r="A876" s="928"/>
      <c r="B876" s="928"/>
      <c r="C876" s="928"/>
      <c r="D876" s="928"/>
      <c r="E876" s="928"/>
      <c r="F876" s="928"/>
      <c r="G876" s="928"/>
      <c r="H876" s="928"/>
      <c r="I876" s="928"/>
      <c r="J876" s="928"/>
      <c r="K876" s="928"/>
      <c r="L876" s="928"/>
      <c r="M876" s="928"/>
      <c r="N876" s="928"/>
      <c r="O876" s="928"/>
      <c r="P876" s="928"/>
      <c r="Q876" s="928"/>
      <c r="R876" s="928"/>
      <c r="S876" s="928"/>
      <c r="T876" s="928"/>
      <c r="U876" s="928"/>
      <c r="V876" s="928"/>
      <c r="W876" s="928"/>
      <c r="X876" s="928"/>
    </row>
    <row r="877">
      <c r="A877" s="928"/>
      <c r="B877" s="928"/>
      <c r="C877" s="928"/>
      <c r="D877" s="928"/>
      <c r="E877" s="928"/>
      <c r="F877" s="928"/>
      <c r="G877" s="928"/>
      <c r="H877" s="928"/>
      <c r="I877" s="928"/>
      <c r="J877" s="928"/>
      <c r="K877" s="928"/>
      <c r="L877" s="928"/>
      <c r="M877" s="928"/>
      <c r="N877" s="928"/>
      <c r="O877" s="928"/>
      <c r="P877" s="928"/>
      <c r="Q877" s="928"/>
      <c r="R877" s="928"/>
      <c r="S877" s="928"/>
      <c r="T877" s="928"/>
      <c r="U877" s="928"/>
      <c r="V877" s="928"/>
      <c r="W877" s="928"/>
      <c r="X877" s="928"/>
    </row>
    <row r="878">
      <c r="A878" s="928"/>
      <c r="B878" s="928"/>
      <c r="C878" s="928"/>
      <c r="D878" s="928"/>
      <c r="E878" s="928"/>
      <c r="F878" s="928"/>
      <c r="G878" s="928"/>
      <c r="H878" s="928"/>
      <c r="I878" s="928"/>
      <c r="J878" s="928"/>
      <c r="K878" s="928"/>
      <c r="L878" s="928"/>
      <c r="M878" s="928"/>
      <c r="N878" s="928"/>
      <c r="O878" s="928"/>
      <c r="P878" s="928"/>
      <c r="Q878" s="928"/>
      <c r="R878" s="928"/>
      <c r="S878" s="928"/>
      <c r="T878" s="928"/>
      <c r="U878" s="928"/>
      <c r="V878" s="928"/>
      <c r="W878" s="928"/>
      <c r="X878" s="928"/>
    </row>
    <row r="879">
      <c r="A879" s="928"/>
      <c r="B879" s="928"/>
      <c r="C879" s="928"/>
      <c r="D879" s="928"/>
      <c r="E879" s="928"/>
      <c r="F879" s="928"/>
      <c r="G879" s="928"/>
      <c r="H879" s="928"/>
      <c r="I879" s="928"/>
      <c r="J879" s="928"/>
      <c r="K879" s="928"/>
      <c r="L879" s="928"/>
      <c r="M879" s="928"/>
      <c r="N879" s="928"/>
      <c r="O879" s="928"/>
      <c r="P879" s="928"/>
      <c r="Q879" s="928"/>
      <c r="R879" s="928"/>
      <c r="S879" s="928"/>
      <c r="T879" s="928"/>
      <c r="U879" s="928"/>
      <c r="V879" s="928"/>
      <c r="W879" s="928"/>
      <c r="X879" s="928"/>
    </row>
    <row r="880">
      <c r="A880" s="928"/>
      <c r="B880" s="928"/>
      <c r="C880" s="928"/>
      <c r="D880" s="928"/>
      <c r="E880" s="928"/>
      <c r="F880" s="928"/>
      <c r="G880" s="928"/>
      <c r="H880" s="928"/>
      <c r="I880" s="928"/>
      <c r="J880" s="928"/>
      <c r="K880" s="928"/>
      <c r="L880" s="928"/>
      <c r="M880" s="928"/>
      <c r="N880" s="928"/>
      <c r="O880" s="928"/>
      <c r="P880" s="928"/>
      <c r="Q880" s="928"/>
      <c r="R880" s="928"/>
      <c r="S880" s="928"/>
      <c r="T880" s="928"/>
      <c r="U880" s="928"/>
      <c r="V880" s="928"/>
      <c r="W880" s="928"/>
      <c r="X880" s="928"/>
    </row>
    <row r="881">
      <c r="A881" s="928"/>
      <c r="B881" s="928"/>
      <c r="C881" s="928"/>
      <c r="D881" s="928"/>
      <c r="E881" s="928"/>
      <c r="F881" s="928"/>
      <c r="G881" s="928"/>
      <c r="H881" s="928"/>
      <c r="I881" s="928"/>
      <c r="J881" s="928"/>
      <c r="K881" s="928"/>
      <c r="L881" s="928"/>
      <c r="M881" s="928"/>
      <c r="N881" s="928"/>
      <c r="O881" s="928"/>
      <c r="P881" s="928"/>
      <c r="Q881" s="928"/>
      <c r="R881" s="928"/>
      <c r="S881" s="928"/>
      <c r="T881" s="928"/>
      <c r="U881" s="928"/>
      <c r="V881" s="928"/>
      <c r="W881" s="928"/>
      <c r="X881" s="928"/>
    </row>
    <row r="882">
      <c r="A882" s="928"/>
      <c r="B882" s="928"/>
      <c r="C882" s="928"/>
      <c r="D882" s="928"/>
      <c r="E882" s="928"/>
      <c r="F882" s="928"/>
      <c r="G882" s="928"/>
      <c r="H882" s="928"/>
      <c r="I882" s="928"/>
      <c r="J882" s="928"/>
      <c r="K882" s="928"/>
      <c r="L882" s="928"/>
      <c r="M882" s="928"/>
      <c r="N882" s="928"/>
      <c r="O882" s="928"/>
      <c r="P882" s="928"/>
      <c r="Q882" s="928"/>
      <c r="R882" s="928"/>
      <c r="S882" s="928"/>
      <c r="T882" s="928"/>
      <c r="U882" s="928"/>
      <c r="V882" s="928"/>
      <c r="W882" s="928"/>
      <c r="X882" s="928"/>
    </row>
    <row r="883">
      <c r="A883" s="928"/>
      <c r="B883" s="928"/>
      <c r="C883" s="928"/>
      <c r="D883" s="928"/>
      <c r="E883" s="928"/>
      <c r="F883" s="928"/>
      <c r="G883" s="928"/>
      <c r="H883" s="928"/>
      <c r="I883" s="928"/>
      <c r="J883" s="928"/>
      <c r="K883" s="928"/>
      <c r="L883" s="928"/>
      <c r="M883" s="928"/>
      <c r="N883" s="928"/>
      <c r="O883" s="928"/>
      <c r="P883" s="928"/>
      <c r="Q883" s="928"/>
      <c r="R883" s="928"/>
      <c r="S883" s="928"/>
      <c r="T883" s="928"/>
      <c r="U883" s="928"/>
      <c r="V883" s="928"/>
      <c r="W883" s="928"/>
      <c r="X883" s="928"/>
    </row>
    <row r="884">
      <c r="A884" s="928"/>
      <c r="B884" s="928"/>
      <c r="C884" s="928"/>
      <c r="D884" s="928"/>
      <c r="E884" s="928"/>
      <c r="F884" s="928"/>
      <c r="G884" s="928"/>
      <c r="H884" s="928"/>
      <c r="I884" s="928"/>
      <c r="J884" s="928"/>
      <c r="K884" s="928"/>
      <c r="L884" s="928"/>
      <c r="M884" s="928"/>
      <c r="N884" s="928"/>
      <c r="O884" s="928"/>
      <c r="P884" s="928"/>
      <c r="Q884" s="928"/>
      <c r="R884" s="928"/>
      <c r="S884" s="928"/>
      <c r="T884" s="928"/>
      <c r="U884" s="928"/>
      <c r="V884" s="928"/>
      <c r="W884" s="928"/>
      <c r="X884" s="928"/>
    </row>
    <row r="885">
      <c r="A885" s="928"/>
      <c r="B885" s="928"/>
      <c r="C885" s="928"/>
      <c r="D885" s="928"/>
      <c r="E885" s="928"/>
      <c r="F885" s="928"/>
      <c r="G885" s="928"/>
      <c r="H885" s="928"/>
      <c r="I885" s="928"/>
      <c r="J885" s="928"/>
      <c r="K885" s="928"/>
      <c r="L885" s="928"/>
      <c r="M885" s="928"/>
      <c r="N885" s="928"/>
      <c r="O885" s="928"/>
      <c r="P885" s="928"/>
      <c r="Q885" s="928"/>
      <c r="R885" s="928"/>
      <c r="S885" s="928"/>
      <c r="T885" s="928"/>
      <c r="U885" s="928"/>
      <c r="V885" s="928"/>
      <c r="W885" s="928"/>
      <c r="X885" s="928"/>
    </row>
    <row r="886">
      <c r="A886" s="928"/>
      <c r="B886" s="928"/>
      <c r="C886" s="928"/>
      <c r="D886" s="928"/>
      <c r="E886" s="928"/>
      <c r="F886" s="928"/>
      <c r="G886" s="928"/>
      <c r="H886" s="928"/>
      <c r="I886" s="928"/>
      <c r="J886" s="928"/>
      <c r="K886" s="928"/>
      <c r="L886" s="928"/>
      <c r="M886" s="928"/>
      <c r="N886" s="928"/>
      <c r="O886" s="928"/>
      <c r="P886" s="928"/>
      <c r="Q886" s="928"/>
      <c r="R886" s="928"/>
      <c r="S886" s="928"/>
      <c r="T886" s="928"/>
      <c r="U886" s="928"/>
      <c r="V886" s="928"/>
      <c r="W886" s="928"/>
      <c r="X886" s="928"/>
    </row>
    <row r="887">
      <c r="A887" s="928"/>
      <c r="B887" s="928"/>
      <c r="C887" s="928"/>
      <c r="D887" s="928"/>
      <c r="E887" s="928"/>
      <c r="F887" s="928"/>
      <c r="G887" s="928"/>
      <c r="H887" s="928"/>
      <c r="I887" s="928"/>
      <c r="J887" s="928"/>
      <c r="K887" s="928"/>
      <c r="L887" s="928"/>
      <c r="M887" s="928"/>
      <c r="N887" s="928"/>
      <c r="O887" s="928"/>
      <c r="P887" s="928"/>
      <c r="Q887" s="928"/>
      <c r="R887" s="928"/>
      <c r="S887" s="928"/>
      <c r="T887" s="928"/>
      <c r="U887" s="928"/>
      <c r="V887" s="928"/>
      <c r="W887" s="928"/>
      <c r="X887" s="928"/>
    </row>
    <row r="888">
      <c r="A888" s="928"/>
      <c r="B888" s="928"/>
      <c r="C888" s="928"/>
      <c r="D888" s="928"/>
      <c r="E888" s="928"/>
      <c r="F888" s="928"/>
      <c r="G888" s="928"/>
      <c r="H888" s="928"/>
      <c r="I888" s="928"/>
      <c r="J888" s="928"/>
      <c r="K888" s="928"/>
      <c r="L888" s="928"/>
      <c r="M888" s="928"/>
      <c r="N888" s="928"/>
      <c r="O888" s="928"/>
      <c r="P888" s="928"/>
      <c r="Q888" s="928"/>
      <c r="R888" s="928"/>
      <c r="S888" s="928"/>
      <c r="T888" s="928"/>
      <c r="U888" s="928"/>
      <c r="V888" s="928"/>
      <c r="W888" s="928"/>
      <c r="X888" s="928"/>
    </row>
    <row r="889">
      <c r="A889" s="928"/>
      <c r="B889" s="928"/>
      <c r="C889" s="928"/>
      <c r="D889" s="928"/>
      <c r="E889" s="928"/>
      <c r="F889" s="928"/>
      <c r="G889" s="928"/>
      <c r="H889" s="928"/>
      <c r="I889" s="928"/>
      <c r="J889" s="928"/>
      <c r="K889" s="928"/>
      <c r="L889" s="928"/>
      <c r="M889" s="928"/>
      <c r="N889" s="928"/>
      <c r="O889" s="928"/>
      <c r="P889" s="928"/>
      <c r="Q889" s="928"/>
      <c r="R889" s="928"/>
      <c r="S889" s="928"/>
      <c r="T889" s="928"/>
      <c r="U889" s="928"/>
      <c r="V889" s="928"/>
      <c r="W889" s="928"/>
      <c r="X889" s="928"/>
    </row>
    <row r="890">
      <c r="A890" s="928"/>
      <c r="B890" s="928"/>
      <c r="C890" s="928"/>
      <c r="D890" s="928"/>
      <c r="E890" s="928"/>
      <c r="F890" s="928"/>
      <c r="G890" s="928"/>
      <c r="H890" s="928"/>
      <c r="I890" s="928"/>
      <c r="J890" s="928"/>
      <c r="K890" s="928"/>
      <c r="L890" s="928"/>
      <c r="M890" s="928"/>
      <c r="N890" s="928"/>
      <c r="O890" s="928"/>
      <c r="P890" s="928"/>
      <c r="Q890" s="928"/>
      <c r="R890" s="928"/>
      <c r="S890" s="928"/>
      <c r="T890" s="928"/>
      <c r="U890" s="928"/>
      <c r="V890" s="928"/>
      <c r="W890" s="928"/>
      <c r="X890" s="928"/>
    </row>
    <row r="891">
      <c r="A891" s="928"/>
      <c r="B891" s="928"/>
      <c r="C891" s="928"/>
      <c r="D891" s="928"/>
      <c r="E891" s="928"/>
      <c r="F891" s="928"/>
      <c r="G891" s="928"/>
      <c r="H891" s="928"/>
      <c r="I891" s="928"/>
      <c r="J891" s="928"/>
      <c r="K891" s="928"/>
      <c r="L891" s="928"/>
      <c r="M891" s="928"/>
      <c r="N891" s="928"/>
      <c r="O891" s="928"/>
      <c r="P891" s="928"/>
      <c r="Q891" s="928"/>
      <c r="R891" s="928"/>
      <c r="S891" s="928"/>
      <c r="T891" s="928"/>
      <c r="U891" s="928"/>
      <c r="V891" s="928"/>
      <c r="W891" s="928"/>
      <c r="X891" s="928"/>
    </row>
    <row r="892">
      <c r="A892" s="928"/>
      <c r="B892" s="928"/>
      <c r="C892" s="928"/>
      <c r="D892" s="928"/>
      <c r="E892" s="928"/>
      <c r="F892" s="928"/>
      <c r="G892" s="928"/>
      <c r="H892" s="928"/>
      <c r="I892" s="928"/>
      <c r="J892" s="928"/>
      <c r="K892" s="928"/>
      <c r="L892" s="928"/>
      <c r="M892" s="928"/>
      <c r="N892" s="928"/>
      <c r="O892" s="928"/>
      <c r="P892" s="928"/>
      <c r="Q892" s="928"/>
      <c r="R892" s="928"/>
      <c r="S892" s="928"/>
      <c r="T892" s="928"/>
      <c r="U892" s="928"/>
      <c r="V892" s="928"/>
      <c r="W892" s="928"/>
      <c r="X892" s="928"/>
    </row>
    <row r="893">
      <c r="A893" s="928"/>
      <c r="B893" s="928"/>
      <c r="C893" s="928"/>
      <c r="D893" s="928"/>
      <c r="E893" s="928"/>
      <c r="F893" s="928"/>
      <c r="G893" s="928"/>
      <c r="H893" s="928"/>
      <c r="I893" s="928"/>
      <c r="J893" s="928"/>
      <c r="K893" s="928"/>
      <c r="L893" s="928"/>
      <c r="M893" s="928"/>
      <c r="N893" s="928"/>
      <c r="O893" s="928"/>
      <c r="P893" s="928"/>
      <c r="Q893" s="928"/>
      <c r="R893" s="928"/>
      <c r="S893" s="928"/>
      <c r="T893" s="928"/>
      <c r="U893" s="928"/>
      <c r="V893" s="928"/>
      <c r="W893" s="928"/>
      <c r="X893" s="928"/>
    </row>
    <row r="894">
      <c r="A894" s="928"/>
      <c r="B894" s="928"/>
      <c r="C894" s="928"/>
      <c r="D894" s="928"/>
      <c r="E894" s="928"/>
      <c r="F894" s="928"/>
      <c r="G894" s="928"/>
      <c r="H894" s="928"/>
      <c r="I894" s="928"/>
      <c r="J894" s="928"/>
      <c r="K894" s="928"/>
      <c r="L894" s="928"/>
      <c r="M894" s="928"/>
      <c r="N894" s="928"/>
      <c r="O894" s="928"/>
      <c r="P894" s="928"/>
      <c r="Q894" s="928"/>
      <c r="R894" s="928"/>
      <c r="S894" s="928"/>
      <c r="T894" s="928"/>
      <c r="U894" s="928"/>
      <c r="V894" s="928"/>
      <c r="W894" s="928"/>
      <c r="X894" s="928"/>
    </row>
    <row r="895">
      <c r="A895" s="928"/>
      <c r="B895" s="928"/>
      <c r="C895" s="928"/>
      <c r="D895" s="928"/>
      <c r="E895" s="928"/>
      <c r="F895" s="928"/>
      <c r="G895" s="928"/>
      <c r="H895" s="928"/>
      <c r="I895" s="928"/>
      <c r="J895" s="928"/>
      <c r="K895" s="928"/>
      <c r="L895" s="928"/>
      <c r="M895" s="928"/>
      <c r="N895" s="928"/>
      <c r="O895" s="928"/>
      <c r="P895" s="928"/>
      <c r="Q895" s="928"/>
      <c r="R895" s="928"/>
      <c r="S895" s="928"/>
      <c r="T895" s="928"/>
      <c r="U895" s="928"/>
      <c r="V895" s="928"/>
      <c r="W895" s="928"/>
      <c r="X895" s="928"/>
    </row>
    <row r="896">
      <c r="A896" s="928"/>
      <c r="B896" s="928"/>
      <c r="C896" s="928"/>
      <c r="D896" s="928"/>
      <c r="E896" s="928"/>
      <c r="F896" s="928"/>
      <c r="G896" s="928"/>
      <c r="H896" s="928"/>
      <c r="I896" s="928"/>
      <c r="J896" s="928"/>
      <c r="K896" s="928"/>
      <c r="L896" s="928"/>
      <c r="M896" s="928"/>
      <c r="N896" s="928"/>
      <c r="O896" s="928"/>
      <c r="P896" s="928"/>
      <c r="Q896" s="928"/>
      <c r="R896" s="928"/>
      <c r="S896" s="928"/>
      <c r="T896" s="928"/>
      <c r="U896" s="928"/>
      <c r="V896" s="928"/>
      <c r="W896" s="928"/>
      <c r="X896" s="928"/>
    </row>
    <row r="897">
      <c r="A897" s="928"/>
      <c r="B897" s="928"/>
      <c r="C897" s="928"/>
      <c r="D897" s="928"/>
      <c r="E897" s="928"/>
      <c r="F897" s="928"/>
      <c r="G897" s="928"/>
      <c r="H897" s="928"/>
      <c r="I897" s="928"/>
      <c r="J897" s="928"/>
      <c r="K897" s="928"/>
      <c r="L897" s="928"/>
      <c r="M897" s="928"/>
      <c r="N897" s="928"/>
      <c r="O897" s="928"/>
      <c r="P897" s="928"/>
      <c r="Q897" s="928"/>
      <c r="R897" s="928"/>
      <c r="S897" s="928"/>
      <c r="T897" s="928"/>
      <c r="U897" s="928"/>
      <c r="V897" s="928"/>
      <c r="W897" s="928"/>
      <c r="X897" s="928"/>
    </row>
    <row r="898">
      <c r="A898" s="928"/>
      <c r="B898" s="928"/>
      <c r="C898" s="928"/>
      <c r="D898" s="928"/>
      <c r="E898" s="928"/>
      <c r="F898" s="928"/>
      <c r="G898" s="928"/>
      <c r="H898" s="928"/>
      <c r="I898" s="928"/>
      <c r="J898" s="928"/>
      <c r="K898" s="928"/>
      <c r="L898" s="928"/>
      <c r="M898" s="928"/>
      <c r="N898" s="928"/>
      <c r="O898" s="928"/>
      <c r="P898" s="928"/>
      <c r="Q898" s="928"/>
      <c r="R898" s="928"/>
      <c r="S898" s="928"/>
      <c r="T898" s="928"/>
      <c r="U898" s="928"/>
      <c r="V898" s="928"/>
      <c r="W898" s="928"/>
      <c r="X898" s="928"/>
    </row>
    <row r="899">
      <c r="A899" s="928"/>
      <c r="B899" s="928"/>
      <c r="C899" s="928"/>
      <c r="D899" s="928"/>
      <c r="E899" s="928"/>
      <c r="F899" s="928"/>
      <c r="G899" s="928"/>
      <c r="H899" s="928"/>
      <c r="I899" s="928"/>
      <c r="J899" s="928"/>
      <c r="K899" s="928"/>
      <c r="L899" s="928"/>
      <c r="M899" s="928"/>
      <c r="N899" s="928"/>
      <c r="O899" s="928"/>
      <c r="P899" s="928"/>
      <c r="Q899" s="928"/>
      <c r="R899" s="928"/>
      <c r="S899" s="928"/>
      <c r="T899" s="928"/>
      <c r="U899" s="928"/>
      <c r="V899" s="928"/>
      <c r="W899" s="928"/>
      <c r="X899" s="928"/>
    </row>
    <row r="900">
      <c r="A900" s="928"/>
      <c r="B900" s="928"/>
      <c r="C900" s="928"/>
      <c r="D900" s="928"/>
      <c r="E900" s="928"/>
      <c r="F900" s="928"/>
      <c r="G900" s="928"/>
      <c r="H900" s="928"/>
      <c r="I900" s="928"/>
      <c r="J900" s="928"/>
      <c r="K900" s="928"/>
      <c r="L900" s="928"/>
      <c r="M900" s="928"/>
      <c r="N900" s="928"/>
      <c r="O900" s="928"/>
      <c r="P900" s="928"/>
      <c r="Q900" s="928"/>
      <c r="R900" s="928"/>
      <c r="S900" s="928"/>
      <c r="T900" s="928"/>
      <c r="U900" s="928"/>
      <c r="V900" s="928"/>
      <c r="W900" s="928"/>
      <c r="X900" s="928"/>
    </row>
    <row r="901">
      <c r="A901" s="928"/>
      <c r="B901" s="928"/>
      <c r="C901" s="928"/>
      <c r="D901" s="928"/>
      <c r="E901" s="928"/>
      <c r="F901" s="928"/>
      <c r="G901" s="928"/>
      <c r="H901" s="928"/>
      <c r="I901" s="928"/>
      <c r="J901" s="928"/>
      <c r="K901" s="928"/>
      <c r="L901" s="928"/>
      <c r="M901" s="928"/>
      <c r="N901" s="928"/>
      <c r="O901" s="928"/>
      <c r="P901" s="928"/>
      <c r="Q901" s="928"/>
      <c r="R901" s="928"/>
      <c r="S901" s="928"/>
      <c r="T901" s="928"/>
      <c r="U901" s="928"/>
      <c r="V901" s="928"/>
      <c r="W901" s="928"/>
      <c r="X901" s="928"/>
    </row>
    <row r="902">
      <c r="A902" s="928"/>
      <c r="B902" s="928"/>
      <c r="C902" s="928"/>
      <c r="D902" s="928"/>
      <c r="E902" s="928"/>
      <c r="F902" s="928"/>
      <c r="G902" s="928"/>
      <c r="H902" s="928"/>
      <c r="I902" s="928"/>
      <c r="J902" s="928"/>
      <c r="K902" s="928"/>
      <c r="L902" s="928"/>
      <c r="M902" s="928"/>
      <c r="N902" s="928"/>
      <c r="O902" s="928"/>
      <c r="P902" s="928"/>
      <c r="Q902" s="928"/>
      <c r="R902" s="928"/>
      <c r="S902" s="928"/>
      <c r="T902" s="928"/>
      <c r="U902" s="928"/>
      <c r="V902" s="928"/>
      <c r="W902" s="928"/>
      <c r="X902" s="928"/>
    </row>
    <row r="903">
      <c r="A903" s="928"/>
      <c r="B903" s="928"/>
      <c r="C903" s="928"/>
      <c r="D903" s="928"/>
      <c r="E903" s="928"/>
      <c r="F903" s="928"/>
      <c r="G903" s="928"/>
      <c r="H903" s="928"/>
      <c r="I903" s="928"/>
      <c r="J903" s="928"/>
      <c r="K903" s="928"/>
      <c r="L903" s="928"/>
      <c r="M903" s="928"/>
      <c r="N903" s="928"/>
      <c r="O903" s="928"/>
      <c r="P903" s="928"/>
      <c r="Q903" s="928"/>
      <c r="R903" s="928"/>
      <c r="S903" s="928"/>
      <c r="T903" s="928"/>
      <c r="U903" s="928"/>
      <c r="V903" s="928"/>
      <c r="W903" s="928"/>
      <c r="X903" s="928"/>
    </row>
    <row r="904">
      <c r="A904" s="928"/>
      <c r="B904" s="928"/>
      <c r="C904" s="928"/>
      <c r="D904" s="928"/>
      <c r="E904" s="928"/>
      <c r="F904" s="928"/>
      <c r="G904" s="928"/>
      <c r="H904" s="928"/>
      <c r="I904" s="928"/>
      <c r="J904" s="928"/>
      <c r="K904" s="928"/>
      <c r="L904" s="928"/>
      <c r="M904" s="928"/>
      <c r="N904" s="928"/>
      <c r="O904" s="928"/>
      <c r="P904" s="928"/>
      <c r="Q904" s="928"/>
      <c r="R904" s="928"/>
      <c r="S904" s="928"/>
      <c r="T904" s="928"/>
      <c r="U904" s="928"/>
      <c r="V904" s="928"/>
      <c r="W904" s="928"/>
      <c r="X904" s="928"/>
    </row>
    <row r="905">
      <c r="A905" s="928"/>
      <c r="B905" s="928"/>
      <c r="C905" s="928"/>
      <c r="D905" s="928"/>
      <c r="E905" s="928"/>
      <c r="F905" s="928"/>
      <c r="G905" s="928"/>
      <c r="H905" s="928"/>
      <c r="I905" s="928"/>
      <c r="J905" s="928"/>
      <c r="K905" s="928"/>
      <c r="L905" s="928"/>
      <c r="M905" s="928"/>
      <c r="N905" s="928"/>
      <c r="O905" s="928"/>
      <c r="P905" s="928"/>
      <c r="Q905" s="928"/>
      <c r="R905" s="928"/>
      <c r="S905" s="928"/>
      <c r="T905" s="928"/>
      <c r="U905" s="928"/>
      <c r="V905" s="928"/>
      <c r="W905" s="928"/>
      <c r="X905" s="928"/>
    </row>
    <row r="906">
      <c r="A906" s="928"/>
      <c r="B906" s="928"/>
      <c r="C906" s="928"/>
      <c r="D906" s="928"/>
      <c r="E906" s="928"/>
      <c r="F906" s="928"/>
      <c r="G906" s="928"/>
      <c r="H906" s="928"/>
      <c r="I906" s="928"/>
      <c r="J906" s="928"/>
      <c r="K906" s="928"/>
      <c r="L906" s="928"/>
      <c r="M906" s="928"/>
      <c r="N906" s="928"/>
      <c r="O906" s="928"/>
      <c r="P906" s="928"/>
      <c r="Q906" s="928"/>
      <c r="R906" s="928"/>
      <c r="S906" s="928"/>
      <c r="T906" s="928"/>
      <c r="U906" s="928"/>
      <c r="V906" s="928"/>
      <c r="W906" s="928"/>
      <c r="X906" s="928"/>
    </row>
    <row r="907">
      <c r="A907" s="928"/>
      <c r="B907" s="928"/>
      <c r="C907" s="928"/>
      <c r="D907" s="928"/>
      <c r="E907" s="928"/>
      <c r="F907" s="928"/>
      <c r="G907" s="928"/>
      <c r="H907" s="928"/>
      <c r="I907" s="928"/>
      <c r="J907" s="928"/>
      <c r="K907" s="928"/>
      <c r="L907" s="928"/>
      <c r="M907" s="928"/>
      <c r="N907" s="928"/>
      <c r="O907" s="928"/>
      <c r="P907" s="928"/>
      <c r="Q907" s="928"/>
      <c r="R907" s="928"/>
      <c r="S907" s="928"/>
      <c r="T907" s="928"/>
      <c r="U907" s="928"/>
      <c r="V907" s="928"/>
      <c r="W907" s="928"/>
      <c r="X907" s="928"/>
    </row>
    <row r="908">
      <c r="A908" s="928"/>
      <c r="B908" s="928"/>
      <c r="C908" s="928"/>
      <c r="D908" s="928"/>
      <c r="E908" s="928"/>
      <c r="F908" s="928"/>
      <c r="G908" s="928"/>
      <c r="H908" s="928"/>
      <c r="I908" s="928"/>
      <c r="J908" s="928"/>
      <c r="K908" s="928"/>
      <c r="L908" s="928"/>
      <c r="M908" s="928"/>
      <c r="N908" s="928"/>
      <c r="O908" s="928"/>
      <c r="P908" s="928"/>
      <c r="Q908" s="928"/>
      <c r="R908" s="928"/>
      <c r="S908" s="928"/>
      <c r="T908" s="928"/>
      <c r="U908" s="928"/>
      <c r="V908" s="928"/>
      <c r="W908" s="928"/>
      <c r="X908" s="928"/>
    </row>
    <row r="909">
      <c r="A909" s="928"/>
      <c r="B909" s="928"/>
      <c r="C909" s="928"/>
      <c r="D909" s="928"/>
      <c r="E909" s="928"/>
      <c r="F909" s="928"/>
      <c r="G909" s="928"/>
      <c r="H909" s="928"/>
      <c r="I909" s="928"/>
      <c r="J909" s="928"/>
      <c r="K909" s="928"/>
      <c r="L909" s="928"/>
      <c r="M909" s="928"/>
      <c r="N909" s="928"/>
      <c r="O909" s="928"/>
      <c r="P909" s="928"/>
      <c r="Q909" s="928"/>
      <c r="R909" s="928"/>
      <c r="S909" s="928"/>
      <c r="T909" s="928"/>
      <c r="U909" s="928"/>
      <c r="V909" s="928"/>
      <c r="W909" s="928"/>
      <c r="X909" s="928"/>
    </row>
    <row r="910">
      <c r="A910" s="928"/>
      <c r="B910" s="928"/>
      <c r="C910" s="928"/>
      <c r="D910" s="928"/>
      <c r="E910" s="928"/>
      <c r="F910" s="928"/>
      <c r="G910" s="928"/>
      <c r="H910" s="928"/>
      <c r="I910" s="928"/>
      <c r="J910" s="928"/>
      <c r="K910" s="928"/>
      <c r="L910" s="928"/>
      <c r="M910" s="928"/>
      <c r="N910" s="928"/>
      <c r="O910" s="928"/>
      <c r="P910" s="928"/>
      <c r="Q910" s="928"/>
      <c r="R910" s="928"/>
      <c r="S910" s="928"/>
      <c r="T910" s="928"/>
      <c r="U910" s="928"/>
      <c r="V910" s="928"/>
      <c r="W910" s="928"/>
      <c r="X910" s="928"/>
    </row>
    <row r="911">
      <c r="A911" s="928"/>
      <c r="B911" s="928"/>
      <c r="C911" s="928"/>
      <c r="D911" s="928"/>
      <c r="E911" s="928"/>
      <c r="F911" s="928"/>
      <c r="G911" s="928"/>
      <c r="H911" s="928"/>
      <c r="I911" s="928"/>
      <c r="J911" s="928"/>
      <c r="K911" s="928"/>
      <c r="L911" s="928"/>
      <c r="M911" s="928"/>
      <c r="N911" s="928"/>
      <c r="O911" s="928"/>
      <c r="P911" s="928"/>
      <c r="Q911" s="928"/>
      <c r="R911" s="928"/>
      <c r="S911" s="928"/>
      <c r="T911" s="928"/>
      <c r="U911" s="928"/>
      <c r="V911" s="928"/>
      <c r="W911" s="928"/>
      <c r="X911" s="928"/>
    </row>
    <row r="912">
      <c r="A912" s="928"/>
      <c r="B912" s="928"/>
      <c r="C912" s="928"/>
      <c r="D912" s="928"/>
      <c r="E912" s="928"/>
      <c r="F912" s="928"/>
      <c r="G912" s="928"/>
      <c r="H912" s="928"/>
      <c r="I912" s="928"/>
      <c r="J912" s="928"/>
      <c r="K912" s="928"/>
      <c r="L912" s="928"/>
      <c r="M912" s="928"/>
      <c r="N912" s="928"/>
      <c r="O912" s="928"/>
      <c r="P912" s="928"/>
      <c r="Q912" s="928"/>
      <c r="R912" s="928"/>
      <c r="S912" s="928"/>
      <c r="T912" s="928"/>
      <c r="U912" s="928"/>
      <c r="V912" s="928"/>
      <c r="W912" s="928"/>
      <c r="X912" s="928"/>
    </row>
    <row r="913">
      <c r="A913" s="928"/>
      <c r="B913" s="928"/>
      <c r="C913" s="928"/>
      <c r="D913" s="928"/>
      <c r="E913" s="928"/>
      <c r="F913" s="928"/>
      <c r="G913" s="928"/>
      <c r="H913" s="928"/>
      <c r="I913" s="928"/>
      <c r="J913" s="928"/>
      <c r="K913" s="928"/>
      <c r="L913" s="928"/>
      <c r="M913" s="928"/>
      <c r="N913" s="928"/>
      <c r="O913" s="928"/>
      <c r="P913" s="928"/>
      <c r="Q913" s="928"/>
      <c r="R913" s="928"/>
      <c r="S913" s="928"/>
      <c r="T913" s="928"/>
      <c r="U913" s="928"/>
      <c r="V913" s="928"/>
      <c r="W913" s="928"/>
      <c r="X913" s="928"/>
    </row>
    <row r="914">
      <c r="A914" s="928"/>
      <c r="B914" s="928"/>
      <c r="C914" s="928"/>
      <c r="D914" s="928"/>
      <c r="E914" s="928"/>
      <c r="F914" s="928"/>
      <c r="G914" s="928"/>
      <c r="H914" s="928"/>
      <c r="I914" s="928"/>
      <c r="J914" s="928"/>
      <c r="K914" s="928"/>
      <c r="L914" s="928"/>
      <c r="M914" s="928"/>
      <c r="N914" s="928"/>
      <c r="O914" s="928"/>
      <c r="P914" s="928"/>
      <c r="Q914" s="928"/>
      <c r="R914" s="928"/>
      <c r="S914" s="928"/>
      <c r="T914" s="928"/>
      <c r="U914" s="928"/>
      <c r="V914" s="928"/>
      <c r="W914" s="928"/>
      <c r="X914" s="928"/>
    </row>
    <row r="915">
      <c r="A915" s="928"/>
      <c r="B915" s="928"/>
      <c r="C915" s="928"/>
      <c r="D915" s="928"/>
      <c r="E915" s="928"/>
      <c r="F915" s="928"/>
      <c r="G915" s="928"/>
      <c r="H915" s="928"/>
      <c r="I915" s="928"/>
      <c r="J915" s="928"/>
      <c r="K915" s="928"/>
      <c r="L915" s="928"/>
      <c r="M915" s="928"/>
      <c r="N915" s="928"/>
      <c r="O915" s="928"/>
      <c r="P915" s="928"/>
      <c r="Q915" s="928"/>
      <c r="R915" s="928"/>
      <c r="S915" s="928"/>
      <c r="T915" s="928"/>
      <c r="U915" s="928"/>
      <c r="V915" s="928"/>
      <c r="W915" s="928"/>
      <c r="X915" s="928"/>
    </row>
    <row r="916">
      <c r="A916" s="928"/>
      <c r="B916" s="928"/>
      <c r="C916" s="928"/>
      <c r="D916" s="928"/>
      <c r="E916" s="928"/>
      <c r="F916" s="928"/>
      <c r="G916" s="928"/>
      <c r="H916" s="928"/>
      <c r="I916" s="928"/>
      <c r="J916" s="928"/>
      <c r="K916" s="928"/>
      <c r="L916" s="928"/>
      <c r="M916" s="928"/>
      <c r="N916" s="928"/>
      <c r="O916" s="928"/>
      <c r="P916" s="928"/>
      <c r="Q916" s="928"/>
      <c r="R916" s="928"/>
      <c r="S916" s="928"/>
      <c r="T916" s="928"/>
      <c r="U916" s="928"/>
      <c r="V916" s="928"/>
      <c r="W916" s="928"/>
      <c r="X916" s="928"/>
    </row>
    <row r="917">
      <c r="A917" s="928"/>
      <c r="B917" s="928"/>
      <c r="C917" s="928"/>
      <c r="D917" s="928"/>
      <c r="E917" s="928"/>
      <c r="F917" s="928"/>
      <c r="G917" s="928"/>
      <c r="H917" s="928"/>
      <c r="I917" s="928"/>
      <c r="J917" s="928"/>
      <c r="K917" s="928"/>
      <c r="L917" s="928"/>
      <c r="M917" s="928"/>
      <c r="N917" s="928"/>
      <c r="O917" s="928"/>
      <c r="P917" s="928"/>
      <c r="Q917" s="928"/>
      <c r="R917" s="928"/>
      <c r="S917" s="928"/>
      <c r="T917" s="928"/>
      <c r="U917" s="928"/>
      <c r="V917" s="928"/>
      <c r="W917" s="928"/>
      <c r="X917" s="928"/>
    </row>
    <row r="918">
      <c r="A918" s="928"/>
      <c r="B918" s="928"/>
      <c r="C918" s="928"/>
      <c r="D918" s="928"/>
      <c r="E918" s="928"/>
      <c r="F918" s="928"/>
      <c r="G918" s="928"/>
      <c r="H918" s="928"/>
      <c r="I918" s="928"/>
      <c r="J918" s="928"/>
      <c r="K918" s="928"/>
      <c r="L918" s="928"/>
      <c r="M918" s="928"/>
      <c r="N918" s="928"/>
      <c r="O918" s="928"/>
      <c r="P918" s="928"/>
      <c r="Q918" s="928"/>
      <c r="R918" s="928"/>
      <c r="S918" s="928"/>
      <c r="T918" s="928"/>
      <c r="U918" s="928"/>
      <c r="V918" s="928"/>
      <c r="W918" s="928"/>
      <c r="X918" s="928"/>
    </row>
    <row r="919">
      <c r="A919" s="928"/>
      <c r="B919" s="928"/>
      <c r="C919" s="928"/>
      <c r="D919" s="928"/>
      <c r="E919" s="928"/>
      <c r="F919" s="928"/>
      <c r="G919" s="928"/>
      <c r="H919" s="928"/>
      <c r="I919" s="928"/>
      <c r="J919" s="928"/>
      <c r="K919" s="928"/>
      <c r="L919" s="928"/>
      <c r="M919" s="928"/>
      <c r="N919" s="928"/>
      <c r="O919" s="928"/>
      <c r="P919" s="928"/>
      <c r="Q919" s="928"/>
      <c r="R919" s="928"/>
      <c r="S919" s="928"/>
      <c r="T919" s="928"/>
      <c r="U919" s="928"/>
      <c r="V919" s="928"/>
      <c r="W919" s="928"/>
      <c r="X919" s="928"/>
    </row>
    <row r="920">
      <c r="A920" s="928"/>
      <c r="B920" s="928"/>
      <c r="C920" s="928"/>
      <c r="D920" s="928"/>
      <c r="E920" s="928"/>
      <c r="F920" s="928"/>
      <c r="G920" s="928"/>
      <c r="H920" s="928"/>
      <c r="I920" s="928"/>
      <c r="J920" s="928"/>
      <c r="K920" s="928"/>
      <c r="L920" s="928"/>
      <c r="M920" s="928"/>
      <c r="N920" s="928"/>
      <c r="O920" s="928"/>
      <c r="P920" s="928"/>
      <c r="Q920" s="928"/>
      <c r="R920" s="928"/>
      <c r="S920" s="928"/>
      <c r="T920" s="928"/>
      <c r="U920" s="928"/>
      <c r="V920" s="928"/>
      <c r="W920" s="928"/>
      <c r="X920" s="928"/>
    </row>
    <row r="921">
      <c r="A921" s="928"/>
      <c r="B921" s="928"/>
      <c r="C921" s="928"/>
      <c r="D921" s="928"/>
      <c r="E921" s="928"/>
      <c r="F921" s="928"/>
      <c r="G921" s="928"/>
      <c r="H921" s="928"/>
      <c r="I921" s="928"/>
      <c r="J921" s="928"/>
      <c r="K921" s="928"/>
      <c r="L921" s="928"/>
      <c r="M921" s="928"/>
      <c r="N921" s="928"/>
      <c r="O921" s="928"/>
      <c r="P921" s="928"/>
      <c r="Q921" s="928"/>
      <c r="R921" s="928"/>
      <c r="S921" s="928"/>
      <c r="T921" s="928"/>
      <c r="U921" s="928"/>
      <c r="V921" s="928"/>
      <c r="W921" s="928"/>
      <c r="X921" s="928"/>
    </row>
    <row r="922">
      <c r="A922" s="928"/>
      <c r="B922" s="928"/>
      <c r="C922" s="928"/>
      <c r="D922" s="928"/>
      <c r="E922" s="928"/>
      <c r="F922" s="928"/>
      <c r="G922" s="928"/>
      <c r="H922" s="928"/>
      <c r="I922" s="928"/>
      <c r="J922" s="928"/>
      <c r="K922" s="928"/>
      <c r="L922" s="928"/>
      <c r="M922" s="928"/>
      <c r="N922" s="928"/>
      <c r="O922" s="928"/>
      <c r="P922" s="928"/>
      <c r="Q922" s="928"/>
      <c r="R922" s="928"/>
      <c r="S922" s="928"/>
      <c r="T922" s="928"/>
      <c r="U922" s="928"/>
      <c r="V922" s="928"/>
      <c r="W922" s="928"/>
      <c r="X922" s="928"/>
    </row>
    <row r="923">
      <c r="A923" s="928"/>
      <c r="B923" s="928"/>
      <c r="C923" s="928"/>
      <c r="D923" s="928"/>
      <c r="E923" s="928"/>
      <c r="F923" s="928"/>
      <c r="G923" s="928"/>
      <c r="H923" s="928"/>
      <c r="I923" s="928"/>
      <c r="J923" s="928"/>
      <c r="K923" s="928"/>
      <c r="L923" s="928"/>
      <c r="M923" s="928"/>
      <c r="N923" s="928"/>
      <c r="O923" s="928"/>
      <c r="P923" s="928"/>
      <c r="Q923" s="928"/>
      <c r="R923" s="928"/>
      <c r="S923" s="928"/>
      <c r="T923" s="928"/>
      <c r="U923" s="928"/>
      <c r="V923" s="928"/>
      <c r="W923" s="928"/>
      <c r="X923" s="928"/>
    </row>
    <row r="924">
      <c r="A924" s="928"/>
      <c r="B924" s="928"/>
      <c r="C924" s="928"/>
      <c r="D924" s="928"/>
      <c r="E924" s="928"/>
      <c r="F924" s="928"/>
      <c r="G924" s="928"/>
      <c r="H924" s="928"/>
      <c r="I924" s="928"/>
      <c r="J924" s="928"/>
      <c r="K924" s="928"/>
      <c r="L924" s="928"/>
      <c r="M924" s="928"/>
      <c r="N924" s="928"/>
      <c r="O924" s="928"/>
      <c r="P924" s="928"/>
      <c r="Q924" s="928"/>
      <c r="R924" s="928"/>
      <c r="S924" s="928"/>
      <c r="T924" s="928"/>
      <c r="U924" s="928"/>
      <c r="V924" s="928"/>
      <c r="W924" s="928"/>
      <c r="X924" s="928"/>
    </row>
    <row r="925">
      <c r="A925" s="928"/>
      <c r="B925" s="928"/>
      <c r="C925" s="928"/>
      <c r="D925" s="928"/>
      <c r="E925" s="928"/>
      <c r="F925" s="928"/>
      <c r="G925" s="928"/>
      <c r="H925" s="928"/>
      <c r="I925" s="928"/>
      <c r="J925" s="928"/>
      <c r="K925" s="928"/>
      <c r="L925" s="928"/>
      <c r="M925" s="928"/>
      <c r="N925" s="928"/>
      <c r="O925" s="928"/>
      <c r="P925" s="928"/>
      <c r="Q925" s="928"/>
      <c r="R925" s="928"/>
      <c r="S925" s="928"/>
      <c r="T925" s="928"/>
      <c r="U925" s="928"/>
      <c r="V925" s="928"/>
      <c r="W925" s="928"/>
      <c r="X925" s="928"/>
    </row>
    <row r="926">
      <c r="A926" s="928"/>
      <c r="B926" s="928"/>
      <c r="C926" s="928"/>
      <c r="D926" s="928"/>
      <c r="E926" s="928"/>
      <c r="F926" s="928"/>
      <c r="G926" s="928"/>
      <c r="H926" s="928"/>
      <c r="I926" s="928"/>
      <c r="J926" s="928"/>
      <c r="K926" s="928"/>
      <c r="L926" s="928"/>
      <c r="M926" s="928"/>
      <c r="N926" s="928"/>
      <c r="O926" s="928"/>
      <c r="P926" s="928"/>
      <c r="Q926" s="928"/>
      <c r="R926" s="928"/>
      <c r="S926" s="928"/>
      <c r="T926" s="928"/>
      <c r="U926" s="928"/>
      <c r="V926" s="928"/>
      <c r="W926" s="928"/>
      <c r="X926" s="928"/>
    </row>
    <row r="927">
      <c r="A927" s="928"/>
      <c r="B927" s="928"/>
      <c r="C927" s="928"/>
      <c r="D927" s="928"/>
      <c r="E927" s="928"/>
      <c r="F927" s="928"/>
      <c r="G927" s="928"/>
      <c r="H927" s="928"/>
      <c r="I927" s="928"/>
      <c r="J927" s="928"/>
      <c r="K927" s="928"/>
      <c r="L927" s="928"/>
      <c r="M927" s="928"/>
      <c r="N927" s="928"/>
      <c r="O927" s="928"/>
      <c r="P927" s="928"/>
      <c r="Q927" s="928"/>
      <c r="R927" s="928"/>
      <c r="S927" s="928"/>
      <c r="T927" s="928"/>
      <c r="U927" s="928"/>
      <c r="V927" s="928"/>
      <c r="W927" s="928"/>
      <c r="X927" s="928"/>
    </row>
    <row r="928">
      <c r="A928" s="928"/>
      <c r="B928" s="928"/>
      <c r="C928" s="928"/>
      <c r="D928" s="928"/>
      <c r="E928" s="928"/>
      <c r="F928" s="928"/>
      <c r="G928" s="928"/>
      <c r="H928" s="928"/>
      <c r="I928" s="928"/>
      <c r="J928" s="928"/>
      <c r="K928" s="928"/>
      <c r="L928" s="928"/>
      <c r="M928" s="928"/>
      <c r="N928" s="928"/>
      <c r="O928" s="928"/>
      <c r="P928" s="928"/>
      <c r="Q928" s="928"/>
      <c r="R928" s="928"/>
      <c r="S928" s="928"/>
      <c r="T928" s="928"/>
      <c r="U928" s="928"/>
      <c r="V928" s="928"/>
      <c r="W928" s="928"/>
      <c r="X928" s="928"/>
    </row>
    <row r="929">
      <c r="A929" s="928"/>
      <c r="B929" s="928"/>
      <c r="C929" s="928"/>
      <c r="D929" s="928"/>
      <c r="E929" s="928"/>
      <c r="F929" s="928"/>
      <c r="G929" s="928"/>
      <c r="H929" s="928"/>
      <c r="I929" s="928"/>
      <c r="J929" s="928"/>
      <c r="K929" s="928"/>
      <c r="L929" s="928"/>
      <c r="M929" s="928"/>
      <c r="N929" s="928"/>
      <c r="O929" s="928"/>
      <c r="P929" s="928"/>
      <c r="Q929" s="928"/>
      <c r="R929" s="928"/>
      <c r="S929" s="928"/>
      <c r="T929" s="928"/>
      <c r="U929" s="928"/>
      <c r="V929" s="928"/>
      <c r="W929" s="928"/>
      <c r="X929" s="928"/>
    </row>
    <row r="930">
      <c r="A930" s="928"/>
      <c r="B930" s="928"/>
      <c r="C930" s="928"/>
      <c r="D930" s="928"/>
      <c r="E930" s="928"/>
      <c r="F930" s="928"/>
      <c r="G930" s="928"/>
      <c r="H930" s="928"/>
      <c r="I930" s="928"/>
      <c r="J930" s="928"/>
      <c r="K930" s="928"/>
      <c r="L930" s="928"/>
      <c r="M930" s="928"/>
      <c r="N930" s="928"/>
      <c r="O930" s="928"/>
      <c r="P930" s="928"/>
      <c r="Q930" s="928"/>
      <c r="R930" s="928"/>
      <c r="S930" s="928"/>
      <c r="T930" s="928"/>
      <c r="U930" s="928"/>
      <c r="V930" s="928"/>
      <c r="W930" s="928"/>
      <c r="X930" s="928"/>
    </row>
    <row r="931">
      <c r="A931" s="928"/>
      <c r="B931" s="928"/>
      <c r="C931" s="928"/>
      <c r="D931" s="928"/>
      <c r="E931" s="928"/>
      <c r="F931" s="928"/>
      <c r="G931" s="928"/>
      <c r="H931" s="928"/>
      <c r="I931" s="928"/>
      <c r="J931" s="928"/>
      <c r="K931" s="928"/>
      <c r="L931" s="928"/>
      <c r="M931" s="928"/>
      <c r="N931" s="928"/>
      <c r="O931" s="928"/>
      <c r="P931" s="928"/>
      <c r="Q931" s="928"/>
      <c r="R931" s="928"/>
      <c r="S931" s="928"/>
      <c r="T931" s="928"/>
      <c r="U931" s="928"/>
      <c r="V931" s="928"/>
      <c r="W931" s="928"/>
      <c r="X931" s="928"/>
    </row>
    <row r="932">
      <c r="A932" s="928"/>
      <c r="B932" s="928"/>
      <c r="C932" s="928"/>
      <c r="D932" s="928"/>
      <c r="E932" s="928"/>
      <c r="F932" s="928"/>
      <c r="G932" s="928"/>
      <c r="H932" s="928"/>
      <c r="I932" s="928"/>
      <c r="J932" s="928"/>
      <c r="K932" s="928"/>
      <c r="L932" s="928"/>
      <c r="M932" s="928"/>
      <c r="N932" s="928"/>
      <c r="O932" s="928"/>
      <c r="P932" s="928"/>
      <c r="Q932" s="928"/>
      <c r="R932" s="928"/>
      <c r="S932" s="928"/>
      <c r="T932" s="928"/>
      <c r="U932" s="928"/>
      <c r="V932" s="928"/>
      <c r="W932" s="928"/>
      <c r="X932" s="928"/>
    </row>
    <row r="933">
      <c r="A933" s="928"/>
      <c r="B933" s="928"/>
      <c r="C933" s="928"/>
      <c r="D933" s="928"/>
      <c r="E933" s="928"/>
      <c r="F933" s="928"/>
      <c r="G933" s="928"/>
      <c r="H933" s="928"/>
      <c r="I933" s="928"/>
      <c r="J933" s="928"/>
      <c r="K933" s="928"/>
      <c r="L933" s="928"/>
      <c r="M933" s="928"/>
      <c r="N933" s="928"/>
      <c r="O933" s="928"/>
      <c r="P933" s="928"/>
      <c r="Q933" s="928"/>
      <c r="R933" s="928"/>
      <c r="S933" s="928"/>
      <c r="T933" s="928"/>
      <c r="U933" s="928"/>
      <c r="V933" s="928"/>
      <c r="W933" s="928"/>
      <c r="X933" s="928"/>
    </row>
    <row r="934">
      <c r="A934" s="928"/>
      <c r="B934" s="928"/>
      <c r="C934" s="928"/>
      <c r="D934" s="928"/>
      <c r="E934" s="928"/>
      <c r="F934" s="928"/>
      <c r="G934" s="928"/>
      <c r="H934" s="928"/>
      <c r="I934" s="928"/>
      <c r="J934" s="928"/>
      <c r="K934" s="928"/>
      <c r="L934" s="928"/>
      <c r="M934" s="928"/>
      <c r="N934" s="928"/>
      <c r="O934" s="928"/>
      <c r="P934" s="928"/>
      <c r="Q934" s="928"/>
      <c r="R934" s="928"/>
      <c r="S934" s="928"/>
      <c r="T934" s="928"/>
      <c r="U934" s="928"/>
      <c r="V934" s="928"/>
      <c r="W934" s="928"/>
      <c r="X934" s="928"/>
    </row>
    <row r="935">
      <c r="A935" s="928"/>
      <c r="B935" s="928"/>
      <c r="C935" s="928"/>
      <c r="D935" s="928"/>
      <c r="E935" s="928"/>
      <c r="F935" s="928"/>
      <c r="G935" s="928"/>
      <c r="H935" s="928"/>
      <c r="I935" s="928"/>
      <c r="J935" s="928"/>
      <c r="K935" s="928"/>
      <c r="L935" s="928"/>
      <c r="M935" s="928"/>
      <c r="N935" s="928"/>
      <c r="O935" s="928"/>
      <c r="P935" s="928"/>
      <c r="Q935" s="928"/>
      <c r="R935" s="928"/>
      <c r="S935" s="928"/>
      <c r="T935" s="928"/>
      <c r="U935" s="928"/>
      <c r="V935" s="928"/>
      <c r="W935" s="928"/>
      <c r="X935" s="928"/>
    </row>
    <row r="936">
      <c r="A936" s="928"/>
      <c r="B936" s="928"/>
      <c r="C936" s="928"/>
      <c r="D936" s="928"/>
      <c r="E936" s="928"/>
      <c r="F936" s="928"/>
      <c r="G936" s="928"/>
      <c r="H936" s="928"/>
      <c r="I936" s="928"/>
      <c r="J936" s="928"/>
      <c r="K936" s="928"/>
      <c r="L936" s="928"/>
      <c r="M936" s="928"/>
      <c r="N936" s="928"/>
      <c r="O936" s="928"/>
      <c r="P936" s="928"/>
      <c r="Q936" s="928"/>
      <c r="R936" s="928"/>
      <c r="S936" s="928"/>
      <c r="T936" s="928"/>
      <c r="U936" s="928"/>
      <c r="V936" s="928"/>
      <c r="W936" s="928"/>
      <c r="X936" s="928"/>
    </row>
    <row r="937">
      <c r="A937" s="928"/>
      <c r="B937" s="928"/>
      <c r="C937" s="928"/>
      <c r="D937" s="928"/>
      <c r="E937" s="928"/>
      <c r="F937" s="928"/>
      <c r="G937" s="928"/>
      <c r="H937" s="928"/>
      <c r="I937" s="928"/>
      <c r="J937" s="928"/>
      <c r="K937" s="928"/>
      <c r="L937" s="928"/>
      <c r="M937" s="928"/>
      <c r="N937" s="928"/>
      <c r="O937" s="928"/>
      <c r="P937" s="928"/>
      <c r="Q937" s="928"/>
      <c r="R937" s="928"/>
      <c r="S937" s="928"/>
      <c r="T937" s="928"/>
      <c r="U937" s="928"/>
      <c r="V937" s="928"/>
      <c r="W937" s="928"/>
      <c r="X937" s="928"/>
    </row>
    <row r="938">
      <c r="A938" s="928"/>
      <c r="B938" s="928"/>
      <c r="C938" s="928"/>
      <c r="D938" s="928"/>
      <c r="E938" s="928"/>
      <c r="F938" s="928"/>
      <c r="G938" s="928"/>
      <c r="H938" s="928"/>
      <c r="I938" s="928"/>
      <c r="J938" s="928"/>
      <c r="K938" s="928"/>
      <c r="L938" s="928"/>
      <c r="M938" s="928"/>
      <c r="N938" s="928"/>
      <c r="O938" s="928"/>
      <c r="P938" s="928"/>
      <c r="Q938" s="928"/>
      <c r="R938" s="928"/>
      <c r="S938" s="928"/>
      <c r="T938" s="928"/>
      <c r="U938" s="928"/>
      <c r="V938" s="928"/>
      <c r="W938" s="928"/>
      <c r="X938" s="928"/>
    </row>
    <row r="939">
      <c r="A939" s="928"/>
      <c r="B939" s="928"/>
      <c r="C939" s="928"/>
      <c r="D939" s="928"/>
      <c r="E939" s="928"/>
      <c r="F939" s="928"/>
      <c r="G939" s="928"/>
      <c r="H939" s="928"/>
      <c r="I939" s="928"/>
      <c r="J939" s="928"/>
      <c r="K939" s="928"/>
      <c r="L939" s="928"/>
      <c r="M939" s="928"/>
      <c r="N939" s="928"/>
      <c r="O939" s="928"/>
      <c r="P939" s="928"/>
      <c r="Q939" s="928"/>
      <c r="R939" s="928"/>
      <c r="S939" s="928"/>
      <c r="T939" s="928"/>
      <c r="U939" s="928"/>
      <c r="V939" s="928"/>
      <c r="W939" s="928"/>
      <c r="X939" s="928"/>
    </row>
    <row r="940">
      <c r="A940" s="928"/>
      <c r="B940" s="928"/>
      <c r="C940" s="928"/>
      <c r="D940" s="928"/>
      <c r="E940" s="928"/>
      <c r="F940" s="928"/>
      <c r="G940" s="928"/>
      <c r="H940" s="928"/>
      <c r="I940" s="928"/>
      <c r="J940" s="928"/>
      <c r="K940" s="928"/>
      <c r="L940" s="928"/>
      <c r="M940" s="928"/>
      <c r="N940" s="928"/>
      <c r="O940" s="928"/>
      <c r="P940" s="928"/>
      <c r="Q940" s="928"/>
      <c r="R940" s="928"/>
      <c r="S940" s="928"/>
      <c r="T940" s="928"/>
      <c r="U940" s="928"/>
      <c r="V940" s="928"/>
      <c r="W940" s="928"/>
      <c r="X940" s="928"/>
    </row>
    <row r="941">
      <c r="A941" s="928"/>
      <c r="B941" s="928"/>
      <c r="C941" s="928"/>
      <c r="D941" s="928"/>
      <c r="E941" s="928"/>
      <c r="F941" s="928"/>
      <c r="G941" s="928"/>
      <c r="H941" s="928"/>
      <c r="I941" s="928"/>
      <c r="J941" s="928"/>
      <c r="K941" s="928"/>
      <c r="L941" s="928"/>
      <c r="M941" s="928"/>
      <c r="N941" s="928"/>
      <c r="O941" s="928"/>
      <c r="P941" s="928"/>
      <c r="Q941" s="928"/>
      <c r="R941" s="928"/>
      <c r="S941" s="928"/>
      <c r="T941" s="928"/>
      <c r="U941" s="928"/>
      <c r="V941" s="928"/>
      <c r="W941" s="928"/>
      <c r="X941" s="928"/>
    </row>
    <row r="942">
      <c r="A942" s="928"/>
      <c r="B942" s="928"/>
      <c r="C942" s="928"/>
      <c r="D942" s="928"/>
      <c r="E942" s="928"/>
      <c r="F942" s="928"/>
      <c r="G942" s="928"/>
      <c r="H942" s="928"/>
      <c r="I942" s="928"/>
      <c r="J942" s="928"/>
      <c r="K942" s="928"/>
      <c r="L942" s="928"/>
      <c r="M942" s="928"/>
      <c r="N942" s="928"/>
      <c r="O942" s="928"/>
      <c r="P942" s="928"/>
      <c r="Q942" s="928"/>
      <c r="R942" s="928"/>
      <c r="S942" s="928"/>
      <c r="T942" s="928"/>
      <c r="U942" s="928"/>
      <c r="V942" s="928"/>
      <c r="W942" s="928"/>
      <c r="X942" s="928"/>
    </row>
    <row r="943">
      <c r="A943" s="928"/>
      <c r="B943" s="928"/>
      <c r="C943" s="928"/>
      <c r="D943" s="928"/>
      <c r="E943" s="928"/>
      <c r="F943" s="928"/>
      <c r="G943" s="928"/>
      <c r="H943" s="928"/>
      <c r="I943" s="928"/>
      <c r="J943" s="928"/>
      <c r="K943" s="928"/>
      <c r="L943" s="928"/>
      <c r="M943" s="928"/>
      <c r="N943" s="928"/>
      <c r="O943" s="928"/>
      <c r="P943" s="928"/>
      <c r="Q943" s="928"/>
      <c r="R943" s="928"/>
      <c r="S943" s="928"/>
      <c r="T943" s="928"/>
      <c r="U943" s="928"/>
      <c r="V943" s="928"/>
      <c r="W943" s="928"/>
      <c r="X943" s="928"/>
    </row>
    <row r="944">
      <c r="A944" s="928"/>
      <c r="B944" s="928"/>
      <c r="C944" s="928"/>
      <c r="D944" s="928"/>
      <c r="E944" s="928"/>
      <c r="F944" s="928"/>
      <c r="G944" s="928"/>
      <c r="H944" s="928"/>
      <c r="I944" s="928"/>
      <c r="J944" s="928"/>
      <c r="K944" s="928"/>
      <c r="L944" s="928"/>
      <c r="M944" s="928"/>
      <c r="N944" s="928"/>
      <c r="O944" s="928"/>
      <c r="P944" s="928"/>
      <c r="Q944" s="928"/>
      <c r="R944" s="928"/>
      <c r="S944" s="928"/>
      <c r="T944" s="928"/>
      <c r="U944" s="928"/>
      <c r="V944" s="928"/>
      <c r="W944" s="928"/>
      <c r="X944" s="928"/>
    </row>
    <row r="945">
      <c r="A945" s="928"/>
      <c r="B945" s="928"/>
      <c r="C945" s="928"/>
      <c r="D945" s="928"/>
      <c r="E945" s="928"/>
      <c r="F945" s="928"/>
      <c r="G945" s="928"/>
      <c r="H945" s="928"/>
      <c r="I945" s="928"/>
      <c r="J945" s="928"/>
      <c r="K945" s="928"/>
      <c r="L945" s="928"/>
      <c r="M945" s="928"/>
      <c r="N945" s="928"/>
      <c r="O945" s="928"/>
      <c r="P945" s="928"/>
      <c r="Q945" s="928"/>
      <c r="R945" s="928"/>
      <c r="S945" s="928"/>
      <c r="T945" s="928"/>
      <c r="U945" s="928"/>
      <c r="V945" s="928"/>
      <c r="W945" s="928"/>
      <c r="X945" s="928"/>
    </row>
    <row r="946">
      <c r="A946" s="928"/>
      <c r="B946" s="928"/>
      <c r="C946" s="928"/>
      <c r="D946" s="928"/>
      <c r="E946" s="928"/>
      <c r="F946" s="928"/>
      <c r="G946" s="928"/>
      <c r="H946" s="928"/>
      <c r="I946" s="928"/>
      <c r="J946" s="928"/>
      <c r="K946" s="928"/>
      <c r="L946" s="928"/>
      <c r="M946" s="928"/>
      <c r="N946" s="928"/>
      <c r="O946" s="928"/>
      <c r="P946" s="928"/>
      <c r="Q946" s="928"/>
      <c r="R946" s="928"/>
      <c r="S946" s="928"/>
      <c r="T946" s="928"/>
      <c r="U946" s="928"/>
      <c r="V946" s="928"/>
      <c r="W946" s="928"/>
      <c r="X946" s="928"/>
    </row>
    <row r="947">
      <c r="A947" s="928"/>
      <c r="B947" s="928"/>
      <c r="C947" s="928"/>
      <c r="D947" s="928"/>
      <c r="E947" s="928"/>
      <c r="F947" s="928"/>
      <c r="G947" s="928"/>
      <c r="H947" s="928"/>
      <c r="I947" s="928"/>
      <c r="J947" s="928"/>
      <c r="K947" s="928"/>
      <c r="L947" s="928"/>
      <c r="M947" s="928"/>
      <c r="N947" s="928"/>
      <c r="O947" s="928"/>
      <c r="P947" s="928"/>
      <c r="Q947" s="928"/>
      <c r="R947" s="928"/>
      <c r="S947" s="928"/>
      <c r="T947" s="928"/>
      <c r="U947" s="928"/>
      <c r="V947" s="928"/>
      <c r="W947" s="928"/>
      <c r="X947" s="928"/>
    </row>
    <row r="948">
      <c r="A948" s="928"/>
      <c r="B948" s="928"/>
      <c r="C948" s="928"/>
      <c r="D948" s="928"/>
      <c r="E948" s="928"/>
      <c r="F948" s="928"/>
      <c r="G948" s="928"/>
      <c r="H948" s="928"/>
      <c r="I948" s="928"/>
      <c r="J948" s="928"/>
      <c r="K948" s="928"/>
      <c r="L948" s="928"/>
      <c r="M948" s="928"/>
      <c r="N948" s="928"/>
      <c r="O948" s="928"/>
      <c r="P948" s="928"/>
      <c r="Q948" s="928"/>
      <c r="R948" s="928"/>
      <c r="S948" s="928"/>
      <c r="T948" s="928"/>
      <c r="U948" s="928"/>
      <c r="V948" s="928"/>
      <c r="W948" s="928"/>
      <c r="X948" s="928"/>
    </row>
    <row r="949">
      <c r="A949" s="928"/>
      <c r="B949" s="928"/>
      <c r="C949" s="928"/>
      <c r="D949" s="928"/>
      <c r="E949" s="928"/>
      <c r="F949" s="928"/>
      <c r="G949" s="928"/>
      <c r="H949" s="928"/>
      <c r="I949" s="928"/>
      <c r="J949" s="928"/>
      <c r="K949" s="928"/>
      <c r="L949" s="928"/>
      <c r="M949" s="928"/>
      <c r="N949" s="928"/>
      <c r="O949" s="928"/>
      <c r="P949" s="928"/>
      <c r="Q949" s="928"/>
      <c r="R949" s="928"/>
      <c r="S949" s="928"/>
      <c r="T949" s="928"/>
      <c r="U949" s="928"/>
      <c r="V949" s="928"/>
      <c r="W949" s="928"/>
      <c r="X949" s="928"/>
    </row>
    <row r="950">
      <c r="A950" s="928"/>
      <c r="B950" s="928"/>
      <c r="C950" s="928"/>
      <c r="D950" s="928"/>
      <c r="E950" s="928"/>
      <c r="F950" s="928"/>
      <c r="G950" s="928"/>
      <c r="H950" s="928"/>
      <c r="I950" s="928"/>
      <c r="J950" s="928"/>
      <c r="K950" s="928"/>
      <c r="L950" s="928"/>
      <c r="M950" s="928"/>
      <c r="N950" s="928"/>
      <c r="O950" s="928"/>
      <c r="P950" s="928"/>
      <c r="Q950" s="928"/>
      <c r="R950" s="928"/>
      <c r="S950" s="928"/>
      <c r="T950" s="928"/>
      <c r="U950" s="928"/>
      <c r="V950" s="928"/>
      <c r="W950" s="928"/>
      <c r="X950" s="928"/>
    </row>
    <row r="951">
      <c r="A951" s="928"/>
      <c r="B951" s="928"/>
      <c r="C951" s="928"/>
      <c r="D951" s="928"/>
      <c r="E951" s="928"/>
      <c r="F951" s="928"/>
      <c r="G951" s="928"/>
      <c r="H951" s="928"/>
      <c r="I951" s="928"/>
      <c r="J951" s="928"/>
      <c r="K951" s="928"/>
      <c r="L951" s="928"/>
      <c r="M951" s="928"/>
      <c r="N951" s="928"/>
      <c r="O951" s="928"/>
      <c r="P951" s="928"/>
      <c r="Q951" s="928"/>
      <c r="R951" s="928"/>
      <c r="S951" s="928"/>
      <c r="T951" s="928"/>
      <c r="U951" s="928"/>
      <c r="V951" s="928"/>
      <c r="W951" s="928"/>
      <c r="X951" s="928"/>
    </row>
    <row r="952">
      <c r="A952" s="928"/>
      <c r="B952" s="928"/>
      <c r="C952" s="928"/>
      <c r="D952" s="928"/>
      <c r="E952" s="928"/>
      <c r="F952" s="928"/>
      <c r="G952" s="928"/>
      <c r="H952" s="928"/>
      <c r="I952" s="928"/>
      <c r="J952" s="928"/>
      <c r="K952" s="928"/>
      <c r="L952" s="928"/>
      <c r="M952" s="928"/>
      <c r="N952" s="928"/>
      <c r="O952" s="928"/>
      <c r="P952" s="928"/>
      <c r="Q952" s="928"/>
      <c r="R952" s="928"/>
      <c r="S952" s="928"/>
      <c r="T952" s="928"/>
      <c r="U952" s="928"/>
      <c r="V952" s="928"/>
      <c r="W952" s="928"/>
      <c r="X952" s="928"/>
    </row>
    <row r="953">
      <c r="A953" s="928"/>
      <c r="B953" s="928"/>
      <c r="C953" s="928"/>
      <c r="D953" s="928"/>
      <c r="E953" s="928"/>
      <c r="F953" s="928"/>
      <c r="G953" s="928"/>
      <c r="H953" s="928"/>
      <c r="I953" s="928"/>
      <c r="J953" s="928"/>
      <c r="K953" s="928"/>
      <c r="L953" s="928"/>
      <c r="M953" s="928"/>
      <c r="N953" s="928"/>
      <c r="O953" s="928"/>
      <c r="P953" s="928"/>
      <c r="Q953" s="928"/>
      <c r="R953" s="928"/>
      <c r="S953" s="928"/>
      <c r="T953" s="928"/>
      <c r="U953" s="928"/>
      <c r="V953" s="928"/>
      <c r="W953" s="928"/>
      <c r="X953" s="928"/>
    </row>
    <row r="954">
      <c r="A954" s="928"/>
      <c r="B954" s="928"/>
      <c r="C954" s="928"/>
      <c r="D954" s="928"/>
      <c r="E954" s="928"/>
      <c r="F954" s="928"/>
      <c r="G954" s="928"/>
      <c r="H954" s="928"/>
      <c r="I954" s="928"/>
      <c r="J954" s="928"/>
      <c r="K954" s="928"/>
      <c r="L954" s="928"/>
      <c r="M954" s="928"/>
      <c r="N954" s="928"/>
      <c r="O954" s="928"/>
      <c r="P954" s="928"/>
      <c r="Q954" s="928"/>
      <c r="R954" s="928"/>
      <c r="S954" s="928"/>
      <c r="T954" s="928"/>
      <c r="U954" s="928"/>
      <c r="V954" s="928"/>
      <c r="W954" s="928"/>
      <c r="X954" s="928"/>
    </row>
    <row r="955">
      <c r="A955" s="928"/>
      <c r="B955" s="928"/>
      <c r="C955" s="928"/>
      <c r="D955" s="928"/>
      <c r="E955" s="928"/>
      <c r="F955" s="928"/>
      <c r="G955" s="928"/>
      <c r="H955" s="928"/>
      <c r="I955" s="928"/>
      <c r="J955" s="928"/>
      <c r="K955" s="928"/>
      <c r="L955" s="928"/>
      <c r="M955" s="928"/>
      <c r="N955" s="928"/>
      <c r="O955" s="928"/>
      <c r="P955" s="928"/>
      <c r="Q955" s="928"/>
      <c r="R955" s="928"/>
      <c r="S955" s="928"/>
      <c r="T955" s="928"/>
      <c r="U955" s="928"/>
      <c r="V955" s="928"/>
      <c r="W955" s="928"/>
      <c r="X955" s="928"/>
    </row>
    <row r="956">
      <c r="A956" s="928"/>
      <c r="B956" s="928"/>
      <c r="C956" s="928"/>
      <c r="D956" s="928"/>
      <c r="E956" s="928"/>
      <c r="F956" s="928"/>
      <c r="G956" s="928"/>
      <c r="H956" s="928"/>
      <c r="I956" s="928"/>
      <c r="J956" s="928"/>
      <c r="K956" s="928"/>
      <c r="L956" s="928"/>
      <c r="M956" s="928"/>
      <c r="N956" s="928"/>
      <c r="O956" s="928"/>
      <c r="P956" s="928"/>
      <c r="Q956" s="928"/>
      <c r="R956" s="928"/>
      <c r="S956" s="928"/>
      <c r="T956" s="928"/>
      <c r="U956" s="928"/>
      <c r="V956" s="928"/>
      <c r="W956" s="928"/>
      <c r="X956" s="928"/>
    </row>
    <row r="957">
      <c r="A957" s="928"/>
      <c r="B957" s="928"/>
      <c r="C957" s="928"/>
      <c r="D957" s="928"/>
      <c r="E957" s="928"/>
      <c r="F957" s="928"/>
      <c r="G957" s="928"/>
      <c r="H957" s="928"/>
      <c r="I957" s="928"/>
      <c r="J957" s="928"/>
      <c r="K957" s="928"/>
      <c r="L957" s="928"/>
      <c r="M957" s="928"/>
      <c r="N957" s="928"/>
      <c r="O957" s="928"/>
      <c r="P957" s="928"/>
      <c r="Q957" s="928"/>
      <c r="R957" s="928"/>
      <c r="S957" s="928"/>
      <c r="T957" s="928"/>
      <c r="U957" s="928"/>
      <c r="V957" s="928"/>
      <c r="W957" s="928"/>
      <c r="X957" s="928"/>
    </row>
    <row r="958">
      <c r="A958" s="928"/>
      <c r="B958" s="928"/>
      <c r="C958" s="928"/>
      <c r="D958" s="928"/>
      <c r="E958" s="928"/>
      <c r="F958" s="928"/>
      <c r="G958" s="928"/>
      <c r="H958" s="928"/>
      <c r="I958" s="928"/>
      <c r="J958" s="928"/>
      <c r="K958" s="928"/>
      <c r="L958" s="928"/>
      <c r="M958" s="928"/>
      <c r="N958" s="928"/>
      <c r="O958" s="928"/>
      <c r="P958" s="928"/>
      <c r="Q958" s="928"/>
      <c r="R958" s="928"/>
      <c r="S958" s="928"/>
      <c r="T958" s="928"/>
      <c r="U958" s="928"/>
      <c r="V958" s="928"/>
      <c r="W958" s="928"/>
      <c r="X958" s="928"/>
    </row>
    <row r="959">
      <c r="A959" s="928"/>
      <c r="B959" s="928"/>
      <c r="C959" s="928"/>
      <c r="D959" s="928"/>
      <c r="E959" s="928"/>
      <c r="F959" s="928"/>
      <c r="G959" s="928"/>
      <c r="H959" s="928"/>
      <c r="I959" s="928"/>
      <c r="J959" s="928"/>
      <c r="K959" s="928"/>
      <c r="L959" s="928"/>
      <c r="M959" s="928"/>
      <c r="N959" s="928"/>
      <c r="O959" s="928"/>
      <c r="P959" s="928"/>
      <c r="Q959" s="928"/>
      <c r="R959" s="928"/>
      <c r="S959" s="928"/>
      <c r="T959" s="928"/>
      <c r="U959" s="928"/>
      <c r="V959" s="928"/>
      <c r="W959" s="928"/>
      <c r="X959" s="928"/>
    </row>
    <row r="960">
      <c r="A960" s="928"/>
      <c r="B960" s="928"/>
      <c r="C960" s="928"/>
      <c r="D960" s="928"/>
      <c r="E960" s="928"/>
      <c r="F960" s="928"/>
      <c r="G960" s="928"/>
      <c r="H960" s="928"/>
      <c r="I960" s="928"/>
      <c r="J960" s="928"/>
      <c r="K960" s="928"/>
      <c r="L960" s="928"/>
      <c r="M960" s="928"/>
      <c r="N960" s="928"/>
      <c r="O960" s="928"/>
      <c r="P960" s="928"/>
      <c r="Q960" s="928"/>
      <c r="R960" s="928"/>
      <c r="S960" s="928"/>
      <c r="T960" s="928"/>
      <c r="U960" s="928"/>
      <c r="V960" s="928"/>
      <c r="W960" s="928"/>
      <c r="X960" s="928"/>
    </row>
    <row r="961">
      <c r="A961" s="928"/>
      <c r="B961" s="928"/>
      <c r="C961" s="928"/>
      <c r="D961" s="928"/>
      <c r="E961" s="928"/>
      <c r="F961" s="928"/>
      <c r="G961" s="928"/>
      <c r="H961" s="928"/>
      <c r="I961" s="928"/>
      <c r="J961" s="928"/>
      <c r="K961" s="928"/>
      <c r="L961" s="928"/>
      <c r="M961" s="928"/>
      <c r="N961" s="928"/>
      <c r="O961" s="928"/>
      <c r="P961" s="928"/>
      <c r="Q961" s="928"/>
      <c r="R961" s="928"/>
      <c r="S961" s="928"/>
      <c r="T961" s="928"/>
      <c r="U961" s="928"/>
      <c r="V961" s="928"/>
      <c r="W961" s="928"/>
      <c r="X961" s="928"/>
    </row>
    <row r="962">
      <c r="A962" s="928"/>
      <c r="B962" s="928"/>
      <c r="C962" s="928"/>
      <c r="D962" s="928"/>
      <c r="E962" s="928"/>
      <c r="F962" s="928"/>
      <c r="G962" s="928"/>
      <c r="H962" s="928"/>
      <c r="I962" s="928"/>
      <c r="J962" s="928"/>
      <c r="K962" s="928"/>
      <c r="L962" s="928"/>
      <c r="M962" s="928"/>
      <c r="N962" s="928"/>
      <c r="O962" s="928"/>
      <c r="P962" s="928"/>
      <c r="Q962" s="928"/>
      <c r="R962" s="928"/>
      <c r="S962" s="928"/>
      <c r="T962" s="928"/>
      <c r="U962" s="928"/>
      <c r="V962" s="928"/>
      <c r="W962" s="928"/>
      <c r="X962" s="928"/>
    </row>
    <row r="963">
      <c r="A963" s="928"/>
      <c r="B963" s="928"/>
      <c r="C963" s="928"/>
      <c r="D963" s="928"/>
      <c r="E963" s="928"/>
      <c r="F963" s="928"/>
      <c r="G963" s="928"/>
      <c r="H963" s="928"/>
      <c r="I963" s="928"/>
      <c r="J963" s="928"/>
      <c r="K963" s="928"/>
      <c r="L963" s="928"/>
      <c r="M963" s="928"/>
      <c r="N963" s="928"/>
      <c r="O963" s="928"/>
      <c r="P963" s="928"/>
      <c r="Q963" s="928"/>
      <c r="R963" s="928"/>
      <c r="S963" s="928"/>
      <c r="T963" s="928"/>
      <c r="U963" s="928"/>
      <c r="V963" s="928"/>
      <c r="W963" s="928"/>
      <c r="X963" s="928"/>
    </row>
    <row r="964">
      <c r="A964" s="928"/>
      <c r="B964" s="928"/>
      <c r="C964" s="928"/>
      <c r="D964" s="928"/>
      <c r="E964" s="928"/>
      <c r="F964" s="928"/>
      <c r="G964" s="928"/>
      <c r="H964" s="928"/>
      <c r="I964" s="928"/>
      <c r="J964" s="928"/>
      <c r="K964" s="928"/>
      <c r="L964" s="928"/>
      <c r="M964" s="928"/>
      <c r="N964" s="928"/>
      <c r="O964" s="928"/>
      <c r="P964" s="928"/>
      <c r="Q964" s="928"/>
      <c r="R964" s="928"/>
      <c r="S964" s="928"/>
      <c r="T964" s="928"/>
      <c r="U964" s="928"/>
      <c r="V964" s="928"/>
      <c r="W964" s="928"/>
      <c r="X964" s="928"/>
    </row>
    <row r="965">
      <c r="A965" s="928"/>
      <c r="B965" s="928"/>
      <c r="C965" s="928"/>
      <c r="D965" s="928"/>
      <c r="E965" s="928"/>
      <c r="F965" s="928"/>
      <c r="G965" s="928"/>
      <c r="H965" s="928"/>
      <c r="I965" s="928"/>
      <c r="J965" s="928"/>
      <c r="K965" s="928"/>
      <c r="L965" s="928"/>
      <c r="M965" s="928"/>
      <c r="N965" s="928"/>
      <c r="O965" s="928"/>
      <c r="P965" s="928"/>
      <c r="Q965" s="928"/>
      <c r="R965" s="928"/>
      <c r="S965" s="928"/>
      <c r="T965" s="928"/>
      <c r="U965" s="928"/>
      <c r="V965" s="928"/>
      <c r="W965" s="928"/>
      <c r="X965" s="928"/>
    </row>
    <row r="966">
      <c r="A966" s="928"/>
      <c r="B966" s="928"/>
      <c r="C966" s="928"/>
      <c r="D966" s="928"/>
      <c r="E966" s="928"/>
      <c r="F966" s="928"/>
      <c r="G966" s="928"/>
      <c r="H966" s="928"/>
      <c r="I966" s="928"/>
      <c r="J966" s="928"/>
      <c r="K966" s="928"/>
      <c r="L966" s="928"/>
      <c r="M966" s="928"/>
      <c r="N966" s="928"/>
      <c r="O966" s="928"/>
      <c r="P966" s="928"/>
      <c r="Q966" s="928"/>
      <c r="R966" s="928"/>
      <c r="S966" s="928"/>
      <c r="T966" s="928"/>
      <c r="U966" s="928"/>
      <c r="V966" s="928"/>
      <c r="W966" s="928"/>
      <c r="X966" s="928"/>
    </row>
    <row r="967">
      <c r="A967" s="928"/>
      <c r="B967" s="928"/>
      <c r="C967" s="928"/>
      <c r="D967" s="928"/>
      <c r="E967" s="928"/>
      <c r="F967" s="928"/>
      <c r="G967" s="928"/>
      <c r="H967" s="928"/>
      <c r="I967" s="928"/>
      <c r="J967" s="928"/>
      <c r="K967" s="928"/>
      <c r="L967" s="928"/>
      <c r="M967" s="928"/>
      <c r="N967" s="928"/>
      <c r="O967" s="928"/>
      <c r="P967" s="928"/>
      <c r="Q967" s="928"/>
      <c r="R967" s="928"/>
      <c r="S967" s="928"/>
      <c r="T967" s="928"/>
      <c r="U967" s="928"/>
      <c r="V967" s="928"/>
      <c r="W967" s="928"/>
      <c r="X967" s="928"/>
    </row>
    <row r="968">
      <c r="A968" s="928"/>
      <c r="B968" s="928"/>
      <c r="C968" s="928"/>
      <c r="D968" s="928"/>
      <c r="E968" s="928"/>
      <c r="F968" s="928"/>
      <c r="G968" s="928"/>
      <c r="H968" s="928"/>
      <c r="I968" s="928"/>
      <c r="J968" s="928"/>
      <c r="K968" s="928"/>
      <c r="L968" s="928"/>
      <c r="M968" s="928"/>
      <c r="N968" s="928"/>
      <c r="O968" s="928"/>
      <c r="P968" s="928"/>
      <c r="Q968" s="928"/>
      <c r="R968" s="928"/>
      <c r="S968" s="928"/>
      <c r="T968" s="928"/>
      <c r="U968" s="928"/>
      <c r="V968" s="928"/>
      <c r="W968" s="928"/>
      <c r="X968" s="928"/>
    </row>
    <row r="969">
      <c r="A969" s="928"/>
      <c r="B969" s="928"/>
      <c r="C969" s="928"/>
      <c r="D969" s="928"/>
      <c r="E969" s="928"/>
      <c r="F969" s="928"/>
      <c r="G969" s="928"/>
      <c r="H969" s="928"/>
      <c r="I969" s="928"/>
      <c r="J969" s="928"/>
      <c r="K969" s="928"/>
      <c r="L969" s="928"/>
      <c r="M969" s="928"/>
      <c r="N969" s="928"/>
      <c r="O969" s="928"/>
      <c r="P969" s="928"/>
      <c r="Q969" s="928"/>
      <c r="R969" s="928"/>
      <c r="S969" s="928"/>
      <c r="T969" s="928"/>
      <c r="U969" s="928"/>
      <c r="V969" s="928"/>
      <c r="W969" s="928"/>
      <c r="X969" s="928"/>
    </row>
    <row r="970">
      <c r="A970" s="928"/>
      <c r="B970" s="928"/>
      <c r="C970" s="928"/>
      <c r="D970" s="928"/>
      <c r="E970" s="928"/>
      <c r="F970" s="928"/>
      <c r="G970" s="928"/>
      <c r="H970" s="928"/>
      <c r="I970" s="928"/>
      <c r="J970" s="928"/>
      <c r="K970" s="928"/>
      <c r="L970" s="928"/>
      <c r="M970" s="928"/>
      <c r="N970" s="928"/>
      <c r="O970" s="928"/>
      <c r="P970" s="928"/>
      <c r="Q970" s="928"/>
      <c r="R970" s="928"/>
      <c r="S970" s="928"/>
      <c r="T970" s="928"/>
      <c r="U970" s="928"/>
      <c r="V970" s="928"/>
      <c r="W970" s="928"/>
      <c r="X970" s="928"/>
    </row>
    <row r="971">
      <c r="A971" s="928"/>
      <c r="B971" s="928"/>
      <c r="C971" s="928"/>
      <c r="D971" s="928"/>
      <c r="E971" s="928"/>
      <c r="F971" s="928"/>
      <c r="G971" s="928"/>
      <c r="H971" s="928"/>
      <c r="I971" s="928"/>
      <c r="J971" s="928"/>
      <c r="K971" s="928"/>
      <c r="L971" s="928"/>
      <c r="M971" s="928"/>
      <c r="N971" s="928"/>
      <c r="O971" s="928"/>
      <c r="P971" s="928"/>
      <c r="Q971" s="928"/>
      <c r="R971" s="928"/>
      <c r="S971" s="928"/>
      <c r="T971" s="928"/>
      <c r="U971" s="928"/>
      <c r="V971" s="928"/>
      <c r="W971" s="928"/>
      <c r="X971" s="928"/>
    </row>
    <row r="972">
      <c r="A972" s="928"/>
      <c r="B972" s="928"/>
      <c r="C972" s="928"/>
      <c r="D972" s="928"/>
      <c r="E972" s="928"/>
      <c r="F972" s="928"/>
      <c r="G972" s="928"/>
      <c r="H972" s="928"/>
      <c r="I972" s="928"/>
      <c r="J972" s="928"/>
      <c r="K972" s="928"/>
      <c r="L972" s="928"/>
      <c r="M972" s="928"/>
      <c r="N972" s="928"/>
      <c r="O972" s="928"/>
      <c r="P972" s="928"/>
      <c r="Q972" s="928"/>
      <c r="R972" s="928"/>
      <c r="S972" s="928"/>
      <c r="T972" s="928"/>
      <c r="U972" s="928"/>
      <c r="V972" s="928"/>
      <c r="W972" s="928"/>
      <c r="X972" s="928"/>
    </row>
    <row r="973">
      <c r="A973" s="928"/>
      <c r="B973" s="928"/>
      <c r="C973" s="928"/>
      <c r="D973" s="928"/>
      <c r="E973" s="928"/>
      <c r="F973" s="928"/>
      <c r="G973" s="928"/>
      <c r="H973" s="928"/>
      <c r="I973" s="928"/>
      <c r="J973" s="928"/>
      <c r="K973" s="928"/>
      <c r="L973" s="928"/>
      <c r="M973" s="928"/>
      <c r="N973" s="928"/>
      <c r="O973" s="928"/>
      <c r="P973" s="928"/>
      <c r="Q973" s="928"/>
      <c r="R973" s="928"/>
      <c r="S973" s="928"/>
      <c r="T973" s="928"/>
      <c r="U973" s="928"/>
      <c r="V973" s="928"/>
      <c r="W973" s="928"/>
      <c r="X973" s="928"/>
    </row>
    <row r="974">
      <c r="A974" s="928"/>
      <c r="B974" s="928"/>
      <c r="C974" s="928"/>
      <c r="D974" s="928"/>
      <c r="E974" s="928"/>
      <c r="F974" s="928"/>
      <c r="G974" s="928"/>
      <c r="H974" s="928"/>
      <c r="I974" s="928"/>
      <c r="J974" s="928"/>
      <c r="K974" s="928"/>
      <c r="L974" s="928"/>
      <c r="M974" s="928"/>
      <c r="N974" s="928"/>
      <c r="O974" s="928"/>
      <c r="P974" s="928"/>
      <c r="Q974" s="928"/>
      <c r="R974" s="928"/>
      <c r="S974" s="928"/>
      <c r="T974" s="928"/>
      <c r="U974" s="928"/>
      <c r="V974" s="928"/>
      <c r="W974" s="928"/>
      <c r="X974" s="928"/>
    </row>
    <row r="975">
      <c r="A975" s="928"/>
      <c r="B975" s="928"/>
      <c r="C975" s="928"/>
      <c r="D975" s="928"/>
      <c r="E975" s="928"/>
      <c r="F975" s="928"/>
      <c r="G975" s="928"/>
      <c r="H975" s="928"/>
      <c r="I975" s="928"/>
      <c r="J975" s="928"/>
      <c r="K975" s="928"/>
      <c r="L975" s="928"/>
      <c r="M975" s="928"/>
      <c r="N975" s="928"/>
      <c r="O975" s="928"/>
      <c r="P975" s="928"/>
      <c r="Q975" s="928"/>
      <c r="R975" s="928"/>
      <c r="S975" s="928"/>
      <c r="T975" s="928"/>
      <c r="U975" s="928"/>
      <c r="V975" s="928"/>
      <c r="W975" s="928"/>
      <c r="X975" s="928"/>
    </row>
    <row r="976">
      <c r="A976" s="928"/>
      <c r="B976" s="928"/>
      <c r="C976" s="928"/>
      <c r="D976" s="928"/>
      <c r="E976" s="928"/>
      <c r="F976" s="928"/>
      <c r="G976" s="928"/>
      <c r="H976" s="928"/>
      <c r="I976" s="928"/>
      <c r="J976" s="928"/>
      <c r="K976" s="928"/>
      <c r="L976" s="928"/>
      <c r="M976" s="928"/>
      <c r="N976" s="928"/>
      <c r="O976" s="928"/>
      <c r="P976" s="928"/>
      <c r="Q976" s="928"/>
      <c r="R976" s="928"/>
      <c r="S976" s="928"/>
      <c r="T976" s="928"/>
      <c r="U976" s="928"/>
      <c r="V976" s="928"/>
      <c r="W976" s="928"/>
      <c r="X976" s="928"/>
    </row>
    <row r="977">
      <c r="A977" s="928"/>
      <c r="B977" s="928"/>
      <c r="C977" s="928"/>
      <c r="D977" s="928"/>
      <c r="E977" s="928"/>
      <c r="F977" s="928"/>
      <c r="G977" s="928"/>
      <c r="H977" s="928"/>
      <c r="I977" s="928"/>
      <c r="J977" s="928"/>
      <c r="K977" s="928"/>
      <c r="L977" s="928"/>
      <c r="M977" s="928"/>
      <c r="N977" s="928"/>
      <c r="O977" s="928"/>
      <c r="P977" s="928"/>
      <c r="Q977" s="928"/>
      <c r="R977" s="928"/>
      <c r="S977" s="928"/>
      <c r="T977" s="928"/>
      <c r="U977" s="928"/>
      <c r="V977" s="928"/>
      <c r="W977" s="928"/>
      <c r="X977" s="928"/>
    </row>
    <row r="978">
      <c r="A978" s="928"/>
      <c r="B978" s="928"/>
      <c r="C978" s="928"/>
      <c r="D978" s="928"/>
      <c r="E978" s="928"/>
      <c r="F978" s="928"/>
      <c r="G978" s="928"/>
      <c r="H978" s="928"/>
      <c r="I978" s="928"/>
      <c r="J978" s="928"/>
      <c r="K978" s="928"/>
      <c r="L978" s="928"/>
      <c r="M978" s="928"/>
      <c r="N978" s="928"/>
      <c r="O978" s="928"/>
      <c r="P978" s="928"/>
      <c r="Q978" s="928"/>
      <c r="R978" s="928"/>
      <c r="S978" s="928"/>
      <c r="T978" s="928"/>
      <c r="U978" s="928"/>
      <c r="V978" s="928"/>
      <c r="W978" s="928"/>
      <c r="X978" s="928"/>
    </row>
    <row r="979">
      <c r="A979" s="928"/>
      <c r="B979" s="928"/>
      <c r="C979" s="928"/>
      <c r="D979" s="928"/>
      <c r="E979" s="928"/>
      <c r="F979" s="928"/>
      <c r="G979" s="928"/>
      <c r="H979" s="928"/>
      <c r="I979" s="928"/>
      <c r="J979" s="928"/>
      <c r="K979" s="928"/>
      <c r="L979" s="928"/>
      <c r="M979" s="928"/>
      <c r="N979" s="928"/>
      <c r="O979" s="928"/>
      <c r="P979" s="928"/>
      <c r="Q979" s="928"/>
      <c r="R979" s="928"/>
      <c r="S979" s="928"/>
      <c r="T979" s="928"/>
      <c r="U979" s="928"/>
      <c r="V979" s="928"/>
      <c r="W979" s="928"/>
      <c r="X979" s="928"/>
    </row>
    <row r="980">
      <c r="A980" s="928"/>
      <c r="B980" s="928"/>
      <c r="C980" s="928"/>
      <c r="D980" s="928"/>
      <c r="E980" s="928"/>
      <c r="F980" s="928"/>
      <c r="G980" s="928"/>
      <c r="H980" s="928"/>
      <c r="I980" s="928"/>
      <c r="J980" s="928"/>
      <c r="K980" s="928"/>
      <c r="L980" s="928"/>
      <c r="M980" s="928"/>
      <c r="N980" s="928"/>
      <c r="O980" s="928"/>
      <c r="P980" s="928"/>
      <c r="Q980" s="928"/>
      <c r="R980" s="928"/>
      <c r="S980" s="928"/>
      <c r="T980" s="928"/>
      <c r="U980" s="928"/>
      <c r="V980" s="928"/>
      <c r="W980" s="928"/>
      <c r="X980" s="928"/>
    </row>
    <row r="981">
      <c r="A981" s="928"/>
      <c r="B981" s="928"/>
      <c r="C981" s="928"/>
      <c r="D981" s="928"/>
      <c r="E981" s="928"/>
      <c r="F981" s="928"/>
      <c r="G981" s="928"/>
      <c r="H981" s="928"/>
      <c r="I981" s="928"/>
      <c r="J981" s="928"/>
      <c r="K981" s="928"/>
      <c r="L981" s="928"/>
      <c r="M981" s="928"/>
      <c r="N981" s="928"/>
      <c r="O981" s="928"/>
      <c r="P981" s="928"/>
      <c r="Q981" s="928"/>
      <c r="R981" s="928"/>
      <c r="S981" s="928"/>
      <c r="T981" s="928"/>
      <c r="U981" s="928"/>
      <c r="V981" s="928"/>
      <c r="W981" s="928"/>
      <c r="X981" s="928"/>
    </row>
    <row r="982">
      <c r="A982" s="928"/>
      <c r="B982" s="928"/>
      <c r="C982" s="928"/>
      <c r="D982" s="928"/>
      <c r="E982" s="928"/>
      <c r="F982" s="928"/>
      <c r="G982" s="928"/>
      <c r="H982" s="928"/>
      <c r="I982" s="928"/>
      <c r="J982" s="928"/>
      <c r="K982" s="928"/>
      <c r="L982" s="928"/>
      <c r="M982" s="928"/>
      <c r="N982" s="928"/>
      <c r="O982" s="928"/>
      <c r="P982" s="928"/>
      <c r="Q982" s="928"/>
      <c r="R982" s="928"/>
      <c r="S982" s="928"/>
      <c r="T982" s="928"/>
      <c r="U982" s="928"/>
      <c r="V982" s="928"/>
      <c r="W982" s="928"/>
      <c r="X982" s="928"/>
    </row>
    <row r="983">
      <c r="A983" s="928"/>
      <c r="B983" s="928"/>
      <c r="C983" s="928"/>
      <c r="D983" s="928"/>
      <c r="E983" s="928"/>
      <c r="F983" s="928"/>
      <c r="G983" s="928"/>
      <c r="H983" s="928"/>
      <c r="I983" s="928"/>
      <c r="J983" s="928"/>
      <c r="K983" s="928"/>
      <c r="L983" s="928"/>
      <c r="M983" s="928"/>
      <c r="N983" s="928"/>
      <c r="O983" s="928"/>
      <c r="P983" s="928"/>
      <c r="Q983" s="928"/>
      <c r="R983" s="928"/>
      <c r="S983" s="928"/>
      <c r="T983" s="928"/>
      <c r="U983" s="928"/>
      <c r="V983" s="928"/>
      <c r="W983" s="928"/>
      <c r="X983" s="928"/>
    </row>
    <row r="984">
      <c r="A984" s="928"/>
      <c r="B984" s="928"/>
      <c r="C984" s="928"/>
      <c r="D984" s="928"/>
      <c r="E984" s="928"/>
      <c r="F984" s="928"/>
      <c r="G984" s="928"/>
      <c r="H984" s="928"/>
      <c r="I984" s="928"/>
      <c r="J984" s="928"/>
      <c r="K984" s="928"/>
      <c r="L984" s="928"/>
      <c r="M984" s="928"/>
      <c r="N984" s="928"/>
      <c r="O984" s="928"/>
      <c r="P984" s="928"/>
      <c r="Q984" s="928"/>
      <c r="R984" s="928"/>
      <c r="S984" s="928"/>
      <c r="T984" s="928"/>
      <c r="U984" s="928"/>
      <c r="V984" s="928"/>
      <c r="W984" s="928"/>
      <c r="X984" s="928"/>
    </row>
    <row r="985">
      <c r="A985" s="928"/>
      <c r="B985" s="928"/>
      <c r="C985" s="928"/>
      <c r="D985" s="928"/>
      <c r="E985" s="928"/>
      <c r="F985" s="928"/>
      <c r="G985" s="928"/>
      <c r="H985" s="928"/>
      <c r="I985" s="928"/>
      <c r="J985" s="928"/>
      <c r="K985" s="928"/>
      <c r="L985" s="928"/>
      <c r="M985" s="928"/>
      <c r="N985" s="928"/>
      <c r="O985" s="928"/>
      <c r="P985" s="928"/>
      <c r="Q985" s="928"/>
      <c r="R985" s="928"/>
      <c r="S985" s="928"/>
      <c r="T985" s="928"/>
      <c r="U985" s="928"/>
      <c r="V985" s="928"/>
      <c r="W985" s="928"/>
      <c r="X985" s="928"/>
    </row>
    <row r="986">
      <c r="A986" s="928"/>
      <c r="B986" s="928"/>
      <c r="C986" s="928"/>
      <c r="D986" s="928"/>
      <c r="E986" s="928"/>
      <c r="F986" s="928"/>
      <c r="G986" s="928"/>
      <c r="H986" s="928"/>
      <c r="I986" s="928"/>
      <c r="J986" s="928"/>
      <c r="K986" s="928"/>
      <c r="L986" s="928"/>
      <c r="M986" s="928"/>
      <c r="N986" s="928"/>
      <c r="O986" s="928"/>
      <c r="P986" s="928"/>
      <c r="Q986" s="928"/>
      <c r="R986" s="928"/>
      <c r="S986" s="928"/>
      <c r="T986" s="928"/>
      <c r="U986" s="928"/>
      <c r="V986" s="928"/>
      <c r="W986" s="928"/>
      <c r="X986" s="928"/>
    </row>
    <row r="987">
      <c r="A987" s="928"/>
      <c r="B987" s="928"/>
      <c r="C987" s="928"/>
      <c r="D987" s="928"/>
      <c r="E987" s="928"/>
      <c r="F987" s="928"/>
      <c r="G987" s="928"/>
      <c r="H987" s="928"/>
      <c r="I987" s="928"/>
      <c r="J987" s="928"/>
      <c r="K987" s="928"/>
      <c r="L987" s="928"/>
      <c r="M987" s="928"/>
      <c r="N987" s="928"/>
      <c r="O987" s="928"/>
      <c r="P987" s="928"/>
      <c r="Q987" s="928"/>
      <c r="R987" s="928"/>
      <c r="S987" s="928"/>
      <c r="T987" s="928"/>
      <c r="U987" s="928"/>
      <c r="V987" s="928"/>
      <c r="W987" s="928"/>
      <c r="X987" s="928"/>
    </row>
    <row r="988">
      <c r="A988" s="928"/>
      <c r="B988" s="928"/>
      <c r="C988" s="928"/>
      <c r="D988" s="928"/>
      <c r="E988" s="928"/>
      <c r="F988" s="928"/>
      <c r="G988" s="928"/>
      <c r="H988" s="928"/>
      <c r="I988" s="928"/>
      <c r="J988" s="928"/>
      <c r="K988" s="928"/>
      <c r="L988" s="928"/>
      <c r="M988" s="928"/>
      <c r="N988" s="928"/>
      <c r="O988" s="928"/>
      <c r="P988" s="928"/>
      <c r="Q988" s="928"/>
      <c r="R988" s="928"/>
      <c r="S988" s="928"/>
      <c r="T988" s="928"/>
      <c r="U988" s="928"/>
      <c r="V988" s="928"/>
      <c r="W988" s="928"/>
      <c r="X988" s="928"/>
    </row>
    <row r="989">
      <c r="A989" s="928"/>
      <c r="B989" s="928"/>
      <c r="C989" s="928"/>
      <c r="D989" s="928"/>
      <c r="E989" s="928"/>
      <c r="F989" s="928"/>
      <c r="G989" s="928"/>
      <c r="H989" s="928"/>
      <c r="I989" s="928"/>
      <c r="J989" s="928"/>
      <c r="K989" s="928"/>
      <c r="L989" s="928"/>
      <c r="M989" s="928"/>
      <c r="N989" s="928"/>
      <c r="O989" s="928"/>
      <c r="P989" s="928"/>
      <c r="Q989" s="928"/>
      <c r="R989" s="928"/>
      <c r="S989" s="928"/>
      <c r="T989" s="928"/>
      <c r="U989" s="928"/>
      <c r="V989" s="928"/>
      <c r="W989" s="928"/>
      <c r="X989" s="928"/>
    </row>
    <row r="990">
      <c r="A990" s="928"/>
      <c r="B990" s="928"/>
      <c r="C990" s="928"/>
      <c r="D990" s="928"/>
      <c r="E990" s="928"/>
      <c r="F990" s="928"/>
      <c r="G990" s="928"/>
      <c r="H990" s="928"/>
      <c r="I990" s="928"/>
      <c r="J990" s="928"/>
      <c r="K990" s="928"/>
      <c r="L990" s="928"/>
      <c r="M990" s="928"/>
      <c r="N990" s="928"/>
      <c r="O990" s="928"/>
      <c r="P990" s="928"/>
      <c r="Q990" s="928"/>
      <c r="R990" s="928"/>
      <c r="S990" s="928"/>
      <c r="T990" s="928"/>
      <c r="U990" s="928"/>
      <c r="V990" s="928"/>
      <c r="W990" s="928"/>
      <c r="X990" s="928"/>
    </row>
    <row r="991">
      <c r="A991" s="928"/>
      <c r="B991" s="928"/>
      <c r="C991" s="928"/>
      <c r="D991" s="928"/>
      <c r="E991" s="928"/>
      <c r="F991" s="928"/>
      <c r="G991" s="928"/>
      <c r="H991" s="928"/>
      <c r="I991" s="928"/>
      <c r="J991" s="928"/>
      <c r="K991" s="928"/>
      <c r="L991" s="928"/>
      <c r="M991" s="928"/>
      <c r="N991" s="928"/>
      <c r="O991" s="928"/>
      <c r="P991" s="928"/>
      <c r="Q991" s="928"/>
      <c r="R991" s="928"/>
      <c r="S991" s="928"/>
      <c r="T991" s="928"/>
      <c r="U991" s="928"/>
      <c r="V991" s="928"/>
      <c r="W991" s="928"/>
      <c r="X991" s="928"/>
    </row>
    <row r="992">
      <c r="A992" s="928"/>
      <c r="B992" s="928"/>
      <c r="C992" s="928"/>
      <c r="D992" s="928"/>
      <c r="E992" s="928"/>
      <c r="F992" s="928"/>
      <c r="G992" s="928"/>
      <c r="H992" s="928"/>
      <c r="I992" s="928"/>
      <c r="J992" s="928"/>
      <c r="K992" s="928"/>
      <c r="L992" s="928"/>
      <c r="M992" s="928"/>
      <c r="N992" s="928"/>
      <c r="O992" s="928"/>
      <c r="P992" s="928"/>
      <c r="Q992" s="928"/>
      <c r="R992" s="928"/>
      <c r="S992" s="928"/>
      <c r="T992" s="928"/>
      <c r="U992" s="928"/>
      <c r="V992" s="928"/>
      <c r="W992" s="928"/>
      <c r="X992" s="928"/>
    </row>
    <row r="993">
      <c r="A993" s="928"/>
      <c r="B993" s="928"/>
      <c r="C993" s="928"/>
      <c r="D993" s="928"/>
      <c r="E993" s="928"/>
      <c r="F993" s="928"/>
      <c r="G993" s="928"/>
      <c r="H993" s="928"/>
      <c r="I993" s="928"/>
      <c r="J993" s="928"/>
      <c r="K993" s="928"/>
      <c r="L993" s="928"/>
      <c r="M993" s="928"/>
      <c r="N993" s="928"/>
      <c r="O993" s="928"/>
      <c r="P993" s="928"/>
      <c r="Q993" s="928"/>
      <c r="R993" s="928"/>
      <c r="S993" s="928"/>
      <c r="T993" s="928"/>
      <c r="U993" s="928"/>
      <c r="V993" s="928"/>
      <c r="W993" s="928"/>
      <c r="X993" s="928"/>
    </row>
    <row r="994">
      <c r="A994" s="928"/>
      <c r="B994" s="928"/>
      <c r="C994" s="928"/>
      <c r="D994" s="928"/>
      <c r="E994" s="928"/>
      <c r="F994" s="928"/>
      <c r="G994" s="928"/>
      <c r="H994" s="928"/>
      <c r="I994" s="928"/>
      <c r="J994" s="928"/>
      <c r="K994" s="928"/>
      <c r="L994" s="928"/>
      <c r="M994" s="928"/>
      <c r="N994" s="928"/>
      <c r="O994" s="928"/>
      <c r="P994" s="928"/>
      <c r="Q994" s="928"/>
      <c r="R994" s="928"/>
      <c r="S994" s="928"/>
      <c r="T994" s="928"/>
      <c r="U994" s="928"/>
      <c r="V994" s="928"/>
      <c r="W994" s="928"/>
      <c r="X994" s="928"/>
    </row>
    <row r="995">
      <c r="A995" s="928"/>
      <c r="B995" s="928"/>
      <c r="C995" s="928"/>
      <c r="D995" s="928"/>
      <c r="E995" s="928"/>
      <c r="F995" s="928"/>
      <c r="G995" s="928"/>
      <c r="H995" s="928"/>
      <c r="I995" s="928"/>
      <c r="J995" s="928"/>
      <c r="K995" s="928"/>
      <c r="L995" s="928"/>
      <c r="M995" s="928"/>
      <c r="N995" s="928"/>
      <c r="O995" s="928"/>
      <c r="P995" s="928"/>
      <c r="Q995" s="928"/>
      <c r="R995" s="928"/>
      <c r="S995" s="928"/>
      <c r="T995" s="928"/>
      <c r="U995" s="928"/>
      <c r="V995" s="928"/>
      <c r="W995" s="928"/>
      <c r="X995" s="928"/>
    </row>
    <row r="996">
      <c r="A996" s="928"/>
      <c r="B996" s="928"/>
      <c r="C996" s="928"/>
      <c r="D996" s="928"/>
      <c r="E996" s="928"/>
      <c r="F996" s="928"/>
      <c r="G996" s="928"/>
      <c r="H996" s="928"/>
      <c r="I996" s="928"/>
      <c r="J996" s="928"/>
      <c r="K996" s="928"/>
      <c r="L996" s="928"/>
      <c r="M996" s="928"/>
      <c r="N996" s="928"/>
      <c r="O996" s="928"/>
      <c r="P996" s="928"/>
      <c r="Q996" s="928"/>
      <c r="R996" s="928"/>
      <c r="S996" s="928"/>
      <c r="T996" s="928"/>
      <c r="U996" s="928"/>
      <c r="V996" s="928"/>
      <c r="W996" s="928"/>
      <c r="X996" s="928"/>
    </row>
    <row r="997">
      <c r="A997" s="928"/>
      <c r="B997" s="928"/>
      <c r="C997" s="928"/>
      <c r="D997" s="928"/>
      <c r="E997" s="928"/>
      <c r="F997" s="928"/>
      <c r="G997" s="928"/>
      <c r="H997" s="928"/>
      <c r="I997" s="928"/>
      <c r="J997" s="928"/>
      <c r="K997" s="928"/>
      <c r="L997" s="928"/>
      <c r="M997" s="928"/>
      <c r="N997" s="928"/>
      <c r="O997" s="928"/>
      <c r="P997" s="928"/>
      <c r="Q997" s="928"/>
      <c r="R997" s="928"/>
      <c r="S997" s="928"/>
      <c r="T997" s="928"/>
      <c r="U997" s="928"/>
      <c r="V997" s="928"/>
      <c r="W997" s="928"/>
      <c r="X997" s="928"/>
    </row>
    <row r="998">
      <c r="A998" s="928"/>
      <c r="B998" s="928"/>
      <c r="C998" s="928"/>
      <c r="D998" s="928"/>
      <c r="E998" s="928"/>
      <c r="F998" s="928"/>
      <c r="G998" s="928"/>
      <c r="H998" s="928"/>
      <c r="I998" s="928"/>
      <c r="J998" s="928"/>
      <c r="K998" s="928"/>
      <c r="L998" s="928"/>
      <c r="M998" s="928"/>
      <c r="N998" s="928"/>
      <c r="O998" s="928"/>
      <c r="P998" s="928"/>
      <c r="Q998" s="928"/>
      <c r="R998" s="928"/>
      <c r="S998" s="928"/>
      <c r="T998" s="928"/>
      <c r="U998" s="928"/>
      <c r="V998" s="928"/>
      <c r="W998" s="928"/>
      <c r="X998" s="928"/>
    </row>
    <row r="999">
      <c r="A999" s="928"/>
      <c r="B999" s="928"/>
      <c r="C999" s="928"/>
      <c r="D999" s="928"/>
      <c r="E999" s="928"/>
      <c r="F999" s="928"/>
      <c r="G999" s="928"/>
      <c r="H999" s="928"/>
      <c r="I999" s="928"/>
      <c r="J999" s="928"/>
      <c r="K999" s="928"/>
      <c r="L999" s="928"/>
      <c r="M999" s="928"/>
      <c r="N999" s="928"/>
      <c r="O999" s="928"/>
      <c r="P999" s="928"/>
      <c r="Q999" s="928"/>
      <c r="R999" s="928"/>
      <c r="S999" s="928"/>
      <c r="T999" s="928"/>
      <c r="U999" s="928"/>
      <c r="V999" s="928"/>
      <c r="W999" s="928"/>
      <c r="X999" s="928"/>
    </row>
    <row r="1000">
      <c r="A1000" s="928"/>
      <c r="B1000" s="928"/>
      <c r="C1000" s="928"/>
      <c r="D1000" s="928"/>
      <c r="E1000" s="928"/>
      <c r="F1000" s="928"/>
      <c r="G1000" s="928"/>
      <c r="H1000" s="928"/>
      <c r="I1000" s="928"/>
      <c r="J1000" s="928"/>
      <c r="K1000" s="928"/>
      <c r="L1000" s="928"/>
      <c r="M1000" s="928"/>
      <c r="N1000" s="928"/>
      <c r="O1000" s="928"/>
      <c r="P1000" s="928"/>
      <c r="Q1000" s="928"/>
      <c r="R1000" s="928"/>
      <c r="S1000" s="928"/>
      <c r="T1000" s="928"/>
      <c r="U1000" s="928"/>
      <c r="V1000" s="928"/>
      <c r="W1000" s="928"/>
      <c r="X1000" s="928"/>
    </row>
    <row r="1001">
      <c r="A1001" s="928"/>
      <c r="B1001" s="928"/>
      <c r="C1001" s="928"/>
      <c r="D1001" s="928"/>
      <c r="E1001" s="928"/>
      <c r="F1001" s="928"/>
      <c r="G1001" s="928"/>
      <c r="H1001" s="928"/>
      <c r="I1001" s="928"/>
      <c r="J1001" s="928"/>
      <c r="K1001" s="928"/>
      <c r="L1001" s="928"/>
      <c r="M1001" s="928"/>
      <c r="N1001" s="928"/>
      <c r="O1001" s="928"/>
      <c r="P1001" s="928"/>
      <c r="Q1001" s="928"/>
      <c r="R1001" s="928"/>
      <c r="S1001" s="928"/>
      <c r="T1001" s="928"/>
      <c r="U1001" s="928"/>
      <c r="V1001" s="928"/>
      <c r="W1001" s="928"/>
      <c r="X1001" s="928"/>
    </row>
    <row r="1002">
      <c r="A1002" s="928"/>
      <c r="B1002" s="928"/>
      <c r="C1002" s="928"/>
      <c r="D1002" s="928"/>
      <c r="E1002" s="928"/>
      <c r="F1002" s="928"/>
      <c r="G1002" s="928"/>
      <c r="H1002" s="928"/>
      <c r="I1002" s="928"/>
      <c r="J1002" s="928"/>
      <c r="K1002" s="928"/>
      <c r="L1002" s="928"/>
      <c r="M1002" s="928"/>
      <c r="N1002" s="928"/>
      <c r="O1002" s="928"/>
      <c r="P1002" s="928"/>
      <c r="Q1002" s="928"/>
      <c r="R1002" s="928"/>
      <c r="S1002" s="928"/>
      <c r="T1002" s="928"/>
      <c r="U1002" s="928"/>
      <c r="V1002" s="928"/>
      <c r="W1002" s="928"/>
      <c r="X1002" s="928"/>
    </row>
    <row r="1003">
      <c r="A1003" s="928"/>
      <c r="B1003" s="928"/>
      <c r="C1003" s="928"/>
      <c r="D1003" s="928"/>
      <c r="E1003" s="928"/>
      <c r="F1003" s="928"/>
      <c r="G1003" s="928"/>
      <c r="H1003" s="928"/>
      <c r="I1003" s="928"/>
      <c r="J1003" s="928"/>
      <c r="K1003" s="928"/>
      <c r="L1003" s="928"/>
      <c r="M1003" s="928"/>
      <c r="N1003" s="928"/>
      <c r="O1003" s="928"/>
      <c r="P1003" s="928"/>
      <c r="Q1003" s="928"/>
      <c r="R1003" s="928"/>
      <c r="S1003" s="928"/>
      <c r="T1003" s="928"/>
      <c r="U1003" s="928"/>
      <c r="V1003" s="928"/>
      <c r="W1003" s="928"/>
      <c r="X1003" s="928"/>
    </row>
  </sheetData>
  <mergeCells count="29">
    <mergeCell ref="B54:H54"/>
    <mergeCell ref="J57:J58"/>
    <mergeCell ref="K57:K58"/>
    <mergeCell ref="L57:L58"/>
    <mergeCell ref="M57:M58"/>
    <mergeCell ref="N57:N58"/>
    <mergeCell ref="O57:O58"/>
    <mergeCell ref="I57:I58"/>
    <mergeCell ref="J59:J60"/>
    <mergeCell ref="K59:K60"/>
    <mergeCell ref="L59:L60"/>
    <mergeCell ref="M59:M60"/>
    <mergeCell ref="N59:N60"/>
    <mergeCell ref="O59:O60"/>
    <mergeCell ref="I61:I62"/>
    <mergeCell ref="I63:I64"/>
    <mergeCell ref="J63:J64"/>
    <mergeCell ref="K63:K64"/>
    <mergeCell ref="L63:L64"/>
    <mergeCell ref="M63:M64"/>
    <mergeCell ref="N63:N64"/>
    <mergeCell ref="O63:O64"/>
    <mergeCell ref="I59:I60"/>
    <mergeCell ref="J61:J62"/>
    <mergeCell ref="K61:K62"/>
    <mergeCell ref="L61:L62"/>
    <mergeCell ref="M61:M62"/>
    <mergeCell ref="N61:N62"/>
    <mergeCell ref="O61:O62"/>
  </mergeCells>
  <hyperlinks>
    <hyperlink r:id="rId2" ref="P7"/>
  </hyperlinks>
  <drawing r:id="rId3"/>
  <legacy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5"/>
    <col customWidth="1" min="2" max="2" width="30.38"/>
    <col customWidth="1" min="3" max="3" width="16.25"/>
    <col customWidth="1" min="4" max="6" width="12.75"/>
    <col customWidth="1" min="7" max="7" width="15.5"/>
    <col customWidth="1" min="8" max="9" width="12.75"/>
    <col customWidth="1" min="10" max="10" width="16.13"/>
    <col customWidth="1" min="11" max="11" width="12.13"/>
    <col customWidth="1" min="12" max="12" width="4.25"/>
    <col customWidth="1" min="13" max="13" width="41.88"/>
    <col customWidth="1" min="14" max="14" width="17.5"/>
    <col customWidth="1" min="15" max="15" width="15.88"/>
    <col customWidth="1" min="16" max="16" width="14.88"/>
    <col customWidth="1" min="17" max="17" width="14.38"/>
    <col customWidth="1" min="18" max="18" width="14.88"/>
    <col customWidth="1" min="19" max="19" width="14.63"/>
    <col customWidth="1" min="20" max="20" width="14.13"/>
    <col customWidth="1" min="22" max="22" width="15.5"/>
    <col customWidth="1" min="23" max="23" width="22.0"/>
    <col customWidth="1" min="26" max="26" width="16.0"/>
  </cols>
  <sheetData>
    <row r="2">
      <c r="B2" s="930" t="s">
        <v>1478</v>
      </c>
    </row>
    <row r="3">
      <c r="B3" s="1097" t="s">
        <v>1479</v>
      </c>
    </row>
    <row r="4">
      <c r="B4" s="1098" t="s">
        <v>1480</v>
      </c>
    </row>
    <row r="6">
      <c r="B6" s="1099" t="s">
        <v>1481</v>
      </c>
      <c r="C6" s="1100"/>
      <c r="D6" s="1100"/>
      <c r="E6" s="1100"/>
      <c r="F6" s="1100"/>
      <c r="G6" s="1100"/>
      <c r="H6" s="1100"/>
      <c r="I6" s="1100"/>
      <c r="J6" s="1100"/>
      <c r="K6" s="1100"/>
    </row>
    <row r="7">
      <c r="B7" s="1101" t="s">
        <v>1482</v>
      </c>
      <c r="C7" s="1102" t="s">
        <v>747</v>
      </c>
      <c r="D7" s="1100"/>
      <c r="E7" s="1100"/>
      <c r="F7" s="1103" t="s">
        <v>1483</v>
      </c>
      <c r="G7" s="1104" t="str">
        <f>IF(VLOOKUP($C$7,'Оружие'!$A$4:$I$491,9,FALSE)="1-2-3","Превосходное",IF(VLOOKUP($C$7,'Оружие'!$A$4:$I$491,9,FALSE)="1-2","Отличное",IF(VLOOKUP($C$7,'Оружие'!$A$4:$I$491,9,FALSE)="1","Хорошее","")))</f>
        <v>Отличное</v>
      </c>
      <c r="H7" s="1100"/>
      <c r="I7" s="1100"/>
      <c r="J7" s="1100"/>
      <c r="K7" s="1100"/>
    </row>
    <row r="8">
      <c r="B8" s="1101" t="s">
        <v>1484</v>
      </c>
      <c r="C8" s="1100">
        <f>VLOOKUP(C7,B145:J193,2,0)</f>
        <v>1</v>
      </c>
      <c r="D8" s="1100"/>
      <c r="E8" s="1100"/>
      <c r="F8" s="1100"/>
      <c r="G8" s="1100"/>
      <c r="H8" s="1100"/>
      <c r="I8" s="1100"/>
      <c r="J8" s="1100"/>
      <c r="K8" s="1100"/>
    </row>
    <row r="9">
      <c r="B9" s="1101" t="s">
        <v>1385</v>
      </c>
      <c r="C9" s="1100">
        <f>VLOOKUP(C7,B145:J193,3,0)</f>
        <v>2</v>
      </c>
      <c r="D9" s="1100"/>
      <c r="E9" s="1100"/>
      <c r="F9" s="1100"/>
      <c r="G9" s="1100"/>
      <c r="H9" s="1100"/>
      <c r="I9" s="1100"/>
      <c r="J9" s="1100"/>
      <c r="K9" s="1100"/>
    </row>
    <row r="10">
      <c r="B10" s="1101" t="s">
        <v>1485</v>
      </c>
      <c r="C10" s="1100">
        <f>VLOOKUP(C7,B145:J193,5,0)</f>
        <v>1</v>
      </c>
      <c r="D10" s="1100"/>
      <c r="E10" s="1100"/>
      <c r="F10" s="1100"/>
      <c r="G10" s="1100"/>
      <c r="H10" s="1100"/>
      <c r="I10" s="1100"/>
      <c r="J10" s="1100"/>
      <c r="K10" s="1100"/>
    </row>
    <row r="11">
      <c r="B11" s="545"/>
      <c r="C11" s="545"/>
      <c r="D11" s="545"/>
      <c r="E11" s="545"/>
      <c r="F11" s="545"/>
      <c r="G11" s="545"/>
      <c r="H11" s="545"/>
      <c r="I11" s="545"/>
      <c r="J11" s="1100"/>
      <c r="K11" s="1100"/>
      <c r="M11" s="1101" t="s">
        <v>1486</v>
      </c>
      <c r="N11" s="1105"/>
      <c r="O11" s="1105"/>
      <c r="P11" s="1105"/>
      <c r="Q11" s="1105"/>
      <c r="R11" s="1105"/>
      <c r="S11" s="1105"/>
      <c r="T11" s="1105"/>
    </row>
    <row r="12">
      <c r="B12" s="1106" t="s">
        <v>1487</v>
      </c>
      <c r="C12" s="1107" t="s">
        <v>172</v>
      </c>
      <c r="D12" s="1107" t="s">
        <v>738</v>
      </c>
      <c r="E12" s="1107" t="s">
        <v>739</v>
      </c>
      <c r="F12" s="1107" t="s">
        <v>740</v>
      </c>
      <c r="G12" s="1107" t="s">
        <v>741</v>
      </c>
      <c r="H12" s="1107" t="s">
        <v>742</v>
      </c>
      <c r="I12" s="1107" t="s">
        <v>743</v>
      </c>
      <c r="J12" s="1104"/>
      <c r="K12" s="1108" t="s">
        <v>1434</v>
      </c>
      <c r="M12" s="1109" t="str">
        <f>CONCATENATE($C$7," (качество)")</f>
        <v>Кукри (качество)</v>
      </c>
      <c r="N12" s="1110" t="str">
        <f>'Материалы и инструменты'!D23</f>
        <v>Бронза</v>
      </c>
      <c r="O12" s="1110" t="str">
        <f>'Материалы и инструменты'!E23</f>
        <v>Железо</v>
      </c>
      <c r="P12" s="1110" t="str">
        <f>'Материалы и инструменты'!F23</f>
        <v>Сталь</v>
      </c>
      <c r="Q12" s="1110" t="str">
        <f>'Материалы и инструменты'!G23</f>
        <v>Булатная сталь</v>
      </c>
      <c r="R12" s="1110" t="str">
        <f>'Материалы и инструменты'!H23</f>
        <v>Каврил</v>
      </c>
      <c r="S12" s="1110" t="str">
        <f>'Материалы и инструменты'!I23</f>
        <v>Грамант</v>
      </c>
      <c r="T12" s="1110" t="str">
        <f>'Материалы и инструменты'!J23</f>
        <v>Леорит</v>
      </c>
    </row>
    <row r="13">
      <c r="B13" s="1111" t="s">
        <v>1488</v>
      </c>
      <c r="C13" s="1112">
        <f t="shared" ref="C13:I13" si="1">C14*C15+C20*C22+C18*C19</f>
        <v>0.68</v>
      </c>
      <c r="D13" s="1112">
        <f t="shared" si="1"/>
        <v>1.92</v>
      </c>
      <c r="E13" s="1112">
        <f t="shared" si="1"/>
        <v>5.53</v>
      </c>
      <c r="F13" s="1112">
        <f t="shared" si="1"/>
        <v>15.464</v>
      </c>
      <c r="G13" s="1112">
        <f t="shared" si="1"/>
        <v>44.25</v>
      </c>
      <c r="H13" s="1112">
        <f t="shared" si="1"/>
        <v>128.66</v>
      </c>
      <c r="I13" s="1112">
        <f t="shared" si="1"/>
        <v>380.45</v>
      </c>
      <c r="J13" s="1104"/>
      <c r="K13" s="1113">
        <v>1.0</v>
      </c>
      <c r="M13" s="1114" t="s">
        <v>133</v>
      </c>
      <c r="N13" s="1115" t="str">
        <f>VLOOKUP($C$7,'Оружие'!$A$4:$H$491, MATCH(N12, 'Оружие'!$A$2:$H$2,0), FALSE)</f>
        <v>1d4+0</v>
      </c>
      <c r="O13" s="1115" t="str">
        <f>VLOOKUP($C$7,'Оружие'!$A$4:$H$491, MATCH(O12, 'Оружие'!$A$2:$H$2,0), FALSE)</f>
        <v>1d4+1</v>
      </c>
      <c r="P13" s="1115" t="str">
        <f>VLOOKUP($C$7,'Оружие'!$A$4:$H$491, MATCH(P12, 'Оружие'!$A$2:$H$2,0), FALSE)</f>
        <v>1d6+1</v>
      </c>
      <c r="Q13" s="1115" t="str">
        <f>VLOOKUP($C$7,'Оружие'!$A$4:$H$491, MATCH(Q12, 'Оружие'!$A$2:$H$2,0), FALSE)</f>
        <v>1d6+3</v>
      </c>
      <c r="R13" s="1115" t="str">
        <f>VLOOKUP($C$7,'Оружие'!$A$4:$H$491, MATCH(R12, 'Оружие'!$A$2:$H$2,0), FALSE)</f>
        <v>1d8+4</v>
      </c>
      <c r="S13" s="1115" t="str">
        <f>VLOOKUP($C$7,'Оружие'!$A$4:$H$491, MATCH(S12, 'Оружие'!$A$2:$H$2,0), FALSE)</f>
        <v>1d8+10</v>
      </c>
      <c r="T13" s="1115" t="str">
        <f>VLOOKUP($C$7,'Оружие'!$A$4:$H$491, MATCH(T12, 'Оружие'!$A$2:$H$2,0), FALSE)</f>
        <v>1d10+13</v>
      </c>
    </row>
    <row r="14">
      <c r="B14" s="1116" t="s">
        <v>1363</v>
      </c>
      <c r="C14" s="1117">
        <f>'Материалы и инструменты'!D24</f>
        <v>0.5</v>
      </c>
      <c r="D14" s="1117">
        <f>'Материалы и инструменты'!E24</f>
        <v>1.51</v>
      </c>
      <c r="E14" s="1117">
        <f>'Материалы и инструменты'!F24</f>
        <v>4.57</v>
      </c>
      <c r="F14" s="1117">
        <f>'Материалы и инструменты'!G24</f>
        <v>13.784</v>
      </c>
      <c r="G14" s="1117">
        <f>'Материалы и инструменты'!H24</f>
        <v>41.55</v>
      </c>
      <c r="H14" s="1117">
        <f>'Материалы и инструменты'!I24</f>
        <v>124.72</v>
      </c>
      <c r="I14" s="1117">
        <f>'Материалы и инструменты'!J24</f>
        <v>374.71</v>
      </c>
      <c r="J14" s="1104"/>
      <c r="K14" s="1113"/>
      <c r="M14" s="1114" t="s">
        <v>1211</v>
      </c>
      <c r="N14" s="1115" t="str">
        <f>IFERROR(__xludf.DUMMYFUNCTION("LEFT(N$13,1)&amp;""""&amp;""d""&amp;""""&amp;ArrayFormula(lower(REGEXREPLACE(MID(N$13,3,2), ""([^A-Za-z0-9]+)|(---)"" , """" ) ))&amp;""""&amp;""+""&amp;""""&amp;RIGHT(N$13,2)+ROUNDDOWN(MAX(VLOOKUP($M14,'Списки'!$B$166:$D$169,2,FALSE),((LEFT(N$13,1)+RIGHT(N$13,2)+LEFT(N$13,1)*ArrayFormu"&amp;"la(lower(REGEXREPLACE(MID(N$13,3,2), ""([^A-Za-z0-9]+)|(---)"" , """" ) ))+RIGHT(N$13,2))/2)*VLOOKUP($M14,'Списки'!$B$166:$D$169,3,FALSE)))"),"1d4+1")</f>
        <v>1d4+1</v>
      </c>
      <c r="O14" s="1115" t="str">
        <f>IFERROR(__xludf.DUMMYFUNCTION("LEFT(O$13,1)&amp;""""&amp;""d""&amp;""""&amp;ArrayFormula(lower(REGEXREPLACE(MID(O$13,3,2), ""([^A-Za-z0-9]+)|(---)"" , """" ) ))&amp;""""&amp;""+""&amp;""""&amp;RIGHT(O$13,2)+ROUNDDOWN(MAX(VLOOKUP($M14,'Списки'!$B$166:$D$169,2,FALSE),((LEFT(O$13,1)+RIGHT(O$13,2)+LEFT(O$13,1)*ArrayFormu"&amp;"la(lower(REGEXREPLACE(MID(O$13,3,2), ""([^A-Za-z0-9]+)|(---)"" , """" ) ))+RIGHT(O$13,2))/2)*VLOOKUP($M14,'Списки'!$B$166:$D$169,3,FALSE)))"),"1d4+2")</f>
        <v>1d4+2</v>
      </c>
      <c r="P14" s="1115" t="str">
        <f>IFERROR(__xludf.DUMMYFUNCTION("LEFT(P$13,1)&amp;""""&amp;""d""&amp;""""&amp;ArrayFormula(lower(REGEXREPLACE(MID(P$13,3,2), ""([^A-Za-z0-9]+)|(---)"" , """" ) ))&amp;""""&amp;""+""&amp;""""&amp;RIGHT(P$13,2)+ROUNDDOWN(MAX(VLOOKUP($M14,'Списки'!$B$166:$D$169,2,FALSE),((LEFT(P$13,1)+RIGHT(P$13,2)+LEFT(P$13,1)*ArrayFormu"&amp;"la(lower(REGEXREPLACE(MID(P$13,3,2), ""([^A-Za-z0-9]+)|(---)"" , """" ) ))+RIGHT(P$13,2))/2)*VLOOKUP($M14,'Списки'!$B$166:$D$169,3,FALSE)))"),"1d6+2")</f>
        <v>1d6+2</v>
      </c>
      <c r="Q14" s="1115" t="str">
        <f>IFERROR(__xludf.DUMMYFUNCTION("LEFT(Q$13,1)&amp;""""&amp;""d""&amp;""""&amp;ArrayFormula(lower(REGEXREPLACE(MID(Q$13,3,2), ""([^A-Za-z0-9]+)|(---)"" , """" ) ))&amp;""""&amp;""+""&amp;""""&amp;RIGHT(Q$13,2)+ROUNDDOWN(MAX(VLOOKUP($M14,'Списки'!$B$166:$D$169,2,FALSE),((LEFT(Q$13,1)+RIGHT(Q$13,2)+LEFT(Q$13,1)*ArrayFormu"&amp;"la(lower(REGEXREPLACE(MID(Q$13,3,2), ""([^A-Za-z0-9]+)|(---)"" , """" ) ))+RIGHT(Q$13,2))/2)*VLOOKUP($M14,'Списки'!$B$166:$D$169,3,FALSE)))"),"1d6+4")</f>
        <v>1d6+4</v>
      </c>
      <c r="R14" s="1115" t="str">
        <f>IFERROR(__xludf.DUMMYFUNCTION("LEFT(R$13,1)&amp;""""&amp;""d""&amp;""""&amp;ArrayFormula(lower(REGEXREPLACE(MID(R$13,3,2), ""([^A-Za-z0-9]+)|(---)"" , """" ) ))&amp;""""&amp;""+""&amp;""""&amp;RIGHT(R$13,2)+ROUNDDOWN(MAX(VLOOKUP($M14,'Списки'!$B$166:$D$169,2,FALSE),((LEFT(R$13,1)+RIGHT(R$13,2)+LEFT(R$13,1)*ArrayFormu"&amp;"la(lower(REGEXREPLACE(MID(R$13,3,2), ""([^A-Za-z0-9]+)|(---)"" , """" ) ))+RIGHT(R$13,2))/2)*VLOOKUP($M14,'Списки'!$B$166:$D$169,3,FALSE)))"),"1d8+5")</f>
        <v>1d8+5</v>
      </c>
      <c r="S14" s="1115" t="str">
        <f>IFERROR(__xludf.DUMMYFUNCTION("LEFT(S$13,1)&amp;""""&amp;""d""&amp;""""&amp;ArrayFormula(lower(REGEXREPLACE(MID(S$13,3,2), ""([^A-Za-z0-9]+)|(---)"" , """" ) ))&amp;""""&amp;""+""&amp;""""&amp;RIGHT(S$13,2)+ROUNDDOWN(MAX(VLOOKUP($M14,'Списки'!$B$166:$D$169,2,FALSE),((LEFT(S$13,1)+RIGHT(S$13,2)+LEFT(S$13,1)*ArrayFormu"&amp;"la(lower(REGEXREPLACE(MID(S$13,3,2), ""([^A-Za-z0-9]+)|(---)"" , """" ) ))+RIGHT(S$13,2))/2)*VLOOKUP($M14,'Списки'!$B$166:$D$169,3,FALSE)))"),"1d8+12")</f>
        <v>1d8+12</v>
      </c>
      <c r="T14" s="1115" t="str">
        <f>IFERROR(__xludf.DUMMYFUNCTION("LEFT(T$13,1)&amp;""""&amp;""d""&amp;""""&amp;ArrayFormula(lower(REGEXREPLACE(MID(T$13,3,2), ""([^A-Za-z0-9]+)|(---)"" , """" ) ))&amp;""""&amp;""+""&amp;""""&amp;RIGHT(T$13,2)+ROUNDDOWN(MAX(VLOOKUP($M14,'Списки'!$B$166:$D$169,2,FALSE),((LEFT(T$13,1)+RIGHT(T$13,2)+LEFT(T$13,1)*ArrayFormu"&amp;"la(lower(REGEXREPLACE(MID(T$13,3,2), ""([^A-Za-z0-9]+)|(---)"" , """" ) ))+RIGHT(T$13,2))/2)*VLOOKUP($M14,'Списки'!$B$166:$D$169,3,FALSE)))"),"1d10+16")</f>
        <v>1d10+16</v>
      </c>
    </row>
    <row r="15">
      <c r="B15" s="1116" t="s">
        <v>1365</v>
      </c>
      <c r="C15" s="1118">
        <f t="shared" ref="C15:I15" si="2">$C$8</f>
        <v>1</v>
      </c>
      <c r="D15" s="1118">
        <f t="shared" si="2"/>
        <v>1</v>
      </c>
      <c r="E15" s="1118">
        <f t="shared" si="2"/>
        <v>1</v>
      </c>
      <c r="F15" s="1118">
        <f t="shared" si="2"/>
        <v>1</v>
      </c>
      <c r="G15" s="1118">
        <f t="shared" si="2"/>
        <v>1</v>
      </c>
      <c r="H15" s="1118">
        <f t="shared" si="2"/>
        <v>1</v>
      </c>
      <c r="I15" s="1118">
        <f t="shared" si="2"/>
        <v>1</v>
      </c>
      <c r="J15" s="1104"/>
      <c r="K15" s="1113"/>
      <c r="M15" s="1114" t="s">
        <v>1212</v>
      </c>
      <c r="N15" s="1115" t="str">
        <f>IFERROR(__xludf.DUMMYFUNCTION("IF(AND($M15&lt;&gt;$G$7,$M16&lt;&gt;$G$7),""Недостижимое качество"",IFERROR(LEFT(N$13,1)&amp;""""&amp;""d""&amp;""""&amp;ArrayFormula(lower(REGEXREPLACE(MID(N$13,3,2), ""([^A-Za-z0-9]+)|(---)"" , """" ) ))&amp;""""&amp;""+""&amp;""""&amp;RIGHT(N$13,2)+ROUNDDOWN(MAX(VLOOKUP($M15,'Списки'!$B$166:$D$1"&amp;"69,2,FALSE),((LEFT(N$13,1)+RIGHT(N$13,2)+LEFT(N$13,1)*ArrayFormula(lower(REGEXREPLACE(MID(N$13,3,2), ""([^A-Za-z0-9]+)|(---)"" , """" ) ))+RIGHT(N$13,2))/2)*VLOOKUP($M15,'Списки'!$B$166:$D$169,3,FALSE))),""""))"),"1d4+2")</f>
        <v>1d4+2</v>
      </c>
      <c r="O15" s="1115" t="str">
        <f>IFERROR(__xludf.DUMMYFUNCTION("IF(AND($M15&lt;&gt;$G$7,$M16&lt;&gt;$G$7),""Недостижимое качество"",IFERROR(LEFT(O$13,1)&amp;""""&amp;""d""&amp;""""&amp;ArrayFormula(lower(REGEXREPLACE(MID(O$13,3,2), ""([^A-Za-z0-9]+)|(---)"" , """" ) ))&amp;""""&amp;""+""&amp;""""&amp;RIGHT(O$13,2)+ROUNDDOWN(MAX(VLOOKUP($M15,'Списки'!$B$166:$D$1"&amp;"69,2,FALSE),((LEFT(O$13,1)+RIGHT(O$13,2)+LEFT(O$13,1)*ArrayFormula(lower(REGEXREPLACE(MID(O$13,3,2), ""([^A-Za-z0-9]+)|(---)"" , """" ) ))+RIGHT(O$13,2))/2)*VLOOKUP($M15,'Списки'!$B$166:$D$169,3,FALSE))),""""))"),"1d4+3")</f>
        <v>1d4+3</v>
      </c>
      <c r="P15" s="1115" t="str">
        <f>IFERROR(__xludf.DUMMYFUNCTION("IF(AND($M15&lt;&gt;$G$7,$M16&lt;&gt;$G$7),""Недостижимое качество"",IFERROR(LEFT(P$13,1)&amp;""""&amp;""d""&amp;""""&amp;ArrayFormula(lower(REGEXREPLACE(MID(P$13,3,2), ""([^A-Za-z0-9]+)|(---)"" , """" ) ))&amp;""""&amp;""+""&amp;""""&amp;RIGHT(P$13,2)+ROUNDDOWN(MAX(VLOOKUP($M15,'Списки'!$B$166:$D$1"&amp;"69,2,FALSE),((LEFT(P$13,1)+RIGHT(P$13,2)+LEFT(P$13,1)*ArrayFormula(lower(REGEXREPLACE(MID(P$13,3,2), ""([^A-Za-z0-9]+)|(---)"" , """" ) ))+RIGHT(P$13,2))/2)*VLOOKUP($M15,'Списки'!$B$166:$D$169,3,FALSE))),""""))"),"1d6+3")</f>
        <v>1d6+3</v>
      </c>
      <c r="Q15" s="1115" t="str">
        <f>IFERROR(__xludf.DUMMYFUNCTION("IF(AND($M15&lt;&gt;$G$7,$M16&lt;&gt;$G$7),""Недостижимое качество"",IFERROR(LEFT(Q$13,1)&amp;""""&amp;""d""&amp;""""&amp;ArrayFormula(lower(REGEXREPLACE(MID(Q$13,3,2), ""([^A-Za-z0-9]+)|(---)"" , """" ) ))&amp;""""&amp;""+""&amp;""""&amp;RIGHT(Q$13,2)+ROUNDDOWN(MAX(VLOOKUP($M15,'Списки'!$B$166:$D$1"&amp;"69,2,FALSE),((LEFT(Q$13,1)+RIGHT(Q$13,2)+LEFT(Q$13,1)*ArrayFormula(lower(REGEXREPLACE(MID(Q$13,3,2), ""([^A-Za-z0-9]+)|(---)"" , """" ) ))+RIGHT(Q$13,2))/2)*VLOOKUP($M15,'Списки'!$B$166:$D$169,3,FALSE))),""""))"),"1d6+5")</f>
        <v>1d6+5</v>
      </c>
      <c r="R15" s="1115" t="str">
        <f>IFERROR(__xludf.DUMMYFUNCTION("IF(AND($M15&lt;&gt;$G$7,$M16&lt;&gt;$G$7),""Недостижимое качество"",IFERROR(LEFT(R$13,1)&amp;""""&amp;""d""&amp;""""&amp;ArrayFormula(lower(REGEXREPLACE(MID(R$13,3,2), ""([^A-Za-z0-9]+)|(---)"" , """" ) ))&amp;""""&amp;""+""&amp;""""&amp;RIGHT(R$13,2)+ROUNDDOWN(MAX(VLOOKUP($M15,'Списки'!$B$166:$D$1"&amp;"69,2,FALSE),((LEFT(R$13,1)+RIGHT(R$13,2)+LEFT(R$13,1)*ArrayFormula(lower(REGEXREPLACE(MID(R$13,3,2), ""([^A-Za-z0-9]+)|(---)"" , """" ) ))+RIGHT(R$13,2))/2)*VLOOKUP($M15,'Списки'!$B$166:$D$169,3,FALSE))),""""))"),"1d8+7")</f>
        <v>1d8+7</v>
      </c>
      <c r="S15" s="1115" t="str">
        <f>IFERROR(__xludf.DUMMYFUNCTION("IF(AND($M15&lt;&gt;$G$7,$M16&lt;&gt;$G$7),""Недостижимое качество"",IFERROR(LEFT(S$13,1)&amp;""""&amp;""d""&amp;""""&amp;ArrayFormula(lower(REGEXREPLACE(MID(S$13,3,2), ""([^A-Za-z0-9]+)|(---)"" , """" ) ))&amp;""""&amp;""+""&amp;""""&amp;RIGHT(S$13,2)+ROUNDDOWN(MAX(VLOOKUP($M15,'Списки'!$B$166:$D$1"&amp;"69,2,FALSE),((LEFT(S$13,1)+RIGHT(S$13,2)+LEFT(S$13,1)*ArrayFormula(lower(REGEXREPLACE(MID(S$13,3,2), ""([^A-Za-z0-9]+)|(---)"" , """" ) ))+RIGHT(S$13,2))/2)*VLOOKUP($M15,'Списки'!$B$166:$D$169,3,FALSE))),""""))"),"1d8+15")</f>
        <v>1d8+15</v>
      </c>
      <c r="T15" s="1115" t="str">
        <f>IFERROR(__xludf.DUMMYFUNCTION("IF(AND($M15&lt;&gt;$G$7,$M16&lt;&gt;$G$7),""Недостижимое качество"",IFERROR(LEFT(T$13,1)&amp;""""&amp;""d""&amp;""""&amp;ArrayFormula(lower(REGEXREPLACE(MID(T$13,3,2), ""([^A-Za-z0-9]+)|(---)"" , """" ) ))&amp;""""&amp;""+""&amp;""""&amp;RIGHT(T$13,2)+ROUNDDOWN(MAX(VLOOKUP($M15,'Списки'!$B$166:$D$1"&amp;"69,2,FALSE),((LEFT(T$13,1)+RIGHT(T$13,2)+LEFT(T$13,1)*ArrayFormula(lower(REGEXREPLACE(MID(T$13,3,2), ""([^A-Za-z0-9]+)|(---)"" , """" ) ))+RIGHT(T$13,2))/2)*VLOOKUP($M15,'Списки'!$B$166:$D$169,3,FALSE))),""""))"),"1d10+20")</f>
        <v>1d10+20</v>
      </c>
    </row>
    <row r="16">
      <c r="B16" s="999" t="s">
        <v>1400</v>
      </c>
      <c r="C16" s="1000" t="s">
        <v>1489</v>
      </c>
      <c r="D16" s="1000" t="s">
        <v>1490</v>
      </c>
      <c r="E16" s="1000" t="s">
        <v>1490</v>
      </c>
      <c r="F16" s="1000" t="s">
        <v>1490</v>
      </c>
      <c r="G16" s="1000" t="s">
        <v>1490</v>
      </c>
      <c r="H16" s="1000" t="s">
        <v>1490</v>
      </c>
      <c r="I16" s="1000" t="s">
        <v>1490</v>
      </c>
      <c r="M16" s="1114" t="s">
        <v>1213</v>
      </c>
      <c r="N16" s="1119" t="str">
        <f>IFERROR(__xludf.DUMMYFUNCTION("IF($M16&lt;&gt;$G$7,""Недостижимое качество"",IFERROR(LEFT(N$13,1)&amp;""""&amp;""d""&amp;""""&amp;ArrayFormula(lower(REGEXREPLACE(MID(N$13,3,2), ""([^A-Za-z0-9]+)|(---)"" , """" ) ))&amp;""""&amp;""+""&amp;""""&amp;RIGHT(N$13,2)+ROUNDDOWN(MAX(VLOOKUP($M16,'Списки'!$B$166:$D$169,2,FALSE),((LE"&amp;"FT(N$13,1)+RIGHT(N$13,2)+LEFT(N$13,1)*ArrayFormula(lower(REGEXREPLACE(MID(N$13,3,2), ""([^A-Za-z0-9]+)|(---)"" , """" ) ))+RIGHT(N$13,2))/2)*VLOOKUP($M16,'Списки'!$B$166:$D$169,3,FALSE))),""""))"),"Недостижимое качество")</f>
        <v>Недостижимое качество</v>
      </c>
      <c r="O16" s="1119" t="str">
        <f>IFERROR(__xludf.DUMMYFUNCTION("IF($M16&lt;&gt;$G$7,""Недостижимое качество"",IFERROR(LEFT(O$13,1)&amp;""""&amp;""d""&amp;""""&amp;ArrayFormula(lower(REGEXREPLACE(MID(O$13,3,2), ""([^A-Za-z0-9]+)|(---)"" , """" ) ))&amp;""""&amp;""+""&amp;""""&amp;RIGHT(O$13,2)+ROUNDDOWN(MAX(VLOOKUP($M16,'Списки'!$B$166:$D$169,2,FALSE),((LE"&amp;"FT(O$13,1)+RIGHT(O$13,2)+LEFT(O$13,1)*ArrayFormula(lower(REGEXREPLACE(MID(O$13,3,2), ""([^A-Za-z0-9]+)|(---)"" , """" ) ))+RIGHT(O$13,2))/2)*VLOOKUP($M16,'Списки'!$B$166:$D$169,3,FALSE))),""""))"),"Недостижимое качество")</f>
        <v>Недостижимое качество</v>
      </c>
      <c r="P16" s="1119" t="str">
        <f>IFERROR(__xludf.DUMMYFUNCTION("IF($M16&lt;&gt;$G$7,""Недостижимое качество"",IFERROR(LEFT(P$13,1)&amp;""""&amp;""d""&amp;""""&amp;ArrayFormula(lower(REGEXREPLACE(MID(P$13,3,2), ""([^A-Za-z0-9]+)|(---)"" , """" ) ))&amp;""""&amp;""+""&amp;""""&amp;RIGHT(P$13,2)+ROUNDDOWN(MAX(VLOOKUP($M16,'Списки'!$B$166:$D$169,2,FALSE),((LE"&amp;"FT(P$13,1)+RIGHT(P$13,2)+LEFT(P$13,1)*ArrayFormula(lower(REGEXREPLACE(MID(P$13,3,2), ""([^A-Za-z0-9]+)|(---)"" , """" ) ))+RIGHT(P$13,2))/2)*VLOOKUP($M16,'Списки'!$B$166:$D$169,3,FALSE))),""""))"),"Недостижимое качество")</f>
        <v>Недостижимое качество</v>
      </c>
      <c r="Q16" s="1119" t="str">
        <f>IFERROR(__xludf.DUMMYFUNCTION("IF($M16&lt;&gt;$G$7,""Недостижимое качество"",IFERROR(LEFT(Q$13,1)&amp;""""&amp;""d""&amp;""""&amp;ArrayFormula(lower(REGEXREPLACE(MID(Q$13,3,2), ""([^A-Za-z0-9]+)|(---)"" , """" ) ))&amp;""""&amp;""+""&amp;""""&amp;RIGHT(Q$13,2)+ROUNDDOWN(MAX(VLOOKUP($M16,'Списки'!$B$166:$D$169,2,FALSE),((LE"&amp;"FT(Q$13,1)+RIGHT(Q$13,2)+LEFT(Q$13,1)*ArrayFormula(lower(REGEXREPLACE(MID(Q$13,3,2), ""([^A-Za-z0-9]+)|(---)"" , """" ) ))+RIGHT(Q$13,2))/2)*VLOOKUP($M16,'Списки'!$B$166:$D$169,3,FALSE))),""""))"),"Недостижимое качество")</f>
        <v>Недостижимое качество</v>
      </c>
      <c r="R16" s="1119" t="str">
        <f>IFERROR(__xludf.DUMMYFUNCTION("IF($M16&lt;&gt;$G$7,""Недостижимое качество"",IFERROR(LEFT(R$13,1)&amp;""""&amp;""d""&amp;""""&amp;ArrayFormula(lower(REGEXREPLACE(MID(R$13,3,2), ""([^A-Za-z0-9]+)|(---)"" , """" ) ))&amp;""""&amp;""+""&amp;""""&amp;RIGHT(R$13,2)+ROUNDDOWN(MAX(VLOOKUP($M16,'Списки'!$B$166:$D$169,2,FALSE),((LE"&amp;"FT(R$13,1)+RIGHT(R$13,2)+LEFT(R$13,1)*ArrayFormula(lower(REGEXREPLACE(MID(R$13,3,2), ""([^A-Za-z0-9]+)|(---)"" , """" ) ))+RIGHT(R$13,2))/2)*VLOOKUP($M16,'Списки'!$B$166:$D$169,3,FALSE))),""""))"),"Недостижимое качество")</f>
        <v>Недостижимое качество</v>
      </c>
      <c r="S16" s="1119" t="str">
        <f>IFERROR(__xludf.DUMMYFUNCTION("IF($M16&lt;&gt;$G$7,""Недостижимое качество"",IFERROR(LEFT(S$13,1)&amp;""""&amp;""d""&amp;""""&amp;ArrayFormula(lower(REGEXREPLACE(MID(S$13,3,2), ""([^A-Za-z0-9]+)|(---)"" , """" ) ))&amp;""""&amp;""+""&amp;""""&amp;RIGHT(S$13,2)+ROUNDDOWN(MAX(VLOOKUP($M16,'Списки'!$B$166:$D$169,2,FALSE),((LE"&amp;"FT(S$13,1)+RIGHT(S$13,2)+LEFT(S$13,1)*ArrayFormula(lower(REGEXREPLACE(MID(S$13,3,2), ""([^A-Za-z0-9]+)|(---)"" , """" ) ))+RIGHT(S$13,2))/2)*VLOOKUP($M16,'Списки'!$B$166:$D$169,3,FALSE))),""""))"),"Недостижимое качество")</f>
        <v>Недостижимое качество</v>
      </c>
      <c r="T16" s="1119" t="str">
        <f>IFERROR(__xludf.DUMMYFUNCTION("IF($M16&lt;&gt;$G$7,""Недостижимое качество"",IFERROR(LEFT(T$13,1)&amp;""""&amp;""d""&amp;""""&amp;ArrayFormula(lower(REGEXREPLACE(MID(T$13,3,2), ""([^A-Za-z0-9]+)|(---)"" , """" ) ))&amp;""""&amp;""+""&amp;""""&amp;RIGHT(T$13,2)+ROUNDDOWN(MAX(VLOOKUP($M16,'Списки'!$B$166:$D$169,2,FALSE),((LE"&amp;"FT(T$13,1)+RIGHT(T$13,2)+LEFT(T$13,1)*ArrayFormula(lower(REGEXREPLACE(MID(T$13,3,2), ""([^A-Za-z0-9]+)|(---)"" , """" ) ))+RIGHT(T$13,2))/2)*VLOOKUP($M16,'Списки'!$B$166:$D$169,3,FALSE))),""""))"),"Недостижимое качество")</f>
        <v>Недостижимое качество</v>
      </c>
    </row>
    <row r="17">
      <c r="B17" s="1001" t="s">
        <v>1369</v>
      </c>
      <c r="C17" s="1120" t="str">
        <f>'Материалы и инструменты'!$E$148</f>
        <v>Древесный уголь</v>
      </c>
      <c r="D17" s="1120" t="str">
        <f>'Материалы и инструменты'!$E$148</f>
        <v>Древесный уголь</v>
      </c>
      <c r="E17" s="1120" t="str">
        <f>'Материалы и инструменты'!$F$148</f>
        <v>Каменный уголь</v>
      </c>
      <c r="F17" s="1120" t="str">
        <f>'Материалы и инструменты'!$F$148</f>
        <v>Каменный уголь</v>
      </c>
      <c r="G17" s="1120" t="str">
        <f>'Материалы и инструменты'!$F$148</f>
        <v>Каменный уголь</v>
      </c>
      <c r="H17" s="1120" t="str">
        <f>'Материалы и инструменты'!$F$148</f>
        <v>Каменный уголь</v>
      </c>
      <c r="I17" s="1120" t="str">
        <f>'Материалы и инструменты'!$F$148</f>
        <v>Каменный уголь</v>
      </c>
    </row>
    <row r="18">
      <c r="B18" s="1002" t="s">
        <v>1370</v>
      </c>
      <c r="C18" s="1121">
        <f>'Материалы и инструменты'!$E$149</f>
        <v>0.07</v>
      </c>
      <c r="D18" s="1121">
        <f>'Материалы и инструменты'!$E$149</f>
        <v>0.07</v>
      </c>
      <c r="E18" s="1120">
        <f>'Материалы и инструменты'!$F$149</f>
        <v>0.14</v>
      </c>
      <c r="F18" s="1120">
        <f>'Материалы и инструменты'!$F$149</f>
        <v>0.14</v>
      </c>
      <c r="G18" s="1120">
        <f>'Материалы и инструменты'!$F$149</f>
        <v>0.14</v>
      </c>
      <c r="H18" s="1120">
        <f>'Материалы и инструменты'!$F$149</f>
        <v>0.14</v>
      </c>
      <c r="I18" s="1120">
        <f>'Материалы и инструменты'!$F$149</f>
        <v>0.14</v>
      </c>
    </row>
    <row r="19">
      <c r="B19" s="1002" t="s">
        <v>1231</v>
      </c>
      <c r="C19" s="1120">
        <f>'Рудокоп'!$C$84*C15</f>
        <v>2</v>
      </c>
      <c r="D19" s="1120">
        <f>'Рудокоп'!$H$63*D15</f>
        <v>3</v>
      </c>
      <c r="E19" s="1120">
        <f>'Рудокоп'!$D$84*E15</f>
        <v>3</v>
      </c>
      <c r="F19" s="1120">
        <f>'Рудокоп'!$E$84*F15</f>
        <v>4</v>
      </c>
      <c r="G19" s="1120">
        <f>'Рудокоп'!$L$63*G15</f>
        <v>5</v>
      </c>
      <c r="H19" s="1120">
        <f>'Рудокоп'!$M$63*H15</f>
        <v>5</v>
      </c>
      <c r="I19" s="1120">
        <f>'Рудокоп'!$N$63*I15</f>
        <v>6</v>
      </c>
    </row>
    <row r="20">
      <c r="B20" s="1004" t="s">
        <v>1371</v>
      </c>
      <c r="C20" s="950">
        <f t="shared" ref="C20:I20" si="3">C15*C21</f>
        <v>2</v>
      </c>
      <c r="D20" s="950">
        <f t="shared" si="3"/>
        <v>2.5</v>
      </c>
      <c r="E20" s="950">
        <f t="shared" si="3"/>
        <v>3</v>
      </c>
      <c r="F20" s="950">
        <f t="shared" si="3"/>
        <v>3.5</v>
      </c>
      <c r="G20" s="950">
        <f t="shared" si="3"/>
        <v>4</v>
      </c>
      <c r="H20" s="950">
        <f t="shared" si="3"/>
        <v>4.5</v>
      </c>
      <c r="I20" s="950">
        <f t="shared" si="3"/>
        <v>5</v>
      </c>
      <c r="J20" s="1104"/>
      <c r="K20" s="1113"/>
    </row>
    <row r="21">
      <c r="B21" s="1004" t="s">
        <v>1385</v>
      </c>
      <c r="C21" s="950">
        <f>$C$9</f>
        <v>2</v>
      </c>
      <c r="D21" s="950">
        <f t="shared" ref="D21:I21" si="4">C21+0.5</f>
        <v>2.5</v>
      </c>
      <c r="E21" s="950">
        <f t="shared" si="4"/>
        <v>3</v>
      </c>
      <c r="F21" s="950">
        <f t="shared" si="4"/>
        <v>3.5</v>
      </c>
      <c r="G21" s="950">
        <f t="shared" si="4"/>
        <v>4</v>
      </c>
      <c r="H21" s="950">
        <f t="shared" si="4"/>
        <v>4.5</v>
      </c>
      <c r="I21" s="950">
        <f t="shared" si="4"/>
        <v>5</v>
      </c>
      <c r="J21" s="1104"/>
      <c r="K21" s="1113"/>
    </row>
    <row r="22">
      <c r="B22" s="1004" t="s">
        <v>1372</v>
      </c>
      <c r="C22" s="950">
        <f t="shared" ref="C22:I22" si="5">(0.02*C23)*C23</f>
        <v>0.02</v>
      </c>
      <c r="D22" s="950">
        <f t="shared" si="5"/>
        <v>0.08</v>
      </c>
      <c r="E22" s="950">
        <f t="shared" si="5"/>
        <v>0.18</v>
      </c>
      <c r="F22" s="950">
        <f t="shared" si="5"/>
        <v>0.32</v>
      </c>
      <c r="G22" s="951">
        <f t="shared" si="5"/>
        <v>0.5</v>
      </c>
      <c r="H22" s="950">
        <f t="shared" si="5"/>
        <v>0.72</v>
      </c>
      <c r="I22" s="950">
        <f t="shared" si="5"/>
        <v>0.98</v>
      </c>
      <c r="J22" s="1104"/>
      <c r="K22" s="1113"/>
    </row>
    <row r="23">
      <c r="B23" s="1004" t="s">
        <v>1491</v>
      </c>
      <c r="C23" s="950">
        <f>C10</f>
        <v>1</v>
      </c>
      <c r="D23" s="950">
        <f t="shared" ref="D23:I23" si="6">C23+1</f>
        <v>2</v>
      </c>
      <c r="E23" s="950">
        <f t="shared" si="6"/>
        <v>3</v>
      </c>
      <c r="F23" s="950">
        <f t="shared" si="6"/>
        <v>4</v>
      </c>
      <c r="G23" s="950">
        <f t="shared" si="6"/>
        <v>5</v>
      </c>
      <c r="H23" s="950">
        <f t="shared" si="6"/>
        <v>6</v>
      </c>
      <c r="I23" s="950">
        <f t="shared" si="6"/>
        <v>7</v>
      </c>
      <c r="J23" s="1104"/>
      <c r="K23" s="1113"/>
    </row>
    <row r="24">
      <c r="B24" s="1004" t="s">
        <v>1492</v>
      </c>
      <c r="C24" s="1008">
        <f t="shared" ref="C24:I24" si="7">10+(C23-1)*2</f>
        <v>10</v>
      </c>
      <c r="D24" s="1008">
        <f t="shared" si="7"/>
        <v>12</v>
      </c>
      <c r="E24" s="1008">
        <f t="shared" si="7"/>
        <v>14</v>
      </c>
      <c r="F24" s="1008">
        <f t="shared" si="7"/>
        <v>16</v>
      </c>
      <c r="G24" s="1008">
        <f t="shared" si="7"/>
        <v>18</v>
      </c>
      <c r="H24" s="1008">
        <f t="shared" si="7"/>
        <v>20</v>
      </c>
      <c r="I24" s="1008">
        <f t="shared" si="7"/>
        <v>22</v>
      </c>
      <c r="J24" s="1104"/>
      <c r="K24" s="1122"/>
    </row>
    <row r="25">
      <c r="B25" s="1004" t="s">
        <v>1493</v>
      </c>
      <c r="C25" s="953" t="s">
        <v>1237</v>
      </c>
      <c r="D25" s="953" t="s">
        <v>1237</v>
      </c>
      <c r="E25" s="953" t="s">
        <v>1237</v>
      </c>
      <c r="F25" s="953" t="s">
        <v>1250</v>
      </c>
      <c r="G25" s="953" t="s">
        <v>1250</v>
      </c>
      <c r="H25" s="953" t="s">
        <v>1250</v>
      </c>
      <c r="I25" s="953" t="s">
        <v>1263</v>
      </c>
      <c r="J25" s="1100"/>
      <c r="K25" s="1123"/>
    </row>
    <row r="26">
      <c r="B26" s="1111" t="s">
        <v>1494</v>
      </c>
      <c r="C26" s="1124">
        <f t="shared" ref="C26:I26" si="8">C$14*C$15+C27*C29+C18*C19</f>
        <v>0.96</v>
      </c>
      <c r="D26" s="1124">
        <f t="shared" si="8"/>
        <v>2.62</v>
      </c>
      <c r="E26" s="1124">
        <f t="shared" si="8"/>
        <v>6.91</v>
      </c>
      <c r="F26" s="1124">
        <f t="shared" si="8"/>
        <v>17.844</v>
      </c>
      <c r="G26" s="1124">
        <f t="shared" si="8"/>
        <v>48.01</v>
      </c>
      <c r="H26" s="1124">
        <f t="shared" si="8"/>
        <v>134.24</v>
      </c>
      <c r="I26" s="1124">
        <f t="shared" si="8"/>
        <v>388.35</v>
      </c>
      <c r="J26" s="1104"/>
      <c r="K26" s="1113">
        <v>2.0</v>
      </c>
    </row>
    <row r="27">
      <c r="B27" s="1004" t="s">
        <v>1371</v>
      </c>
      <c r="C27" s="1075">
        <f t="shared" ref="C27:I27" si="9">C$15*C28</f>
        <v>4</v>
      </c>
      <c r="D27" s="1075">
        <f t="shared" si="9"/>
        <v>5</v>
      </c>
      <c r="E27" s="1075">
        <f t="shared" si="9"/>
        <v>6</v>
      </c>
      <c r="F27" s="1075">
        <f t="shared" si="9"/>
        <v>7</v>
      </c>
      <c r="G27" s="1075">
        <f t="shared" si="9"/>
        <v>8</v>
      </c>
      <c r="H27" s="1075">
        <f t="shared" si="9"/>
        <v>9</v>
      </c>
      <c r="I27" s="1075">
        <f t="shared" si="9"/>
        <v>10</v>
      </c>
      <c r="J27" s="1104"/>
      <c r="K27" s="1113"/>
    </row>
    <row r="28">
      <c r="B28" s="1004" t="s">
        <v>1385</v>
      </c>
      <c r="C28" s="1075">
        <f t="shared" ref="C28:I28" si="10">C$21*$K26</f>
        <v>4</v>
      </c>
      <c r="D28" s="1075">
        <f t="shared" si="10"/>
        <v>5</v>
      </c>
      <c r="E28" s="1075">
        <f t="shared" si="10"/>
        <v>6</v>
      </c>
      <c r="F28" s="1075">
        <f t="shared" si="10"/>
        <v>7</v>
      </c>
      <c r="G28" s="1075">
        <f t="shared" si="10"/>
        <v>8</v>
      </c>
      <c r="H28" s="1075">
        <f t="shared" si="10"/>
        <v>9</v>
      </c>
      <c r="I28" s="1075">
        <f t="shared" si="10"/>
        <v>10</v>
      </c>
      <c r="J28" s="1104"/>
      <c r="K28" s="1113"/>
    </row>
    <row r="29">
      <c r="B29" s="1004" t="s">
        <v>1372</v>
      </c>
      <c r="C29" s="1075">
        <f t="shared" ref="C29:I29" si="11">(0.02*C30)*C30</f>
        <v>0.08</v>
      </c>
      <c r="D29" s="1075">
        <f t="shared" si="11"/>
        <v>0.18</v>
      </c>
      <c r="E29" s="1075">
        <f t="shared" si="11"/>
        <v>0.32</v>
      </c>
      <c r="F29" s="1076">
        <f t="shared" si="11"/>
        <v>0.5</v>
      </c>
      <c r="G29" s="1075">
        <f t="shared" si="11"/>
        <v>0.72</v>
      </c>
      <c r="H29" s="1075">
        <f t="shared" si="11"/>
        <v>0.98</v>
      </c>
      <c r="I29" s="1075">
        <f t="shared" si="11"/>
        <v>1.28</v>
      </c>
      <c r="J29" s="1104"/>
      <c r="K29" s="1113"/>
    </row>
    <row r="30">
      <c r="B30" s="1004" t="s">
        <v>1491</v>
      </c>
      <c r="C30" s="1075">
        <f t="shared" ref="C30:I30" si="12">C23+1</f>
        <v>2</v>
      </c>
      <c r="D30" s="1075">
        <f t="shared" si="12"/>
        <v>3</v>
      </c>
      <c r="E30" s="1075">
        <f t="shared" si="12"/>
        <v>4</v>
      </c>
      <c r="F30" s="1075">
        <f t="shared" si="12"/>
        <v>5</v>
      </c>
      <c r="G30" s="1075">
        <f t="shared" si="12"/>
        <v>6</v>
      </c>
      <c r="H30" s="1075">
        <f t="shared" si="12"/>
        <v>7</v>
      </c>
      <c r="I30" s="1075">
        <f t="shared" si="12"/>
        <v>8</v>
      </c>
      <c r="J30" s="1104"/>
      <c r="K30" s="1113"/>
    </row>
    <row r="31">
      <c r="B31" s="1004" t="s">
        <v>1492</v>
      </c>
      <c r="C31" s="953">
        <f t="shared" ref="C31:I31" si="13">10+(C30-1)*2</f>
        <v>12</v>
      </c>
      <c r="D31" s="953">
        <f t="shared" si="13"/>
        <v>14</v>
      </c>
      <c r="E31" s="953">
        <f t="shared" si="13"/>
        <v>16</v>
      </c>
      <c r="F31" s="953">
        <f t="shared" si="13"/>
        <v>18</v>
      </c>
      <c r="G31" s="953">
        <f t="shared" si="13"/>
        <v>20</v>
      </c>
      <c r="H31" s="953">
        <f t="shared" si="13"/>
        <v>22</v>
      </c>
      <c r="I31" s="953">
        <f t="shared" si="13"/>
        <v>24</v>
      </c>
      <c r="J31" s="1104"/>
      <c r="K31" s="1122"/>
    </row>
    <row r="32">
      <c r="B32" s="1004" t="s">
        <v>1493</v>
      </c>
      <c r="C32" s="953" t="s">
        <v>1237</v>
      </c>
      <c r="D32" s="953" t="s">
        <v>1237</v>
      </c>
      <c r="E32" s="953" t="s">
        <v>1250</v>
      </c>
      <c r="F32" s="953" t="s">
        <v>1250</v>
      </c>
      <c r="G32" s="953" t="s">
        <v>1250</v>
      </c>
      <c r="H32" s="953" t="s">
        <v>1263</v>
      </c>
      <c r="I32" s="953" t="s">
        <v>1263</v>
      </c>
      <c r="J32" s="1100"/>
      <c r="K32" s="1100"/>
    </row>
    <row r="33">
      <c r="B33" s="1111" t="s">
        <v>1495</v>
      </c>
      <c r="C33" s="1124">
        <f t="shared" ref="C33:I33" si="14">C$14*C$15+C34*C36+C18*C19</f>
        <v>1.72</v>
      </c>
      <c r="D33" s="1124">
        <f t="shared" si="14"/>
        <v>4.12</v>
      </c>
      <c r="E33" s="1124">
        <f t="shared" si="14"/>
        <v>9.49</v>
      </c>
      <c r="F33" s="1124">
        <f t="shared" si="14"/>
        <v>21.904</v>
      </c>
      <c r="G33" s="1124">
        <f t="shared" si="14"/>
        <v>54.01</v>
      </c>
      <c r="H33" s="1124">
        <f t="shared" si="14"/>
        <v>142.7</v>
      </c>
      <c r="I33" s="1124">
        <f t="shared" si="14"/>
        <v>399.85</v>
      </c>
      <c r="J33" s="1104"/>
      <c r="K33" s="1113">
        <v>3.0</v>
      </c>
    </row>
    <row r="34">
      <c r="B34" s="1004" t="s">
        <v>1371</v>
      </c>
      <c r="C34" s="1075">
        <f t="shared" ref="C34:I34" si="15">C$15*C35</f>
        <v>6</v>
      </c>
      <c r="D34" s="1075">
        <f t="shared" si="15"/>
        <v>7.5</v>
      </c>
      <c r="E34" s="1075">
        <f t="shared" si="15"/>
        <v>9</v>
      </c>
      <c r="F34" s="1075">
        <f t="shared" si="15"/>
        <v>10.5</v>
      </c>
      <c r="G34" s="1075">
        <f t="shared" si="15"/>
        <v>12</v>
      </c>
      <c r="H34" s="1075">
        <f t="shared" si="15"/>
        <v>13.5</v>
      </c>
      <c r="I34" s="1075">
        <f t="shared" si="15"/>
        <v>15</v>
      </c>
      <c r="J34" s="1104"/>
      <c r="K34" s="1113"/>
    </row>
    <row r="35">
      <c r="B35" s="1004" t="s">
        <v>1385</v>
      </c>
      <c r="C35" s="1075">
        <f t="shared" ref="C35:I35" si="16">C$21*$K33</f>
        <v>6</v>
      </c>
      <c r="D35" s="1075">
        <f t="shared" si="16"/>
        <v>7.5</v>
      </c>
      <c r="E35" s="1075">
        <f t="shared" si="16"/>
        <v>9</v>
      </c>
      <c r="F35" s="1075">
        <f t="shared" si="16"/>
        <v>10.5</v>
      </c>
      <c r="G35" s="1075">
        <f t="shared" si="16"/>
        <v>12</v>
      </c>
      <c r="H35" s="1075">
        <f t="shared" si="16"/>
        <v>13.5</v>
      </c>
      <c r="I35" s="1075">
        <f t="shared" si="16"/>
        <v>15</v>
      </c>
      <c r="J35" s="1104"/>
      <c r="K35" s="1113"/>
    </row>
    <row r="36">
      <c r="B36" s="1004" t="s">
        <v>1372</v>
      </c>
      <c r="C36" s="1075">
        <f t="shared" ref="C36:I36" si="17">(0.02*C37)*C37</f>
        <v>0.18</v>
      </c>
      <c r="D36" s="1075">
        <f t="shared" si="17"/>
        <v>0.32</v>
      </c>
      <c r="E36" s="1076">
        <f t="shared" si="17"/>
        <v>0.5</v>
      </c>
      <c r="F36" s="1075">
        <f t="shared" si="17"/>
        <v>0.72</v>
      </c>
      <c r="G36" s="1075">
        <f t="shared" si="17"/>
        <v>0.98</v>
      </c>
      <c r="H36" s="1075">
        <f t="shared" si="17"/>
        <v>1.28</v>
      </c>
      <c r="I36" s="1075">
        <f t="shared" si="17"/>
        <v>1.62</v>
      </c>
      <c r="J36" s="1104"/>
      <c r="K36" s="1113"/>
    </row>
    <row r="37">
      <c r="B37" s="1004" t="s">
        <v>1491</v>
      </c>
      <c r="C37" s="1075">
        <f t="shared" ref="C37:I37" si="18">C30+1</f>
        <v>3</v>
      </c>
      <c r="D37" s="1075">
        <f t="shared" si="18"/>
        <v>4</v>
      </c>
      <c r="E37" s="1075">
        <f t="shared" si="18"/>
        <v>5</v>
      </c>
      <c r="F37" s="1075">
        <f t="shared" si="18"/>
        <v>6</v>
      </c>
      <c r="G37" s="1075">
        <f t="shared" si="18"/>
        <v>7</v>
      </c>
      <c r="H37" s="1075">
        <f t="shared" si="18"/>
        <v>8</v>
      </c>
      <c r="I37" s="1075">
        <f t="shared" si="18"/>
        <v>9</v>
      </c>
      <c r="J37" s="1104"/>
      <c r="K37" s="1113"/>
    </row>
    <row r="38">
      <c r="B38" s="1004" t="s">
        <v>1492</v>
      </c>
      <c r="C38" s="953">
        <f t="shared" ref="C38:I38" si="19">10+(C37-1)*2</f>
        <v>14</v>
      </c>
      <c r="D38" s="953">
        <f t="shared" si="19"/>
        <v>16</v>
      </c>
      <c r="E38" s="953">
        <f t="shared" si="19"/>
        <v>18</v>
      </c>
      <c r="F38" s="953">
        <f t="shared" si="19"/>
        <v>20</v>
      </c>
      <c r="G38" s="953">
        <f t="shared" si="19"/>
        <v>22</v>
      </c>
      <c r="H38" s="953">
        <f t="shared" si="19"/>
        <v>24</v>
      </c>
      <c r="I38" s="953">
        <f t="shared" si="19"/>
        <v>26</v>
      </c>
      <c r="J38" s="1104"/>
      <c r="K38" s="1122"/>
    </row>
    <row r="39">
      <c r="B39" s="1004" t="s">
        <v>1493</v>
      </c>
      <c r="C39" s="953" t="s">
        <v>1237</v>
      </c>
      <c r="D39" s="953" t="s">
        <v>1250</v>
      </c>
      <c r="E39" s="953" t="s">
        <v>1250</v>
      </c>
      <c r="F39" s="953" t="s">
        <v>1250</v>
      </c>
      <c r="G39" s="953" t="s">
        <v>1263</v>
      </c>
      <c r="H39" s="953" t="s">
        <v>1263</v>
      </c>
      <c r="I39" s="953" t="s">
        <v>1263</v>
      </c>
      <c r="J39" s="1100"/>
      <c r="K39" s="1100"/>
    </row>
    <row r="40">
      <c r="B40" s="1111" t="s">
        <v>1496</v>
      </c>
      <c r="C40" s="1124">
        <f t="shared" ref="C40:I40" si="20">C$14*C$15+C41*C43+C18*C19</f>
        <v>3.2</v>
      </c>
      <c r="D40" s="1124">
        <f t="shared" si="20"/>
        <v>6.72</v>
      </c>
      <c r="E40" s="1124">
        <f t="shared" si="20"/>
        <v>13.63</v>
      </c>
      <c r="F40" s="1124">
        <f t="shared" si="20"/>
        <v>28.064</v>
      </c>
      <c r="G40" s="1124">
        <f t="shared" si="20"/>
        <v>62.73</v>
      </c>
      <c r="H40" s="1124">
        <f t="shared" si="20"/>
        <v>154.58</v>
      </c>
      <c r="I40" s="1124">
        <f t="shared" si="20"/>
        <v>415.55</v>
      </c>
      <c r="J40" s="1104"/>
      <c r="K40" s="1113">
        <v>4.0</v>
      </c>
    </row>
    <row r="41">
      <c r="B41" s="1004" t="s">
        <v>1371</v>
      </c>
      <c r="C41" s="1075">
        <f t="shared" ref="C41:I41" si="21">C$15*C42</f>
        <v>8</v>
      </c>
      <c r="D41" s="1075">
        <f t="shared" si="21"/>
        <v>10</v>
      </c>
      <c r="E41" s="1075">
        <f t="shared" si="21"/>
        <v>12</v>
      </c>
      <c r="F41" s="1075">
        <f t="shared" si="21"/>
        <v>14</v>
      </c>
      <c r="G41" s="1075">
        <f t="shared" si="21"/>
        <v>16</v>
      </c>
      <c r="H41" s="1075">
        <f t="shared" si="21"/>
        <v>18</v>
      </c>
      <c r="I41" s="1075">
        <f t="shared" si="21"/>
        <v>20</v>
      </c>
      <c r="J41" s="1104"/>
      <c r="K41" s="1125"/>
    </row>
    <row r="42">
      <c r="B42" s="1004" t="s">
        <v>1385</v>
      </c>
      <c r="C42" s="1075">
        <f t="shared" ref="C42:I42" si="22">C$21*$K40</f>
        <v>8</v>
      </c>
      <c r="D42" s="1075">
        <f t="shared" si="22"/>
        <v>10</v>
      </c>
      <c r="E42" s="1075">
        <f t="shared" si="22"/>
        <v>12</v>
      </c>
      <c r="F42" s="1075">
        <f t="shared" si="22"/>
        <v>14</v>
      </c>
      <c r="G42" s="1075">
        <f t="shared" si="22"/>
        <v>16</v>
      </c>
      <c r="H42" s="1075">
        <f t="shared" si="22"/>
        <v>18</v>
      </c>
      <c r="I42" s="1075">
        <f t="shared" si="22"/>
        <v>20</v>
      </c>
      <c r="J42" s="1104"/>
      <c r="K42" s="1125"/>
    </row>
    <row r="43">
      <c r="B43" s="1004" t="s">
        <v>1372</v>
      </c>
      <c r="C43" s="1075">
        <f t="shared" ref="C43:I43" si="23">(0.02*C44)*C44</f>
        <v>0.32</v>
      </c>
      <c r="D43" s="1076">
        <f t="shared" si="23"/>
        <v>0.5</v>
      </c>
      <c r="E43" s="1075">
        <f t="shared" si="23"/>
        <v>0.72</v>
      </c>
      <c r="F43" s="1075">
        <f t="shared" si="23"/>
        <v>0.98</v>
      </c>
      <c r="G43" s="1075">
        <f t="shared" si="23"/>
        <v>1.28</v>
      </c>
      <c r="H43" s="1075">
        <f t="shared" si="23"/>
        <v>1.62</v>
      </c>
      <c r="I43" s="1075">
        <f t="shared" si="23"/>
        <v>2</v>
      </c>
      <c r="J43" s="1104"/>
      <c r="K43" s="1125"/>
    </row>
    <row r="44">
      <c r="B44" s="1004" t="s">
        <v>1491</v>
      </c>
      <c r="C44" s="1075">
        <f t="shared" ref="C44:I44" si="24">C37+1</f>
        <v>4</v>
      </c>
      <c r="D44" s="1075">
        <f t="shared" si="24"/>
        <v>5</v>
      </c>
      <c r="E44" s="1075">
        <f t="shared" si="24"/>
        <v>6</v>
      </c>
      <c r="F44" s="1075">
        <f t="shared" si="24"/>
        <v>7</v>
      </c>
      <c r="G44" s="1075">
        <f t="shared" si="24"/>
        <v>8</v>
      </c>
      <c r="H44" s="1075">
        <f t="shared" si="24"/>
        <v>9</v>
      </c>
      <c r="I44" s="1075">
        <f t="shared" si="24"/>
        <v>10</v>
      </c>
      <c r="J44" s="1104"/>
      <c r="K44" s="1125"/>
    </row>
    <row r="45">
      <c r="B45" s="1004" t="s">
        <v>1492</v>
      </c>
      <c r="C45" s="953">
        <f t="shared" ref="C45:I45" si="25">10+(C44-1)*2</f>
        <v>16</v>
      </c>
      <c r="D45" s="953">
        <f t="shared" si="25"/>
        <v>18</v>
      </c>
      <c r="E45" s="953">
        <f t="shared" si="25"/>
        <v>20</v>
      </c>
      <c r="F45" s="953">
        <f t="shared" si="25"/>
        <v>22</v>
      </c>
      <c r="G45" s="953">
        <f t="shared" si="25"/>
        <v>24</v>
      </c>
      <c r="H45" s="953">
        <f t="shared" si="25"/>
        <v>26</v>
      </c>
      <c r="I45" s="953">
        <f t="shared" si="25"/>
        <v>28</v>
      </c>
      <c r="J45" s="1104"/>
      <c r="K45" s="1122"/>
    </row>
    <row r="46">
      <c r="B46" s="1004" t="s">
        <v>1493</v>
      </c>
      <c r="C46" s="953" t="s">
        <v>1250</v>
      </c>
      <c r="D46" s="953" t="s">
        <v>1250</v>
      </c>
      <c r="E46" s="953" t="s">
        <v>1250</v>
      </c>
      <c r="F46" s="953" t="s">
        <v>1263</v>
      </c>
      <c r="G46" s="953" t="s">
        <v>1263</v>
      </c>
      <c r="H46" s="953" t="s">
        <v>1263</v>
      </c>
      <c r="I46" s="953" t="s">
        <v>1263</v>
      </c>
      <c r="J46" s="1100"/>
      <c r="K46" s="1100"/>
    </row>
    <row r="47">
      <c r="B47" s="692"/>
      <c r="C47" s="441"/>
      <c r="D47" s="441"/>
      <c r="E47" s="441"/>
      <c r="F47" s="441"/>
      <c r="G47" s="441"/>
      <c r="H47" s="441"/>
      <c r="I47" s="441"/>
      <c r="J47" s="1126"/>
      <c r="K47" s="1126"/>
    </row>
    <row r="48">
      <c r="B48" s="692"/>
      <c r="C48" s="441"/>
      <c r="D48" s="441"/>
      <c r="E48" s="441"/>
      <c r="F48" s="441"/>
      <c r="G48" s="441"/>
      <c r="H48" s="441"/>
      <c r="I48" s="441"/>
      <c r="J48" s="1126"/>
      <c r="K48" s="1126"/>
    </row>
    <row r="49">
      <c r="B49" s="406" t="s">
        <v>1497</v>
      </c>
      <c r="C49" s="441"/>
      <c r="D49" s="441"/>
      <c r="E49" s="441"/>
      <c r="F49" s="441"/>
      <c r="G49" s="441"/>
      <c r="H49" s="441"/>
      <c r="I49" s="441"/>
      <c r="J49" s="1126"/>
      <c r="K49" s="1126"/>
    </row>
    <row r="50">
      <c r="B50" s="692"/>
      <c r="C50" s="441"/>
      <c r="D50" s="441"/>
      <c r="E50" s="441"/>
      <c r="F50" s="441"/>
      <c r="G50" s="441"/>
      <c r="H50" s="441"/>
      <c r="I50" s="441"/>
      <c r="J50" s="1126"/>
      <c r="K50" s="1126"/>
    </row>
    <row r="51">
      <c r="B51" s="692"/>
      <c r="C51" s="441"/>
      <c r="D51" s="441"/>
      <c r="E51" s="441"/>
      <c r="F51" s="441"/>
      <c r="G51" s="441"/>
      <c r="H51" s="441"/>
      <c r="I51" s="441"/>
      <c r="J51" s="1126"/>
      <c r="K51" s="1126"/>
    </row>
    <row r="52">
      <c r="B52" s="692" t="s">
        <v>1498</v>
      </c>
      <c r="C52" s="1068"/>
      <c r="D52" s="1068"/>
      <c r="E52" s="1068"/>
      <c r="F52" s="1068"/>
      <c r="G52" s="1068"/>
      <c r="H52" s="1068"/>
      <c r="I52" s="1068"/>
      <c r="J52" s="1127"/>
      <c r="K52" s="1127"/>
      <c r="M52" s="692" t="s">
        <v>1499</v>
      </c>
      <c r="N52" s="1068"/>
      <c r="O52" s="1068"/>
      <c r="P52" s="1068"/>
      <c r="Q52" s="1068"/>
      <c r="R52" s="1068"/>
      <c r="S52" s="1068"/>
      <c r="T52" s="1068"/>
      <c r="U52" s="1127"/>
      <c r="W52" s="1078" t="s">
        <v>1446</v>
      </c>
      <c r="X52" s="228"/>
      <c r="Y52" s="228"/>
      <c r="Z52" s="228"/>
      <c r="AA52" s="228"/>
      <c r="AB52" s="228"/>
      <c r="AC52" s="665"/>
      <c r="AD52" s="1079" t="s">
        <v>79</v>
      </c>
      <c r="AE52" s="427" t="s">
        <v>176</v>
      </c>
      <c r="AF52" s="427" t="s">
        <v>1447</v>
      </c>
      <c r="AG52" s="427" t="s">
        <v>1402</v>
      </c>
      <c r="AH52" s="427" t="s">
        <v>1448</v>
      </c>
      <c r="AI52" s="427" t="s">
        <v>1449</v>
      </c>
      <c r="AJ52" s="427" t="s">
        <v>1450</v>
      </c>
    </row>
    <row r="53">
      <c r="B53" s="1128" t="s">
        <v>130</v>
      </c>
      <c r="C53" s="1129" t="s">
        <v>172</v>
      </c>
      <c r="D53" s="1129" t="s">
        <v>738</v>
      </c>
      <c r="E53" s="1129" t="s">
        <v>739</v>
      </c>
      <c r="F53" s="1129" t="s">
        <v>741</v>
      </c>
      <c r="G53" s="1129" t="s">
        <v>742</v>
      </c>
      <c r="H53" s="1129" t="s">
        <v>743</v>
      </c>
      <c r="I53" s="1068"/>
      <c r="J53" s="1070" t="s">
        <v>1434</v>
      </c>
      <c r="K53" s="1127"/>
      <c r="M53" s="1130" t="s">
        <v>130</v>
      </c>
      <c r="N53" s="1131" t="s">
        <v>172</v>
      </c>
      <c r="O53" s="1131" t="s">
        <v>738</v>
      </c>
      <c r="P53" s="1131" t="s">
        <v>739</v>
      </c>
      <c r="Q53" s="1131" t="s">
        <v>741</v>
      </c>
      <c r="R53" s="1131" t="s">
        <v>742</v>
      </c>
      <c r="S53" s="1131" t="s">
        <v>743</v>
      </c>
      <c r="T53" s="1068"/>
      <c r="U53" s="1070" t="s">
        <v>1434</v>
      </c>
      <c r="W53" s="1132" t="s">
        <v>1498</v>
      </c>
      <c r="X53" s="1133"/>
      <c r="Y53" s="1133"/>
      <c r="Z53" s="1133"/>
      <c r="AA53" s="1133"/>
      <c r="AB53" s="1133"/>
      <c r="AC53" s="1133"/>
      <c r="AD53" s="1133"/>
      <c r="AE53" s="1133"/>
      <c r="AF53" s="1133"/>
      <c r="AG53" s="1133"/>
      <c r="AH53" s="1133"/>
      <c r="AI53" s="1133"/>
      <c r="AJ53" s="1134"/>
    </row>
    <row r="54">
      <c r="B54" s="1128" t="s">
        <v>1500</v>
      </c>
      <c r="C54" s="1135">
        <f t="shared" ref="C54:H54" si="26">C55*C56+C61*C63+C59*C60</f>
        <v>10.2</v>
      </c>
      <c r="D54" s="1135">
        <f t="shared" si="26"/>
        <v>28.8</v>
      </c>
      <c r="E54" s="1135">
        <f t="shared" si="26"/>
        <v>82.95</v>
      </c>
      <c r="F54" s="1135">
        <f t="shared" si="26"/>
        <v>660</v>
      </c>
      <c r="G54" s="1135">
        <f t="shared" si="26"/>
        <v>1924.5</v>
      </c>
      <c r="H54" s="1135">
        <f t="shared" si="26"/>
        <v>5699.4</v>
      </c>
      <c r="I54" s="1073"/>
      <c r="J54" s="1074">
        <v>1.0</v>
      </c>
      <c r="K54" s="1127"/>
      <c r="M54" s="1130" t="s">
        <v>1501</v>
      </c>
      <c r="N54" s="1136">
        <f t="shared" ref="N54:S54" si="27">N55*N56+N61*N63+N59*N60</f>
        <v>21</v>
      </c>
      <c r="O54" s="1136">
        <f t="shared" si="27"/>
        <v>56.5</v>
      </c>
      <c r="P54" s="1136">
        <f t="shared" si="27"/>
        <v>152.75</v>
      </c>
      <c r="Q54" s="1136">
        <f t="shared" si="27"/>
        <v>1128.25</v>
      </c>
      <c r="R54" s="1136">
        <f t="shared" si="27"/>
        <v>3245.75</v>
      </c>
      <c r="S54" s="1136">
        <f t="shared" si="27"/>
        <v>9548.75</v>
      </c>
      <c r="T54" s="1073"/>
      <c r="U54" s="1074">
        <v>1.0</v>
      </c>
      <c r="W54" s="1137" t="s">
        <v>1451</v>
      </c>
      <c r="X54" s="1138" t="s">
        <v>172</v>
      </c>
      <c r="Y54" s="1138" t="s">
        <v>738</v>
      </c>
      <c r="Z54" s="1138" t="s">
        <v>739</v>
      </c>
      <c r="AA54" s="1138" t="s">
        <v>741</v>
      </c>
      <c r="AB54" s="1138" t="s">
        <v>742</v>
      </c>
      <c r="AC54" s="1139" t="s">
        <v>743</v>
      </c>
      <c r="AD54" s="1140"/>
      <c r="AE54" s="1140"/>
      <c r="AF54" s="1140"/>
      <c r="AG54" s="1140"/>
      <c r="AH54" s="1140"/>
      <c r="AI54" s="1140"/>
      <c r="AJ54" s="1140"/>
    </row>
    <row r="55">
      <c r="B55" s="995" t="s">
        <v>1436</v>
      </c>
      <c r="C55" s="1076">
        <f>'Материалы и инструменты'!D24</f>
        <v>0.5</v>
      </c>
      <c r="D55" s="1076">
        <f>'Материалы и инструменты'!E24</f>
        <v>1.51</v>
      </c>
      <c r="E55" s="1076">
        <f>'Материалы и инструменты'!F24</f>
        <v>4.57</v>
      </c>
      <c r="F55" s="1076">
        <f>'Материалы и инструменты'!H24</f>
        <v>41.55</v>
      </c>
      <c r="G55" s="1076">
        <f>'Материалы и инструменты'!I24</f>
        <v>124.72</v>
      </c>
      <c r="H55" s="1076">
        <f>'Материалы и инструменты'!J24</f>
        <v>374.71</v>
      </c>
      <c r="I55" s="1073"/>
      <c r="J55" s="1074"/>
      <c r="K55" s="1127"/>
      <c r="M55" s="995" t="s">
        <v>1436</v>
      </c>
      <c r="N55" s="1076">
        <f>'Материалы и инструменты'!D24</f>
        <v>0.5</v>
      </c>
      <c r="O55" s="1076">
        <f>'Материалы и инструменты'!E24</f>
        <v>1.51</v>
      </c>
      <c r="P55" s="1076">
        <f>'Материалы и инструменты'!F24</f>
        <v>4.57</v>
      </c>
      <c r="Q55" s="1076">
        <f>'Материалы и инструменты'!H24</f>
        <v>41.55</v>
      </c>
      <c r="R55" s="1076">
        <f>'Материалы и инструменты'!I24</f>
        <v>124.72</v>
      </c>
      <c r="S55" s="1076">
        <f>'Материалы и инструменты'!J24</f>
        <v>374.71</v>
      </c>
      <c r="T55" s="1073"/>
      <c r="U55" s="1074"/>
      <c r="W55" s="1141" t="s">
        <v>1452</v>
      </c>
      <c r="X55" s="1142" t="s">
        <v>1455</v>
      </c>
      <c r="Y55" s="1142" t="s">
        <v>1456</v>
      </c>
      <c r="Z55" s="1142" t="s">
        <v>1457</v>
      </c>
      <c r="AA55" s="1142" t="s">
        <v>1474</v>
      </c>
      <c r="AB55" s="1142" t="s">
        <v>1502</v>
      </c>
      <c r="AC55" s="1143" t="s">
        <v>1503</v>
      </c>
      <c r="AD55" s="1144" t="s">
        <v>1459</v>
      </c>
      <c r="AE55" s="1145" t="s">
        <v>1460</v>
      </c>
      <c r="AF55" s="1146">
        <v>7.0</v>
      </c>
      <c r="AG55" s="1147" t="s">
        <v>1504</v>
      </c>
      <c r="AH55" s="1147" t="s">
        <v>1505</v>
      </c>
      <c r="AI55" s="1144" t="s">
        <v>1196</v>
      </c>
      <c r="AJ55" s="1148" t="s">
        <v>1506</v>
      </c>
    </row>
    <row r="56">
      <c r="B56" s="995" t="s">
        <v>1365</v>
      </c>
      <c r="C56" s="1075">
        <v>15.0</v>
      </c>
      <c r="D56" s="1075">
        <v>15.0</v>
      </c>
      <c r="E56" s="1075">
        <v>15.0</v>
      </c>
      <c r="F56" s="1075">
        <v>15.0</v>
      </c>
      <c r="G56" s="1075">
        <v>15.0</v>
      </c>
      <c r="H56" s="1075">
        <v>15.0</v>
      </c>
      <c r="I56" s="1073"/>
      <c r="J56" s="1074"/>
      <c r="K56" s="1127"/>
      <c r="M56" s="995" t="s">
        <v>1365</v>
      </c>
      <c r="N56" s="1075">
        <v>25.0</v>
      </c>
      <c r="O56" s="1075">
        <v>25.0</v>
      </c>
      <c r="P56" s="1075">
        <v>25.0</v>
      </c>
      <c r="Q56" s="1075">
        <v>25.0</v>
      </c>
      <c r="R56" s="1075">
        <v>25.0</v>
      </c>
      <c r="S56" s="1075">
        <v>25.0</v>
      </c>
      <c r="T56" s="1073"/>
      <c r="U56" s="1074"/>
      <c r="W56" s="1094" t="s">
        <v>1463</v>
      </c>
      <c r="X56" s="1149">
        <f t="shared" ref="X56:AC56" si="28">C54</f>
        <v>10.2</v>
      </c>
      <c r="Y56" s="1149">
        <f t="shared" si="28"/>
        <v>28.8</v>
      </c>
      <c r="Z56" s="1149">
        <f t="shared" si="28"/>
        <v>82.95</v>
      </c>
      <c r="AA56" s="1149">
        <f t="shared" si="28"/>
        <v>660</v>
      </c>
      <c r="AB56" s="1149">
        <f t="shared" si="28"/>
        <v>1924.5</v>
      </c>
      <c r="AC56" s="1149">
        <f t="shared" si="28"/>
        <v>5699.4</v>
      </c>
      <c r="AD56" s="428"/>
      <c r="AE56" s="428"/>
      <c r="AF56" s="428"/>
      <c r="AG56" s="428"/>
      <c r="AH56" s="428"/>
      <c r="AI56" s="428"/>
      <c r="AJ56" s="428"/>
    </row>
    <row r="57">
      <c r="B57" s="999" t="s">
        <v>1400</v>
      </c>
      <c r="C57" s="1000" t="s">
        <v>1489</v>
      </c>
      <c r="D57" s="1000" t="s">
        <v>1490</v>
      </c>
      <c r="E57" s="1000" t="s">
        <v>1490</v>
      </c>
      <c r="F57" s="1000" t="s">
        <v>1490</v>
      </c>
      <c r="G57" s="1000" t="s">
        <v>1490</v>
      </c>
      <c r="H57" s="1000" t="s">
        <v>1490</v>
      </c>
      <c r="I57" s="1073"/>
      <c r="J57" s="1074"/>
      <c r="K57" s="1127"/>
      <c r="M57" s="999" t="s">
        <v>1400</v>
      </c>
      <c r="N57" s="1000" t="s">
        <v>1489</v>
      </c>
      <c r="O57" s="1000" t="s">
        <v>1490</v>
      </c>
      <c r="P57" s="1000" t="s">
        <v>1490</v>
      </c>
      <c r="Q57" s="1000" t="s">
        <v>1490</v>
      </c>
      <c r="R57" s="1000" t="s">
        <v>1490</v>
      </c>
      <c r="S57" s="1000" t="s">
        <v>1490</v>
      </c>
      <c r="T57" s="1073"/>
      <c r="U57" s="1074"/>
      <c r="W57" s="1141" t="s">
        <v>1211</v>
      </c>
      <c r="X57" s="1142" t="s">
        <v>1455</v>
      </c>
      <c r="Y57" s="1142" t="s">
        <v>1456</v>
      </c>
      <c r="Z57" s="1142" t="s">
        <v>1457</v>
      </c>
      <c r="AA57" s="1142" t="s">
        <v>1474</v>
      </c>
      <c r="AB57" s="1142" t="s">
        <v>1502</v>
      </c>
      <c r="AC57" s="1143" t="s">
        <v>1503</v>
      </c>
      <c r="AD57" s="1144" t="s">
        <v>1464</v>
      </c>
      <c r="AE57" s="1145" t="s">
        <v>1465</v>
      </c>
      <c r="AF57" s="1146">
        <v>8.0</v>
      </c>
      <c r="AG57" s="1147" t="s">
        <v>1507</v>
      </c>
      <c r="AH57" s="1147" t="s">
        <v>1508</v>
      </c>
      <c r="AI57" s="1144" t="s">
        <v>1196</v>
      </c>
      <c r="AJ57" s="1148" t="s">
        <v>1506</v>
      </c>
    </row>
    <row r="58">
      <c r="B58" s="1001" t="s">
        <v>1369</v>
      </c>
      <c r="C58" s="1120" t="str">
        <f>'Материалы и инструменты'!$E$148</f>
        <v>Древесный уголь</v>
      </c>
      <c r="D58" s="1120" t="str">
        <f>'Материалы и инструменты'!$E$148</f>
        <v>Древесный уголь</v>
      </c>
      <c r="E58" s="1120" t="str">
        <f>'Материалы и инструменты'!$F$148</f>
        <v>Каменный уголь</v>
      </c>
      <c r="F58" s="1120" t="str">
        <f>'Материалы и инструменты'!$F$148</f>
        <v>Каменный уголь</v>
      </c>
      <c r="G58" s="1120" t="str">
        <f>'Материалы и инструменты'!$F$148</f>
        <v>Каменный уголь</v>
      </c>
      <c r="H58" s="1120" t="str">
        <f>'Материалы и инструменты'!$F$148</f>
        <v>Каменный уголь</v>
      </c>
      <c r="I58" s="1073"/>
      <c r="J58" s="1074"/>
      <c r="K58" s="1127"/>
      <c r="M58" s="1001" t="s">
        <v>1369</v>
      </c>
      <c r="N58" s="1120" t="str">
        <f>'Материалы и инструменты'!$E$148</f>
        <v>Древесный уголь</v>
      </c>
      <c r="O58" s="1120" t="str">
        <f>'Материалы и инструменты'!$E$148</f>
        <v>Древесный уголь</v>
      </c>
      <c r="P58" s="1120" t="str">
        <f>'Материалы и инструменты'!$F$148</f>
        <v>Каменный уголь</v>
      </c>
      <c r="Q58" s="1120" t="str">
        <f>'Материалы и инструменты'!$F$148</f>
        <v>Каменный уголь</v>
      </c>
      <c r="R58" s="1120" t="str">
        <f>'Материалы и инструменты'!$F$148</f>
        <v>Каменный уголь</v>
      </c>
      <c r="S58" s="1120" t="str">
        <f>'Материалы и инструменты'!$F$148</f>
        <v>Каменный уголь</v>
      </c>
      <c r="T58" s="1073"/>
      <c r="U58" s="1074"/>
      <c r="W58" s="1094" t="s">
        <v>1463</v>
      </c>
      <c r="X58" s="1150">
        <f t="shared" ref="X58:AC58" si="29">C67</f>
        <v>14.4</v>
      </c>
      <c r="Y58" s="1150">
        <f t="shared" si="29"/>
        <v>39.3</v>
      </c>
      <c r="Z58" s="1150">
        <f t="shared" si="29"/>
        <v>103.65</v>
      </c>
      <c r="AA58" s="1150">
        <f t="shared" si="29"/>
        <v>709.35</v>
      </c>
      <c r="AB58" s="1150">
        <f t="shared" si="29"/>
        <v>1998.9</v>
      </c>
      <c r="AC58" s="1150">
        <f t="shared" si="29"/>
        <v>5806.05</v>
      </c>
      <c r="AD58" s="428"/>
      <c r="AE58" s="428"/>
      <c r="AF58" s="428"/>
      <c r="AG58" s="428"/>
      <c r="AH58" s="428"/>
      <c r="AI58" s="428"/>
      <c r="AJ58" s="428"/>
    </row>
    <row r="59">
      <c r="B59" s="1002" t="s">
        <v>1370</v>
      </c>
      <c r="C59" s="1121">
        <f>'Материалы и инструменты'!$E$149</f>
        <v>0.07</v>
      </c>
      <c r="D59" s="1121">
        <f>'Материалы и инструменты'!$E$149</f>
        <v>0.07</v>
      </c>
      <c r="E59" s="1120">
        <f>'Материалы и инструменты'!$F$149</f>
        <v>0.14</v>
      </c>
      <c r="F59" s="1120">
        <f>'Материалы и инструменты'!$F$149</f>
        <v>0.14</v>
      </c>
      <c r="G59" s="1120">
        <f>'Материалы и инструменты'!$F$149</f>
        <v>0.14</v>
      </c>
      <c r="H59" s="1120">
        <f>'Материалы и инструменты'!$F$149</f>
        <v>0.14</v>
      </c>
      <c r="I59" s="1073"/>
      <c r="J59" s="1074"/>
      <c r="K59" s="1127"/>
      <c r="M59" s="1002" t="s">
        <v>1370</v>
      </c>
      <c r="N59" s="1121">
        <f>'Материалы и инструменты'!$E$149</f>
        <v>0.07</v>
      </c>
      <c r="O59" s="1121">
        <f>'Материалы и инструменты'!$E$149</f>
        <v>0.07</v>
      </c>
      <c r="P59" s="1120">
        <f>'Материалы и инструменты'!$F$149</f>
        <v>0.14</v>
      </c>
      <c r="Q59" s="1120">
        <f>'Материалы и инструменты'!$F$149</f>
        <v>0.14</v>
      </c>
      <c r="R59" s="1120">
        <f>'Материалы и инструменты'!$F$149</f>
        <v>0.14</v>
      </c>
      <c r="S59" s="1120">
        <f>'Материалы и инструменты'!$F$149</f>
        <v>0.14</v>
      </c>
      <c r="T59" s="1073"/>
      <c r="U59" s="1074"/>
      <c r="W59" s="1141" t="s">
        <v>1212</v>
      </c>
      <c r="X59" s="1142" t="s">
        <v>1471</v>
      </c>
      <c r="Y59" s="1142" t="s">
        <v>1472</v>
      </c>
      <c r="Z59" s="1142" t="s">
        <v>1473</v>
      </c>
      <c r="AA59" s="1142" t="s">
        <v>1509</v>
      </c>
      <c r="AB59" s="1142" t="s">
        <v>1510</v>
      </c>
      <c r="AC59" s="1143" t="s">
        <v>1511</v>
      </c>
      <c r="AD59" s="1144" t="s">
        <v>1468</v>
      </c>
      <c r="AE59" s="1145" t="s">
        <v>1465</v>
      </c>
      <c r="AF59" s="1146">
        <v>9.0</v>
      </c>
      <c r="AG59" s="1147" t="s">
        <v>1512</v>
      </c>
      <c r="AH59" s="1147" t="s">
        <v>1513</v>
      </c>
      <c r="AI59" s="1144" t="s">
        <v>1196</v>
      </c>
      <c r="AJ59" s="1148" t="s">
        <v>1506</v>
      </c>
    </row>
    <row r="60">
      <c r="B60" s="1002" t="s">
        <v>1231</v>
      </c>
      <c r="C60" s="1120">
        <f>'Рудокоп'!$C$84*C56</f>
        <v>30</v>
      </c>
      <c r="D60" s="1120">
        <f>'Рудокоп'!$H$63*D56</f>
        <v>45</v>
      </c>
      <c r="E60" s="1120">
        <f>'Рудокоп'!$D$84*E56</f>
        <v>45</v>
      </c>
      <c r="F60" s="1120">
        <f>'Рудокоп'!$L$63*F56</f>
        <v>75</v>
      </c>
      <c r="G60" s="1120">
        <f>'Рудокоп'!$M$63*G56</f>
        <v>75</v>
      </c>
      <c r="H60" s="1120">
        <f>'Рудокоп'!$N$63*H56</f>
        <v>90</v>
      </c>
      <c r="I60" s="1073"/>
      <c r="J60" s="1074"/>
      <c r="K60" s="1127"/>
      <c r="M60" s="1002" t="s">
        <v>1231</v>
      </c>
      <c r="N60" s="1120">
        <f>'Рудокоп'!$C$84*N56</f>
        <v>50</v>
      </c>
      <c r="O60" s="1120">
        <f>'Рудокоп'!$H$63*O56</f>
        <v>75</v>
      </c>
      <c r="P60" s="1120">
        <f>'Рудокоп'!$D$84*P56</f>
        <v>75</v>
      </c>
      <c r="Q60" s="1120">
        <f>'Рудокоп'!$L$63*Q56</f>
        <v>125</v>
      </c>
      <c r="R60" s="1120">
        <f>'Рудокоп'!$M$63*R56</f>
        <v>125</v>
      </c>
      <c r="S60" s="1120">
        <f>'Рудокоп'!$N$63*S56</f>
        <v>150</v>
      </c>
      <c r="T60" s="1073"/>
      <c r="U60" s="1074"/>
      <c r="W60" s="1094" t="s">
        <v>1463</v>
      </c>
      <c r="X60" s="1150">
        <f t="shared" ref="X60:AC60" si="30">C74</f>
        <v>25.8</v>
      </c>
      <c r="Y60" s="1150">
        <f t="shared" si="30"/>
        <v>61.8</v>
      </c>
      <c r="Z60" s="1150">
        <f t="shared" si="30"/>
        <v>142.35</v>
      </c>
      <c r="AA60" s="1150">
        <f t="shared" si="30"/>
        <v>788.1</v>
      </c>
      <c r="AB60" s="1150">
        <f t="shared" si="30"/>
        <v>2111.7</v>
      </c>
      <c r="AC60" s="1150">
        <f t="shared" si="30"/>
        <v>5961.3</v>
      </c>
      <c r="AD60" s="428"/>
      <c r="AE60" s="428"/>
      <c r="AF60" s="428"/>
      <c r="AG60" s="428"/>
      <c r="AH60" s="428"/>
      <c r="AI60" s="428"/>
      <c r="AJ60" s="428"/>
    </row>
    <row r="61">
      <c r="B61" s="995" t="s">
        <v>1371</v>
      </c>
      <c r="C61" s="1075">
        <f t="shared" ref="C61:H61" si="31">C56*C62</f>
        <v>30</v>
      </c>
      <c r="D61" s="1075">
        <f t="shared" si="31"/>
        <v>37.5</v>
      </c>
      <c r="E61" s="1075">
        <f t="shared" si="31"/>
        <v>45</v>
      </c>
      <c r="F61" s="1075">
        <f t="shared" si="31"/>
        <v>52.5</v>
      </c>
      <c r="G61" s="1075">
        <f t="shared" si="31"/>
        <v>60</v>
      </c>
      <c r="H61" s="1075">
        <f t="shared" si="31"/>
        <v>67.5</v>
      </c>
      <c r="I61" s="1073"/>
      <c r="J61" s="1074"/>
      <c r="K61" s="1127"/>
      <c r="M61" s="995" t="s">
        <v>1371</v>
      </c>
      <c r="N61" s="1075">
        <f t="shared" ref="N61:S61" si="32">N56*N62</f>
        <v>62.5</v>
      </c>
      <c r="O61" s="1075">
        <f t="shared" si="32"/>
        <v>75</v>
      </c>
      <c r="P61" s="1075">
        <f t="shared" si="32"/>
        <v>87.5</v>
      </c>
      <c r="Q61" s="1075">
        <f t="shared" si="32"/>
        <v>100</v>
      </c>
      <c r="R61" s="1075">
        <f t="shared" si="32"/>
        <v>112.5</v>
      </c>
      <c r="S61" s="1075">
        <f t="shared" si="32"/>
        <v>125</v>
      </c>
      <c r="T61" s="1073"/>
      <c r="U61" s="1074"/>
      <c r="W61" s="1141" t="s">
        <v>1213</v>
      </c>
      <c r="X61" s="1142" t="s">
        <v>1471</v>
      </c>
      <c r="Y61" s="1142" t="s">
        <v>1472</v>
      </c>
      <c r="Z61" s="1142" t="s">
        <v>1473</v>
      </c>
      <c r="AA61" s="1142" t="s">
        <v>1509</v>
      </c>
      <c r="AB61" s="1142" t="s">
        <v>1510</v>
      </c>
      <c r="AC61" s="1143" t="s">
        <v>1511</v>
      </c>
      <c r="AD61" s="1144" t="s">
        <v>1475</v>
      </c>
      <c r="AE61" s="1145" t="s">
        <v>1465</v>
      </c>
      <c r="AF61" s="1146">
        <v>10.0</v>
      </c>
      <c r="AG61" s="1147" t="s">
        <v>1514</v>
      </c>
      <c r="AH61" s="1147" t="s">
        <v>1515</v>
      </c>
      <c r="AI61" s="1144" t="s">
        <v>1196</v>
      </c>
      <c r="AJ61" s="1148" t="s">
        <v>1506</v>
      </c>
    </row>
    <row r="62">
      <c r="B62" s="995" t="s">
        <v>1410</v>
      </c>
      <c r="C62" s="1075">
        <v>2.0</v>
      </c>
      <c r="D62" s="1075">
        <f t="shared" ref="D62:H62" si="33">C62+0.5</f>
        <v>2.5</v>
      </c>
      <c r="E62" s="1075">
        <f t="shared" si="33"/>
        <v>3</v>
      </c>
      <c r="F62" s="1075">
        <f t="shared" si="33"/>
        <v>3.5</v>
      </c>
      <c r="G62" s="1075">
        <f t="shared" si="33"/>
        <v>4</v>
      </c>
      <c r="H62" s="1075">
        <f t="shared" si="33"/>
        <v>4.5</v>
      </c>
      <c r="I62" s="1073"/>
      <c r="J62" s="1074"/>
      <c r="K62" s="1127"/>
      <c r="M62" s="995" t="s">
        <v>1410</v>
      </c>
      <c r="N62" s="1075">
        <v>2.5</v>
      </c>
      <c r="O62" s="1075">
        <f t="shared" ref="O62:S62" si="34">N62+0.5</f>
        <v>3</v>
      </c>
      <c r="P62" s="1075">
        <f t="shared" si="34"/>
        <v>3.5</v>
      </c>
      <c r="Q62" s="1075">
        <f t="shared" si="34"/>
        <v>4</v>
      </c>
      <c r="R62" s="1075">
        <f t="shared" si="34"/>
        <v>4.5</v>
      </c>
      <c r="S62" s="1075">
        <f t="shared" si="34"/>
        <v>5</v>
      </c>
      <c r="T62" s="1073"/>
      <c r="U62" s="1074"/>
      <c r="W62" s="1094" t="s">
        <v>1463</v>
      </c>
      <c r="X62" s="1150">
        <f t="shared" ref="X62:AC62" si="35">C81</f>
        <v>48</v>
      </c>
      <c r="Y62" s="1150">
        <f t="shared" si="35"/>
        <v>100.8</v>
      </c>
      <c r="Z62" s="1150">
        <f t="shared" si="35"/>
        <v>204.45</v>
      </c>
      <c r="AA62" s="1150">
        <f t="shared" si="35"/>
        <v>902.55</v>
      </c>
      <c r="AB62" s="1150">
        <f t="shared" si="35"/>
        <v>2270.1</v>
      </c>
      <c r="AC62" s="1150">
        <f t="shared" si="35"/>
        <v>6173.25</v>
      </c>
      <c r="AD62" s="428"/>
      <c r="AE62" s="428"/>
      <c r="AF62" s="428"/>
      <c r="AG62" s="428"/>
      <c r="AH62" s="428"/>
      <c r="AI62" s="428"/>
      <c r="AJ62" s="428"/>
    </row>
    <row r="63">
      <c r="B63" s="995" t="s">
        <v>1412</v>
      </c>
      <c r="C63" s="1075">
        <f t="shared" ref="C63:H63" si="36">(0.02*C64)*C64</f>
        <v>0.02</v>
      </c>
      <c r="D63" s="1075">
        <f t="shared" si="36"/>
        <v>0.08</v>
      </c>
      <c r="E63" s="1075">
        <f t="shared" si="36"/>
        <v>0.18</v>
      </c>
      <c r="F63" s="1075">
        <f t="shared" si="36"/>
        <v>0.5</v>
      </c>
      <c r="G63" s="1075">
        <f t="shared" si="36"/>
        <v>0.72</v>
      </c>
      <c r="H63" s="1075">
        <f t="shared" si="36"/>
        <v>0.98</v>
      </c>
      <c r="I63" s="1073"/>
      <c r="J63" s="1074"/>
      <c r="K63" s="1127"/>
      <c r="M63" s="995" t="s">
        <v>1412</v>
      </c>
      <c r="N63" s="1075">
        <f t="shared" ref="N63:S63" si="37">(0.02*N64)*N64</f>
        <v>0.08</v>
      </c>
      <c r="O63" s="1075">
        <f t="shared" si="37"/>
        <v>0.18</v>
      </c>
      <c r="P63" s="1075">
        <f t="shared" si="37"/>
        <v>0.32</v>
      </c>
      <c r="Q63" s="1075">
        <f t="shared" si="37"/>
        <v>0.72</v>
      </c>
      <c r="R63" s="1075">
        <f t="shared" si="37"/>
        <v>0.98</v>
      </c>
      <c r="S63" s="1075">
        <f t="shared" si="37"/>
        <v>1.28</v>
      </c>
      <c r="T63" s="1073"/>
      <c r="U63" s="1074"/>
      <c r="W63" s="1151" t="s">
        <v>1499</v>
      </c>
      <c r="X63" s="1152"/>
      <c r="Y63" s="1152"/>
      <c r="Z63" s="1152"/>
      <c r="AA63" s="1152"/>
      <c r="AB63" s="1152"/>
      <c r="AC63" s="1152"/>
      <c r="AD63" s="1152"/>
      <c r="AE63" s="1152"/>
      <c r="AF63" s="1152"/>
      <c r="AG63" s="1152"/>
      <c r="AH63" s="1152"/>
      <c r="AI63" s="1152"/>
      <c r="AJ63" s="1153"/>
    </row>
    <row r="64">
      <c r="B64" s="1004" t="s">
        <v>1516</v>
      </c>
      <c r="C64" s="1075">
        <v>1.0</v>
      </c>
      <c r="D64" s="1075">
        <f t="shared" ref="D64:E64" si="38">C64+1</f>
        <v>2</v>
      </c>
      <c r="E64" s="1075">
        <f t="shared" si="38"/>
        <v>3</v>
      </c>
      <c r="F64" s="1075">
        <f>E64+2</f>
        <v>5</v>
      </c>
      <c r="G64" s="1075">
        <f t="shared" ref="G64:H64" si="39">F64+1</f>
        <v>6</v>
      </c>
      <c r="H64" s="1075">
        <f t="shared" si="39"/>
        <v>7</v>
      </c>
      <c r="I64" s="1073"/>
      <c r="J64" s="1074"/>
      <c r="K64" s="1127"/>
      <c r="M64" s="1004" t="s">
        <v>1516</v>
      </c>
      <c r="N64" s="1075">
        <v>2.0</v>
      </c>
      <c r="O64" s="1075">
        <f t="shared" ref="O64:P64" si="40">N64+1</f>
        <v>3</v>
      </c>
      <c r="P64" s="1075">
        <f t="shared" si="40"/>
        <v>4</v>
      </c>
      <c r="Q64" s="1075">
        <f>P64+2</f>
        <v>6</v>
      </c>
      <c r="R64" s="1075">
        <f t="shared" ref="R64:S64" si="41">Q64+1</f>
        <v>7</v>
      </c>
      <c r="S64" s="1075">
        <f t="shared" si="41"/>
        <v>8</v>
      </c>
      <c r="T64" s="1073"/>
      <c r="U64" s="1074"/>
      <c r="W64" s="1154" t="s">
        <v>1451</v>
      </c>
      <c r="X64" s="1155" t="s">
        <v>172</v>
      </c>
      <c r="Y64" s="1155" t="s">
        <v>738</v>
      </c>
      <c r="Z64" s="1155" t="s">
        <v>739</v>
      </c>
      <c r="AA64" s="1155" t="s">
        <v>741</v>
      </c>
      <c r="AB64" s="1155" t="s">
        <v>742</v>
      </c>
      <c r="AC64" s="1156" t="s">
        <v>743</v>
      </c>
      <c r="AD64" s="1157"/>
      <c r="AE64" s="1157"/>
      <c r="AF64" s="1157"/>
      <c r="AG64" s="1157"/>
      <c r="AH64" s="1157"/>
      <c r="AI64" s="1157"/>
      <c r="AJ64" s="1158"/>
    </row>
    <row r="65">
      <c r="B65" s="1004" t="s">
        <v>1492</v>
      </c>
      <c r="C65" s="1075">
        <v>10.0</v>
      </c>
      <c r="D65" s="953">
        <v>12.0</v>
      </c>
      <c r="E65" s="953">
        <v>14.0</v>
      </c>
      <c r="F65" s="953">
        <v>16.0</v>
      </c>
      <c r="G65" s="953">
        <v>18.0</v>
      </c>
      <c r="H65" s="953">
        <v>20.0</v>
      </c>
      <c r="I65" s="1073"/>
      <c r="J65" s="1074"/>
      <c r="K65" s="1127"/>
      <c r="M65" s="1004" t="s">
        <v>1492</v>
      </c>
      <c r="N65" s="953">
        <v>12.0</v>
      </c>
      <c r="O65" s="953">
        <v>14.0</v>
      </c>
      <c r="P65" s="953">
        <v>16.0</v>
      </c>
      <c r="Q65" s="953">
        <v>18.0</v>
      </c>
      <c r="R65" s="953">
        <v>20.0</v>
      </c>
      <c r="S65" s="953">
        <v>22.0</v>
      </c>
      <c r="T65" s="1073"/>
      <c r="U65" s="1074"/>
      <c r="W65" s="1159" t="s">
        <v>1452</v>
      </c>
      <c r="X65" s="1160" t="s">
        <v>1456</v>
      </c>
      <c r="Y65" s="1160" t="s">
        <v>1473</v>
      </c>
      <c r="Z65" s="1160" t="s">
        <v>1509</v>
      </c>
      <c r="AA65" s="1160" t="s">
        <v>1517</v>
      </c>
      <c r="AB65" s="1160" t="s">
        <v>1518</v>
      </c>
      <c r="AC65" s="1161" t="s">
        <v>1519</v>
      </c>
      <c r="AD65" s="1162" t="s">
        <v>1459</v>
      </c>
      <c r="AE65" s="1163" t="s">
        <v>1460</v>
      </c>
      <c r="AF65" s="1164">
        <v>3.0</v>
      </c>
      <c r="AG65" s="1165" t="s">
        <v>1520</v>
      </c>
      <c r="AH65" s="1165" t="s">
        <v>1521</v>
      </c>
      <c r="AI65" s="1162" t="s">
        <v>1199</v>
      </c>
      <c r="AJ65" s="1166" t="s">
        <v>1522</v>
      </c>
    </row>
    <row r="66">
      <c r="B66" s="1004" t="s">
        <v>1493</v>
      </c>
      <c r="C66" s="953" t="s">
        <v>1237</v>
      </c>
      <c r="D66" s="953" t="s">
        <v>1237</v>
      </c>
      <c r="E66" s="953" t="s">
        <v>1237</v>
      </c>
      <c r="F66" s="953" t="s">
        <v>1250</v>
      </c>
      <c r="G66" s="953" t="s">
        <v>1250</v>
      </c>
      <c r="H66" s="953" t="s">
        <v>1250</v>
      </c>
      <c r="I66" s="1073"/>
      <c r="J66" s="1074"/>
      <c r="K66" s="1068"/>
      <c r="L66" s="1167"/>
      <c r="M66" s="995" t="s">
        <v>1493</v>
      </c>
      <c r="N66" s="953" t="s">
        <v>1237</v>
      </c>
      <c r="O66" s="953" t="s">
        <v>1237</v>
      </c>
      <c r="P66" s="953" t="s">
        <v>1250</v>
      </c>
      <c r="Q66" s="953" t="s">
        <v>1250</v>
      </c>
      <c r="R66" s="953" t="s">
        <v>1250</v>
      </c>
      <c r="S66" s="953" t="s">
        <v>1263</v>
      </c>
      <c r="T66" s="1073"/>
      <c r="U66" s="1074"/>
      <c r="W66" s="1094" t="s">
        <v>1463</v>
      </c>
      <c r="X66" s="1149">
        <f t="shared" ref="X66:AC66" si="42">N54</f>
        <v>21</v>
      </c>
      <c r="Y66" s="1149">
        <f t="shared" si="42"/>
        <v>56.5</v>
      </c>
      <c r="Z66" s="1149">
        <f t="shared" si="42"/>
        <v>152.75</v>
      </c>
      <c r="AA66" s="1149">
        <f t="shared" si="42"/>
        <v>1128.25</v>
      </c>
      <c r="AB66" s="1149">
        <f t="shared" si="42"/>
        <v>3245.75</v>
      </c>
      <c r="AC66" s="1149">
        <f t="shared" si="42"/>
        <v>9548.75</v>
      </c>
      <c r="AD66" s="428"/>
      <c r="AE66" s="428"/>
      <c r="AF66" s="428"/>
      <c r="AG66" s="428"/>
      <c r="AH66" s="428"/>
      <c r="AI66" s="428"/>
      <c r="AJ66" s="428"/>
    </row>
    <row r="67">
      <c r="B67" s="1128" t="s">
        <v>1523</v>
      </c>
      <c r="C67" s="1168">
        <f t="shared" ref="C67:H67" si="43">C$55*C$56+C68*C70+C59*C60</f>
        <v>14.4</v>
      </c>
      <c r="D67" s="1168">
        <f t="shared" si="43"/>
        <v>39.3</v>
      </c>
      <c r="E67" s="1168">
        <f t="shared" si="43"/>
        <v>103.65</v>
      </c>
      <c r="F67" s="1168">
        <f t="shared" si="43"/>
        <v>709.35</v>
      </c>
      <c r="G67" s="1168">
        <f t="shared" si="43"/>
        <v>1998.9</v>
      </c>
      <c r="H67" s="1135">
        <f t="shared" si="43"/>
        <v>5806.05</v>
      </c>
      <c r="I67" s="1073"/>
      <c r="J67" s="1074">
        <v>2.0</v>
      </c>
      <c r="K67" s="1068"/>
      <c r="L67" s="1167"/>
      <c r="M67" s="1130" t="s">
        <v>1524</v>
      </c>
      <c r="N67" s="1169">
        <f t="shared" ref="N67:S67" si="44">N$55*N$56+N68*N70+N59*N60</f>
        <v>38.5</v>
      </c>
      <c r="O67" s="1169">
        <f t="shared" si="44"/>
        <v>91</v>
      </c>
      <c r="P67" s="1169">
        <f t="shared" si="44"/>
        <v>212.25</v>
      </c>
      <c r="Q67" s="1169">
        <f t="shared" si="44"/>
        <v>1252.25</v>
      </c>
      <c r="R67" s="1136">
        <f t="shared" si="44"/>
        <v>3423.5</v>
      </c>
      <c r="S67" s="1136">
        <f t="shared" si="44"/>
        <v>9793.75</v>
      </c>
      <c r="T67" s="1073"/>
      <c r="U67" s="1074">
        <v>2.0</v>
      </c>
      <c r="W67" s="1159" t="s">
        <v>1211</v>
      </c>
      <c r="X67" s="1160" t="s">
        <v>1472</v>
      </c>
      <c r="Y67" s="1160" t="s">
        <v>1458</v>
      </c>
      <c r="Z67" s="1160" t="s">
        <v>1525</v>
      </c>
      <c r="AA67" s="1160" t="s">
        <v>1503</v>
      </c>
      <c r="AB67" s="1160" t="s">
        <v>1526</v>
      </c>
      <c r="AC67" s="1161" t="s">
        <v>1527</v>
      </c>
      <c r="AD67" s="1162" t="s">
        <v>1464</v>
      </c>
      <c r="AE67" s="1163" t="s">
        <v>1465</v>
      </c>
      <c r="AF67" s="1164">
        <v>4.0</v>
      </c>
      <c r="AG67" s="1165" t="s">
        <v>1528</v>
      </c>
      <c r="AH67" s="1165" t="s">
        <v>1529</v>
      </c>
      <c r="AI67" s="1162" t="s">
        <v>1199</v>
      </c>
      <c r="AJ67" s="1166" t="s">
        <v>1522</v>
      </c>
    </row>
    <row r="68">
      <c r="B68" s="995" t="s">
        <v>1371</v>
      </c>
      <c r="C68" s="1075">
        <f t="shared" ref="C68:H68" si="45">C$56*C69</f>
        <v>60</v>
      </c>
      <c r="D68" s="1075">
        <f t="shared" si="45"/>
        <v>75</v>
      </c>
      <c r="E68" s="1075">
        <f t="shared" si="45"/>
        <v>90</v>
      </c>
      <c r="F68" s="1075">
        <f t="shared" si="45"/>
        <v>105</v>
      </c>
      <c r="G68" s="1075">
        <f t="shared" si="45"/>
        <v>120</v>
      </c>
      <c r="H68" s="1075">
        <f t="shared" si="45"/>
        <v>135</v>
      </c>
      <c r="I68" s="1073"/>
      <c r="J68" s="1074"/>
      <c r="K68" s="1068"/>
      <c r="L68" s="1167"/>
      <c r="M68" s="995" t="s">
        <v>1371</v>
      </c>
      <c r="N68" s="1075">
        <f t="shared" ref="N68:S68" si="46">N$56*N69</f>
        <v>125</v>
      </c>
      <c r="O68" s="1075">
        <f t="shared" si="46"/>
        <v>150</v>
      </c>
      <c r="P68" s="1075">
        <f t="shared" si="46"/>
        <v>175</v>
      </c>
      <c r="Q68" s="1075">
        <f t="shared" si="46"/>
        <v>200</v>
      </c>
      <c r="R68" s="1075">
        <f t="shared" si="46"/>
        <v>225</v>
      </c>
      <c r="S68" s="1075">
        <f t="shared" si="46"/>
        <v>250</v>
      </c>
      <c r="T68" s="1073"/>
      <c r="U68" s="1074"/>
      <c r="W68" s="1094" t="s">
        <v>1463</v>
      </c>
      <c r="X68" s="1150">
        <f t="shared" ref="X68:AC68" si="47">N67</f>
        <v>38.5</v>
      </c>
      <c r="Y68" s="1150">
        <f t="shared" si="47"/>
        <v>91</v>
      </c>
      <c r="Z68" s="1150">
        <f t="shared" si="47"/>
        <v>212.25</v>
      </c>
      <c r="AA68" s="1149">
        <f t="shared" si="47"/>
        <v>1252.25</v>
      </c>
      <c r="AB68" s="1149">
        <f t="shared" si="47"/>
        <v>3423.5</v>
      </c>
      <c r="AC68" s="1149">
        <f t="shared" si="47"/>
        <v>9793.75</v>
      </c>
      <c r="AD68" s="428"/>
      <c r="AE68" s="428"/>
      <c r="AF68" s="428"/>
      <c r="AG68" s="428"/>
      <c r="AH68" s="428"/>
      <c r="AI68" s="428"/>
      <c r="AJ68" s="428"/>
    </row>
    <row r="69">
      <c r="B69" s="995" t="s">
        <v>1410</v>
      </c>
      <c r="C69" s="1075">
        <f t="shared" ref="C69:H69" si="48">C$62*$J67</f>
        <v>4</v>
      </c>
      <c r="D69" s="1075">
        <f t="shared" si="48"/>
        <v>5</v>
      </c>
      <c r="E69" s="1075">
        <f t="shared" si="48"/>
        <v>6</v>
      </c>
      <c r="F69" s="1075">
        <f t="shared" si="48"/>
        <v>7</v>
      </c>
      <c r="G69" s="1075">
        <f t="shared" si="48"/>
        <v>8</v>
      </c>
      <c r="H69" s="1075">
        <f t="shared" si="48"/>
        <v>9</v>
      </c>
      <c r="I69" s="1073"/>
      <c r="J69" s="1074"/>
      <c r="K69" s="1068"/>
      <c r="L69" s="1167"/>
      <c r="M69" s="995" t="s">
        <v>1410</v>
      </c>
      <c r="N69" s="1075">
        <f t="shared" ref="N69:S69" si="49">N$62*$U67</f>
        <v>5</v>
      </c>
      <c r="O69" s="1075">
        <f t="shared" si="49"/>
        <v>6</v>
      </c>
      <c r="P69" s="1075">
        <f t="shared" si="49"/>
        <v>7</v>
      </c>
      <c r="Q69" s="1075">
        <f t="shared" si="49"/>
        <v>8</v>
      </c>
      <c r="R69" s="1075">
        <f t="shared" si="49"/>
        <v>9</v>
      </c>
      <c r="S69" s="1075">
        <f t="shared" si="49"/>
        <v>10</v>
      </c>
      <c r="T69" s="1073"/>
      <c r="U69" s="1074"/>
      <c r="W69" s="1159" t="s">
        <v>1212</v>
      </c>
      <c r="X69" s="1160" t="s">
        <v>1472</v>
      </c>
      <c r="Y69" s="1160" t="s">
        <v>1458</v>
      </c>
      <c r="Z69" s="1160" t="s">
        <v>1525</v>
      </c>
      <c r="AA69" s="1160" t="s">
        <v>1503</v>
      </c>
      <c r="AB69" s="1160" t="s">
        <v>1526</v>
      </c>
      <c r="AC69" s="1161" t="s">
        <v>1527</v>
      </c>
      <c r="AD69" s="1162" t="s">
        <v>1468</v>
      </c>
      <c r="AE69" s="1163" t="s">
        <v>1465</v>
      </c>
      <c r="AF69" s="1164">
        <v>5.0</v>
      </c>
      <c r="AG69" s="1165" t="s">
        <v>1530</v>
      </c>
      <c r="AH69" s="1165" t="s">
        <v>1531</v>
      </c>
      <c r="AI69" s="1162" t="s">
        <v>1199</v>
      </c>
      <c r="AJ69" s="1166" t="s">
        <v>1522</v>
      </c>
    </row>
    <row r="70">
      <c r="B70" s="995" t="s">
        <v>1412</v>
      </c>
      <c r="C70" s="1075">
        <f t="shared" ref="C70:H70" si="50">(0.02*C71)*C71</f>
        <v>0.08</v>
      </c>
      <c r="D70" s="1075">
        <f t="shared" si="50"/>
        <v>0.18</v>
      </c>
      <c r="E70" s="1075">
        <f t="shared" si="50"/>
        <v>0.32</v>
      </c>
      <c r="F70" s="1075">
        <f t="shared" si="50"/>
        <v>0.72</v>
      </c>
      <c r="G70" s="1075">
        <f t="shared" si="50"/>
        <v>0.98</v>
      </c>
      <c r="H70" s="1075">
        <f t="shared" si="50"/>
        <v>1.28</v>
      </c>
      <c r="I70" s="1073"/>
      <c r="J70" s="1074"/>
      <c r="K70" s="1068"/>
      <c r="L70" s="1167"/>
      <c r="M70" s="995" t="s">
        <v>1412</v>
      </c>
      <c r="N70" s="1075">
        <f t="shared" ref="N70:S70" si="51">(0.02*N71)*N71</f>
        <v>0.18</v>
      </c>
      <c r="O70" s="1075">
        <f t="shared" si="51"/>
        <v>0.32</v>
      </c>
      <c r="P70" s="1075">
        <f t="shared" si="51"/>
        <v>0.5</v>
      </c>
      <c r="Q70" s="1075">
        <f t="shared" si="51"/>
        <v>0.98</v>
      </c>
      <c r="R70" s="1075">
        <f t="shared" si="51"/>
        <v>1.28</v>
      </c>
      <c r="S70" s="1075">
        <f t="shared" si="51"/>
        <v>1.62</v>
      </c>
      <c r="T70" s="1073"/>
      <c r="U70" s="1074"/>
      <c r="W70" s="1094" t="s">
        <v>1463</v>
      </c>
      <c r="X70" s="1150">
        <f t="shared" ref="X70:AC70" si="52">N74</f>
        <v>76</v>
      </c>
      <c r="Y70" s="1150">
        <f t="shared" si="52"/>
        <v>155.5</v>
      </c>
      <c r="Z70" s="1150">
        <f t="shared" si="52"/>
        <v>313.75</v>
      </c>
      <c r="AA70" s="1149">
        <f t="shared" si="52"/>
        <v>1440.25</v>
      </c>
      <c r="AB70" s="1149">
        <f t="shared" si="52"/>
        <v>3682.25</v>
      </c>
      <c r="AC70" s="1149">
        <f t="shared" si="52"/>
        <v>10138.75</v>
      </c>
      <c r="AD70" s="428"/>
      <c r="AE70" s="428"/>
      <c r="AF70" s="428"/>
      <c r="AG70" s="428"/>
      <c r="AH70" s="428"/>
      <c r="AI70" s="428"/>
      <c r="AJ70" s="428"/>
    </row>
    <row r="71">
      <c r="B71" s="1004" t="s">
        <v>1516</v>
      </c>
      <c r="C71" s="1075">
        <f t="shared" ref="C71:H71" si="53">C64+1</f>
        <v>2</v>
      </c>
      <c r="D71" s="1075">
        <f t="shared" si="53"/>
        <v>3</v>
      </c>
      <c r="E71" s="1075">
        <f t="shared" si="53"/>
        <v>4</v>
      </c>
      <c r="F71" s="1075">
        <f t="shared" si="53"/>
        <v>6</v>
      </c>
      <c r="G71" s="1075">
        <f t="shared" si="53"/>
        <v>7</v>
      </c>
      <c r="H71" s="1075">
        <f t="shared" si="53"/>
        <v>8</v>
      </c>
      <c r="I71" s="1073"/>
      <c r="J71" s="1074"/>
      <c r="K71" s="1068"/>
      <c r="L71" s="1167"/>
      <c r="M71" s="995" t="s">
        <v>1516</v>
      </c>
      <c r="N71" s="1075">
        <f t="shared" ref="N71:S71" si="54">N64+1</f>
        <v>3</v>
      </c>
      <c r="O71" s="1075">
        <f t="shared" si="54"/>
        <v>4</v>
      </c>
      <c r="P71" s="1075">
        <f t="shared" si="54"/>
        <v>5</v>
      </c>
      <c r="Q71" s="1075">
        <f t="shared" si="54"/>
        <v>7</v>
      </c>
      <c r="R71" s="1075">
        <f t="shared" si="54"/>
        <v>8</v>
      </c>
      <c r="S71" s="1075">
        <f t="shared" si="54"/>
        <v>9</v>
      </c>
      <c r="T71" s="1073"/>
      <c r="U71" s="1074"/>
      <c r="W71" s="1159" t="s">
        <v>1213</v>
      </c>
      <c r="X71" s="1160" t="s">
        <v>1457</v>
      </c>
      <c r="Y71" s="1160" t="s">
        <v>1474</v>
      </c>
      <c r="Z71" s="1160" t="s">
        <v>1502</v>
      </c>
      <c r="AA71" s="1160" t="s">
        <v>1511</v>
      </c>
      <c r="AB71" s="1160" t="s">
        <v>1532</v>
      </c>
      <c r="AC71" s="1161" t="s">
        <v>1533</v>
      </c>
      <c r="AD71" s="1162" t="s">
        <v>1475</v>
      </c>
      <c r="AE71" s="1163" t="s">
        <v>1465</v>
      </c>
      <c r="AF71" s="1164">
        <v>6.0</v>
      </c>
      <c r="AG71" s="1165" t="s">
        <v>1190</v>
      </c>
      <c r="AH71" s="1165" t="s">
        <v>1534</v>
      </c>
      <c r="AI71" s="1162" t="s">
        <v>1199</v>
      </c>
      <c r="AJ71" s="1166" t="s">
        <v>1522</v>
      </c>
    </row>
    <row r="72">
      <c r="B72" s="1004" t="s">
        <v>1492</v>
      </c>
      <c r="C72" s="953">
        <v>12.0</v>
      </c>
      <c r="D72" s="953">
        <v>14.0</v>
      </c>
      <c r="E72" s="953">
        <v>16.0</v>
      </c>
      <c r="F72" s="953">
        <v>18.0</v>
      </c>
      <c r="G72" s="953">
        <v>20.0</v>
      </c>
      <c r="H72" s="953">
        <v>22.0</v>
      </c>
      <c r="I72" s="1073"/>
      <c r="J72" s="1074"/>
      <c r="K72" s="1068"/>
      <c r="L72" s="1167"/>
      <c r="M72" s="995" t="s">
        <v>1492</v>
      </c>
      <c r="N72" s="953">
        <v>14.0</v>
      </c>
      <c r="O72" s="953">
        <v>16.0</v>
      </c>
      <c r="P72" s="953">
        <v>18.0</v>
      </c>
      <c r="Q72" s="953">
        <v>20.0</v>
      </c>
      <c r="R72" s="953">
        <v>22.0</v>
      </c>
      <c r="S72" s="953">
        <v>24.0</v>
      </c>
      <c r="T72" s="1073"/>
      <c r="U72" s="1074"/>
      <c r="W72" s="1094" t="s">
        <v>1463</v>
      </c>
      <c r="X72" s="1150">
        <f t="shared" ref="X72:AC72" si="55">N81</f>
        <v>141</v>
      </c>
      <c r="Y72" s="1150">
        <f t="shared" si="55"/>
        <v>259</v>
      </c>
      <c r="Z72" s="1150">
        <f t="shared" si="55"/>
        <v>467.75</v>
      </c>
      <c r="AA72" s="1149">
        <f t="shared" si="55"/>
        <v>1704.25</v>
      </c>
      <c r="AB72" s="1149">
        <f t="shared" si="55"/>
        <v>4035.5</v>
      </c>
      <c r="AC72" s="1149">
        <f t="shared" si="55"/>
        <v>10598.75</v>
      </c>
      <c r="AD72" s="428"/>
      <c r="AE72" s="428"/>
      <c r="AF72" s="428"/>
      <c r="AG72" s="428"/>
      <c r="AH72" s="428"/>
      <c r="AI72" s="428"/>
      <c r="AJ72" s="428"/>
    </row>
    <row r="73">
      <c r="B73" s="1004" t="s">
        <v>1493</v>
      </c>
      <c r="C73" s="953" t="s">
        <v>1237</v>
      </c>
      <c r="D73" s="953" t="s">
        <v>1237</v>
      </c>
      <c r="E73" s="953" t="s">
        <v>1250</v>
      </c>
      <c r="F73" s="953" t="s">
        <v>1250</v>
      </c>
      <c r="G73" s="953" t="s">
        <v>1250</v>
      </c>
      <c r="H73" s="953" t="s">
        <v>1263</v>
      </c>
      <c r="I73" s="1073"/>
      <c r="J73" s="1074"/>
      <c r="K73" s="1068"/>
      <c r="L73" s="1167"/>
      <c r="M73" s="995" t="s">
        <v>1493</v>
      </c>
      <c r="N73" s="953" t="s">
        <v>1237</v>
      </c>
      <c r="O73" s="953" t="s">
        <v>1250</v>
      </c>
      <c r="P73" s="953" t="s">
        <v>1250</v>
      </c>
      <c r="Q73" s="953" t="s">
        <v>1250</v>
      </c>
      <c r="R73" s="953" t="s">
        <v>1263</v>
      </c>
      <c r="S73" s="953" t="s">
        <v>1263</v>
      </c>
      <c r="T73" s="1073"/>
      <c r="U73" s="1074"/>
    </row>
    <row r="74">
      <c r="B74" s="1128" t="s">
        <v>1535</v>
      </c>
      <c r="C74" s="1168">
        <f t="shared" ref="C74:H74" si="56">C$55*C$56+C75*C77+C59*C60</f>
        <v>25.8</v>
      </c>
      <c r="D74" s="1168">
        <f t="shared" si="56"/>
        <v>61.8</v>
      </c>
      <c r="E74" s="1168">
        <f t="shared" si="56"/>
        <v>142.35</v>
      </c>
      <c r="F74" s="1168">
        <f t="shared" si="56"/>
        <v>788.1</v>
      </c>
      <c r="G74" s="1168">
        <f t="shared" si="56"/>
        <v>2111.7</v>
      </c>
      <c r="H74" s="1135">
        <f t="shared" si="56"/>
        <v>5961.3</v>
      </c>
      <c r="I74" s="1073"/>
      <c r="J74" s="1074">
        <v>3.0</v>
      </c>
      <c r="K74" s="1068"/>
      <c r="L74" s="1167"/>
      <c r="M74" s="1130" t="s">
        <v>1536</v>
      </c>
      <c r="N74" s="1169">
        <f t="shared" ref="N74:S74" si="57">N$55*N$56+N75*N77+N59*N60</f>
        <v>76</v>
      </c>
      <c r="O74" s="1169">
        <f t="shared" si="57"/>
        <v>155.5</v>
      </c>
      <c r="P74" s="1169">
        <f t="shared" si="57"/>
        <v>313.75</v>
      </c>
      <c r="Q74" s="1169">
        <f t="shared" si="57"/>
        <v>1440.25</v>
      </c>
      <c r="R74" s="1136">
        <f t="shared" si="57"/>
        <v>3682.25</v>
      </c>
      <c r="S74" s="1136">
        <f t="shared" si="57"/>
        <v>10138.75</v>
      </c>
      <c r="T74" s="1073"/>
      <c r="U74" s="1074">
        <v>3.0</v>
      </c>
    </row>
    <row r="75">
      <c r="B75" s="995" t="s">
        <v>1371</v>
      </c>
      <c r="C75" s="1075">
        <f t="shared" ref="C75:H75" si="58">C$56*C76</f>
        <v>90</v>
      </c>
      <c r="D75" s="1075">
        <f t="shared" si="58"/>
        <v>112.5</v>
      </c>
      <c r="E75" s="1075">
        <f t="shared" si="58"/>
        <v>135</v>
      </c>
      <c r="F75" s="1075">
        <f t="shared" si="58"/>
        <v>157.5</v>
      </c>
      <c r="G75" s="1075">
        <f t="shared" si="58"/>
        <v>180</v>
      </c>
      <c r="H75" s="1075">
        <f t="shared" si="58"/>
        <v>202.5</v>
      </c>
      <c r="I75" s="1073"/>
      <c r="J75" s="1074"/>
      <c r="K75" s="1068"/>
      <c r="L75" s="1167"/>
      <c r="M75" s="995" t="s">
        <v>1371</v>
      </c>
      <c r="N75" s="1075">
        <f t="shared" ref="N75:S75" si="59">N$56*N76</f>
        <v>187.5</v>
      </c>
      <c r="O75" s="1075">
        <f t="shared" si="59"/>
        <v>225</v>
      </c>
      <c r="P75" s="1075">
        <f t="shared" si="59"/>
        <v>262.5</v>
      </c>
      <c r="Q75" s="1075">
        <f t="shared" si="59"/>
        <v>300</v>
      </c>
      <c r="R75" s="1075">
        <f t="shared" si="59"/>
        <v>337.5</v>
      </c>
      <c r="S75" s="1075">
        <f t="shared" si="59"/>
        <v>375</v>
      </c>
      <c r="T75" s="1073"/>
      <c r="U75" s="1074"/>
    </row>
    <row r="76">
      <c r="B76" s="995" t="s">
        <v>1410</v>
      </c>
      <c r="C76" s="1075">
        <f t="shared" ref="C76:H76" si="60">C$62*$J74</f>
        <v>6</v>
      </c>
      <c r="D76" s="1075">
        <f t="shared" si="60"/>
        <v>7.5</v>
      </c>
      <c r="E76" s="1075">
        <f t="shared" si="60"/>
        <v>9</v>
      </c>
      <c r="F76" s="1075">
        <f t="shared" si="60"/>
        <v>10.5</v>
      </c>
      <c r="G76" s="1075">
        <f t="shared" si="60"/>
        <v>12</v>
      </c>
      <c r="H76" s="1075">
        <f t="shared" si="60"/>
        <v>13.5</v>
      </c>
      <c r="I76" s="1073"/>
      <c r="J76" s="1074"/>
      <c r="K76" s="1068"/>
      <c r="L76" s="1167"/>
      <c r="M76" s="995" t="s">
        <v>1410</v>
      </c>
      <c r="N76" s="1075">
        <f t="shared" ref="N76:S76" si="61">N$62*$U74</f>
        <v>7.5</v>
      </c>
      <c r="O76" s="1075">
        <f t="shared" si="61"/>
        <v>9</v>
      </c>
      <c r="P76" s="1075">
        <f t="shared" si="61"/>
        <v>10.5</v>
      </c>
      <c r="Q76" s="1075">
        <f t="shared" si="61"/>
        <v>12</v>
      </c>
      <c r="R76" s="1075">
        <f t="shared" si="61"/>
        <v>13.5</v>
      </c>
      <c r="S76" s="1075">
        <f t="shared" si="61"/>
        <v>15</v>
      </c>
      <c r="T76" s="1073"/>
      <c r="U76" s="1074"/>
    </row>
    <row r="77">
      <c r="B77" s="995" t="s">
        <v>1412</v>
      </c>
      <c r="C77" s="1075">
        <f t="shared" ref="C77:H77" si="62">(0.02*C78)*C78</f>
        <v>0.18</v>
      </c>
      <c r="D77" s="1075">
        <f t="shared" si="62"/>
        <v>0.32</v>
      </c>
      <c r="E77" s="1075">
        <f t="shared" si="62"/>
        <v>0.5</v>
      </c>
      <c r="F77" s="1075">
        <f t="shared" si="62"/>
        <v>0.98</v>
      </c>
      <c r="G77" s="1075">
        <f t="shared" si="62"/>
        <v>1.28</v>
      </c>
      <c r="H77" s="1075">
        <f t="shared" si="62"/>
        <v>1.62</v>
      </c>
      <c r="I77" s="1073"/>
      <c r="J77" s="1074"/>
      <c r="K77" s="1068"/>
      <c r="L77" s="1167"/>
      <c r="M77" s="995" t="s">
        <v>1412</v>
      </c>
      <c r="N77" s="1075">
        <f t="shared" ref="N77:S77" si="63">(0.02*N78)*N78</f>
        <v>0.32</v>
      </c>
      <c r="O77" s="1075">
        <f t="shared" si="63"/>
        <v>0.5</v>
      </c>
      <c r="P77" s="1075">
        <f t="shared" si="63"/>
        <v>0.72</v>
      </c>
      <c r="Q77" s="1075">
        <f t="shared" si="63"/>
        <v>1.28</v>
      </c>
      <c r="R77" s="1075">
        <f t="shared" si="63"/>
        <v>1.62</v>
      </c>
      <c r="S77" s="1075">
        <f t="shared" si="63"/>
        <v>2</v>
      </c>
      <c r="T77" s="1073"/>
      <c r="U77" s="1074"/>
    </row>
    <row r="78">
      <c r="B78" s="1004" t="s">
        <v>1516</v>
      </c>
      <c r="C78" s="1075">
        <f t="shared" ref="C78:H78" si="64">C71+1</f>
        <v>3</v>
      </c>
      <c r="D78" s="1075">
        <f t="shared" si="64"/>
        <v>4</v>
      </c>
      <c r="E78" s="1075">
        <f t="shared" si="64"/>
        <v>5</v>
      </c>
      <c r="F78" s="1075">
        <f t="shared" si="64"/>
        <v>7</v>
      </c>
      <c r="G78" s="1075">
        <f t="shared" si="64"/>
        <v>8</v>
      </c>
      <c r="H78" s="1075">
        <f t="shared" si="64"/>
        <v>9</v>
      </c>
      <c r="I78" s="1073"/>
      <c r="J78" s="1074"/>
      <c r="K78" s="1068"/>
      <c r="L78" s="1167"/>
      <c r="M78" s="995" t="s">
        <v>1516</v>
      </c>
      <c r="N78" s="1075">
        <f t="shared" ref="N78:S78" si="65">N71+1</f>
        <v>4</v>
      </c>
      <c r="O78" s="1075">
        <f t="shared" si="65"/>
        <v>5</v>
      </c>
      <c r="P78" s="1075">
        <f t="shared" si="65"/>
        <v>6</v>
      </c>
      <c r="Q78" s="1075">
        <f t="shared" si="65"/>
        <v>8</v>
      </c>
      <c r="R78" s="1075">
        <f t="shared" si="65"/>
        <v>9</v>
      </c>
      <c r="S78" s="1075">
        <f t="shared" si="65"/>
        <v>10</v>
      </c>
      <c r="T78" s="1073"/>
      <c r="U78" s="1074"/>
    </row>
    <row r="79">
      <c r="B79" s="1004" t="s">
        <v>1492</v>
      </c>
      <c r="C79" s="953">
        <v>14.0</v>
      </c>
      <c r="D79" s="953">
        <v>16.0</v>
      </c>
      <c r="E79" s="953">
        <v>18.0</v>
      </c>
      <c r="F79" s="953">
        <v>20.0</v>
      </c>
      <c r="G79" s="953">
        <v>22.0</v>
      </c>
      <c r="H79" s="953">
        <v>24.0</v>
      </c>
      <c r="I79" s="1073"/>
      <c r="J79" s="1074"/>
      <c r="K79" s="1068"/>
      <c r="L79" s="1167"/>
      <c r="M79" s="995" t="s">
        <v>1492</v>
      </c>
      <c r="N79" s="953">
        <v>16.0</v>
      </c>
      <c r="O79" s="953">
        <v>18.0</v>
      </c>
      <c r="P79" s="953">
        <v>20.0</v>
      </c>
      <c r="Q79" s="953">
        <v>22.0</v>
      </c>
      <c r="R79" s="953">
        <v>24.0</v>
      </c>
      <c r="S79" s="953">
        <v>26.0</v>
      </c>
      <c r="T79" s="1073"/>
      <c r="U79" s="1074"/>
    </row>
    <row r="80">
      <c r="B80" s="1004" t="s">
        <v>1493</v>
      </c>
      <c r="C80" s="953" t="s">
        <v>1237</v>
      </c>
      <c r="D80" s="953" t="s">
        <v>1250</v>
      </c>
      <c r="E80" s="953" t="s">
        <v>1250</v>
      </c>
      <c r="F80" s="953" t="s">
        <v>1250</v>
      </c>
      <c r="G80" s="953" t="s">
        <v>1263</v>
      </c>
      <c r="H80" s="953" t="s">
        <v>1263</v>
      </c>
      <c r="I80" s="1073"/>
      <c r="J80" s="1074"/>
      <c r="K80" s="1068"/>
      <c r="L80" s="1167"/>
      <c r="M80" s="995" t="s">
        <v>1493</v>
      </c>
      <c r="N80" s="953" t="s">
        <v>1250</v>
      </c>
      <c r="O80" s="953" t="s">
        <v>1250</v>
      </c>
      <c r="P80" s="953" t="s">
        <v>1250</v>
      </c>
      <c r="Q80" s="953" t="s">
        <v>1263</v>
      </c>
      <c r="R80" s="953" t="s">
        <v>1263</v>
      </c>
      <c r="S80" s="953" t="s">
        <v>1263</v>
      </c>
      <c r="T80" s="1073"/>
      <c r="U80" s="1074"/>
    </row>
    <row r="81">
      <c r="B81" s="1128" t="s">
        <v>1537</v>
      </c>
      <c r="C81" s="1168">
        <f t="shared" ref="C81:H81" si="66">C$55*C$56+C82*C84+C59*C60</f>
        <v>48</v>
      </c>
      <c r="D81" s="1168">
        <f t="shared" si="66"/>
        <v>100.8</v>
      </c>
      <c r="E81" s="1168">
        <f t="shared" si="66"/>
        <v>204.45</v>
      </c>
      <c r="F81" s="1168">
        <f t="shared" si="66"/>
        <v>902.55</v>
      </c>
      <c r="G81" s="1168">
        <f t="shared" si="66"/>
        <v>2270.1</v>
      </c>
      <c r="H81" s="1135">
        <f t="shared" si="66"/>
        <v>6173.25</v>
      </c>
      <c r="I81" s="1073"/>
      <c r="J81" s="1074">
        <v>4.0</v>
      </c>
      <c r="K81" s="1068"/>
      <c r="L81" s="1167"/>
      <c r="M81" s="1130" t="s">
        <v>1538</v>
      </c>
      <c r="N81" s="1169">
        <f t="shared" ref="N81:S81" si="67">N$55*N$56+N82*N84+N59*N60</f>
        <v>141</v>
      </c>
      <c r="O81" s="1169">
        <f t="shared" si="67"/>
        <v>259</v>
      </c>
      <c r="P81" s="1169">
        <f t="shared" si="67"/>
        <v>467.75</v>
      </c>
      <c r="Q81" s="1169">
        <f t="shared" si="67"/>
        <v>1704.25</v>
      </c>
      <c r="R81" s="1136">
        <f t="shared" si="67"/>
        <v>4035.5</v>
      </c>
      <c r="S81" s="1136">
        <f t="shared" si="67"/>
        <v>10598.75</v>
      </c>
      <c r="T81" s="1073"/>
      <c r="U81" s="1074">
        <v>4.0</v>
      </c>
    </row>
    <row r="82">
      <c r="B82" s="995" t="s">
        <v>1371</v>
      </c>
      <c r="C82" s="1075">
        <f t="shared" ref="C82:H82" si="68">C$56*C83</f>
        <v>120</v>
      </c>
      <c r="D82" s="1075">
        <f t="shared" si="68"/>
        <v>150</v>
      </c>
      <c r="E82" s="1075">
        <f t="shared" si="68"/>
        <v>180</v>
      </c>
      <c r="F82" s="1075">
        <f t="shared" si="68"/>
        <v>210</v>
      </c>
      <c r="G82" s="1075">
        <f t="shared" si="68"/>
        <v>240</v>
      </c>
      <c r="H82" s="1075">
        <f t="shared" si="68"/>
        <v>270</v>
      </c>
      <c r="I82" s="1073"/>
      <c r="J82" s="1074"/>
      <c r="K82" s="1068"/>
      <c r="L82" s="1167"/>
      <c r="M82" s="995" t="s">
        <v>1371</v>
      </c>
      <c r="N82" s="1075">
        <f t="shared" ref="N82:S82" si="69">N$56*N83</f>
        <v>250</v>
      </c>
      <c r="O82" s="1075">
        <f t="shared" si="69"/>
        <v>300</v>
      </c>
      <c r="P82" s="1075">
        <f t="shared" si="69"/>
        <v>350</v>
      </c>
      <c r="Q82" s="1075">
        <f t="shared" si="69"/>
        <v>400</v>
      </c>
      <c r="R82" s="1075">
        <f t="shared" si="69"/>
        <v>450</v>
      </c>
      <c r="S82" s="1075">
        <f t="shared" si="69"/>
        <v>500</v>
      </c>
      <c r="T82" s="1073"/>
      <c r="U82" s="1074"/>
    </row>
    <row r="83">
      <c r="B83" s="995" t="s">
        <v>1410</v>
      </c>
      <c r="C83" s="1075">
        <f t="shared" ref="C83:H83" si="70">C$62*$J81</f>
        <v>8</v>
      </c>
      <c r="D83" s="1075">
        <f t="shared" si="70"/>
        <v>10</v>
      </c>
      <c r="E83" s="1075">
        <f t="shared" si="70"/>
        <v>12</v>
      </c>
      <c r="F83" s="1075">
        <f t="shared" si="70"/>
        <v>14</v>
      </c>
      <c r="G83" s="1075">
        <f t="shared" si="70"/>
        <v>16</v>
      </c>
      <c r="H83" s="1075">
        <f t="shared" si="70"/>
        <v>18</v>
      </c>
      <c r="I83" s="1073"/>
      <c r="J83" s="1074"/>
      <c r="K83" s="1068"/>
      <c r="L83" s="1167"/>
      <c r="M83" s="995" t="s">
        <v>1410</v>
      </c>
      <c r="N83" s="1075">
        <f t="shared" ref="N83:S83" si="71">N$62*$U81</f>
        <v>10</v>
      </c>
      <c r="O83" s="1075">
        <f t="shared" si="71"/>
        <v>12</v>
      </c>
      <c r="P83" s="1075">
        <f t="shared" si="71"/>
        <v>14</v>
      </c>
      <c r="Q83" s="1075">
        <f t="shared" si="71"/>
        <v>16</v>
      </c>
      <c r="R83" s="1075">
        <f t="shared" si="71"/>
        <v>18</v>
      </c>
      <c r="S83" s="1075">
        <f t="shared" si="71"/>
        <v>20</v>
      </c>
      <c r="T83" s="1073"/>
      <c r="U83" s="1074"/>
    </row>
    <row r="84">
      <c r="B84" s="995" t="s">
        <v>1412</v>
      </c>
      <c r="C84" s="1075">
        <f t="shared" ref="C84:H84" si="72">(0.02*C85)*C85</f>
        <v>0.32</v>
      </c>
      <c r="D84" s="1075">
        <f t="shared" si="72"/>
        <v>0.5</v>
      </c>
      <c r="E84" s="1075">
        <f t="shared" si="72"/>
        <v>0.72</v>
      </c>
      <c r="F84" s="1075">
        <f t="shared" si="72"/>
        <v>1.28</v>
      </c>
      <c r="G84" s="1075">
        <f t="shared" si="72"/>
        <v>1.62</v>
      </c>
      <c r="H84" s="1075">
        <f t="shared" si="72"/>
        <v>2</v>
      </c>
      <c r="I84" s="1073"/>
      <c r="J84" s="1074"/>
      <c r="K84" s="1068"/>
      <c r="L84" s="1167"/>
      <c r="M84" s="995" t="s">
        <v>1412</v>
      </c>
      <c r="N84" s="1075">
        <f t="shared" ref="N84:S84" si="73">(0.02*N85)*N85</f>
        <v>0.5</v>
      </c>
      <c r="O84" s="1075">
        <f t="shared" si="73"/>
        <v>0.72</v>
      </c>
      <c r="P84" s="1075">
        <f t="shared" si="73"/>
        <v>0.98</v>
      </c>
      <c r="Q84" s="1075">
        <f t="shared" si="73"/>
        <v>1.62</v>
      </c>
      <c r="R84" s="1075">
        <f t="shared" si="73"/>
        <v>2</v>
      </c>
      <c r="S84" s="1075">
        <f t="shared" si="73"/>
        <v>2.42</v>
      </c>
      <c r="T84" s="1073"/>
      <c r="U84" s="1074"/>
    </row>
    <row r="85">
      <c r="B85" s="1004" t="s">
        <v>1516</v>
      </c>
      <c r="C85" s="1075">
        <f t="shared" ref="C85:H85" si="74">C78+1</f>
        <v>4</v>
      </c>
      <c r="D85" s="1075">
        <f t="shared" si="74"/>
        <v>5</v>
      </c>
      <c r="E85" s="1075">
        <f t="shared" si="74"/>
        <v>6</v>
      </c>
      <c r="F85" s="1075">
        <f t="shared" si="74"/>
        <v>8</v>
      </c>
      <c r="G85" s="1075">
        <f t="shared" si="74"/>
        <v>9</v>
      </c>
      <c r="H85" s="1075">
        <f t="shared" si="74"/>
        <v>10</v>
      </c>
      <c r="I85" s="1073"/>
      <c r="J85" s="1074"/>
      <c r="K85" s="1068"/>
      <c r="L85" s="1167"/>
      <c r="M85" s="995" t="s">
        <v>1516</v>
      </c>
      <c r="N85" s="1075">
        <f t="shared" ref="N85:S85" si="75">N78+1</f>
        <v>5</v>
      </c>
      <c r="O85" s="1075">
        <f t="shared" si="75"/>
        <v>6</v>
      </c>
      <c r="P85" s="1075">
        <f t="shared" si="75"/>
        <v>7</v>
      </c>
      <c r="Q85" s="1075">
        <f t="shared" si="75"/>
        <v>9</v>
      </c>
      <c r="R85" s="1075">
        <f t="shared" si="75"/>
        <v>10</v>
      </c>
      <c r="S85" s="1075">
        <f t="shared" si="75"/>
        <v>11</v>
      </c>
      <c r="T85" s="1073"/>
      <c r="U85" s="1074"/>
    </row>
    <row r="86">
      <c r="B86" s="1004" t="s">
        <v>1492</v>
      </c>
      <c r="C86" s="953">
        <v>16.0</v>
      </c>
      <c r="D86" s="953">
        <v>18.0</v>
      </c>
      <c r="E86" s="953">
        <v>20.0</v>
      </c>
      <c r="F86" s="953">
        <v>22.0</v>
      </c>
      <c r="G86" s="953">
        <v>24.0</v>
      </c>
      <c r="H86" s="953">
        <v>26.0</v>
      </c>
      <c r="I86" s="1073"/>
      <c r="J86" s="1074"/>
      <c r="K86" s="1068"/>
      <c r="L86" s="1167"/>
      <c r="M86" s="995" t="s">
        <v>1492</v>
      </c>
      <c r="N86" s="953">
        <v>18.0</v>
      </c>
      <c r="O86" s="953">
        <v>20.0</v>
      </c>
      <c r="P86" s="953">
        <v>22.0</v>
      </c>
      <c r="Q86" s="953">
        <v>24.0</v>
      </c>
      <c r="R86" s="953">
        <v>26.0</v>
      </c>
      <c r="S86" s="953">
        <v>28.0</v>
      </c>
      <c r="T86" s="1073"/>
      <c r="U86" s="1074"/>
    </row>
    <row r="87">
      <c r="B87" s="1004" t="s">
        <v>1493</v>
      </c>
      <c r="C87" s="953" t="s">
        <v>1250</v>
      </c>
      <c r="D87" s="953" t="s">
        <v>1250</v>
      </c>
      <c r="E87" s="953" t="s">
        <v>1250</v>
      </c>
      <c r="F87" s="953" t="s">
        <v>1263</v>
      </c>
      <c r="G87" s="953" t="s">
        <v>1263</v>
      </c>
      <c r="H87" s="953" t="s">
        <v>1263</v>
      </c>
      <c r="I87" s="1068"/>
      <c r="J87" s="1074"/>
      <c r="K87" s="1068"/>
      <c r="L87" s="1167"/>
      <c r="M87" s="995" t="s">
        <v>1493</v>
      </c>
      <c r="N87" s="953" t="s">
        <v>1250</v>
      </c>
      <c r="O87" s="953" t="s">
        <v>1250</v>
      </c>
      <c r="P87" s="953" t="s">
        <v>1263</v>
      </c>
      <c r="Q87" s="953" t="s">
        <v>1263</v>
      </c>
      <c r="R87" s="953" t="s">
        <v>1263</v>
      </c>
      <c r="S87" s="953" t="s">
        <v>1263</v>
      </c>
      <c r="T87" s="1068"/>
      <c r="U87" s="1127"/>
    </row>
    <row r="88">
      <c r="K88" s="1127"/>
    </row>
    <row r="89">
      <c r="K89" s="1127"/>
    </row>
    <row r="90">
      <c r="B90" s="406" t="s">
        <v>1191</v>
      </c>
      <c r="K90" s="1127"/>
    </row>
    <row r="91">
      <c r="K91" s="1127"/>
    </row>
    <row r="92">
      <c r="B92" s="1101" t="s">
        <v>1539</v>
      </c>
      <c r="C92" s="1170" t="s">
        <v>1540</v>
      </c>
      <c r="K92" s="1127"/>
    </row>
    <row r="93">
      <c r="B93" s="1101" t="s">
        <v>1484</v>
      </c>
      <c r="C93" s="1100">
        <f>VLOOKUP(C92,$B$195:$J$197,2,0)</f>
        <v>4</v>
      </c>
      <c r="D93" s="1068"/>
      <c r="E93" s="1068"/>
      <c r="F93" s="1068"/>
      <c r="G93" s="1068"/>
      <c r="H93" s="1068"/>
      <c r="I93" s="1068"/>
      <c r="J93" s="1127"/>
      <c r="K93" s="1127"/>
    </row>
    <row r="94">
      <c r="B94" s="1101" t="s">
        <v>1385</v>
      </c>
      <c r="C94" s="1100">
        <f>VLOOKUP(C92,$B$195:$J$197,3,0)</f>
        <v>1</v>
      </c>
      <c r="D94" s="1068"/>
      <c r="E94" s="1068"/>
      <c r="F94" s="1068"/>
      <c r="G94" s="1068"/>
      <c r="H94" s="1068"/>
      <c r="I94" s="1068"/>
      <c r="J94" s="1127"/>
      <c r="K94" s="1127"/>
    </row>
    <row r="95">
      <c r="B95" s="1101" t="s">
        <v>1485</v>
      </c>
      <c r="C95" s="1100">
        <f>VLOOKUP(C92,$B$195:$J$197,5,0)</f>
        <v>1</v>
      </c>
      <c r="D95" s="1068"/>
      <c r="E95" s="1068"/>
      <c r="F95" s="1068"/>
      <c r="G95" s="1068"/>
      <c r="H95" s="1068"/>
      <c r="I95" s="1068"/>
      <c r="J95" s="1127"/>
      <c r="K95" s="1127"/>
    </row>
    <row r="96">
      <c r="B96" s="692"/>
      <c r="C96" s="1068"/>
      <c r="D96" s="1068"/>
      <c r="E96" s="1068"/>
      <c r="F96" s="1068"/>
      <c r="G96" s="1068"/>
      <c r="H96" s="1068"/>
      <c r="I96" s="1068"/>
      <c r="J96" s="1127"/>
      <c r="K96" s="1127"/>
      <c r="N96" s="1171">
        <v>0.0</v>
      </c>
      <c r="O96" s="1171">
        <v>0.5</v>
      </c>
      <c r="P96" s="1171">
        <v>1.0</v>
      </c>
      <c r="Q96" s="1171">
        <v>1.5</v>
      </c>
      <c r="R96" s="1171">
        <v>2.0</v>
      </c>
      <c r="S96" s="1171">
        <v>2.5</v>
      </c>
      <c r="T96" s="929"/>
      <c r="U96" s="929"/>
    </row>
    <row r="97">
      <c r="B97" s="692" t="s">
        <v>1541</v>
      </c>
      <c r="C97" s="1068"/>
      <c r="D97" s="1068"/>
      <c r="E97" s="1068"/>
      <c r="F97" s="1068"/>
      <c r="G97" s="1068"/>
      <c r="H97" s="1068"/>
      <c r="I97" s="1068"/>
      <c r="J97" s="1127"/>
      <c r="K97" s="1127"/>
      <c r="N97" s="1172">
        <v>1.0</v>
      </c>
      <c r="O97" s="1172">
        <v>2.0</v>
      </c>
      <c r="P97" s="1172">
        <v>3.0</v>
      </c>
      <c r="Q97" s="1172">
        <v>5.0</v>
      </c>
      <c r="R97" s="1172">
        <v>6.0</v>
      </c>
      <c r="S97" s="1172">
        <v>7.0</v>
      </c>
      <c r="T97" s="1172">
        <v>8.0</v>
      </c>
      <c r="U97" s="1172">
        <v>9.0</v>
      </c>
    </row>
    <row r="98">
      <c r="B98" s="1111" t="s">
        <v>130</v>
      </c>
      <c r="C98" s="1173" t="s">
        <v>172</v>
      </c>
      <c r="D98" s="1173" t="s">
        <v>738</v>
      </c>
      <c r="E98" s="1173" t="s">
        <v>739</v>
      </c>
      <c r="F98" s="1173" t="s">
        <v>741</v>
      </c>
      <c r="G98" s="1173" t="s">
        <v>742</v>
      </c>
      <c r="H98" s="1173" t="s">
        <v>743</v>
      </c>
      <c r="J98" s="1070" t="s">
        <v>1434</v>
      </c>
      <c r="L98" s="1174"/>
      <c r="M98" s="1078" t="s">
        <v>1542</v>
      </c>
      <c r="N98" s="228"/>
      <c r="O98" s="228"/>
      <c r="P98" s="228"/>
      <c r="Q98" s="228"/>
      <c r="R98" s="228"/>
      <c r="S98" s="228"/>
      <c r="T98" s="1079" t="s">
        <v>1543</v>
      </c>
      <c r="U98" s="427" t="s">
        <v>176</v>
      </c>
      <c r="V98" s="427" t="s">
        <v>1447</v>
      </c>
      <c r="W98" s="427" t="s">
        <v>1402</v>
      </c>
      <c r="X98" s="427" t="s">
        <v>1448</v>
      </c>
      <c r="Y98" s="427" t="s">
        <v>1449</v>
      </c>
      <c r="Z98" s="427" t="s">
        <v>1450</v>
      </c>
    </row>
    <row r="99">
      <c r="B99" s="1111" t="s">
        <v>1544</v>
      </c>
      <c r="C99" s="1112">
        <f t="shared" ref="C99:H99" si="76">C100*C101+C106*C108+C104*C105</f>
        <v>2.64</v>
      </c>
      <c r="D99" s="1112">
        <f t="shared" si="76"/>
        <v>7.36</v>
      </c>
      <c r="E99" s="1112">
        <f t="shared" si="76"/>
        <v>21.4</v>
      </c>
      <c r="F99" s="1112">
        <f t="shared" si="76"/>
        <v>174</v>
      </c>
      <c r="G99" s="1112">
        <f t="shared" si="76"/>
        <v>510.32</v>
      </c>
      <c r="H99" s="1112">
        <f t="shared" si="76"/>
        <v>1515.92</v>
      </c>
      <c r="J99" s="1074">
        <v>1.0</v>
      </c>
      <c r="L99" s="1175"/>
      <c r="M99" s="1176" t="s">
        <v>1541</v>
      </c>
      <c r="N99" s="1177"/>
      <c r="O99" s="1177"/>
      <c r="P99" s="1177"/>
      <c r="Q99" s="1177"/>
      <c r="R99" s="1177"/>
      <c r="S99" s="1177"/>
      <c r="T99" s="1177"/>
      <c r="U99" s="1177"/>
      <c r="V99" s="1177"/>
      <c r="W99" s="1177"/>
      <c r="X99" s="1177"/>
      <c r="Y99" s="1177"/>
      <c r="Z99" s="1178"/>
    </row>
    <row r="100">
      <c r="B100" s="995" t="s">
        <v>1436</v>
      </c>
      <c r="C100" s="1076">
        <f>'Материалы и инструменты'!D24</f>
        <v>0.5</v>
      </c>
      <c r="D100" s="1076">
        <f>'Материалы и инструменты'!E24</f>
        <v>1.51</v>
      </c>
      <c r="E100" s="1076">
        <f>'Материалы и инструменты'!F24</f>
        <v>4.57</v>
      </c>
      <c r="F100" s="1076">
        <f>'Материалы и инструменты'!H24</f>
        <v>41.55</v>
      </c>
      <c r="G100" s="1076">
        <f>'Материалы и инструменты'!I24</f>
        <v>124.72</v>
      </c>
      <c r="H100" s="1076">
        <f>'Материалы и инструменты'!J24</f>
        <v>374.71</v>
      </c>
      <c r="J100" s="1074"/>
      <c r="L100" s="1175"/>
      <c r="M100" s="1179" t="s">
        <v>1451</v>
      </c>
      <c r="N100" s="1180" t="s">
        <v>172</v>
      </c>
      <c r="O100" s="1180" t="s">
        <v>738</v>
      </c>
      <c r="P100" s="1180" t="s">
        <v>739</v>
      </c>
      <c r="Q100" s="1180" t="s">
        <v>741</v>
      </c>
      <c r="R100" s="1180" t="s">
        <v>742</v>
      </c>
      <c r="S100" s="1181" t="s">
        <v>743</v>
      </c>
      <c r="T100" s="1182"/>
      <c r="U100" s="1182"/>
      <c r="V100" s="1182"/>
      <c r="W100" s="1182"/>
      <c r="X100" s="1182"/>
      <c r="Y100" s="1182"/>
      <c r="Z100" s="1182"/>
    </row>
    <row r="101">
      <c r="B101" s="995" t="s">
        <v>1365</v>
      </c>
      <c r="C101" s="1075">
        <f t="shared" ref="C101:H101" si="77">$C$93</f>
        <v>4</v>
      </c>
      <c r="D101" s="1075">
        <f t="shared" si="77"/>
        <v>4</v>
      </c>
      <c r="E101" s="1075">
        <f t="shared" si="77"/>
        <v>4</v>
      </c>
      <c r="F101" s="1075">
        <f t="shared" si="77"/>
        <v>4</v>
      </c>
      <c r="G101" s="1075">
        <f t="shared" si="77"/>
        <v>4</v>
      </c>
      <c r="H101" s="1075">
        <f t="shared" si="77"/>
        <v>4</v>
      </c>
      <c r="J101" s="1074"/>
      <c r="L101" s="1174"/>
      <c r="M101" s="1183" t="s">
        <v>1545</v>
      </c>
      <c r="N101" s="1184">
        <v>10.0</v>
      </c>
      <c r="O101" s="1185">
        <f t="shared" ref="O101:P101" si="78">N101+5</f>
        <v>15</v>
      </c>
      <c r="P101" s="1185">
        <f t="shared" si="78"/>
        <v>20</v>
      </c>
      <c r="Q101" s="1185">
        <f t="shared" ref="Q101:R101" si="79">P101+6</f>
        <v>26</v>
      </c>
      <c r="R101" s="1185">
        <f t="shared" si="79"/>
        <v>32</v>
      </c>
      <c r="S101" s="1185">
        <f>R101+7</f>
        <v>39</v>
      </c>
      <c r="T101" s="1186" t="s">
        <v>1182</v>
      </c>
      <c r="U101" s="1187" t="s">
        <v>1460</v>
      </c>
      <c r="V101" s="1188">
        <v>14.0</v>
      </c>
      <c r="W101" s="1189">
        <v>290.0</v>
      </c>
      <c r="X101" s="1186" t="s">
        <v>1462</v>
      </c>
      <c r="Y101" s="1186" t="s">
        <v>30</v>
      </c>
      <c r="Z101" s="1190" t="s">
        <v>1546</v>
      </c>
    </row>
    <row r="102">
      <c r="B102" s="999" t="s">
        <v>1400</v>
      </c>
      <c r="C102" s="1000" t="s">
        <v>1489</v>
      </c>
      <c r="D102" s="1000" t="s">
        <v>1547</v>
      </c>
      <c r="E102" s="1000" t="s">
        <v>1547</v>
      </c>
      <c r="F102" s="1000" t="s">
        <v>1547</v>
      </c>
      <c r="G102" s="1000" t="s">
        <v>1547</v>
      </c>
      <c r="H102" s="1000" t="s">
        <v>1547</v>
      </c>
      <c r="J102" s="1074"/>
      <c r="K102" s="1171">
        <v>0.0</v>
      </c>
      <c r="L102" s="1175"/>
      <c r="M102" s="1094" t="s">
        <v>731</v>
      </c>
      <c r="N102" s="1095">
        <f>VLOOKUP(N$100,'Списки'!$L$107:$P$114,5,FALSE)*$C$195+$C$195*($D$195+N$96)*($K102+1)*(0.02*(N$97+$K102))*(N$97+$K102)+$C$195*VLOOKUP(N$100,'Списки'!$L$107:$P$114,4,FALSE)</f>
        <v>2.64</v>
      </c>
      <c r="O102" s="1095">
        <f>VLOOKUP(O$100,'Списки'!$L$107:$P$114,5,FALSE)*$C$195+$C$195*($D$195+O$96)*($K102+1)*(0.02*(O$97+$K102))*(O$97+$K102)+$C$195*VLOOKUP(O$100,'Списки'!$L$107:$P$114,4,FALSE)</f>
        <v>7.36</v>
      </c>
      <c r="P102" s="1095">
        <f>VLOOKUP(P$100,'Списки'!$L$107:$P$114,5,FALSE)*$C$195+$C$195*($D$195+P$96)*($K102+1)*(0.02*(P$97+$K102))*(P$97+$K102)+$C$195*VLOOKUP(P$100,'Списки'!$L$107:$P$114,4,FALSE)</f>
        <v>21.4</v>
      </c>
      <c r="Q102" s="1095">
        <f>VLOOKUP(Q$100,'Списки'!$L$107:$P$114,5,FALSE)*$C$195+$C$195*($D$195+Q$96)*($K102+1)*(0.02*(Q$97+$K102))*(Q$97+$K102)+$C$195*VLOOKUP(Q$100,'Списки'!$L$107:$P$114,4,FALSE)</f>
        <v>174</v>
      </c>
      <c r="R102" s="1095">
        <f>VLOOKUP(R$100,'Списки'!$L$107:$P$114,5,FALSE)*$C$195+$C$195*($D$195+R$96)*($K102+1)*(0.02*(R$97+$K102))*(R$97+$K102)+$C$195*VLOOKUP(R$100,'Списки'!$L$107:$P$114,4,FALSE)</f>
        <v>510.32</v>
      </c>
      <c r="S102" s="1095">
        <f>VLOOKUP(S$100,'Списки'!$L$107:$P$114,5,FALSE)*$C$195+$C$195*($D$195+S$96)*($K102+1)*(0.02*(S$97+$K102))*(S$97+$K102)+$C$195*VLOOKUP(S$100,'Списки'!$L$107:$P$114,4,FALSE)</f>
        <v>1515.92</v>
      </c>
      <c r="T102" s="428"/>
      <c r="U102" s="428"/>
      <c r="V102" s="428"/>
      <c r="W102" s="428"/>
      <c r="X102" s="428"/>
      <c r="Y102" s="428"/>
      <c r="Z102" s="428"/>
    </row>
    <row r="103">
      <c r="B103" s="1001" t="s">
        <v>1369</v>
      </c>
      <c r="C103" s="1120" t="str">
        <f>'Материалы и инструменты'!$E$148</f>
        <v>Древесный уголь</v>
      </c>
      <c r="D103" s="1120" t="str">
        <f>'Материалы и инструменты'!$E$148</f>
        <v>Древесный уголь</v>
      </c>
      <c r="E103" s="1120" t="str">
        <f>'Материалы и инструменты'!$F$148</f>
        <v>Каменный уголь</v>
      </c>
      <c r="F103" s="1120" t="str">
        <f>'Материалы и инструменты'!$F$148</f>
        <v>Каменный уголь</v>
      </c>
      <c r="G103" s="1120" t="str">
        <f>'Материалы и инструменты'!$F$148</f>
        <v>Каменный уголь</v>
      </c>
      <c r="H103" s="1120" t="str">
        <f>'Материалы и инструменты'!$F$148</f>
        <v>Каменный уголь</v>
      </c>
      <c r="J103" s="1074"/>
      <c r="K103" s="929"/>
      <c r="L103" s="1174"/>
      <c r="M103" s="1183" t="s">
        <v>1548</v>
      </c>
      <c r="N103" s="1184">
        <f t="shared" ref="N103:S103" si="80">N101</f>
        <v>10</v>
      </c>
      <c r="O103" s="1185">
        <f t="shared" si="80"/>
        <v>15</v>
      </c>
      <c r="P103" s="1185">
        <f t="shared" si="80"/>
        <v>20</v>
      </c>
      <c r="Q103" s="1185">
        <f t="shared" si="80"/>
        <v>26</v>
      </c>
      <c r="R103" s="1185">
        <f t="shared" si="80"/>
        <v>32</v>
      </c>
      <c r="S103" s="1185">
        <f t="shared" si="80"/>
        <v>39</v>
      </c>
      <c r="T103" s="1186" t="s">
        <v>1549</v>
      </c>
      <c r="U103" s="1187" t="s">
        <v>1465</v>
      </c>
      <c r="V103" s="1188">
        <v>14.0</v>
      </c>
      <c r="W103" s="1189">
        <v>290.0</v>
      </c>
      <c r="X103" s="1186" t="s">
        <v>1467</v>
      </c>
      <c r="Y103" s="1186" t="s">
        <v>30</v>
      </c>
      <c r="Z103" s="1190" t="s">
        <v>1546</v>
      </c>
    </row>
    <row r="104">
      <c r="B104" s="1002" t="s">
        <v>1370</v>
      </c>
      <c r="C104" s="1121">
        <f>'Материалы и инструменты'!$E$149</f>
        <v>0.07</v>
      </c>
      <c r="D104" s="1121">
        <f>'Материалы и инструменты'!$E$149</f>
        <v>0.07</v>
      </c>
      <c r="E104" s="1120">
        <f>'Материалы и инструменты'!$F$149</f>
        <v>0.14</v>
      </c>
      <c r="F104" s="1120">
        <f>'Материалы и инструменты'!$F$149</f>
        <v>0.14</v>
      </c>
      <c r="G104" s="1120">
        <f>'Материалы и инструменты'!$F$149</f>
        <v>0.14</v>
      </c>
      <c r="H104" s="1120">
        <f>'Материалы и инструменты'!$F$149</f>
        <v>0.14</v>
      </c>
      <c r="J104" s="1074"/>
      <c r="K104" s="1171">
        <v>1.0</v>
      </c>
      <c r="L104" s="1175"/>
      <c r="M104" s="1094" t="s">
        <v>731</v>
      </c>
      <c r="N104" s="1096">
        <f>'Кузнец'!C113</f>
        <v>3.2</v>
      </c>
      <c r="O104" s="1096">
        <f>'Кузнец'!D113</f>
        <v>9.04</v>
      </c>
      <c r="P104" s="1096">
        <f>'Кузнец'!E113</f>
        <v>25.08</v>
      </c>
      <c r="Q104" s="1096">
        <f>'Кузнец'!F113</f>
        <v>183.4</v>
      </c>
      <c r="R104" s="1096">
        <f>'Кузнец'!G113</f>
        <v>525.2</v>
      </c>
      <c r="S104" s="1096">
        <f>'Кузнец'!H113</f>
        <v>1538.04</v>
      </c>
      <c r="T104" s="428"/>
      <c r="U104" s="428"/>
      <c r="V104" s="428"/>
      <c r="W104" s="428"/>
      <c r="X104" s="428"/>
      <c r="Y104" s="428"/>
      <c r="Z104" s="428"/>
    </row>
    <row r="105">
      <c r="B105" s="1002" t="s">
        <v>1231</v>
      </c>
      <c r="C105" s="1120">
        <f>'Рудокоп'!$C$84*C101</f>
        <v>8</v>
      </c>
      <c r="D105" s="1120">
        <f>'Рудокоп'!$H$63*D101</f>
        <v>12</v>
      </c>
      <c r="E105" s="1120">
        <f>'Рудокоп'!$D$84*E101</f>
        <v>12</v>
      </c>
      <c r="F105" s="1120">
        <f>'Рудокоп'!$L$63*F101</f>
        <v>20</v>
      </c>
      <c r="G105" s="1120">
        <f>'Рудокоп'!$M$63*G101</f>
        <v>20</v>
      </c>
      <c r="H105" s="1120">
        <f>'Рудокоп'!$N$63*H101</f>
        <v>24</v>
      </c>
      <c r="J105" s="1074"/>
      <c r="K105" s="929"/>
      <c r="L105" s="1174"/>
      <c r="M105" s="1183" t="s">
        <v>1550</v>
      </c>
      <c r="N105" s="1184">
        <f t="shared" ref="N105:S105" si="81">N103+1</f>
        <v>11</v>
      </c>
      <c r="O105" s="1185">
        <f t="shared" si="81"/>
        <v>16</v>
      </c>
      <c r="P105" s="1185">
        <f t="shared" si="81"/>
        <v>21</v>
      </c>
      <c r="Q105" s="1185">
        <f t="shared" si="81"/>
        <v>27</v>
      </c>
      <c r="R105" s="1185">
        <f t="shared" si="81"/>
        <v>33</v>
      </c>
      <c r="S105" s="1185">
        <f t="shared" si="81"/>
        <v>40</v>
      </c>
      <c r="T105" s="1186" t="s">
        <v>1551</v>
      </c>
      <c r="U105" s="1187" t="s">
        <v>1465</v>
      </c>
      <c r="V105" s="1188">
        <v>14.0</v>
      </c>
      <c r="W105" s="1189">
        <v>290.0</v>
      </c>
      <c r="X105" s="1186" t="s">
        <v>1470</v>
      </c>
      <c r="Y105" s="1186" t="s">
        <v>30</v>
      </c>
      <c r="Z105" s="1190" t="s">
        <v>1546</v>
      </c>
    </row>
    <row r="106">
      <c r="B106" s="995" t="s">
        <v>1371</v>
      </c>
      <c r="C106" s="1075">
        <f t="shared" ref="C106:H106" si="82">C101*C107</f>
        <v>4</v>
      </c>
      <c r="D106" s="1075">
        <f t="shared" si="82"/>
        <v>6</v>
      </c>
      <c r="E106" s="1075">
        <f t="shared" si="82"/>
        <v>8</v>
      </c>
      <c r="F106" s="1075">
        <f t="shared" si="82"/>
        <v>10</v>
      </c>
      <c r="G106" s="1075">
        <f t="shared" si="82"/>
        <v>12</v>
      </c>
      <c r="H106" s="1075">
        <f t="shared" si="82"/>
        <v>14</v>
      </c>
      <c r="J106" s="1074"/>
      <c r="K106" s="1171">
        <v>2.0</v>
      </c>
      <c r="L106" s="1175"/>
      <c r="M106" s="1094" t="s">
        <v>731</v>
      </c>
      <c r="N106" s="1096">
        <f>'Кузнец'!C121</f>
        <v>4.72</v>
      </c>
      <c r="O106" s="1096">
        <f>'Кузнец'!D121</f>
        <v>12.64</v>
      </c>
      <c r="P106" s="1096">
        <f>'Кузнец'!E121</f>
        <v>31.96</v>
      </c>
      <c r="Q106" s="1096">
        <f>'Кузнец'!F121</f>
        <v>198.4</v>
      </c>
      <c r="R106" s="1096">
        <f>'Кузнец'!G121</f>
        <v>547.76</v>
      </c>
      <c r="S106" s="1096">
        <f>'Кузнец'!H121</f>
        <v>1570.24</v>
      </c>
      <c r="T106" s="428"/>
      <c r="U106" s="428"/>
      <c r="V106" s="428"/>
      <c r="W106" s="428"/>
      <c r="X106" s="428"/>
      <c r="Y106" s="428"/>
      <c r="Z106" s="428"/>
    </row>
    <row r="107">
      <c r="B107" s="995" t="s">
        <v>1410</v>
      </c>
      <c r="C107" s="1075">
        <v>1.0</v>
      </c>
      <c r="D107" s="1075">
        <f t="shared" ref="D107:H107" si="83">C107+0.5</f>
        <v>1.5</v>
      </c>
      <c r="E107" s="1075">
        <f t="shared" si="83"/>
        <v>2</v>
      </c>
      <c r="F107" s="1075">
        <f t="shared" si="83"/>
        <v>2.5</v>
      </c>
      <c r="G107" s="1075">
        <f t="shared" si="83"/>
        <v>3</v>
      </c>
      <c r="H107" s="1075">
        <f t="shared" si="83"/>
        <v>3.5</v>
      </c>
      <c r="J107" s="1074"/>
      <c r="K107" s="929"/>
      <c r="L107" s="1174"/>
      <c r="M107" s="1183" t="s">
        <v>1552</v>
      </c>
      <c r="N107" s="1184">
        <f t="shared" ref="N107:S107" si="84">N105+1</f>
        <v>12</v>
      </c>
      <c r="O107" s="1185">
        <f t="shared" si="84"/>
        <v>17</v>
      </c>
      <c r="P107" s="1185">
        <f t="shared" si="84"/>
        <v>22</v>
      </c>
      <c r="Q107" s="1185">
        <f t="shared" si="84"/>
        <v>28</v>
      </c>
      <c r="R107" s="1185">
        <f t="shared" si="84"/>
        <v>34</v>
      </c>
      <c r="S107" s="1185">
        <f t="shared" si="84"/>
        <v>41</v>
      </c>
      <c r="T107" s="1186" t="s">
        <v>1553</v>
      </c>
      <c r="U107" s="1187" t="s">
        <v>1465</v>
      </c>
      <c r="V107" s="1188">
        <v>14.0</v>
      </c>
      <c r="W107" s="1189">
        <v>290.0</v>
      </c>
      <c r="X107" s="1186" t="s">
        <v>1477</v>
      </c>
      <c r="Y107" s="1186" t="s">
        <v>30</v>
      </c>
      <c r="Z107" s="1190" t="s">
        <v>1546</v>
      </c>
    </row>
    <row r="108">
      <c r="B108" s="995" t="s">
        <v>1412</v>
      </c>
      <c r="C108" s="1075">
        <f t="shared" ref="C108:H108" si="85">(0.02*C110)*C110</f>
        <v>0.02</v>
      </c>
      <c r="D108" s="1075">
        <f t="shared" si="85"/>
        <v>0.08</v>
      </c>
      <c r="E108" s="1075">
        <f t="shared" si="85"/>
        <v>0.18</v>
      </c>
      <c r="F108" s="1075">
        <f t="shared" si="85"/>
        <v>0.5</v>
      </c>
      <c r="G108" s="1075">
        <f t="shared" si="85"/>
        <v>0.72</v>
      </c>
      <c r="H108" s="1075">
        <f t="shared" si="85"/>
        <v>0.98</v>
      </c>
      <c r="J108" s="1074"/>
      <c r="K108" s="1171">
        <v>3.0</v>
      </c>
      <c r="L108" s="1175"/>
      <c r="M108" s="1094" t="s">
        <v>731</v>
      </c>
      <c r="N108" s="1096">
        <f>'Кузнец'!C129</f>
        <v>7.68</v>
      </c>
      <c r="O108" s="1096">
        <f>'Кузнец'!D129</f>
        <v>18.88</v>
      </c>
      <c r="P108" s="1096">
        <f>'Кузнец'!E129</f>
        <v>43</v>
      </c>
      <c r="Q108" s="1096">
        <f>'Кузнец'!F129</f>
        <v>220.2</v>
      </c>
      <c r="R108" s="1096">
        <f>'Кузнец'!G129</f>
        <v>579.44</v>
      </c>
      <c r="S108" s="1096">
        <f>'Кузнец'!H129</f>
        <v>1614.2</v>
      </c>
      <c r="T108" s="428"/>
      <c r="U108" s="428"/>
      <c r="V108" s="428"/>
      <c r="W108" s="428"/>
      <c r="X108" s="428"/>
      <c r="Y108" s="428"/>
      <c r="Z108" s="428"/>
    </row>
    <row r="109">
      <c r="B109" s="995" t="s">
        <v>1554</v>
      </c>
      <c r="C109" s="953" t="s">
        <v>1555</v>
      </c>
      <c r="D109" s="953" t="s">
        <v>1555</v>
      </c>
      <c r="E109" s="953" t="s">
        <v>1555</v>
      </c>
      <c r="F109" s="953" t="s">
        <v>1555</v>
      </c>
      <c r="G109" s="953" t="s">
        <v>1555</v>
      </c>
      <c r="H109" s="953" t="s">
        <v>1555</v>
      </c>
      <c r="J109" s="1074"/>
      <c r="K109" s="929"/>
      <c r="L109" s="1191"/>
      <c r="M109" s="1192" t="s">
        <v>1556</v>
      </c>
      <c r="N109" s="1193"/>
      <c r="O109" s="1193"/>
      <c r="P109" s="1193"/>
      <c r="Q109" s="1193"/>
      <c r="R109" s="1193"/>
      <c r="S109" s="1193"/>
      <c r="T109" s="1193"/>
      <c r="U109" s="1193"/>
      <c r="V109" s="1193"/>
      <c r="W109" s="1194"/>
      <c r="X109" s="1193"/>
      <c r="Y109" s="1193"/>
      <c r="Z109" s="1195"/>
    </row>
    <row r="110">
      <c r="B110" s="1004" t="s">
        <v>1557</v>
      </c>
      <c r="C110" s="1075">
        <v>1.0</v>
      </c>
      <c r="D110" s="1075">
        <v>2.0</v>
      </c>
      <c r="E110" s="1075">
        <v>3.0</v>
      </c>
      <c r="F110" s="953">
        <v>5.0</v>
      </c>
      <c r="G110" s="953">
        <v>6.0</v>
      </c>
      <c r="H110" s="953">
        <v>7.0</v>
      </c>
      <c r="J110" s="1074"/>
      <c r="K110" s="929"/>
      <c r="L110" s="1174"/>
      <c r="M110" s="1196" t="s">
        <v>1558</v>
      </c>
      <c r="N110" s="1197">
        <v>14.0</v>
      </c>
      <c r="O110" s="1198">
        <f t="shared" ref="O110:P110" si="86">N110+6</f>
        <v>20</v>
      </c>
      <c r="P110" s="1198">
        <f t="shared" si="86"/>
        <v>26</v>
      </c>
      <c r="Q110" s="1198">
        <f t="shared" ref="Q110:R110" si="87">P110+7</f>
        <v>33</v>
      </c>
      <c r="R110" s="1198">
        <f t="shared" si="87"/>
        <v>40</v>
      </c>
      <c r="S110" s="1198">
        <f>R110+8</f>
        <v>48</v>
      </c>
      <c r="T110" s="1199" t="s">
        <v>1559</v>
      </c>
      <c r="U110" s="1200" t="s">
        <v>1460</v>
      </c>
      <c r="V110" s="1201">
        <v>10.0</v>
      </c>
      <c r="W110" s="1202">
        <v>160.0</v>
      </c>
      <c r="X110" s="1199" t="s">
        <v>1462</v>
      </c>
      <c r="Y110" s="1203" t="s">
        <v>1196</v>
      </c>
      <c r="Z110" s="1204" t="s">
        <v>1560</v>
      </c>
    </row>
    <row r="111">
      <c r="B111" s="995" t="s">
        <v>1561</v>
      </c>
      <c r="C111" s="1075">
        <v>10.0</v>
      </c>
      <c r="D111" s="953">
        <v>12.0</v>
      </c>
      <c r="E111" s="953">
        <v>14.0</v>
      </c>
      <c r="F111" s="953">
        <v>16.0</v>
      </c>
      <c r="G111" s="953">
        <v>18.0</v>
      </c>
      <c r="H111" s="953">
        <v>20.0</v>
      </c>
      <c r="J111" s="1074"/>
      <c r="K111" s="1171">
        <v>0.0</v>
      </c>
      <c r="L111" s="1175"/>
      <c r="M111" s="1094" t="s">
        <v>731</v>
      </c>
      <c r="N111" s="1095">
        <f>VLOOKUP(N$100,'Списки'!$L$107:$P$114,5,FALSE)*$C$196+$C$196*($D$196+N$96)*($K111+1)*(0.02*(N$97+$K111))*(N$97+$K111)+$C$196*VLOOKUP(N$100,'Списки'!$L$107:$P$114,4,FALSE)</f>
        <v>4.69</v>
      </c>
      <c r="O111" s="1095">
        <f>VLOOKUP(O$100,'Списки'!$L$107:$P$114,5,FALSE)*$C$196+$C$196*($D$196+O$96)*($K111+1)*(0.02*(O$97+$K111))*(O$97+$K111)+$C$196*VLOOKUP(O$100,'Списки'!$L$107:$P$114,4,FALSE)</f>
        <v>13.16</v>
      </c>
      <c r="P111" s="1095">
        <f>VLOOKUP(P$100,'Списки'!$L$107:$P$114,5,FALSE)*$C$196+$C$196*($D$196+P$96)*($K111+1)*(0.02*(P$97+$K111))*(P$97+$K111)+$C$196*VLOOKUP(P$100,'Списки'!$L$107:$P$114,4,FALSE)</f>
        <v>38.08</v>
      </c>
      <c r="Q111" s="1095">
        <f>VLOOKUP(Q$100,'Списки'!$L$107:$P$114,5,FALSE)*$C$196+$C$196*($D$196+Q$96)*($K111+1)*(0.02*(Q$97+$K111))*(Q$97+$K111)+$C$196*VLOOKUP(Q$100,'Списки'!$L$107:$P$114,4,FALSE)</f>
        <v>306.25</v>
      </c>
      <c r="R111" s="1095">
        <f>VLOOKUP(R$100,'Списки'!$L$107:$P$114,5,FALSE)*$C$196+$C$196*($D$196+R$96)*($K111+1)*(0.02*(R$97+$K111))*(R$97+$K111)+$C$196*VLOOKUP(R$100,'Списки'!$L$107:$P$114,4,FALSE)</f>
        <v>895.58</v>
      </c>
      <c r="S111" s="1095">
        <f>VLOOKUP(S$100,'Списки'!$L$107:$P$114,5,FALSE)*$C$196+$C$196*($D$196+S$96)*($K111+1)*(0.02*(S$97+$K111))*(S$97+$K111)+$C$196*VLOOKUP(S$100,'Списки'!$L$107:$P$114,4,FALSE)</f>
        <v>2656.29</v>
      </c>
      <c r="T111" s="428"/>
      <c r="U111" s="428"/>
      <c r="V111" s="428"/>
      <c r="W111" s="428"/>
      <c r="X111" s="428"/>
      <c r="Y111" s="428"/>
      <c r="Z111" s="428"/>
    </row>
    <row r="112">
      <c r="B112" s="1004" t="s">
        <v>1493</v>
      </c>
      <c r="C112" s="953" t="s">
        <v>1237</v>
      </c>
      <c r="D112" s="953" t="s">
        <v>1237</v>
      </c>
      <c r="E112" s="953" t="s">
        <v>1237</v>
      </c>
      <c r="F112" s="953" t="s">
        <v>1250</v>
      </c>
      <c r="G112" s="953" t="s">
        <v>1250</v>
      </c>
      <c r="H112" s="953" t="s">
        <v>1263</v>
      </c>
      <c r="J112" s="1074"/>
      <c r="K112" s="929"/>
      <c r="L112" s="1174"/>
      <c r="M112" s="1196" t="s">
        <v>1562</v>
      </c>
      <c r="N112" s="1197">
        <f t="shared" ref="N112:S112" si="88">N110+1</f>
        <v>15</v>
      </c>
      <c r="O112" s="1198">
        <f t="shared" si="88"/>
        <v>21</v>
      </c>
      <c r="P112" s="1198">
        <f t="shared" si="88"/>
        <v>27</v>
      </c>
      <c r="Q112" s="1198">
        <f t="shared" si="88"/>
        <v>34</v>
      </c>
      <c r="R112" s="1198">
        <f t="shared" si="88"/>
        <v>41</v>
      </c>
      <c r="S112" s="1198">
        <f t="shared" si="88"/>
        <v>49</v>
      </c>
      <c r="T112" s="1199" t="s">
        <v>1563</v>
      </c>
      <c r="U112" s="1200" t="s">
        <v>1465</v>
      </c>
      <c r="V112" s="1201">
        <v>10.0</v>
      </c>
      <c r="W112" s="1202">
        <v>160.0</v>
      </c>
      <c r="X112" s="1199" t="s">
        <v>1467</v>
      </c>
      <c r="Y112" s="1203" t="s">
        <v>1196</v>
      </c>
      <c r="Z112" s="1204" t="s">
        <v>1560</v>
      </c>
    </row>
    <row r="113">
      <c r="B113" s="1111" t="s">
        <v>1564</v>
      </c>
      <c r="C113" s="1124">
        <f t="shared" ref="C113:H113" si="89">C$100*C$101+C114*C116+C104*C105</f>
        <v>3.2</v>
      </c>
      <c r="D113" s="1124">
        <f t="shared" si="89"/>
        <v>9.04</v>
      </c>
      <c r="E113" s="1124">
        <f t="shared" si="89"/>
        <v>25.08</v>
      </c>
      <c r="F113" s="1124">
        <f t="shared" si="89"/>
        <v>183.4</v>
      </c>
      <c r="G113" s="1124">
        <f t="shared" si="89"/>
        <v>525.2</v>
      </c>
      <c r="H113" s="1124">
        <f t="shared" si="89"/>
        <v>1538.04</v>
      </c>
      <c r="J113" s="1074">
        <v>2.0</v>
      </c>
      <c r="K113" s="1171">
        <v>1.0</v>
      </c>
      <c r="L113" s="1175"/>
      <c r="M113" s="1094" t="s">
        <v>731</v>
      </c>
      <c r="N113" s="1095">
        <f>VLOOKUP(N$100,'Списки'!$L$107:$P$114,5,FALSE)*$C$196+$C$196*($D$196+N$96)*($K113+1)*(0.02*(N$97+$K113))*(N$97+$K113)+$C$196*VLOOKUP(N$100,'Списки'!$L$107:$P$114,4,FALSE)</f>
        <v>6.16</v>
      </c>
      <c r="O113" s="1095">
        <f>VLOOKUP(O$100,'Списки'!$L$107:$P$114,5,FALSE)*$C$196+$C$196*($D$196+O$96)*($K113+1)*(0.02*(O$97+$K113))*(O$97+$K113)+$C$196*VLOOKUP(O$100,'Списки'!$L$107:$P$114,4,FALSE)</f>
        <v>17.08</v>
      </c>
      <c r="P113" s="1095">
        <f>VLOOKUP(P$100,'Списки'!$L$107:$P$114,5,FALSE)*$C$196+$C$196*($D$196+P$96)*($K113+1)*(0.02*(P$97+$K113))*(P$97+$K113)+$C$196*VLOOKUP(P$100,'Списки'!$L$107:$P$114,4,FALSE)</f>
        <v>46.13</v>
      </c>
      <c r="Q113" s="1095">
        <f>VLOOKUP(Q$100,'Списки'!$L$107:$P$114,5,FALSE)*$C$196+$C$196*($D$196+Q$96)*($K113+1)*(0.02*(Q$97+$K113))*(Q$97+$K113)+$C$196*VLOOKUP(Q$100,'Списки'!$L$107:$P$114,4,FALSE)</f>
        <v>325.99</v>
      </c>
      <c r="R113" s="1095">
        <f>VLOOKUP(R$100,'Списки'!$L$107:$P$114,5,FALSE)*$C$196+$C$196*($D$196+R$96)*($K113+1)*(0.02*(R$97+$K113))*(R$97+$K113)+$C$196*VLOOKUP(R$100,'Списки'!$L$107:$P$114,4,FALSE)</f>
        <v>925.96</v>
      </c>
      <c r="S113" s="1095">
        <f>VLOOKUP(S$100,'Списки'!$L$107:$P$114,5,FALSE)*$C$196+$C$196*($D$196+S$96)*($K113+1)*(0.02*(S$97+$K113))*(S$97+$K113)+$C$196*VLOOKUP(S$100,'Списки'!$L$107:$P$114,4,FALSE)</f>
        <v>2700.53</v>
      </c>
      <c r="T113" s="428"/>
      <c r="U113" s="428"/>
      <c r="V113" s="428"/>
      <c r="W113" s="428"/>
      <c r="X113" s="428"/>
      <c r="Y113" s="428"/>
      <c r="Z113" s="428"/>
    </row>
    <row r="114">
      <c r="B114" s="995" t="s">
        <v>1371</v>
      </c>
      <c r="C114" s="1075">
        <f t="shared" ref="C114:H114" si="90">C$101*C115</f>
        <v>8</v>
      </c>
      <c r="D114" s="1075">
        <f t="shared" si="90"/>
        <v>12</v>
      </c>
      <c r="E114" s="1075">
        <f t="shared" si="90"/>
        <v>16</v>
      </c>
      <c r="F114" s="1075">
        <f t="shared" si="90"/>
        <v>20</v>
      </c>
      <c r="G114" s="1075">
        <f t="shared" si="90"/>
        <v>24</v>
      </c>
      <c r="H114" s="1075">
        <f t="shared" si="90"/>
        <v>28</v>
      </c>
      <c r="J114" s="1074"/>
      <c r="K114" s="929"/>
      <c r="L114" s="1174"/>
      <c r="M114" s="1196" t="s">
        <v>1565</v>
      </c>
      <c r="N114" s="1197">
        <f t="shared" ref="N114:S114" si="91">N112+1</f>
        <v>16</v>
      </c>
      <c r="O114" s="1198">
        <f t="shared" si="91"/>
        <v>22</v>
      </c>
      <c r="P114" s="1198">
        <f t="shared" si="91"/>
        <v>28</v>
      </c>
      <c r="Q114" s="1198">
        <f t="shared" si="91"/>
        <v>35</v>
      </c>
      <c r="R114" s="1198">
        <f t="shared" si="91"/>
        <v>42</v>
      </c>
      <c r="S114" s="1198">
        <f t="shared" si="91"/>
        <v>50</v>
      </c>
      <c r="T114" s="1199" t="s">
        <v>1566</v>
      </c>
      <c r="U114" s="1200" t="s">
        <v>1465</v>
      </c>
      <c r="V114" s="1201">
        <v>10.0</v>
      </c>
      <c r="W114" s="1202">
        <v>160.0</v>
      </c>
      <c r="X114" s="1199" t="s">
        <v>1470</v>
      </c>
      <c r="Y114" s="1203" t="s">
        <v>1196</v>
      </c>
      <c r="Z114" s="1204" t="s">
        <v>1560</v>
      </c>
    </row>
    <row r="115">
      <c r="B115" s="995" t="s">
        <v>1410</v>
      </c>
      <c r="C115" s="1075">
        <f t="shared" ref="C115:H115" si="92">C$107*$J113</f>
        <v>2</v>
      </c>
      <c r="D115" s="1075">
        <f t="shared" si="92"/>
        <v>3</v>
      </c>
      <c r="E115" s="1075">
        <f t="shared" si="92"/>
        <v>4</v>
      </c>
      <c r="F115" s="1075">
        <f t="shared" si="92"/>
        <v>5</v>
      </c>
      <c r="G115" s="1075">
        <f t="shared" si="92"/>
        <v>6</v>
      </c>
      <c r="H115" s="1075">
        <f t="shared" si="92"/>
        <v>7</v>
      </c>
      <c r="J115" s="1074"/>
      <c r="K115" s="1171">
        <v>2.0</v>
      </c>
      <c r="L115" s="1175"/>
      <c r="M115" s="1094" t="s">
        <v>731</v>
      </c>
      <c r="N115" s="1095">
        <f>VLOOKUP(N$100,'Списки'!$L$107:$P$114,5,FALSE)*$C$196+$C$196*($D$196+N$96)*($K115+1)*(0.02*(N$97+$K115))*(N$97+$K115)+$C$196*VLOOKUP(N$100,'Списки'!$L$107:$P$114,4,FALSE)</f>
        <v>10.15</v>
      </c>
      <c r="O115" s="1095">
        <f>VLOOKUP(O$100,'Списки'!$L$107:$P$114,5,FALSE)*$C$196+$C$196*($D$196+O$96)*($K115+1)*(0.02*(O$97+$K115))*(O$97+$K115)+$C$196*VLOOKUP(O$100,'Списки'!$L$107:$P$114,4,FALSE)</f>
        <v>25.48</v>
      </c>
      <c r="P115" s="1095">
        <f>VLOOKUP(P$100,'Списки'!$L$107:$P$114,5,FALSE)*$C$196+$C$196*($D$196+P$96)*($K115+1)*(0.02*(P$97+$K115))*(P$97+$K115)+$C$196*VLOOKUP(P$100,'Списки'!$L$107:$P$114,4,FALSE)</f>
        <v>61.18</v>
      </c>
      <c r="Q115" s="1095">
        <f>VLOOKUP(Q$100,'Списки'!$L$107:$P$114,5,FALSE)*$C$196+$C$196*($D$196+Q$96)*($K115+1)*(0.02*(Q$97+$K115))*(Q$97+$K115)+$C$196*VLOOKUP(Q$100,'Списки'!$L$107:$P$114,4,FALSE)</f>
        <v>357.49</v>
      </c>
      <c r="R115" s="1095">
        <f>VLOOKUP(R$100,'Списки'!$L$107:$P$114,5,FALSE)*$C$196+$C$196*($D$196+R$96)*($K115+1)*(0.02*(R$97+$K115))*(R$97+$K115)+$C$196*VLOOKUP(R$100,'Списки'!$L$107:$P$114,4,FALSE)</f>
        <v>972.02</v>
      </c>
      <c r="S115" s="1095">
        <f>VLOOKUP(S$100,'Списки'!$L$107:$P$114,5,FALSE)*$C$196+$C$196*($D$196+S$96)*($K115+1)*(0.02*(S$97+$K115))*(S$97+$K115)+$C$196*VLOOKUP(S$100,'Списки'!$L$107:$P$114,4,FALSE)</f>
        <v>2764.93</v>
      </c>
      <c r="T115" s="428"/>
      <c r="U115" s="428"/>
      <c r="V115" s="428"/>
      <c r="W115" s="428"/>
      <c r="X115" s="428"/>
      <c r="Y115" s="428"/>
      <c r="Z115" s="428"/>
    </row>
    <row r="116">
      <c r="B116" s="995" t="s">
        <v>1412</v>
      </c>
      <c r="C116" s="1075">
        <f t="shared" ref="C116:H116" si="93">(0.02*C118)*C118</f>
        <v>0.08</v>
      </c>
      <c r="D116" s="1075">
        <f t="shared" si="93"/>
        <v>0.18</v>
      </c>
      <c r="E116" s="1075">
        <f t="shared" si="93"/>
        <v>0.32</v>
      </c>
      <c r="F116" s="1075">
        <f t="shared" si="93"/>
        <v>0.72</v>
      </c>
      <c r="G116" s="1075">
        <f t="shared" si="93"/>
        <v>0.98</v>
      </c>
      <c r="H116" s="1075">
        <f t="shared" si="93"/>
        <v>1.28</v>
      </c>
      <c r="J116" s="1074"/>
      <c r="K116" s="929"/>
      <c r="L116" s="1205"/>
      <c r="M116" s="1196" t="s">
        <v>1567</v>
      </c>
      <c r="N116" s="1197">
        <f t="shared" ref="N116:S116" si="94">N114+1</f>
        <v>17</v>
      </c>
      <c r="O116" s="1198">
        <f t="shared" si="94"/>
        <v>23</v>
      </c>
      <c r="P116" s="1198">
        <f t="shared" si="94"/>
        <v>29</v>
      </c>
      <c r="Q116" s="1198">
        <f t="shared" si="94"/>
        <v>36</v>
      </c>
      <c r="R116" s="1198">
        <f t="shared" si="94"/>
        <v>43</v>
      </c>
      <c r="S116" s="1198">
        <f t="shared" si="94"/>
        <v>51</v>
      </c>
      <c r="T116" s="1199" t="s">
        <v>1568</v>
      </c>
      <c r="U116" s="1200" t="s">
        <v>1465</v>
      </c>
      <c r="V116" s="1201">
        <v>10.0</v>
      </c>
      <c r="W116" s="1202">
        <v>160.0</v>
      </c>
      <c r="X116" s="1199" t="s">
        <v>1477</v>
      </c>
      <c r="Y116" s="1203" t="s">
        <v>1196</v>
      </c>
      <c r="Z116" s="1204" t="s">
        <v>1560</v>
      </c>
    </row>
    <row r="117">
      <c r="B117" s="995" t="s">
        <v>1554</v>
      </c>
      <c r="C117" s="953" t="s">
        <v>1555</v>
      </c>
      <c r="D117" s="953" t="s">
        <v>1555</v>
      </c>
      <c r="E117" s="953" t="s">
        <v>1555</v>
      </c>
      <c r="F117" s="953" t="s">
        <v>1555</v>
      </c>
      <c r="G117" s="953" t="s">
        <v>1555</v>
      </c>
      <c r="H117" s="953" t="s">
        <v>1555</v>
      </c>
      <c r="J117" s="1074"/>
      <c r="K117" s="1171">
        <v>3.0</v>
      </c>
      <c r="L117" s="1175"/>
      <c r="M117" s="1094" t="s">
        <v>731</v>
      </c>
      <c r="N117" s="1095">
        <f>VLOOKUP(N$100,'Списки'!$L$107:$P$114,5,FALSE)*$C$196+$C$196*($D$196+N$96)*($K117+1)*(0.02*(N$97+$K117))*(N$97+$K117)+$C$196*VLOOKUP(N$100,'Списки'!$L$107:$P$114,4,FALSE)</f>
        <v>17.92</v>
      </c>
      <c r="O117" s="1095">
        <f>VLOOKUP(O$100,'Списки'!$L$107:$P$114,5,FALSE)*$C$196+$C$196*($D$196+O$96)*($K117+1)*(0.02*(O$97+$K117))*(O$97+$K117)+$C$196*VLOOKUP(O$100,'Списки'!$L$107:$P$114,4,FALSE)</f>
        <v>40.04</v>
      </c>
      <c r="P117" s="1095">
        <f>VLOOKUP(P$100,'Списки'!$L$107:$P$114,5,FALSE)*$C$196+$C$196*($D$196+P$96)*($K117+1)*(0.02*(P$97+$K117))*(P$97+$K117)+$C$196*VLOOKUP(P$100,'Списки'!$L$107:$P$114,4,FALSE)</f>
        <v>85.33</v>
      </c>
      <c r="Q117" s="1095">
        <f>VLOOKUP(Q$100,'Списки'!$L$107:$P$114,5,FALSE)*$C$196+$C$196*($D$196+Q$96)*($K117+1)*(0.02*(Q$97+$K117))*(Q$97+$K117)+$C$196*VLOOKUP(Q$100,'Списки'!$L$107:$P$114,4,FALSE)</f>
        <v>403.27</v>
      </c>
      <c r="R117" s="1095">
        <f>VLOOKUP(R$100,'Списки'!$L$107:$P$114,5,FALSE)*$C$196+$C$196*($D$196+R$96)*($K117+1)*(0.02*(R$97+$K117))*(R$97+$K117)+$C$196*VLOOKUP(R$100,'Списки'!$L$107:$P$114,4,FALSE)</f>
        <v>1036.7</v>
      </c>
      <c r="S117" s="1095">
        <f>VLOOKUP(S$100,'Списки'!$L$107:$P$114,5,FALSE)*$C$196+$C$196*($D$196+S$96)*($K117+1)*(0.02*(S$97+$K117))*(S$97+$K117)+$C$196*VLOOKUP(S$100,'Списки'!$L$107:$P$114,4,FALSE)</f>
        <v>2852.85</v>
      </c>
      <c r="T117" s="428"/>
      <c r="U117" s="428"/>
      <c r="V117" s="428"/>
      <c r="W117" s="428"/>
      <c r="X117" s="428"/>
      <c r="Y117" s="428"/>
      <c r="Z117" s="428"/>
    </row>
    <row r="118">
      <c r="B118" s="1004" t="s">
        <v>1557</v>
      </c>
      <c r="C118" s="1075">
        <f t="shared" ref="C118:H118" si="95">C110+1</f>
        <v>2</v>
      </c>
      <c r="D118" s="1075">
        <f t="shared" si="95"/>
        <v>3</v>
      </c>
      <c r="E118" s="1075">
        <f t="shared" si="95"/>
        <v>4</v>
      </c>
      <c r="F118" s="1075">
        <f t="shared" si="95"/>
        <v>6</v>
      </c>
      <c r="G118" s="1075">
        <f t="shared" si="95"/>
        <v>7</v>
      </c>
      <c r="H118" s="1075">
        <f t="shared" si="95"/>
        <v>8</v>
      </c>
      <c r="J118" s="1074"/>
      <c r="K118" s="929"/>
      <c r="L118" s="1191"/>
      <c r="M118" s="1206" t="s">
        <v>1569</v>
      </c>
      <c r="N118" s="1207"/>
      <c r="O118" s="1207"/>
      <c r="P118" s="1207"/>
      <c r="Q118" s="1207"/>
      <c r="R118" s="1207"/>
      <c r="S118" s="1207"/>
      <c r="T118" s="1207"/>
      <c r="U118" s="1207"/>
      <c r="V118" s="1207"/>
      <c r="W118" s="1208"/>
      <c r="X118" s="1207"/>
      <c r="Y118" s="1207"/>
      <c r="Z118" s="1209"/>
    </row>
    <row r="119">
      <c r="B119" s="995" t="s">
        <v>1561</v>
      </c>
      <c r="C119" s="953">
        <v>12.0</v>
      </c>
      <c r="D119" s="953">
        <v>14.0</v>
      </c>
      <c r="E119" s="953">
        <v>16.0</v>
      </c>
      <c r="F119" s="953">
        <v>18.0</v>
      </c>
      <c r="G119" s="953">
        <v>20.0</v>
      </c>
      <c r="H119" s="953">
        <v>22.0</v>
      </c>
      <c r="J119" s="1074"/>
      <c r="K119" s="929"/>
      <c r="L119" s="1174"/>
      <c r="M119" s="1210" t="s">
        <v>1570</v>
      </c>
      <c r="N119" s="1211">
        <v>18.0</v>
      </c>
      <c r="O119" s="1212">
        <f t="shared" ref="O119:P119" si="96">N119+7</f>
        <v>25</v>
      </c>
      <c r="P119" s="1212">
        <f t="shared" si="96"/>
        <v>32</v>
      </c>
      <c r="Q119" s="1212">
        <f t="shared" ref="Q119:R119" si="97">P119+8</f>
        <v>40</v>
      </c>
      <c r="R119" s="1212">
        <f t="shared" si="97"/>
        <v>48</v>
      </c>
      <c r="S119" s="1212">
        <f>R119+9</f>
        <v>57</v>
      </c>
      <c r="T119" s="1213" t="s">
        <v>1530</v>
      </c>
      <c r="U119" s="1214" t="s">
        <v>1460</v>
      </c>
      <c r="V119" s="1215">
        <v>6.0</v>
      </c>
      <c r="W119" s="1216">
        <v>80.0</v>
      </c>
      <c r="X119" s="1213" t="s">
        <v>1462</v>
      </c>
      <c r="Y119" s="1217" t="s">
        <v>1199</v>
      </c>
      <c r="Z119" s="1218" t="s">
        <v>1571</v>
      </c>
    </row>
    <row r="120">
      <c r="B120" s="1004" t="s">
        <v>1493</v>
      </c>
      <c r="C120" s="953" t="s">
        <v>1237</v>
      </c>
      <c r="D120" s="953" t="s">
        <v>1237</v>
      </c>
      <c r="E120" s="953" t="s">
        <v>1250</v>
      </c>
      <c r="F120" s="953" t="s">
        <v>1250</v>
      </c>
      <c r="G120" s="953" t="s">
        <v>1263</v>
      </c>
      <c r="H120" s="953" t="s">
        <v>1263</v>
      </c>
      <c r="J120" s="1074"/>
      <c r="K120" s="1171">
        <v>0.0</v>
      </c>
      <c r="L120" s="1175"/>
      <c r="M120" s="1094" t="s">
        <v>731</v>
      </c>
      <c r="N120" s="1095">
        <f>VLOOKUP(N$100,'Списки'!$L$107:$P$114,5,FALSE)*$C$197+$C$197*($D$197+N$96)*($K120+1)*(0.02*(N$97+$K120))*(N$97+$K120)+$C$197*VLOOKUP(N$100,'Списки'!$L$107:$P$114,4,FALSE)</f>
        <v>7.48</v>
      </c>
      <c r="O120" s="1095">
        <f>VLOOKUP(O$100,'Списки'!$L$107:$P$114,5,FALSE)*$C$197+$C$197*($D$197+O$96)*($K120+1)*(0.02*(O$97+$K120))*(O$97+$K120)+$C$197*VLOOKUP(O$100,'Списки'!$L$107:$P$114,4,FALSE)</f>
        <v>21.12</v>
      </c>
      <c r="P120" s="1095">
        <f>VLOOKUP(P$100,'Списки'!$L$107:$P$114,5,FALSE)*$C$197+$C$197*($D$197+P$96)*($K120+1)*(0.02*(P$97+$K120))*(P$97+$K120)+$C$197*VLOOKUP(P$100,'Списки'!$L$107:$P$114,4,FALSE)</f>
        <v>60.83</v>
      </c>
      <c r="Q120" s="1095">
        <f>VLOOKUP(Q$100,'Списки'!$L$107:$P$114,5,FALSE)*$C$197+$C$197*($D$197+Q$96)*($K120+1)*(0.02*(Q$97+$K120))*(Q$97+$K120)+$C$197*VLOOKUP(Q$100,'Списки'!$L$107:$P$114,4,FALSE)</f>
        <v>484</v>
      </c>
      <c r="R120" s="1095">
        <f>VLOOKUP(R$100,'Списки'!$L$107:$P$114,5,FALSE)*$C$197+$C$197*($D$197+R$96)*($K120+1)*(0.02*(R$97+$K120))*(R$97+$K120)+$C$197*VLOOKUP(R$100,'Списки'!$L$107:$P$114,4,FALSE)</f>
        <v>1411.3</v>
      </c>
      <c r="S120" s="1095">
        <f>VLOOKUP(S$100,'Списки'!$L$107:$P$114,5,FALSE)*$C$197+$C$197*($D$197+S$96)*($K120+1)*(0.02*(S$97+$K120))*(S$97+$K120)+$C$197*VLOOKUP(S$100,'Списки'!$L$107:$P$114,4,FALSE)</f>
        <v>4179.56</v>
      </c>
      <c r="T120" s="428"/>
      <c r="U120" s="428"/>
      <c r="V120" s="428"/>
      <c r="W120" s="428"/>
      <c r="X120" s="428"/>
      <c r="Y120" s="428"/>
      <c r="Z120" s="428"/>
    </row>
    <row r="121">
      <c r="B121" s="1111" t="s">
        <v>1572</v>
      </c>
      <c r="C121" s="1124">
        <f t="shared" ref="C121:H121" si="98">C$100*C$101+C122*C124+C104*C105</f>
        <v>4.72</v>
      </c>
      <c r="D121" s="1124">
        <f t="shared" si="98"/>
        <v>12.64</v>
      </c>
      <c r="E121" s="1124">
        <f t="shared" si="98"/>
        <v>31.96</v>
      </c>
      <c r="F121" s="1124">
        <f t="shared" si="98"/>
        <v>198.4</v>
      </c>
      <c r="G121" s="1124">
        <f t="shared" si="98"/>
        <v>547.76</v>
      </c>
      <c r="H121" s="1124">
        <f t="shared" si="98"/>
        <v>1570.24</v>
      </c>
      <c r="J121" s="1074">
        <v>3.0</v>
      </c>
      <c r="K121" s="929"/>
      <c r="L121" s="1174"/>
      <c r="M121" s="1210" t="s">
        <v>1573</v>
      </c>
      <c r="N121" s="1211">
        <f t="shared" ref="N121:S121" si="99">N119+2</f>
        <v>20</v>
      </c>
      <c r="O121" s="1212">
        <f t="shared" si="99"/>
        <v>27</v>
      </c>
      <c r="P121" s="1212">
        <f t="shared" si="99"/>
        <v>34</v>
      </c>
      <c r="Q121" s="1212">
        <f t="shared" si="99"/>
        <v>42</v>
      </c>
      <c r="R121" s="1212">
        <f t="shared" si="99"/>
        <v>50</v>
      </c>
      <c r="S121" s="1212">
        <f t="shared" si="99"/>
        <v>59</v>
      </c>
      <c r="T121" s="1213" t="s">
        <v>1574</v>
      </c>
      <c r="U121" s="1214" t="s">
        <v>1465</v>
      </c>
      <c r="V121" s="1215">
        <v>6.0</v>
      </c>
      <c r="W121" s="1216">
        <v>80.0</v>
      </c>
      <c r="X121" s="1213" t="s">
        <v>1467</v>
      </c>
      <c r="Y121" s="1217" t="s">
        <v>1199</v>
      </c>
      <c r="Z121" s="1218" t="s">
        <v>1571</v>
      </c>
    </row>
    <row r="122">
      <c r="B122" s="995" t="s">
        <v>1371</v>
      </c>
      <c r="C122" s="1075">
        <f t="shared" ref="C122:H122" si="100">C$101*C123</f>
        <v>12</v>
      </c>
      <c r="D122" s="1075">
        <f t="shared" si="100"/>
        <v>18</v>
      </c>
      <c r="E122" s="1075">
        <f t="shared" si="100"/>
        <v>24</v>
      </c>
      <c r="F122" s="1075">
        <f t="shared" si="100"/>
        <v>30</v>
      </c>
      <c r="G122" s="1075">
        <f t="shared" si="100"/>
        <v>36</v>
      </c>
      <c r="H122" s="1075">
        <f t="shared" si="100"/>
        <v>42</v>
      </c>
      <c r="J122" s="1074"/>
      <c r="K122" s="1171">
        <v>1.0</v>
      </c>
      <c r="L122" s="1175"/>
      <c r="M122" s="1094" t="s">
        <v>731</v>
      </c>
      <c r="N122" s="1095">
        <f>VLOOKUP(N$100,'Списки'!$L$107:$P$114,5,FALSE)*$C$197+$C$197*($D$197+N$96)*($K122+1)*(0.02*(N$97+$K122))*(N$97+$K122)+$C$197*VLOOKUP(N$100,'Списки'!$L$107:$P$114,4,FALSE)</f>
        <v>10.56</v>
      </c>
      <c r="O122" s="1095">
        <f>VLOOKUP(O$100,'Списки'!$L$107:$P$114,5,FALSE)*$C$197+$C$197*($D$197+O$96)*($K122+1)*(0.02*(O$97+$K122))*(O$97+$K122)+$C$197*VLOOKUP(O$100,'Списки'!$L$107:$P$114,4,FALSE)</f>
        <v>28.82</v>
      </c>
      <c r="P122" s="1095">
        <f>VLOOKUP(P$100,'Списки'!$L$107:$P$114,5,FALSE)*$C$197+$C$197*($D$197+P$96)*($K122+1)*(0.02*(P$97+$K122))*(P$97+$K122)+$C$197*VLOOKUP(P$100,'Списки'!$L$107:$P$114,4,FALSE)</f>
        <v>76.01</v>
      </c>
      <c r="Q122" s="1095">
        <f>VLOOKUP(Q$100,'Списки'!$L$107:$P$114,5,FALSE)*$C$197+$C$197*($D$197+Q$96)*($K122+1)*(0.02*(Q$97+$K122))*(Q$97+$K122)+$C$197*VLOOKUP(Q$100,'Списки'!$L$107:$P$114,4,FALSE)</f>
        <v>520.19</v>
      </c>
      <c r="R122" s="1095">
        <f>VLOOKUP(R$100,'Списки'!$L$107:$P$114,5,FALSE)*$C$197+$C$197*($D$197+R$96)*($K122+1)*(0.02*(R$97+$K122))*(R$97+$K122)+$C$197*VLOOKUP(R$100,'Списки'!$L$107:$P$114,4,FALSE)</f>
        <v>1465.86</v>
      </c>
      <c r="S122" s="1095">
        <f>VLOOKUP(S$100,'Списки'!$L$107:$P$114,5,FALSE)*$C$197+$C$197*($D$197+S$96)*($K122+1)*(0.02*(S$97+$K122))*(S$97+$K122)+$C$197*VLOOKUP(S$100,'Списки'!$L$107:$P$114,4,FALSE)</f>
        <v>4257.77</v>
      </c>
      <c r="T122" s="428"/>
      <c r="U122" s="428"/>
      <c r="V122" s="428"/>
      <c r="W122" s="428"/>
      <c r="X122" s="428"/>
      <c r="Y122" s="428"/>
      <c r="Z122" s="428"/>
    </row>
    <row r="123">
      <c r="B123" s="995" t="s">
        <v>1410</v>
      </c>
      <c r="C123" s="1075">
        <f t="shared" ref="C123:H123" si="101">C$107*$J121</f>
        <v>3</v>
      </c>
      <c r="D123" s="1075">
        <f t="shared" si="101"/>
        <v>4.5</v>
      </c>
      <c r="E123" s="1075">
        <f t="shared" si="101"/>
        <v>6</v>
      </c>
      <c r="F123" s="1075">
        <f t="shared" si="101"/>
        <v>7.5</v>
      </c>
      <c r="G123" s="1075">
        <f t="shared" si="101"/>
        <v>9</v>
      </c>
      <c r="H123" s="1075">
        <f t="shared" si="101"/>
        <v>10.5</v>
      </c>
      <c r="J123" s="1074"/>
      <c r="K123" s="929"/>
      <c r="L123" s="1174"/>
      <c r="M123" s="1210" t="s">
        <v>1575</v>
      </c>
      <c r="N123" s="1211">
        <f t="shared" ref="N123:S123" si="102">N121+2</f>
        <v>22</v>
      </c>
      <c r="O123" s="1212">
        <f t="shared" si="102"/>
        <v>29</v>
      </c>
      <c r="P123" s="1212">
        <f t="shared" si="102"/>
        <v>36</v>
      </c>
      <c r="Q123" s="1212">
        <f t="shared" si="102"/>
        <v>44</v>
      </c>
      <c r="R123" s="1212">
        <f t="shared" si="102"/>
        <v>52</v>
      </c>
      <c r="S123" s="1212">
        <f t="shared" si="102"/>
        <v>61</v>
      </c>
      <c r="T123" s="1213" t="s">
        <v>1576</v>
      </c>
      <c r="U123" s="1214" t="s">
        <v>1465</v>
      </c>
      <c r="V123" s="1215">
        <v>6.0</v>
      </c>
      <c r="W123" s="1216">
        <v>80.0</v>
      </c>
      <c r="X123" s="1213" t="s">
        <v>1470</v>
      </c>
      <c r="Y123" s="1217" t="s">
        <v>1199</v>
      </c>
      <c r="Z123" s="1218" t="s">
        <v>1571</v>
      </c>
    </row>
    <row r="124">
      <c r="B124" s="995" t="s">
        <v>1412</v>
      </c>
      <c r="C124" s="1075">
        <f t="shared" ref="C124:H124" si="103">(0.02*C126)*C126</f>
        <v>0.18</v>
      </c>
      <c r="D124" s="1075">
        <f t="shared" si="103"/>
        <v>0.32</v>
      </c>
      <c r="E124" s="1075">
        <f t="shared" si="103"/>
        <v>0.5</v>
      </c>
      <c r="F124" s="1075">
        <f t="shared" si="103"/>
        <v>0.98</v>
      </c>
      <c r="G124" s="1075">
        <f t="shared" si="103"/>
        <v>1.28</v>
      </c>
      <c r="H124" s="1075">
        <f t="shared" si="103"/>
        <v>1.62</v>
      </c>
      <c r="J124" s="1074"/>
      <c r="K124" s="1171">
        <v>2.0</v>
      </c>
      <c r="L124" s="1175"/>
      <c r="M124" s="1094" t="s">
        <v>731</v>
      </c>
      <c r="N124" s="1095">
        <f>VLOOKUP(N$100,'Списки'!$L$107:$P$114,5,FALSE)*$C$197+$C$197*($D$197+N$96)*($K124+1)*(0.02*(N$97+$K124))*(N$97+$K124)+$C$197*VLOOKUP(N$100,'Списки'!$L$107:$P$114,4,FALSE)</f>
        <v>18.92</v>
      </c>
      <c r="O124" s="1095">
        <f>VLOOKUP(O$100,'Списки'!$L$107:$P$114,5,FALSE)*$C$197+$C$197*($D$197+O$96)*($K124+1)*(0.02*(O$97+$K124))*(O$97+$K124)+$C$197*VLOOKUP(O$100,'Списки'!$L$107:$P$114,4,FALSE)</f>
        <v>45.32</v>
      </c>
      <c r="P124" s="1095">
        <f>VLOOKUP(P$100,'Списки'!$L$107:$P$114,5,FALSE)*$C$197+$C$197*($D$197+P$96)*($K124+1)*(0.02*(P$97+$K124))*(P$97+$K124)+$C$197*VLOOKUP(P$100,'Списки'!$L$107:$P$114,4,FALSE)</f>
        <v>104.39</v>
      </c>
      <c r="Q124" s="1095">
        <f>VLOOKUP(Q$100,'Списки'!$L$107:$P$114,5,FALSE)*$C$197+$C$197*($D$197+Q$96)*($K124+1)*(0.02*(Q$97+$K124))*(Q$97+$K124)+$C$197*VLOOKUP(Q$100,'Списки'!$L$107:$P$114,4,FALSE)</f>
        <v>577.94</v>
      </c>
      <c r="R124" s="1095">
        <f>VLOOKUP(R$100,'Списки'!$L$107:$P$114,5,FALSE)*$C$197+$C$197*($D$197+R$96)*($K124+1)*(0.02*(R$97+$K124))*(R$97+$K124)+$C$197*VLOOKUP(R$100,'Списки'!$L$107:$P$114,4,FALSE)</f>
        <v>1548.58</v>
      </c>
      <c r="S124" s="1095">
        <f>VLOOKUP(S$100,'Списки'!$L$107:$P$114,5,FALSE)*$C$197+$C$197*($D$197+S$96)*($K124+1)*(0.02*(S$97+$K124))*(S$97+$K124)+$C$197*VLOOKUP(S$100,'Списки'!$L$107:$P$114,4,FALSE)</f>
        <v>4371.62</v>
      </c>
      <c r="T124" s="428"/>
      <c r="U124" s="428"/>
      <c r="V124" s="428"/>
      <c r="W124" s="428"/>
      <c r="X124" s="428"/>
      <c r="Y124" s="428"/>
      <c r="Z124" s="428"/>
    </row>
    <row r="125">
      <c r="B125" s="995" t="s">
        <v>1554</v>
      </c>
      <c r="C125" s="953" t="s">
        <v>1555</v>
      </c>
      <c r="D125" s="953" t="s">
        <v>1555</v>
      </c>
      <c r="E125" s="953" t="s">
        <v>1555</v>
      </c>
      <c r="F125" s="953" t="s">
        <v>1555</v>
      </c>
      <c r="G125" s="953" t="s">
        <v>1555</v>
      </c>
      <c r="H125" s="953" t="s">
        <v>1555</v>
      </c>
      <c r="J125" s="1074"/>
      <c r="K125" s="929"/>
      <c r="L125" s="1205"/>
      <c r="M125" s="1210" t="s">
        <v>1577</v>
      </c>
      <c r="N125" s="1211">
        <f t="shared" ref="N125:S125" si="104">N123+2</f>
        <v>24</v>
      </c>
      <c r="O125" s="1212">
        <f t="shared" si="104"/>
        <v>31</v>
      </c>
      <c r="P125" s="1212">
        <f t="shared" si="104"/>
        <v>38</v>
      </c>
      <c r="Q125" s="1212">
        <f t="shared" si="104"/>
        <v>46</v>
      </c>
      <c r="R125" s="1212">
        <f t="shared" si="104"/>
        <v>54</v>
      </c>
      <c r="S125" s="1212">
        <f t="shared" si="104"/>
        <v>63</v>
      </c>
      <c r="T125" s="1213" t="s">
        <v>1578</v>
      </c>
      <c r="U125" s="1214" t="s">
        <v>1465</v>
      </c>
      <c r="V125" s="1215">
        <v>6.0</v>
      </c>
      <c r="W125" s="1216">
        <v>80.0</v>
      </c>
      <c r="X125" s="1213" t="s">
        <v>1477</v>
      </c>
      <c r="Y125" s="1217" t="s">
        <v>1199</v>
      </c>
      <c r="Z125" s="1218" t="s">
        <v>1571</v>
      </c>
    </row>
    <row r="126">
      <c r="B126" s="1004" t="s">
        <v>1557</v>
      </c>
      <c r="C126" s="1075">
        <f t="shared" ref="C126:H126" si="105">C118+1</f>
        <v>3</v>
      </c>
      <c r="D126" s="1075">
        <f t="shared" si="105"/>
        <v>4</v>
      </c>
      <c r="E126" s="1075">
        <f t="shared" si="105"/>
        <v>5</v>
      </c>
      <c r="F126" s="1075">
        <f t="shared" si="105"/>
        <v>7</v>
      </c>
      <c r="G126" s="1075">
        <f t="shared" si="105"/>
        <v>8</v>
      </c>
      <c r="H126" s="1075">
        <f t="shared" si="105"/>
        <v>9</v>
      </c>
      <c r="J126" s="1074"/>
      <c r="K126" s="1171">
        <v>3.0</v>
      </c>
      <c r="L126" s="1175"/>
      <c r="M126" s="1094" t="s">
        <v>731</v>
      </c>
      <c r="N126" s="1095">
        <f>VLOOKUP(N$100,'Списки'!$L$107:$P$114,5,FALSE)*$C$197+$C$197*($D$197+N$96)*($K126+1)*(0.02*(N$97+$K126))*(N$97+$K126)+$C$197*VLOOKUP(N$100,'Списки'!$L$107:$P$114,4,FALSE)</f>
        <v>35.2</v>
      </c>
      <c r="O126" s="1095">
        <f>VLOOKUP(O$100,'Списки'!$L$107:$P$114,5,FALSE)*$C$197+$C$197*($D$197+O$96)*($K126+1)*(0.02*(O$97+$K126))*(O$97+$K126)+$C$197*VLOOKUP(O$100,'Списки'!$L$107:$P$114,4,FALSE)</f>
        <v>73.92</v>
      </c>
      <c r="P126" s="1095">
        <f>VLOOKUP(P$100,'Списки'!$L$107:$P$114,5,FALSE)*$C$197+$C$197*($D$197+P$96)*($K126+1)*(0.02*(P$97+$K126))*(P$97+$K126)+$C$197*VLOOKUP(P$100,'Списки'!$L$107:$P$114,4,FALSE)</f>
        <v>149.93</v>
      </c>
      <c r="Q126" s="1095">
        <f>VLOOKUP(Q$100,'Списки'!$L$107:$P$114,5,FALSE)*$C$197+$C$197*($D$197+Q$96)*($K126+1)*(0.02*(Q$97+$K126))*(Q$97+$K126)+$C$197*VLOOKUP(Q$100,'Списки'!$L$107:$P$114,4,FALSE)</f>
        <v>661.87</v>
      </c>
      <c r="R126" s="1095">
        <f>VLOOKUP(R$100,'Списки'!$L$107:$P$114,5,FALSE)*$C$197+$C$197*($D$197+R$96)*($K126+1)*(0.02*(R$97+$K126))*(R$97+$K126)+$C$197*VLOOKUP(R$100,'Списки'!$L$107:$P$114,4,FALSE)</f>
        <v>1664.74</v>
      </c>
      <c r="S126" s="1095">
        <f>VLOOKUP(S$100,'Списки'!$L$107:$P$114,5,FALSE)*$C$197+$C$197*($D$197+S$96)*($K126+1)*(0.02*(S$97+$K126))*(S$97+$K126)+$C$197*VLOOKUP(S$100,'Списки'!$L$107:$P$114,4,FALSE)</f>
        <v>4527.05</v>
      </c>
      <c r="T126" s="428"/>
      <c r="U126" s="428"/>
      <c r="V126" s="428"/>
      <c r="W126" s="428"/>
      <c r="X126" s="428"/>
      <c r="Y126" s="428"/>
      <c r="Z126" s="428"/>
    </row>
    <row r="127">
      <c r="B127" s="995" t="s">
        <v>1561</v>
      </c>
      <c r="C127" s="953">
        <v>14.0</v>
      </c>
      <c r="D127" s="953">
        <v>16.0</v>
      </c>
      <c r="E127" s="953">
        <v>18.0</v>
      </c>
      <c r="F127" s="953">
        <v>20.0</v>
      </c>
      <c r="G127" s="953">
        <v>22.0</v>
      </c>
      <c r="H127" s="953">
        <v>24.0</v>
      </c>
      <c r="J127" s="1074"/>
    </row>
    <row r="128">
      <c r="B128" s="1004" t="s">
        <v>1493</v>
      </c>
      <c r="C128" s="953" t="s">
        <v>1237</v>
      </c>
      <c r="D128" s="953" t="s">
        <v>1250</v>
      </c>
      <c r="E128" s="953" t="s">
        <v>1250</v>
      </c>
      <c r="F128" s="953" t="s">
        <v>1263</v>
      </c>
      <c r="G128" s="953" t="s">
        <v>1263</v>
      </c>
      <c r="H128" s="953" t="s">
        <v>1263</v>
      </c>
      <c r="J128" s="1074"/>
    </row>
    <row r="129">
      <c r="B129" s="1111" t="s">
        <v>1579</v>
      </c>
      <c r="C129" s="1124">
        <f t="shared" ref="C129:H129" si="106">C$100*C$101+C130*C132+C104*C105</f>
        <v>7.68</v>
      </c>
      <c r="D129" s="1124">
        <f t="shared" si="106"/>
        <v>18.88</v>
      </c>
      <c r="E129" s="1124">
        <f t="shared" si="106"/>
        <v>43</v>
      </c>
      <c r="F129" s="1124">
        <f t="shared" si="106"/>
        <v>220.2</v>
      </c>
      <c r="G129" s="1124">
        <f t="shared" si="106"/>
        <v>579.44</v>
      </c>
      <c r="H129" s="1124">
        <f t="shared" si="106"/>
        <v>1614.2</v>
      </c>
      <c r="J129" s="1074">
        <v>4.0</v>
      </c>
    </row>
    <row r="130">
      <c r="B130" s="995" t="s">
        <v>1371</v>
      </c>
      <c r="C130" s="1075">
        <f t="shared" ref="C130:H130" si="107">C$101*C131</f>
        <v>16</v>
      </c>
      <c r="D130" s="1075">
        <f t="shared" si="107"/>
        <v>24</v>
      </c>
      <c r="E130" s="1075">
        <f t="shared" si="107"/>
        <v>32</v>
      </c>
      <c r="F130" s="1075">
        <f t="shared" si="107"/>
        <v>40</v>
      </c>
      <c r="G130" s="1075">
        <f t="shared" si="107"/>
        <v>48</v>
      </c>
      <c r="H130" s="1075">
        <f t="shared" si="107"/>
        <v>56</v>
      </c>
      <c r="J130" s="1074"/>
    </row>
    <row r="131">
      <c r="B131" s="995" t="s">
        <v>1410</v>
      </c>
      <c r="C131" s="1075">
        <f t="shared" ref="C131:H131" si="108">C$107*$J129</f>
        <v>4</v>
      </c>
      <c r="D131" s="1075">
        <f t="shared" si="108"/>
        <v>6</v>
      </c>
      <c r="E131" s="1075">
        <f t="shared" si="108"/>
        <v>8</v>
      </c>
      <c r="F131" s="1075">
        <f t="shared" si="108"/>
        <v>10</v>
      </c>
      <c r="G131" s="1075">
        <f t="shared" si="108"/>
        <v>12</v>
      </c>
      <c r="H131" s="1075">
        <f t="shared" si="108"/>
        <v>14</v>
      </c>
      <c r="J131" s="1074"/>
    </row>
    <row r="132">
      <c r="B132" s="995" t="s">
        <v>1412</v>
      </c>
      <c r="C132" s="1075">
        <f t="shared" ref="C132:H132" si="109">(0.02*C134)*C134</f>
        <v>0.32</v>
      </c>
      <c r="D132" s="1075">
        <f t="shared" si="109"/>
        <v>0.5</v>
      </c>
      <c r="E132" s="1075">
        <f t="shared" si="109"/>
        <v>0.72</v>
      </c>
      <c r="F132" s="1075">
        <f t="shared" si="109"/>
        <v>1.28</v>
      </c>
      <c r="G132" s="1075">
        <f t="shared" si="109"/>
        <v>1.62</v>
      </c>
      <c r="H132" s="1075">
        <f t="shared" si="109"/>
        <v>2</v>
      </c>
      <c r="J132" s="1074"/>
    </row>
    <row r="133">
      <c r="B133" s="995" t="s">
        <v>1554</v>
      </c>
      <c r="C133" s="953" t="s">
        <v>1555</v>
      </c>
      <c r="D133" s="953" t="s">
        <v>1555</v>
      </c>
      <c r="E133" s="953" t="s">
        <v>1555</v>
      </c>
      <c r="F133" s="953" t="s">
        <v>1555</v>
      </c>
      <c r="G133" s="953" t="s">
        <v>1555</v>
      </c>
      <c r="H133" s="953" t="s">
        <v>1555</v>
      </c>
      <c r="J133" s="1074"/>
    </row>
    <row r="134">
      <c r="B134" s="1004" t="s">
        <v>1557</v>
      </c>
      <c r="C134" s="1075">
        <f t="shared" ref="C134:H134" si="110">C126+1</f>
        <v>4</v>
      </c>
      <c r="D134" s="1075">
        <f t="shared" si="110"/>
        <v>5</v>
      </c>
      <c r="E134" s="1075">
        <f t="shared" si="110"/>
        <v>6</v>
      </c>
      <c r="F134" s="1075">
        <f t="shared" si="110"/>
        <v>8</v>
      </c>
      <c r="G134" s="1075">
        <f t="shared" si="110"/>
        <v>9</v>
      </c>
      <c r="H134" s="1075">
        <f t="shared" si="110"/>
        <v>10</v>
      </c>
      <c r="J134" s="1074"/>
    </row>
    <row r="135">
      <c r="B135" s="995" t="s">
        <v>1561</v>
      </c>
      <c r="C135" s="953">
        <v>16.0</v>
      </c>
      <c r="D135" s="953">
        <v>18.0</v>
      </c>
      <c r="E135" s="953">
        <v>20.0</v>
      </c>
      <c r="F135" s="953">
        <v>22.0</v>
      </c>
      <c r="G135" s="953">
        <v>24.0</v>
      </c>
      <c r="H135" s="953">
        <v>26.0</v>
      </c>
      <c r="J135" s="1074"/>
    </row>
    <row r="136">
      <c r="B136" s="1004" t="s">
        <v>1493</v>
      </c>
      <c r="C136" s="953" t="s">
        <v>1250</v>
      </c>
      <c r="D136" s="953" t="s">
        <v>1250</v>
      </c>
      <c r="E136" s="953" t="s">
        <v>1250</v>
      </c>
      <c r="F136" s="953" t="s">
        <v>1263</v>
      </c>
      <c r="G136" s="953" t="s">
        <v>1263</v>
      </c>
      <c r="H136" s="953" t="s">
        <v>1263</v>
      </c>
      <c r="J136" s="1127"/>
    </row>
    <row r="137">
      <c r="B137" s="692"/>
      <c r="C137" s="1068"/>
      <c r="D137" s="1068"/>
      <c r="E137" s="1068"/>
      <c r="F137" s="1068"/>
      <c r="G137" s="1068"/>
      <c r="H137" s="1068"/>
      <c r="I137" s="1068"/>
      <c r="J137" s="1127"/>
      <c r="K137" s="1127"/>
    </row>
    <row r="138">
      <c r="B138" s="1099"/>
      <c r="C138" s="1100"/>
      <c r="D138" s="1100"/>
      <c r="E138" s="1100"/>
      <c r="F138" s="1100"/>
      <c r="G138" s="1100"/>
    </row>
    <row r="139">
      <c r="B139" s="1099" t="s">
        <v>1580</v>
      </c>
      <c r="C139" s="1100"/>
      <c r="D139" s="1100"/>
      <c r="E139" s="1100"/>
      <c r="F139" s="1100"/>
      <c r="G139" s="1100"/>
      <c r="M139" s="1099" t="s">
        <v>1581</v>
      </c>
      <c r="N139" s="1100"/>
      <c r="O139" s="1100"/>
      <c r="P139" s="1100"/>
      <c r="Q139" s="1100"/>
      <c r="R139" s="1100"/>
      <c r="S139" s="1100"/>
    </row>
    <row r="140">
      <c r="B140" s="1101" t="s">
        <v>1582</v>
      </c>
      <c r="C140" s="1100"/>
      <c r="D140" s="1100"/>
      <c r="E140" s="1100"/>
      <c r="F140" s="1100"/>
      <c r="G140" s="1100"/>
      <c r="M140" s="1100"/>
      <c r="N140" s="1100"/>
      <c r="O140" s="1100"/>
      <c r="P140" s="1100"/>
      <c r="Q140" s="1100"/>
      <c r="R140" s="1100"/>
      <c r="S140" s="1100"/>
    </row>
    <row r="141">
      <c r="B141" s="1100"/>
      <c r="C141" s="1100"/>
      <c r="D141" s="1100"/>
      <c r="E141" s="1100"/>
      <c r="F141" s="1100"/>
      <c r="G141" s="1100"/>
      <c r="M141" s="1100"/>
      <c r="N141" s="1100"/>
      <c r="O141" s="1100"/>
      <c r="P141" s="1100"/>
      <c r="Q141" s="1100"/>
      <c r="R141" s="1100"/>
      <c r="S141" s="1100"/>
    </row>
    <row r="142">
      <c r="B142" s="1100"/>
      <c r="C142" s="1219"/>
      <c r="D142" s="1219"/>
      <c r="E142" s="1100"/>
      <c r="F142" s="1100"/>
      <c r="G142" s="1100"/>
      <c r="N142" s="1220" t="s">
        <v>1583</v>
      </c>
      <c r="O142" s="1220" t="s">
        <v>1584</v>
      </c>
      <c r="P142" s="1220" t="s">
        <v>1585</v>
      </c>
      <c r="Q142" s="1220" t="s">
        <v>1586</v>
      </c>
      <c r="R142" s="1220" t="s">
        <v>1586</v>
      </c>
      <c r="S142" s="1220" t="s">
        <v>1490</v>
      </c>
      <c r="T142" s="1220" t="s">
        <v>1490</v>
      </c>
      <c r="U142" s="1220" t="s">
        <v>1587</v>
      </c>
    </row>
    <row r="143">
      <c r="B143" s="1221" t="s">
        <v>118</v>
      </c>
      <c r="C143" s="943" t="s">
        <v>1588</v>
      </c>
      <c r="D143" s="943" t="s">
        <v>1385</v>
      </c>
      <c r="E143" s="942" t="s">
        <v>732</v>
      </c>
      <c r="F143" s="943" t="s">
        <v>1589</v>
      </c>
      <c r="G143" s="944" t="s">
        <v>1590</v>
      </c>
      <c r="H143" s="944" t="s">
        <v>1231</v>
      </c>
      <c r="I143" s="944" t="s">
        <v>1232</v>
      </c>
      <c r="J143" s="945" t="s">
        <v>1591</v>
      </c>
      <c r="M143" s="1106" t="s">
        <v>1487</v>
      </c>
      <c r="N143" s="1107" t="s">
        <v>172</v>
      </c>
      <c r="O143" s="1107" t="s">
        <v>172</v>
      </c>
      <c r="P143" s="1107" t="s">
        <v>172</v>
      </c>
      <c r="Q143" s="1107" t="str">
        <f t="shared" ref="Q143:R143" si="111">C12</f>
        <v>Бронза</v>
      </c>
      <c r="R143" s="1107" t="str">
        <f t="shared" si="111"/>
        <v>Железо</v>
      </c>
      <c r="S143" s="1107" t="str">
        <f t="shared" ref="S143:T143" si="112">C12</f>
        <v>Бронза</v>
      </c>
      <c r="T143" s="1107" t="str">
        <f t="shared" si="112"/>
        <v>Железо</v>
      </c>
      <c r="U143" s="1107" t="s">
        <v>172</v>
      </c>
    </row>
    <row r="144">
      <c r="B144" s="428"/>
      <c r="C144" s="428"/>
      <c r="D144" s="428"/>
      <c r="E144" s="428"/>
      <c r="F144" s="428"/>
      <c r="G144" s="428"/>
      <c r="H144" s="428"/>
      <c r="I144" s="428"/>
      <c r="J144" s="428"/>
      <c r="M144" s="1111" t="s">
        <v>1488</v>
      </c>
      <c r="N144" s="1112">
        <f t="shared" ref="N144:U144" si="113">N145*N146+N151*N153+N149*N150</f>
        <v>1.98</v>
      </c>
      <c r="O144" s="1112">
        <f t="shared" si="113"/>
        <v>3.35</v>
      </c>
      <c r="P144" s="1112">
        <f t="shared" si="113"/>
        <v>6.7</v>
      </c>
      <c r="Q144" s="1112">
        <f t="shared" si="113"/>
        <v>4.02</v>
      </c>
      <c r="R144" s="1112">
        <f t="shared" si="113"/>
        <v>11.04</v>
      </c>
      <c r="S144" s="1112">
        <f t="shared" si="113"/>
        <v>8.04</v>
      </c>
      <c r="T144" s="1112">
        <f t="shared" si="113"/>
        <v>22.08</v>
      </c>
      <c r="U144" s="1112">
        <f t="shared" si="113"/>
        <v>2.96</v>
      </c>
    </row>
    <row r="145">
      <c r="B145" s="1222" t="s">
        <v>747</v>
      </c>
      <c r="C145" s="1223">
        <v>1.0</v>
      </c>
      <c r="D145" s="1223">
        <v>2.0</v>
      </c>
      <c r="E145" s="1223">
        <v>3.0</v>
      </c>
      <c r="F145" s="1223">
        <v>1.0</v>
      </c>
      <c r="G145" s="1120" t="str">
        <f>'Материалы и инструменты'!$E$148</f>
        <v>Древесный уголь</v>
      </c>
      <c r="H145" s="1224">
        <f t="shared" ref="H145:H197" si="114">C145*2</f>
        <v>2</v>
      </c>
      <c r="I145" s="1224">
        <f>'Материалы и инструменты'!$E$149*H145</f>
        <v>0.14</v>
      </c>
      <c r="J145" s="956">
        <f>'Кузнец'!$C$14*C145+(D145*C145)*(0.02*F145)*F145+I145</f>
        <v>0.68</v>
      </c>
      <c r="M145" s="1116" t="s">
        <v>1363</v>
      </c>
      <c r="N145" s="1117">
        <f>'Материалы и инструменты'!D24</f>
        <v>0.5</v>
      </c>
      <c r="O145" s="1117">
        <f>'Материалы и инструменты'!D24</f>
        <v>0.5</v>
      </c>
      <c r="P145" s="1117">
        <f>'Материалы и инструменты'!D24</f>
        <v>0.5</v>
      </c>
      <c r="Q145" s="1117">
        <f>'Материалы и инструменты'!D24</f>
        <v>0.5</v>
      </c>
      <c r="R145" s="1117">
        <f>'Материалы и инструменты'!E24</f>
        <v>1.51</v>
      </c>
      <c r="S145" s="1117">
        <f>'Материалы и инструменты'!D24</f>
        <v>0.5</v>
      </c>
      <c r="T145" s="1117">
        <f>'Материалы и инструменты'!E24</f>
        <v>1.51</v>
      </c>
      <c r="U145" s="1117">
        <f>'Материалы и инструменты'!D24</f>
        <v>0.5</v>
      </c>
    </row>
    <row r="146">
      <c r="B146" s="1222" t="s">
        <v>763</v>
      </c>
      <c r="C146" s="1223">
        <v>1.0</v>
      </c>
      <c r="D146" s="1223">
        <v>3.0</v>
      </c>
      <c r="E146" s="1223">
        <v>3.0</v>
      </c>
      <c r="F146" s="1223">
        <v>1.0</v>
      </c>
      <c r="G146" s="1120" t="str">
        <f>'Материалы и инструменты'!$E$148</f>
        <v>Древесный уголь</v>
      </c>
      <c r="H146" s="1224">
        <f t="shared" si="114"/>
        <v>2</v>
      </c>
      <c r="I146" s="1224">
        <f>'Материалы и инструменты'!$E$149*H146</f>
        <v>0.14</v>
      </c>
      <c r="J146" s="956">
        <f>'Кузнец'!$C$14*C146+(D146*C146)*(0.02*F146)*F146+I146</f>
        <v>0.7</v>
      </c>
      <c r="M146" s="1116" t="s">
        <v>1365</v>
      </c>
      <c r="N146" s="1225">
        <v>3.0</v>
      </c>
      <c r="O146" s="1225">
        <v>5.0</v>
      </c>
      <c r="P146" s="1225">
        <v>10.0</v>
      </c>
      <c r="Q146" s="1225">
        <v>6.0</v>
      </c>
      <c r="R146" s="1225">
        <v>6.0</v>
      </c>
      <c r="S146" s="1225">
        <v>12.0</v>
      </c>
      <c r="T146" s="1225">
        <v>12.0</v>
      </c>
      <c r="U146" s="1225">
        <v>4.0</v>
      </c>
    </row>
    <row r="147">
      <c r="B147" s="1226" t="s">
        <v>766</v>
      </c>
      <c r="C147" s="1223">
        <v>1.0</v>
      </c>
      <c r="D147" s="1223">
        <v>4.0</v>
      </c>
      <c r="E147" s="1223">
        <v>2.0</v>
      </c>
      <c r="F147" s="1223">
        <v>1.0</v>
      </c>
      <c r="G147" s="1120" t="str">
        <f>'Материалы и инструменты'!$E$148</f>
        <v>Древесный уголь</v>
      </c>
      <c r="H147" s="1224">
        <f t="shared" si="114"/>
        <v>2</v>
      </c>
      <c r="I147" s="1224">
        <f>'Материалы и инструменты'!$E$149*H147</f>
        <v>0.14</v>
      </c>
      <c r="J147" s="956">
        <f>'Кузнец'!$C$14*C147+(D147*C147)*(0.02*F147)*F147+I147</f>
        <v>0.72</v>
      </c>
      <c r="M147" s="999" t="s">
        <v>1400</v>
      </c>
      <c r="N147" s="1000" t="s">
        <v>1489</v>
      </c>
      <c r="O147" s="1000" t="s">
        <v>1489</v>
      </c>
      <c r="P147" s="1000" t="s">
        <v>1489</v>
      </c>
      <c r="Q147" s="1000" t="s">
        <v>1489</v>
      </c>
      <c r="R147" s="1000" t="s">
        <v>1490</v>
      </c>
      <c r="S147" s="1000" t="s">
        <v>1489</v>
      </c>
      <c r="T147" s="1000" t="s">
        <v>1490</v>
      </c>
      <c r="U147" s="1000" t="s">
        <v>1490</v>
      </c>
    </row>
    <row r="148">
      <c r="B148" s="1222" t="s">
        <v>769</v>
      </c>
      <c r="C148" s="1223">
        <v>1.0</v>
      </c>
      <c r="D148" s="1223">
        <v>5.0</v>
      </c>
      <c r="E148" s="1223">
        <v>2.0</v>
      </c>
      <c r="F148" s="1223">
        <v>1.0</v>
      </c>
      <c r="G148" s="1120" t="str">
        <f>'Материалы и инструменты'!$E$148</f>
        <v>Древесный уголь</v>
      </c>
      <c r="H148" s="1224">
        <f t="shared" si="114"/>
        <v>2</v>
      </c>
      <c r="I148" s="1224">
        <f>'Материалы и инструменты'!$E$149*H148</f>
        <v>0.14</v>
      </c>
      <c r="J148" s="956">
        <f>'Кузнец'!$C$14*C148+(D148*C148)*(0.02*F148)*F148+I148</f>
        <v>0.74</v>
      </c>
      <c r="M148" s="1001" t="s">
        <v>1369</v>
      </c>
      <c r="N148" s="1120" t="str">
        <f>'Материалы и инструменты'!$E$148</f>
        <v>Древесный уголь</v>
      </c>
      <c r="O148" s="1120" t="str">
        <f>'Материалы и инструменты'!$E$148</f>
        <v>Древесный уголь</v>
      </c>
      <c r="P148" s="1120" t="str">
        <f>'Материалы и инструменты'!$E$148</f>
        <v>Древесный уголь</v>
      </c>
      <c r="Q148" s="1120" t="str">
        <f>'Материалы и инструменты'!$E$148</f>
        <v>Древесный уголь</v>
      </c>
      <c r="R148" s="1120" t="str">
        <f>'Материалы и инструменты'!$E$148</f>
        <v>Древесный уголь</v>
      </c>
      <c r="S148" s="1120" t="str">
        <f>'Материалы и инструменты'!$E$148</f>
        <v>Древесный уголь</v>
      </c>
      <c r="T148" s="1120" t="str">
        <f>'Материалы и инструменты'!$E$148</f>
        <v>Древесный уголь</v>
      </c>
      <c r="U148" s="1120" t="str">
        <f>'Материалы и инструменты'!$E$148</f>
        <v>Древесный уголь</v>
      </c>
    </row>
    <row r="149">
      <c r="B149" s="468" t="s">
        <v>772</v>
      </c>
      <c r="C149" s="1223">
        <v>2.0</v>
      </c>
      <c r="D149" s="1223">
        <v>2.0</v>
      </c>
      <c r="E149" s="1223">
        <v>5.0</v>
      </c>
      <c r="F149" s="1223">
        <v>1.0</v>
      </c>
      <c r="G149" s="1120" t="str">
        <f>'Материалы и инструменты'!$E$148</f>
        <v>Древесный уголь</v>
      </c>
      <c r="H149" s="1224">
        <f t="shared" si="114"/>
        <v>4</v>
      </c>
      <c r="I149" s="1224">
        <f>'Материалы и инструменты'!$E$149*H149</f>
        <v>0.28</v>
      </c>
      <c r="J149" s="956">
        <f>'Кузнец'!$C$14*C149+(D149*C149)*(0.02*F149)*F149+I149</f>
        <v>1.36</v>
      </c>
      <c r="M149" s="1002" t="s">
        <v>1370</v>
      </c>
      <c r="N149" s="1121">
        <f>'Материалы и инструменты'!$E$149</f>
        <v>0.07</v>
      </c>
      <c r="O149" s="1121">
        <f>'Материалы и инструменты'!$E$149</f>
        <v>0.07</v>
      </c>
      <c r="P149" s="1121">
        <f>'Материалы и инструменты'!$E$149</f>
        <v>0.07</v>
      </c>
      <c r="Q149" s="1121">
        <f>'Материалы и инструменты'!$E$149</f>
        <v>0.07</v>
      </c>
      <c r="R149" s="1121">
        <f>'Материалы и инструменты'!$E$149</f>
        <v>0.07</v>
      </c>
      <c r="S149" s="1121">
        <f>'Материалы и инструменты'!$E$149</f>
        <v>0.07</v>
      </c>
      <c r="T149" s="1121">
        <f>'Материалы и инструменты'!$E$149</f>
        <v>0.07</v>
      </c>
      <c r="U149" s="1121">
        <f>'Материалы и инструменты'!$E$149</f>
        <v>0.07</v>
      </c>
    </row>
    <row r="150">
      <c r="B150" s="1222" t="s">
        <v>195</v>
      </c>
      <c r="C150" s="1223">
        <v>2.0</v>
      </c>
      <c r="D150" s="1223">
        <v>3.0</v>
      </c>
      <c r="E150" s="1223">
        <v>6.0</v>
      </c>
      <c r="F150" s="1223">
        <v>1.0</v>
      </c>
      <c r="G150" s="1120" t="str">
        <f>'Материалы и инструменты'!$E$148</f>
        <v>Древесный уголь</v>
      </c>
      <c r="H150" s="1224">
        <f t="shared" si="114"/>
        <v>4</v>
      </c>
      <c r="I150" s="1224">
        <f>'Материалы и инструменты'!$E$149*H150</f>
        <v>0.28</v>
      </c>
      <c r="J150" s="956">
        <f>'Кузнец'!$C$14*C150+(D150*C150)*(0.02*F150)*F150+I150</f>
        <v>1.4</v>
      </c>
      <c r="M150" s="1002" t="s">
        <v>1231</v>
      </c>
      <c r="N150" s="1120">
        <f>'Рудокоп'!$C$84*N146</f>
        <v>6</v>
      </c>
      <c r="O150" s="1120">
        <f>'Рудокоп'!$C$84*O146</f>
        <v>10</v>
      </c>
      <c r="P150" s="1120">
        <f>'Рудокоп'!$C$84*P146</f>
        <v>20</v>
      </c>
      <c r="Q150" s="1120">
        <f>'Рудокоп'!$C$84*Q146</f>
        <v>12</v>
      </c>
      <c r="R150" s="1120">
        <f>'Рудокоп'!$H$63*R146</f>
        <v>18</v>
      </c>
      <c r="S150" s="1120">
        <f>'Рудокоп'!$C$84*S146</f>
        <v>24</v>
      </c>
      <c r="T150" s="1120">
        <f>'Рудокоп'!H63*T146</f>
        <v>36</v>
      </c>
      <c r="U150" s="1120">
        <f>'Рудокоп'!I63*U146</f>
        <v>12</v>
      </c>
    </row>
    <row r="151">
      <c r="B151" s="1222" t="s">
        <v>788</v>
      </c>
      <c r="C151" s="1223">
        <v>3.0</v>
      </c>
      <c r="D151" s="1223">
        <v>4.0</v>
      </c>
      <c r="E151" s="1223">
        <v>7.0</v>
      </c>
      <c r="F151" s="1223">
        <v>1.0</v>
      </c>
      <c r="G151" s="1120" t="str">
        <f>'Материалы и инструменты'!$E$148</f>
        <v>Древесный уголь</v>
      </c>
      <c r="H151" s="1224">
        <f t="shared" si="114"/>
        <v>6</v>
      </c>
      <c r="I151" s="1224">
        <f>'Материалы и инструменты'!$E$149*H151</f>
        <v>0.42</v>
      </c>
      <c r="J151" s="956">
        <f>'Кузнец'!$C$14*C151+(D151*C151)*(0.02*F151)*F151+I151</f>
        <v>2.16</v>
      </c>
      <c r="M151" s="1004" t="s">
        <v>1371</v>
      </c>
      <c r="N151" s="950">
        <f t="shared" ref="N151:U151" si="115">N146*N152</f>
        <v>3</v>
      </c>
      <c r="O151" s="950">
        <f t="shared" si="115"/>
        <v>7.5</v>
      </c>
      <c r="P151" s="950">
        <f t="shared" si="115"/>
        <v>15</v>
      </c>
      <c r="Q151" s="950">
        <f t="shared" si="115"/>
        <v>9</v>
      </c>
      <c r="R151" s="950">
        <f t="shared" si="115"/>
        <v>9</v>
      </c>
      <c r="S151" s="950">
        <f t="shared" si="115"/>
        <v>18</v>
      </c>
      <c r="T151" s="950">
        <f t="shared" si="115"/>
        <v>18</v>
      </c>
      <c r="U151" s="950">
        <f t="shared" si="115"/>
        <v>6</v>
      </c>
    </row>
    <row r="152">
      <c r="B152" s="1227" t="s">
        <v>796</v>
      </c>
      <c r="C152" s="1223">
        <v>3.0</v>
      </c>
      <c r="D152" s="1223">
        <v>3.0</v>
      </c>
      <c r="E152" s="1223">
        <v>8.0</v>
      </c>
      <c r="F152" s="1223">
        <v>1.0</v>
      </c>
      <c r="G152" s="1120" t="str">
        <f>'Материалы и инструменты'!$E$148</f>
        <v>Древесный уголь</v>
      </c>
      <c r="H152" s="1224">
        <f t="shared" si="114"/>
        <v>6</v>
      </c>
      <c r="I152" s="1224">
        <f>'Материалы и инструменты'!$E$149*H152</f>
        <v>0.42</v>
      </c>
      <c r="J152" s="956">
        <f>'Кузнец'!$C$14*C152+(D152*C152)*(0.02*F152)*F152+I152</f>
        <v>2.1</v>
      </c>
      <c r="M152" s="1004" t="s">
        <v>1385</v>
      </c>
      <c r="N152" s="1008">
        <v>1.0</v>
      </c>
      <c r="O152" s="1008">
        <v>1.5</v>
      </c>
      <c r="P152" s="1008">
        <v>1.5</v>
      </c>
      <c r="Q152" s="1008">
        <v>1.5</v>
      </c>
      <c r="R152" s="1008">
        <v>1.5</v>
      </c>
      <c r="S152" s="1008">
        <v>1.5</v>
      </c>
      <c r="T152" s="1008">
        <v>1.5</v>
      </c>
      <c r="U152" s="1008">
        <v>1.5</v>
      </c>
    </row>
    <row r="153">
      <c r="B153" s="1227" t="s">
        <v>806</v>
      </c>
      <c r="C153" s="1223">
        <v>4.0</v>
      </c>
      <c r="D153" s="1223">
        <v>2.5</v>
      </c>
      <c r="E153" s="1223">
        <v>10.0</v>
      </c>
      <c r="F153" s="1223">
        <v>1.0</v>
      </c>
      <c r="G153" s="1120" t="str">
        <f>'Материалы и инструменты'!$E$148</f>
        <v>Древесный уголь</v>
      </c>
      <c r="H153" s="1224">
        <f t="shared" si="114"/>
        <v>8</v>
      </c>
      <c r="I153" s="1224">
        <f>'Материалы и инструменты'!$E$149*H153</f>
        <v>0.56</v>
      </c>
      <c r="J153" s="956">
        <f>'Кузнец'!$C$14*C153+(D153*C153)*(0.02*F153)*F153+I153</f>
        <v>2.76</v>
      </c>
      <c r="M153" s="1004" t="s">
        <v>1372</v>
      </c>
      <c r="N153" s="950">
        <f t="shared" ref="N153:U153" si="116">(0.02*N154)*N154</f>
        <v>0.02</v>
      </c>
      <c r="O153" s="950">
        <f t="shared" si="116"/>
        <v>0.02</v>
      </c>
      <c r="P153" s="950">
        <f t="shared" si="116"/>
        <v>0.02</v>
      </c>
      <c r="Q153" s="950">
        <f t="shared" si="116"/>
        <v>0.02</v>
      </c>
      <c r="R153" s="950">
        <f t="shared" si="116"/>
        <v>0.08</v>
      </c>
      <c r="S153" s="950">
        <f t="shared" si="116"/>
        <v>0.02</v>
      </c>
      <c r="T153" s="950">
        <f t="shared" si="116"/>
        <v>0.08</v>
      </c>
      <c r="U153" s="950">
        <f t="shared" si="116"/>
        <v>0.02</v>
      </c>
    </row>
    <row r="154">
      <c r="B154" s="1227" t="s">
        <v>815</v>
      </c>
      <c r="C154" s="1223">
        <v>4.0</v>
      </c>
      <c r="D154" s="1228">
        <v>8.0</v>
      </c>
      <c r="E154" s="1223">
        <v>11.0</v>
      </c>
      <c r="F154" s="1223">
        <v>1.0</v>
      </c>
      <c r="G154" s="1120" t="str">
        <f>'Материалы и инструменты'!$E$148</f>
        <v>Древесный уголь</v>
      </c>
      <c r="H154" s="1224">
        <f t="shared" si="114"/>
        <v>8</v>
      </c>
      <c r="I154" s="1224">
        <f>'Материалы и инструменты'!$E$149*H154</f>
        <v>0.56</v>
      </c>
      <c r="J154" s="956">
        <f>'Кузнец'!$C$14*C154+(D154*C154)*(0.02*F154)*F154+I154</f>
        <v>3.2</v>
      </c>
      <c r="M154" s="1004" t="s">
        <v>1491</v>
      </c>
      <c r="N154" s="1008">
        <v>1.0</v>
      </c>
      <c r="O154" s="1008">
        <v>1.0</v>
      </c>
      <c r="P154" s="1008">
        <v>1.0</v>
      </c>
      <c r="Q154" s="1008">
        <v>1.0</v>
      </c>
      <c r="R154" s="1008">
        <v>2.0</v>
      </c>
      <c r="S154" s="1008">
        <v>1.0</v>
      </c>
      <c r="T154" s="1008">
        <v>2.0</v>
      </c>
      <c r="U154" s="1008">
        <v>1.0</v>
      </c>
    </row>
    <row r="155">
      <c r="B155" s="1227" t="s">
        <v>825</v>
      </c>
      <c r="C155" s="1223">
        <v>4.0</v>
      </c>
      <c r="D155" s="1223">
        <v>3.5</v>
      </c>
      <c r="E155" s="1223">
        <v>12.0</v>
      </c>
      <c r="F155" s="1223">
        <v>1.0</v>
      </c>
      <c r="G155" s="1120" t="str">
        <f>'Материалы и инструменты'!$E$148</f>
        <v>Древесный уголь</v>
      </c>
      <c r="H155" s="1224">
        <f t="shared" si="114"/>
        <v>8</v>
      </c>
      <c r="I155" s="1224">
        <f>'Материалы и инструменты'!$E$149*H155</f>
        <v>0.56</v>
      </c>
      <c r="J155" s="956">
        <f>'Кузнец'!$C$14*C155+(D155*C155)*(0.02*F155)*F155+I155</f>
        <v>2.84</v>
      </c>
      <c r="M155" s="1004" t="s">
        <v>1492</v>
      </c>
      <c r="N155" s="1008">
        <v>10.0</v>
      </c>
      <c r="O155" s="1008">
        <v>10.0</v>
      </c>
      <c r="P155" s="1008">
        <v>10.0</v>
      </c>
      <c r="Q155" s="1008">
        <v>10.0</v>
      </c>
      <c r="R155" s="1008">
        <v>12.0</v>
      </c>
      <c r="S155" s="1008">
        <v>10.0</v>
      </c>
      <c r="T155" s="1008">
        <v>12.0</v>
      </c>
      <c r="U155" s="1008">
        <v>10.0</v>
      </c>
    </row>
    <row r="156">
      <c r="B156" s="1227" t="s">
        <v>829</v>
      </c>
      <c r="C156" s="1223">
        <v>5.0</v>
      </c>
      <c r="D156" s="1223">
        <v>3.5</v>
      </c>
      <c r="E156" s="1223">
        <v>13.0</v>
      </c>
      <c r="F156" s="1223">
        <v>1.0</v>
      </c>
      <c r="G156" s="1120" t="str">
        <f>'Материалы и инструменты'!$E$148</f>
        <v>Древесный уголь</v>
      </c>
      <c r="H156" s="1224">
        <f t="shared" si="114"/>
        <v>10</v>
      </c>
      <c r="I156" s="1224">
        <f>'Материалы и инструменты'!$E$149*H156</f>
        <v>0.7</v>
      </c>
      <c r="J156" s="956">
        <f>'Кузнец'!$C$14*C156+(D156*C156)*(0.02*F156)*F156+I156</f>
        <v>3.55</v>
      </c>
      <c r="M156" s="1004" t="s">
        <v>1493</v>
      </c>
      <c r="N156" s="1008" t="s">
        <v>1237</v>
      </c>
      <c r="O156" s="1008" t="s">
        <v>1237</v>
      </c>
      <c r="P156" s="1008" t="s">
        <v>1237</v>
      </c>
      <c r="Q156" s="1008" t="s">
        <v>1237</v>
      </c>
      <c r="R156" s="1008" t="s">
        <v>1237</v>
      </c>
      <c r="S156" s="1008" t="s">
        <v>1237</v>
      </c>
      <c r="T156" s="1008" t="s">
        <v>1237</v>
      </c>
      <c r="U156" s="1008" t="s">
        <v>1237</v>
      </c>
    </row>
    <row r="157">
      <c r="B157" s="1227" t="s">
        <v>832</v>
      </c>
      <c r="C157" s="1223">
        <v>5.0</v>
      </c>
      <c r="D157" s="1223">
        <v>4.0</v>
      </c>
      <c r="E157" s="1223">
        <v>14.0</v>
      </c>
      <c r="F157" s="1223">
        <v>1.0</v>
      </c>
      <c r="G157" s="1120" t="str">
        <f>'Материалы и инструменты'!$E$148</f>
        <v>Древесный уголь</v>
      </c>
      <c r="H157" s="1224">
        <f t="shared" si="114"/>
        <v>10</v>
      </c>
      <c r="I157" s="1224">
        <f>'Материалы и инструменты'!$E$149*H157</f>
        <v>0.7</v>
      </c>
      <c r="J157" s="956">
        <f>'Кузнец'!$C$14*C157+(D157*C157)*(0.02*F157)*F157+I157</f>
        <v>3.6</v>
      </c>
      <c r="M157" s="1111" t="s">
        <v>1494</v>
      </c>
      <c r="N157" s="1124">
        <f t="shared" ref="N157:U157" si="117">N$145*N$146+N158*N160+N149*N150</f>
        <v>2.4</v>
      </c>
      <c r="O157" s="1124">
        <f t="shared" si="117"/>
        <v>4.4</v>
      </c>
      <c r="P157" s="1124">
        <f t="shared" si="117"/>
        <v>8.8</v>
      </c>
      <c r="Q157" s="1124">
        <f t="shared" si="117"/>
        <v>5.28</v>
      </c>
      <c r="R157" s="1124">
        <f t="shared" si="117"/>
        <v>13.56</v>
      </c>
      <c r="S157" s="1124">
        <f t="shared" si="117"/>
        <v>10.56</v>
      </c>
      <c r="T157" s="1124">
        <f t="shared" si="117"/>
        <v>27.12</v>
      </c>
      <c r="U157" s="1124">
        <f t="shared" si="117"/>
        <v>3.8</v>
      </c>
    </row>
    <row r="158">
      <c r="B158" s="1227" t="s">
        <v>850</v>
      </c>
      <c r="C158" s="1223">
        <v>6.0</v>
      </c>
      <c r="D158" s="1223">
        <v>4.0</v>
      </c>
      <c r="E158" s="1223">
        <v>18.0</v>
      </c>
      <c r="F158" s="1223">
        <v>1.0</v>
      </c>
      <c r="G158" s="1120" t="str">
        <f>'Материалы и инструменты'!$E$148</f>
        <v>Древесный уголь</v>
      </c>
      <c r="H158" s="1224">
        <f t="shared" si="114"/>
        <v>12</v>
      </c>
      <c r="I158" s="1224">
        <f>'Материалы и инструменты'!$E$149*H158</f>
        <v>0.84</v>
      </c>
      <c r="J158" s="956">
        <f>'Кузнец'!$C$14*C158+(D158*C158)*(0.02*F158)*F158+I158</f>
        <v>4.32</v>
      </c>
      <c r="M158" s="1004" t="s">
        <v>1371</v>
      </c>
      <c r="N158" s="950">
        <f t="shared" ref="N158:U158" si="118">N$146*N159</f>
        <v>6</v>
      </c>
      <c r="O158" s="950">
        <f t="shared" si="118"/>
        <v>15</v>
      </c>
      <c r="P158" s="950">
        <f t="shared" si="118"/>
        <v>30</v>
      </c>
      <c r="Q158" s="950">
        <f t="shared" si="118"/>
        <v>18</v>
      </c>
      <c r="R158" s="950">
        <f t="shared" si="118"/>
        <v>18</v>
      </c>
      <c r="S158" s="950">
        <f t="shared" si="118"/>
        <v>36</v>
      </c>
      <c r="T158" s="950">
        <f t="shared" si="118"/>
        <v>36</v>
      </c>
      <c r="U158" s="950">
        <f t="shared" si="118"/>
        <v>12</v>
      </c>
    </row>
    <row r="159">
      <c r="B159" s="1227" t="s">
        <v>842</v>
      </c>
      <c r="C159" s="1223">
        <v>6.0</v>
      </c>
      <c r="D159" s="1223">
        <v>4.5</v>
      </c>
      <c r="E159" s="1223">
        <v>17.0</v>
      </c>
      <c r="F159" s="1223">
        <v>1.0</v>
      </c>
      <c r="G159" s="1120" t="str">
        <f>'Материалы и инструменты'!$E$148</f>
        <v>Древесный уголь</v>
      </c>
      <c r="H159" s="1224">
        <f t="shared" si="114"/>
        <v>12</v>
      </c>
      <c r="I159" s="1224">
        <f>'Материалы и инструменты'!$E$149*H159</f>
        <v>0.84</v>
      </c>
      <c r="J159" s="956">
        <f>'Кузнец'!$C$14*C159+(D159*C159)*(0.02*F159)*F159+I159</f>
        <v>4.38</v>
      </c>
      <c r="M159" s="1004" t="s">
        <v>1385</v>
      </c>
      <c r="N159" s="950">
        <f t="shared" ref="N159:U159" si="119">N$152*$K26</f>
        <v>2</v>
      </c>
      <c r="O159" s="950">
        <f t="shared" si="119"/>
        <v>3</v>
      </c>
      <c r="P159" s="950">
        <f t="shared" si="119"/>
        <v>3</v>
      </c>
      <c r="Q159" s="950">
        <f t="shared" si="119"/>
        <v>3</v>
      </c>
      <c r="R159" s="950">
        <f t="shared" si="119"/>
        <v>3</v>
      </c>
      <c r="S159" s="950">
        <f t="shared" si="119"/>
        <v>3</v>
      </c>
      <c r="T159" s="950">
        <f t="shared" si="119"/>
        <v>3</v>
      </c>
      <c r="U159" s="950">
        <f t="shared" si="119"/>
        <v>3</v>
      </c>
    </row>
    <row r="160">
      <c r="B160" s="1227" t="s">
        <v>861</v>
      </c>
      <c r="C160" s="1223">
        <v>7.0</v>
      </c>
      <c r="D160" s="1223">
        <v>5.0</v>
      </c>
      <c r="E160" s="1223">
        <v>20.0</v>
      </c>
      <c r="F160" s="1223">
        <v>1.0</v>
      </c>
      <c r="G160" s="1120" t="str">
        <f>'Материалы и инструменты'!$E$148</f>
        <v>Древесный уголь</v>
      </c>
      <c r="H160" s="1224">
        <f t="shared" si="114"/>
        <v>14</v>
      </c>
      <c r="I160" s="1224">
        <f>'Материалы и инструменты'!$E$149*H160</f>
        <v>0.98</v>
      </c>
      <c r="J160" s="956">
        <f>'Кузнец'!$C$14*C160+(D160*C160)*(0.02*F160)*F160+I160</f>
        <v>5.18</v>
      </c>
      <c r="M160" s="1004" t="s">
        <v>1372</v>
      </c>
      <c r="N160" s="950">
        <f t="shared" ref="N160:U160" si="120">(0.02*N161)*N161</f>
        <v>0.08</v>
      </c>
      <c r="O160" s="950">
        <f t="shared" si="120"/>
        <v>0.08</v>
      </c>
      <c r="P160" s="950">
        <f t="shared" si="120"/>
        <v>0.08</v>
      </c>
      <c r="Q160" s="950">
        <f t="shared" si="120"/>
        <v>0.08</v>
      </c>
      <c r="R160" s="950">
        <f t="shared" si="120"/>
        <v>0.18</v>
      </c>
      <c r="S160" s="950">
        <f t="shared" si="120"/>
        <v>0.08</v>
      </c>
      <c r="T160" s="950">
        <f t="shared" si="120"/>
        <v>0.18</v>
      </c>
      <c r="U160" s="950">
        <f t="shared" si="120"/>
        <v>0.08</v>
      </c>
    </row>
    <row r="161">
      <c r="B161" s="1229" t="s">
        <v>870</v>
      </c>
      <c r="C161" s="1223">
        <v>8.0</v>
      </c>
      <c r="D161" s="1223">
        <v>4.0</v>
      </c>
      <c r="E161" s="1223">
        <v>23.0</v>
      </c>
      <c r="F161" s="1223">
        <v>1.0</v>
      </c>
      <c r="G161" s="1120" t="str">
        <f>'Материалы и инструменты'!$E$148</f>
        <v>Древесный уголь</v>
      </c>
      <c r="H161" s="1224">
        <f t="shared" si="114"/>
        <v>16</v>
      </c>
      <c r="I161" s="1224">
        <f>'Материалы и инструменты'!$E$149*H161</f>
        <v>1.12</v>
      </c>
      <c r="J161" s="956">
        <f>'Кузнец'!$C$14*C161+(D161*C161)*(0.02*F161)*F161+I161</f>
        <v>5.76</v>
      </c>
      <c r="M161" s="1004" t="s">
        <v>1491</v>
      </c>
      <c r="N161" s="950">
        <f t="shared" ref="N161:U161" si="121">N154+1</f>
        <v>2</v>
      </c>
      <c r="O161" s="950">
        <f t="shared" si="121"/>
        <v>2</v>
      </c>
      <c r="P161" s="950">
        <f t="shared" si="121"/>
        <v>2</v>
      </c>
      <c r="Q161" s="950">
        <f t="shared" si="121"/>
        <v>2</v>
      </c>
      <c r="R161" s="950">
        <f t="shared" si="121"/>
        <v>3</v>
      </c>
      <c r="S161" s="950">
        <f t="shared" si="121"/>
        <v>2</v>
      </c>
      <c r="T161" s="950">
        <f t="shared" si="121"/>
        <v>3</v>
      </c>
      <c r="U161" s="950">
        <f t="shared" si="121"/>
        <v>2</v>
      </c>
    </row>
    <row r="162">
      <c r="B162" s="522" t="s">
        <v>900</v>
      </c>
      <c r="C162" s="1223">
        <v>2.0</v>
      </c>
      <c r="D162" s="1223">
        <v>2.0</v>
      </c>
      <c r="E162" s="1223">
        <v>6.0</v>
      </c>
      <c r="F162" s="1223">
        <v>1.0</v>
      </c>
      <c r="G162" s="1120" t="str">
        <f>'Материалы и инструменты'!$E$148</f>
        <v>Древесный уголь</v>
      </c>
      <c r="H162" s="1224">
        <f t="shared" si="114"/>
        <v>4</v>
      </c>
      <c r="I162" s="1224">
        <f>'Материалы и инструменты'!$E$149*H162</f>
        <v>0.28</v>
      </c>
      <c r="J162" s="956">
        <f>'Кузнец'!$C$14*C162+(D162*C162)*(0.02*F162)*F162+I162</f>
        <v>1.36</v>
      </c>
      <c r="M162" s="1004" t="s">
        <v>1492</v>
      </c>
      <c r="N162" s="1008">
        <v>12.0</v>
      </c>
      <c r="O162" s="1008">
        <v>12.0</v>
      </c>
      <c r="P162" s="1008">
        <v>12.0</v>
      </c>
      <c r="Q162" s="1008">
        <v>12.0</v>
      </c>
      <c r="R162" s="1008">
        <v>12.0</v>
      </c>
      <c r="S162" s="1008">
        <v>12.0</v>
      </c>
      <c r="T162" s="1008">
        <v>12.0</v>
      </c>
      <c r="U162" s="1008">
        <v>12.0</v>
      </c>
    </row>
    <row r="163">
      <c r="B163" s="537" t="s">
        <v>911</v>
      </c>
      <c r="C163" s="1223">
        <v>2.0</v>
      </c>
      <c r="D163" s="1223">
        <v>2.5</v>
      </c>
      <c r="E163" s="1223">
        <v>6.0</v>
      </c>
      <c r="F163" s="1223">
        <v>1.0</v>
      </c>
      <c r="G163" s="1120" t="str">
        <f>'Материалы и инструменты'!$E$148</f>
        <v>Древесный уголь</v>
      </c>
      <c r="H163" s="1224">
        <f t="shared" si="114"/>
        <v>4</v>
      </c>
      <c r="I163" s="1224">
        <f>'Материалы и инструменты'!$E$149*H163</f>
        <v>0.28</v>
      </c>
      <c r="J163" s="956">
        <f>'Кузнец'!$C$14*C163+(D163*C163)*(0.02*F163)*F163+I163</f>
        <v>1.38</v>
      </c>
      <c r="M163" s="1004" t="s">
        <v>1493</v>
      </c>
      <c r="N163" s="1008" t="s">
        <v>1237</v>
      </c>
      <c r="O163" s="1008" t="s">
        <v>1237</v>
      </c>
      <c r="P163" s="1008" t="s">
        <v>1237</v>
      </c>
      <c r="Q163" s="1008" t="s">
        <v>1237</v>
      </c>
      <c r="R163" s="1008" t="s">
        <v>1237</v>
      </c>
      <c r="S163" s="1008" t="s">
        <v>1237</v>
      </c>
      <c r="T163" s="1008" t="s">
        <v>1237</v>
      </c>
      <c r="U163" s="1008" t="s">
        <v>1237</v>
      </c>
    </row>
    <row r="164">
      <c r="B164" s="522" t="s">
        <v>915</v>
      </c>
      <c r="C164" s="1223">
        <v>3.0</v>
      </c>
      <c r="D164" s="1223">
        <v>2.5</v>
      </c>
      <c r="E164" s="1223">
        <v>7.0</v>
      </c>
      <c r="F164" s="1223">
        <v>1.0</v>
      </c>
      <c r="G164" s="1120" t="str">
        <f>'Материалы и инструменты'!$E$148</f>
        <v>Древесный уголь</v>
      </c>
      <c r="H164" s="1224">
        <f t="shared" si="114"/>
        <v>6</v>
      </c>
      <c r="I164" s="1224">
        <f>'Материалы и инструменты'!$E$149*H164</f>
        <v>0.42</v>
      </c>
      <c r="J164" s="956">
        <f>'Кузнец'!$C$14*C164+(D164*C164)*(0.02*F164)*F164+I164</f>
        <v>2.07</v>
      </c>
    </row>
    <row r="165">
      <c r="B165" s="522" t="s">
        <v>920</v>
      </c>
      <c r="C165" s="1223">
        <v>6.0</v>
      </c>
      <c r="D165" s="1223">
        <v>1.0</v>
      </c>
      <c r="E165" s="1223">
        <v>16.0</v>
      </c>
      <c r="F165" s="1223">
        <v>1.0</v>
      </c>
      <c r="G165" s="1120" t="str">
        <f>'Материалы и инструменты'!$E$148</f>
        <v>Древесный уголь</v>
      </c>
      <c r="H165" s="1224">
        <f t="shared" si="114"/>
        <v>12</v>
      </c>
      <c r="I165" s="1224">
        <f>'Материалы и инструменты'!$E$149*H165</f>
        <v>0.84</v>
      </c>
      <c r="J165" s="956">
        <f>'Кузнец'!$C$14*C165+(D165*C165)*(0.02*F165)*F165+I165</f>
        <v>3.96</v>
      </c>
    </row>
    <row r="166">
      <c r="B166" s="522" t="s">
        <v>923</v>
      </c>
      <c r="C166" s="1223">
        <v>5.0</v>
      </c>
      <c r="D166" s="1223">
        <v>4.0</v>
      </c>
      <c r="E166" s="1223">
        <v>13.0</v>
      </c>
      <c r="F166" s="1223">
        <v>1.0</v>
      </c>
      <c r="G166" s="1120" t="str">
        <f>'Материалы и инструменты'!$E$148</f>
        <v>Древесный уголь</v>
      </c>
      <c r="H166" s="1224">
        <f t="shared" si="114"/>
        <v>10</v>
      </c>
      <c r="I166" s="1224">
        <f>'Материалы и инструменты'!$E$149*H166</f>
        <v>0.7</v>
      </c>
      <c r="J166" s="956">
        <f>'Кузнец'!$C$14*C166+(D166*C166)*(0.02*F166)*F166+I166</f>
        <v>3.6</v>
      </c>
      <c r="M166" s="1230" t="s">
        <v>1592</v>
      </c>
      <c r="N166" s="929"/>
      <c r="O166" s="929"/>
      <c r="P166" s="929"/>
      <c r="Q166" s="929"/>
      <c r="R166" s="929"/>
      <c r="S166" s="929"/>
      <c r="T166" s="929"/>
      <c r="U166" s="929"/>
    </row>
    <row r="167">
      <c r="B167" s="522" t="s">
        <v>931</v>
      </c>
      <c r="C167" s="1223">
        <v>5.0</v>
      </c>
      <c r="D167" s="1223">
        <v>3.5</v>
      </c>
      <c r="E167" s="1223">
        <v>15.0</v>
      </c>
      <c r="F167" s="1223">
        <v>1.0</v>
      </c>
      <c r="G167" s="1120" t="str">
        <f>'Материалы и инструменты'!$E$148</f>
        <v>Древесный уголь</v>
      </c>
      <c r="H167" s="1224">
        <f t="shared" si="114"/>
        <v>10</v>
      </c>
      <c r="I167" s="1224">
        <f>'Материалы и инструменты'!$E$149*H167</f>
        <v>0.7</v>
      </c>
      <c r="J167" s="956">
        <f>'Кузнец'!$C$14*C167+(D167*C167)*(0.02*F167)*F167+I167</f>
        <v>3.55</v>
      </c>
      <c r="M167" s="929"/>
      <c r="N167" s="929"/>
      <c r="O167" s="929"/>
      <c r="P167" s="929"/>
      <c r="Q167" s="929"/>
      <c r="R167" s="929"/>
      <c r="S167" s="929"/>
      <c r="T167" s="929"/>
      <c r="U167" s="929"/>
    </row>
    <row r="168">
      <c r="B168" s="522" t="s">
        <v>933</v>
      </c>
      <c r="C168" s="1223">
        <v>5.0</v>
      </c>
      <c r="D168" s="1223">
        <v>4.0</v>
      </c>
      <c r="E168" s="1223">
        <v>14.0</v>
      </c>
      <c r="F168" s="1223">
        <v>1.0</v>
      </c>
      <c r="G168" s="1120" t="str">
        <f>'Материалы и инструменты'!$E$148</f>
        <v>Древесный уголь</v>
      </c>
      <c r="H168" s="1224">
        <f t="shared" si="114"/>
        <v>10</v>
      </c>
      <c r="I168" s="1224">
        <f>'Материалы и инструменты'!$E$149*H168</f>
        <v>0.7</v>
      </c>
      <c r="J168" s="956">
        <f>'Кузнец'!$C$14*C168+(D168*C168)*(0.02*F168)*F168+I168</f>
        <v>3.6</v>
      </c>
      <c r="M168" s="1105"/>
      <c r="N168" s="1105"/>
      <c r="O168" s="1105"/>
      <c r="P168" s="1105"/>
      <c r="Q168" s="929"/>
      <c r="R168" s="929"/>
      <c r="S168" s="929"/>
      <c r="T168" s="929"/>
      <c r="U168" s="929"/>
    </row>
    <row r="169">
      <c r="B169" s="522" t="s">
        <v>940</v>
      </c>
      <c r="C169" s="1223">
        <v>6.0</v>
      </c>
      <c r="D169" s="1223">
        <v>4.0</v>
      </c>
      <c r="E169" s="1223">
        <v>17.0</v>
      </c>
      <c r="F169" s="1223">
        <v>1.0</v>
      </c>
      <c r="G169" s="1120" t="str">
        <f>'Материалы и инструменты'!$E$148</f>
        <v>Древесный уголь</v>
      </c>
      <c r="H169" s="1224">
        <f t="shared" si="114"/>
        <v>12</v>
      </c>
      <c r="I169" s="1224">
        <f>'Материалы и инструменты'!$E$149*H169</f>
        <v>0.84</v>
      </c>
      <c r="J169" s="956">
        <f>'Кузнец'!$C$14*C169+(D169*C169)*(0.02*F169)*F169+I169</f>
        <v>4.32</v>
      </c>
      <c r="M169" s="1106" t="s">
        <v>1487</v>
      </c>
      <c r="N169" s="1231" t="str">
        <f>'Материалы и инструменты'!D23</f>
        <v>Бронза</v>
      </c>
      <c r="O169" s="1231" t="str">
        <f>'Материалы и инструменты'!E23</f>
        <v>Железо</v>
      </c>
      <c r="P169" s="1232" t="s">
        <v>1593</v>
      </c>
      <c r="Q169" s="929"/>
      <c r="R169" s="929"/>
      <c r="S169" s="929"/>
      <c r="T169" s="929"/>
      <c r="U169" s="1070" t="s">
        <v>1434</v>
      </c>
    </row>
    <row r="170">
      <c r="B170" s="522" t="s">
        <v>946</v>
      </c>
      <c r="C170" s="1223">
        <v>6.0</v>
      </c>
      <c r="D170" s="1223">
        <v>4.0</v>
      </c>
      <c r="E170" s="1223">
        <v>16.0</v>
      </c>
      <c r="F170" s="1223">
        <v>1.0</v>
      </c>
      <c r="G170" s="1120" t="str">
        <f>'Материалы и инструменты'!$E$148</f>
        <v>Древесный уголь</v>
      </c>
      <c r="H170" s="1224">
        <f t="shared" si="114"/>
        <v>12</v>
      </c>
      <c r="I170" s="1224">
        <f>'Материалы и инструменты'!$E$149*H170</f>
        <v>0.84</v>
      </c>
      <c r="J170" s="956">
        <f>'Кузнец'!$C$14*C170+(D170*C170)*(0.02*F170)*F170+I170</f>
        <v>4.32</v>
      </c>
      <c r="M170" s="1233" t="s">
        <v>1594</v>
      </c>
      <c r="N170" s="1234">
        <f t="shared" ref="N170:P170" si="122">N171*N172+N177*N179+N175*N176</f>
        <v>0.05152</v>
      </c>
      <c r="O170" s="1234">
        <f t="shared" si="122"/>
        <v>0.1408</v>
      </c>
      <c r="P170" s="1234">
        <f t="shared" si="122"/>
        <v>0.01152</v>
      </c>
      <c r="Q170" s="929"/>
      <c r="R170" s="929"/>
      <c r="S170" s="929"/>
      <c r="T170" s="929"/>
      <c r="U170" s="929"/>
    </row>
    <row r="171">
      <c r="B171" s="522" t="s">
        <v>949</v>
      </c>
      <c r="C171" s="1223">
        <v>8.0</v>
      </c>
      <c r="D171" s="1223">
        <v>3.0</v>
      </c>
      <c r="E171" s="1223">
        <v>24.0</v>
      </c>
      <c r="F171" s="1223">
        <v>1.0</v>
      </c>
      <c r="G171" s="1120" t="str">
        <f>'Материалы и инструменты'!$E$148</f>
        <v>Древесный уголь</v>
      </c>
      <c r="H171" s="1224">
        <f t="shared" si="114"/>
        <v>16</v>
      </c>
      <c r="I171" s="1224">
        <f>'Материалы и инструменты'!$E$149*H171</f>
        <v>1.12</v>
      </c>
      <c r="J171" s="956">
        <f>'Кузнец'!$C$14*C171+(D171*C171)*(0.02*F171)*F171+I171</f>
        <v>5.6</v>
      </c>
      <c r="M171" s="1116" t="s">
        <v>1363</v>
      </c>
      <c r="N171" s="1235">
        <f>'Материалы и инструменты'!D24</f>
        <v>0.5</v>
      </c>
      <c r="O171" s="1235">
        <f>'Материалы и инструменты'!E24</f>
        <v>1.51</v>
      </c>
      <c r="P171" s="1235">
        <f>'Рудокоп'!D51</f>
        <v>0.12</v>
      </c>
      <c r="Q171" s="929"/>
      <c r="R171" s="929"/>
      <c r="S171" s="929"/>
      <c r="T171" s="929"/>
      <c r="U171" s="929"/>
    </row>
    <row r="172">
      <c r="B172" s="537" t="s">
        <v>957</v>
      </c>
      <c r="C172" s="1223">
        <v>8.0</v>
      </c>
      <c r="D172" s="1223">
        <v>3.5</v>
      </c>
      <c r="E172" s="1223">
        <v>23.0</v>
      </c>
      <c r="F172" s="1223">
        <v>1.0</v>
      </c>
      <c r="G172" s="1120" t="str">
        <f>'Материалы и инструменты'!$E$148</f>
        <v>Древесный уголь</v>
      </c>
      <c r="H172" s="1224">
        <f t="shared" si="114"/>
        <v>16</v>
      </c>
      <c r="I172" s="1224">
        <f>'Материалы и инструменты'!$E$149*H172</f>
        <v>1.12</v>
      </c>
      <c r="J172" s="956">
        <f>'Кузнец'!$C$14*C172+(D172*C172)*(0.02*F172)*F172+I172</f>
        <v>5.68</v>
      </c>
      <c r="M172" s="1116" t="s">
        <v>1365</v>
      </c>
      <c r="N172" s="1236">
        <f t="shared" ref="N172:P172" si="123">$C$194</f>
        <v>0.08</v>
      </c>
      <c r="O172" s="1236">
        <f t="shared" si="123"/>
        <v>0.08</v>
      </c>
      <c r="P172" s="1236">
        <f t="shared" si="123"/>
        <v>0.08</v>
      </c>
      <c r="Q172" s="929"/>
      <c r="R172" s="929"/>
      <c r="S172" s="929"/>
      <c r="T172" s="929"/>
      <c r="U172" s="929"/>
    </row>
    <row r="173">
      <c r="B173" s="575" t="s">
        <v>971</v>
      </c>
      <c r="C173" s="1223">
        <v>1.0</v>
      </c>
      <c r="D173" s="1223">
        <v>1.5</v>
      </c>
      <c r="E173" s="1223">
        <v>4.0</v>
      </c>
      <c r="F173" s="1223">
        <v>1.0</v>
      </c>
      <c r="G173" s="1120" t="str">
        <f>'Материалы и инструменты'!$E$148</f>
        <v>Древесный уголь</v>
      </c>
      <c r="H173" s="1224">
        <f t="shared" si="114"/>
        <v>2</v>
      </c>
      <c r="I173" s="1224">
        <f>'Материалы и инструменты'!$E$149*H173</f>
        <v>0.14</v>
      </c>
      <c r="J173" s="956">
        <f>'Кузнец'!$C$14*C173+(D173*C173)*(0.02*F173)*F173+I173</f>
        <v>0.67</v>
      </c>
      <c r="M173" s="999" t="s">
        <v>1400</v>
      </c>
      <c r="N173" s="1000" t="s">
        <v>1489</v>
      </c>
      <c r="O173" s="1000" t="s">
        <v>1595</v>
      </c>
      <c r="P173" s="1000" t="s">
        <v>1489</v>
      </c>
      <c r="Q173" s="929"/>
      <c r="R173" s="929"/>
      <c r="S173" s="929"/>
      <c r="T173" s="929"/>
      <c r="U173" s="929"/>
    </row>
    <row r="174">
      <c r="B174" s="563" t="s">
        <v>978</v>
      </c>
      <c r="C174" s="1223">
        <v>3.0</v>
      </c>
      <c r="D174" s="1223">
        <v>2.5</v>
      </c>
      <c r="E174" s="1223">
        <v>7.0</v>
      </c>
      <c r="F174" s="1223">
        <v>1.0</v>
      </c>
      <c r="G174" s="1120" t="str">
        <f>'Материалы и инструменты'!$E$148</f>
        <v>Древесный уголь</v>
      </c>
      <c r="H174" s="1224">
        <f t="shared" si="114"/>
        <v>6</v>
      </c>
      <c r="I174" s="1224">
        <f>'Материалы и инструменты'!$E$149*H174</f>
        <v>0.42</v>
      </c>
      <c r="J174" s="956">
        <f>'Кузнец'!$C$14*C174+(D174*C174)*(0.02*F174)*F174+I174</f>
        <v>2.07</v>
      </c>
      <c r="M174" s="1001" t="s">
        <v>1369</v>
      </c>
      <c r="N174" s="1237" t="str">
        <f>'Материалы и инструменты'!E148</f>
        <v>Древесный уголь</v>
      </c>
      <c r="O174" s="1237" t="str">
        <f>'Материалы и инструменты'!E148</f>
        <v>Древесный уголь</v>
      </c>
      <c r="P174" s="1238" t="s">
        <v>1238</v>
      </c>
      <c r="Q174" s="929"/>
      <c r="R174" s="929"/>
      <c r="S174" s="929"/>
      <c r="T174" s="929"/>
      <c r="U174" s="929"/>
    </row>
    <row r="175">
      <c r="B175" s="563" t="s">
        <v>981</v>
      </c>
      <c r="C175" s="1223">
        <v>4.0</v>
      </c>
      <c r="D175" s="1223">
        <v>3.0</v>
      </c>
      <c r="E175" s="1223">
        <v>10.0</v>
      </c>
      <c r="F175" s="1223">
        <v>1.0</v>
      </c>
      <c r="G175" s="1120" t="str">
        <f>'Материалы и инструменты'!$E$148</f>
        <v>Древесный уголь</v>
      </c>
      <c r="H175" s="1224">
        <f t="shared" si="114"/>
        <v>8</v>
      </c>
      <c r="I175" s="1224">
        <f>'Материалы и инструменты'!$E$149*H175</f>
        <v>0.56</v>
      </c>
      <c r="J175" s="956">
        <f>'Кузнец'!$C$14*C175+(D175*C175)*(0.02*F175)*F175+I175</f>
        <v>2.8</v>
      </c>
      <c r="M175" s="1002" t="s">
        <v>1370</v>
      </c>
      <c r="N175" s="1239">
        <f>'Материалы и инструменты'!E149</f>
        <v>0.07</v>
      </c>
      <c r="O175" s="1239">
        <f>'Материалы и инструменты'!E149</f>
        <v>0.07</v>
      </c>
      <c r="P175" s="1240">
        <f>'Материалы и инструменты'!D149</f>
        <v>0.01</v>
      </c>
      <c r="Q175" s="929"/>
      <c r="R175" s="929"/>
      <c r="S175" s="929"/>
      <c r="T175" s="929"/>
      <c r="U175" s="929"/>
    </row>
    <row r="176">
      <c r="B176" s="563" t="s">
        <v>989</v>
      </c>
      <c r="C176" s="1223">
        <v>6.0</v>
      </c>
      <c r="D176" s="1223">
        <v>3.5</v>
      </c>
      <c r="E176" s="1223">
        <v>16.0</v>
      </c>
      <c r="F176" s="1223">
        <v>1.0</v>
      </c>
      <c r="G176" s="1120" t="str">
        <f>'Материалы и инструменты'!$E$148</f>
        <v>Древесный уголь</v>
      </c>
      <c r="H176" s="1224">
        <f t="shared" si="114"/>
        <v>12</v>
      </c>
      <c r="I176" s="1224">
        <f>'Материалы и инструменты'!$E$149*H176</f>
        <v>0.84</v>
      </c>
      <c r="J176" s="956">
        <f>'Кузнец'!$C$14*C176+(D176*C176)*(0.02*F176)*F176+I176</f>
        <v>4.26</v>
      </c>
      <c r="M176" s="1002" t="s">
        <v>1231</v>
      </c>
      <c r="N176" s="1240">
        <f>'Рудокоп'!C84*N172</f>
        <v>0.16</v>
      </c>
      <c r="O176" s="1240">
        <f>'Рудокоп'!H63*O172</f>
        <v>0.24</v>
      </c>
      <c r="P176" s="1241">
        <f>'Рудокоп'!D63*P172</f>
        <v>0.16</v>
      </c>
      <c r="Q176" s="929"/>
      <c r="R176" s="929"/>
      <c r="S176" s="929"/>
      <c r="T176" s="929"/>
      <c r="U176" s="929"/>
    </row>
    <row r="177">
      <c r="B177" s="563" t="s">
        <v>996</v>
      </c>
      <c r="C177" s="1223">
        <v>6.0</v>
      </c>
      <c r="D177" s="1223">
        <v>4.0</v>
      </c>
      <c r="E177" s="1223">
        <v>16.0</v>
      </c>
      <c r="F177" s="1223">
        <v>1.0</v>
      </c>
      <c r="G177" s="1120" t="str">
        <f>'Материалы и инструменты'!$E$148</f>
        <v>Древесный уголь</v>
      </c>
      <c r="H177" s="1224">
        <f t="shared" si="114"/>
        <v>12</v>
      </c>
      <c r="I177" s="1224">
        <f>'Материалы и инструменты'!$E$149*H177</f>
        <v>0.84</v>
      </c>
      <c r="J177" s="956">
        <f>'Кузнец'!$C$14*C177+(D177*C177)*(0.02*F177)*F177+I177</f>
        <v>4.32</v>
      </c>
      <c r="M177" s="1004" t="s">
        <v>1371</v>
      </c>
      <c r="N177" s="1242">
        <f t="shared" ref="N177:P177" si="124">N172*N178</f>
        <v>0.016</v>
      </c>
      <c r="O177" s="1242">
        <f t="shared" si="124"/>
        <v>0.04</v>
      </c>
      <c r="P177" s="1242">
        <f t="shared" si="124"/>
        <v>0.016</v>
      </c>
      <c r="Q177" s="929"/>
      <c r="R177" s="929"/>
      <c r="S177" s="929"/>
      <c r="T177" s="929"/>
      <c r="U177" s="929"/>
    </row>
    <row r="178">
      <c r="B178" s="563" t="s">
        <v>1000</v>
      </c>
      <c r="C178" s="1223">
        <v>6.0</v>
      </c>
      <c r="D178" s="1223">
        <v>4.0</v>
      </c>
      <c r="E178" s="1223">
        <v>16.0</v>
      </c>
      <c r="F178" s="1223">
        <v>1.0</v>
      </c>
      <c r="G178" s="1120" t="str">
        <f>'Материалы и инструменты'!$E$148</f>
        <v>Древесный уголь</v>
      </c>
      <c r="H178" s="1224">
        <f t="shared" si="114"/>
        <v>12</v>
      </c>
      <c r="I178" s="1224">
        <f>'Материалы и инструменты'!$E$149*H178</f>
        <v>0.84</v>
      </c>
      <c r="J178" s="956">
        <f>'Кузнец'!$C$14*C178+(D178*C178)*(0.02*F178)*F178+I178</f>
        <v>4.32</v>
      </c>
      <c r="M178" s="1004" t="s">
        <v>1385</v>
      </c>
      <c r="N178" s="1115">
        <f>D194</f>
        <v>0.2</v>
      </c>
      <c r="O178" s="1115">
        <f>N178+0.3</f>
        <v>0.5</v>
      </c>
      <c r="P178" s="1115">
        <f>D194</f>
        <v>0.2</v>
      </c>
      <c r="Q178" s="929"/>
      <c r="R178" s="929"/>
      <c r="S178" s="929"/>
      <c r="T178" s="929"/>
      <c r="U178" s="929"/>
    </row>
    <row r="179">
      <c r="B179" s="575" t="s">
        <v>1004</v>
      </c>
      <c r="C179" s="1223">
        <v>8.0</v>
      </c>
      <c r="D179" s="1223">
        <v>4.0</v>
      </c>
      <c r="E179" s="1223">
        <v>23.0</v>
      </c>
      <c r="F179" s="1223">
        <v>1.0</v>
      </c>
      <c r="G179" s="1120" t="str">
        <f>'Материалы и инструменты'!$E$148</f>
        <v>Древесный уголь</v>
      </c>
      <c r="H179" s="1224">
        <f t="shared" si="114"/>
        <v>16</v>
      </c>
      <c r="I179" s="1224">
        <f>'Материалы и инструменты'!$E$149*H179</f>
        <v>1.12</v>
      </c>
      <c r="J179" s="956">
        <f>'Кузнец'!$C$14*C179+(D179*C179)*(0.02*F179)*F179+I179</f>
        <v>5.76</v>
      </c>
      <c r="M179" s="1004" t="s">
        <v>1372</v>
      </c>
      <c r="N179" s="1115">
        <f t="shared" ref="N179:P179" si="125">(0.02*N180)*N180</f>
        <v>0.02</v>
      </c>
      <c r="O179" s="1115">
        <f t="shared" si="125"/>
        <v>0.08</v>
      </c>
      <c r="P179" s="1115">
        <f t="shared" si="125"/>
        <v>0.02</v>
      </c>
      <c r="Q179" s="929"/>
      <c r="R179" s="929"/>
      <c r="S179" s="929"/>
      <c r="T179" s="929"/>
      <c r="U179" s="929"/>
    </row>
    <row r="180">
      <c r="B180" s="588" t="s">
        <v>1014</v>
      </c>
      <c r="C180" s="1223">
        <v>2.0</v>
      </c>
      <c r="D180" s="1223">
        <v>4.0</v>
      </c>
      <c r="E180" s="1223">
        <v>4.0</v>
      </c>
      <c r="F180" s="1223">
        <v>1.0</v>
      </c>
      <c r="G180" s="1120" t="str">
        <f>'Материалы и инструменты'!$E$148</f>
        <v>Древесный уголь</v>
      </c>
      <c r="H180" s="1224">
        <f t="shared" si="114"/>
        <v>4</v>
      </c>
      <c r="I180" s="1224">
        <f>'Материалы и инструменты'!$E$149*H180</f>
        <v>0.28</v>
      </c>
      <c r="J180" s="956">
        <f>'Кузнец'!$C$14*C180+(D180*C180)*(0.02*F180)*F180+I180</f>
        <v>1.44</v>
      </c>
      <c r="M180" s="1004" t="s">
        <v>1491</v>
      </c>
      <c r="N180" s="1115">
        <v>1.0</v>
      </c>
      <c r="O180" s="1115">
        <v>2.0</v>
      </c>
      <c r="P180" s="1115">
        <v>1.0</v>
      </c>
      <c r="Q180" s="929"/>
      <c r="R180" s="929"/>
      <c r="S180" s="929"/>
      <c r="T180" s="929"/>
      <c r="U180" s="929"/>
    </row>
    <row r="181">
      <c r="B181" s="588" t="s">
        <v>1017</v>
      </c>
      <c r="C181" s="1223">
        <v>2.0</v>
      </c>
      <c r="D181" s="1223">
        <v>5.0</v>
      </c>
      <c r="E181" s="1223">
        <v>5.0</v>
      </c>
      <c r="F181" s="1223">
        <v>1.0</v>
      </c>
      <c r="G181" s="1120" t="str">
        <f>'Материалы и инструменты'!$E$148</f>
        <v>Древесный уголь</v>
      </c>
      <c r="H181" s="1224">
        <f t="shared" si="114"/>
        <v>4</v>
      </c>
      <c r="I181" s="1224">
        <f>'Материалы и инструменты'!$E$149*H181</f>
        <v>0.28</v>
      </c>
      <c r="J181" s="956">
        <f>'Кузнец'!$C$14*C181+(D181*C181)*(0.02*F181)*F181+I181</f>
        <v>1.48</v>
      </c>
      <c r="M181" s="1004" t="s">
        <v>1492</v>
      </c>
      <c r="N181" s="1115">
        <v>10.0</v>
      </c>
      <c r="O181" s="1115">
        <v>12.0</v>
      </c>
      <c r="P181" s="1115">
        <v>10.0</v>
      </c>
      <c r="Q181" s="929"/>
      <c r="R181" s="929"/>
      <c r="S181" s="929"/>
      <c r="T181" s="929"/>
      <c r="U181" s="1243">
        <v>1.0</v>
      </c>
    </row>
    <row r="182">
      <c r="B182" s="588" t="s">
        <v>1018</v>
      </c>
      <c r="C182" s="1223">
        <v>2.0</v>
      </c>
      <c r="D182" s="1223">
        <v>5.5</v>
      </c>
      <c r="E182" s="1223">
        <v>6.0</v>
      </c>
      <c r="F182" s="1223">
        <v>1.0</v>
      </c>
      <c r="G182" s="1120" t="str">
        <f>'Материалы и инструменты'!$E$148</f>
        <v>Древесный уголь</v>
      </c>
      <c r="H182" s="1224">
        <f t="shared" si="114"/>
        <v>4</v>
      </c>
      <c r="I182" s="1224">
        <f>'Материалы и инструменты'!$E$149*H182</f>
        <v>0.28</v>
      </c>
      <c r="J182" s="956">
        <f>'Кузнец'!$C$14*C182+(D182*C182)*(0.02*F182)*F182+I182</f>
        <v>1.5</v>
      </c>
      <c r="M182" s="1004" t="s">
        <v>1493</v>
      </c>
      <c r="N182" s="1008" t="s">
        <v>1237</v>
      </c>
      <c r="O182" s="1008" t="s">
        <v>1237</v>
      </c>
      <c r="P182" s="1008" t="s">
        <v>1237</v>
      </c>
      <c r="Q182" s="929"/>
      <c r="R182" s="929"/>
      <c r="S182" s="929"/>
      <c r="T182" s="929"/>
      <c r="U182" s="929"/>
    </row>
    <row r="183">
      <c r="B183" s="588" t="s">
        <v>1020</v>
      </c>
      <c r="C183" s="1223">
        <v>3.0</v>
      </c>
      <c r="D183" s="1223">
        <v>5.0</v>
      </c>
      <c r="E183" s="1223">
        <v>8.0</v>
      </c>
      <c r="F183" s="1223">
        <v>1.0</v>
      </c>
      <c r="G183" s="1120" t="str">
        <f>'Материалы и инструменты'!$E$148</f>
        <v>Древесный уголь</v>
      </c>
      <c r="H183" s="1224">
        <f t="shared" si="114"/>
        <v>6</v>
      </c>
      <c r="I183" s="1224">
        <f>'Материалы и инструменты'!$E$149*H183</f>
        <v>0.42</v>
      </c>
      <c r="J183" s="956">
        <f>'Кузнец'!$C$14*C183+(D183*C183)*(0.02*F183)*F183+I183</f>
        <v>2.22</v>
      </c>
      <c r="M183" s="1111" t="s">
        <v>1494</v>
      </c>
      <c r="N183" s="1244">
        <f t="shared" ref="N183:P183" si="126">N$171*N$172+N184*N186+N175*N176</f>
        <v>0.05376</v>
      </c>
      <c r="O183" s="1244">
        <f t="shared" si="126"/>
        <v>0.152</v>
      </c>
      <c r="P183" s="1244">
        <f t="shared" si="126"/>
        <v>0.01376</v>
      </c>
      <c r="Q183" s="929"/>
      <c r="R183" s="929"/>
      <c r="S183" s="929"/>
      <c r="T183" s="929"/>
      <c r="U183" s="929"/>
    </row>
    <row r="184">
      <c r="B184" s="588" t="s">
        <v>1033</v>
      </c>
      <c r="C184" s="1223">
        <v>3.0</v>
      </c>
      <c r="D184" s="1223">
        <v>5.5</v>
      </c>
      <c r="E184" s="1223">
        <v>7.0</v>
      </c>
      <c r="F184" s="1223">
        <v>1.0</v>
      </c>
      <c r="G184" s="1120" t="str">
        <f>'Материалы и инструменты'!$E$148</f>
        <v>Древесный уголь</v>
      </c>
      <c r="H184" s="1224">
        <f t="shared" si="114"/>
        <v>6</v>
      </c>
      <c r="I184" s="1224">
        <f>'Материалы и инструменты'!$E$149*H184</f>
        <v>0.42</v>
      </c>
      <c r="J184" s="956">
        <f>'Кузнец'!$C$14*C184+(D184*C184)*(0.02*F184)*F184+I184</f>
        <v>2.25</v>
      </c>
      <c r="M184" s="1004" t="s">
        <v>1371</v>
      </c>
      <c r="N184" s="1242">
        <f t="shared" ref="N184:P184" si="127">N$172*N185</f>
        <v>0.032</v>
      </c>
      <c r="O184" s="1242">
        <f t="shared" si="127"/>
        <v>0.08</v>
      </c>
      <c r="P184" s="1242">
        <f t="shared" si="127"/>
        <v>0.032</v>
      </c>
      <c r="Q184" s="929"/>
      <c r="R184" s="929"/>
      <c r="S184" s="929"/>
      <c r="T184" s="929"/>
      <c r="U184" s="929"/>
    </row>
    <row r="185">
      <c r="B185" s="588" t="s">
        <v>1028</v>
      </c>
      <c r="C185" s="1223">
        <v>5.0</v>
      </c>
      <c r="D185" s="1223">
        <v>6.0</v>
      </c>
      <c r="E185" s="1223">
        <v>15.0</v>
      </c>
      <c r="F185" s="1223">
        <v>1.0</v>
      </c>
      <c r="G185" s="1120" t="str">
        <f>'Материалы и инструменты'!$E$148</f>
        <v>Древесный уголь</v>
      </c>
      <c r="H185" s="1224">
        <f t="shared" si="114"/>
        <v>10</v>
      </c>
      <c r="I185" s="1224">
        <f>'Материалы и инструменты'!$E$149*H185</f>
        <v>0.7</v>
      </c>
      <c r="J185" s="956">
        <f>'Кузнец'!$C$14*C185+(D185*C185)*(0.02*F185)*F185+I185</f>
        <v>3.8</v>
      </c>
      <c r="M185" s="1004" t="s">
        <v>1385</v>
      </c>
      <c r="N185" s="1115">
        <f t="shared" ref="N185:P185" si="128">N178*$U$185</f>
        <v>0.4</v>
      </c>
      <c r="O185" s="1115">
        <f t="shared" si="128"/>
        <v>1</v>
      </c>
      <c r="P185" s="1115">
        <f t="shared" si="128"/>
        <v>0.4</v>
      </c>
      <c r="Q185" s="929"/>
      <c r="R185" s="929"/>
      <c r="S185" s="929"/>
      <c r="T185" s="929"/>
      <c r="U185" s="1243">
        <v>2.0</v>
      </c>
    </row>
    <row r="186">
      <c r="B186" s="599" t="s">
        <v>1025</v>
      </c>
      <c r="C186" s="1223">
        <v>3.0</v>
      </c>
      <c r="D186" s="1223">
        <v>5.0</v>
      </c>
      <c r="E186" s="1228">
        <v>6.0</v>
      </c>
      <c r="F186" s="1223">
        <v>1.0</v>
      </c>
      <c r="G186" s="1120" t="str">
        <f>'Материалы и инструменты'!$E$148</f>
        <v>Древесный уголь</v>
      </c>
      <c r="H186" s="1224">
        <f t="shared" si="114"/>
        <v>6</v>
      </c>
      <c r="I186" s="1224">
        <f>'Материалы и инструменты'!$E$149*H186</f>
        <v>0.42</v>
      </c>
      <c r="J186" s="956">
        <f>'Кузнец'!$C$14*C186+(D186*C186)*(0.02*F186)*F186+I186</f>
        <v>2.22</v>
      </c>
      <c r="M186" s="1004" t="s">
        <v>1372</v>
      </c>
      <c r="N186" s="1115">
        <f t="shared" ref="N186:P186" si="129">(0.02*N187)*N187</f>
        <v>0.08</v>
      </c>
      <c r="O186" s="1115">
        <f t="shared" si="129"/>
        <v>0.18</v>
      </c>
      <c r="P186" s="1115">
        <f t="shared" si="129"/>
        <v>0.08</v>
      </c>
      <c r="Q186" s="929"/>
      <c r="R186" s="929"/>
      <c r="S186" s="929"/>
      <c r="T186" s="929"/>
      <c r="U186" s="929"/>
    </row>
    <row r="187">
      <c r="B187" s="588" t="s">
        <v>850</v>
      </c>
      <c r="C187" s="1223">
        <v>6.0</v>
      </c>
      <c r="D187" s="1228">
        <v>4.0</v>
      </c>
      <c r="E187" s="1223">
        <v>18.0</v>
      </c>
      <c r="F187" s="1223">
        <v>1.0</v>
      </c>
      <c r="G187" s="1120" t="str">
        <f>'Материалы и инструменты'!$E$148</f>
        <v>Древесный уголь</v>
      </c>
      <c r="H187" s="1224">
        <f t="shared" si="114"/>
        <v>12</v>
      </c>
      <c r="I187" s="1224">
        <f>'Материалы и инструменты'!$E$149*H187</f>
        <v>0.84</v>
      </c>
      <c r="J187" s="956">
        <f>'Кузнец'!$C$14*C187+(D187*C187)*(0.02*F187)*F187+I187</f>
        <v>4.32</v>
      </c>
      <c r="M187" s="1004" t="s">
        <v>1491</v>
      </c>
      <c r="N187" s="1115">
        <f t="shared" ref="N187:P187" si="130">N180+1</f>
        <v>2</v>
      </c>
      <c r="O187" s="1115">
        <f t="shared" si="130"/>
        <v>3</v>
      </c>
      <c r="P187" s="1115">
        <f t="shared" si="130"/>
        <v>2</v>
      </c>
      <c r="Q187" s="929"/>
      <c r="R187" s="929"/>
      <c r="S187" s="929"/>
      <c r="T187" s="929"/>
      <c r="U187" s="929"/>
    </row>
    <row r="188">
      <c r="B188" s="638" t="s">
        <v>1069</v>
      </c>
      <c r="C188" s="1223">
        <v>1.0</v>
      </c>
      <c r="D188" s="1223">
        <v>3.0</v>
      </c>
      <c r="E188" s="1223">
        <v>3.0</v>
      </c>
      <c r="F188" s="1223">
        <v>1.0</v>
      </c>
      <c r="G188" s="1120" t="str">
        <f>'Материалы и инструменты'!$E$148</f>
        <v>Древесный уголь</v>
      </c>
      <c r="H188" s="1224">
        <f t="shared" si="114"/>
        <v>2</v>
      </c>
      <c r="I188" s="1224">
        <f>'Материалы и инструменты'!$E$149*H188</f>
        <v>0.14</v>
      </c>
      <c r="J188" s="956">
        <f>'Кузнец'!$C$14*C188+(D188*C188)*(0.02*F188)*F188+I188</f>
        <v>0.7</v>
      </c>
      <c r="M188" s="1004" t="s">
        <v>1492</v>
      </c>
      <c r="N188" s="1115">
        <v>12.0</v>
      </c>
      <c r="O188" s="1245">
        <v>14.0</v>
      </c>
      <c r="P188" s="1115">
        <v>12.0</v>
      </c>
      <c r="Q188" s="929"/>
      <c r="R188" s="929"/>
      <c r="S188" s="929"/>
      <c r="T188" s="929"/>
      <c r="U188" s="929"/>
    </row>
    <row r="189">
      <c r="B189" s="638" t="s">
        <v>1076</v>
      </c>
      <c r="C189" s="1223">
        <v>2.0</v>
      </c>
      <c r="D189" s="1223">
        <v>3.0</v>
      </c>
      <c r="E189" s="1223">
        <v>5.0</v>
      </c>
      <c r="F189" s="1223">
        <v>1.0</v>
      </c>
      <c r="G189" s="1120" t="str">
        <f>'Материалы и инструменты'!$E$148</f>
        <v>Древесный уголь</v>
      </c>
      <c r="H189" s="1224">
        <f t="shared" si="114"/>
        <v>4</v>
      </c>
      <c r="I189" s="1224">
        <f>'Материалы и инструменты'!$E$149*H189</f>
        <v>0.28</v>
      </c>
      <c r="J189" s="956">
        <f>'Кузнец'!$C$14*C189+(D189*C189)*(0.02*F189)*F189+I189</f>
        <v>1.4</v>
      </c>
      <c r="M189" s="1004" t="s">
        <v>1493</v>
      </c>
      <c r="N189" s="1008" t="s">
        <v>1237</v>
      </c>
      <c r="O189" s="1008" t="s">
        <v>1237</v>
      </c>
      <c r="P189" s="1008" t="s">
        <v>1237</v>
      </c>
      <c r="Q189" s="929"/>
      <c r="R189" s="929"/>
      <c r="S189" s="929"/>
      <c r="T189" s="929"/>
      <c r="U189" s="929"/>
    </row>
    <row r="190">
      <c r="B190" s="638" t="s">
        <v>1079</v>
      </c>
      <c r="C190" s="1223">
        <v>3.0</v>
      </c>
      <c r="D190" s="1223">
        <v>3.0</v>
      </c>
      <c r="E190" s="1223">
        <v>8.0</v>
      </c>
      <c r="F190" s="1223">
        <v>1.0</v>
      </c>
      <c r="G190" s="1120" t="str">
        <f>'Материалы и инструменты'!$E$148</f>
        <v>Древесный уголь</v>
      </c>
      <c r="H190" s="1224">
        <f t="shared" si="114"/>
        <v>6</v>
      </c>
      <c r="I190" s="1224">
        <f>'Материалы и инструменты'!$E$149*H190</f>
        <v>0.42</v>
      </c>
      <c r="J190" s="956">
        <f>'Кузнец'!$C$14*C190+(D190*C190)*(0.02*F190)*F190+I190</f>
        <v>2.1</v>
      </c>
      <c r="M190" s="929"/>
      <c r="N190" s="929"/>
      <c r="O190" s="929"/>
      <c r="P190" s="929"/>
      <c r="Q190" s="929"/>
      <c r="R190" s="929"/>
      <c r="S190" s="929"/>
      <c r="T190" s="929"/>
      <c r="U190" s="929"/>
    </row>
    <row r="191">
      <c r="B191" s="657" t="s">
        <v>1081</v>
      </c>
      <c r="C191" s="1223">
        <v>4.0</v>
      </c>
      <c r="D191" s="1223">
        <v>3.0</v>
      </c>
      <c r="E191" s="1223">
        <v>11.0</v>
      </c>
      <c r="F191" s="1223">
        <v>1.0</v>
      </c>
      <c r="G191" s="1120" t="str">
        <f>'Материалы и инструменты'!$E$148</f>
        <v>Древесный уголь</v>
      </c>
      <c r="H191" s="1224">
        <f t="shared" si="114"/>
        <v>8</v>
      </c>
      <c r="I191" s="1224">
        <f>'Материалы и инструменты'!$E$149*H191</f>
        <v>0.56</v>
      </c>
      <c r="J191" s="956">
        <f>'Кузнец'!$C$14*C191+(D191*C191)*(0.02*F191)*F191+I191</f>
        <v>2.8</v>
      </c>
      <c r="M191" s="1246" t="s">
        <v>1596</v>
      </c>
      <c r="N191" s="1105"/>
      <c r="O191" s="1105"/>
      <c r="P191" s="1105"/>
      <c r="Q191" s="929"/>
      <c r="R191" s="929"/>
      <c r="S191" s="929"/>
      <c r="T191" s="929"/>
      <c r="U191" s="929"/>
    </row>
    <row r="192">
      <c r="B192" s="683" t="s">
        <v>1106</v>
      </c>
      <c r="C192" s="1228">
        <v>1.0</v>
      </c>
      <c r="D192" s="1223">
        <v>2.0</v>
      </c>
      <c r="E192" s="1223">
        <v>4.0</v>
      </c>
      <c r="F192" s="1223">
        <v>1.0</v>
      </c>
      <c r="G192" s="1120" t="str">
        <f>'Материалы и инструменты'!$E$148</f>
        <v>Древесный уголь</v>
      </c>
      <c r="H192" s="1224">
        <f t="shared" si="114"/>
        <v>2</v>
      </c>
      <c r="I192" s="1224">
        <f>'Материалы и инструменты'!$E$149*H192</f>
        <v>0.14</v>
      </c>
      <c r="J192" s="956">
        <f>'Кузнец'!$C$14*C192+(D192*C192)*(0.02*F192)*F192+I192</f>
        <v>0.68</v>
      </c>
      <c r="M192" s="1247" t="s">
        <v>1597</v>
      </c>
      <c r="N192" s="1110" t="s">
        <v>172</v>
      </c>
      <c r="O192" s="1110" t="s">
        <v>738</v>
      </c>
      <c r="P192" s="1248" t="s">
        <v>1593</v>
      </c>
      <c r="Q192" s="929"/>
      <c r="R192" s="929"/>
      <c r="S192" s="929"/>
      <c r="T192" s="929"/>
      <c r="U192" s="929"/>
    </row>
    <row r="193">
      <c r="B193" s="683" t="s">
        <v>1113</v>
      </c>
      <c r="C193" s="1228">
        <v>2.0</v>
      </c>
      <c r="D193" s="1223">
        <v>2.5</v>
      </c>
      <c r="E193" s="1223">
        <v>7.0</v>
      </c>
      <c r="F193" s="1223">
        <v>1.0</v>
      </c>
      <c r="G193" s="1120" t="str">
        <f>'Материалы и инструменты'!$E$148</f>
        <v>Древесный уголь</v>
      </c>
      <c r="H193" s="1224">
        <f t="shared" si="114"/>
        <v>4</v>
      </c>
      <c r="I193" s="1224">
        <f>'Материалы и инструменты'!$E$149*H193</f>
        <v>0.28</v>
      </c>
      <c r="J193" s="956">
        <f>'Кузнец'!$C$14*C193+(D193*C193)*(0.02*F193)*F193+I193</f>
        <v>1.38</v>
      </c>
      <c r="M193" s="1114" t="s">
        <v>133</v>
      </c>
      <c r="N193" s="1115">
        <v>0.0</v>
      </c>
      <c r="O193" s="1115">
        <v>1.0</v>
      </c>
      <c r="P193" s="1115">
        <v>2.0</v>
      </c>
      <c r="Q193" s="929"/>
      <c r="R193" s="929"/>
      <c r="S193" s="929"/>
      <c r="T193" s="929"/>
      <c r="U193" s="929"/>
    </row>
    <row r="194">
      <c r="B194" s="1249" t="s">
        <v>1044</v>
      </c>
      <c r="C194" s="1223">
        <v>0.08</v>
      </c>
      <c r="D194" s="1223">
        <v>0.2</v>
      </c>
      <c r="E194" s="1223">
        <v>0.24</v>
      </c>
      <c r="F194" s="1223">
        <v>1.0</v>
      </c>
      <c r="G194" s="1120" t="str">
        <f>'Материалы и инструменты'!$E$148</f>
        <v>Древесный уголь</v>
      </c>
      <c r="H194" s="1224">
        <f t="shared" si="114"/>
        <v>0.16</v>
      </c>
      <c r="I194" s="1224">
        <f>'Материалы и инструменты'!$E$149*H194</f>
        <v>0.0112</v>
      </c>
      <c r="J194" s="956">
        <f>'Кузнец'!$C$14*C194+(D194*C194)*(0.02*F194)*F194+I194</f>
        <v>0.05152</v>
      </c>
      <c r="M194" s="1114" t="s">
        <v>1211</v>
      </c>
      <c r="N194" s="1115">
        <f t="shared" ref="N194:P194" si="131">N193+1</f>
        <v>1</v>
      </c>
      <c r="O194" s="1115">
        <f t="shared" si="131"/>
        <v>2</v>
      </c>
      <c r="P194" s="1115">
        <f t="shared" si="131"/>
        <v>3</v>
      </c>
      <c r="Q194" s="929"/>
      <c r="R194" s="929"/>
      <c r="S194" s="929"/>
      <c r="T194" s="929"/>
      <c r="U194" s="929"/>
    </row>
    <row r="195">
      <c r="B195" s="1249" t="s">
        <v>1540</v>
      </c>
      <c r="C195" s="1223">
        <v>4.0</v>
      </c>
      <c r="D195" s="1223">
        <v>1.0</v>
      </c>
      <c r="E195" s="1223">
        <v>12.0</v>
      </c>
      <c r="F195" s="1223">
        <v>1.0</v>
      </c>
      <c r="G195" s="1120" t="str">
        <f>'Материалы и инструменты'!$E$148</f>
        <v>Древесный уголь</v>
      </c>
      <c r="H195" s="1224">
        <f t="shared" si="114"/>
        <v>8</v>
      </c>
      <c r="I195" s="1224">
        <f>'Материалы и инструменты'!$E$149*H195</f>
        <v>0.56</v>
      </c>
      <c r="J195" s="956">
        <f>'Кузнец'!$C$14*C195+(D195*C195)*(0.02*F195)*F195+I195</f>
        <v>2.64</v>
      </c>
    </row>
    <row r="196">
      <c r="B196" s="1249" t="s">
        <v>1598</v>
      </c>
      <c r="C196" s="1223">
        <v>7.0</v>
      </c>
      <c r="D196" s="1223">
        <v>1.5</v>
      </c>
      <c r="E196" s="1223">
        <v>21.0</v>
      </c>
      <c r="F196" s="1223">
        <v>1.0</v>
      </c>
      <c r="G196" s="1120" t="str">
        <f>'Материалы и инструменты'!$E$148</f>
        <v>Древесный уголь</v>
      </c>
      <c r="H196" s="1224">
        <f t="shared" si="114"/>
        <v>14</v>
      </c>
      <c r="I196" s="1224">
        <f>'Материалы и инструменты'!$E$149*H196</f>
        <v>0.98</v>
      </c>
      <c r="J196" s="956">
        <f>'Кузнец'!$C$14*C196+(D196*C196)*(0.02*F196)*F196+I196</f>
        <v>4.69</v>
      </c>
    </row>
    <row r="197">
      <c r="B197" s="1249" t="s">
        <v>1599</v>
      </c>
      <c r="C197" s="1223">
        <v>11.0</v>
      </c>
      <c r="D197" s="1223">
        <v>2.0</v>
      </c>
      <c r="E197" s="1223">
        <v>33.0</v>
      </c>
      <c r="F197" s="1223">
        <v>1.0</v>
      </c>
      <c r="G197" s="1120" t="str">
        <f>'Материалы и инструменты'!$E$148</f>
        <v>Древесный уголь</v>
      </c>
      <c r="H197" s="1224">
        <f t="shared" si="114"/>
        <v>22</v>
      </c>
      <c r="I197" s="1224">
        <f>'Материалы и инструменты'!$E$149*H197</f>
        <v>1.54</v>
      </c>
      <c r="J197" s="956">
        <f>'Кузнец'!$C$14*C197+(D197*C197)*(0.02*F197)*F197+I197</f>
        <v>7.48</v>
      </c>
      <c r="M197" s="1230" t="s">
        <v>1600</v>
      </c>
      <c r="N197" s="929"/>
      <c r="O197" s="929"/>
      <c r="P197" s="929"/>
      <c r="Q197" s="929"/>
      <c r="R197" s="929"/>
      <c r="S197" s="929"/>
      <c r="T197" s="929"/>
      <c r="U197" s="929"/>
    </row>
    <row r="198">
      <c r="M198" s="1250" t="s">
        <v>1601</v>
      </c>
      <c r="N198" s="929"/>
      <c r="O198" s="929"/>
      <c r="P198" s="929"/>
      <c r="Q198" s="929"/>
      <c r="R198" s="929"/>
      <c r="S198" s="929"/>
      <c r="T198" s="929"/>
      <c r="U198" s="929"/>
    </row>
    <row r="199">
      <c r="B199" s="1105"/>
      <c r="C199" s="1251" t="s">
        <v>1602</v>
      </c>
      <c r="D199" s="1251" t="s">
        <v>1603</v>
      </c>
      <c r="E199" s="1251" t="s">
        <v>1604</v>
      </c>
      <c r="F199" s="1251" t="s">
        <v>1605</v>
      </c>
      <c r="G199" s="1251" t="s">
        <v>1606</v>
      </c>
      <c r="H199" s="1251" t="s">
        <v>1607</v>
      </c>
      <c r="I199" s="1251" t="s">
        <v>1608</v>
      </c>
      <c r="J199" s="1251" t="s">
        <v>1609</v>
      </c>
      <c r="M199" s="929"/>
      <c r="N199" s="1252"/>
      <c r="O199" s="929"/>
      <c r="P199" s="929"/>
      <c r="Q199" s="929"/>
      <c r="R199" s="929"/>
      <c r="S199" s="929"/>
      <c r="T199" s="929"/>
      <c r="U199" s="929"/>
    </row>
    <row r="200">
      <c r="B200" s="1253" t="s">
        <v>1156</v>
      </c>
      <c r="C200" s="1254">
        <v>0.1</v>
      </c>
      <c r="D200" s="1254">
        <v>0.3</v>
      </c>
      <c r="E200" s="1254">
        <v>0.6</v>
      </c>
      <c r="F200" s="1254">
        <v>0.5</v>
      </c>
      <c r="G200" s="1254">
        <v>1.0</v>
      </c>
      <c r="H200" s="1240" t="str">
        <f>'Материалы и инструменты'!E148</f>
        <v>Древесный уголь</v>
      </c>
      <c r="I200" s="1255">
        <f>'Материалы и инструменты'!$E$149*'Рудокоп'!$C$84*C200</f>
        <v>0.014</v>
      </c>
      <c r="J200" s="1256">
        <f t="shared" ref="J200:J201" si="132">$N$209*C200+$N$210*D200+(C200+D200)*E200*(0.02*G200)*G200+I200</f>
        <v>0.0718</v>
      </c>
      <c r="M200" s="1257" t="s">
        <v>1610</v>
      </c>
      <c r="N200" s="1258" t="s">
        <v>1156</v>
      </c>
      <c r="O200" s="929"/>
      <c r="P200" s="929"/>
      <c r="Q200" s="929"/>
      <c r="R200" s="929"/>
      <c r="S200" s="929"/>
      <c r="T200" s="929"/>
      <c r="U200" s="929"/>
    </row>
    <row r="201">
      <c r="B201" s="1253" t="s">
        <v>1611</v>
      </c>
      <c r="C201" s="1254">
        <v>0.1</v>
      </c>
      <c r="D201" s="1254">
        <v>0.2</v>
      </c>
      <c r="E201" s="1254">
        <v>0.5</v>
      </c>
      <c r="F201" s="1254">
        <v>0.5</v>
      </c>
      <c r="G201" s="1254">
        <v>1.0</v>
      </c>
      <c r="H201" s="1240" t="str">
        <f>'Материалы и инструменты'!E148</f>
        <v>Древесный уголь</v>
      </c>
      <c r="I201" s="1255">
        <f>'Материалы и инструменты'!$E$149*'Рудокоп'!$C$84*C201</f>
        <v>0.014</v>
      </c>
      <c r="J201" s="1256">
        <f t="shared" si="132"/>
        <v>0.069</v>
      </c>
      <c r="M201" s="936" t="s">
        <v>1612</v>
      </c>
      <c r="N201" s="1259">
        <f>VLOOKUP(N200,B200:J201,2,0)</f>
        <v>0.1</v>
      </c>
      <c r="O201" s="929"/>
      <c r="P201" s="929"/>
      <c r="Q201" s="929"/>
      <c r="R201" s="929"/>
      <c r="S201" s="929"/>
      <c r="T201" s="929"/>
      <c r="U201" s="929"/>
    </row>
    <row r="202">
      <c r="M202" s="936" t="s">
        <v>1613</v>
      </c>
      <c r="N202" s="1259">
        <f>VLOOKUP(N200,B200:J201,3,0)</f>
        <v>0.3</v>
      </c>
      <c r="O202" s="929"/>
      <c r="P202" s="929"/>
      <c r="Q202" s="929"/>
      <c r="R202" s="929"/>
      <c r="S202" s="929"/>
      <c r="T202" s="929"/>
      <c r="U202" s="929"/>
    </row>
    <row r="203">
      <c r="M203" s="1101" t="s">
        <v>1385</v>
      </c>
      <c r="N203" s="1259">
        <f>VLOOKUP(N200,B200:J201,4,0)</f>
        <v>0.6</v>
      </c>
      <c r="O203" s="929"/>
      <c r="P203" s="929"/>
      <c r="Q203" s="929"/>
      <c r="R203" s="929"/>
      <c r="S203" s="929"/>
      <c r="T203" s="929"/>
      <c r="U203" s="929"/>
    </row>
    <row r="204">
      <c r="M204" s="1101" t="s">
        <v>1485</v>
      </c>
      <c r="N204" s="1259">
        <f>VLOOKUP(N200,B200:J201,6,0)</f>
        <v>1</v>
      </c>
      <c r="O204" s="929"/>
      <c r="P204" s="929"/>
      <c r="Q204" s="929"/>
      <c r="R204" s="929"/>
      <c r="S204" s="929"/>
      <c r="T204" s="929"/>
      <c r="U204" s="929"/>
    </row>
    <row r="205">
      <c r="M205" s="1105"/>
      <c r="N205" s="1105"/>
      <c r="O205" s="1105"/>
      <c r="P205" s="1105"/>
      <c r="Q205" s="1105"/>
      <c r="R205" s="1105"/>
      <c r="S205" s="1105"/>
      <c r="T205" s="1105"/>
      <c r="U205" s="929"/>
    </row>
    <row r="206">
      <c r="M206" s="1106" t="s">
        <v>1487</v>
      </c>
      <c r="N206" s="1110" t="str">
        <f>'Материалы и инструменты'!D23</f>
        <v>Бронза</v>
      </c>
      <c r="O206" s="1110" t="str">
        <f>'Материалы и инструменты'!E23</f>
        <v>Железо</v>
      </c>
      <c r="P206" s="1110" t="str">
        <f>'Материалы и инструменты'!F23</f>
        <v>Сталь</v>
      </c>
      <c r="Q206" s="1110" t="str">
        <f>'Материалы и инструменты'!G23</f>
        <v>Булатная сталь</v>
      </c>
      <c r="R206" s="1110" t="str">
        <f>'Материалы и инструменты'!H23</f>
        <v>Каврил</v>
      </c>
      <c r="S206" s="1110" t="str">
        <f>'Материалы и инструменты'!I23</f>
        <v>Грамант</v>
      </c>
      <c r="T206" s="1110" t="str">
        <f>'Материалы и инструменты'!J23</f>
        <v>Леорит</v>
      </c>
      <c r="U206" s="1260" t="s">
        <v>1614</v>
      </c>
    </row>
    <row r="207">
      <c r="M207" s="1261" t="s">
        <v>1615</v>
      </c>
      <c r="N207" s="1262" t="s">
        <v>1616</v>
      </c>
      <c r="O207" s="1262" t="s">
        <v>1616</v>
      </c>
      <c r="P207" s="1262" t="s">
        <v>1616</v>
      </c>
      <c r="Q207" s="1262" t="s">
        <v>1616</v>
      </c>
      <c r="R207" s="1262" t="s">
        <v>1616</v>
      </c>
      <c r="S207" s="1262" t="s">
        <v>1616</v>
      </c>
      <c r="T207" s="1262" t="s">
        <v>1616</v>
      </c>
      <c r="U207" s="929"/>
    </row>
    <row r="208">
      <c r="M208" s="1233" t="s">
        <v>1617</v>
      </c>
      <c r="N208" s="1263">
        <f t="shared" ref="N208:T208" si="133">N209*N211+N210*N212+N217*N219+N215*N216</f>
        <v>0.0718</v>
      </c>
      <c r="O208" s="1263">
        <f t="shared" si="133"/>
        <v>0.2038</v>
      </c>
      <c r="P208" s="1263">
        <f t="shared" si="133"/>
        <v>0.5884</v>
      </c>
      <c r="Q208" s="1263">
        <f t="shared" si="133"/>
        <v>1.6294</v>
      </c>
      <c r="R208" s="1263">
        <f t="shared" si="133"/>
        <v>4.588</v>
      </c>
      <c r="S208" s="1263">
        <f t="shared" si="133"/>
        <v>13.1498</v>
      </c>
      <c r="T208" s="1263">
        <f t="shared" si="133"/>
        <v>38.4988</v>
      </c>
      <c r="U208" s="929"/>
    </row>
    <row r="209">
      <c r="M209" s="1116" t="s">
        <v>1618</v>
      </c>
      <c r="N209" s="1235">
        <f>'Материалы и инструменты'!D24</f>
        <v>0.5</v>
      </c>
      <c r="O209" s="1235">
        <f>'Материалы и инструменты'!E24</f>
        <v>1.51</v>
      </c>
      <c r="P209" s="1235">
        <f>'Материалы и инструменты'!F24</f>
        <v>4.57</v>
      </c>
      <c r="Q209" s="1235">
        <f>'Материалы и инструменты'!G24</f>
        <v>13.784</v>
      </c>
      <c r="R209" s="1235">
        <f>'Материалы и инструменты'!H24</f>
        <v>41.55</v>
      </c>
      <c r="S209" s="1235">
        <f>'Материалы и инструменты'!I24</f>
        <v>124.72</v>
      </c>
      <c r="T209" s="1235">
        <f>'Материалы и инструменты'!J24</f>
        <v>374.71</v>
      </c>
      <c r="U209" s="929"/>
    </row>
    <row r="210">
      <c r="M210" s="1264" t="s">
        <v>1619</v>
      </c>
      <c r="N210" s="1265">
        <f>'Материалы и инструменты'!$D$63</f>
        <v>0.01</v>
      </c>
      <c r="O210" s="1265">
        <f>'Материалы и инструменты'!$D$63</f>
        <v>0.01</v>
      </c>
      <c r="P210" s="1265">
        <f>'Материалы и инструменты'!$D$63</f>
        <v>0.01</v>
      </c>
      <c r="Q210" s="1265">
        <f>'Материалы и инструменты'!$D$63</f>
        <v>0.01</v>
      </c>
      <c r="R210" s="1265">
        <f>'Материалы и инструменты'!$D$63</f>
        <v>0.01</v>
      </c>
      <c r="S210" s="1265">
        <f>'Материалы и инструменты'!$D$63</f>
        <v>0.01</v>
      </c>
      <c r="T210" s="1265">
        <f>'Материалы и инструменты'!$D$63</f>
        <v>0.01</v>
      </c>
      <c r="U210" s="929"/>
    </row>
    <row r="211">
      <c r="M211" s="1266" t="s">
        <v>1620</v>
      </c>
      <c r="N211" s="1267">
        <f t="shared" ref="N211:T211" si="134">$N$201</f>
        <v>0.1</v>
      </c>
      <c r="O211" s="1267">
        <f t="shared" si="134"/>
        <v>0.1</v>
      </c>
      <c r="P211" s="1267">
        <f t="shared" si="134"/>
        <v>0.1</v>
      </c>
      <c r="Q211" s="1267">
        <f t="shared" si="134"/>
        <v>0.1</v>
      </c>
      <c r="R211" s="1267">
        <f t="shared" si="134"/>
        <v>0.1</v>
      </c>
      <c r="S211" s="1267">
        <f t="shared" si="134"/>
        <v>0.1</v>
      </c>
      <c r="T211" s="1267">
        <f t="shared" si="134"/>
        <v>0.1</v>
      </c>
      <c r="U211" s="929"/>
    </row>
    <row r="212">
      <c r="M212" s="1268" t="s">
        <v>1621</v>
      </c>
      <c r="N212" s="1269">
        <f t="shared" ref="N212:T212" si="135">$N$202</f>
        <v>0.3</v>
      </c>
      <c r="O212" s="1269">
        <f t="shared" si="135"/>
        <v>0.3</v>
      </c>
      <c r="P212" s="1269">
        <f t="shared" si="135"/>
        <v>0.3</v>
      </c>
      <c r="Q212" s="1269">
        <f t="shared" si="135"/>
        <v>0.3</v>
      </c>
      <c r="R212" s="1269">
        <f t="shared" si="135"/>
        <v>0.3</v>
      </c>
      <c r="S212" s="1269">
        <f t="shared" si="135"/>
        <v>0.3</v>
      </c>
      <c r="T212" s="1269">
        <f t="shared" si="135"/>
        <v>0.3</v>
      </c>
      <c r="U212" s="929"/>
    </row>
    <row r="213">
      <c r="M213" s="999" t="s">
        <v>1400</v>
      </c>
      <c r="N213" s="1238" t="s">
        <v>1595</v>
      </c>
      <c r="O213" s="1238" t="s">
        <v>1547</v>
      </c>
      <c r="P213" s="1238" t="s">
        <v>1547</v>
      </c>
      <c r="Q213" s="1238" t="s">
        <v>1547</v>
      </c>
      <c r="R213" s="1238" t="s">
        <v>1547</v>
      </c>
      <c r="S213" s="1238" t="s">
        <v>1547</v>
      </c>
      <c r="T213" s="1238" t="s">
        <v>1547</v>
      </c>
      <c r="U213" s="929"/>
    </row>
    <row r="214">
      <c r="M214" s="1001" t="s">
        <v>1369</v>
      </c>
      <c r="N214" s="1237" t="str">
        <f>'Материалы и инструменты'!$E$148</f>
        <v>Древесный уголь</v>
      </c>
      <c r="O214" s="1237" t="str">
        <f>'Материалы и инструменты'!$E$148</f>
        <v>Древесный уголь</v>
      </c>
      <c r="P214" s="1240" t="str">
        <f>'Материалы и инструменты'!$F$148</f>
        <v>Каменный уголь</v>
      </c>
      <c r="Q214" s="1240" t="str">
        <f>'Материалы и инструменты'!$F$148</f>
        <v>Каменный уголь</v>
      </c>
      <c r="R214" s="1240" t="str">
        <f>'Материалы и инструменты'!$F$148</f>
        <v>Каменный уголь</v>
      </c>
      <c r="S214" s="1240" t="str">
        <f>'Материалы и инструменты'!$F$148</f>
        <v>Каменный уголь</v>
      </c>
      <c r="T214" s="1240" t="str">
        <f>'Материалы и инструменты'!$F$148</f>
        <v>Каменный уголь</v>
      </c>
      <c r="U214" s="929"/>
    </row>
    <row r="215">
      <c r="M215" s="1002" t="s">
        <v>1370</v>
      </c>
      <c r="N215" s="1239">
        <f>'Материалы и инструменты'!$E$149</f>
        <v>0.07</v>
      </c>
      <c r="O215" s="1239">
        <f>'Материалы и инструменты'!$E$149</f>
        <v>0.07</v>
      </c>
      <c r="P215" s="1270">
        <f>'Материалы и инструменты'!$F$149</f>
        <v>0.14</v>
      </c>
      <c r="Q215" s="1270">
        <f>'Материалы и инструменты'!$F$149</f>
        <v>0.14</v>
      </c>
      <c r="R215" s="1270">
        <f>'Материалы и инструменты'!$F$149</f>
        <v>0.14</v>
      </c>
      <c r="S215" s="1270">
        <f>'Материалы и инструменты'!$F$149</f>
        <v>0.14</v>
      </c>
      <c r="T215" s="1270">
        <f>'Материалы и инструменты'!$F$149</f>
        <v>0.14</v>
      </c>
      <c r="U215" s="929"/>
    </row>
    <row r="216">
      <c r="M216" s="1002" t="s">
        <v>1231</v>
      </c>
      <c r="N216" s="1240">
        <f>VLOOKUP(N206,'Списки'!$L$108:$P$114,3,FALSE)*N211</f>
        <v>0.2</v>
      </c>
      <c r="O216" s="1240">
        <f>VLOOKUP(O206,'Списки'!$L$108:$P$114,3,FALSE)*O211</f>
        <v>0.3</v>
      </c>
      <c r="P216" s="1240">
        <f>VLOOKUP(P206,'Списки'!$L$108:$P$114,3,FALSE)*P211</f>
        <v>0.3</v>
      </c>
      <c r="Q216" s="1240">
        <f>VLOOKUP(Q206,'Списки'!$L$108:$P$114,3,FALSE)*Q211</f>
        <v>0.4</v>
      </c>
      <c r="R216" s="1240">
        <f>VLOOKUP(R206,'Списки'!$L$108:$P$114,3,FALSE)*R211</f>
        <v>0.5</v>
      </c>
      <c r="S216" s="1240">
        <f>VLOOKUP(S206,'Списки'!$L$108:$P$114,3,FALSE)*S211</f>
        <v>0.5</v>
      </c>
      <c r="T216" s="1240">
        <f>VLOOKUP(T206,'Списки'!$L$108:$P$114,3,FALSE)*T211</f>
        <v>0.6</v>
      </c>
      <c r="U216" s="929"/>
    </row>
    <row r="217">
      <c r="M217" s="1004" t="s">
        <v>1371</v>
      </c>
      <c r="N217" s="1271">
        <f t="shared" ref="N217:T217" si="136">(N211+N212)*N218</f>
        <v>0.24</v>
      </c>
      <c r="O217" s="1271">
        <f t="shared" si="136"/>
        <v>0.36</v>
      </c>
      <c r="P217" s="1271">
        <f t="shared" si="136"/>
        <v>0.48</v>
      </c>
      <c r="Q217" s="1271">
        <f t="shared" si="136"/>
        <v>0.6</v>
      </c>
      <c r="R217" s="1271">
        <f t="shared" si="136"/>
        <v>0.72</v>
      </c>
      <c r="S217" s="1271">
        <f t="shared" si="136"/>
        <v>0.84</v>
      </c>
      <c r="T217" s="1271">
        <f t="shared" si="136"/>
        <v>0.96</v>
      </c>
      <c r="U217" s="929"/>
    </row>
    <row r="218">
      <c r="M218" s="1004" t="s">
        <v>1385</v>
      </c>
      <c r="N218" s="1271">
        <f>N203</f>
        <v>0.6</v>
      </c>
      <c r="O218" s="1271">
        <f t="shared" ref="O218:T218" si="137">N218+0.3</f>
        <v>0.9</v>
      </c>
      <c r="P218" s="1271">
        <f t="shared" si="137"/>
        <v>1.2</v>
      </c>
      <c r="Q218" s="1271">
        <f t="shared" si="137"/>
        <v>1.5</v>
      </c>
      <c r="R218" s="1271">
        <f t="shared" si="137"/>
        <v>1.8</v>
      </c>
      <c r="S218" s="1271">
        <f t="shared" si="137"/>
        <v>2.1</v>
      </c>
      <c r="T218" s="1271">
        <f t="shared" si="137"/>
        <v>2.4</v>
      </c>
      <c r="U218" s="1243">
        <v>1.0</v>
      </c>
    </row>
    <row r="219">
      <c r="M219" s="1004" t="s">
        <v>1372</v>
      </c>
      <c r="N219" s="1271">
        <f t="shared" ref="N219:T219" si="138">(0.02*N220)*N220</f>
        <v>0.02</v>
      </c>
      <c r="O219" s="1271">
        <f t="shared" si="138"/>
        <v>0.08</v>
      </c>
      <c r="P219" s="1271">
        <f t="shared" si="138"/>
        <v>0.18</v>
      </c>
      <c r="Q219" s="1272">
        <f t="shared" si="138"/>
        <v>0.32</v>
      </c>
      <c r="R219" s="1271">
        <f t="shared" si="138"/>
        <v>0.5</v>
      </c>
      <c r="S219" s="1271">
        <f t="shared" si="138"/>
        <v>0.72</v>
      </c>
      <c r="T219" s="1271">
        <f t="shared" si="138"/>
        <v>0.98</v>
      </c>
      <c r="U219" s="929"/>
    </row>
    <row r="220">
      <c r="L220" s="1100"/>
      <c r="M220" s="1004" t="s">
        <v>1622</v>
      </c>
      <c r="N220" s="1271">
        <f>N204</f>
        <v>1</v>
      </c>
      <c r="O220" s="1271">
        <f t="shared" ref="O220:T220" si="139">N220+1</f>
        <v>2</v>
      </c>
      <c r="P220" s="1271">
        <f t="shared" si="139"/>
        <v>3</v>
      </c>
      <c r="Q220" s="1271">
        <f t="shared" si="139"/>
        <v>4</v>
      </c>
      <c r="R220" s="1271">
        <f t="shared" si="139"/>
        <v>5</v>
      </c>
      <c r="S220" s="1271">
        <f t="shared" si="139"/>
        <v>6</v>
      </c>
      <c r="T220" s="1271">
        <f t="shared" si="139"/>
        <v>7</v>
      </c>
      <c r="U220" s="929"/>
    </row>
    <row r="221">
      <c r="L221" s="1100"/>
      <c r="M221" s="1273" t="s">
        <v>1623</v>
      </c>
      <c r="N221" s="1271">
        <f t="shared" ref="N221:T221" si="140">20+(N220-1)*4</f>
        <v>20</v>
      </c>
      <c r="O221" s="1271">
        <f t="shared" si="140"/>
        <v>24</v>
      </c>
      <c r="P221" s="1271">
        <f t="shared" si="140"/>
        <v>28</v>
      </c>
      <c r="Q221" s="1271">
        <f t="shared" si="140"/>
        <v>32</v>
      </c>
      <c r="R221" s="1271">
        <f t="shared" si="140"/>
        <v>36</v>
      </c>
      <c r="S221" s="1271">
        <f t="shared" si="140"/>
        <v>40</v>
      </c>
      <c r="T221" s="1271">
        <f t="shared" si="140"/>
        <v>44</v>
      </c>
      <c r="U221" s="929"/>
    </row>
    <row r="222">
      <c r="L222" s="1100"/>
      <c r="M222" s="1274" t="s">
        <v>1624</v>
      </c>
      <c r="N222" s="1008" t="s">
        <v>1237</v>
      </c>
      <c r="O222" s="1008" t="s">
        <v>1237</v>
      </c>
      <c r="P222" s="1008" t="s">
        <v>1237</v>
      </c>
      <c r="Q222" s="953" t="s">
        <v>1250</v>
      </c>
      <c r="R222" s="953" t="s">
        <v>1250</v>
      </c>
      <c r="S222" s="953" t="s">
        <v>1250</v>
      </c>
      <c r="T222" s="953" t="s">
        <v>1263</v>
      </c>
      <c r="U222" s="929"/>
    </row>
    <row r="223">
      <c r="L223" s="1100"/>
      <c r="M223" s="1004" t="s">
        <v>1493</v>
      </c>
      <c r="N223" s="1008" t="s">
        <v>1237</v>
      </c>
      <c r="O223" s="1008" t="s">
        <v>1237</v>
      </c>
      <c r="P223" s="1008" t="s">
        <v>1237</v>
      </c>
      <c r="Q223" s="953" t="s">
        <v>1250</v>
      </c>
      <c r="R223" s="953" t="s">
        <v>1250</v>
      </c>
      <c r="S223" s="953" t="s">
        <v>1250</v>
      </c>
      <c r="T223" s="953" t="s">
        <v>1263</v>
      </c>
      <c r="U223" s="929"/>
    </row>
    <row r="224">
      <c r="L224" s="1100"/>
      <c r="M224" s="1111" t="s">
        <v>1494</v>
      </c>
      <c r="N224" s="1275">
        <f t="shared" ref="N224:T224" si="141">N209*N211+N210*N212+N225*N227+N215*N216</f>
        <v>0.1054</v>
      </c>
      <c r="O224" s="1275">
        <f t="shared" si="141"/>
        <v>0.3046</v>
      </c>
      <c r="P224" s="1275">
        <f t="shared" si="141"/>
        <v>0.8092</v>
      </c>
      <c r="Q224" s="1275">
        <f t="shared" si="141"/>
        <v>2.0374</v>
      </c>
      <c r="R224" s="1275">
        <f t="shared" si="141"/>
        <v>5.2648</v>
      </c>
      <c r="S224" s="1275">
        <f t="shared" si="141"/>
        <v>14.1914</v>
      </c>
      <c r="T224" s="1275">
        <f t="shared" si="141"/>
        <v>40.0156</v>
      </c>
      <c r="U224" s="929"/>
    </row>
    <row r="225">
      <c r="L225" s="1100"/>
      <c r="M225" s="1004" t="s">
        <v>1371</v>
      </c>
      <c r="N225" s="1271">
        <f t="shared" ref="N225:T225" si="142">(N211+N212)*N226</f>
        <v>0.48</v>
      </c>
      <c r="O225" s="1271">
        <f t="shared" si="142"/>
        <v>0.72</v>
      </c>
      <c r="P225" s="1271">
        <f t="shared" si="142"/>
        <v>0.96</v>
      </c>
      <c r="Q225" s="1271">
        <f t="shared" si="142"/>
        <v>1.2</v>
      </c>
      <c r="R225" s="1271">
        <f t="shared" si="142"/>
        <v>1.44</v>
      </c>
      <c r="S225" s="1271">
        <f t="shared" si="142"/>
        <v>1.68</v>
      </c>
      <c r="T225" s="1271">
        <f t="shared" si="142"/>
        <v>1.92</v>
      </c>
      <c r="U225" s="929"/>
    </row>
    <row r="226">
      <c r="L226" s="1100"/>
      <c r="M226" s="1004" t="s">
        <v>1385</v>
      </c>
      <c r="N226" s="1271">
        <f t="shared" ref="N226:T226" si="143">N$218*$U226</f>
        <v>1.2</v>
      </c>
      <c r="O226" s="1271">
        <f t="shared" si="143"/>
        <v>1.8</v>
      </c>
      <c r="P226" s="1271">
        <f t="shared" si="143"/>
        <v>2.4</v>
      </c>
      <c r="Q226" s="1271">
        <f t="shared" si="143"/>
        <v>3</v>
      </c>
      <c r="R226" s="1271">
        <f t="shared" si="143"/>
        <v>3.6</v>
      </c>
      <c r="S226" s="1271">
        <f t="shared" si="143"/>
        <v>4.2</v>
      </c>
      <c r="T226" s="1271">
        <f t="shared" si="143"/>
        <v>4.8</v>
      </c>
      <c r="U226" s="1243">
        <v>2.0</v>
      </c>
    </row>
    <row r="227">
      <c r="L227" s="1100"/>
      <c r="M227" s="1004" t="s">
        <v>1372</v>
      </c>
      <c r="N227" s="1271">
        <f t="shared" ref="N227:T227" si="144">(0.02*N228)*N228</f>
        <v>0.08</v>
      </c>
      <c r="O227" s="1271">
        <f t="shared" si="144"/>
        <v>0.18</v>
      </c>
      <c r="P227" s="1271">
        <f t="shared" si="144"/>
        <v>0.32</v>
      </c>
      <c r="Q227" s="1271">
        <f t="shared" si="144"/>
        <v>0.5</v>
      </c>
      <c r="R227" s="1271">
        <f t="shared" si="144"/>
        <v>0.72</v>
      </c>
      <c r="S227" s="1271">
        <f t="shared" si="144"/>
        <v>0.98</v>
      </c>
      <c r="T227" s="1271">
        <f t="shared" si="144"/>
        <v>1.28</v>
      </c>
      <c r="U227" s="929"/>
    </row>
    <row r="228">
      <c r="L228" s="1104"/>
      <c r="M228" s="1004" t="s">
        <v>1622</v>
      </c>
      <c r="N228" s="1271">
        <f t="shared" ref="N228:T228" si="145">N220+1</f>
        <v>2</v>
      </c>
      <c r="O228" s="1271">
        <f t="shared" si="145"/>
        <v>3</v>
      </c>
      <c r="P228" s="1271">
        <f t="shared" si="145"/>
        <v>4</v>
      </c>
      <c r="Q228" s="1271">
        <f t="shared" si="145"/>
        <v>5</v>
      </c>
      <c r="R228" s="1271">
        <f t="shared" si="145"/>
        <v>6</v>
      </c>
      <c r="S228" s="1271">
        <f t="shared" si="145"/>
        <v>7</v>
      </c>
      <c r="T228" s="1271">
        <f t="shared" si="145"/>
        <v>8</v>
      </c>
      <c r="U228" s="929"/>
    </row>
    <row r="229">
      <c r="L229" s="1104"/>
      <c r="M229" s="1273" t="s">
        <v>1623</v>
      </c>
      <c r="N229" s="1271">
        <f t="shared" ref="N229:T229" si="146">20+(N228-1)*4</f>
        <v>24</v>
      </c>
      <c r="O229" s="1271">
        <f t="shared" si="146"/>
        <v>28</v>
      </c>
      <c r="P229" s="1271">
        <f t="shared" si="146"/>
        <v>32</v>
      </c>
      <c r="Q229" s="1271">
        <f t="shared" si="146"/>
        <v>36</v>
      </c>
      <c r="R229" s="1271">
        <f t="shared" si="146"/>
        <v>40</v>
      </c>
      <c r="S229" s="1271">
        <f t="shared" si="146"/>
        <v>44</v>
      </c>
      <c r="T229" s="1271">
        <f t="shared" si="146"/>
        <v>48</v>
      </c>
      <c r="U229" s="929"/>
    </row>
    <row r="230">
      <c r="L230" s="1104"/>
      <c r="M230" s="1274" t="s">
        <v>1624</v>
      </c>
      <c r="N230" s="1008" t="s">
        <v>1237</v>
      </c>
      <c r="O230" s="1008" t="s">
        <v>1237</v>
      </c>
      <c r="P230" s="953" t="s">
        <v>1250</v>
      </c>
      <c r="Q230" s="953" t="s">
        <v>1250</v>
      </c>
      <c r="R230" s="953" t="s">
        <v>1250</v>
      </c>
      <c r="S230" s="953" t="s">
        <v>1263</v>
      </c>
      <c r="T230" s="953" t="s">
        <v>1263</v>
      </c>
      <c r="U230" s="929"/>
    </row>
    <row r="231">
      <c r="L231" s="1104"/>
      <c r="M231" s="1004" t="s">
        <v>1493</v>
      </c>
      <c r="N231" s="1008" t="s">
        <v>1237</v>
      </c>
      <c r="O231" s="1008" t="s">
        <v>1237</v>
      </c>
      <c r="P231" s="953" t="s">
        <v>1250</v>
      </c>
      <c r="Q231" s="953" t="s">
        <v>1250</v>
      </c>
      <c r="R231" s="953" t="s">
        <v>1250</v>
      </c>
      <c r="S231" s="953" t="s">
        <v>1263</v>
      </c>
      <c r="T231" s="953" t="s">
        <v>1263</v>
      </c>
      <c r="U231" s="929"/>
    </row>
    <row r="232">
      <c r="M232" s="929"/>
      <c r="N232" s="929"/>
      <c r="O232" s="929"/>
      <c r="P232" s="929"/>
      <c r="Q232" s="929"/>
      <c r="R232" s="929"/>
      <c r="S232" s="929"/>
      <c r="T232" s="929"/>
      <c r="U232" s="929"/>
    </row>
    <row r="233">
      <c r="M233" s="1276" t="s">
        <v>1625</v>
      </c>
      <c r="N233" s="1105"/>
      <c r="O233" s="1105"/>
      <c r="P233" s="1105"/>
      <c r="Q233" s="1105"/>
      <c r="R233" s="1105"/>
      <c r="S233" s="1105"/>
      <c r="T233" s="1105"/>
      <c r="U233" s="929"/>
    </row>
    <row r="234">
      <c r="M234" s="1247" t="s">
        <v>1626</v>
      </c>
      <c r="N234" s="1110" t="str">
        <f>'Материалы и инструменты'!D23</f>
        <v>Бронза</v>
      </c>
      <c r="O234" s="1110" t="str">
        <f>'Материалы и инструменты'!E23</f>
        <v>Железо</v>
      </c>
      <c r="P234" s="1110" t="str">
        <f>'Материалы и инструменты'!F23</f>
        <v>Сталь</v>
      </c>
      <c r="Q234" s="1110" t="str">
        <f>'Материалы и инструменты'!G23</f>
        <v>Булатная сталь</v>
      </c>
      <c r="R234" s="1110" t="str">
        <f>'Материалы и инструменты'!H23</f>
        <v>Каврил</v>
      </c>
      <c r="S234" s="1110" t="str">
        <f>'Материалы и инструменты'!I23</f>
        <v>Грамант</v>
      </c>
      <c r="T234" s="1110" t="str">
        <f>'Материалы и инструменты'!J23</f>
        <v>Леорит</v>
      </c>
      <c r="U234" s="929"/>
    </row>
    <row r="235">
      <c r="M235" s="1114" t="s">
        <v>133</v>
      </c>
      <c r="N235" s="1115">
        <v>0.0</v>
      </c>
      <c r="O235" s="1115">
        <v>1.0</v>
      </c>
      <c r="P235" s="1115">
        <v>2.0</v>
      </c>
      <c r="Q235" s="1115">
        <v>3.0</v>
      </c>
      <c r="R235" s="1115">
        <v>4.0</v>
      </c>
      <c r="S235" s="1115">
        <v>5.0</v>
      </c>
      <c r="T235" s="1115">
        <v>6.0</v>
      </c>
      <c r="U235" s="929"/>
    </row>
    <row r="236">
      <c r="L236" s="1104"/>
      <c r="M236" s="1114" t="s">
        <v>1211</v>
      </c>
      <c r="N236" s="1115">
        <f t="shared" ref="N236:T236" si="147">N235+1</f>
        <v>1</v>
      </c>
      <c r="O236" s="1115">
        <f t="shared" si="147"/>
        <v>2</v>
      </c>
      <c r="P236" s="1115">
        <f t="shared" si="147"/>
        <v>3</v>
      </c>
      <c r="Q236" s="1115">
        <f t="shared" si="147"/>
        <v>4</v>
      </c>
      <c r="R236" s="1115">
        <f t="shared" si="147"/>
        <v>5</v>
      </c>
      <c r="S236" s="1115">
        <f t="shared" si="147"/>
        <v>6</v>
      </c>
      <c r="T236" s="1115">
        <f t="shared" si="147"/>
        <v>7</v>
      </c>
      <c r="U236" s="929"/>
    </row>
    <row r="237">
      <c r="L237" s="1104"/>
    </row>
    <row r="238">
      <c r="L238" s="1104"/>
    </row>
    <row r="239">
      <c r="L239" s="1104"/>
    </row>
    <row r="240">
      <c r="L240" s="1104"/>
    </row>
    <row r="241">
      <c r="L241" s="1100"/>
    </row>
    <row r="242">
      <c r="L242" s="1104"/>
    </row>
    <row r="243">
      <c r="L243" s="1104"/>
    </row>
    <row r="244">
      <c r="L244" s="1104"/>
    </row>
    <row r="245">
      <c r="L245" s="1104"/>
    </row>
    <row r="246">
      <c r="L246" s="1104"/>
    </row>
    <row r="247">
      <c r="L247" s="1104"/>
    </row>
    <row r="248">
      <c r="L248" s="1100"/>
    </row>
    <row r="249">
      <c r="L249" s="1104"/>
      <c r="M249" s="1104"/>
      <c r="N249" s="1104"/>
      <c r="O249" s="1104"/>
      <c r="P249" s="1100"/>
      <c r="Q249" s="1100"/>
      <c r="R249" s="1100"/>
      <c r="S249" s="1100"/>
    </row>
    <row r="250">
      <c r="L250" s="1104"/>
      <c r="M250" s="1104"/>
      <c r="N250" s="1104"/>
      <c r="O250" s="1104"/>
      <c r="P250" s="1100"/>
      <c r="Q250" s="1100"/>
      <c r="R250" s="1100"/>
      <c r="S250" s="1100"/>
    </row>
    <row r="251">
      <c r="L251" s="1104"/>
      <c r="M251" s="1104"/>
      <c r="N251" s="1104"/>
      <c r="O251" s="1104"/>
      <c r="P251" s="1100"/>
      <c r="Q251" s="1100"/>
      <c r="R251" s="1100"/>
      <c r="S251" s="1100"/>
    </row>
    <row r="252">
      <c r="L252" s="1104"/>
      <c r="M252" s="1104"/>
      <c r="N252" s="1104"/>
      <c r="O252" s="1104"/>
      <c r="P252" s="1100"/>
      <c r="Q252" s="1100"/>
      <c r="R252" s="1100"/>
      <c r="S252" s="1100"/>
    </row>
    <row r="253">
      <c r="L253" s="1104"/>
      <c r="M253" s="1104"/>
      <c r="N253" s="1104"/>
      <c r="O253" s="1104"/>
      <c r="P253" s="1100"/>
      <c r="Q253" s="1100"/>
      <c r="R253" s="1100"/>
      <c r="S253" s="1100"/>
    </row>
    <row r="254">
      <c r="L254" s="1104"/>
      <c r="M254" s="1104"/>
      <c r="N254" s="1104"/>
      <c r="O254" s="1104"/>
      <c r="P254" s="1100"/>
      <c r="Q254" s="1100"/>
      <c r="R254" s="1100"/>
      <c r="S254" s="1100"/>
    </row>
    <row r="255">
      <c r="L255" s="1100"/>
      <c r="M255" s="1100"/>
      <c r="N255" s="1100"/>
      <c r="O255" s="1100"/>
      <c r="P255" s="1100"/>
      <c r="Q255" s="1100"/>
      <c r="R255" s="1100"/>
      <c r="S255" s="1100"/>
    </row>
    <row r="256">
      <c r="L256" s="1104"/>
      <c r="M256" s="1104"/>
      <c r="N256" s="1104"/>
      <c r="O256" s="1104"/>
      <c r="P256" s="1100"/>
      <c r="Q256" s="1100"/>
      <c r="R256" s="1100"/>
      <c r="S256" s="1100"/>
    </row>
    <row r="257">
      <c r="L257" s="1104"/>
      <c r="M257" s="1104"/>
      <c r="N257" s="1104"/>
      <c r="O257" s="1104"/>
      <c r="P257" s="1100"/>
      <c r="Q257" s="1100"/>
      <c r="R257" s="1100"/>
      <c r="S257" s="1100"/>
    </row>
    <row r="258">
      <c r="L258" s="1104"/>
      <c r="M258" s="1104"/>
      <c r="N258" s="1104"/>
      <c r="O258" s="1104"/>
      <c r="P258" s="1100"/>
      <c r="Q258" s="1100"/>
      <c r="R258" s="1100"/>
      <c r="S258" s="1100"/>
    </row>
    <row r="259">
      <c r="L259" s="1104"/>
      <c r="M259" s="1104"/>
      <c r="N259" s="1104"/>
      <c r="O259" s="1104"/>
      <c r="P259" s="1100"/>
      <c r="Q259" s="1100"/>
      <c r="R259" s="1100"/>
      <c r="S259" s="1100"/>
    </row>
    <row r="260">
      <c r="L260" s="1104"/>
      <c r="M260" s="1104"/>
      <c r="N260" s="1104"/>
      <c r="O260" s="1104"/>
      <c r="P260" s="1100"/>
      <c r="Q260" s="1100"/>
      <c r="R260" s="1100"/>
      <c r="S260" s="1100"/>
    </row>
    <row r="261">
      <c r="L261" s="1104"/>
      <c r="M261" s="1104"/>
      <c r="N261" s="1104"/>
      <c r="O261" s="1104"/>
      <c r="P261" s="1100"/>
      <c r="Q261" s="1100"/>
      <c r="R261" s="1100"/>
      <c r="S261" s="1100"/>
    </row>
    <row r="262">
      <c r="L262" s="1100"/>
      <c r="M262" s="1100"/>
      <c r="N262" s="1100"/>
      <c r="O262" s="1100"/>
      <c r="P262" s="1100"/>
      <c r="Q262" s="1100"/>
      <c r="R262" s="1100"/>
      <c r="S262" s="1100"/>
    </row>
  </sheetData>
  <mergeCells count="164">
    <mergeCell ref="AD67:AD68"/>
    <mergeCell ref="AE69:AE70"/>
    <mergeCell ref="AF69:AF70"/>
    <mergeCell ref="AG69:AG70"/>
    <mergeCell ref="AH69:AH70"/>
    <mergeCell ref="AI69:AI70"/>
    <mergeCell ref="AJ69:AJ70"/>
    <mergeCell ref="AD69:AD70"/>
    <mergeCell ref="AE71:AE72"/>
    <mergeCell ref="AF71:AF72"/>
    <mergeCell ref="AG71:AG72"/>
    <mergeCell ref="AH71:AH72"/>
    <mergeCell ref="AI71:AI72"/>
    <mergeCell ref="AJ71:AJ72"/>
    <mergeCell ref="W52:AC52"/>
    <mergeCell ref="AE55:AE56"/>
    <mergeCell ref="AF55:AF56"/>
    <mergeCell ref="AG55:AG56"/>
    <mergeCell ref="AH55:AH56"/>
    <mergeCell ref="AI55:AI56"/>
    <mergeCell ref="AJ55:AJ56"/>
    <mergeCell ref="AD55:AD56"/>
    <mergeCell ref="AE57:AE58"/>
    <mergeCell ref="AF57:AF58"/>
    <mergeCell ref="AG57:AG58"/>
    <mergeCell ref="AH57:AH58"/>
    <mergeCell ref="AI57:AI58"/>
    <mergeCell ref="AJ57:AJ58"/>
    <mergeCell ref="AD57:AD58"/>
    <mergeCell ref="AE59:AE60"/>
    <mergeCell ref="AF59:AF60"/>
    <mergeCell ref="AG59:AG60"/>
    <mergeCell ref="AH59:AH60"/>
    <mergeCell ref="AI59:AI60"/>
    <mergeCell ref="AJ59:AJ60"/>
    <mergeCell ref="AD59:AD60"/>
    <mergeCell ref="AE61:AE62"/>
    <mergeCell ref="AF61:AF62"/>
    <mergeCell ref="AG61:AG62"/>
    <mergeCell ref="AH61:AH62"/>
    <mergeCell ref="AI61:AI62"/>
    <mergeCell ref="AJ61:AJ62"/>
    <mergeCell ref="AD61:AD62"/>
    <mergeCell ref="AE65:AE66"/>
    <mergeCell ref="AF65:AF66"/>
    <mergeCell ref="AG65:AG66"/>
    <mergeCell ref="AH65:AH66"/>
    <mergeCell ref="AI65:AI66"/>
    <mergeCell ref="AJ65:AJ66"/>
    <mergeCell ref="AD65:AD66"/>
    <mergeCell ref="AE67:AE68"/>
    <mergeCell ref="AF67:AF68"/>
    <mergeCell ref="AG67:AG68"/>
    <mergeCell ref="AH67:AH68"/>
    <mergeCell ref="AI67:AI68"/>
    <mergeCell ref="AJ67:AJ68"/>
    <mergeCell ref="W101:W102"/>
    <mergeCell ref="X101:X102"/>
    <mergeCell ref="Y101:Y102"/>
    <mergeCell ref="Z101:Z102"/>
    <mergeCell ref="T101:T102"/>
    <mergeCell ref="T103:T104"/>
    <mergeCell ref="U103:U104"/>
    <mergeCell ref="V103:V104"/>
    <mergeCell ref="W103:W104"/>
    <mergeCell ref="X103:X104"/>
    <mergeCell ref="Y103:Y104"/>
    <mergeCell ref="Z103:Z104"/>
    <mergeCell ref="V105:V106"/>
    <mergeCell ref="W105:W106"/>
    <mergeCell ref="X105:X106"/>
    <mergeCell ref="Y105:Y106"/>
    <mergeCell ref="T114:T115"/>
    <mergeCell ref="U114:U115"/>
    <mergeCell ref="V114:V115"/>
    <mergeCell ref="W114:W115"/>
    <mergeCell ref="X114:X115"/>
    <mergeCell ref="Y114:Y115"/>
    <mergeCell ref="Z114:Z115"/>
    <mergeCell ref="T116:T117"/>
    <mergeCell ref="U116:U117"/>
    <mergeCell ref="V116:V117"/>
    <mergeCell ref="W116:W117"/>
    <mergeCell ref="X116:X117"/>
    <mergeCell ref="Y116:Y117"/>
    <mergeCell ref="Z116:Z117"/>
    <mergeCell ref="L105:L106"/>
    <mergeCell ref="L107:L108"/>
    <mergeCell ref="L110:L111"/>
    <mergeCell ref="L112:L113"/>
    <mergeCell ref="L114:L115"/>
    <mergeCell ref="L116:L117"/>
    <mergeCell ref="L119:L120"/>
    <mergeCell ref="F143:F144"/>
    <mergeCell ref="G143:G144"/>
    <mergeCell ref="H143:H144"/>
    <mergeCell ref="I143:I144"/>
    <mergeCell ref="L121:L122"/>
    <mergeCell ref="L123:L124"/>
    <mergeCell ref="L125:L126"/>
    <mergeCell ref="B143:B144"/>
    <mergeCell ref="C143:C144"/>
    <mergeCell ref="D143:D144"/>
    <mergeCell ref="E143:E144"/>
    <mergeCell ref="J143:J144"/>
    <mergeCell ref="T121:T122"/>
    <mergeCell ref="U121:U122"/>
    <mergeCell ref="V121:V122"/>
    <mergeCell ref="W121:W122"/>
    <mergeCell ref="X121:X122"/>
    <mergeCell ref="Y121:Y122"/>
    <mergeCell ref="Z121:Z122"/>
    <mergeCell ref="T123:T124"/>
    <mergeCell ref="U123:U124"/>
    <mergeCell ref="V123:V124"/>
    <mergeCell ref="W123:W124"/>
    <mergeCell ref="X123:X124"/>
    <mergeCell ref="Y123:Y124"/>
    <mergeCell ref="Z123:Z124"/>
    <mergeCell ref="AD71:AD72"/>
    <mergeCell ref="L98:L100"/>
    <mergeCell ref="M98:S98"/>
    <mergeCell ref="L101:L102"/>
    <mergeCell ref="V101:V102"/>
    <mergeCell ref="L103:L104"/>
    <mergeCell ref="Z105:Z106"/>
    <mergeCell ref="X107:X108"/>
    <mergeCell ref="Y107:Y108"/>
    <mergeCell ref="Z107:Z108"/>
    <mergeCell ref="U101:U102"/>
    <mergeCell ref="T105:T106"/>
    <mergeCell ref="U105:U106"/>
    <mergeCell ref="T107:T108"/>
    <mergeCell ref="U107:U108"/>
    <mergeCell ref="V107:V108"/>
    <mergeCell ref="W107:W108"/>
    <mergeCell ref="T110:T111"/>
    <mergeCell ref="U110:U111"/>
    <mergeCell ref="V110:V111"/>
    <mergeCell ref="W110:W111"/>
    <mergeCell ref="X110:X111"/>
    <mergeCell ref="Y110:Y111"/>
    <mergeCell ref="Z110:Z111"/>
    <mergeCell ref="T112:T113"/>
    <mergeCell ref="U112:U113"/>
    <mergeCell ref="V112:V113"/>
    <mergeCell ref="W112:W113"/>
    <mergeCell ref="X112:X113"/>
    <mergeCell ref="Y112:Y113"/>
    <mergeCell ref="Z112:Z113"/>
    <mergeCell ref="T119:T120"/>
    <mergeCell ref="U119:U120"/>
    <mergeCell ref="V119:V120"/>
    <mergeCell ref="W119:W120"/>
    <mergeCell ref="X119:X120"/>
    <mergeCell ref="Y119:Y120"/>
    <mergeCell ref="Z119:Z120"/>
    <mergeCell ref="T125:T126"/>
    <mergeCell ref="U125:U126"/>
    <mergeCell ref="V125:V126"/>
    <mergeCell ref="W125:W126"/>
    <mergeCell ref="X125:X126"/>
    <mergeCell ref="Y125:Y126"/>
    <mergeCell ref="Z125:Z126"/>
  </mergeCells>
  <dataValidations>
    <dataValidation type="list" allowBlank="1" showErrorMessage="1" sqref="C7">
      <formula1>'Кузнец'!$B$145:$B$193</formula1>
    </dataValidation>
    <dataValidation type="list" allowBlank="1" showErrorMessage="1" sqref="N200">
      <formula1>'Кузнец'!$B$200:$B$201</formula1>
    </dataValidation>
    <dataValidation type="list" allowBlank="1" showErrorMessage="1" sqref="C92">
      <formula1>'Кузнец'!$B$195:$B$197</formula1>
    </dataValidation>
  </dataValidation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29.0"/>
    <col customWidth="1" min="3" max="3" width="16.88"/>
    <col customWidth="1" min="12" max="12" width="3.5"/>
    <col customWidth="1" min="13" max="13" width="16.75"/>
    <col customWidth="1" min="14" max="14" width="17.38"/>
    <col customWidth="1" min="15" max="19" width="13.38"/>
  </cols>
  <sheetData>
    <row r="2">
      <c r="B2" s="930" t="s">
        <v>1627</v>
      </c>
    </row>
    <row r="3">
      <c r="B3" s="1097" t="s">
        <v>1628</v>
      </c>
    </row>
    <row r="4">
      <c r="B4" s="1098" t="s">
        <v>1218</v>
      </c>
    </row>
    <row r="6">
      <c r="B6" s="1277" t="s">
        <v>1629</v>
      </c>
      <c r="C6" s="1100"/>
      <c r="D6" s="1100"/>
      <c r="E6" s="1100"/>
      <c r="F6" s="1100"/>
      <c r="G6" s="1100"/>
      <c r="H6" s="1100"/>
      <c r="I6" s="1100"/>
      <c r="J6" s="1100"/>
      <c r="K6" s="1100"/>
      <c r="L6" s="1100"/>
      <c r="M6" s="1100"/>
    </row>
    <row r="7">
      <c r="B7" s="1100"/>
      <c r="C7" s="1100"/>
      <c r="D7" s="1100"/>
      <c r="E7" s="1100"/>
      <c r="F7" s="1100"/>
      <c r="G7" s="1100"/>
      <c r="H7" s="1100"/>
      <c r="I7" s="1100"/>
      <c r="J7" s="1100"/>
      <c r="K7" s="1100"/>
      <c r="L7" s="1100"/>
      <c r="M7" s="1100"/>
    </row>
    <row r="8">
      <c r="B8" s="1101" t="s">
        <v>1482</v>
      </c>
      <c r="C8" s="1102" t="s">
        <v>1066</v>
      </c>
      <c r="D8" s="1100"/>
      <c r="E8" s="1100"/>
      <c r="F8" s="1103" t="s">
        <v>1483</v>
      </c>
      <c r="G8" s="1104" t="str">
        <f>IF(VLOOKUP($C$8,'Оружие'!A369:I417,9,FALSE)="1-2-3","Превосходное",IF(VLOOKUP($C$8,'Оружие'!$A$4:$I$491,9,FALSE)="1-2","Отличное",IF(VLOOKUP($C$8,'Оружие'!$A$4:$I$491,9,FALSE)="1","Хорошее","")))</f>
        <v>Превосходное</v>
      </c>
      <c r="H8" s="1100"/>
      <c r="I8" s="1100"/>
      <c r="J8" s="1100"/>
      <c r="K8" s="1100"/>
      <c r="L8" s="1100"/>
      <c r="M8" s="1100"/>
    </row>
    <row r="9">
      <c r="B9" s="1101" t="s">
        <v>1484</v>
      </c>
      <c r="C9" s="1100">
        <f>VLOOKUP(C8,B156:H163,2,0)</f>
        <v>5</v>
      </c>
      <c r="D9" s="1100"/>
      <c r="E9" s="1100"/>
      <c r="F9" s="1100"/>
      <c r="G9" s="1100"/>
      <c r="H9" s="1100"/>
      <c r="I9" s="1100"/>
      <c r="J9" s="1100"/>
      <c r="K9" s="1100"/>
      <c r="L9" s="1100"/>
      <c r="M9" s="1100"/>
    </row>
    <row r="10">
      <c r="B10" s="1278" t="s">
        <v>1385</v>
      </c>
      <c r="C10" s="1100">
        <f>VLOOKUP(C8,B156:H163,3,0)</f>
        <v>5</v>
      </c>
      <c r="D10" s="1100"/>
      <c r="E10" s="1100"/>
      <c r="F10" s="1100"/>
      <c r="G10" s="1100"/>
      <c r="H10" s="1100"/>
      <c r="I10" s="1100"/>
      <c r="J10" s="1100"/>
      <c r="K10" s="1100"/>
      <c r="L10" s="1100"/>
      <c r="M10" s="1100"/>
    </row>
    <row r="11">
      <c r="B11" s="1101" t="s">
        <v>1485</v>
      </c>
      <c r="C11" s="1100">
        <f>VLOOKUP(C8,B156:H163,5,0)</f>
        <v>3</v>
      </c>
      <c r="D11" s="1100"/>
      <c r="E11" s="1100"/>
      <c r="F11" s="1100"/>
      <c r="G11" s="1100"/>
      <c r="H11" s="1100"/>
      <c r="I11" s="1100"/>
      <c r="J11" s="1100"/>
      <c r="K11" s="1100"/>
      <c r="L11" s="1100"/>
      <c r="M11" s="1100"/>
    </row>
    <row r="12">
      <c r="B12" s="1100"/>
      <c r="C12" s="1100"/>
      <c r="D12" s="1100"/>
      <c r="E12" s="1100"/>
      <c r="F12" s="1100"/>
      <c r="G12" s="1100"/>
      <c r="H12" s="1100"/>
      <c r="I12" s="1100"/>
      <c r="J12" s="1100"/>
      <c r="K12" s="1100"/>
      <c r="L12" s="1100"/>
      <c r="M12" s="1097" t="s">
        <v>1630</v>
      </c>
      <c r="N12" s="1105"/>
      <c r="O12" s="1105"/>
      <c r="P12" s="1105"/>
      <c r="Q12" s="1105"/>
      <c r="R12" s="1105"/>
      <c r="S12" s="1105"/>
    </row>
    <row r="13">
      <c r="B13" s="1279" t="s">
        <v>1487</v>
      </c>
      <c r="C13" s="1280" t="s">
        <v>172</v>
      </c>
      <c r="D13" s="1280" t="s">
        <v>738</v>
      </c>
      <c r="E13" s="1280" t="s">
        <v>739</v>
      </c>
      <c r="F13" s="1280" t="s">
        <v>741</v>
      </c>
      <c r="G13" s="1280" t="s">
        <v>742</v>
      </c>
      <c r="H13" s="1280" t="s">
        <v>743</v>
      </c>
      <c r="I13" s="1104"/>
      <c r="J13" s="1108" t="s">
        <v>1434</v>
      </c>
      <c r="K13" s="1104"/>
      <c r="L13" s="1104"/>
      <c r="M13" s="1281" t="str">
        <f>CONCATENATE($C$8," (качество)")</f>
        <v>Винтовка с кремневым замком (качество)</v>
      </c>
      <c r="N13" s="1282" t="str">
        <f>'Материалы и инструменты'!D23</f>
        <v>Бронза</v>
      </c>
      <c r="O13" s="1282" t="str">
        <f>'Материалы и инструменты'!E23</f>
        <v>Железо</v>
      </c>
      <c r="P13" s="1282" t="str">
        <f>'Материалы и инструменты'!F23</f>
        <v>Сталь</v>
      </c>
      <c r="Q13" s="1282" t="str">
        <f>'Материалы и инструменты'!H23</f>
        <v>Каврил</v>
      </c>
      <c r="R13" s="1282" t="str">
        <f>'Материалы и инструменты'!I23</f>
        <v>Грамант</v>
      </c>
      <c r="S13" s="1282" t="str">
        <f>'Материалы и инструменты'!J23</f>
        <v>Леорит</v>
      </c>
    </row>
    <row r="14">
      <c r="B14" s="1111" t="s">
        <v>1488</v>
      </c>
      <c r="C14" s="1112">
        <f t="shared" ref="C14:H14" si="1">C15*C16+C21*C23+C19*C20</f>
        <v>7.7</v>
      </c>
      <c r="D14" s="1112">
        <f t="shared" si="1"/>
        <v>17.4</v>
      </c>
      <c r="E14" s="1112">
        <f t="shared" si="1"/>
        <v>39.95</v>
      </c>
      <c r="F14" s="1112">
        <f t="shared" si="1"/>
        <v>245.55</v>
      </c>
      <c r="G14" s="1112">
        <f t="shared" si="1"/>
        <v>675.1</v>
      </c>
      <c r="H14" s="1112">
        <f t="shared" si="1"/>
        <v>1942.55</v>
      </c>
      <c r="I14" s="1104"/>
      <c r="J14" s="1113">
        <v>1.0</v>
      </c>
      <c r="K14" s="1104"/>
      <c r="L14" s="1104"/>
      <c r="M14" s="1114" t="s">
        <v>133</v>
      </c>
      <c r="N14" s="1115" t="str">
        <f>VLOOKUP($C$8,'Оружие'!$A$369:$H$417, MATCH(N13, 'Оружие'!$A$2:$H$2,0), FALSE)</f>
        <v>3d6+2</v>
      </c>
      <c r="O14" s="1115" t="str">
        <f>VLOOKUP($C$8,'Оружие'!$A$369:$H$417, MATCH(O13, 'Оружие'!$A$2:$H$2,0), FALSE)</f>
        <v>3d6+10</v>
      </c>
      <c r="P14" s="1115" t="str">
        <f>VLOOKUP($C$8,'Оружие'!$A$369:$H$417, MATCH(P13, 'Оружие'!$A$2:$H$2,0), FALSE)</f>
        <v>3d8+15</v>
      </c>
      <c r="Q14" s="1115" t="str">
        <f>VLOOKUP($C$8,'Оружие'!$A$369:$H$417, MATCH(Q13, 'Оружие'!$A$2:$H$2,0), FALSE)</f>
        <v>3d10+30</v>
      </c>
      <c r="R14" s="1115" t="str">
        <f>VLOOKUP($C$8,'Оружие'!$A$369:$H$417, MATCH(R13, 'Оружие'!$A$2:$H$2,0), FALSE)</f>
        <v>3d10+40</v>
      </c>
      <c r="S14" s="1115" t="str">
        <f>VLOOKUP($C$8,'Оружие'!$A$369:$H$417, MATCH(S13, 'Оружие'!$A$2:$H$2,0), FALSE)</f>
        <v>3d12+47</v>
      </c>
    </row>
    <row r="15">
      <c r="B15" s="1283" t="s">
        <v>1363</v>
      </c>
      <c r="C15" s="1284">
        <f>'Материалы и инструменты'!D24</f>
        <v>0.5</v>
      </c>
      <c r="D15" s="1284">
        <f>'Материалы и инструменты'!E24</f>
        <v>1.51</v>
      </c>
      <c r="E15" s="1284">
        <f>'Материалы и инструменты'!F24</f>
        <v>4.57</v>
      </c>
      <c r="F15" s="1284">
        <f>'Материалы и инструменты'!H24</f>
        <v>41.55</v>
      </c>
      <c r="G15" s="1284">
        <f>'Материалы и инструменты'!I24</f>
        <v>124.72</v>
      </c>
      <c r="H15" s="1284">
        <f>'Материалы и инструменты'!J24</f>
        <v>374.71</v>
      </c>
      <c r="I15" s="1104"/>
      <c r="J15" s="1113"/>
      <c r="K15" s="1104"/>
      <c r="L15" s="1104"/>
      <c r="M15" s="1114" t="s">
        <v>1211</v>
      </c>
      <c r="N15" s="1115" t="str">
        <f>IFERROR(__xludf.DUMMYFUNCTION("IFERROR(LEFT(N$14,1)&amp;""""&amp;""d""&amp;""""&amp;ArrayFormula(lower(REGEXREPLACE(MID(N$14,3,2), ""([^A-Za-z0-9]+)|(---)"" , """" ) ))&amp;""""&amp;""+""&amp;""""&amp;RIGHT(N$14,2)+ROUNDDOWN(MAX(VLOOKUP($M15,'Списки'!$B$166:$D$169,2,FALSE),((LEFT(N$14,1)+RIGHT(N$14,2)+LEFT(N$14,1)*Ar"&amp;"rayFormula(lower(REGEXREPLACE(MID(N$14,3,2), ""([^A-Za-z0-9]+)|(---)"" , """" ) ))+RIGHT(N$14,2))/2)*VLOOKUP($M15,'Списки'!$B$166:$D$169,3,FALSE))),"""")"),"3d6+4")</f>
        <v>3d6+4</v>
      </c>
      <c r="O15" s="1115" t="str">
        <f>IFERROR(__xludf.DUMMYFUNCTION("IFERROR(LEFT(O$14,1)&amp;""""&amp;""d""&amp;""""&amp;ArrayFormula(lower(REGEXREPLACE(MID(O$14,3,2), ""([^A-Za-z0-9]+)|(---)"" , """" ) ))&amp;""""&amp;""+""&amp;""""&amp;RIGHT(O$14,2)+ROUNDDOWN(MAX(VLOOKUP($M15,'Списки'!$B$166:$D$169,2,FALSE),((LEFT(O$14,1)+RIGHT(O$14,2)+LEFT(O$14,1)*Ar"&amp;"rayFormula(lower(REGEXREPLACE(MID(O$14,3,2), ""([^A-Za-z0-9]+)|(---)"" , """" ) ))+RIGHT(O$14,2))/2)*VLOOKUP($M15,'Списки'!$B$166:$D$169,3,FALSE))),"""")"),"3d6+14")</f>
        <v>3d6+14</v>
      </c>
      <c r="P15" s="1115" t="str">
        <f>IFERROR(__xludf.DUMMYFUNCTION("IFERROR(LEFT(P$14,1)&amp;""""&amp;""d""&amp;""""&amp;ArrayFormula(lower(REGEXREPLACE(MID(P$14,3,2), ""([^A-Za-z0-9]+)|(---)"" , """" ) ))&amp;""""&amp;""+""&amp;""""&amp;RIGHT(P$14,2)+ROUNDDOWN(MAX(VLOOKUP($M15,'Списки'!$B$166:$D$169,2,FALSE),((LEFT(P$14,1)+RIGHT(P$14,2)+LEFT(P$14,1)*Ar"&amp;"rayFormula(lower(REGEXREPLACE(MID(P$14,3,2), ""([^A-Za-z0-9]+)|(---)"" , """" ) ))+RIGHT(P$14,2))/2)*VLOOKUP($M15,'Списки'!$B$166:$D$169,3,FALSE))),"""")"),"3d8+20")</f>
        <v>3d8+20</v>
      </c>
      <c r="Q15" s="1115" t="str">
        <f>IFERROR(__xludf.DUMMYFUNCTION("IFERROR(LEFT(Q$14,1)&amp;""""&amp;""d""&amp;""""&amp;ArrayFormula(lower(REGEXREPLACE(MID(Q$14,3,2), ""([^A-Za-z0-9]+)|(---)"" , """" ) ))&amp;""""&amp;""+""&amp;""""&amp;RIGHT(Q$14,2)+ROUNDDOWN(MAX(VLOOKUP($M15,'Списки'!$B$166:$D$169,2,FALSE),((LEFT(Q$14,1)+RIGHT(Q$14,2)+LEFT(Q$14,1)*Ar"&amp;"rayFormula(lower(REGEXREPLACE(MID(Q$14,3,2), ""([^A-Za-z0-9]+)|(---)"" , """" ) ))+RIGHT(Q$14,2))/2)*VLOOKUP($M15,'Списки'!$B$166:$D$169,3,FALSE))),"""")"),"3d10+39")</f>
        <v>3d10+39</v>
      </c>
      <c r="R15" s="1115" t="str">
        <f>IFERROR(__xludf.DUMMYFUNCTION("IFERROR(LEFT(R$14,1)&amp;""""&amp;""d""&amp;""""&amp;ArrayFormula(lower(REGEXREPLACE(MID(R$14,3,2), ""([^A-Za-z0-9]+)|(---)"" , """" ) ))&amp;""""&amp;""+""&amp;""""&amp;RIGHT(R$14,2)+ROUNDDOWN(MAX(VLOOKUP($M15,'Списки'!$B$166:$D$169,2,FALSE),((LEFT(R$14,1)+RIGHT(R$14,2)+LEFT(R$14,1)*Ar"&amp;"rayFormula(lower(REGEXREPLACE(MID(R$14,3,2), ""([^A-Za-z0-9]+)|(---)"" , """" ) ))+RIGHT(R$14,2))/2)*VLOOKUP($M15,'Списки'!$B$166:$D$169,3,FALSE))),"""")"),"3d10+51")</f>
        <v>3d10+51</v>
      </c>
      <c r="S15" s="1115" t="str">
        <f>IFERROR(__xludf.DUMMYFUNCTION("IFERROR(LEFT(S$14,1)&amp;""""&amp;""d""&amp;""""&amp;ArrayFormula(lower(REGEXREPLACE(MID(S$14,3,2), ""([^A-Za-z0-9]+)|(---)"" , """" ) ))&amp;""""&amp;""+""&amp;""""&amp;RIGHT(S$14,2)+ROUNDDOWN(MAX(VLOOKUP($M15,'Списки'!$B$166:$D$169,2,FALSE),((LEFT(S$14,1)+RIGHT(S$14,2)+LEFT(S$14,1)*Ar"&amp;"rayFormula(lower(REGEXREPLACE(MID(S$14,3,2), ""([^A-Za-z0-9]+)|(---)"" , """" ) ))+RIGHT(S$14,2))/2)*VLOOKUP($M15,'Списки'!$B$166:$D$169,3,FALSE))),"""")"),"3d12+60")</f>
        <v>3d12+60</v>
      </c>
    </row>
    <row r="16">
      <c r="B16" s="1283" t="s">
        <v>1365</v>
      </c>
      <c r="C16" s="1285">
        <f t="shared" ref="C16:H16" si="2">$C$9</f>
        <v>5</v>
      </c>
      <c r="D16" s="1285">
        <f t="shared" si="2"/>
        <v>5</v>
      </c>
      <c r="E16" s="1285">
        <f t="shared" si="2"/>
        <v>5</v>
      </c>
      <c r="F16" s="1285">
        <f t="shared" si="2"/>
        <v>5</v>
      </c>
      <c r="G16" s="1285">
        <f t="shared" si="2"/>
        <v>5</v>
      </c>
      <c r="H16" s="1285">
        <f t="shared" si="2"/>
        <v>5</v>
      </c>
      <c r="I16" s="1104"/>
      <c r="J16" s="1113"/>
      <c r="K16" s="1104"/>
      <c r="L16" s="1104"/>
      <c r="M16" s="1114" t="s">
        <v>1212</v>
      </c>
      <c r="N16" s="1115" t="str">
        <f>IFERROR(__xludf.DUMMYFUNCTION("IF(AND($M16&lt;&gt;$G$8,$M17&lt;&gt;$G$8),""Недостижимое качество"",IFERROR(LEFT(N$14,1)&amp;""""&amp;""d""&amp;""""&amp;ArrayFormula(lower(REGEXREPLACE(MID(N$14,3,2), ""([^A-Za-z0-9]+)|(---)"" , """" )))&amp;""""&amp;""+""&amp;""""&amp;RIGHT(N$14,2)+ROUNDDOWN(MAX(VLOOKUP($M16,'Списки'!$B$166:$D$16"&amp;"9,2,FALSE),((LEFT(N$14,1)+RIGHT(N$14,2)+LEFT(N$14,1)*ArrayFormula(lower(REGEXREPLACE(MID(N$14,3,2), ""([^A-Za-z0-9]+)|(---)"" , """" ) ))+RIGHT(N$14,2))/2)*VLOOKUP($M16,'Списки'!$B$166:$D$169,3,FALSE))),""""))"),"3d6+7")</f>
        <v>3d6+7</v>
      </c>
      <c r="O16" s="1115" t="str">
        <f>IFERROR(__xludf.DUMMYFUNCTION("IF(AND($M16&lt;&gt;$G$8,$M17&lt;&gt;$G$8),""Недостижимое качество"",IFERROR(LEFT(O$14,1)&amp;""""&amp;""d""&amp;""""&amp;ArrayFormula(lower(REGEXREPLACE(MID(O$14,3,2), ""([^A-Za-z0-9]+)|(---)"" , """" )))&amp;""""&amp;""+""&amp;""""&amp;RIGHT(O$14,2)+ROUNDDOWN(MAX(VLOOKUP($M16,'Списки'!$B$166:$D$16"&amp;"9,2,FALSE),((LEFT(O$14,1)+RIGHT(O$14,2)+LEFT(O$14,1)*ArrayFormula(lower(REGEXREPLACE(MID(O$14,3,2), ""([^A-Za-z0-9]+)|(---)"" , """" ) ))+RIGHT(O$14,2))/2)*VLOOKUP($M16,'Списки'!$B$166:$D$169,3,FALSE))),""""))"),"3d6+18")</f>
        <v>3d6+18</v>
      </c>
      <c r="P16" s="1115" t="str">
        <f>IFERROR(__xludf.DUMMYFUNCTION("IF(AND($M16&lt;&gt;$G$8,$M17&lt;&gt;$G$8),""Недостижимое качество"",IFERROR(LEFT(P$14,1)&amp;""""&amp;""d""&amp;""""&amp;ArrayFormula(lower(REGEXREPLACE(MID(P$14,3,2), ""([^A-Za-z0-9]+)|(---)"" , """" )))&amp;""""&amp;""+""&amp;""""&amp;RIGHT(P$14,2)+ROUNDDOWN(MAX(VLOOKUP($M16,'Списки'!$B$166:$D$16"&amp;"9,2,FALSE),((LEFT(P$14,1)+RIGHT(P$14,2)+LEFT(P$14,1)*ArrayFormula(lower(REGEXREPLACE(MID(P$14,3,2), ""([^A-Za-z0-9]+)|(---)"" , """" ) ))+RIGHT(P$14,2))/2)*VLOOKUP($M16,'Списки'!$B$166:$D$169,3,FALSE))),""""))"),"3d8+26")</f>
        <v>3d8+26</v>
      </c>
      <c r="Q16" s="1115" t="str">
        <f>IFERROR(__xludf.DUMMYFUNCTION("IF(AND($M16&lt;&gt;$G$8,$M17&lt;&gt;$G$8),""Недостижимое качество"",IFERROR(LEFT(Q$14,1)&amp;""""&amp;""d""&amp;""""&amp;ArrayFormula(lower(REGEXREPLACE(MID(Q$14,3,2), ""([^A-Za-z0-9]+)|(---)"" , """" )))&amp;""""&amp;""+""&amp;""""&amp;RIGHT(Q$14,2)+ROUNDDOWN(MAX(VLOOKUP($M16,'Списки'!$B$166:$D$16"&amp;"9,2,FALSE),((LEFT(Q$14,1)+RIGHT(Q$14,2)+LEFT(Q$14,1)*ArrayFormula(lower(REGEXREPLACE(MID(Q$14,3,2), ""([^A-Za-z0-9]+)|(---)"" , """" ) ))+RIGHT(Q$14,2))/2)*VLOOKUP($M16,'Списки'!$B$166:$D$169,3,FALSE))),""""))"),"3d10+48")</f>
        <v>3d10+48</v>
      </c>
      <c r="R16" s="1115" t="str">
        <f>IFERROR(__xludf.DUMMYFUNCTION("IF(AND($M16&lt;&gt;$G$8,$M17&lt;&gt;$G$8),""Недостижимое качество"",IFERROR(LEFT(R$14,1)&amp;""""&amp;""d""&amp;""""&amp;ArrayFormula(lower(REGEXREPLACE(MID(R$14,3,2), ""([^A-Za-z0-9]+)|(---)"" , """" )))&amp;""""&amp;""+""&amp;""""&amp;RIGHT(R$14,2)+ROUNDDOWN(MAX(VLOOKUP($M16,'Списки'!$B$166:$D$16"&amp;"9,2,FALSE),((LEFT(R$14,1)+RIGHT(R$14,2)+LEFT(R$14,1)*ArrayFormula(lower(REGEXREPLACE(MID(R$14,3,2), ""([^A-Za-z0-9]+)|(---)"" , """" ) ))+RIGHT(R$14,2))/2)*VLOOKUP($M16,'Списки'!$B$166:$D$169,3,FALSE))),""""))"),"3d10+62")</f>
        <v>3d10+62</v>
      </c>
      <c r="S16" s="1115" t="str">
        <f>IFERROR(__xludf.DUMMYFUNCTION("IF(AND($M16&lt;&gt;$G$8,$M17&lt;&gt;$G$8),""Недостижимое качество"",IFERROR(LEFT(S$14,1)&amp;""""&amp;""d""&amp;""""&amp;ArrayFormula(lower(REGEXREPLACE(MID(S$14,3,2), ""([^A-Za-z0-9]+)|(---)"" , """" )))&amp;""""&amp;""+""&amp;""""&amp;RIGHT(S$14,2)+ROUNDDOWN(MAX(VLOOKUP($M16,'Списки'!$B$166:$D$16"&amp;"9,2,FALSE),((LEFT(S$14,1)+RIGHT(S$14,2)+LEFT(S$14,1)*ArrayFormula(lower(REGEXREPLACE(MID(S$14,3,2), ""([^A-Za-z0-9]+)|(---)"" , """" ) ))+RIGHT(S$14,2))/2)*VLOOKUP($M16,'Списки'!$B$166:$D$169,3,FALSE))),""""))"),"3d12+73")</f>
        <v>3d12+73</v>
      </c>
    </row>
    <row r="17">
      <c r="B17" s="999" t="s">
        <v>1400</v>
      </c>
      <c r="C17" s="1000" t="s">
        <v>1489</v>
      </c>
      <c r="D17" s="1000" t="s">
        <v>1490</v>
      </c>
      <c r="E17" s="1000" t="s">
        <v>1490</v>
      </c>
      <c r="F17" s="1000" t="s">
        <v>1490</v>
      </c>
      <c r="G17" s="1000" t="s">
        <v>1490</v>
      </c>
      <c r="H17" s="1000" t="s">
        <v>1490</v>
      </c>
      <c r="M17" s="1114" t="s">
        <v>1213</v>
      </c>
      <c r="N17" s="1115" t="str">
        <f>IFERROR(__xludf.DUMMYFUNCTION("IF($M17&lt;&gt;$G$8,""Недостижимое качество"",IFERROR(LEFT(N$14,1)&amp;""""&amp;""d""&amp;""""&amp;ArrayFormula(lower(REGEXREPLACE(MID(N$14,3,2), ""([^A-Za-z0-9]+)|(---)"" , """" ) ))&amp;""""&amp;""+""&amp;""""&amp;RIGHT(N$14,2)+ROUNDDOWN(MAX(VLOOKUP($M17,'Списки'!$B$166:$D$169,2,FALSE),((LE"&amp;"FT(N$14,1)+RIGHT(N$14,2)+LEFT(N$14,1)*ArrayFormula(lower(REGEXREPLACE(MID(N$14,3,2), ""([^A-Za-z0-9]+)|(---)"" , """" ) ))+RIGHT(N$14,2))/2)*VLOOKUP($M17,'Списки'!$B$166:$D$169,3,FALSE))),""""))"),"3d6+9")</f>
        <v>3d6+9</v>
      </c>
      <c r="O17" s="1115" t="str">
        <f>IFERROR(__xludf.DUMMYFUNCTION("IF($M17&lt;&gt;$G$8,""Недостижимое качество"",IFERROR(LEFT(O$14,1)&amp;""""&amp;""d""&amp;""""&amp;ArrayFormula(lower(REGEXREPLACE(MID(O$14,3,2), ""([^A-Za-z0-9]+)|(---)"" , """" ) ))&amp;""""&amp;""+""&amp;""""&amp;RIGHT(O$14,2)+ROUNDDOWN(MAX(VLOOKUP($M17,'Списки'!$B$166:$D$169,2,FALSE),((LE"&amp;"FT(O$14,1)+RIGHT(O$14,2)+LEFT(O$14,1)*ArrayFormula(lower(REGEXREPLACE(MID(O$14,3,2), ""([^A-Za-z0-9]+)|(---)"" , """" ) ))+RIGHT(O$14,2))/2)*VLOOKUP($M17,'Списки'!$B$166:$D$169,3,FALSE))),""""))"),"3d6+22")</f>
        <v>3d6+22</v>
      </c>
      <c r="P17" s="1115" t="str">
        <f>IFERROR(__xludf.DUMMYFUNCTION("IF($M17&lt;&gt;$G$8,""Недостижимое качество"",IFERROR(LEFT(P$14,1)&amp;""""&amp;""d""&amp;""""&amp;ArrayFormula(lower(REGEXREPLACE(MID(P$14,3,2), ""([^A-Za-z0-9]+)|(---)"" , """" ) ))&amp;""""&amp;""+""&amp;""""&amp;RIGHT(P$14,2)+ROUNDDOWN(MAX(VLOOKUP($M17,'Списки'!$B$166:$D$169,2,FALSE),((LE"&amp;"FT(P$14,1)+RIGHT(P$14,2)+LEFT(P$14,1)*ArrayFormula(lower(REGEXREPLACE(MID(P$14,3,2), ""([^A-Za-z0-9]+)|(---)"" , """" ) ))+RIGHT(P$14,2))/2)*VLOOKUP($M17,'Списки'!$B$166:$D$169,3,FALSE))),""""))"),"3d8+32")</f>
        <v>3d8+32</v>
      </c>
      <c r="Q17" s="1115" t="str">
        <f>IFERROR(__xludf.DUMMYFUNCTION("IF($M17&lt;&gt;$G$8,""Недостижимое качество"",IFERROR(LEFT(Q$14,1)&amp;""""&amp;""d""&amp;""""&amp;ArrayFormula(lower(REGEXREPLACE(MID(Q$14,3,2), ""([^A-Za-z0-9]+)|(---)"" , """" ) ))&amp;""""&amp;""+""&amp;""""&amp;RIGHT(Q$14,2)+ROUNDDOWN(MAX(VLOOKUP($M17,'Списки'!$B$166:$D$169,2,FALSE),((LE"&amp;"FT(Q$14,1)+RIGHT(Q$14,2)+LEFT(Q$14,1)*ArrayFormula(lower(REGEXREPLACE(MID(Q$14,3,2), ""([^A-Za-z0-9]+)|(---)"" , """" ) ))+RIGHT(Q$14,2))/2)*VLOOKUP($M17,'Списки'!$B$166:$D$169,3,FALSE))),""""))"),"3d10+57")</f>
        <v>3d10+57</v>
      </c>
      <c r="R17" s="1115" t="str">
        <f>IFERROR(__xludf.DUMMYFUNCTION("IF($M17&lt;&gt;$G$8,""Недостижимое качество"",IFERROR(LEFT(R$14,1)&amp;""""&amp;""d""&amp;""""&amp;ArrayFormula(lower(REGEXREPLACE(MID(R$14,3,2), ""([^A-Za-z0-9]+)|(---)"" , """" ) ))&amp;""""&amp;""+""&amp;""""&amp;RIGHT(R$14,2)+ROUNDDOWN(MAX(VLOOKUP($M17,'Списки'!$B$166:$D$169,2,FALSE),((LE"&amp;"FT(R$14,1)+RIGHT(R$14,2)+LEFT(R$14,1)*ArrayFormula(lower(REGEXREPLACE(MID(R$14,3,2), ""([^A-Za-z0-9]+)|(---)"" , """" ) ))+RIGHT(R$14,2))/2)*VLOOKUP($M17,'Списки'!$B$166:$D$169,3,FALSE))),""""))"),"3d10+73")</f>
        <v>3d10+73</v>
      </c>
      <c r="S17" s="1115" t="str">
        <f>IFERROR(__xludf.DUMMYFUNCTION("IF($M17&lt;&gt;$G$8,""Недостижимое качество"",IFERROR(LEFT(S$14,1)&amp;""""&amp;""d""&amp;""""&amp;ArrayFormula(lower(REGEXREPLACE(MID(S$14,3,2), ""([^A-Za-z0-9]+)|(---)"" , """" ) ))&amp;""""&amp;""+""&amp;""""&amp;RIGHT(S$14,2)+ROUNDDOWN(MAX(VLOOKUP($M17,'Списки'!$B$166:$D$169,2,FALSE),((LE"&amp;"FT(S$14,1)+RIGHT(S$14,2)+LEFT(S$14,1)*ArrayFormula(lower(REGEXREPLACE(MID(S$14,3,2), ""([^A-Za-z0-9]+)|(---)"" , """" ) ))+RIGHT(S$14,2))/2)*VLOOKUP($M17,'Списки'!$B$166:$D$169,3,FALSE))),""""))"),"3d12+86")</f>
        <v>3d12+86</v>
      </c>
    </row>
    <row r="18">
      <c r="B18" s="1001" t="s">
        <v>1369</v>
      </c>
      <c r="C18" s="1120" t="str">
        <f>'Материалы и инструменты'!$E$148</f>
        <v>Древесный уголь</v>
      </c>
      <c r="D18" s="1120" t="str">
        <f>'Материалы и инструменты'!$E$148</f>
        <v>Древесный уголь</v>
      </c>
      <c r="E18" s="1120" t="str">
        <f>'Материалы и инструменты'!$F$148</f>
        <v>Каменный уголь</v>
      </c>
      <c r="F18" s="1120" t="str">
        <f>'Материалы и инструменты'!$F$148</f>
        <v>Каменный уголь</v>
      </c>
      <c r="G18" s="1120" t="str">
        <f>'Материалы и инструменты'!$F$148</f>
        <v>Каменный уголь</v>
      </c>
      <c r="H18" s="1120" t="str">
        <f>'Материалы и инструменты'!$F$148</f>
        <v>Каменный уголь</v>
      </c>
    </row>
    <row r="19">
      <c r="B19" s="1002" t="s">
        <v>1370</v>
      </c>
      <c r="C19" s="1121">
        <f>'Материалы и инструменты'!$E$149</f>
        <v>0.07</v>
      </c>
      <c r="D19" s="1121">
        <f>'Материалы и инструменты'!$E$149</f>
        <v>0.07</v>
      </c>
      <c r="E19" s="1120">
        <f>'Материалы и инструменты'!$F$149</f>
        <v>0.14</v>
      </c>
      <c r="F19" s="1120">
        <f>'Материалы и инструменты'!$F$149</f>
        <v>0.14</v>
      </c>
      <c r="G19" s="1120">
        <f>'Материалы и инструменты'!$F$149</f>
        <v>0.14</v>
      </c>
      <c r="H19" s="1120">
        <f>'Материалы и инструменты'!$F$149</f>
        <v>0.14</v>
      </c>
    </row>
    <row r="20">
      <c r="B20" s="1002" t="s">
        <v>1231</v>
      </c>
      <c r="C20" s="1120">
        <f>'Рудокоп'!$C$84*C16</f>
        <v>10</v>
      </c>
      <c r="D20" s="1120">
        <f>'Рудокоп'!$H$63*D16</f>
        <v>15</v>
      </c>
      <c r="E20" s="1120">
        <f>'Рудокоп'!$D$84*E16</f>
        <v>15</v>
      </c>
      <c r="F20" s="1120">
        <f>'Рудокоп'!$L$63*F16</f>
        <v>25</v>
      </c>
      <c r="G20" s="1120">
        <f>'Рудокоп'!$M$63*G16</f>
        <v>25</v>
      </c>
      <c r="H20" s="1120">
        <f>'Рудокоп'!$N$63*H16</f>
        <v>30</v>
      </c>
    </row>
    <row r="21">
      <c r="B21" s="1004" t="s">
        <v>1371</v>
      </c>
      <c r="C21" s="950">
        <f t="shared" ref="C21:H21" si="3">C16*C22</f>
        <v>25</v>
      </c>
      <c r="D21" s="950">
        <f t="shared" si="3"/>
        <v>27.5</v>
      </c>
      <c r="E21" s="950">
        <f t="shared" si="3"/>
        <v>30</v>
      </c>
      <c r="F21" s="950">
        <f t="shared" si="3"/>
        <v>35</v>
      </c>
      <c r="G21" s="950">
        <f t="shared" si="3"/>
        <v>37.5</v>
      </c>
      <c r="H21" s="950">
        <f t="shared" si="3"/>
        <v>40</v>
      </c>
      <c r="I21" s="1104"/>
      <c r="J21" s="1113"/>
      <c r="K21" s="1104"/>
      <c r="L21" s="1104"/>
      <c r="M21" s="1104"/>
    </row>
    <row r="22">
      <c r="B22" s="1004" t="s">
        <v>1385</v>
      </c>
      <c r="C22" s="950">
        <f>$C$10</f>
        <v>5</v>
      </c>
      <c r="D22" s="950">
        <f t="shared" ref="D22:E22" si="4">C22+0.5</f>
        <v>5.5</v>
      </c>
      <c r="E22" s="950">
        <f t="shared" si="4"/>
        <v>6</v>
      </c>
      <c r="F22" s="950">
        <f>E22+1</f>
        <v>7</v>
      </c>
      <c r="G22" s="950">
        <f t="shared" ref="G22:H22" si="5">F22+0.5</f>
        <v>7.5</v>
      </c>
      <c r="H22" s="950">
        <f t="shared" si="5"/>
        <v>8</v>
      </c>
      <c r="I22" s="1104"/>
      <c r="J22" s="1113"/>
      <c r="K22" s="1104"/>
      <c r="L22" s="1104"/>
      <c r="M22" s="1104"/>
    </row>
    <row r="23">
      <c r="B23" s="1004" t="s">
        <v>1372</v>
      </c>
      <c r="C23" s="950">
        <f t="shared" ref="C23:H23" si="6">(0.02*C24)*C24</f>
        <v>0.18</v>
      </c>
      <c r="D23" s="950">
        <f t="shared" si="6"/>
        <v>0.32</v>
      </c>
      <c r="E23" s="950">
        <f t="shared" si="6"/>
        <v>0.5</v>
      </c>
      <c r="F23" s="951">
        <f t="shared" si="6"/>
        <v>0.98</v>
      </c>
      <c r="G23" s="950">
        <f t="shared" si="6"/>
        <v>1.28</v>
      </c>
      <c r="H23" s="950">
        <f t="shared" si="6"/>
        <v>1.62</v>
      </c>
      <c r="I23" s="1104"/>
      <c r="J23" s="1113"/>
      <c r="K23" s="1104"/>
      <c r="L23" s="1104"/>
      <c r="M23" s="1104"/>
    </row>
    <row r="24">
      <c r="B24" s="1004" t="s">
        <v>1631</v>
      </c>
      <c r="C24" s="950">
        <f>C11</f>
        <v>3</v>
      </c>
      <c r="D24" s="950">
        <f t="shared" ref="D24:E24" si="7">C24+1</f>
        <v>4</v>
      </c>
      <c r="E24" s="950">
        <f t="shared" si="7"/>
        <v>5</v>
      </c>
      <c r="F24" s="950">
        <f>E24+2</f>
        <v>7</v>
      </c>
      <c r="G24" s="950">
        <f t="shared" ref="G24:H24" si="8">F24+1</f>
        <v>8</v>
      </c>
      <c r="H24" s="950">
        <f t="shared" si="8"/>
        <v>9</v>
      </c>
      <c r="I24" s="1104"/>
      <c r="J24" s="1113"/>
      <c r="K24" s="1104"/>
      <c r="L24" s="1104"/>
      <c r="M24" s="1104"/>
    </row>
    <row r="25">
      <c r="B25" s="1004" t="s">
        <v>1632</v>
      </c>
      <c r="C25" s="1008">
        <f t="shared" ref="C25:H25" si="9">10+(C24-1)*2</f>
        <v>14</v>
      </c>
      <c r="D25" s="1008">
        <f t="shared" si="9"/>
        <v>16</v>
      </c>
      <c r="E25" s="1008">
        <f t="shared" si="9"/>
        <v>18</v>
      </c>
      <c r="F25" s="1008">
        <f t="shared" si="9"/>
        <v>22</v>
      </c>
      <c r="G25" s="1008">
        <f t="shared" si="9"/>
        <v>24</v>
      </c>
      <c r="H25" s="1008">
        <f t="shared" si="9"/>
        <v>26</v>
      </c>
      <c r="I25" s="1104"/>
      <c r="J25" s="1122"/>
      <c r="K25" s="1104"/>
      <c r="L25" s="1104"/>
      <c r="M25" s="1104"/>
    </row>
    <row r="26">
      <c r="B26" s="1004" t="s">
        <v>1633</v>
      </c>
      <c r="C26" s="1008" t="str">
        <f t="shared" ref="C26:H26" si="10">IF(C24&lt;4,"Простые",IF(C24&lt;7,"Продвинутые","Мастерские"))</f>
        <v>Простые</v>
      </c>
      <c r="D26" s="1008" t="str">
        <f t="shared" si="10"/>
        <v>Продвинутые</v>
      </c>
      <c r="E26" s="1008" t="str">
        <f t="shared" si="10"/>
        <v>Продвинутые</v>
      </c>
      <c r="F26" s="1008" t="str">
        <f t="shared" si="10"/>
        <v>Мастерские</v>
      </c>
      <c r="G26" s="1008" t="str">
        <f t="shared" si="10"/>
        <v>Мастерские</v>
      </c>
      <c r="H26" s="1008" t="str">
        <f t="shared" si="10"/>
        <v>Мастерские</v>
      </c>
      <c r="I26" s="1100"/>
      <c r="J26" s="1100"/>
      <c r="K26" s="1100"/>
      <c r="L26" s="1100"/>
      <c r="M26" s="1100"/>
    </row>
    <row r="27">
      <c r="B27" s="1111" t="s">
        <v>1494</v>
      </c>
      <c r="C27" s="1124">
        <f t="shared" ref="C27:H27" si="11">C$15*C$16+C28*C30+C19*C20</f>
        <v>19.2</v>
      </c>
      <c r="D27" s="1124">
        <f t="shared" si="11"/>
        <v>36.1</v>
      </c>
      <c r="E27" s="1124">
        <f t="shared" si="11"/>
        <v>68.15</v>
      </c>
      <c r="F27" s="1124">
        <f t="shared" si="11"/>
        <v>300.85</v>
      </c>
      <c r="G27" s="1124">
        <f t="shared" si="11"/>
        <v>748.6</v>
      </c>
      <c r="H27" s="1124">
        <f t="shared" si="11"/>
        <v>2037.75</v>
      </c>
      <c r="I27" s="1104"/>
      <c r="J27" s="1113">
        <v>2.0</v>
      </c>
      <c r="K27" s="1104"/>
      <c r="L27" s="1104"/>
      <c r="M27" s="1104"/>
    </row>
    <row r="28">
      <c r="B28" s="1004" t="s">
        <v>1371</v>
      </c>
      <c r="C28" s="950">
        <f t="shared" ref="C28:H28" si="12">C$16*C29</f>
        <v>50</v>
      </c>
      <c r="D28" s="950">
        <f t="shared" si="12"/>
        <v>55</v>
      </c>
      <c r="E28" s="950">
        <f t="shared" si="12"/>
        <v>60</v>
      </c>
      <c r="F28" s="950">
        <f t="shared" si="12"/>
        <v>70</v>
      </c>
      <c r="G28" s="950">
        <f t="shared" si="12"/>
        <v>75</v>
      </c>
      <c r="H28" s="950">
        <f t="shared" si="12"/>
        <v>80</v>
      </c>
      <c r="I28" s="1104"/>
      <c r="J28" s="1113"/>
      <c r="K28" s="1104"/>
      <c r="L28" s="1104"/>
      <c r="M28" s="1104"/>
    </row>
    <row r="29">
      <c r="B29" s="1004" t="s">
        <v>1385</v>
      </c>
      <c r="C29" s="950">
        <f t="shared" ref="C29:H29" si="13">C$22*$J27</f>
        <v>10</v>
      </c>
      <c r="D29" s="950">
        <f t="shared" si="13"/>
        <v>11</v>
      </c>
      <c r="E29" s="950">
        <f t="shared" si="13"/>
        <v>12</v>
      </c>
      <c r="F29" s="950">
        <f t="shared" si="13"/>
        <v>14</v>
      </c>
      <c r="G29" s="950">
        <f t="shared" si="13"/>
        <v>15</v>
      </c>
      <c r="H29" s="950">
        <f t="shared" si="13"/>
        <v>16</v>
      </c>
      <c r="I29" s="1104"/>
      <c r="J29" s="1113"/>
      <c r="K29" s="1104"/>
      <c r="L29" s="1104"/>
      <c r="M29" s="1104"/>
    </row>
    <row r="30">
      <c r="B30" s="1004" t="s">
        <v>1372</v>
      </c>
      <c r="C30" s="950">
        <f t="shared" ref="C30:H30" si="14">(0.02*C31)*C31</f>
        <v>0.32</v>
      </c>
      <c r="D30" s="950">
        <f t="shared" si="14"/>
        <v>0.5</v>
      </c>
      <c r="E30" s="950">
        <f t="shared" si="14"/>
        <v>0.72</v>
      </c>
      <c r="F30" s="950">
        <f t="shared" si="14"/>
        <v>1.28</v>
      </c>
      <c r="G30" s="950">
        <f t="shared" si="14"/>
        <v>1.62</v>
      </c>
      <c r="H30" s="950">
        <f t="shared" si="14"/>
        <v>2</v>
      </c>
      <c r="I30" s="1104"/>
      <c r="J30" s="1113"/>
      <c r="K30" s="1104"/>
      <c r="L30" s="1104"/>
      <c r="M30" s="1104"/>
    </row>
    <row r="31">
      <c r="B31" s="1004" t="s">
        <v>1631</v>
      </c>
      <c r="C31" s="950">
        <f t="shared" ref="C31:H31" si="15">C24+1</f>
        <v>4</v>
      </c>
      <c r="D31" s="950">
        <f t="shared" si="15"/>
        <v>5</v>
      </c>
      <c r="E31" s="950">
        <f t="shared" si="15"/>
        <v>6</v>
      </c>
      <c r="F31" s="950">
        <f t="shared" si="15"/>
        <v>8</v>
      </c>
      <c r="G31" s="950">
        <f t="shared" si="15"/>
        <v>9</v>
      </c>
      <c r="H31" s="950">
        <f t="shared" si="15"/>
        <v>10</v>
      </c>
      <c r="I31" s="1104"/>
      <c r="J31" s="1113"/>
      <c r="K31" s="1104"/>
      <c r="L31" s="1104"/>
      <c r="M31" s="1104"/>
    </row>
    <row r="32">
      <c r="B32" s="1004" t="s">
        <v>1632</v>
      </c>
      <c r="C32" s="1008">
        <f t="shared" ref="C32:H32" si="16">10+(C31-1)*2</f>
        <v>16</v>
      </c>
      <c r="D32" s="1008">
        <f t="shared" si="16"/>
        <v>18</v>
      </c>
      <c r="E32" s="1008">
        <f t="shared" si="16"/>
        <v>20</v>
      </c>
      <c r="F32" s="1008">
        <f t="shared" si="16"/>
        <v>24</v>
      </c>
      <c r="G32" s="1008">
        <f t="shared" si="16"/>
        <v>26</v>
      </c>
      <c r="H32" s="1008">
        <f t="shared" si="16"/>
        <v>28</v>
      </c>
      <c r="I32" s="1104"/>
      <c r="J32" s="1122"/>
      <c r="K32" s="1104"/>
      <c r="L32" s="1104"/>
      <c r="M32" s="1104"/>
    </row>
    <row r="33">
      <c r="B33" s="1004" t="s">
        <v>1633</v>
      </c>
      <c r="C33" s="1008" t="str">
        <f t="shared" ref="C33:H33" si="17">IF(C31&lt;4,"Простые",IF(C31&lt;7,"Продвинутые","Мастерские"))</f>
        <v>Продвинутые</v>
      </c>
      <c r="D33" s="1008" t="str">
        <f t="shared" si="17"/>
        <v>Продвинутые</v>
      </c>
      <c r="E33" s="1008" t="str">
        <f t="shared" si="17"/>
        <v>Продвинутые</v>
      </c>
      <c r="F33" s="1008" t="str">
        <f t="shared" si="17"/>
        <v>Мастерские</v>
      </c>
      <c r="G33" s="1008" t="str">
        <f t="shared" si="17"/>
        <v>Мастерские</v>
      </c>
      <c r="H33" s="1008" t="str">
        <f t="shared" si="17"/>
        <v>Мастерские</v>
      </c>
      <c r="I33" s="1100"/>
      <c r="J33" s="1100"/>
      <c r="K33" s="1100"/>
      <c r="L33" s="1100"/>
      <c r="M33" s="1100"/>
    </row>
    <row r="34">
      <c r="B34" s="1111" t="s">
        <v>1495</v>
      </c>
      <c r="C34" s="1124">
        <f t="shared" ref="C34:H34" si="18">C$15*C$16+C35*C37+C19*C20</f>
        <v>40.7</v>
      </c>
      <c r="D34" s="1124">
        <f t="shared" si="18"/>
        <v>68</v>
      </c>
      <c r="E34" s="1124">
        <f t="shared" si="18"/>
        <v>113.15</v>
      </c>
      <c r="F34" s="1124">
        <f t="shared" si="18"/>
        <v>381.35</v>
      </c>
      <c r="G34" s="1124">
        <f t="shared" si="18"/>
        <v>852.1</v>
      </c>
      <c r="H34" s="1124">
        <f t="shared" si="18"/>
        <v>2168.15</v>
      </c>
      <c r="I34" s="1104"/>
      <c r="J34" s="1113">
        <v>3.0</v>
      </c>
      <c r="K34" s="1104"/>
      <c r="L34" s="1104"/>
      <c r="M34" s="1104"/>
    </row>
    <row r="35">
      <c r="B35" s="1004" t="s">
        <v>1371</v>
      </c>
      <c r="C35" s="950">
        <f t="shared" ref="C35:H35" si="19">C$16*C36</f>
        <v>75</v>
      </c>
      <c r="D35" s="950">
        <f t="shared" si="19"/>
        <v>82.5</v>
      </c>
      <c r="E35" s="950">
        <f t="shared" si="19"/>
        <v>90</v>
      </c>
      <c r="F35" s="950">
        <f t="shared" si="19"/>
        <v>105</v>
      </c>
      <c r="G35" s="950">
        <f t="shared" si="19"/>
        <v>112.5</v>
      </c>
      <c r="H35" s="950">
        <f t="shared" si="19"/>
        <v>120</v>
      </c>
      <c r="I35" s="1104"/>
      <c r="J35" s="1113"/>
      <c r="K35" s="1104"/>
      <c r="L35" s="1104"/>
      <c r="M35" s="1104"/>
    </row>
    <row r="36">
      <c r="B36" s="1004" t="s">
        <v>1385</v>
      </c>
      <c r="C36" s="950">
        <f t="shared" ref="C36:H36" si="20">C$22*$J34</f>
        <v>15</v>
      </c>
      <c r="D36" s="950">
        <f t="shared" si="20"/>
        <v>16.5</v>
      </c>
      <c r="E36" s="950">
        <f t="shared" si="20"/>
        <v>18</v>
      </c>
      <c r="F36" s="950">
        <f t="shared" si="20"/>
        <v>21</v>
      </c>
      <c r="G36" s="950">
        <f t="shared" si="20"/>
        <v>22.5</v>
      </c>
      <c r="H36" s="950">
        <f t="shared" si="20"/>
        <v>24</v>
      </c>
      <c r="I36" s="1104"/>
      <c r="J36" s="1113"/>
      <c r="K36" s="1104"/>
      <c r="L36" s="1104"/>
      <c r="M36" s="1104"/>
    </row>
    <row r="37">
      <c r="B37" s="1004" t="s">
        <v>1372</v>
      </c>
      <c r="C37" s="950">
        <f t="shared" ref="C37:H37" si="21">(0.02*C38)*C38</f>
        <v>0.5</v>
      </c>
      <c r="D37" s="950">
        <f t="shared" si="21"/>
        <v>0.72</v>
      </c>
      <c r="E37" s="951">
        <f t="shared" si="21"/>
        <v>0.98</v>
      </c>
      <c r="F37" s="950">
        <f t="shared" si="21"/>
        <v>1.62</v>
      </c>
      <c r="G37" s="950">
        <f t="shared" si="21"/>
        <v>2</v>
      </c>
      <c r="H37" s="950">
        <f t="shared" si="21"/>
        <v>2.42</v>
      </c>
      <c r="I37" s="1104"/>
      <c r="J37" s="1113"/>
      <c r="K37" s="1104"/>
      <c r="L37" s="1104"/>
      <c r="M37" s="1104"/>
    </row>
    <row r="38">
      <c r="B38" s="1004" t="s">
        <v>1631</v>
      </c>
      <c r="C38" s="950">
        <f t="shared" ref="C38:H38" si="22">C31+1</f>
        <v>5</v>
      </c>
      <c r="D38" s="950">
        <f t="shared" si="22"/>
        <v>6</v>
      </c>
      <c r="E38" s="950">
        <f t="shared" si="22"/>
        <v>7</v>
      </c>
      <c r="F38" s="950">
        <f t="shared" si="22"/>
        <v>9</v>
      </c>
      <c r="G38" s="950">
        <f t="shared" si="22"/>
        <v>10</v>
      </c>
      <c r="H38" s="950">
        <f t="shared" si="22"/>
        <v>11</v>
      </c>
      <c r="I38" s="1104"/>
      <c r="J38" s="1113"/>
      <c r="K38" s="1104"/>
      <c r="L38" s="1104"/>
      <c r="M38" s="1104"/>
    </row>
    <row r="39">
      <c r="B39" s="1004" t="s">
        <v>1632</v>
      </c>
      <c r="C39" s="1008">
        <f t="shared" ref="C39:H39" si="23">10+(C38-1)*2</f>
        <v>18</v>
      </c>
      <c r="D39" s="1008">
        <f t="shared" si="23"/>
        <v>20</v>
      </c>
      <c r="E39" s="1008">
        <f t="shared" si="23"/>
        <v>22</v>
      </c>
      <c r="F39" s="1008">
        <f t="shared" si="23"/>
        <v>26</v>
      </c>
      <c r="G39" s="1008">
        <f t="shared" si="23"/>
        <v>28</v>
      </c>
      <c r="H39" s="1008">
        <f t="shared" si="23"/>
        <v>30</v>
      </c>
      <c r="I39" s="1104"/>
      <c r="J39" s="1122"/>
      <c r="K39" s="1104"/>
      <c r="L39" s="1104"/>
      <c r="M39" s="1104"/>
    </row>
    <row r="40">
      <c r="B40" s="1004" t="s">
        <v>1633</v>
      </c>
      <c r="C40" s="1008" t="str">
        <f t="shared" ref="C40:H40" si="24">IF(C38&lt;4,"Простые",IF(C38&lt;7,"Продвинутые","Мастерские"))</f>
        <v>Продвинутые</v>
      </c>
      <c r="D40" s="1008" t="str">
        <f t="shared" si="24"/>
        <v>Продвинутые</v>
      </c>
      <c r="E40" s="1008" t="str">
        <f t="shared" si="24"/>
        <v>Мастерские</v>
      </c>
      <c r="F40" s="1008" t="str">
        <f t="shared" si="24"/>
        <v>Мастерские</v>
      </c>
      <c r="G40" s="1008" t="str">
        <f t="shared" si="24"/>
        <v>Мастерские</v>
      </c>
      <c r="H40" s="1008" t="str">
        <f t="shared" si="24"/>
        <v>Мастерские</v>
      </c>
      <c r="I40" s="1100"/>
      <c r="J40" s="1100"/>
      <c r="K40" s="1100"/>
      <c r="L40" s="1100"/>
      <c r="M40" s="1100"/>
    </row>
    <row r="41">
      <c r="B41" s="1111" t="s">
        <v>1496</v>
      </c>
      <c r="C41" s="1124">
        <f t="shared" ref="C41:H41" si="25">C$15*C$16+C42*C44+C19*C20</f>
        <v>75.2</v>
      </c>
      <c r="D41" s="1124">
        <f t="shared" si="25"/>
        <v>116.4</v>
      </c>
      <c r="E41" s="1124">
        <f t="shared" si="25"/>
        <v>178.55</v>
      </c>
      <c r="F41" s="1124">
        <f t="shared" si="25"/>
        <v>491.25</v>
      </c>
      <c r="G41" s="1124">
        <f t="shared" si="25"/>
        <v>990.1</v>
      </c>
      <c r="H41" s="1124">
        <f t="shared" si="25"/>
        <v>2338.55</v>
      </c>
      <c r="I41" s="1104"/>
      <c r="J41" s="1113">
        <v>4.0</v>
      </c>
      <c r="K41" s="1104"/>
      <c r="L41" s="1104"/>
      <c r="M41" s="1104"/>
    </row>
    <row r="42">
      <c r="B42" s="1004" t="s">
        <v>1371</v>
      </c>
      <c r="C42" s="950">
        <f t="shared" ref="C42:H42" si="26">C$16*C43</f>
        <v>100</v>
      </c>
      <c r="D42" s="950">
        <f t="shared" si="26"/>
        <v>110</v>
      </c>
      <c r="E42" s="950">
        <f t="shared" si="26"/>
        <v>120</v>
      </c>
      <c r="F42" s="950">
        <f t="shared" si="26"/>
        <v>140</v>
      </c>
      <c r="G42" s="950">
        <f t="shared" si="26"/>
        <v>150</v>
      </c>
      <c r="H42" s="950">
        <f t="shared" si="26"/>
        <v>160</v>
      </c>
      <c r="I42" s="1104"/>
      <c r="J42" s="1125"/>
      <c r="K42" s="1104"/>
      <c r="L42" s="1104"/>
      <c r="M42" s="1104"/>
    </row>
    <row r="43">
      <c r="B43" s="1004" t="s">
        <v>1385</v>
      </c>
      <c r="C43" s="950">
        <f t="shared" ref="C43:H43" si="27">C$22*$J41</f>
        <v>20</v>
      </c>
      <c r="D43" s="950">
        <f t="shared" si="27"/>
        <v>22</v>
      </c>
      <c r="E43" s="950">
        <f t="shared" si="27"/>
        <v>24</v>
      </c>
      <c r="F43" s="950">
        <f t="shared" si="27"/>
        <v>28</v>
      </c>
      <c r="G43" s="950">
        <f t="shared" si="27"/>
        <v>30</v>
      </c>
      <c r="H43" s="950">
        <f t="shared" si="27"/>
        <v>32</v>
      </c>
      <c r="I43" s="1104"/>
      <c r="J43" s="1125"/>
      <c r="K43" s="1104"/>
      <c r="L43" s="1104"/>
      <c r="M43" s="1104"/>
    </row>
    <row r="44">
      <c r="B44" s="1004" t="s">
        <v>1372</v>
      </c>
      <c r="C44" s="950">
        <f t="shared" ref="C44:H44" si="28">(0.02*C45)*C45</f>
        <v>0.72</v>
      </c>
      <c r="D44" s="951">
        <f t="shared" si="28"/>
        <v>0.98</v>
      </c>
      <c r="E44" s="950">
        <f t="shared" si="28"/>
        <v>1.28</v>
      </c>
      <c r="F44" s="950">
        <f t="shared" si="28"/>
        <v>2</v>
      </c>
      <c r="G44" s="950">
        <f t="shared" si="28"/>
        <v>2.42</v>
      </c>
      <c r="H44" s="950">
        <f t="shared" si="28"/>
        <v>2.88</v>
      </c>
      <c r="I44" s="1104"/>
      <c r="J44" s="1125"/>
      <c r="K44" s="1104"/>
      <c r="L44" s="1104"/>
      <c r="M44" s="1104"/>
    </row>
    <row r="45">
      <c r="B45" s="1004" t="s">
        <v>1631</v>
      </c>
      <c r="C45" s="950">
        <f t="shared" ref="C45:H45" si="29">C38+1</f>
        <v>6</v>
      </c>
      <c r="D45" s="950">
        <f t="shared" si="29"/>
        <v>7</v>
      </c>
      <c r="E45" s="950">
        <f t="shared" si="29"/>
        <v>8</v>
      </c>
      <c r="F45" s="950">
        <f t="shared" si="29"/>
        <v>10</v>
      </c>
      <c r="G45" s="950">
        <f t="shared" si="29"/>
        <v>11</v>
      </c>
      <c r="H45" s="950">
        <f t="shared" si="29"/>
        <v>12</v>
      </c>
      <c r="I45" s="1104"/>
      <c r="J45" s="1125"/>
      <c r="K45" s="1104"/>
      <c r="L45" s="1104"/>
      <c r="M45" s="1104"/>
    </row>
    <row r="46">
      <c r="B46" s="1004" t="s">
        <v>1632</v>
      </c>
      <c r="C46" s="1008">
        <f t="shared" ref="C46:H46" si="30">10+(C45-1)*2</f>
        <v>20</v>
      </c>
      <c r="D46" s="1008">
        <f t="shared" si="30"/>
        <v>22</v>
      </c>
      <c r="E46" s="1008">
        <f t="shared" si="30"/>
        <v>24</v>
      </c>
      <c r="F46" s="1008">
        <f t="shared" si="30"/>
        <v>28</v>
      </c>
      <c r="G46" s="1008">
        <f t="shared" si="30"/>
        <v>30</v>
      </c>
      <c r="H46" s="1008">
        <f t="shared" si="30"/>
        <v>32</v>
      </c>
      <c r="I46" s="1104"/>
      <c r="J46" s="1122"/>
      <c r="K46" s="1104"/>
      <c r="L46" s="1104"/>
      <c r="M46" s="1104"/>
    </row>
    <row r="47">
      <c r="B47" s="1004" t="s">
        <v>1633</v>
      </c>
      <c r="C47" s="1008" t="str">
        <f t="shared" ref="C47:H47" si="31">IF(C45&lt;4,"Простые",IF(C45&lt;7,"Продвинутые","Мастерские"))</f>
        <v>Продвинутые</v>
      </c>
      <c r="D47" s="1008" t="str">
        <f t="shared" si="31"/>
        <v>Мастерские</v>
      </c>
      <c r="E47" s="1008" t="str">
        <f t="shared" si="31"/>
        <v>Мастерские</v>
      </c>
      <c r="F47" s="1008" t="str">
        <f t="shared" si="31"/>
        <v>Мастерские</v>
      </c>
      <c r="G47" s="1008" t="str">
        <f t="shared" si="31"/>
        <v>Мастерские</v>
      </c>
      <c r="H47" s="1008" t="str">
        <f t="shared" si="31"/>
        <v>Мастерские</v>
      </c>
      <c r="I47" s="1100"/>
      <c r="J47" s="1100"/>
      <c r="K47" s="1100"/>
      <c r="L47" s="1100"/>
      <c r="M47" s="1100"/>
    </row>
    <row r="48">
      <c r="B48" s="1100"/>
      <c r="C48" s="1100"/>
      <c r="D48" s="1100"/>
      <c r="E48" s="1100"/>
      <c r="F48" s="1100"/>
      <c r="G48" s="1100"/>
      <c r="H48" s="1100"/>
      <c r="I48" s="1100"/>
      <c r="J48" s="1100"/>
      <c r="K48" s="1100"/>
      <c r="L48" s="1100"/>
      <c r="M48" s="1100"/>
    </row>
    <row r="49">
      <c r="B49" s="934"/>
      <c r="C49" s="545"/>
      <c r="D49" s="545"/>
      <c r="E49" s="545"/>
      <c r="F49" s="1100"/>
      <c r="G49" s="545"/>
      <c r="H49" s="545"/>
      <c r="I49" s="545"/>
      <c r="J49" s="1100"/>
      <c r="K49" s="1100"/>
      <c r="L49" s="1100"/>
      <c r="M49" s="1286"/>
      <c r="N49" s="1286"/>
    </row>
    <row r="50">
      <c r="B50" s="934" t="s">
        <v>1634</v>
      </c>
      <c r="C50" s="545"/>
      <c r="D50" s="545"/>
      <c r="E50" s="545"/>
      <c r="F50" s="1100"/>
      <c r="G50" s="545"/>
      <c r="H50" s="545"/>
      <c r="I50" s="545"/>
      <c r="J50" s="1100"/>
      <c r="K50" s="1100"/>
      <c r="L50" s="1100"/>
      <c r="M50" s="1286" t="s">
        <v>1635</v>
      </c>
      <c r="N50" s="1286" t="s">
        <v>1636</v>
      </c>
    </row>
    <row r="51">
      <c r="B51" s="1279" t="s">
        <v>1487</v>
      </c>
      <c r="C51" s="1280" t="s">
        <v>172</v>
      </c>
      <c r="D51" s="1280" t="s">
        <v>738</v>
      </c>
      <c r="E51" s="1280" t="s">
        <v>739</v>
      </c>
      <c r="F51" s="1280" t="s">
        <v>740</v>
      </c>
      <c r="G51" s="1280" t="s">
        <v>741</v>
      </c>
      <c r="H51" s="1280" t="s">
        <v>742</v>
      </c>
      <c r="I51" s="1280" t="s">
        <v>743</v>
      </c>
      <c r="J51" s="1104"/>
      <c r="K51" s="1108" t="s">
        <v>1434</v>
      </c>
      <c r="L51" s="1104"/>
      <c r="M51" s="1280" t="s">
        <v>172</v>
      </c>
      <c r="N51" s="1280" t="s">
        <v>172</v>
      </c>
    </row>
    <row r="52">
      <c r="B52" s="1111" t="s">
        <v>1488</v>
      </c>
      <c r="C52" s="1112">
        <f t="shared" ref="C52:I52" si="32">C53*C54+C59*C61+C57*C58</f>
        <v>2.88</v>
      </c>
      <c r="D52" s="1112">
        <f t="shared" si="32"/>
        <v>8.32</v>
      </c>
      <c r="E52" s="1112">
        <f t="shared" si="32"/>
        <v>23.56</v>
      </c>
      <c r="F52" s="1112">
        <f t="shared" si="32"/>
        <v>64.416</v>
      </c>
      <c r="G52" s="1112">
        <f t="shared" si="32"/>
        <v>181</v>
      </c>
      <c r="H52" s="1112">
        <f t="shared" si="32"/>
        <v>520.4</v>
      </c>
      <c r="I52" s="1112">
        <f t="shared" si="32"/>
        <v>1529.64</v>
      </c>
      <c r="J52" s="1104"/>
      <c r="K52" s="1113">
        <v>1.0</v>
      </c>
      <c r="L52" s="1104"/>
      <c r="M52" s="1112">
        <f t="shared" ref="M52:N52" si="33">M53*M54+M59*M61+M57*M58</f>
        <v>2.08</v>
      </c>
      <c r="N52" s="1112">
        <f t="shared" si="33"/>
        <v>3.72</v>
      </c>
    </row>
    <row r="53">
      <c r="B53" s="1283" t="s">
        <v>1363</v>
      </c>
      <c r="C53" s="1284">
        <f>'Материалы и инструменты'!D24</f>
        <v>0.5</v>
      </c>
      <c r="D53" s="1284">
        <f>'Материалы и инструменты'!E24</f>
        <v>1.51</v>
      </c>
      <c r="E53" s="1284">
        <f>'Материалы и инструменты'!F24</f>
        <v>4.57</v>
      </c>
      <c r="F53" s="1284">
        <f>'Материалы и инструменты'!G24</f>
        <v>13.784</v>
      </c>
      <c r="G53" s="1284">
        <f>'Материалы и инструменты'!H24</f>
        <v>41.55</v>
      </c>
      <c r="H53" s="1284">
        <f>'Материалы и инструменты'!I24</f>
        <v>124.72</v>
      </c>
      <c r="I53" s="1284">
        <f>'Материалы и инструменты'!J24</f>
        <v>374.71</v>
      </c>
      <c r="J53" s="1104"/>
      <c r="K53" s="1113"/>
      <c r="L53" s="1104"/>
      <c r="M53" s="1284">
        <f>'Материалы и инструменты'!$D$24</f>
        <v>0.5</v>
      </c>
      <c r="N53" s="1284">
        <f>'Материалы и инструменты'!$D$24</f>
        <v>0.5</v>
      </c>
    </row>
    <row r="54">
      <c r="B54" s="1283" t="s">
        <v>1365</v>
      </c>
      <c r="C54" s="1285">
        <v>4.0</v>
      </c>
      <c r="D54" s="1285">
        <v>4.0</v>
      </c>
      <c r="E54" s="1285">
        <v>4.0</v>
      </c>
      <c r="F54" s="1285">
        <v>4.0</v>
      </c>
      <c r="G54" s="1285">
        <v>4.0</v>
      </c>
      <c r="H54" s="1285">
        <v>4.0</v>
      </c>
      <c r="I54" s="1285">
        <v>4.0</v>
      </c>
      <c r="J54" s="1104"/>
      <c r="K54" s="1113"/>
      <c r="L54" s="1104"/>
      <c r="M54" s="1287">
        <v>2.0</v>
      </c>
      <c r="N54" s="1287">
        <v>3.0</v>
      </c>
    </row>
    <row r="55">
      <c r="B55" s="999" t="s">
        <v>1400</v>
      </c>
      <c r="C55" s="1000" t="s">
        <v>1489</v>
      </c>
      <c r="D55" s="1000" t="s">
        <v>1490</v>
      </c>
      <c r="E55" s="1000" t="s">
        <v>1490</v>
      </c>
      <c r="F55" s="1000" t="s">
        <v>1490</v>
      </c>
      <c r="G55" s="1000" t="s">
        <v>1490</v>
      </c>
      <c r="H55" s="1000" t="s">
        <v>1490</v>
      </c>
      <c r="I55" s="1000" t="s">
        <v>1490</v>
      </c>
      <c r="M55" s="1000" t="s">
        <v>1489</v>
      </c>
      <c r="N55" s="1000" t="s">
        <v>1489</v>
      </c>
    </row>
    <row r="56">
      <c r="B56" s="1001" t="s">
        <v>1369</v>
      </c>
      <c r="C56" s="1120" t="str">
        <f>'Материалы и инструменты'!$E$148</f>
        <v>Древесный уголь</v>
      </c>
      <c r="D56" s="1120" t="str">
        <f>'Материалы и инструменты'!$E$148</f>
        <v>Древесный уголь</v>
      </c>
      <c r="E56" s="1120" t="str">
        <f>'Материалы и инструменты'!$F$148</f>
        <v>Каменный уголь</v>
      </c>
      <c r="F56" s="1120" t="str">
        <f>'Материалы и инструменты'!$F$148</f>
        <v>Каменный уголь</v>
      </c>
      <c r="G56" s="1120" t="str">
        <f>'Материалы и инструменты'!$F$148</f>
        <v>Каменный уголь</v>
      </c>
      <c r="H56" s="1120" t="str">
        <f>'Материалы и инструменты'!$F$148</f>
        <v>Каменный уголь</v>
      </c>
      <c r="I56" s="1120" t="str">
        <f>'Материалы и инструменты'!$F$148</f>
        <v>Каменный уголь</v>
      </c>
      <c r="M56" s="1120" t="str">
        <f>'Материалы и инструменты'!$E$148</f>
        <v>Древесный уголь</v>
      </c>
      <c r="N56" s="1120" t="str">
        <f>'Материалы и инструменты'!$E$148</f>
        <v>Древесный уголь</v>
      </c>
    </row>
    <row r="57">
      <c r="B57" s="1002" t="s">
        <v>1370</v>
      </c>
      <c r="C57" s="1121">
        <f>'Материалы и инструменты'!$E$149</f>
        <v>0.07</v>
      </c>
      <c r="D57" s="1121">
        <f>'Материалы и инструменты'!$E$149</f>
        <v>0.07</v>
      </c>
      <c r="E57" s="1120">
        <f>'Материалы и инструменты'!$F$149</f>
        <v>0.14</v>
      </c>
      <c r="F57" s="1120">
        <f>'Материалы и инструменты'!$F$149</f>
        <v>0.14</v>
      </c>
      <c r="G57" s="1120">
        <f>'Материалы и инструменты'!$F$149</f>
        <v>0.14</v>
      </c>
      <c r="H57" s="1120">
        <f>'Материалы и инструменты'!$F$149</f>
        <v>0.14</v>
      </c>
      <c r="I57" s="1120">
        <f>'Материалы и инструменты'!$F$149</f>
        <v>0.14</v>
      </c>
      <c r="M57" s="1121">
        <f>'Материалы и инструменты'!$E$149</f>
        <v>0.07</v>
      </c>
      <c r="N57" s="1121">
        <f>'Материалы и инструменты'!$E$149</f>
        <v>0.07</v>
      </c>
    </row>
    <row r="58">
      <c r="B58" s="1002" t="s">
        <v>1231</v>
      </c>
      <c r="C58" s="1120">
        <f>'Рудокоп'!$C$84*C54</f>
        <v>8</v>
      </c>
      <c r="D58" s="1120">
        <f>'Рудокоп'!$H$63*D54</f>
        <v>12</v>
      </c>
      <c r="E58" s="1120">
        <f>'Рудокоп'!$D$84*E54</f>
        <v>12</v>
      </c>
      <c r="F58" s="1120">
        <f>'Рудокоп'!$E$84*F54</f>
        <v>16</v>
      </c>
      <c r="G58" s="1120">
        <f>'Рудокоп'!$L$63*G54</f>
        <v>20</v>
      </c>
      <c r="H58" s="1120">
        <f>'Рудокоп'!$M$63*H54</f>
        <v>20</v>
      </c>
      <c r="I58" s="1120">
        <f>'Рудокоп'!$N$63*I54</f>
        <v>24</v>
      </c>
      <c r="M58" s="1120">
        <f>'Рудокоп'!$C$84*M54</f>
        <v>4</v>
      </c>
      <c r="N58" s="1120">
        <f>'Рудокоп'!$C$84*N54</f>
        <v>6</v>
      </c>
    </row>
    <row r="59">
      <c r="B59" s="1004" t="s">
        <v>1371</v>
      </c>
      <c r="C59" s="950">
        <f t="shared" ref="C59:I59" si="34">C54*C60</f>
        <v>16</v>
      </c>
      <c r="D59" s="950">
        <f t="shared" si="34"/>
        <v>18</v>
      </c>
      <c r="E59" s="950">
        <f t="shared" si="34"/>
        <v>20</v>
      </c>
      <c r="F59" s="950">
        <f t="shared" si="34"/>
        <v>22</v>
      </c>
      <c r="G59" s="950">
        <f t="shared" si="34"/>
        <v>24</v>
      </c>
      <c r="H59" s="950">
        <f t="shared" si="34"/>
        <v>26</v>
      </c>
      <c r="I59" s="950">
        <f t="shared" si="34"/>
        <v>28</v>
      </c>
      <c r="J59" s="1104"/>
      <c r="K59" s="1113"/>
      <c r="L59" s="1104"/>
      <c r="M59" s="1008">
        <v>10.0</v>
      </c>
      <c r="N59" s="1008">
        <v>10.0</v>
      </c>
    </row>
    <row r="60">
      <c r="B60" s="1004" t="s">
        <v>1385</v>
      </c>
      <c r="C60" s="950">
        <v>4.0</v>
      </c>
      <c r="D60" s="950">
        <f t="shared" ref="D60:F60" si="35">C60+0.5</f>
        <v>4.5</v>
      </c>
      <c r="E60" s="950">
        <f t="shared" si="35"/>
        <v>5</v>
      </c>
      <c r="F60" s="950">
        <f t="shared" si="35"/>
        <v>5.5</v>
      </c>
      <c r="G60" s="950">
        <f>E60+0.5*2</f>
        <v>6</v>
      </c>
      <c r="H60" s="950">
        <f t="shared" ref="H60:I60" si="36">G60+0.5</f>
        <v>6.5</v>
      </c>
      <c r="I60" s="950">
        <f t="shared" si="36"/>
        <v>7</v>
      </c>
      <c r="J60" s="1104"/>
      <c r="K60" s="1113"/>
      <c r="L60" s="1104"/>
      <c r="M60" s="950">
        <v>4.0</v>
      </c>
      <c r="N60" s="1008">
        <v>10.0</v>
      </c>
    </row>
    <row r="61">
      <c r="B61" s="1004" t="s">
        <v>1372</v>
      </c>
      <c r="C61" s="950">
        <f t="shared" ref="C61:I61" si="37">(0.02*C62)*C62</f>
        <v>0.02</v>
      </c>
      <c r="D61" s="950">
        <f t="shared" si="37"/>
        <v>0.08</v>
      </c>
      <c r="E61" s="950">
        <f t="shared" si="37"/>
        <v>0.18</v>
      </c>
      <c r="F61" s="950">
        <f t="shared" si="37"/>
        <v>0.32</v>
      </c>
      <c r="G61" s="951">
        <f t="shared" si="37"/>
        <v>0.5</v>
      </c>
      <c r="H61" s="950">
        <f t="shared" si="37"/>
        <v>0.72</v>
      </c>
      <c r="I61" s="950">
        <f t="shared" si="37"/>
        <v>0.98</v>
      </c>
      <c r="J61" s="1104"/>
      <c r="K61" s="1113"/>
      <c r="L61" s="1104"/>
      <c r="M61" s="950">
        <f t="shared" ref="M61:N61" si="38">(0.02*M62)*M62</f>
        <v>0.08</v>
      </c>
      <c r="N61" s="950">
        <f t="shared" si="38"/>
        <v>0.18</v>
      </c>
    </row>
    <row r="62">
      <c r="B62" s="1004" t="s">
        <v>1631</v>
      </c>
      <c r="C62" s="950">
        <v>1.0</v>
      </c>
      <c r="D62" s="950">
        <f t="shared" ref="D62:I62" si="39">C62+1</f>
        <v>2</v>
      </c>
      <c r="E62" s="950">
        <f t="shared" si="39"/>
        <v>3</v>
      </c>
      <c r="F62" s="950">
        <f t="shared" si="39"/>
        <v>4</v>
      </c>
      <c r="G62" s="950">
        <f t="shared" si="39"/>
        <v>5</v>
      </c>
      <c r="H62" s="950">
        <f t="shared" si="39"/>
        <v>6</v>
      </c>
      <c r="I62" s="950">
        <f t="shared" si="39"/>
        <v>7</v>
      </c>
      <c r="J62" s="1104"/>
      <c r="K62" s="1113"/>
      <c r="L62" s="1104"/>
      <c r="M62" s="1008">
        <v>2.0</v>
      </c>
      <c r="N62" s="1008">
        <v>3.0</v>
      </c>
    </row>
    <row r="63">
      <c r="B63" s="1004" t="s">
        <v>1632</v>
      </c>
      <c r="C63" s="1008">
        <f t="shared" ref="C63:I63" si="40">10+(C62-1)*2</f>
        <v>10</v>
      </c>
      <c r="D63" s="1008">
        <f t="shared" si="40"/>
        <v>12</v>
      </c>
      <c r="E63" s="1008">
        <f t="shared" si="40"/>
        <v>14</v>
      </c>
      <c r="F63" s="1008">
        <f t="shared" si="40"/>
        <v>16</v>
      </c>
      <c r="G63" s="1008">
        <f t="shared" si="40"/>
        <v>18</v>
      </c>
      <c r="H63" s="1008">
        <f t="shared" si="40"/>
        <v>20</v>
      </c>
      <c r="I63" s="1008">
        <f t="shared" si="40"/>
        <v>22</v>
      </c>
      <c r="J63" s="1104"/>
      <c r="K63" s="1122"/>
      <c r="L63" s="1104"/>
      <c r="M63" s="1008">
        <v>12.0</v>
      </c>
      <c r="N63" s="1008">
        <v>14.0</v>
      </c>
    </row>
    <row r="64">
      <c r="B64" s="1004" t="s">
        <v>1633</v>
      </c>
      <c r="C64" s="953" t="s">
        <v>1237</v>
      </c>
      <c r="D64" s="953" t="s">
        <v>1237</v>
      </c>
      <c r="E64" s="953" t="s">
        <v>1237</v>
      </c>
      <c r="F64" s="953" t="s">
        <v>1250</v>
      </c>
      <c r="G64" s="953" t="s">
        <v>1250</v>
      </c>
      <c r="H64" s="953" t="s">
        <v>1250</v>
      </c>
      <c r="I64" s="953" t="s">
        <v>1263</v>
      </c>
      <c r="J64" s="1100"/>
      <c r="K64" s="1100"/>
      <c r="L64" s="1100"/>
      <c r="M64" s="1008" t="s">
        <v>1237</v>
      </c>
      <c r="N64" s="1008" t="s">
        <v>1237</v>
      </c>
    </row>
    <row r="65">
      <c r="B65" s="1111" t="s">
        <v>1494</v>
      </c>
      <c r="C65" s="1124">
        <f t="shared" ref="C65:I65" si="41">C$53*C$54+C66*C68+C57*C58</f>
        <v>5.12</v>
      </c>
      <c r="D65" s="1124">
        <f t="shared" si="41"/>
        <v>13.36</v>
      </c>
      <c r="E65" s="1124">
        <f t="shared" si="41"/>
        <v>32.76</v>
      </c>
      <c r="F65" s="1124">
        <f t="shared" si="41"/>
        <v>79.376</v>
      </c>
      <c r="G65" s="1124">
        <f t="shared" si="41"/>
        <v>203.56</v>
      </c>
      <c r="H65" s="1124">
        <f t="shared" si="41"/>
        <v>552.64</v>
      </c>
      <c r="I65" s="1124">
        <f t="shared" si="41"/>
        <v>1573.88</v>
      </c>
      <c r="J65" s="1104"/>
      <c r="K65" s="1113">
        <v>2.0</v>
      </c>
      <c r="L65" s="1104"/>
      <c r="M65" s="1124">
        <f t="shared" ref="M65:N65" si="42">M$53*M$54+M66*M68+M57*M58</f>
        <v>4.16</v>
      </c>
      <c r="N65" s="1124">
        <f t="shared" si="42"/>
        <v>21.12</v>
      </c>
    </row>
    <row r="66">
      <c r="B66" s="1004" t="s">
        <v>1371</v>
      </c>
      <c r="C66" s="1075">
        <f t="shared" ref="C66:I66" si="43">C$54*C67</f>
        <v>32</v>
      </c>
      <c r="D66" s="1075">
        <f t="shared" si="43"/>
        <v>36</v>
      </c>
      <c r="E66" s="1075">
        <f t="shared" si="43"/>
        <v>40</v>
      </c>
      <c r="F66" s="1075">
        <f t="shared" si="43"/>
        <v>44</v>
      </c>
      <c r="G66" s="1075">
        <f t="shared" si="43"/>
        <v>48</v>
      </c>
      <c r="H66" s="1075">
        <f t="shared" si="43"/>
        <v>52</v>
      </c>
      <c r="I66" s="1075">
        <f t="shared" si="43"/>
        <v>56</v>
      </c>
      <c r="J66" s="1104"/>
      <c r="K66" s="1113"/>
      <c r="L66" s="1104"/>
      <c r="M66" s="950">
        <f t="shared" ref="M66:N66" si="44">M$54*M67</f>
        <v>16</v>
      </c>
      <c r="N66" s="950">
        <f t="shared" si="44"/>
        <v>60</v>
      </c>
    </row>
    <row r="67">
      <c r="B67" s="1004" t="s">
        <v>1385</v>
      </c>
      <c r="C67" s="1075">
        <f t="shared" ref="C67:I67" si="45">C$60*$K65</f>
        <v>8</v>
      </c>
      <c r="D67" s="1075">
        <f t="shared" si="45"/>
        <v>9</v>
      </c>
      <c r="E67" s="1075">
        <f t="shared" si="45"/>
        <v>10</v>
      </c>
      <c r="F67" s="1075">
        <f t="shared" si="45"/>
        <v>11</v>
      </c>
      <c r="G67" s="1075">
        <f t="shared" si="45"/>
        <v>12</v>
      </c>
      <c r="H67" s="1075">
        <f t="shared" si="45"/>
        <v>13</v>
      </c>
      <c r="I67" s="1075">
        <f t="shared" si="45"/>
        <v>14</v>
      </c>
      <c r="J67" s="1104"/>
      <c r="K67" s="1113"/>
      <c r="L67" s="1104"/>
      <c r="M67" s="950">
        <f t="shared" ref="M67:N67" si="46">M$60*$K65</f>
        <v>8</v>
      </c>
      <c r="N67" s="950">
        <f t="shared" si="46"/>
        <v>20</v>
      </c>
    </row>
    <row r="68">
      <c r="B68" s="1004" t="s">
        <v>1372</v>
      </c>
      <c r="C68" s="1075">
        <f t="shared" ref="C68:I68" si="47">(0.02*C69)*C69</f>
        <v>0.08</v>
      </c>
      <c r="D68" s="1075">
        <f t="shared" si="47"/>
        <v>0.18</v>
      </c>
      <c r="E68" s="1075">
        <f t="shared" si="47"/>
        <v>0.32</v>
      </c>
      <c r="F68" s="1075">
        <f t="shared" si="47"/>
        <v>0.5</v>
      </c>
      <c r="G68" s="1075">
        <f t="shared" si="47"/>
        <v>0.72</v>
      </c>
      <c r="H68" s="1075">
        <f t="shared" si="47"/>
        <v>0.98</v>
      </c>
      <c r="I68" s="1075">
        <f t="shared" si="47"/>
        <v>1.28</v>
      </c>
      <c r="J68" s="1104"/>
      <c r="K68" s="1113"/>
      <c r="L68" s="1104"/>
      <c r="M68" s="950">
        <f t="shared" ref="M68:N68" si="48">(0.02*M69)*M69</f>
        <v>0.18</v>
      </c>
      <c r="N68" s="950">
        <f t="shared" si="48"/>
        <v>0.32</v>
      </c>
    </row>
    <row r="69">
      <c r="B69" s="1004" t="s">
        <v>1631</v>
      </c>
      <c r="C69" s="1075">
        <f t="shared" ref="C69:I69" si="49">C62+1</f>
        <v>2</v>
      </c>
      <c r="D69" s="1075">
        <f t="shared" si="49"/>
        <v>3</v>
      </c>
      <c r="E69" s="1075">
        <f t="shared" si="49"/>
        <v>4</v>
      </c>
      <c r="F69" s="1075">
        <f t="shared" si="49"/>
        <v>5</v>
      </c>
      <c r="G69" s="1075">
        <f t="shared" si="49"/>
        <v>6</v>
      </c>
      <c r="H69" s="1075">
        <f t="shared" si="49"/>
        <v>7</v>
      </c>
      <c r="I69" s="1075">
        <f t="shared" si="49"/>
        <v>8</v>
      </c>
      <c r="J69" s="1104"/>
      <c r="K69" s="1113"/>
      <c r="L69" s="1104"/>
      <c r="M69" s="950">
        <f t="shared" ref="M69:N69" si="50">M62+1</f>
        <v>3</v>
      </c>
      <c r="N69" s="950">
        <f t="shared" si="50"/>
        <v>4</v>
      </c>
    </row>
    <row r="70">
      <c r="B70" s="1004" t="s">
        <v>1632</v>
      </c>
      <c r="C70" s="953">
        <f t="shared" ref="C70:I70" si="51">10+(C69-1)*2</f>
        <v>12</v>
      </c>
      <c r="D70" s="953">
        <f t="shared" si="51"/>
        <v>14</v>
      </c>
      <c r="E70" s="953">
        <f t="shared" si="51"/>
        <v>16</v>
      </c>
      <c r="F70" s="953">
        <f t="shared" si="51"/>
        <v>18</v>
      </c>
      <c r="G70" s="953">
        <f t="shared" si="51"/>
        <v>20</v>
      </c>
      <c r="H70" s="953">
        <f t="shared" si="51"/>
        <v>22</v>
      </c>
      <c r="I70" s="953">
        <f t="shared" si="51"/>
        <v>24</v>
      </c>
      <c r="J70" s="1104"/>
      <c r="K70" s="1122"/>
      <c r="L70" s="1104"/>
      <c r="M70" s="1008">
        <v>14.0</v>
      </c>
      <c r="N70" s="1008">
        <v>16.0</v>
      </c>
    </row>
    <row r="71">
      <c r="B71" s="1004" t="s">
        <v>1633</v>
      </c>
      <c r="C71" s="953" t="s">
        <v>1237</v>
      </c>
      <c r="D71" s="953" t="s">
        <v>1237</v>
      </c>
      <c r="E71" s="953" t="s">
        <v>1250</v>
      </c>
      <c r="F71" s="953" t="s">
        <v>1250</v>
      </c>
      <c r="G71" s="953" t="s">
        <v>1250</v>
      </c>
      <c r="H71" s="953" t="s">
        <v>1263</v>
      </c>
      <c r="I71" s="953" t="s">
        <v>1263</v>
      </c>
      <c r="J71" s="1100"/>
      <c r="K71" s="1100"/>
      <c r="L71" s="1100"/>
      <c r="M71" s="1008" t="s">
        <v>1237</v>
      </c>
      <c r="N71" s="953" t="s">
        <v>1250</v>
      </c>
    </row>
    <row r="72">
      <c r="B72" s="1100"/>
      <c r="C72" s="1100"/>
      <c r="D72" s="1100"/>
      <c r="E72" s="1100"/>
      <c r="F72" s="1100"/>
      <c r="G72" s="1100"/>
      <c r="H72" s="1100"/>
      <c r="I72" s="1100"/>
      <c r="J72" s="1100"/>
      <c r="K72" s="1100"/>
      <c r="L72" s="1100"/>
      <c r="M72" s="1100"/>
    </row>
    <row r="73">
      <c r="B73" s="1101"/>
      <c r="C73" s="545"/>
      <c r="D73" s="545"/>
      <c r="E73" s="545"/>
      <c r="F73" s="1100"/>
      <c r="G73" s="545"/>
      <c r="H73" s="545"/>
      <c r="I73" s="545"/>
      <c r="J73" s="1100"/>
      <c r="K73" s="1100"/>
      <c r="L73" s="1100"/>
      <c r="M73" s="1100"/>
    </row>
    <row r="74">
      <c r="B74" s="1101" t="s">
        <v>1084</v>
      </c>
      <c r="C74" s="545"/>
      <c r="D74" s="545"/>
      <c r="E74" s="545"/>
      <c r="F74" s="1100"/>
      <c r="G74" s="545"/>
      <c r="H74" s="545"/>
      <c r="I74" s="545"/>
      <c r="J74" s="1100"/>
      <c r="K74" s="1100"/>
      <c r="L74" s="1100"/>
      <c r="M74" s="1101" t="s">
        <v>1637</v>
      </c>
      <c r="N74" s="1105"/>
      <c r="O74" s="1105"/>
      <c r="P74" s="1105"/>
      <c r="Q74" s="1105"/>
      <c r="R74" s="1105"/>
      <c r="S74" s="1105"/>
    </row>
    <row r="75">
      <c r="B75" s="1279" t="s">
        <v>1487</v>
      </c>
      <c r="C75" s="1280" t="s">
        <v>172</v>
      </c>
      <c r="D75" s="1280" t="s">
        <v>738</v>
      </c>
      <c r="E75" s="1280" t="s">
        <v>739</v>
      </c>
      <c r="F75" s="1280" t="s">
        <v>741</v>
      </c>
      <c r="G75" s="1280" t="s">
        <v>742</v>
      </c>
      <c r="H75" s="1280" t="s">
        <v>743</v>
      </c>
      <c r="I75" s="1104"/>
      <c r="J75" s="1108" t="s">
        <v>1434</v>
      </c>
      <c r="K75" s="1288"/>
      <c r="L75" s="1104"/>
      <c r="M75" s="1289" t="s">
        <v>1638</v>
      </c>
      <c r="N75" s="1290" t="str">
        <f>'Материалы и инструменты'!D23</f>
        <v>Бронза</v>
      </c>
      <c r="O75" s="1290" t="str">
        <f>'Материалы и инструменты'!E23</f>
        <v>Железо</v>
      </c>
      <c r="P75" s="1290" t="str">
        <f>'Материалы и инструменты'!F23</f>
        <v>Сталь</v>
      </c>
      <c r="Q75" s="1290" t="str">
        <f>'Материалы и инструменты'!H23</f>
        <v>Каврил</v>
      </c>
      <c r="R75" s="1290" t="str">
        <f>'Материалы и инструменты'!I23</f>
        <v>Грамант</v>
      </c>
      <c r="S75" s="1290" t="str">
        <f>'Материалы и инструменты'!J23</f>
        <v>Леорит</v>
      </c>
    </row>
    <row r="76">
      <c r="B76" s="1291" t="s">
        <v>1639</v>
      </c>
      <c r="C76" s="1292" t="str">
        <f>'Материалы и инструменты'!$D$53</f>
        <v>Черный порох</v>
      </c>
      <c r="D76" s="1292" t="str">
        <f>'Материалы и инструменты'!$D$53</f>
        <v>Черный порох</v>
      </c>
      <c r="E76" s="1292" t="str">
        <f>'Материалы и инструменты'!$D$53</f>
        <v>Черный порох</v>
      </c>
      <c r="F76" s="1292" t="str">
        <f>'Материалы и инструменты'!$E$53</f>
        <v>Коричневый порох</v>
      </c>
      <c r="G76" s="1292" t="str">
        <f>'Материалы и инструменты'!$E$53</f>
        <v>Коричневый порох</v>
      </c>
      <c r="H76" s="1292" t="str">
        <f>'Материалы и инструменты'!$E$53</f>
        <v>Коричневый порох</v>
      </c>
      <c r="I76" s="1104"/>
      <c r="J76" s="1113">
        <v>1.0</v>
      </c>
      <c r="K76" s="1293"/>
      <c r="L76" s="1104"/>
      <c r="M76" s="1294" t="s">
        <v>133</v>
      </c>
      <c r="N76" s="1295" t="str">
        <f>'Оружие'!B458</f>
        <v>1d20+4</v>
      </c>
      <c r="O76" s="1295" t="str">
        <f>'Оружие'!C458</f>
        <v>1d20+10</v>
      </c>
      <c r="P76" s="1295" t="str">
        <f>'Оружие'!D458</f>
        <v>3d10+10</v>
      </c>
      <c r="Q76" s="1295" t="str">
        <f>'Оружие'!E458</f>
        <v>3d10+17</v>
      </c>
      <c r="R76" s="1295" t="str">
        <f>'Оружие'!F458</f>
        <v>2d20+20</v>
      </c>
      <c r="S76" s="1295" t="str">
        <f>'Оружие'!G458</f>
        <v>2d20+28</v>
      </c>
    </row>
    <row r="77">
      <c r="B77" s="1111" t="s">
        <v>1488</v>
      </c>
      <c r="C77" s="1112">
        <f t="shared" ref="C77:H77" si="52">C78*C80+C79*C81+C86*C88+C84*C85</f>
        <v>2.43051</v>
      </c>
      <c r="D77" s="1112">
        <f t="shared" si="52"/>
        <v>6.17051</v>
      </c>
      <c r="E77" s="1112">
        <f t="shared" si="52"/>
        <v>15.13051</v>
      </c>
      <c r="F77" s="1112">
        <f t="shared" si="52"/>
        <v>95.46793</v>
      </c>
      <c r="G77" s="1112">
        <f t="shared" si="52"/>
        <v>266.48793</v>
      </c>
      <c r="H77" s="1112">
        <f t="shared" si="52"/>
        <v>772.66793</v>
      </c>
      <c r="I77" s="1104"/>
      <c r="J77" s="1113"/>
      <c r="K77" s="1293"/>
      <c r="L77" s="1104"/>
      <c r="M77" s="1114" t="s">
        <v>1211</v>
      </c>
      <c r="N77" s="1295" t="str">
        <f>IFERROR(__xludf.DUMMYFUNCTION("IFERROR(LEFT(N$76,1)&amp;""""&amp;""d""&amp;""""&amp;ArrayFormula(lower(REGEXREPLACE(MID(N$76,3,2), ""([^A-Za-z0-9]+)|(---)"" , """" ) ))&amp;""""&amp;""+""&amp;""""&amp;RIGHT(N$76,2)+ROUNDDOWN(MAX(VLOOKUP($M77,'Списки'!$B$166:$D$169,2,FALSE),((LEFT(N$76,1)+RIGHT(N$76,2)+LEFT(N$76,1)*Ar"&amp;"rayFormula(lower(REGEXREPLACE(MID(N$76,3,2), ""([^A-Za-z0-9]+)|(---)"" , """" ) ))+RIGHT(N$76,2))/2)*VLOOKUP($M77,'Списки'!$B$166:$D$169,3,FALSE))),"""")"),"1d20+6")</f>
        <v>1d20+6</v>
      </c>
      <c r="O77" s="1295" t="str">
        <f>IFERROR(__xludf.DUMMYFUNCTION("IFERROR(LEFT(O$76,1)&amp;""""&amp;""d""&amp;""""&amp;ArrayFormula(lower(REGEXREPLACE(MID(O$76,3,2), ""([^A-Za-z0-9]+)|(---)"" , """" ) ))&amp;""""&amp;""+""&amp;""""&amp;RIGHT(O$76,2)+ROUNDDOWN(MAX(VLOOKUP($M77,'Списки'!$B$166:$D$169,2,FALSE),((LEFT(O$76,1)+RIGHT(O$76,2)+LEFT(O$76,1)*Ar"&amp;"rayFormula(lower(REGEXREPLACE(MID(O$76,3,2), ""([^A-Za-z0-9]+)|(---)"" , """" ) ))+RIGHT(O$76,2))/2)*VLOOKUP($M77,'Списки'!$B$166:$D$169,3,FALSE))),"""")"),"1d20+14")</f>
        <v>1d20+14</v>
      </c>
      <c r="P77" s="1295" t="str">
        <f>IFERROR(__xludf.DUMMYFUNCTION("IFERROR(LEFT(P$76,1)&amp;""""&amp;""d""&amp;""""&amp;ArrayFormula(lower(REGEXREPLACE(MID(P$76,3,2), ""([^A-Za-z0-9]+)|(---)"" , """" ) ))&amp;""""&amp;""+""&amp;""""&amp;RIGHT(P$76,2)+ROUNDDOWN(MAX(VLOOKUP($M77,'Списки'!$B$166:$D$169,2,FALSE),((LEFT(P$76,1)+RIGHT(P$76,2)+LEFT(P$76,1)*Ar"&amp;"rayFormula(lower(REGEXREPLACE(MID(P$76,3,2), ""([^A-Za-z0-9]+)|(---)"" , """" ) ))+RIGHT(P$76,2))/2)*VLOOKUP($M77,'Списки'!$B$166:$D$169,3,FALSE))),"""")"),"3d10+15")</f>
        <v>3d10+15</v>
      </c>
      <c r="Q77" s="1295" t="str">
        <f>IFERROR(__xludf.DUMMYFUNCTION("IFERROR(LEFT(Q$76,1)&amp;""""&amp;""d""&amp;""""&amp;ArrayFormula(lower(REGEXREPLACE(MID(Q$76,3,2), ""([^A-Za-z0-9]+)|(---)"" , """" ) ))&amp;""""&amp;""+""&amp;""""&amp;RIGHT(Q$76,2)+ROUNDDOWN(MAX(VLOOKUP($M77,'Списки'!$B$166:$D$169,2,FALSE),((LEFT(Q$76,1)+RIGHT(Q$76,2)+LEFT(Q$76,1)*Ar"&amp;"rayFormula(lower(REGEXREPLACE(MID(Q$76,3,2), ""([^A-Za-z0-9]+)|(---)"" , """" ) ))+RIGHT(Q$76,2))/2)*VLOOKUP($M77,'Списки'!$B$166:$D$169,3,FALSE))),"""")"),"3d10+23")</f>
        <v>3d10+23</v>
      </c>
      <c r="R77" s="1295" t="str">
        <f>IFERROR(__xludf.DUMMYFUNCTION("IFERROR(LEFT(R$76,1)&amp;""""&amp;""d""&amp;""""&amp;ArrayFormula(lower(REGEXREPLACE(MID(R$76,3,2), ""([^A-Za-z0-9]+)|(---)"" , """" ) ))&amp;""""&amp;""+""&amp;""""&amp;RIGHT(R$76,2)+ROUNDDOWN(MAX(VLOOKUP($M77,'Списки'!$B$166:$D$169,2,FALSE),((LEFT(R$76,1)+RIGHT(R$76,2)+LEFT(R$76,1)*Ar"&amp;"rayFormula(lower(REGEXREPLACE(MID(R$76,3,2), ""([^A-Za-z0-9]+)|(---)"" , """" ) ))+RIGHT(R$76,2))/2)*VLOOKUP($M77,'Списки'!$B$166:$D$169,3,FALSE))),"""")"),"2d20+28")</f>
        <v>2d20+28</v>
      </c>
      <c r="S77" s="1295" t="str">
        <f>IFERROR(__xludf.DUMMYFUNCTION("IFERROR(LEFT(S$76,1)&amp;""""&amp;""d""&amp;""""&amp;ArrayFormula(lower(REGEXREPLACE(MID(S$76,3,2), ""([^A-Za-z0-9]+)|(---)"" , """" ) ))&amp;""""&amp;""+""&amp;""""&amp;RIGHT(S$76,2)+ROUNDDOWN(MAX(VLOOKUP($M77,'Списки'!$B$166:$D$169,2,FALSE),((LEFT(S$76,1)+RIGHT(S$76,2)+LEFT(S$76,1)*Ar"&amp;"rayFormula(lower(REGEXREPLACE(MID(S$76,3,2), ""([^A-Za-z0-9]+)|(---)"" , """" ) ))+RIGHT(S$76,2))/2)*VLOOKUP($M77,'Списки'!$B$166:$D$169,3,FALSE))),"""")"),"2d20+37")</f>
        <v>2d20+37</v>
      </c>
    </row>
    <row r="78">
      <c r="B78" s="1283" t="s">
        <v>1618</v>
      </c>
      <c r="C78" s="1284">
        <f>'Материалы и инструменты'!D24</f>
        <v>0.5</v>
      </c>
      <c r="D78" s="1284">
        <f>'Материалы и инструменты'!E24</f>
        <v>1.51</v>
      </c>
      <c r="E78" s="1284">
        <f>'Материалы и инструменты'!F24</f>
        <v>4.57</v>
      </c>
      <c r="F78" s="1284">
        <f>'Материалы и инструменты'!H24</f>
        <v>41.55</v>
      </c>
      <c r="G78" s="1284">
        <f>'Материалы и инструменты'!I24</f>
        <v>124.72</v>
      </c>
      <c r="H78" s="1284">
        <f>'Материалы и инструменты'!J24</f>
        <v>374.71</v>
      </c>
      <c r="I78" s="1104"/>
      <c r="J78" s="1113"/>
      <c r="K78" s="1293"/>
      <c r="L78" s="1104"/>
      <c r="M78" s="1114" t="s">
        <v>1212</v>
      </c>
      <c r="N78" s="1295" t="str">
        <f>IFERROR(__xludf.DUMMYFUNCTION("IFERROR(LEFT(N$76,1)&amp;""""&amp;""d""&amp;""""&amp;ArrayFormula(lower(REGEXREPLACE(MID(N$76,3,2), ""([^A-Za-z0-9]+)|(---)"" , """" ) ))&amp;""""&amp;""+""&amp;""""&amp;RIGHT(N$76,2)+ROUNDDOWN(MAX(VLOOKUP($M78,'Списки'!$B$166:$D$169,2,FALSE),((LEFT(N$76,1)+RIGHT(N$76,2)+LEFT(N$76,1)*Ar"&amp;"rayFormula(lower(REGEXREPLACE(MID(N$76,3,2), ""([^A-Za-z0-9]+)|(---)"" , """" ) ))+RIGHT(N$76,2))/2)*VLOOKUP($M78,'Списки'!$B$166:$D$169,3,FALSE))),"""")"),"1d20+9")</f>
        <v>1d20+9</v>
      </c>
      <c r="O78" s="1295" t="str">
        <f>IFERROR(__xludf.DUMMYFUNCTION("IFERROR(LEFT(O$76,1)&amp;""""&amp;""d""&amp;""""&amp;ArrayFormula(lower(REGEXREPLACE(MID(O$76,3,2), ""([^A-Za-z0-9]+)|(---)"" , """" ) ))&amp;""""&amp;""+""&amp;""""&amp;RIGHT(O$76,2)+ROUNDDOWN(MAX(VLOOKUP($M78,'Списки'!$B$166:$D$169,2,FALSE),((LEFT(O$76,1)+RIGHT(O$76,2)+LEFT(O$76,1)*Ar"&amp;"rayFormula(lower(REGEXREPLACE(MID(O$76,3,2), ""([^A-Za-z0-9]+)|(---)"" , """" ) ))+RIGHT(O$76,2))/2)*VLOOKUP($M78,'Списки'!$B$166:$D$169,3,FALSE))),"""")"),"1d20+18")</f>
        <v>1d20+18</v>
      </c>
      <c r="P78" s="1295" t="str">
        <f>IFERROR(__xludf.DUMMYFUNCTION("IFERROR(LEFT(P$76,1)&amp;""""&amp;""d""&amp;""""&amp;ArrayFormula(lower(REGEXREPLACE(MID(P$76,3,2), ""([^A-Za-z0-9]+)|(---)"" , """" ) ))&amp;""""&amp;""+""&amp;""""&amp;RIGHT(P$76,2)+ROUNDDOWN(MAX(VLOOKUP($M78,'Списки'!$B$166:$D$169,2,FALSE),((LEFT(P$76,1)+RIGHT(P$76,2)+LEFT(P$76,1)*Ar"&amp;"rayFormula(lower(REGEXREPLACE(MID(P$76,3,2), ""([^A-Za-z0-9]+)|(---)"" , """" ) ))+RIGHT(P$76,2))/2)*VLOOKUP($M78,'Списки'!$B$166:$D$169,3,FALSE))),"""")"),"3d10+20")</f>
        <v>3d10+20</v>
      </c>
      <c r="Q78" s="1295" t="str">
        <f>IFERROR(__xludf.DUMMYFUNCTION("IFERROR(LEFT(Q$76,1)&amp;""""&amp;""d""&amp;""""&amp;ArrayFormula(lower(REGEXREPLACE(MID(Q$76,3,2), ""([^A-Za-z0-9]+)|(---)"" , """" ) ))&amp;""""&amp;""+""&amp;""""&amp;RIGHT(Q$76,2)+ROUNDDOWN(MAX(VLOOKUP($M78,'Списки'!$B$166:$D$169,2,FALSE),((LEFT(Q$76,1)+RIGHT(Q$76,2)+LEFT(Q$76,1)*Ar"&amp;"rayFormula(lower(REGEXREPLACE(MID(Q$76,3,2), ""([^A-Za-z0-9]+)|(---)"" , """" ) ))+RIGHT(Q$76,2))/2)*VLOOKUP($M78,'Списки'!$B$166:$D$169,3,FALSE))),"""")"),"3d10+30")</f>
        <v>3d10+30</v>
      </c>
      <c r="R78" s="1295" t="str">
        <f>IFERROR(__xludf.DUMMYFUNCTION("IFERROR(LEFT(R$76,1)&amp;""""&amp;""d""&amp;""""&amp;ArrayFormula(lower(REGEXREPLACE(MID(R$76,3,2), ""([^A-Za-z0-9]+)|(---)"" , """" ) ))&amp;""""&amp;""+""&amp;""""&amp;RIGHT(R$76,2)+ROUNDDOWN(MAX(VLOOKUP($M78,'Списки'!$B$166:$D$169,2,FALSE),((LEFT(R$76,1)+RIGHT(R$76,2)+LEFT(R$76,1)*Ar"&amp;"rayFormula(lower(REGEXREPLACE(MID(R$76,3,2), ""([^A-Za-z0-9]+)|(---)"" , """" ) ))+RIGHT(R$76,2))/2)*VLOOKUP($M78,'Списки'!$B$166:$D$169,3,FALSE))),"""")"),"2d20+36")</f>
        <v>2d20+36</v>
      </c>
      <c r="S78" s="1295" t="str">
        <f>IFERROR(__xludf.DUMMYFUNCTION("IFERROR(LEFT(S$76,1)&amp;""""&amp;""d""&amp;""""&amp;ArrayFormula(lower(REGEXREPLACE(MID(S$76,3,2), ""([^A-Za-z0-9]+)|(---)"" , """" ) ))&amp;""""&amp;""+""&amp;""""&amp;RIGHT(S$76,2)+ROUNDDOWN(MAX(VLOOKUP($M78,'Списки'!$B$166:$D$169,2,FALSE),((LEFT(S$76,1)+RIGHT(S$76,2)+LEFT(S$76,1)*Ar"&amp;"rayFormula(lower(REGEXREPLACE(MID(S$76,3,2), ""([^A-Za-z0-9]+)|(---)"" , """" ) ))+RIGHT(S$76,2))/2)*VLOOKUP($M78,'Списки'!$B$166:$D$169,3,FALSE))),"""")"),"2d20+47")</f>
        <v>2d20+47</v>
      </c>
    </row>
    <row r="79">
      <c r="B79" s="1296" t="s">
        <v>1640</v>
      </c>
      <c r="C79" s="1297">
        <f>'Материалы и инструменты'!$D$54</f>
        <v>0.03051</v>
      </c>
      <c r="D79" s="1297">
        <f>'Материалы и инструменты'!$D$54</f>
        <v>0.03051</v>
      </c>
      <c r="E79" s="1297">
        <f>'Материалы и инструменты'!$D$54</f>
        <v>0.03051</v>
      </c>
      <c r="F79" s="1297">
        <f>'Материалы и инструменты'!$E$54</f>
        <v>1.96793</v>
      </c>
      <c r="G79" s="1297">
        <f>'Материалы и инструменты'!$E$54</f>
        <v>1.96793</v>
      </c>
      <c r="H79" s="1297">
        <f>'Материалы и инструменты'!$E$54</f>
        <v>1.96793</v>
      </c>
      <c r="I79" s="1104"/>
      <c r="J79" s="1113"/>
      <c r="K79" s="1293"/>
      <c r="L79" s="1104"/>
      <c r="M79" s="1104"/>
    </row>
    <row r="80">
      <c r="B80" s="1283" t="s">
        <v>1641</v>
      </c>
      <c r="C80" s="1285">
        <v>2.0</v>
      </c>
      <c r="D80" s="1285">
        <v>2.0</v>
      </c>
      <c r="E80" s="1285">
        <v>2.0</v>
      </c>
      <c r="F80" s="1285">
        <v>2.0</v>
      </c>
      <c r="G80" s="1285">
        <v>2.0</v>
      </c>
      <c r="H80" s="1285">
        <v>2.0</v>
      </c>
      <c r="I80" s="1104"/>
      <c r="J80" s="1113"/>
      <c r="K80" s="1293"/>
      <c r="L80" s="1104"/>
      <c r="M80" s="1104"/>
    </row>
    <row r="81">
      <c r="B81" s="1296" t="s">
        <v>1642</v>
      </c>
      <c r="C81" s="1298">
        <v>1.0</v>
      </c>
      <c r="D81" s="1298">
        <v>1.0</v>
      </c>
      <c r="E81" s="1298">
        <v>1.0</v>
      </c>
      <c r="F81" s="1298">
        <v>1.0</v>
      </c>
      <c r="G81" s="1298">
        <v>1.0</v>
      </c>
      <c r="H81" s="1298">
        <v>1.0</v>
      </c>
      <c r="I81" s="1104"/>
      <c r="J81" s="1113"/>
      <c r="K81" s="1293"/>
      <c r="L81" s="1104"/>
      <c r="M81" s="1104"/>
    </row>
    <row r="82">
      <c r="B82" s="999" t="s">
        <v>1400</v>
      </c>
      <c r="C82" s="1000" t="s">
        <v>1489</v>
      </c>
      <c r="D82" s="1000" t="s">
        <v>1490</v>
      </c>
      <c r="E82" s="1000" t="s">
        <v>1490</v>
      </c>
      <c r="F82" s="1000" t="s">
        <v>1490</v>
      </c>
      <c r="G82" s="1000" t="s">
        <v>1490</v>
      </c>
      <c r="H82" s="1000" t="s">
        <v>1490</v>
      </c>
    </row>
    <row r="83">
      <c r="B83" s="1001" t="s">
        <v>1369</v>
      </c>
      <c r="C83" s="1120" t="str">
        <f>'Материалы и инструменты'!$E$148</f>
        <v>Древесный уголь</v>
      </c>
      <c r="D83" s="1120" t="str">
        <f>'Материалы и инструменты'!$E$148</f>
        <v>Древесный уголь</v>
      </c>
      <c r="E83" s="1120" t="str">
        <f>'Материалы и инструменты'!$F$148</f>
        <v>Каменный уголь</v>
      </c>
      <c r="F83" s="1120" t="str">
        <f>'Материалы и инструменты'!$F$148</f>
        <v>Каменный уголь</v>
      </c>
      <c r="G83" s="1120" t="str">
        <f>'Материалы и инструменты'!$F$148</f>
        <v>Каменный уголь</v>
      </c>
      <c r="H83" s="1120" t="str">
        <f>'Материалы и инструменты'!$F$148</f>
        <v>Каменный уголь</v>
      </c>
    </row>
    <row r="84">
      <c r="B84" s="1002" t="s">
        <v>1370</v>
      </c>
      <c r="C84" s="1121">
        <f>'Материалы и инструменты'!$E$149</f>
        <v>0.07</v>
      </c>
      <c r="D84" s="1121">
        <f>'Материалы и инструменты'!$E$149</f>
        <v>0.07</v>
      </c>
      <c r="E84" s="1120">
        <f>'Материалы и инструменты'!$F$149</f>
        <v>0.14</v>
      </c>
      <c r="F84" s="1120">
        <f>'Материалы и инструменты'!$F$149</f>
        <v>0.14</v>
      </c>
      <c r="G84" s="1120">
        <f>'Материалы и инструменты'!$F$149</f>
        <v>0.14</v>
      </c>
      <c r="H84" s="1120">
        <f>'Материалы и инструменты'!$F$149</f>
        <v>0.14</v>
      </c>
    </row>
    <row r="85">
      <c r="B85" s="1002" t="s">
        <v>1231</v>
      </c>
      <c r="C85" s="1120">
        <f>'Рудокоп'!$C$84*C80</f>
        <v>4</v>
      </c>
      <c r="D85" s="1120">
        <f>'Рудокоп'!$H$63*D80</f>
        <v>6</v>
      </c>
      <c r="E85" s="1120">
        <f>'Рудокоп'!$D$84*E80</f>
        <v>6</v>
      </c>
      <c r="F85" s="1120">
        <f>'Рудокоп'!$L$63*F80</f>
        <v>10</v>
      </c>
      <c r="G85" s="1120">
        <f>'Рудокоп'!$M$63*G80</f>
        <v>10</v>
      </c>
      <c r="H85" s="1120">
        <f>'Рудокоп'!$N$63*H80</f>
        <v>12</v>
      </c>
    </row>
    <row r="86">
      <c r="B86" s="1004" t="s">
        <v>1371</v>
      </c>
      <c r="C86" s="950">
        <f t="shared" ref="C86:H86" si="53">C80*C87+C81</f>
        <v>14</v>
      </c>
      <c r="D86" s="950">
        <f t="shared" si="53"/>
        <v>15</v>
      </c>
      <c r="E86" s="950">
        <f t="shared" si="53"/>
        <v>16</v>
      </c>
      <c r="F86" s="950">
        <f t="shared" si="53"/>
        <v>18</v>
      </c>
      <c r="G86" s="950">
        <f t="shared" si="53"/>
        <v>19</v>
      </c>
      <c r="H86" s="950">
        <f t="shared" si="53"/>
        <v>20</v>
      </c>
      <c r="I86" s="1104"/>
      <c r="J86" s="1113"/>
      <c r="K86" s="1293"/>
      <c r="L86" s="1104"/>
      <c r="M86" s="1104"/>
    </row>
    <row r="87">
      <c r="B87" s="1004" t="s">
        <v>1385</v>
      </c>
      <c r="C87" s="950">
        <v>6.5</v>
      </c>
      <c r="D87" s="950">
        <f t="shared" ref="D87:E87" si="54">C87+0.5</f>
        <v>7</v>
      </c>
      <c r="E87" s="950">
        <f t="shared" si="54"/>
        <v>7.5</v>
      </c>
      <c r="F87" s="950">
        <f>E87+0.5*2</f>
        <v>8.5</v>
      </c>
      <c r="G87" s="950">
        <f t="shared" ref="G87:H87" si="55">F87+0.5</f>
        <v>9</v>
      </c>
      <c r="H87" s="950">
        <f t="shared" si="55"/>
        <v>9.5</v>
      </c>
      <c r="I87" s="1104"/>
      <c r="J87" s="1113">
        <v>2.0</v>
      </c>
      <c r="K87" s="1293"/>
      <c r="L87" s="1104"/>
      <c r="M87" s="1104"/>
    </row>
    <row r="88">
      <c r="B88" s="1004" t="s">
        <v>1372</v>
      </c>
      <c r="C88" s="950">
        <f t="shared" ref="C88:H88" si="56">(0.02*C89)*C89</f>
        <v>0.08</v>
      </c>
      <c r="D88" s="950">
        <f t="shared" si="56"/>
        <v>0.18</v>
      </c>
      <c r="E88" s="950">
        <f t="shared" si="56"/>
        <v>0.32</v>
      </c>
      <c r="F88" s="951">
        <f t="shared" si="56"/>
        <v>0.5</v>
      </c>
      <c r="G88" s="950">
        <f t="shared" si="56"/>
        <v>0.72</v>
      </c>
      <c r="H88" s="950">
        <f t="shared" si="56"/>
        <v>0.98</v>
      </c>
      <c r="I88" s="1104"/>
      <c r="J88" s="1113"/>
      <c r="K88" s="1293"/>
      <c r="L88" s="1104"/>
      <c r="M88" s="1104"/>
    </row>
    <row r="89">
      <c r="B89" s="1004" t="s">
        <v>1631</v>
      </c>
      <c r="C89" s="1008">
        <v>2.0</v>
      </c>
      <c r="D89" s="950">
        <f t="shared" ref="D89:H89" si="57">C89+1</f>
        <v>3</v>
      </c>
      <c r="E89" s="950">
        <f t="shared" si="57"/>
        <v>4</v>
      </c>
      <c r="F89" s="950">
        <f t="shared" si="57"/>
        <v>5</v>
      </c>
      <c r="G89" s="950">
        <f t="shared" si="57"/>
        <v>6</v>
      </c>
      <c r="H89" s="950">
        <f t="shared" si="57"/>
        <v>7</v>
      </c>
      <c r="I89" s="1104"/>
      <c r="J89" s="1113"/>
      <c r="K89" s="1293"/>
      <c r="L89" s="1104"/>
      <c r="M89" s="1104"/>
    </row>
    <row r="90">
      <c r="B90" s="1004" t="s">
        <v>1632</v>
      </c>
      <c r="C90" s="1008">
        <f t="shared" ref="C90:H90" si="58">10+(C89-1)*2</f>
        <v>12</v>
      </c>
      <c r="D90" s="1008">
        <f t="shared" si="58"/>
        <v>14</v>
      </c>
      <c r="E90" s="1008">
        <f t="shared" si="58"/>
        <v>16</v>
      </c>
      <c r="F90" s="1008">
        <f t="shared" si="58"/>
        <v>18</v>
      </c>
      <c r="G90" s="1008">
        <f t="shared" si="58"/>
        <v>20</v>
      </c>
      <c r="H90" s="1008">
        <f t="shared" si="58"/>
        <v>22</v>
      </c>
      <c r="I90" s="1104"/>
      <c r="J90" s="1122"/>
      <c r="K90" s="1104"/>
      <c r="L90" s="1104"/>
      <c r="M90" s="1104"/>
    </row>
    <row r="91">
      <c r="B91" s="1004" t="s">
        <v>1633</v>
      </c>
      <c r="C91" s="953" t="s">
        <v>1237</v>
      </c>
      <c r="D91" s="953" t="s">
        <v>1237</v>
      </c>
      <c r="E91" s="953" t="s">
        <v>1250</v>
      </c>
      <c r="F91" s="953" t="s">
        <v>1250</v>
      </c>
      <c r="G91" s="953" t="s">
        <v>1250</v>
      </c>
      <c r="H91" s="953" t="s">
        <v>1263</v>
      </c>
    </row>
    <row r="92">
      <c r="B92" s="1111" t="s">
        <v>1494</v>
      </c>
      <c r="C92" s="1124">
        <f t="shared" ref="C92:H92" si="59">C$78*C$80+C$79*C$81+C93*C95+C84*C85</f>
        <v>6.17051</v>
      </c>
      <c r="D92" s="1124">
        <f t="shared" si="59"/>
        <v>12.75051</v>
      </c>
      <c r="E92" s="1124">
        <f t="shared" si="59"/>
        <v>25.51051</v>
      </c>
      <c r="F92" s="1124">
        <f t="shared" si="59"/>
        <v>111.66793</v>
      </c>
      <c r="G92" s="1124">
        <f t="shared" si="59"/>
        <v>289.06793</v>
      </c>
      <c r="H92" s="1124">
        <f t="shared" si="59"/>
        <v>802.98793</v>
      </c>
      <c r="I92" s="1104"/>
      <c r="J92" s="1122"/>
      <c r="K92" s="1104"/>
      <c r="L92" s="1104"/>
      <c r="M92" s="1104"/>
    </row>
    <row r="93">
      <c r="B93" s="1004" t="s">
        <v>1371</v>
      </c>
      <c r="C93" s="1075">
        <f t="shared" ref="C93:H93" si="60">C$80*C94+C$81</f>
        <v>27</v>
      </c>
      <c r="D93" s="1075">
        <f t="shared" si="60"/>
        <v>29</v>
      </c>
      <c r="E93" s="1075">
        <f t="shared" si="60"/>
        <v>31</v>
      </c>
      <c r="F93" s="1075">
        <f t="shared" si="60"/>
        <v>35</v>
      </c>
      <c r="G93" s="1075">
        <f t="shared" si="60"/>
        <v>37</v>
      </c>
      <c r="H93" s="1075">
        <f t="shared" si="60"/>
        <v>39</v>
      </c>
      <c r="I93" s="1104"/>
      <c r="J93" s="1113"/>
      <c r="K93" s="1293"/>
      <c r="L93" s="1104"/>
      <c r="M93" s="1104"/>
    </row>
    <row r="94">
      <c r="B94" s="1004" t="s">
        <v>1385</v>
      </c>
      <c r="C94" s="1075">
        <f t="shared" ref="C94:H94" si="61">C$87*$J87</f>
        <v>13</v>
      </c>
      <c r="D94" s="1075">
        <f t="shared" si="61"/>
        <v>14</v>
      </c>
      <c r="E94" s="1075">
        <f t="shared" si="61"/>
        <v>15</v>
      </c>
      <c r="F94" s="1075">
        <f t="shared" si="61"/>
        <v>17</v>
      </c>
      <c r="G94" s="1075">
        <f t="shared" si="61"/>
        <v>18</v>
      </c>
      <c r="H94" s="1075">
        <f t="shared" si="61"/>
        <v>19</v>
      </c>
      <c r="I94" s="1104"/>
      <c r="J94" s="1113"/>
      <c r="K94" s="1293"/>
      <c r="L94" s="1104"/>
      <c r="M94" s="1104"/>
    </row>
    <row r="95">
      <c r="B95" s="1004" t="s">
        <v>1372</v>
      </c>
      <c r="C95" s="1075">
        <f t="shared" ref="C95:H95" si="62">(0.02*C96)*C96</f>
        <v>0.18</v>
      </c>
      <c r="D95" s="1075">
        <f t="shared" si="62"/>
        <v>0.32</v>
      </c>
      <c r="E95" s="1075">
        <f t="shared" si="62"/>
        <v>0.5</v>
      </c>
      <c r="F95" s="1075">
        <f t="shared" si="62"/>
        <v>0.72</v>
      </c>
      <c r="G95" s="1075">
        <f t="shared" si="62"/>
        <v>0.98</v>
      </c>
      <c r="H95" s="1075">
        <f t="shared" si="62"/>
        <v>1.28</v>
      </c>
      <c r="I95" s="1104"/>
      <c r="J95" s="1113">
        <v>3.0</v>
      </c>
      <c r="K95" s="1293"/>
      <c r="L95" s="1104"/>
      <c r="M95" s="1104"/>
    </row>
    <row r="96">
      <c r="B96" s="1004" t="s">
        <v>1631</v>
      </c>
      <c r="C96" s="1075">
        <f t="shared" ref="C96:H96" si="63">C89+1</f>
        <v>3</v>
      </c>
      <c r="D96" s="1075">
        <f t="shared" si="63"/>
        <v>4</v>
      </c>
      <c r="E96" s="1075">
        <f t="shared" si="63"/>
        <v>5</v>
      </c>
      <c r="F96" s="1075">
        <f t="shared" si="63"/>
        <v>6</v>
      </c>
      <c r="G96" s="1075">
        <f t="shared" si="63"/>
        <v>7</v>
      </c>
      <c r="H96" s="1075">
        <f t="shared" si="63"/>
        <v>8</v>
      </c>
      <c r="I96" s="1104"/>
      <c r="J96" s="1125"/>
      <c r="K96" s="1299"/>
      <c r="L96" s="1104"/>
      <c r="M96" s="1104"/>
    </row>
    <row r="97">
      <c r="B97" s="1004" t="s">
        <v>1632</v>
      </c>
      <c r="C97" s="953">
        <f t="shared" ref="C97:H97" si="64">10+(C96-1)*2</f>
        <v>14</v>
      </c>
      <c r="D97" s="953">
        <f t="shared" si="64"/>
        <v>16</v>
      </c>
      <c r="E97" s="953">
        <f t="shared" si="64"/>
        <v>18</v>
      </c>
      <c r="F97" s="953">
        <f t="shared" si="64"/>
        <v>20</v>
      </c>
      <c r="G97" s="953">
        <f t="shared" si="64"/>
        <v>22</v>
      </c>
      <c r="H97" s="953">
        <f t="shared" si="64"/>
        <v>24</v>
      </c>
      <c r="I97" s="1104"/>
      <c r="J97" s="1125"/>
      <c r="K97" s="1299"/>
      <c r="L97" s="1104"/>
      <c r="M97" s="1104"/>
    </row>
    <row r="98">
      <c r="B98" s="1004" t="s">
        <v>1633</v>
      </c>
      <c r="C98" s="953" t="s">
        <v>1237</v>
      </c>
      <c r="D98" s="953" t="s">
        <v>1250</v>
      </c>
      <c r="E98" s="953" t="s">
        <v>1250</v>
      </c>
      <c r="F98" s="953" t="s">
        <v>1250</v>
      </c>
      <c r="G98" s="953" t="s">
        <v>1263</v>
      </c>
      <c r="H98" s="953" t="s">
        <v>1263</v>
      </c>
    </row>
    <row r="99">
      <c r="B99" s="1111" t="s">
        <v>1495</v>
      </c>
      <c r="C99" s="1124">
        <f t="shared" ref="C99:H99" si="65">C$78*C$80+C$79*C$81+C100*C102+C84*C85</f>
        <v>14.11051</v>
      </c>
      <c r="D99" s="1124">
        <f t="shared" si="65"/>
        <v>24.97051</v>
      </c>
      <c r="E99" s="1124">
        <f t="shared" si="65"/>
        <v>43.13051</v>
      </c>
      <c r="F99" s="1124">
        <f t="shared" si="65"/>
        <v>137.42793</v>
      </c>
      <c r="G99" s="1124">
        <f t="shared" si="65"/>
        <v>323.20793</v>
      </c>
      <c r="H99" s="1124">
        <f t="shared" si="65"/>
        <v>847.02793</v>
      </c>
      <c r="I99" s="1104"/>
      <c r="J99" s="1125"/>
      <c r="K99" s="1299"/>
      <c r="L99" s="1104"/>
      <c r="M99" s="1104"/>
    </row>
    <row r="100">
      <c r="B100" s="1004" t="s">
        <v>1371</v>
      </c>
      <c r="C100" s="1075">
        <f t="shared" ref="C100:H100" si="66">C$80*C101+C$81</f>
        <v>40</v>
      </c>
      <c r="D100" s="1075">
        <f t="shared" si="66"/>
        <v>43</v>
      </c>
      <c r="E100" s="1075">
        <f t="shared" si="66"/>
        <v>46</v>
      </c>
      <c r="F100" s="1075">
        <f t="shared" si="66"/>
        <v>52</v>
      </c>
      <c r="G100" s="1075">
        <f t="shared" si="66"/>
        <v>55</v>
      </c>
      <c r="H100" s="1075">
        <f t="shared" si="66"/>
        <v>58</v>
      </c>
      <c r="I100" s="1104"/>
      <c r="J100" s="1125"/>
      <c r="K100" s="1299"/>
      <c r="L100" s="1104"/>
      <c r="M100" s="1104"/>
    </row>
    <row r="101">
      <c r="B101" s="1004" t="s">
        <v>1385</v>
      </c>
      <c r="C101" s="1075">
        <f t="shared" ref="C101:H101" si="67">C$87*$J95</f>
        <v>19.5</v>
      </c>
      <c r="D101" s="1075">
        <f t="shared" si="67"/>
        <v>21</v>
      </c>
      <c r="E101" s="1075">
        <f t="shared" si="67"/>
        <v>22.5</v>
      </c>
      <c r="F101" s="1075">
        <f t="shared" si="67"/>
        <v>25.5</v>
      </c>
      <c r="G101" s="1075">
        <f t="shared" si="67"/>
        <v>27</v>
      </c>
      <c r="H101" s="1075">
        <f t="shared" si="67"/>
        <v>28.5</v>
      </c>
      <c r="I101" s="1104"/>
      <c r="J101" s="1125"/>
      <c r="K101" s="1299"/>
      <c r="L101" s="1104"/>
      <c r="M101" s="1104"/>
    </row>
    <row r="102">
      <c r="B102" s="1004" t="s">
        <v>1372</v>
      </c>
      <c r="C102" s="1075">
        <f t="shared" ref="C102:H102" si="68">(0.02*C103)*C103</f>
        <v>0.32</v>
      </c>
      <c r="D102" s="1075">
        <f t="shared" si="68"/>
        <v>0.5</v>
      </c>
      <c r="E102" s="1076">
        <f t="shared" si="68"/>
        <v>0.72</v>
      </c>
      <c r="F102" s="1075">
        <f t="shared" si="68"/>
        <v>0.98</v>
      </c>
      <c r="G102" s="1075">
        <f t="shared" si="68"/>
        <v>1.28</v>
      </c>
      <c r="H102" s="1075">
        <f t="shared" si="68"/>
        <v>1.62</v>
      </c>
      <c r="I102" s="1104"/>
      <c r="J102" s="1125"/>
      <c r="K102" s="1299"/>
      <c r="L102" s="1104"/>
      <c r="M102" s="1104"/>
    </row>
    <row r="103">
      <c r="B103" s="1004" t="s">
        <v>1631</v>
      </c>
      <c r="C103" s="1075">
        <f t="shared" ref="C103:H103" si="69">C96+1</f>
        <v>4</v>
      </c>
      <c r="D103" s="1075">
        <f t="shared" si="69"/>
        <v>5</v>
      </c>
      <c r="E103" s="1075">
        <f t="shared" si="69"/>
        <v>6</v>
      </c>
      <c r="F103" s="1075">
        <f t="shared" si="69"/>
        <v>7</v>
      </c>
      <c r="G103" s="1075">
        <f t="shared" si="69"/>
        <v>8</v>
      </c>
      <c r="H103" s="1075">
        <f t="shared" si="69"/>
        <v>9</v>
      </c>
      <c r="I103" s="1104"/>
      <c r="J103" s="1125"/>
      <c r="K103" s="1299"/>
      <c r="L103" s="1104"/>
      <c r="M103" s="1104"/>
    </row>
    <row r="104">
      <c r="B104" s="1004" t="s">
        <v>1632</v>
      </c>
      <c r="C104" s="953">
        <f t="shared" ref="C104:H104" si="70">10+(C103-1)*2</f>
        <v>16</v>
      </c>
      <c r="D104" s="953">
        <f t="shared" si="70"/>
        <v>18</v>
      </c>
      <c r="E104" s="953">
        <f t="shared" si="70"/>
        <v>20</v>
      </c>
      <c r="F104" s="953">
        <f t="shared" si="70"/>
        <v>22</v>
      </c>
      <c r="G104" s="953">
        <f t="shared" si="70"/>
        <v>24</v>
      </c>
      <c r="H104" s="953">
        <f t="shared" si="70"/>
        <v>26</v>
      </c>
      <c r="I104" s="1104"/>
      <c r="J104" s="1122"/>
      <c r="K104" s="1104"/>
      <c r="L104" s="1104"/>
      <c r="M104" s="1104"/>
    </row>
    <row r="105">
      <c r="B105" s="1004" t="s">
        <v>1633</v>
      </c>
      <c r="C105" s="953" t="s">
        <v>1250</v>
      </c>
      <c r="D105" s="953" t="s">
        <v>1250</v>
      </c>
      <c r="E105" s="953" t="s">
        <v>1250</v>
      </c>
      <c r="F105" s="953" t="s">
        <v>1263</v>
      </c>
      <c r="G105" s="953" t="s">
        <v>1263</v>
      </c>
      <c r="H105" s="953" t="s">
        <v>1263</v>
      </c>
      <c r="I105" s="1100"/>
      <c r="J105" s="1100"/>
      <c r="K105" s="1100"/>
      <c r="L105" s="1100"/>
      <c r="M105" s="1100"/>
    </row>
    <row r="107">
      <c r="B107" s="1277"/>
      <c r="C107" s="545"/>
      <c r="D107" s="545"/>
      <c r="E107" s="545"/>
      <c r="F107" s="1100"/>
      <c r="G107" s="545"/>
      <c r="H107" s="545"/>
      <c r="I107" s="545"/>
      <c r="J107" s="1100"/>
      <c r="K107" s="1100"/>
    </row>
    <row r="108">
      <c r="B108" s="1300" t="s">
        <v>1170</v>
      </c>
      <c r="C108" s="545"/>
      <c r="D108" s="545"/>
      <c r="E108" s="545"/>
      <c r="F108" s="1100"/>
      <c r="G108" s="545"/>
      <c r="H108" s="545"/>
      <c r="I108" s="545"/>
      <c r="J108" s="1100"/>
      <c r="K108" s="1100"/>
    </row>
    <row r="109">
      <c r="B109" s="1101" t="s">
        <v>1643</v>
      </c>
      <c r="C109" s="1100"/>
      <c r="D109" s="1100"/>
      <c r="E109" s="1100"/>
      <c r="F109" s="1100"/>
      <c r="G109" s="1100"/>
      <c r="H109" s="1100"/>
      <c r="I109" s="1100"/>
      <c r="J109" s="1100"/>
      <c r="K109" s="1100"/>
    </row>
    <row r="110">
      <c r="F110" s="1100"/>
      <c r="G110" s="1100"/>
      <c r="H110" s="1100"/>
      <c r="I110" s="1100"/>
      <c r="J110" s="1100"/>
      <c r="K110" s="1100"/>
    </row>
    <row r="111">
      <c r="B111" s="1101" t="s">
        <v>1482</v>
      </c>
      <c r="C111" s="1102" t="s">
        <v>1186</v>
      </c>
      <c r="D111" s="1100"/>
      <c r="E111" s="1100"/>
      <c r="F111" s="1103" t="s">
        <v>1483</v>
      </c>
      <c r="G111" s="1301" t="str">
        <f>IF(VLOOKUP($C$111,'Оружие'!$A$594:$I$618,9,FALSE)="1-2-3","Superior",IF(VLOOKUP($C$111,'Оружие'!$A$594:$I$618,9,FALSE)="1-2","Excellent",IF(VLOOKUP($C$8,'Оружие'!$A$594:$I$618,9,FALSE)="1","Good","")))</f>
        <v>Excellent</v>
      </c>
      <c r="H111" s="1100"/>
      <c r="I111" s="1100"/>
      <c r="J111" s="1100"/>
      <c r="K111" s="1100"/>
    </row>
    <row r="112">
      <c r="B112" s="1101" t="s">
        <v>1612</v>
      </c>
      <c r="C112" s="1100">
        <f>VLOOKUP(C111,B171:I174,2,0)</f>
        <v>4</v>
      </c>
      <c r="D112" s="1100"/>
      <c r="E112" s="1100"/>
      <c r="F112" s="1100"/>
      <c r="G112" s="1100"/>
      <c r="H112" s="1100"/>
      <c r="I112" s="1100"/>
      <c r="J112" s="1100"/>
      <c r="K112" s="1100"/>
    </row>
    <row r="113">
      <c r="B113" s="1101" t="s">
        <v>1613</v>
      </c>
      <c r="C113" s="1100">
        <f>VLOOKUP(C111,B171:I174,3,0)</f>
        <v>4</v>
      </c>
      <c r="D113" s="1100"/>
      <c r="E113" s="1100"/>
      <c r="F113" s="1100"/>
      <c r="G113" s="1100"/>
      <c r="H113" s="1100"/>
      <c r="I113" s="1100"/>
      <c r="J113" s="1100"/>
      <c r="K113" s="1100"/>
    </row>
    <row r="114">
      <c r="B114" s="1278" t="s">
        <v>1385</v>
      </c>
      <c r="C114" s="1100">
        <f>VLOOKUP(C111,B171:I174,4,0)</f>
        <v>5</v>
      </c>
      <c r="D114" s="1100"/>
      <c r="E114" s="1100"/>
      <c r="F114" s="1100"/>
      <c r="G114" s="1100"/>
      <c r="H114" s="1100"/>
      <c r="I114" s="1100"/>
      <c r="J114" s="1100"/>
      <c r="K114" s="1100"/>
    </row>
    <row r="115">
      <c r="B115" s="1101" t="s">
        <v>1485</v>
      </c>
      <c r="C115" s="1100">
        <f>VLOOKUP(C111,B171:I174,6,0)</f>
        <v>1</v>
      </c>
      <c r="D115" s="1100"/>
      <c r="E115" s="1100"/>
      <c r="F115" s="1100"/>
      <c r="G115" s="1100"/>
      <c r="H115" s="1100"/>
      <c r="I115" s="1100"/>
      <c r="J115" s="1100"/>
      <c r="K115" s="1100"/>
    </row>
    <row r="116">
      <c r="B116" s="1100"/>
      <c r="C116" s="1100"/>
      <c r="D116" s="1100"/>
      <c r="E116" s="1100"/>
      <c r="F116" s="1100"/>
      <c r="G116" s="1100"/>
      <c r="H116" s="1100"/>
      <c r="I116" s="1100"/>
      <c r="J116" s="1100"/>
      <c r="K116" s="1100"/>
      <c r="M116" s="1101" t="s">
        <v>1644</v>
      </c>
      <c r="N116" s="1105"/>
      <c r="O116" s="1105"/>
      <c r="P116" s="1105"/>
      <c r="Q116" s="1105"/>
      <c r="R116" s="1105"/>
      <c r="S116" s="1105"/>
    </row>
    <row r="117">
      <c r="B117" s="1279" t="s">
        <v>1487</v>
      </c>
      <c r="C117" s="1280" t="s">
        <v>172</v>
      </c>
      <c r="D117" s="1280" t="s">
        <v>738</v>
      </c>
      <c r="E117" s="1280" t="s">
        <v>739</v>
      </c>
      <c r="F117" s="1280" t="s">
        <v>741</v>
      </c>
      <c r="G117" s="1280" t="s">
        <v>742</v>
      </c>
      <c r="H117" s="1280" t="s">
        <v>743</v>
      </c>
      <c r="J117" s="1108" t="s">
        <v>1434</v>
      </c>
      <c r="M117" s="1302" t="str">
        <f>CONCATENATE($C$111," (качество)")</f>
        <v>Тяжелый арбалет (качество)</v>
      </c>
      <c r="N117" s="1303" t="str">
        <f>'Материалы и инструменты'!E62</f>
        <v>Орешник</v>
      </c>
      <c r="O117" s="1303" t="str">
        <f>'Материалы и инструменты'!F62</f>
        <v>Клён</v>
      </c>
      <c r="P117" s="1303" t="str">
        <f>'Материалы и инструменты'!G62</f>
        <v>Ясень</v>
      </c>
      <c r="Q117" s="1303" t="str">
        <f>'Материалы и инструменты'!I62</f>
        <v>Кедр</v>
      </c>
      <c r="R117" s="1303" t="str">
        <f>'Материалы и инструменты'!J62</f>
        <v>Бальза</v>
      </c>
      <c r="S117" s="1303" t="str">
        <f>'Материалы и инструменты'!K62</f>
        <v>Тис</v>
      </c>
    </row>
    <row r="118">
      <c r="B118" s="1302" t="s">
        <v>1615</v>
      </c>
      <c r="C118" s="1303" t="s">
        <v>1148</v>
      </c>
      <c r="D118" s="1303" t="s">
        <v>1149</v>
      </c>
      <c r="E118" s="1303" t="s">
        <v>1150</v>
      </c>
      <c r="F118" s="1303" t="s">
        <v>1152</v>
      </c>
      <c r="G118" s="1303" t="s">
        <v>1153</v>
      </c>
      <c r="H118" s="1303" t="s">
        <v>1154</v>
      </c>
      <c r="J118" s="1122"/>
      <c r="M118" s="1294" t="s">
        <v>133</v>
      </c>
      <c r="N118" s="1115" t="str">
        <f>VLOOKUP($C$111,'Оружие'!$A$594:$I$618, MATCH(N117, 'Оружие'!$A$559:$H$559,0), FALSE)</f>
        <v>1d8+7</v>
      </c>
      <c r="O118" s="1115" t="str">
        <f>VLOOKUP($C$111,'Оружие'!$A$594:$I$618, MATCH(O117, 'Оружие'!$A$559:$H$559,0), FALSE)</f>
        <v>1d8+13</v>
      </c>
      <c r="P118" s="1115" t="str">
        <f>VLOOKUP($C$111,'Оружие'!$A$594:$I$618, MATCH(P117, 'Оружие'!$A$559:$H$559,0), FALSE)</f>
        <v>1d10+18</v>
      </c>
      <c r="Q118" s="1115" t="str">
        <f>VLOOKUP($C$111,'Оружие'!$A$594:$I$618, MATCH(Q117, 'Оружие'!$A$559:$H$559,0), FALSE)</f>
        <v>1d12+31</v>
      </c>
      <c r="R118" s="1115" t="str">
        <f>VLOOKUP($C$111,'Оружие'!$A$594:$I$618, MATCH(R117, 'Оружие'!$A$559:$H$559,0), FALSE)</f>
        <v>1d12+39</v>
      </c>
      <c r="S118" s="1115" t="str">
        <f>VLOOKUP($C$111,'Оружие'!$A$594:$I$618, MATCH(S117, 'Оружие'!$A$559:$H$559,0), FALSE)</f>
        <v>2d8+44</v>
      </c>
    </row>
    <row r="119">
      <c r="B119" s="1111" t="s">
        <v>1488</v>
      </c>
      <c r="C119" s="1112">
        <f t="shared" ref="C119:H119" si="71">C120*C122+C121*C123+C128*C130+C126*C127</f>
        <v>3.84</v>
      </c>
      <c r="D119" s="1112">
        <f t="shared" si="71"/>
        <v>11.84</v>
      </c>
      <c r="E119" s="1112">
        <f t="shared" si="71"/>
        <v>32.92</v>
      </c>
      <c r="F119" s="1112">
        <f t="shared" si="71"/>
        <v>235.88</v>
      </c>
      <c r="G119" s="1112">
        <f t="shared" si="71"/>
        <v>661.52</v>
      </c>
      <c r="H119" s="1112">
        <f t="shared" si="71"/>
        <v>1914.84</v>
      </c>
      <c r="J119" s="1122"/>
      <c r="M119" s="1114" t="s">
        <v>1211</v>
      </c>
      <c r="N119" s="1115" t="str">
        <f>IFERROR(__xludf.DUMMYFUNCTION("IFERROR(LEFT(N$118,1)&amp;""""&amp;""d""&amp;""""&amp;ArrayFormula(lower(REGEXREPLACE(MID(N$118,3,2), ""([^A-Za-z0-9]+)|(---)"" , """" ) ))&amp;""""&amp;""+""&amp;""""&amp;RIGHT(N$118,2)+ROUNDDOWN(MAX(VLOOKUP($M15,'Списки'!$B$166:$D$169,2,FALSE),((LEFT(N$118,1)+RIGHT(N$118,2)+LEFT(N$118"&amp;",1)*ArrayFormula(lower(REGEXREPLACE(MID(N$118,3,2), ""([^A-Za-z0-9]+)|(---)"" , """" ) ))+RIGHT(N$118,2))/2)*VLOOKUP($M15,'Списки'!$B$166:$D$169,3,FALSE))),"""")"),"1d8+9")</f>
        <v>1d8+9</v>
      </c>
      <c r="O119" s="1115" t="str">
        <f>IFERROR(__xludf.DUMMYFUNCTION("IFERROR(LEFT(O$118,1)&amp;""""&amp;""d""&amp;""""&amp;ArrayFormula(lower(REGEXREPLACE(MID(O$118,3,2), ""([^A-Za-z0-9]+)|(---)"" , """" ) ))&amp;""""&amp;""+""&amp;""""&amp;RIGHT(O$118,2)+ROUNDDOWN(MAX(VLOOKUP($M15,'Списки'!$B$166:$D$169,2,FALSE),((LEFT(O$118,1)+RIGHT(O$118,2)+LEFT(O$118"&amp;",1)*ArrayFormula(lower(REGEXREPLACE(MID(O$118,3,2), ""([^A-Za-z0-9]+)|(---)"" , """" ) ))+RIGHT(O$118,2))/2)*VLOOKUP($M15,'Списки'!$B$166:$D$169,3,FALSE))),"""")"),"1d8+16")</f>
        <v>1d8+16</v>
      </c>
      <c r="P119" s="1115" t="str">
        <f>IFERROR(__xludf.DUMMYFUNCTION("IFERROR(LEFT(P$118,1)&amp;""""&amp;""d""&amp;""""&amp;ArrayFormula(lower(REGEXREPLACE(MID(P$118,3,2), ""([^A-Za-z0-9]+)|(---)"" , """" ) ))&amp;""""&amp;""+""&amp;""""&amp;RIGHT(P$118,2)+ROUNDDOWN(MAX(VLOOKUP($M15,'Списки'!$B$166:$D$169,2,FALSE),((LEFT(P$118,1)+RIGHT(P$118,2)+LEFT(P$118"&amp;",1)*ArrayFormula(lower(REGEXREPLACE(MID(P$118,3,2), ""([^A-Za-z0-9]+)|(---)"" , """" ) ))+RIGHT(P$118,2))/2)*VLOOKUP($M15,'Списки'!$B$166:$D$169,3,FALSE))),"""")"),"1d10+22")</f>
        <v>1d10+22</v>
      </c>
      <c r="Q119" s="1115" t="str">
        <f>IFERROR(__xludf.DUMMYFUNCTION("IFERROR(LEFT(Q$118,1)&amp;""""&amp;""d""&amp;""""&amp;ArrayFormula(lower(REGEXREPLACE(MID(Q$118,3,2), ""([^A-Za-z0-9]+)|(---)"" , """" ) ))&amp;""""&amp;""+""&amp;""""&amp;RIGHT(Q$118,2)+ROUNDDOWN(MAX(VLOOKUP($M15,'Списки'!$B$166:$D$169,2,FALSE),((LEFT(Q$118,1)+RIGHT(Q$118,2)+LEFT(Q$118"&amp;",1)*ArrayFormula(lower(REGEXREPLACE(MID(Q$118,3,2), ""([^A-Za-z0-9]+)|(---)"" , """" ) ))+RIGHT(Q$118,2))/2)*VLOOKUP($M15,'Списки'!$B$166:$D$169,3,FALSE))),"""")"),"1d12+38")</f>
        <v>1d12+38</v>
      </c>
      <c r="R119" s="1115" t="str">
        <f>IFERROR(__xludf.DUMMYFUNCTION("IFERROR(LEFT(R$118,1)&amp;""""&amp;""d""&amp;""""&amp;ArrayFormula(lower(REGEXREPLACE(MID(R$118,3,2), ""([^A-Za-z0-9]+)|(---)"" , """" ) ))&amp;""""&amp;""+""&amp;""""&amp;RIGHT(R$118,2)+ROUNDDOWN(MAX(VLOOKUP($M15,'Списки'!$B$166:$D$169,2,FALSE),((LEFT(R$118,1)+RIGHT(R$118,2)+LEFT(R$118"&amp;",1)*ArrayFormula(lower(REGEXREPLACE(MID(R$118,3,2), ""([^A-Za-z0-9]+)|(---)"" , """" ) ))+RIGHT(R$118,2))/2)*VLOOKUP($M15,'Списки'!$B$166:$D$169,3,FALSE))),"""")"),"1d12+48")</f>
        <v>1d12+48</v>
      </c>
      <c r="S119" s="1115" t="str">
        <f>IFERROR(__xludf.DUMMYFUNCTION("IFERROR(LEFT(S$118,1)&amp;""""&amp;""d""&amp;""""&amp;ArrayFormula(lower(REGEXREPLACE(MID(S$118,3,2), ""([^A-Za-z0-9]+)|(---)"" , """" ) ))&amp;""""&amp;""+""&amp;""""&amp;RIGHT(S$118,2)+ROUNDDOWN(MAX(VLOOKUP($M15,'Списки'!$B$166:$D$169,2,FALSE),((LEFT(S$118,1)+RIGHT(S$118,2)+LEFT(S$118"&amp;",1)*ArrayFormula(lower(REGEXREPLACE(MID(S$118,3,2), ""([^A-Za-z0-9]+)|(---)"" , """" ) ))+RIGHT(S$118,2))/2)*VLOOKUP($M15,'Списки'!$B$166:$D$169,3,FALSE))),"""")"),"2d8+54")</f>
        <v>2d8+54</v>
      </c>
    </row>
    <row r="120">
      <c r="B120" s="1283" t="s">
        <v>1618</v>
      </c>
      <c r="C120" s="1284">
        <f>'Материалы и инструменты'!D24</f>
        <v>0.5</v>
      </c>
      <c r="D120" s="1284">
        <f>'Материалы и инструменты'!E24</f>
        <v>1.51</v>
      </c>
      <c r="E120" s="1284">
        <f>'Материалы и инструменты'!F24</f>
        <v>4.57</v>
      </c>
      <c r="F120" s="1284">
        <f>'Материалы и инструменты'!H24</f>
        <v>41.55</v>
      </c>
      <c r="G120" s="1284">
        <f>'Материалы и инструменты'!I24</f>
        <v>124.72</v>
      </c>
      <c r="H120" s="1284">
        <f>'Материалы и инструменты'!J24</f>
        <v>374.71</v>
      </c>
      <c r="J120" s="1113"/>
      <c r="M120" s="1114" t="s">
        <v>1212</v>
      </c>
      <c r="N120" s="1115" t="str">
        <f>IFERROR(__xludf.DUMMYFUNCTION("IFERROR(LEFT(N$118,1)&amp;""""&amp;""d""&amp;""""&amp;ArrayFormula(lower(REGEXREPLACE(MID(N$118,3,2), ""([^A-Za-z0-9]+)|(---)"" , """" ) ))&amp;""""&amp;""+""&amp;""""&amp;RIGHT(N$118,2)+ROUNDDOWN(MAX(VLOOKUP($M16,'Списки'!$B$166:$D$169,2,FALSE),((LEFT(N$118,1)+RIGHT(N$118,2)+LEFT(N$118"&amp;",1)*ArrayFormula(lower(REGEXREPLACE(MID(N$118,3,2), ""([^A-Za-z0-9]+)|(---)"" , """" ) ))+RIGHT(N$118,2))/2)*VLOOKUP($M16,'Списки'!$B$166:$D$169,3,FALSE))),"""")"),"1d8+11")</f>
        <v>1d8+11</v>
      </c>
      <c r="O120" s="1115" t="str">
        <f>IFERROR(__xludf.DUMMYFUNCTION("IFERROR(LEFT(O$118,1)&amp;""""&amp;""d""&amp;""""&amp;ArrayFormula(lower(REGEXREPLACE(MID(O$118,3,2), ""([^A-Za-z0-9]+)|(---)"" , """" ) ))&amp;""""&amp;""+""&amp;""""&amp;RIGHT(O$118,2)+ROUNDDOWN(MAX(VLOOKUP($M16,'Списки'!$B$166:$D$169,2,FALSE),((LEFT(O$118,1)+RIGHT(O$118,2)+LEFT(O$118"&amp;",1)*ArrayFormula(lower(REGEXREPLACE(MID(O$118,3,2), ""([^A-Za-z0-9]+)|(---)"" , """" ) ))+RIGHT(O$118,2))/2)*VLOOKUP($M16,'Списки'!$B$166:$D$169,3,FALSE))),"""")"),"1d8+20")</f>
        <v>1d8+20</v>
      </c>
      <c r="P120" s="1115" t="str">
        <f>IFERROR(__xludf.DUMMYFUNCTION("IFERROR(LEFT(P$118,1)&amp;""""&amp;""d""&amp;""""&amp;ArrayFormula(lower(REGEXREPLACE(MID(P$118,3,2), ""([^A-Za-z0-9]+)|(---)"" , """" ) ))&amp;""""&amp;""+""&amp;""""&amp;RIGHT(P$118,2)+ROUNDDOWN(MAX(VLOOKUP($M16,'Списки'!$B$166:$D$169,2,FALSE),((LEFT(P$118,1)+RIGHT(P$118,2)+LEFT(P$118"&amp;",1)*ArrayFormula(lower(REGEXREPLACE(MID(P$118,3,2), ""([^A-Za-z0-9]+)|(---)"" , """" ) ))+RIGHT(P$118,2))/2)*VLOOKUP($M16,'Списки'!$B$166:$D$169,3,FALSE))),"""")"),"1d10+27")</f>
        <v>1d10+27</v>
      </c>
      <c r="Q120" s="1115" t="str">
        <f>IFERROR(__xludf.DUMMYFUNCTION("IFERROR(LEFT(Q$118,1)&amp;""""&amp;""d""&amp;""""&amp;ArrayFormula(lower(REGEXREPLACE(MID(Q$118,3,2), ""([^A-Za-z0-9]+)|(---)"" , """" ) ))&amp;""""&amp;""+""&amp;""""&amp;RIGHT(Q$118,2)+ROUNDDOWN(MAX(VLOOKUP($M16,'Списки'!$B$166:$D$169,2,FALSE),((LEFT(Q$118,1)+RIGHT(Q$118,2)+LEFT(Q$118"&amp;",1)*ArrayFormula(lower(REGEXREPLACE(MID(Q$118,3,2), ""([^A-Za-z0-9]+)|(---)"" , """" ) ))+RIGHT(Q$118,2))/2)*VLOOKUP($M16,'Списки'!$B$166:$D$169,3,FALSE))),"""")"),"1d12+46")</f>
        <v>1d12+46</v>
      </c>
      <c r="R120" s="1115" t="str">
        <f>IFERROR(__xludf.DUMMYFUNCTION("IFERROR(LEFT(R$118,1)&amp;""""&amp;""d""&amp;""""&amp;ArrayFormula(lower(REGEXREPLACE(MID(R$118,3,2), ""([^A-Za-z0-9]+)|(---)"" , """" ) ))&amp;""""&amp;""+""&amp;""""&amp;RIGHT(R$118,2)+ROUNDDOWN(MAX(VLOOKUP($M16,'Списки'!$B$166:$D$169,2,FALSE),((LEFT(R$118,1)+RIGHT(R$118,2)+LEFT(R$118"&amp;",1)*ArrayFormula(lower(REGEXREPLACE(MID(R$118,3,2), ""([^A-Za-z0-9]+)|(---)"" , """" ) ))+RIGHT(R$118,2))/2)*VLOOKUP($M16,'Списки'!$B$166:$D$169,3,FALSE))),"""")"),"1d12+57")</f>
        <v>1d12+57</v>
      </c>
      <c r="S120" s="1115" t="str">
        <f>IFERROR(__xludf.DUMMYFUNCTION("IFERROR(LEFT(S$118,1)&amp;""""&amp;""d""&amp;""""&amp;ArrayFormula(lower(REGEXREPLACE(MID(S$118,3,2), ""([^A-Za-z0-9]+)|(---)"" , """" ) ))&amp;""""&amp;""+""&amp;""""&amp;RIGHT(S$118,2)+ROUNDDOWN(MAX(VLOOKUP($M16,'Списки'!$B$166:$D$169,2,FALSE),((LEFT(S$118,1)+RIGHT(S$118,2)+LEFT(S$118"&amp;",1)*ArrayFormula(lower(REGEXREPLACE(MID(S$118,3,2), ""([^A-Za-z0-9]+)|(---)"" , """" ) ))+RIGHT(S$118,2))/2)*VLOOKUP($M16,'Списки'!$B$166:$D$169,3,FALSE))),"""")"),"2d8+65")</f>
        <v>2d8+65</v>
      </c>
    </row>
    <row r="121">
      <c r="B121" s="1304" t="s">
        <v>1619</v>
      </c>
      <c r="C121" s="1305">
        <f>'Материалы и инструменты'!E63</f>
        <v>0.12</v>
      </c>
      <c r="D121" s="1305">
        <f>'Материалы и инструменты'!F63</f>
        <v>0.36</v>
      </c>
      <c r="E121" s="1305">
        <f>'Материалы и инструменты'!G63</f>
        <v>1.08</v>
      </c>
      <c r="F121" s="1305">
        <f>'Материалы и инструменты'!I63</f>
        <v>9.72</v>
      </c>
      <c r="G121" s="1305">
        <f>'Материалы и инструменты'!J63</f>
        <v>29.16</v>
      </c>
      <c r="H121" s="1305">
        <f>'Материалы и инструменты'!K63</f>
        <v>87.48</v>
      </c>
      <c r="J121" s="1113"/>
    </row>
    <row r="122">
      <c r="B122" s="1283" t="s">
        <v>1641</v>
      </c>
      <c r="C122" s="1285">
        <f t="shared" ref="C122:H122" si="72">$C$112</f>
        <v>4</v>
      </c>
      <c r="D122" s="1285">
        <f t="shared" si="72"/>
        <v>4</v>
      </c>
      <c r="E122" s="1285">
        <f t="shared" si="72"/>
        <v>4</v>
      </c>
      <c r="F122" s="1285">
        <f t="shared" si="72"/>
        <v>4</v>
      </c>
      <c r="G122" s="1285">
        <f t="shared" si="72"/>
        <v>4</v>
      </c>
      <c r="H122" s="1285">
        <f t="shared" si="72"/>
        <v>4</v>
      </c>
      <c r="J122" s="1113"/>
    </row>
    <row r="123">
      <c r="B123" s="1304" t="s">
        <v>1645</v>
      </c>
      <c r="C123" s="1306">
        <f t="shared" ref="C123:H123" si="73">$C$113</f>
        <v>4</v>
      </c>
      <c r="D123" s="1306">
        <f t="shared" si="73"/>
        <v>4</v>
      </c>
      <c r="E123" s="1306">
        <f t="shared" si="73"/>
        <v>4</v>
      </c>
      <c r="F123" s="1306">
        <f t="shared" si="73"/>
        <v>4</v>
      </c>
      <c r="G123" s="1306">
        <f t="shared" si="73"/>
        <v>4</v>
      </c>
      <c r="H123" s="1306">
        <f t="shared" si="73"/>
        <v>4</v>
      </c>
      <c r="J123" s="1113"/>
    </row>
    <row r="124">
      <c r="B124" s="999" t="s">
        <v>1400</v>
      </c>
      <c r="C124" s="1000" t="s">
        <v>1489</v>
      </c>
      <c r="D124" s="1000" t="s">
        <v>1490</v>
      </c>
      <c r="E124" s="1000" t="s">
        <v>1490</v>
      </c>
      <c r="F124" s="1000" t="s">
        <v>1490</v>
      </c>
      <c r="G124" s="1000" t="s">
        <v>1490</v>
      </c>
      <c r="H124" s="1000" t="s">
        <v>1490</v>
      </c>
    </row>
    <row r="125">
      <c r="B125" s="1001" t="s">
        <v>1369</v>
      </c>
      <c r="C125" s="1120" t="str">
        <f>'Материалы и инструменты'!$E$148</f>
        <v>Древесный уголь</v>
      </c>
      <c r="D125" s="1120" t="str">
        <f>'Материалы и инструменты'!$E$148</f>
        <v>Древесный уголь</v>
      </c>
      <c r="E125" s="1120" t="str">
        <f>'Материалы и инструменты'!$F$148</f>
        <v>Каменный уголь</v>
      </c>
      <c r="F125" s="1120" t="str">
        <f>'Материалы и инструменты'!$F$148</f>
        <v>Каменный уголь</v>
      </c>
      <c r="G125" s="1120" t="str">
        <f>'Материалы и инструменты'!$F$148</f>
        <v>Каменный уголь</v>
      </c>
      <c r="H125" s="1120" t="str">
        <f>'Материалы и инструменты'!$F$148</f>
        <v>Каменный уголь</v>
      </c>
    </row>
    <row r="126">
      <c r="B126" s="1002" t="s">
        <v>1370</v>
      </c>
      <c r="C126" s="1121">
        <f>'Материалы и инструменты'!$E$149</f>
        <v>0.07</v>
      </c>
      <c r="D126" s="1121">
        <f>'Материалы и инструменты'!$E$149</f>
        <v>0.07</v>
      </c>
      <c r="E126" s="1120">
        <f>'Материалы и инструменты'!$F$149</f>
        <v>0.14</v>
      </c>
      <c r="F126" s="1120">
        <f>'Материалы и инструменты'!$F$149</f>
        <v>0.14</v>
      </c>
      <c r="G126" s="1120">
        <f>'Материалы и инструменты'!$F$149</f>
        <v>0.14</v>
      </c>
      <c r="H126" s="1120">
        <f>'Материалы и инструменты'!$F$149</f>
        <v>0.14</v>
      </c>
    </row>
    <row r="127">
      <c r="B127" s="1002" t="s">
        <v>1231</v>
      </c>
      <c r="C127" s="1120">
        <f>'Рудокоп'!$C$84*C123</f>
        <v>8</v>
      </c>
      <c r="D127" s="1120">
        <f>'Рудокоп'!$H$63*D123</f>
        <v>12</v>
      </c>
      <c r="E127" s="1120">
        <f>'Рудокоп'!$D$84*E123</f>
        <v>12</v>
      </c>
      <c r="F127" s="1120">
        <f>'Рудокоп'!$L$63*F123</f>
        <v>20</v>
      </c>
      <c r="G127" s="1120">
        <f>'Рудокоп'!$M$63*G123</f>
        <v>20</v>
      </c>
      <c r="H127" s="1120">
        <f>'Рудокоп'!$N$63*H123</f>
        <v>24</v>
      </c>
    </row>
    <row r="128">
      <c r="B128" s="1004" t="s">
        <v>1371</v>
      </c>
      <c r="C128" s="950">
        <f t="shared" ref="C128:H128" si="74">(C122+C123)*C129</f>
        <v>40</v>
      </c>
      <c r="D128" s="950">
        <f t="shared" si="74"/>
        <v>44</v>
      </c>
      <c r="E128" s="950">
        <f t="shared" si="74"/>
        <v>48</v>
      </c>
      <c r="F128" s="950">
        <f t="shared" si="74"/>
        <v>56</v>
      </c>
      <c r="G128" s="950">
        <f t="shared" si="74"/>
        <v>60</v>
      </c>
      <c r="H128" s="950">
        <f t="shared" si="74"/>
        <v>64</v>
      </c>
      <c r="J128" s="1113"/>
    </row>
    <row r="129">
      <c r="B129" s="1004" t="s">
        <v>1385</v>
      </c>
      <c r="C129" s="950">
        <f>C114</f>
        <v>5</v>
      </c>
      <c r="D129" s="950">
        <f t="shared" ref="D129:E129" si="75">C129+0.5</f>
        <v>5.5</v>
      </c>
      <c r="E129" s="950">
        <f t="shared" si="75"/>
        <v>6</v>
      </c>
      <c r="F129" s="950">
        <f>E129+0.5*2</f>
        <v>7</v>
      </c>
      <c r="G129" s="950">
        <f t="shared" ref="G129:H129" si="76">F129+0.5</f>
        <v>7.5</v>
      </c>
      <c r="H129" s="950">
        <f t="shared" si="76"/>
        <v>8</v>
      </c>
      <c r="J129" s="1113">
        <v>1.0</v>
      </c>
    </row>
    <row r="130">
      <c r="B130" s="1004" t="s">
        <v>1372</v>
      </c>
      <c r="C130" s="950">
        <f t="shared" ref="C130:H130" si="77">(0.02*C131)*C131</f>
        <v>0.02</v>
      </c>
      <c r="D130" s="950">
        <f t="shared" si="77"/>
        <v>0.08</v>
      </c>
      <c r="E130" s="950">
        <f t="shared" si="77"/>
        <v>0.18</v>
      </c>
      <c r="F130" s="951">
        <f t="shared" si="77"/>
        <v>0.5</v>
      </c>
      <c r="G130" s="950">
        <f t="shared" si="77"/>
        <v>0.72</v>
      </c>
      <c r="H130" s="950">
        <f t="shared" si="77"/>
        <v>0.98</v>
      </c>
      <c r="J130" s="1113"/>
    </row>
    <row r="131">
      <c r="B131" s="1004" t="s">
        <v>1646</v>
      </c>
      <c r="C131" s="950">
        <f>C115</f>
        <v>1</v>
      </c>
      <c r="D131" s="950">
        <f t="shared" ref="D131:E131" si="78">C131+1</f>
        <v>2</v>
      </c>
      <c r="E131" s="950">
        <f t="shared" si="78"/>
        <v>3</v>
      </c>
      <c r="F131" s="950">
        <f>E131+2</f>
        <v>5</v>
      </c>
      <c r="G131" s="950">
        <f t="shared" ref="G131:H131" si="79">F131+1</f>
        <v>6</v>
      </c>
      <c r="H131" s="950">
        <f t="shared" si="79"/>
        <v>7</v>
      </c>
      <c r="J131" s="1113"/>
    </row>
    <row r="132">
      <c r="B132" s="1004" t="s">
        <v>1647</v>
      </c>
      <c r="C132" s="1008">
        <f t="shared" ref="C132:H132" si="80">20+(C131-1)*4</f>
        <v>20</v>
      </c>
      <c r="D132" s="1008">
        <f t="shared" si="80"/>
        <v>24</v>
      </c>
      <c r="E132" s="1008">
        <f t="shared" si="80"/>
        <v>28</v>
      </c>
      <c r="F132" s="1008">
        <f t="shared" si="80"/>
        <v>36</v>
      </c>
      <c r="G132" s="1008">
        <f t="shared" si="80"/>
        <v>40</v>
      </c>
      <c r="H132" s="1008">
        <f t="shared" si="80"/>
        <v>44</v>
      </c>
      <c r="J132" s="1113"/>
    </row>
    <row r="133">
      <c r="B133" s="1004" t="s">
        <v>1493</v>
      </c>
      <c r="C133" s="953" t="s">
        <v>1237</v>
      </c>
      <c r="D133" s="953" t="s">
        <v>1237</v>
      </c>
      <c r="E133" s="953" t="s">
        <v>1237</v>
      </c>
      <c r="F133" s="953" t="s">
        <v>1250</v>
      </c>
      <c r="G133" s="953" t="s">
        <v>1250</v>
      </c>
      <c r="H133" s="953" t="s">
        <v>1263</v>
      </c>
    </row>
    <row r="134">
      <c r="B134" s="1004" t="s">
        <v>1624</v>
      </c>
      <c r="C134" s="953" t="s">
        <v>1237</v>
      </c>
      <c r="D134" s="953" t="s">
        <v>1237</v>
      </c>
      <c r="E134" s="953" t="s">
        <v>1237</v>
      </c>
      <c r="F134" s="953" t="s">
        <v>1250</v>
      </c>
      <c r="G134" s="953" t="s">
        <v>1250</v>
      </c>
      <c r="H134" s="953" t="s">
        <v>1263</v>
      </c>
    </row>
    <row r="135">
      <c r="B135" s="1111" t="s">
        <v>1443</v>
      </c>
      <c r="C135" s="1124">
        <f t="shared" ref="C135:H135" si="81">C120*C122+C121*C123+C136*C138+C126*C127</f>
        <v>9.44</v>
      </c>
      <c r="D135" s="1124">
        <f t="shared" si="81"/>
        <v>24.16</v>
      </c>
      <c r="E135" s="1124">
        <f t="shared" si="81"/>
        <v>55</v>
      </c>
      <c r="F135" s="1124">
        <f t="shared" si="81"/>
        <v>288.52</v>
      </c>
      <c r="G135" s="1124">
        <f t="shared" si="81"/>
        <v>735.92</v>
      </c>
      <c r="H135" s="1112">
        <f t="shared" si="81"/>
        <v>2015.96</v>
      </c>
      <c r="J135" s="1113"/>
    </row>
    <row r="136">
      <c r="B136" s="1004" t="s">
        <v>1371</v>
      </c>
      <c r="C136" s="1075">
        <f t="shared" ref="C136:H136" si="82">(C122+C123)*C137</f>
        <v>80</v>
      </c>
      <c r="D136" s="1075">
        <f t="shared" si="82"/>
        <v>88</v>
      </c>
      <c r="E136" s="1075">
        <f t="shared" si="82"/>
        <v>96</v>
      </c>
      <c r="F136" s="1075">
        <f t="shared" si="82"/>
        <v>112</v>
      </c>
      <c r="G136" s="1075">
        <f t="shared" si="82"/>
        <v>120</v>
      </c>
      <c r="H136" s="1075">
        <f t="shared" si="82"/>
        <v>128</v>
      </c>
      <c r="J136" s="1113"/>
    </row>
    <row r="137">
      <c r="B137" s="1004" t="s">
        <v>1385</v>
      </c>
      <c r="C137" s="1075">
        <f t="shared" ref="C137:H137" si="83">C$129*$J137</f>
        <v>10</v>
      </c>
      <c r="D137" s="1075">
        <f t="shared" si="83"/>
        <v>11</v>
      </c>
      <c r="E137" s="1075">
        <f t="shared" si="83"/>
        <v>12</v>
      </c>
      <c r="F137" s="1075">
        <f t="shared" si="83"/>
        <v>14</v>
      </c>
      <c r="G137" s="1075">
        <f t="shared" si="83"/>
        <v>15</v>
      </c>
      <c r="H137" s="1075">
        <f t="shared" si="83"/>
        <v>16</v>
      </c>
      <c r="J137" s="1113">
        <v>2.0</v>
      </c>
    </row>
    <row r="138">
      <c r="B138" s="1004" t="s">
        <v>1372</v>
      </c>
      <c r="C138" s="1075">
        <f t="shared" ref="C138:H138" si="84">(0.02*C139)*C139</f>
        <v>0.08</v>
      </c>
      <c r="D138" s="1075">
        <f t="shared" si="84"/>
        <v>0.18</v>
      </c>
      <c r="E138" s="1075">
        <f t="shared" si="84"/>
        <v>0.32</v>
      </c>
      <c r="F138" s="1075">
        <f t="shared" si="84"/>
        <v>0.72</v>
      </c>
      <c r="G138" s="1075">
        <f t="shared" si="84"/>
        <v>0.98</v>
      </c>
      <c r="H138" s="1075">
        <f t="shared" si="84"/>
        <v>1.28</v>
      </c>
      <c r="J138" s="1113"/>
    </row>
    <row r="139">
      <c r="B139" s="1004" t="s">
        <v>1646</v>
      </c>
      <c r="C139" s="1075">
        <f t="shared" ref="C139:H139" si="85">C131+1</f>
        <v>2</v>
      </c>
      <c r="D139" s="1075">
        <f t="shared" si="85"/>
        <v>3</v>
      </c>
      <c r="E139" s="1075">
        <f t="shared" si="85"/>
        <v>4</v>
      </c>
      <c r="F139" s="1075">
        <f t="shared" si="85"/>
        <v>6</v>
      </c>
      <c r="G139" s="1075">
        <f t="shared" si="85"/>
        <v>7</v>
      </c>
      <c r="H139" s="1075">
        <f t="shared" si="85"/>
        <v>8</v>
      </c>
      <c r="J139" s="1113"/>
    </row>
    <row r="140">
      <c r="B140" s="1004" t="s">
        <v>1647</v>
      </c>
      <c r="C140" s="953">
        <f t="shared" ref="C140:H140" si="86">20+(C139-1)*4</f>
        <v>24</v>
      </c>
      <c r="D140" s="953">
        <f t="shared" si="86"/>
        <v>28</v>
      </c>
      <c r="E140" s="953">
        <f t="shared" si="86"/>
        <v>32</v>
      </c>
      <c r="F140" s="953">
        <f t="shared" si="86"/>
        <v>40</v>
      </c>
      <c r="G140" s="953">
        <f t="shared" si="86"/>
        <v>44</v>
      </c>
      <c r="H140" s="953">
        <f t="shared" si="86"/>
        <v>48</v>
      </c>
      <c r="J140" s="1113"/>
    </row>
    <row r="141">
      <c r="B141" s="1004" t="s">
        <v>1493</v>
      </c>
      <c r="C141" s="953" t="s">
        <v>1237</v>
      </c>
      <c r="D141" s="953" t="s">
        <v>1237</v>
      </c>
      <c r="E141" s="953" t="s">
        <v>1250</v>
      </c>
      <c r="F141" s="953" t="s">
        <v>1250</v>
      </c>
      <c r="G141" s="953" t="s">
        <v>1263</v>
      </c>
      <c r="H141" s="953" t="s">
        <v>1263</v>
      </c>
    </row>
    <row r="142">
      <c r="B142" s="1004" t="s">
        <v>1624</v>
      </c>
      <c r="C142" s="953" t="s">
        <v>1237</v>
      </c>
      <c r="D142" s="953" t="s">
        <v>1237</v>
      </c>
      <c r="E142" s="953" t="s">
        <v>1250</v>
      </c>
      <c r="F142" s="953" t="s">
        <v>1250</v>
      </c>
      <c r="G142" s="953" t="s">
        <v>1263</v>
      </c>
      <c r="H142" s="953" t="s">
        <v>1263</v>
      </c>
    </row>
    <row r="143">
      <c r="B143" s="1111" t="s">
        <v>1495</v>
      </c>
      <c r="C143" s="1124">
        <f t="shared" ref="C143:H143" si="87">C120*C122+C121*C123+C144*C146+C126*C127</f>
        <v>24.64</v>
      </c>
      <c r="D143" s="1124">
        <f t="shared" si="87"/>
        <v>50.56</v>
      </c>
      <c r="E143" s="1124">
        <f t="shared" si="87"/>
        <v>96.28</v>
      </c>
      <c r="F143" s="1124">
        <f t="shared" si="87"/>
        <v>372.52</v>
      </c>
      <c r="G143" s="1124">
        <f t="shared" si="87"/>
        <v>848.72</v>
      </c>
      <c r="H143" s="1112">
        <f t="shared" si="87"/>
        <v>2163.16</v>
      </c>
      <c r="J143" s="1113"/>
    </row>
    <row r="144">
      <c r="B144" s="1004" t="s">
        <v>1371</v>
      </c>
      <c r="C144" s="1075">
        <f t="shared" ref="C144:H144" si="88">(C122+C123)*C145</f>
        <v>120</v>
      </c>
      <c r="D144" s="1075">
        <f t="shared" si="88"/>
        <v>132</v>
      </c>
      <c r="E144" s="1075">
        <f t="shared" si="88"/>
        <v>144</v>
      </c>
      <c r="F144" s="1075">
        <f t="shared" si="88"/>
        <v>168</v>
      </c>
      <c r="G144" s="1075">
        <f t="shared" si="88"/>
        <v>180</v>
      </c>
      <c r="H144" s="1075">
        <f t="shared" si="88"/>
        <v>192</v>
      </c>
      <c r="J144" s="1113"/>
    </row>
    <row r="145">
      <c r="B145" s="1004" t="s">
        <v>1385</v>
      </c>
      <c r="C145" s="1075">
        <f t="shared" ref="C145:H145" si="89">C$129*$J145</f>
        <v>15</v>
      </c>
      <c r="D145" s="1075">
        <f t="shared" si="89"/>
        <v>16.5</v>
      </c>
      <c r="E145" s="1075">
        <f t="shared" si="89"/>
        <v>18</v>
      </c>
      <c r="F145" s="1075">
        <f t="shared" si="89"/>
        <v>21</v>
      </c>
      <c r="G145" s="1075">
        <f t="shared" si="89"/>
        <v>22.5</v>
      </c>
      <c r="H145" s="1075">
        <f t="shared" si="89"/>
        <v>24</v>
      </c>
      <c r="J145" s="1113">
        <v>3.0</v>
      </c>
    </row>
    <row r="146">
      <c r="B146" s="1004" t="s">
        <v>1372</v>
      </c>
      <c r="C146" s="1075">
        <f t="shared" ref="C146:H146" si="90">(0.02*C147)*C147</f>
        <v>0.18</v>
      </c>
      <c r="D146" s="1075">
        <f t="shared" si="90"/>
        <v>0.32</v>
      </c>
      <c r="E146" s="1076">
        <f t="shared" si="90"/>
        <v>0.5</v>
      </c>
      <c r="F146" s="1075">
        <f t="shared" si="90"/>
        <v>0.98</v>
      </c>
      <c r="G146" s="1075">
        <f t="shared" si="90"/>
        <v>1.28</v>
      </c>
      <c r="H146" s="1075">
        <f t="shared" si="90"/>
        <v>1.62</v>
      </c>
      <c r="J146" s="1122"/>
    </row>
    <row r="147">
      <c r="B147" s="1004" t="s">
        <v>1646</v>
      </c>
      <c r="C147" s="1075">
        <f t="shared" ref="C147:H147" si="91">C139+1</f>
        <v>3</v>
      </c>
      <c r="D147" s="1075">
        <f t="shared" si="91"/>
        <v>4</v>
      </c>
      <c r="E147" s="1075">
        <f t="shared" si="91"/>
        <v>5</v>
      </c>
      <c r="F147" s="1075">
        <f t="shared" si="91"/>
        <v>7</v>
      </c>
      <c r="G147" s="1075">
        <f t="shared" si="91"/>
        <v>8</v>
      </c>
      <c r="H147" s="1075">
        <f t="shared" si="91"/>
        <v>9</v>
      </c>
      <c r="J147" s="1122"/>
    </row>
    <row r="148">
      <c r="B148" s="1004" t="s">
        <v>1647</v>
      </c>
      <c r="C148" s="953">
        <f t="shared" ref="C148:H148" si="92">20+(C147-1)*4</f>
        <v>28</v>
      </c>
      <c r="D148" s="953">
        <f t="shared" si="92"/>
        <v>32</v>
      </c>
      <c r="E148" s="953">
        <f t="shared" si="92"/>
        <v>36</v>
      </c>
      <c r="F148" s="953">
        <f t="shared" si="92"/>
        <v>44</v>
      </c>
      <c r="G148" s="953">
        <f t="shared" si="92"/>
        <v>48</v>
      </c>
      <c r="H148" s="953">
        <f t="shared" si="92"/>
        <v>52</v>
      </c>
      <c r="J148" s="1122"/>
    </row>
    <row r="149">
      <c r="B149" s="1004" t="s">
        <v>1493</v>
      </c>
      <c r="C149" s="953" t="s">
        <v>1237</v>
      </c>
      <c r="D149" s="953" t="s">
        <v>1250</v>
      </c>
      <c r="E149" s="953" t="s">
        <v>1250</v>
      </c>
      <c r="F149" s="953" t="s">
        <v>1263</v>
      </c>
      <c r="G149" s="953" t="s">
        <v>1263</v>
      </c>
      <c r="H149" s="953" t="s">
        <v>1263</v>
      </c>
      <c r="J149" s="1100"/>
    </row>
    <row r="150">
      <c r="B150" s="1004" t="s">
        <v>1624</v>
      </c>
      <c r="C150" s="953" t="s">
        <v>1237</v>
      </c>
      <c r="D150" s="953" t="s">
        <v>1250</v>
      </c>
      <c r="E150" s="953" t="s">
        <v>1250</v>
      </c>
      <c r="F150" s="953" t="s">
        <v>1263</v>
      </c>
      <c r="G150" s="953" t="s">
        <v>1263</v>
      </c>
      <c r="H150" s="953" t="s">
        <v>1263</v>
      </c>
      <c r="J150" s="1100"/>
    </row>
    <row r="152">
      <c r="B152" s="1300"/>
      <c r="C152" s="1100"/>
      <c r="D152" s="1100"/>
      <c r="E152" s="1100"/>
      <c r="F152" s="1100"/>
      <c r="G152" s="1100"/>
      <c r="H152" s="1100"/>
    </row>
    <row r="153">
      <c r="B153" s="1300" t="s">
        <v>1648</v>
      </c>
      <c r="C153" s="1100"/>
      <c r="D153" s="1100"/>
      <c r="E153" s="1100"/>
      <c r="F153" s="1100"/>
      <c r="G153" s="1100"/>
      <c r="H153" s="1100"/>
    </row>
    <row r="154">
      <c r="B154" s="1100"/>
      <c r="C154" s="1100"/>
      <c r="D154" s="1100"/>
      <c r="E154" s="1100"/>
      <c r="F154" s="1100"/>
      <c r="G154" s="1100"/>
      <c r="H154" s="1100"/>
    </row>
    <row r="155">
      <c r="B155" s="1100"/>
      <c r="C155" s="1219" t="s">
        <v>1649</v>
      </c>
      <c r="D155" s="1219" t="s">
        <v>1650</v>
      </c>
      <c r="E155" s="1219" t="s">
        <v>1651</v>
      </c>
      <c r="F155" s="1219" t="s">
        <v>1652</v>
      </c>
      <c r="G155" s="1307" t="s">
        <v>1653</v>
      </c>
      <c r="H155" s="1219" t="s">
        <v>1654</v>
      </c>
    </row>
    <row r="156">
      <c r="B156" s="630" t="s">
        <v>1036</v>
      </c>
      <c r="C156" s="1308">
        <v>6.0</v>
      </c>
      <c r="D156" s="1309">
        <v>2.0</v>
      </c>
      <c r="E156" s="1308">
        <v>18.0</v>
      </c>
      <c r="F156" s="1308">
        <v>1.0</v>
      </c>
      <c r="G156" s="1310">
        <f>'Материалы и инструменты'!$E$149*'Рудокоп'!$C$84*C156</f>
        <v>0.84</v>
      </c>
      <c r="H156" s="956">
        <f>'Кузнец'!$C$14*C156+(D156*C156)*(0.02*F156)*F156+C156*'Материалы и инструменты'!$E$149</f>
        <v>3.66</v>
      </c>
    </row>
    <row r="157">
      <c r="B157" s="630" t="s">
        <v>1045</v>
      </c>
      <c r="C157" s="1308">
        <v>3.0</v>
      </c>
      <c r="D157" s="1309">
        <v>3.0</v>
      </c>
      <c r="E157" s="1308">
        <v>7.0</v>
      </c>
      <c r="F157" s="1309">
        <v>2.0</v>
      </c>
      <c r="G157" s="1310">
        <f>'Материалы и инструменты'!$E$149*'Рудокоп'!$C$84*C157</f>
        <v>0.42</v>
      </c>
      <c r="H157" s="956">
        <f>'Кузнец'!$C$14*C157+(D157*C157)*(0.02*F157)*F157+C157*'Материалы и инструменты'!$E$149</f>
        <v>2.43</v>
      </c>
    </row>
    <row r="158">
      <c r="B158" s="630" t="s">
        <v>1051</v>
      </c>
      <c r="C158" s="1308">
        <v>5.0</v>
      </c>
      <c r="D158" s="1309">
        <v>3.0</v>
      </c>
      <c r="E158" s="1308">
        <v>14.0</v>
      </c>
      <c r="F158" s="1309">
        <v>2.0</v>
      </c>
      <c r="G158" s="1310">
        <f>'Материалы и инструменты'!$E$149*'Рудокоп'!$C$84*C158</f>
        <v>0.7</v>
      </c>
      <c r="H158" s="956">
        <f>'Кузнец'!$C$14*C158+(D158*C158)*(0.02*F158)*F158+C158*'Материалы и инструменты'!$E$149</f>
        <v>4.05</v>
      </c>
    </row>
    <row r="159">
      <c r="B159" s="630" t="s">
        <v>1058</v>
      </c>
      <c r="C159" s="1308">
        <v>3.0</v>
      </c>
      <c r="D159" s="1309">
        <v>4.0</v>
      </c>
      <c r="E159" s="1308">
        <v>7.0</v>
      </c>
      <c r="F159" s="1309">
        <v>2.0</v>
      </c>
      <c r="G159" s="1310">
        <f>'Материалы и инструменты'!$E$149*'Рудокоп'!$C$84*C159</f>
        <v>0.42</v>
      </c>
      <c r="H159" s="956">
        <f>'Кузнец'!$C$14*C159+(D159*C159)*(0.02*F159)*F159+C159*'Материалы и инструменты'!$E$149</f>
        <v>2.67</v>
      </c>
    </row>
    <row r="160">
      <c r="B160" s="630" t="s">
        <v>1061</v>
      </c>
      <c r="C160" s="1308">
        <v>5.0</v>
      </c>
      <c r="D160" s="1309">
        <v>4.0</v>
      </c>
      <c r="E160" s="1308">
        <v>14.0</v>
      </c>
      <c r="F160" s="1309">
        <v>2.0</v>
      </c>
      <c r="G160" s="1310">
        <f>'Материалы и инструменты'!$E$149*'Рудокоп'!$C$84*C160</f>
        <v>0.7</v>
      </c>
      <c r="H160" s="956">
        <f>'Кузнец'!$C$14*C160+(D160*C160)*(0.02*F160)*F160+C160*'Материалы и инструменты'!$E$149</f>
        <v>4.45</v>
      </c>
    </row>
    <row r="161">
      <c r="B161" s="630" t="s">
        <v>1063</v>
      </c>
      <c r="C161" s="1308">
        <v>3.0</v>
      </c>
      <c r="D161" s="1309">
        <v>5.0</v>
      </c>
      <c r="E161" s="1308">
        <v>7.0</v>
      </c>
      <c r="F161" s="1309">
        <v>3.0</v>
      </c>
      <c r="G161" s="1310">
        <f>'Материалы и инструменты'!$E$149*'Рудокоп'!$C$84*C161</f>
        <v>0.42</v>
      </c>
      <c r="H161" s="956">
        <f>'Кузнец'!$C$14*C161+(D161*C161)*(0.02*F161)*F161+C161*'Материалы и инструменты'!$E$149</f>
        <v>4.41</v>
      </c>
    </row>
    <row r="162">
      <c r="B162" s="630" t="s">
        <v>1066</v>
      </c>
      <c r="C162" s="1308">
        <v>5.0</v>
      </c>
      <c r="D162" s="1309">
        <v>5.0</v>
      </c>
      <c r="E162" s="1308">
        <v>14.0</v>
      </c>
      <c r="F162" s="1309">
        <v>3.0</v>
      </c>
      <c r="G162" s="1310">
        <f>'Материалы и инструменты'!$E$149*'Рудокоп'!$C$84*C162</f>
        <v>0.7</v>
      </c>
      <c r="H162" s="956">
        <f>'Кузнец'!$C$14*C162+(D162*C162)*(0.02*F162)*F162+C162*'Материалы и инструменты'!$E$149</f>
        <v>7.35</v>
      </c>
    </row>
    <row r="163">
      <c r="B163" s="657" t="s">
        <v>1140</v>
      </c>
      <c r="C163" s="1308">
        <v>4.0</v>
      </c>
      <c r="D163" s="1308">
        <v>4.0</v>
      </c>
      <c r="E163" s="1308">
        <v>11.0</v>
      </c>
      <c r="F163" s="1308">
        <v>1.0</v>
      </c>
      <c r="G163" s="1310">
        <f>'Материалы и инструменты'!$E$149*'Рудокоп'!$C$84*C163</f>
        <v>0.56</v>
      </c>
      <c r="H163" s="956">
        <f>'Кузнец'!$C$14*C163+(D163*C163)*(0.02*F163)*F163+C163*'Материалы и инструменты'!$E$149</f>
        <v>2.6</v>
      </c>
    </row>
    <row r="164">
      <c r="B164" s="1100"/>
      <c r="C164" s="1219" t="s">
        <v>1655</v>
      </c>
      <c r="D164" s="1219" t="s">
        <v>1656</v>
      </c>
      <c r="E164" s="1219" t="s">
        <v>1650</v>
      </c>
      <c r="F164" s="1219" t="s">
        <v>1651</v>
      </c>
      <c r="G164" s="1219" t="s">
        <v>1652</v>
      </c>
      <c r="H164" s="1307" t="s">
        <v>1653</v>
      </c>
      <c r="I164" s="1219" t="s">
        <v>1654</v>
      </c>
    </row>
    <row r="165">
      <c r="B165" s="657" t="s">
        <v>1084</v>
      </c>
      <c r="C165" s="1311" t="s">
        <v>1657</v>
      </c>
      <c r="D165" s="1311" t="s">
        <v>779</v>
      </c>
      <c r="E165" s="1308">
        <v>6.5</v>
      </c>
      <c r="F165" s="1308">
        <v>6.0</v>
      </c>
      <c r="G165" s="1308">
        <v>3.0</v>
      </c>
      <c r="H165" s="1310">
        <f>'Материалы и инструменты'!$E$149*'Рудокоп'!$C$84*C165</f>
        <v>0.28</v>
      </c>
      <c r="I165" s="1312">
        <f>C165*'Механик'!C78+D165*'Механик'!C79+((C165*E165)+D165)*'Механик'!C88+C165*'Материалы и инструменты'!$E$149</f>
        <v>2.29051</v>
      </c>
    </row>
    <row r="167">
      <c r="B167" s="1300"/>
      <c r="C167" s="1100"/>
      <c r="D167" s="1100"/>
      <c r="E167" s="1100"/>
      <c r="F167" s="1100"/>
      <c r="G167" s="1100"/>
      <c r="H167" s="1100"/>
    </row>
    <row r="168">
      <c r="B168" s="1300" t="s">
        <v>1658</v>
      </c>
      <c r="C168" s="1100"/>
      <c r="D168" s="1100"/>
      <c r="E168" s="1100"/>
      <c r="F168" s="1100"/>
      <c r="G168" s="1100"/>
      <c r="H168" s="1100"/>
    </row>
    <row r="169">
      <c r="B169" s="1100"/>
      <c r="C169" s="1219"/>
      <c r="D169" s="1219"/>
      <c r="E169" s="1219"/>
      <c r="F169" s="1219"/>
      <c r="G169" s="1219"/>
      <c r="H169" s="400"/>
      <c r="I169" s="1219"/>
    </row>
    <row r="170">
      <c r="B170" s="1100"/>
      <c r="C170" s="1219" t="s">
        <v>1659</v>
      </c>
      <c r="D170" s="1219" t="s">
        <v>1660</v>
      </c>
      <c r="E170" s="1219" t="s">
        <v>1650</v>
      </c>
      <c r="F170" s="1219" t="s">
        <v>1651</v>
      </c>
      <c r="G170" s="1219" t="s">
        <v>1652</v>
      </c>
      <c r="H170" s="1307" t="s">
        <v>1653</v>
      </c>
      <c r="I170" s="1219" t="s">
        <v>1654</v>
      </c>
    </row>
    <row r="171">
      <c r="B171" s="850" t="s">
        <v>1171</v>
      </c>
      <c r="C171" s="1308">
        <v>1.0</v>
      </c>
      <c r="D171" s="1308">
        <v>1.0</v>
      </c>
      <c r="E171" s="1308">
        <v>5.0</v>
      </c>
      <c r="F171" s="1308">
        <v>5.0</v>
      </c>
      <c r="G171" s="1308">
        <v>1.0</v>
      </c>
      <c r="H171" s="1310">
        <f>'Материалы и инструменты'!$E$149*'Рудокоп'!$C$84*C171</f>
        <v>0.14</v>
      </c>
      <c r="I171" s="1313">
        <f>'Плотник'!$C$138*C171+'Плотник'!$C$139*D171+(C171+D171)*E171*(0.02*G171)*G171+'Механик'!C220*'Материалы и инструменты'!$E$149</f>
        <v>0.82</v>
      </c>
    </row>
    <row r="172">
      <c r="B172" s="850" t="s">
        <v>1179</v>
      </c>
      <c r="C172" s="1308">
        <v>2.0</v>
      </c>
      <c r="D172" s="1308">
        <v>2.0</v>
      </c>
      <c r="E172" s="1308">
        <v>5.0</v>
      </c>
      <c r="F172" s="1308">
        <v>9.0</v>
      </c>
      <c r="G172" s="1308">
        <v>1.0</v>
      </c>
      <c r="H172" s="1310">
        <f>'Материалы и инструменты'!$E$149*'Рудокоп'!$C$84*C172</f>
        <v>0.28</v>
      </c>
      <c r="I172" s="1313">
        <f>'Плотник'!$C$138*C172+'Плотник'!$C$139*D172+(C172+D172)*E172*(0.02*G172)*G172+'Механик'!C221*'Материалы и инструменты'!$E$149</f>
        <v>1.64</v>
      </c>
    </row>
    <row r="173">
      <c r="B173" s="867" t="s">
        <v>1184</v>
      </c>
      <c r="C173" s="1308">
        <v>3.0</v>
      </c>
      <c r="D173" s="1308">
        <v>3.0</v>
      </c>
      <c r="E173" s="1308">
        <v>5.0</v>
      </c>
      <c r="F173" s="1308">
        <v>13.0</v>
      </c>
      <c r="G173" s="1308">
        <v>1.0</v>
      </c>
      <c r="H173" s="1310">
        <f>'Материалы и инструменты'!$E$149*'Рудокоп'!$C$84*C173</f>
        <v>0.42</v>
      </c>
      <c r="I173" s="1313">
        <f>'Плотник'!$C$138*C173+'Плотник'!$C$139*D173+(C173+D173)*E173*(0.02*G173)*G173+'Механик'!C222*'Материалы и инструменты'!$E$149</f>
        <v>2.46</v>
      </c>
    </row>
    <row r="174">
      <c r="B174" s="850" t="s">
        <v>1186</v>
      </c>
      <c r="C174" s="1308">
        <v>4.0</v>
      </c>
      <c r="D174" s="1308">
        <v>4.0</v>
      </c>
      <c r="E174" s="1308">
        <v>5.0</v>
      </c>
      <c r="F174" s="1308">
        <v>17.0</v>
      </c>
      <c r="G174" s="1309">
        <v>1.0</v>
      </c>
      <c r="H174" s="1310">
        <f>'Материалы и инструменты'!$E$149*'Рудокоп'!$C$84*C174</f>
        <v>0.56</v>
      </c>
      <c r="I174" s="1313">
        <f>'Плотник'!$C$138*C174+'Плотник'!$C$139*D174+(C174+D174)*E174*(0.02*G174)*G174+'Механик'!C223*'Материалы и инструменты'!$E$149</f>
        <v>3.28</v>
      </c>
    </row>
  </sheetData>
  <dataValidations>
    <dataValidation type="list" allowBlank="1" showErrorMessage="1" sqref="C8">
      <formula1>'Механик'!$B$156:$B$162</formula1>
    </dataValidation>
    <dataValidation type="list" allowBlank="1" showErrorMessage="1" sqref="C111">
      <formula1>'Плотник'!$B$194:$B$197</formula1>
    </dataValidation>
  </dataValidation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3" max="3" width="44.63"/>
    <col customWidth="1" min="10" max="12" width="14.5"/>
  </cols>
  <sheetData>
    <row r="2">
      <c r="C2" s="930" t="s">
        <v>1661</v>
      </c>
    </row>
    <row r="3">
      <c r="C3" s="1052" t="s">
        <v>1662</v>
      </c>
    </row>
    <row r="4">
      <c r="C4" s="1052" t="s">
        <v>1663</v>
      </c>
    </row>
    <row r="5">
      <c r="C5" s="407"/>
    </row>
    <row r="6">
      <c r="C6" s="407" t="s">
        <v>1664</v>
      </c>
    </row>
    <row r="8">
      <c r="C8" s="933" t="s">
        <v>1665</v>
      </c>
      <c r="F8" s="1314">
        <f>'Чародей'!C162</f>
        <v>3</v>
      </c>
    </row>
    <row r="10">
      <c r="C10" s="1315" t="s">
        <v>1666</v>
      </c>
      <c r="D10" s="1316">
        <v>1.0</v>
      </c>
      <c r="E10" s="1316">
        <v>2.0</v>
      </c>
      <c r="F10" s="1316">
        <v>3.0</v>
      </c>
      <c r="G10" s="1316">
        <v>4.0</v>
      </c>
      <c r="H10" s="1316">
        <v>5.0</v>
      </c>
      <c r="I10" s="1316">
        <v>6.0</v>
      </c>
      <c r="J10" s="1316">
        <v>7.0</v>
      </c>
      <c r="K10" s="1316">
        <v>8.0</v>
      </c>
      <c r="L10" s="1316">
        <v>9.0</v>
      </c>
      <c r="N10" s="1317"/>
    </row>
    <row r="11">
      <c r="C11" s="1111" t="s">
        <v>1667</v>
      </c>
      <c r="D11" s="1318">
        <f t="shared" ref="D11:L11" si="1">D13*D14+D15*D17</f>
        <v>0.12</v>
      </c>
      <c r="E11" s="1318">
        <f t="shared" si="1"/>
        <v>0.45</v>
      </c>
      <c r="F11" s="1318">
        <f t="shared" si="1"/>
        <v>1.71</v>
      </c>
      <c r="G11" s="1318">
        <f t="shared" si="1"/>
        <v>5.1</v>
      </c>
      <c r="H11" s="1318">
        <f t="shared" si="1"/>
        <v>11.55</v>
      </c>
      <c r="I11" s="1318">
        <f t="shared" si="1"/>
        <v>22.98</v>
      </c>
      <c r="J11" s="1318">
        <f t="shared" si="1"/>
        <v>42.045</v>
      </c>
      <c r="K11" s="1318">
        <f t="shared" si="1"/>
        <v>70.005</v>
      </c>
      <c r="L11" s="1318">
        <f t="shared" si="1"/>
        <v>110.235</v>
      </c>
      <c r="N11" s="1127">
        <v>1.0</v>
      </c>
    </row>
    <row r="12">
      <c r="C12" s="1319" t="s">
        <v>130</v>
      </c>
      <c r="D12" s="1320" t="s">
        <v>1421</v>
      </c>
      <c r="E12" s="1320" t="s">
        <v>1421</v>
      </c>
      <c r="F12" s="1320" t="s">
        <v>1421</v>
      </c>
      <c r="G12" s="1320" t="s">
        <v>1668</v>
      </c>
      <c r="H12" s="1320" t="s">
        <v>1668</v>
      </c>
      <c r="I12" s="1320" t="s">
        <v>1668</v>
      </c>
      <c r="J12" s="1320" t="s">
        <v>1669</v>
      </c>
      <c r="K12" s="1320" t="s">
        <v>1669</v>
      </c>
      <c r="L12" s="1320" t="s">
        <v>1669</v>
      </c>
      <c r="N12" s="1127"/>
    </row>
    <row r="13">
      <c r="C13" s="1319" t="s">
        <v>1363</v>
      </c>
      <c r="D13" s="1321">
        <f>'Материалы и инструменты'!D111</f>
        <v>0.03</v>
      </c>
      <c r="E13" s="1321">
        <f>'Материалы и инструменты'!D111</f>
        <v>0.03</v>
      </c>
      <c r="F13" s="1321">
        <f>'Материалы и инструменты'!D111</f>
        <v>0.03</v>
      </c>
      <c r="G13" s="1322">
        <f>'Материалы и инструменты'!E111</f>
        <v>0.1</v>
      </c>
      <c r="H13" s="1322">
        <f>'Материалы и инструменты'!E111</f>
        <v>0.1</v>
      </c>
      <c r="I13" s="1322">
        <f>'Материалы и инструменты'!E111</f>
        <v>0.1</v>
      </c>
      <c r="J13" s="1322">
        <f>'Материалы и инструменты'!F111</f>
        <v>0.295</v>
      </c>
      <c r="K13" s="1322">
        <f>'Материалы и инструменты'!F111</f>
        <v>0.295</v>
      </c>
      <c r="L13" s="1322">
        <f>'Материалы и инструменты'!F111</f>
        <v>0.295</v>
      </c>
      <c r="N13" s="1127"/>
    </row>
    <row r="14">
      <c r="C14" s="1319" t="s">
        <v>1670</v>
      </c>
      <c r="D14" s="1323">
        <f t="shared" ref="D14:L14" si="2">$F$8</f>
        <v>3</v>
      </c>
      <c r="E14" s="1323">
        <f t="shared" si="2"/>
        <v>3</v>
      </c>
      <c r="F14" s="1323">
        <f t="shared" si="2"/>
        <v>3</v>
      </c>
      <c r="G14" s="1323">
        <f t="shared" si="2"/>
        <v>3</v>
      </c>
      <c r="H14" s="1323">
        <f t="shared" si="2"/>
        <v>3</v>
      </c>
      <c r="I14" s="1323">
        <f t="shared" si="2"/>
        <v>3</v>
      </c>
      <c r="J14" s="1323">
        <f t="shared" si="2"/>
        <v>3</v>
      </c>
      <c r="K14" s="1323">
        <f t="shared" si="2"/>
        <v>3</v>
      </c>
      <c r="L14" s="1323">
        <f t="shared" si="2"/>
        <v>3</v>
      </c>
      <c r="N14" s="1127"/>
    </row>
    <row r="15">
      <c r="C15" s="1004" t="s">
        <v>1671</v>
      </c>
      <c r="D15" s="981">
        <f t="shared" ref="D15:L15" si="3">D$10*D16*(D14*0.5)</f>
        <v>1.5</v>
      </c>
      <c r="E15" s="981">
        <f t="shared" si="3"/>
        <v>4.5</v>
      </c>
      <c r="F15" s="981">
        <f t="shared" si="3"/>
        <v>9</v>
      </c>
      <c r="G15" s="981">
        <f t="shared" si="3"/>
        <v>15</v>
      </c>
      <c r="H15" s="981">
        <f t="shared" si="3"/>
        <v>22.5</v>
      </c>
      <c r="I15" s="981">
        <f t="shared" si="3"/>
        <v>31.5</v>
      </c>
      <c r="J15" s="981">
        <f t="shared" si="3"/>
        <v>42</v>
      </c>
      <c r="K15" s="981">
        <f t="shared" si="3"/>
        <v>54</v>
      </c>
      <c r="L15" s="981">
        <f t="shared" si="3"/>
        <v>67.5</v>
      </c>
      <c r="N15" s="1127"/>
    </row>
    <row r="16">
      <c r="C16" s="1004" t="s">
        <v>1672</v>
      </c>
      <c r="D16" s="1005">
        <v>1.0</v>
      </c>
      <c r="E16" s="981">
        <f t="shared" ref="E16:L16" si="4">D16+0.5</f>
        <v>1.5</v>
      </c>
      <c r="F16" s="981">
        <f t="shared" si="4"/>
        <v>2</v>
      </c>
      <c r="G16" s="981">
        <f t="shared" si="4"/>
        <v>2.5</v>
      </c>
      <c r="H16" s="981">
        <f t="shared" si="4"/>
        <v>3</v>
      </c>
      <c r="I16" s="981">
        <f t="shared" si="4"/>
        <v>3.5</v>
      </c>
      <c r="J16" s="981">
        <f t="shared" si="4"/>
        <v>4</v>
      </c>
      <c r="K16" s="981">
        <f t="shared" si="4"/>
        <v>4.5</v>
      </c>
      <c r="L16" s="981">
        <f t="shared" si="4"/>
        <v>5</v>
      </c>
      <c r="N16" s="1127"/>
    </row>
    <row r="17">
      <c r="C17" s="1004" t="s">
        <v>1372</v>
      </c>
      <c r="D17" s="981">
        <f t="shared" ref="D17:L17" si="5">(0.02*D18)*D18</f>
        <v>0.02</v>
      </c>
      <c r="E17" s="981">
        <f t="shared" si="5"/>
        <v>0.08</v>
      </c>
      <c r="F17" s="981">
        <f t="shared" si="5"/>
        <v>0.18</v>
      </c>
      <c r="G17" s="981">
        <f t="shared" si="5"/>
        <v>0.32</v>
      </c>
      <c r="H17" s="982">
        <f t="shared" si="5"/>
        <v>0.5</v>
      </c>
      <c r="I17" s="981">
        <f t="shared" si="5"/>
        <v>0.72</v>
      </c>
      <c r="J17" s="981">
        <f t="shared" si="5"/>
        <v>0.98</v>
      </c>
      <c r="K17" s="981">
        <f t="shared" si="5"/>
        <v>1.28</v>
      </c>
      <c r="L17" s="981">
        <f t="shared" si="5"/>
        <v>1.62</v>
      </c>
      <c r="N17" s="1127"/>
    </row>
    <row r="18">
      <c r="C18" s="1004" t="s">
        <v>1673</v>
      </c>
      <c r="D18" s="981">
        <v>1.0</v>
      </c>
      <c r="E18" s="981">
        <f t="shared" ref="E18:L18" si="6">D18+1</f>
        <v>2</v>
      </c>
      <c r="F18" s="981">
        <f t="shared" si="6"/>
        <v>3</v>
      </c>
      <c r="G18" s="981">
        <f t="shared" si="6"/>
        <v>4</v>
      </c>
      <c r="H18" s="981">
        <f t="shared" si="6"/>
        <v>5</v>
      </c>
      <c r="I18" s="981">
        <f t="shared" si="6"/>
        <v>6</v>
      </c>
      <c r="J18" s="981">
        <f t="shared" si="6"/>
        <v>7</v>
      </c>
      <c r="K18" s="981">
        <f t="shared" si="6"/>
        <v>8</v>
      </c>
      <c r="L18" s="981">
        <f t="shared" si="6"/>
        <v>9</v>
      </c>
      <c r="N18" s="1127"/>
    </row>
    <row r="19">
      <c r="C19" s="1006" t="s">
        <v>1674</v>
      </c>
      <c r="D19" s="1324">
        <v>10.0</v>
      </c>
      <c r="E19" s="1325">
        <f t="shared" ref="E19:L19" si="7">D19+2</f>
        <v>12</v>
      </c>
      <c r="F19" s="1325">
        <f t="shared" si="7"/>
        <v>14</v>
      </c>
      <c r="G19" s="1325">
        <f t="shared" si="7"/>
        <v>16</v>
      </c>
      <c r="H19" s="1325">
        <f t="shared" si="7"/>
        <v>18</v>
      </c>
      <c r="I19" s="1325">
        <f t="shared" si="7"/>
        <v>20</v>
      </c>
      <c r="J19" s="1325">
        <f t="shared" si="7"/>
        <v>22</v>
      </c>
      <c r="K19" s="1325">
        <f t="shared" si="7"/>
        <v>24</v>
      </c>
      <c r="L19" s="1325">
        <f t="shared" si="7"/>
        <v>26</v>
      </c>
      <c r="N19" s="1044"/>
    </row>
    <row r="20">
      <c r="C20" s="1004" t="s">
        <v>1675</v>
      </c>
      <c r="D20" s="1008" t="str">
        <f t="shared" ref="D20:L20" si="8">IF(D18&lt;4,"Простые",IF(D18&lt;7,"Продвинутые","Мастерские"))</f>
        <v>Простые</v>
      </c>
      <c r="E20" s="1008" t="str">
        <f t="shared" si="8"/>
        <v>Простые</v>
      </c>
      <c r="F20" s="1008" t="str">
        <f t="shared" si="8"/>
        <v>Простые</v>
      </c>
      <c r="G20" s="1008" t="str">
        <f t="shared" si="8"/>
        <v>Продвинутые</v>
      </c>
      <c r="H20" s="1008" t="str">
        <f t="shared" si="8"/>
        <v>Продвинутые</v>
      </c>
      <c r="I20" s="1008" t="str">
        <f t="shared" si="8"/>
        <v>Продвинутые</v>
      </c>
      <c r="J20" s="1008" t="str">
        <f t="shared" si="8"/>
        <v>Мастерские</v>
      </c>
      <c r="K20" s="1008" t="str">
        <f t="shared" si="8"/>
        <v>Мастерские</v>
      </c>
      <c r="L20" s="1008" t="str">
        <f t="shared" si="8"/>
        <v>Мастерские</v>
      </c>
      <c r="N20" s="1044"/>
    </row>
    <row r="21">
      <c r="C21" s="1111" t="s">
        <v>1676</v>
      </c>
      <c r="D21" s="1318">
        <f t="shared" ref="D21:L21" si="9">D22*D13+D23*D25</f>
        <v>0.54</v>
      </c>
      <c r="E21" s="1318">
        <f t="shared" si="9"/>
        <v>2.61</v>
      </c>
      <c r="F21" s="1318">
        <f t="shared" si="9"/>
        <v>8.82</v>
      </c>
      <c r="G21" s="1318">
        <f t="shared" si="9"/>
        <v>23.1</v>
      </c>
      <c r="H21" s="1318">
        <f t="shared" si="9"/>
        <v>49.2</v>
      </c>
      <c r="I21" s="1318">
        <f t="shared" si="9"/>
        <v>93.21</v>
      </c>
      <c r="J21" s="1318">
        <f t="shared" si="9"/>
        <v>163.05</v>
      </c>
      <c r="K21" s="1318">
        <f t="shared" si="9"/>
        <v>264.21</v>
      </c>
      <c r="L21" s="1318">
        <f t="shared" si="9"/>
        <v>406.77</v>
      </c>
      <c r="N21" s="1044">
        <v>1.5</v>
      </c>
    </row>
    <row r="22">
      <c r="C22" s="1319" t="s">
        <v>1670</v>
      </c>
      <c r="D22" s="1323">
        <f t="shared" ref="D22:L22" si="10">$F$8*2</f>
        <v>6</v>
      </c>
      <c r="E22" s="1323">
        <f t="shared" si="10"/>
        <v>6</v>
      </c>
      <c r="F22" s="1323">
        <f t="shared" si="10"/>
        <v>6</v>
      </c>
      <c r="G22" s="1323">
        <f t="shared" si="10"/>
        <v>6</v>
      </c>
      <c r="H22" s="1323">
        <f t="shared" si="10"/>
        <v>6</v>
      </c>
      <c r="I22" s="1323">
        <f t="shared" si="10"/>
        <v>6</v>
      </c>
      <c r="J22" s="1323">
        <f t="shared" si="10"/>
        <v>6</v>
      </c>
      <c r="K22" s="1323">
        <f t="shared" si="10"/>
        <v>6</v>
      </c>
      <c r="L22" s="1323">
        <f t="shared" si="10"/>
        <v>6</v>
      </c>
      <c r="N22" s="1127"/>
    </row>
    <row r="23">
      <c r="C23" s="1004" t="s">
        <v>1671</v>
      </c>
      <c r="D23" s="981">
        <f t="shared" ref="D23:L23" si="11">D$10*D24*(D22*0.5)</f>
        <v>4.5</v>
      </c>
      <c r="E23" s="981">
        <f t="shared" si="11"/>
        <v>13.5</v>
      </c>
      <c r="F23" s="981">
        <f t="shared" si="11"/>
        <v>27</v>
      </c>
      <c r="G23" s="981">
        <f t="shared" si="11"/>
        <v>45</v>
      </c>
      <c r="H23" s="981">
        <f t="shared" si="11"/>
        <v>67.5</v>
      </c>
      <c r="I23" s="981">
        <f t="shared" si="11"/>
        <v>94.5</v>
      </c>
      <c r="J23" s="981">
        <f t="shared" si="11"/>
        <v>126</v>
      </c>
      <c r="K23" s="981">
        <f t="shared" si="11"/>
        <v>162</v>
      </c>
      <c r="L23" s="981">
        <f t="shared" si="11"/>
        <v>202.5</v>
      </c>
      <c r="N23" s="1127"/>
    </row>
    <row r="24">
      <c r="C24" s="1004" t="s">
        <v>1672</v>
      </c>
      <c r="D24" s="981">
        <f t="shared" ref="D24:L24" si="12">D$16*$N21</f>
        <v>1.5</v>
      </c>
      <c r="E24" s="981">
        <f t="shared" si="12"/>
        <v>2.25</v>
      </c>
      <c r="F24" s="981">
        <f t="shared" si="12"/>
        <v>3</v>
      </c>
      <c r="G24" s="981">
        <f t="shared" si="12"/>
        <v>3.75</v>
      </c>
      <c r="H24" s="981">
        <f t="shared" si="12"/>
        <v>4.5</v>
      </c>
      <c r="I24" s="981">
        <f t="shared" si="12"/>
        <v>5.25</v>
      </c>
      <c r="J24" s="981">
        <f t="shared" si="12"/>
        <v>6</v>
      </c>
      <c r="K24" s="981">
        <f t="shared" si="12"/>
        <v>6.75</v>
      </c>
      <c r="L24" s="981">
        <f t="shared" si="12"/>
        <v>7.5</v>
      </c>
      <c r="N24" s="1011"/>
    </row>
    <row r="25">
      <c r="C25" s="1004" t="s">
        <v>1372</v>
      </c>
      <c r="D25" s="981">
        <f t="shared" ref="D25:L25" si="13">(0.02*D26)*D26</f>
        <v>0.08</v>
      </c>
      <c r="E25" s="981">
        <f t="shared" si="13"/>
        <v>0.18</v>
      </c>
      <c r="F25" s="981">
        <f t="shared" si="13"/>
        <v>0.32</v>
      </c>
      <c r="G25" s="982">
        <f t="shared" si="13"/>
        <v>0.5</v>
      </c>
      <c r="H25" s="981">
        <f t="shared" si="13"/>
        <v>0.72</v>
      </c>
      <c r="I25" s="981">
        <f t="shared" si="13"/>
        <v>0.98</v>
      </c>
      <c r="J25" s="981">
        <f t="shared" si="13"/>
        <v>1.28</v>
      </c>
      <c r="K25" s="981">
        <f t="shared" si="13"/>
        <v>1.62</v>
      </c>
      <c r="L25" s="981">
        <f t="shared" si="13"/>
        <v>2</v>
      </c>
      <c r="N25" s="1127"/>
    </row>
    <row r="26">
      <c r="C26" s="1004" t="s">
        <v>1673</v>
      </c>
      <c r="D26" s="981">
        <f t="shared" ref="D26:L26" si="14">D18+1</f>
        <v>2</v>
      </c>
      <c r="E26" s="981">
        <f t="shared" si="14"/>
        <v>3</v>
      </c>
      <c r="F26" s="981">
        <f t="shared" si="14"/>
        <v>4</v>
      </c>
      <c r="G26" s="981">
        <f t="shared" si="14"/>
        <v>5</v>
      </c>
      <c r="H26" s="981">
        <f t="shared" si="14"/>
        <v>6</v>
      </c>
      <c r="I26" s="981">
        <f t="shared" si="14"/>
        <v>7</v>
      </c>
      <c r="J26" s="981">
        <f t="shared" si="14"/>
        <v>8</v>
      </c>
      <c r="K26" s="981">
        <f t="shared" si="14"/>
        <v>9</v>
      </c>
      <c r="L26" s="981">
        <f t="shared" si="14"/>
        <v>10</v>
      </c>
      <c r="N26" s="1127"/>
    </row>
    <row r="27">
      <c r="C27" s="1006" t="s">
        <v>1674</v>
      </c>
      <c r="D27" s="1324">
        <v>12.0</v>
      </c>
      <c r="E27" s="1325">
        <f t="shared" ref="E27:L27" si="15">D27+2</f>
        <v>14</v>
      </c>
      <c r="F27" s="1325">
        <f t="shared" si="15"/>
        <v>16</v>
      </c>
      <c r="G27" s="1325">
        <f t="shared" si="15"/>
        <v>18</v>
      </c>
      <c r="H27" s="1325">
        <f t="shared" si="15"/>
        <v>20</v>
      </c>
      <c r="I27" s="1325">
        <f t="shared" si="15"/>
        <v>22</v>
      </c>
      <c r="J27" s="1325">
        <f t="shared" si="15"/>
        <v>24</v>
      </c>
      <c r="K27" s="1325">
        <f t="shared" si="15"/>
        <v>26</v>
      </c>
      <c r="L27" s="1325">
        <f t="shared" si="15"/>
        <v>28</v>
      </c>
      <c r="N27" s="1044"/>
    </row>
    <row r="28">
      <c r="C28" s="1004" t="s">
        <v>1675</v>
      </c>
      <c r="D28" s="1008" t="str">
        <f t="shared" ref="D28:L28" si="16">IF(D26&lt;4,"Простые",IF(D26&lt;7,"Продвинутые","Мастерские"))</f>
        <v>Простые</v>
      </c>
      <c r="E28" s="1008" t="str">
        <f t="shared" si="16"/>
        <v>Простые</v>
      </c>
      <c r="F28" s="1008" t="str">
        <f t="shared" si="16"/>
        <v>Продвинутые</v>
      </c>
      <c r="G28" s="1008" t="str">
        <f t="shared" si="16"/>
        <v>Продвинутые</v>
      </c>
      <c r="H28" s="1008" t="str">
        <f t="shared" si="16"/>
        <v>Продвинутые</v>
      </c>
      <c r="I28" s="1008" t="str">
        <f t="shared" si="16"/>
        <v>Мастерские</v>
      </c>
      <c r="J28" s="1008" t="str">
        <f t="shared" si="16"/>
        <v>Мастерские</v>
      </c>
      <c r="K28" s="1008" t="str">
        <f t="shared" si="16"/>
        <v>Мастерские</v>
      </c>
      <c r="L28" s="1008" t="str">
        <f t="shared" si="16"/>
        <v>Мастерские</v>
      </c>
      <c r="N28" s="1044"/>
    </row>
    <row r="29">
      <c r="C29" s="1111" t="s">
        <v>1677</v>
      </c>
      <c r="D29" s="1318">
        <f t="shared" ref="D29:L29" si="17">D30*D13+D31*D33</f>
        <v>1.89</v>
      </c>
      <c r="E29" s="1318">
        <f t="shared" si="17"/>
        <v>8.91</v>
      </c>
      <c r="F29" s="1318">
        <f t="shared" si="17"/>
        <v>27.27</v>
      </c>
      <c r="G29" s="1318">
        <f t="shared" si="17"/>
        <v>65.7</v>
      </c>
      <c r="H29" s="1318">
        <f t="shared" si="17"/>
        <v>133.2</v>
      </c>
      <c r="I29" s="1318">
        <f t="shared" si="17"/>
        <v>242.82</v>
      </c>
      <c r="J29" s="1318">
        <f t="shared" si="17"/>
        <v>410.895</v>
      </c>
      <c r="K29" s="1318">
        <f t="shared" si="17"/>
        <v>650.655</v>
      </c>
      <c r="L29" s="1318">
        <f t="shared" si="17"/>
        <v>982.755</v>
      </c>
      <c r="N29" s="1044">
        <v>2.0</v>
      </c>
    </row>
    <row r="30">
      <c r="C30" s="1319" t="s">
        <v>1670</v>
      </c>
      <c r="D30" s="1323">
        <f t="shared" ref="D30:L30" si="18">$F$8*3</f>
        <v>9</v>
      </c>
      <c r="E30" s="1323">
        <f t="shared" si="18"/>
        <v>9</v>
      </c>
      <c r="F30" s="1323">
        <f t="shared" si="18"/>
        <v>9</v>
      </c>
      <c r="G30" s="1323">
        <f t="shared" si="18"/>
        <v>9</v>
      </c>
      <c r="H30" s="1323">
        <f t="shared" si="18"/>
        <v>9</v>
      </c>
      <c r="I30" s="1323">
        <f t="shared" si="18"/>
        <v>9</v>
      </c>
      <c r="J30" s="1323">
        <f t="shared" si="18"/>
        <v>9</v>
      </c>
      <c r="K30" s="1323">
        <f t="shared" si="18"/>
        <v>9</v>
      </c>
      <c r="L30" s="1323">
        <f t="shared" si="18"/>
        <v>9</v>
      </c>
      <c r="N30" s="1127"/>
    </row>
    <row r="31">
      <c r="C31" s="1004" t="s">
        <v>1671</v>
      </c>
      <c r="D31" s="981">
        <f t="shared" ref="D31:L31" si="19">D$10*D32*(D30*0.5)</f>
        <v>9</v>
      </c>
      <c r="E31" s="981">
        <f t="shared" si="19"/>
        <v>27</v>
      </c>
      <c r="F31" s="981">
        <f t="shared" si="19"/>
        <v>54</v>
      </c>
      <c r="G31" s="981">
        <f t="shared" si="19"/>
        <v>90</v>
      </c>
      <c r="H31" s="981">
        <f t="shared" si="19"/>
        <v>135</v>
      </c>
      <c r="I31" s="981">
        <f t="shared" si="19"/>
        <v>189</v>
      </c>
      <c r="J31" s="981">
        <f t="shared" si="19"/>
        <v>252</v>
      </c>
      <c r="K31" s="981">
        <f t="shared" si="19"/>
        <v>324</v>
      </c>
      <c r="L31" s="981">
        <f t="shared" si="19"/>
        <v>405</v>
      </c>
      <c r="N31" s="1127"/>
    </row>
    <row r="32">
      <c r="C32" s="1004" t="s">
        <v>1672</v>
      </c>
      <c r="D32" s="981">
        <f t="shared" ref="D32:L32" si="20">D$16*$N29</f>
        <v>2</v>
      </c>
      <c r="E32" s="981">
        <f t="shared" si="20"/>
        <v>3</v>
      </c>
      <c r="F32" s="981">
        <f t="shared" si="20"/>
        <v>4</v>
      </c>
      <c r="G32" s="981">
        <f t="shared" si="20"/>
        <v>5</v>
      </c>
      <c r="H32" s="981">
        <f t="shared" si="20"/>
        <v>6</v>
      </c>
      <c r="I32" s="981">
        <f t="shared" si="20"/>
        <v>7</v>
      </c>
      <c r="J32" s="981">
        <f t="shared" si="20"/>
        <v>8</v>
      </c>
      <c r="K32" s="981">
        <f t="shared" si="20"/>
        <v>9</v>
      </c>
      <c r="L32" s="981">
        <f t="shared" si="20"/>
        <v>10</v>
      </c>
      <c r="N32" s="1011"/>
    </row>
    <row r="33">
      <c r="C33" s="1004" t="s">
        <v>1372</v>
      </c>
      <c r="D33" s="981">
        <f t="shared" ref="D33:L33" si="21">(0.02*D34)*D34</f>
        <v>0.18</v>
      </c>
      <c r="E33" s="981">
        <f t="shared" si="21"/>
        <v>0.32</v>
      </c>
      <c r="F33" s="982">
        <f t="shared" si="21"/>
        <v>0.5</v>
      </c>
      <c r="G33" s="981">
        <f t="shared" si="21"/>
        <v>0.72</v>
      </c>
      <c r="H33" s="981">
        <f t="shared" si="21"/>
        <v>0.98</v>
      </c>
      <c r="I33" s="981">
        <f t="shared" si="21"/>
        <v>1.28</v>
      </c>
      <c r="J33" s="981">
        <f t="shared" si="21"/>
        <v>1.62</v>
      </c>
      <c r="K33" s="981">
        <f t="shared" si="21"/>
        <v>2</v>
      </c>
      <c r="L33" s="981">
        <f t="shared" si="21"/>
        <v>2.42</v>
      </c>
      <c r="N33" s="1127"/>
    </row>
    <row r="34">
      <c r="C34" s="1004" t="s">
        <v>1673</v>
      </c>
      <c r="D34" s="981">
        <f t="shared" ref="D34:L34" si="22">D26+1</f>
        <v>3</v>
      </c>
      <c r="E34" s="981">
        <f t="shared" si="22"/>
        <v>4</v>
      </c>
      <c r="F34" s="981">
        <f t="shared" si="22"/>
        <v>5</v>
      </c>
      <c r="G34" s="981">
        <f t="shared" si="22"/>
        <v>6</v>
      </c>
      <c r="H34" s="981">
        <f t="shared" si="22"/>
        <v>7</v>
      </c>
      <c r="I34" s="981">
        <f t="shared" si="22"/>
        <v>8</v>
      </c>
      <c r="J34" s="981">
        <f t="shared" si="22"/>
        <v>9</v>
      </c>
      <c r="K34" s="981">
        <f t="shared" si="22"/>
        <v>10</v>
      </c>
      <c r="L34" s="981">
        <f t="shared" si="22"/>
        <v>11</v>
      </c>
      <c r="N34" s="1127"/>
    </row>
    <row r="35">
      <c r="C35" s="1006" t="s">
        <v>1674</v>
      </c>
      <c r="D35" s="1324">
        <v>14.0</v>
      </c>
      <c r="E35" s="1325">
        <f t="shared" ref="E35:L35" si="23">D35+2</f>
        <v>16</v>
      </c>
      <c r="F35" s="1325">
        <f t="shared" si="23"/>
        <v>18</v>
      </c>
      <c r="G35" s="1325">
        <f t="shared" si="23"/>
        <v>20</v>
      </c>
      <c r="H35" s="1325">
        <f t="shared" si="23"/>
        <v>22</v>
      </c>
      <c r="I35" s="1325">
        <f t="shared" si="23"/>
        <v>24</v>
      </c>
      <c r="J35" s="1325">
        <f t="shared" si="23"/>
        <v>26</v>
      </c>
      <c r="K35" s="1325">
        <f t="shared" si="23"/>
        <v>28</v>
      </c>
      <c r="L35" s="1325">
        <f t="shared" si="23"/>
        <v>30</v>
      </c>
      <c r="N35" s="1011"/>
    </row>
    <row r="36">
      <c r="C36" s="1004" t="s">
        <v>1675</v>
      </c>
      <c r="D36" s="1008" t="str">
        <f t="shared" ref="D36:L36" si="24">IF(D34&lt;4,"Простые",IF(D34&lt;7,"Продвинутые","Мастерские"))</f>
        <v>Простые</v>
      </c>
      <c r="E36" s="1008" t="str">
        <f t="shared" si="24"/>
        <v>Продвинутые</v>
      </c>
      <c r="F36" s="1008" t="str">
        <f t="shared" si="24"/>
        <v>Продвинутые</v>
      </c>
      <c r="G36" s="1008" t="str">
        <f t="shared" si="24"/>
        <v>Продвинутые</v>
      </c>
      <c r="H36" s="1008" t="str">
        <f t="shared" si="24"/>
        <v>Мастерские</v>
      </c>
      <c r="I36" s="1008" t="str">
        <f t="shared" si="24"/>
        <v>Мастерские</v>
      </c>
      <c r="J36" s="1008" t="str">
        <f t="shared" si="24"/>
        <v>Мастерские</v>
      </c>
      <c r="K36" s="1008" t="str">
        <f t="shared" si="24"/>
        <v>Мастерские</v>
      </c>
      <c r="L36" s="1008" t="str">
        <f t="shared" si="24"/>
        <v>Мастерские</v>
      </c>
      <c r="N36" s="1011"/>
    </row>
    <row r="37">
      <c r="C37" s="407"/>
      <c r="N37" s="1011"/>
    </row>
    <row r="38">
      <c r="C38" s="407" t="s">
        <v>1678</v>
      </c>
      <c r="N38" s="1011"/>
    </row>
    <row r="39">
      <c r="N39" s="1011"/>
    </row>
    <row r="40">
      <c r="C40" s="1315" t="s">
        <v>1679</v>
      </c>
      <c r="D40" s="1316">
        <v>1.0</v>
      </c>
      <c r="E40" s="1316">
        <v>2.0</v>
      </c>
      <c r="F40" s="1316">
        <v>3.0</v>
      </c>
      <c r="G40" s="1316">
        <v>4.0</v>
      </c>
      <c r="H40" s="1316">
        <v>5.0</v>
      </c>
      <c r="I40" s="1316">
        <v>6.0</v>
      </c>
      <c r="N40" s="1011"/>
    </row>
    <row r="41">
      <c r="C41" s="1111" t="s">
        <v>1680</v>
      </c>
      <c r="D41" s="1318">
        <f t="shared" ref="D41:I41" si="25">D43*D44+D45*D47</f>
        <v>1.3</v>
      </c>
      <c r="E41" s="1318">
        <f t="shared" si="25"/>
        <v>4.74</v>
      </c>
      <c r="F41" s="1318">
        <f t="shared" si="25"/>
        <v>16.02</v>
      </c>
      <c r="G41" s="1318">
        <f t="shared" si="25"/>
        <v>43.96</v>
      </c>
      <c r="H41" s="1318">
        <f t="shared" si="25"/>
        <v>93</v>
      </c>
      <c r="I41" s="1318">
        <f t="shared" si="25"/>
        <v>175.8</v>
      </c>
      <c r="N41" s="1326">
        <v>1.0</v>
      </c>
    </row>
    <row r="42">
      <c r="C42" s="1319" t="s">
        <v>130</v>
      </c>
      <c r="D42" s="1320" t="s">
        <v>1421</v>
      </c>
      <c r="E42" s="1320" t="s">
        <v>1421</v>
      </c>
      <c r="F42" s="1320" t="s">
        <v>1421</v>
      </c>
      <c r="G42" s="1320" t="s">
        <v>1668</v>
      </c>
      <c r="H42" s="1320" t="s">
        <v>1668</v>
      </c>
      <c r="I42" s="1320" t="s">
        <v>1668</v>
      </c>
      <c r="N42" s="1011"/>
    </row>
    <row r="43">
      <c r="C43" s="1319" t="s">
        <v>1363</v>
      </c>
      <c r="D43" s="1321">
        <f t="shared" ref="D43:I43" si="26">D13</f>
        <v>0.03</v>
      </c>
      <c r="E43" s="1321">
        <f t="shared" si="26"/>
        <v>0.03</v>
      </c>
      <c r="F43" s="1321">
        <f t="shared" si="26"/>
        <v>0.03</v>
      </c>
      <c r="G43" s="1322">
        <f t="shared" si="26"/>
        <v>0.1</v>
      </c>
      <c r="H43" s="1322">
        <f t="shared" si="26"/>
        <v>0.1</v>
      </c>
      <c r="I43" s="1322">
        <f t="shared" si="26"/>
        <v>0.1</v>
      </c>
      <c r="N43" s="1011"/>
    </row>
    <row r="44">
      <c r="C44" s="1319" t="s">
        <v>1670</v>
      </c>
      <c r="D44" s="1323">
        <v>30.0</v>
      </c>
      <c r="E44" s="1323">
        <v>30.0</v>
      </c>
      <c r="F44" s="1323">
        <v>30.0</v>
      </c>
      <c r="G44" s="1323">
        <v>30.0</v>
      </c>
      <c r="H44" s="1323">
        <v>30.0</v>
      </c>
      <c r="I44" s="1323">
        <v>30.0</v>
      </c>
      <c r="N44" s="1011"/>
    </row>
    <row r="45">
      <c r="C45" s="1004" t="s">
        <v>1671</v>
      </c>
      <c r="D45" s="981">
        <f t="shared" ref="D45:I45" si="27">D$10*D46</f>
        <v>20</v>
      </c>
      <c r="E45" s="981">
        <f t="shared" si="27"/>
        <v>48</v>
      </c>
      <c r="F45" s="981">
        <f t="shared" si="27"/>
        <v>84</v>
      </c>
      <c r="G45" s="981">
        <f t="shared" si="27"/>
        <v>128</v>
      </c>
      <c r="H45" s="981">
        <f t="shared" si="27"/>
        <v>180</v>
      </c>
      <c r="I45" s="981">
        <f t="shared" si="27"/>
        <v>240</v>
      </c>
      <c r="N45" s="1011"/>
    </row>
    <row r="46">
      <c r="C46" s="1004" t="s">
        <v>1672</v>
      </c>
      <c r="D46" s="1005">
        <v>20.0</v>
      </c>
      <c r="E46" s="981">
        <f t="shared" ref="E46:I46" si="28">D46+4</f>
        <v>24</v>
      </c>
      <c r="F46" s="981">
        <f t="shared" si="28"/>
        <v>28</v>
      </c>
      <c r="G46" s="981">
        <f t="shared" si="28"/>
        <v>32</v>
      </c>
      <c r="H46" s="981">
        <f t="shared" si="28"/>
        <v>36</v>
      </c>
      <c r="I46" s="981">
        <f t="shared" si="28"/>
        <v>40</v>
      </c>
      <c r="N46" s="1011"/>
    </row>
    <row r="47">
      <c r="C47" s="1004" t="s">
        <v>1372</v>
      </c>
      <c r="D47" s="981">
        <f t="shared" ref="D47:I47" si="29">(0.02*D48)*D48</f>
        <v>0.02</v>
      </c>
      <c r="E47" s="981">
        <f t="shared" si="29"/>
        <v>0.08</v>
      </c>
      <c r="F47" s="981">
        <f t="shared" si="29"/>
        <v>0.18</v>
      </c>
      <c r="G47" s="981">
        <f t="shared" si="29"/>
        <v>0.32</v>
      </c>
      <c r="H47" s="982">
        <f t="shared" si="29"/>
        <v>0.5</v>
      </c>
      <c r="I47" s="981">
        <f t="shared" si="29"/>
        <v>0.72</v>
      </c>
      <c r="N47" s="1011"/>
    </row>
    <row r="48">
      <c r="C48" s="1004" t="s">
        <v>1673</v>
      </c>
      <c r="D48" s="981">
        <v>1.0</v>
      </c>
      <c r="E48" s="981">
        <f t="shared" ref="E48:I48" si="30">D48+1</f>
        <v>2</v>
      </c>
      <c r="F48" s="981">
        <f t="shared" si="30"/>
        <v>3</v>
      </c>
      <c r="G48" s="981">
        <f t="shared" si="30"/>
        <v>4</v>
      </c>
      <c r="H48" s="981">
        <f t="shared" si="30"/>
        <v>5</v>
      </c>
      <c r="I48" s="981">
        <f t="shared" si="30"/>
        <v>6</v>
      </c>
      <c r="N48" s="1011"/>
    </row>
    <row r="49">
      <c r="C49" s="1006" t="s">
        <v>1674</v>
      </c>
      <c r="D49" s="1324">
        <v>10.0</v>
      </c>
      <c r="E49" s="1325">
        <f t="shared" ref="E49:I49" si="31">D49+2</f>
        <v>12</v>
      </c>
      <c r="F49" s="1325">
        <f t="shared" si="31"/>
        <v>14</v>
      </c>
      <c r="G49" s="1325">
        <f t="shared" si="31"/>
        <v>16</v>
      </c>
      <c r="H49" s="1325">
        <f t="shared" si="31"/>
        <v>18</v>
      </c>
      <c r="I49" s="1325">
        <f t="shared" si="31"/>
        <v>20</v>
      </c>
      <c r="N49" s="1326"/>
    </row>
    <row r="50">
      <c r="C50" s="1004" t="s">
        <v>1675</v>
      </c>
      <c r="D50" s="1008" t="str">
        <f t="shared" ref="D50:I50" si="32">IF(D48&lt;4,"Простые",IF(D48&lt;7,"Продвинутые","Мастерские"))</f>
        <v>Простые</v>
      </c>
      <c r="E50" s="1008" t="str">
        <f t="shared" si="32"/>
        <v>Простые</v>
      </c>
      <c r="F50" s="1008" t="str">
        <f t="shared" si="32"/>
        <v>Простые</v>
      </c>
      <c r="G50" s="1008" t="str">
        <f t="shared" si="32"/>
        <v>Продвинутые</v>
      </c>
      <c r="H50" s="1008" t="str">
        <f t="shared" si="32"/>
        <v>Продвинутые</v>
      </c>
      <c r="I50" s="1008" t="str">
        <f t="shared" si="32"/>
        <v>Продвинутые</v>
      </c>
      <c r="N50" s="1326"/>
    </row>
    <row r="51">
      <c r="C51" s="1111" t="s">
        <v>1681</v>
      </c>
      <c r="D51" s="1318">
        <f t="shared" ref="D51:I51" si="33">D52*D43+D53*D55</f>
        <v>4.1</v>
      </c>
      <c r="E51" s="1318">
        <f t="shared" si="33"/>
        <v>18.18</v>
      </c>
      <c r="F51" s="1318">
        <f t="shared" si="33"/>
        <v>54.66</v>
      </c>
      <c r="G51" s="1318">
        <f t="shared" si="33"/>
        <v>131</v>
      </c>
      <c r="H51" s="1318">
        <f t="shared" si="33"/>
        <v>262.2</v>
      </c>
      <c r="I51" s="1318">
        <f t="shared" si="33"/>
        <v>473.4</v>
      </c>
      <c r="N51" s="1326">
        <v>2.0</v>
      </c>
    </row>
    <row r="52">
      <c r="C52" s="1319" t="s">
        <v>1670</v>
      </c>
      <c r="D52" s="1323">
        <v>30.0</v>
      </c>
      <c r="E52" s="1323">
        <v>30.0</v>
      </c>
      <c r="F52" s="1323">
        <v>30.0</v>
      </c>
      <c r="G52" s="1323">
        <v>30.0</v>
      </c>
      <c r="H52" s="1323">
        <v>30.0</v>
      </c>
      <c r="I52" s="1323">
        <v>30.0</v>
      </c>
      <c r="N52" s="1011"/>
    </row>
    <row r="53">
      <c r="C53" s="1004" t="s">
        <v>1671</v>
      </c>
      <c r="D53" s="981">
        <f t="shared" ref="D53:I53" si="34">D$40*D54</f>
        <v>40</v>
      </c>
      <c r="E53" s="981">
        <f t="shared" si="34"/>
        <v>96</v>
      </c>
      <c r="F53" s="981">
        <f t="shared" si="34"/>
        <v>168</v>
      </c>
      <c r="G53" s="981">
        <f t="shared" si="34"/>
        <v>256</v>
      </c>
      <c r="H53" s="981">
        <f t="shared" si="34"/>
        <v>360</v>
      </c>
      <c r="I53" s="981">
        <f t="shared" si="34"/>
        <v>480</v>
      </c>
      <c r="N53" s="1011"/>
    </row>
    <row r="54">
      <c r="C54" s="1004" t="s">
        <v>1672</v>
      </c>
      <c r="D54" s="1005">
        <f t="shared" ref="D54:I54" si="35">D46*$N51</f>
        <v>40</v>
      </c>
      <c r="E54" s="1005">
        <f t="shared" si="35"/>
        <v>48</v>
      </c>
      <c r="F54" s="1005">
        <f t="shared" si="35"/>
        <v>56</v>
      </c>
      <c r="G54" s="1005">
        <f t="shared" si="35"/>
        <v>64</v>
      </c>
      <c r="H54" s="1005">
        <f t="shared" si="35"/>
        <v>72</v>
      </c>
      <c r="I54" s="1005">
        <f t="shared" si="35"/>
        <v>80</v>
      </c>
      <c r="N54" s="1011"/>
    </row>
    <row r="55">
      <c r="C55" s="1004" t="s">
        <v>1372</v>
      </c>
      <c r="D55" s="981">
        <f t="shared" ref="D55:I55" si="36">(0.02*D56)*D56</f>
        <v>0.08</v>
      </c>
      <c r="E55" s="981">
        <f t="shared" si="36"/>
        <v>0.18</v>
      </c>
      <c r="F55" s="981">
        <f t="shared" si="36"/>
        <v>0.32</v>
      </c>
      <c r="G55" s="982">
        <f t="shared" si="36"/>
        <v>0.5</v>
      </c>
      <c r="H55" s="981">
        <f t="shared" si="36"/>
        <v>0.72</v>
      </c>
      <c r="I55" s="981">
        <f t="shared" si="36"/>
        <v>0.98</v>
      </c>
      <c r="N55" s="1011"/>
    </row>
    <row r="56">
      <c r="C56" s="1004" t="s">
        <v>1673</v>
      </c>
      <c r="D56" s="981">
        <f t="shared" ref="D56:I56" si="37">D48+1</f>
        <v>2</v>
      </c>
      <c r="E56" s="981">
        <f t="shared" si="37"/>
        <v>3</v>
      </c>
      <c r="F56" s="981">
        <f t="shared" si="37"/>
        <v>4</v>
      </c>
      <c r="G56" s="981">
        <f t="shared" si="37"/>
        <v>5</v>
      </c>
      <c r="H56" s="981">
        <f t="shared" si="37"/>
        <v>6</v>
      </c>
      <c r="I56" s="981">
        <f t="shared" si="37"/>
        <v>7</v>
      </c>
      <c r="N56" s="1011"/>
    </row>
    <row r="57">
      <c r="C57" s="1006" t="s">
        <v>1674</v>
      </c>
      <c r="D57" s="1324">
        <v>12.0</v>
      </c>
      <c r="E57" s="1325">
        <f t="shared" ref="E57:I57" si="38">D57+2</f>
        <v>14</v>
      </c>
      <c r="F57" s="1325">
        <f t="shared" si="38"/>
        <v>16</v>
      </c>
      <c r="G57" s="1325">
        <f t="shared" si="38"/>
        <v>18</v>
      </c>
      <c r="H57" s="1325">
        <f t="shared" si="38"/>
        <v>20</v>
      </c>
      <c r="I57" s="1325">
        <f t="shared" si="38"/>
        <v>22</v>
      </c>
      <c r="N57" s="1011"/>
    </row>
    <row r="58">
      <c r="C58" s="1004" t="s">
        <v>1682</v>
      </c>
      <c r="D58" s="1005">
        <v>4.0</v>
      </c>
      <c r="E58" s="1005">
        <v>5.0</v>
      </c>
      <c r="F58" s="1005">
        <v>6.0</v>
      </c>
      <c r="G58" s="1005">
        <v>7.0</v>
      </c>
      <c r="H58" s="1005">
        <v>8.0</v>
      </c>
      <c r="I58" s="1005">
        <v>9.0</v>
      </c>
    </row>
    <row r="59">
      <c r="C59" s="1004" t="s">
        <v>1675</v>
      </c>
      <c r="D59" s="1008" t="str">
        <f t="shared" ref="D59:I59" si="39">IF(D56&lt;4,"Простые",IF(D56&lt;7,"Продвинутые","Мастерские"))</f>
        <v>Простые</v>
      </c>
      <c r="E59" s="1008" t="str">
        <f t="shared" si="39"/>
        <v>Простые</v>
      </c>
      <c r="F59" s="1008" t="str">
        <f t="shared" si="39"/>
        <v>Продвинутые</v>
      </c>
      <c r="G59" s="1008" t="str">
        <f t="shared" si="39"/>
        <v>Продвинутые</v>
      </c>
      <c r="H59" s="1008" t="str">
        <f t="shared" si="39"/>
        <v>Продвинутые</v>
      </c>
      <c r="I59" s="1008" t="str">
        <f t="shared" si="39"/>
        <v>Мастерские</v>
      </c>
    </row>
  </sheetData>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13"/>
    <col customWidth="1" min="2" max="2" width="29.25"/>
    <col customWidth="1" min="3" max="3" width="19.38"/>
    <col customWidth="1" min="11" max="11" width="14.13"/>
    <col customWidth="1" min="12" max="12" width="3.25"/>
    <col customWidth="1" min="13" max="13" width="37.75"/>
    <col customWidth="1" min="14" max="14" width="16.88"/>
    <col customWidth="1" min="15" max="15" width="17.38"/>
    <col customWidth="1" min="16" max="16" width="17.63"/>
    <col customWidth="1" min="17" max="17" width="17.5"/>
    <col customWidth="1" min="18" max="19" width="17.25"/>
    <col customWidth="1" min="20" max="20" width="17.38"/>
    <col customWidth="1" min="21" max="21" width="14.0"/>
    <col customWidth="1" min="23" max="23" width="15.5"/>
    <col customWidth="1" min="25" max="25" width="14.75"/>
    <col customWidth="1" min="27" max="27" width="16.13"/>
  </cols>
  <sheetData>
    <row r="2">
      <c r="B2" s="930" t="s">
        <v>1683</v>
      </c>
    </row>
    <row r="3">
      <c r="B3" s="1052" t="s">
        <v>1684</v>
      </c>
    </row>
    <row r="4">
      <c r="B4" s="1052" t="s">
        <v>1685</v>
      </c>
    </row>
    <row r="6">
      <c r="B6" s="1300" t="s">
        <v>1145</v>
      </c>
      <c r="C6" s="1100"/>
      <c r="D6" s="1100"/>
      <c r="E6" s="1100"/>
      <c r="F6" s="1100"/>
      <c r="G6" s="1100"/>
      <c r="H6" s="1100"/>
      <c r="I6" s="1100"/>
      <c r="J6" s="1100"/>
      <c r="K6" s="1100"/>
      <c r="L6" s="1100"/>
    </row>
    <row r="7">
      <c r="B7" s="545"/>
      <c r="C7" s="1100"/>
      <c r="D7" s="1100"/>
      <c r="E7" s="1100"/>
      <c r="F7" s="1100"/>
      <c r="G7" s="1100"/>
      <c r="H7" s="1100"/>
      <c r="I7" s="1100"/>
      <c r="J7" s="1100"/>
      <c r="K7" s="1100"/>
      <c r="L7" s="1100"/>
    </row>
    <row r="8">
      <c r="B8" s="1101" t="s">
        <v>1482</v>
      </c>
      <c r="C8" s="1102" t="s">
        <v>199</v>
      </c>
      <c r="D8" s="1100"/>
      <c r="E8" s="1100"/>
      <c r="F8" s="1327" t="s">
        <v>1483</v>
      </c>
      <c r="G8" s="1328" t="str">
        <f>IF(VLOOKUP($C$8,'Оружие'!$A$2:$I$626,9,FALSE)="1-2-3","Превосходное",IF(VLOOKUP($C$8,'Оружие'!$A$2:$I$626,9,FALSE)="1-2","Отличное",IF(VLOOKUP($C$8,'Оружие'!$A$2:$I$626,9,FALSE)="1","Хорошее","")))</f>
        <v>Хорошее</v>
      </c>
      <c r="H8" s="1100"/>
      <c r="I8" s="1100"/>
      <c r="J8" s="1100"/>
      <c r="K8" s="1100"/>
      <c r="L8" s="1100"/>
    </row>
    <row r="9">
      <c r="B9" s="1101" t="s">
        <v>1484</v>
      </c>
      <c r="C9" s="1100">
        <f>VLOOKUP(C8,'Плотник'!B172:G185,2,0)</f>
        <v>2</v>
      </c>
      <c r="D9" s="1100"/>
      <c r="E9" s="1100"/>
      <c r="F9" s="1100"/>
      <c r="G9" s="1100"/>
      <c r="H9" s="1100"/>
      <c r="I9" s="1100"/>
      <c r="J9" s="1100"/>
      <c r="K9" s="1100"/>
      <c r="L9" s="1100"/>
    </row>
    <row r="10">
      <c r="B10" s="1278" t="s">
        <v>1385</v>
      </c>
      <c r="C10" s="1100">
        <f>VLOOKUP(C8,'Плотник'!B172:G185,3,0)</f>
        <v>3</v>
      </c>
      <c r="D10" s="1100"/>
      <c r="E10" s="1100"/>
      <c r="F10" s="1100"/>
      <c r="G10" s="1100"/>
      <c r="H10" s="1100"/>
      <c r="I10" s="1100"/>
      <c r="J10" s="1100"/>
      <c r="K10" s="1100"/>
      <c r="L10" s="1100"/>
    </row>
    <row r="11">
      <c r="B11" s="1101" t="s">
        <v>1485</v>
      </c>
      <c r="C11" s="1100">
        <f>VLOOKUP(C8,'Плотник'!B172:G185,5,0)</f>
        <v>1</v>
      </c>
      <c r="D11" s="1100"/>
      <c r="E11" s="1100"/>
      <c r="F11" s="1100"/>
      <c r="G11" s="1100"/>
      <c r="H11" s="1100"/>
      <c r="I11" s="1100"/>
      <c r="J11" s="1100"/>
      <c r="K11" s="1100"/>
      <c r="L11" s="1100"/>
    </row>
    <row r="12">
      <c r="B12" s="545"/>
      <c r="C12" s="545"/>
      <c r="D12" s="545"/>
      <c r="E12" s="545"/>
      <c r="F12" s="545"/>
      <c r="G12" s="545"/>
      <c r="H12" s="545"/>
      <c r="I12" s="545"/>
      <c r="J12" s="1100"/>
      <c r="K12" s="1100"/>
      <c r="L12" s="1100"/>
      <c r="M12" s="1052" t="s">
        <v>1486</v>
      </c>
      <c r="N12" s="1105"/>
      <c r="O12" s="1105"/>
      <c r="P12" s="1105"/>
      <c r="Q12" s="1105"/>
      <c r="R12" s="1105"/>
      <c r="S12" s="1105"/>
      <c r="T12" s="1105"/>
    </row>
    <row r="13">
      <c r="B13" s="1302" t="s">
        <v>1615</v>
      </c>
      <c r="C13" s="1303" t="s">
        <v>1148</v>
      </c>
      <c r="D13" s="1303" t="s">
        <v>1149</v>
      </c>
      <c r="E13" s="1303" t="s">
        <v>1150</v>
      </c>
      <c r="F13" s="1303" t="s">
        <v>1151</v>
      </c>
      <c r="G13" s="1303" t="s">
        <v>1152</v>
      </c>
      <c r="H13" s="1303" t="s">
        <v>1153</v>
      </c>
      <c r="I13" s="1303" t="s">
        <v>1154</v>
      </c>
      <c r="J13" s="1104"/>
      <c r="K13" s="1108" t="s">
        <v>1434</v>
      </c>
      <c r="L13" s="1104"/>
      <c r="M13" s="1329" t="str">
        <f>CONCATENATE($C$8," (качество)")</f>
        <v>Короткий лук (качество)</v>
      </c>
      <c r="N13" s="1330" t="str">
        <f>'Материалы и инструменты'!E62</f>
        <v>Орешник</v>
      </c>
      <c r="O13" s="1330" t="str">
        <f>'Материалы и инструменты'!F62</f>
        <v>Клён</v>
      </c>
      <c r="P13" s="1330" t="str">
        <f>'Материалы и инструменты'!G62</f>
        <v>Ясень</v>
      </c>
      <c r="Q13" s="1330" t="str">
        <f>'Материалы и инструменты'!H62</f>
        <v>Вяз</v>
      </c>
      <c r="R13" s="1330" t="str">
        <f>'Материалы и инструменты'!I62</f>
        <v>Кедр</v>
      </c>
      <c r="S13" s="1330" t="str">
        <f>'Материалы и инструменты'!J62</f>
        <v>Бальза</v>
      </c>
      <c r="T13" s="1330" t="str">
        <f>'Материалы и инструменты'!K62</f>
        <v>Тис</v>
      </c>
    </row>
    <row r="14">
      <c r="B14" s="1111" t="s">
        <v>1686</v>
      </c>
      <c r="C14" s="1112">
        <f t="shared" ref="C14:I14" si="1">C15*C16+C17*C19</f>
        <v>0.36</v>
      </c>
      <c r="D14" s="1112">
        <f t="shared" si="1"/>
        <v>1.28</v>
      </c>
      <c r="E14" s="1112">
        <f t="shared" si="1"/>
        <v>3.6</v>
      </c>
      <c r="F14" s="1112">
        <f t="shared" si="1"/>
        <v>9.36</v>
      </c>
      <c r="G14" s="1112">
        <f t="shared" si="1"/>
        <v>24.44</v>
      </c>
      <c r="H14" s="1112">
        <f t="shared" si="1"/>
        <v>66.24</v>
      </c>
      <c r="I14" s="1112">
        <f t="shared" si="1"/>
        <v>186.72</v>
      </c>
      <c r="J14" s="1104"/>
      <c r="K14" s="1113">
        <v>1.0</v>
      </c>
      <c r="L14" s="1104"/>
      <c r="M14" s="1294" t="s">
        <v>133</v>
      </c>
      <c r="N14" s="1115" t="str">
        <f>VLOOKUP($C$8,'Оружие'!$A$2:$H$626, MATCH(N13, 'Оружие'!$A$559:$H$559,0), FALSE)</f>
        <v>1d6+3</v>
      </c>
      <c r="O14" s="1115" t="str">
        <f>VLOOKUP($C$8,'Оружие'!$A$2:$H$626, MATCH(O13, 'Оружие'!$A$559:$H$559,0), FALSE)</f>
        <v>1d6+6</v>
      </c>
      <c r="P14" s="1115" t="str">
        <f>VLOOKUP($C$8,'Оружие'!$A$2:$H$626, MATCH(P13, 'Оружие'!$A$559:$H$559,0), FALSE)</f>
        <v>1d8+8</v>
      </c>
      <c r="Q14" s="1115" t="str">
        <f>VLOOKUP($C$8,'Оружие'!$A$2:$H$626, MATCH(Q13, 'Оружие'!$A$559:$H$559,0), FALSE)</f>
        <v>1d8+12</v>
      </c>
      <c r="R14" s="1115" t="str">
        <f>VLOOKUP($C$8,'Оружие'!$A$2:$H$626, MATCH(R13, 'Оружие'!$A$559:$H$559,0), FALSE)</f>
        <v>1d10+15</v>
      </c>
      <c r="S14" s="1115" t="str">
        <f>VLOOKUP($C$8,'Оружие'!$A$2:$H$626, MATCH(S13, 'Оружие'!$A$559:$H$559,0), FALSE)</f>
        <v>1d10+20</v>
      </c>
      <c r="T14" s="1115" t="str">
        <f>VLOOKUP($C$8,'Оружие'!$A$2:$H$626, MATCH(T13, 'Оружие'!$A$559:$H$559,0), FALSE)</f>
        <v>1d12+24</v>
      </c>
    </row>
    <row r="15">
      <c r="B15" s="1304" t="s">
        <v>1619</v>
      </c>
      <c r="C15" s="1306">
        <f>'Материалы и инструменты'!E63</f>
        <v>0.12</v>
      </c>
      <c r="D15" s="1306">
        <f>'Материалы и инструменты'!F63</f>
        <v>0.36</v>
      </c>
      <c r="E15" s="1306">
        <f>'Материалы и инструменты'!G63</f>
        <v>1.08</v>
      </c>
      <c r="F15" s="1306">
        <f>'Материалы и инструменты'!H63</f>
        <v>3.24</v>
      </c>
      <c r="G15" s="1306">
        <f>'Материалы и инструменты'!I63</f>
        <v>9.72</v>
      </c>
      <c r="H15" s="1306">
        <f>'Материалы и инструменты'!J63</f>
        <v>29.16</v>
      </c>
      <c r="I15" s="1306">
        <f>'Материалы и инструменты'!K63</f>
        <v>87.48</v>
      </c>
      <c r="J15" s="1104"/>
      <c r="K15" s="1113"/>
      <c r="L15" s="1104"/>
      <c r="M15" s="1114" t="s">
        <v>1211</v>
      </c>
      <c r="N15" s="1115" t="str">
        <f>IFERROR(__xludf.DUMMYFUNCTION("IFERROR(LEFT(N$14,1)&amp;""""&amp;""d""&amp;""""&amp;ArrayFormula(lower(REGEXREPLACE(MID(N$14,3,2), ""([^A-Za-z0-9]+)|(---)"" , """" ) ))&amp;""""&amp;""+""&amp;""""&amp;RIGHT(N$14,2)+ROUNDDOWN(MAX(VLOOKUP($M15,'Списки'!$B$166:$D$169,2,FALSE),((LEFT(N$14,1)+RIGHT(N$14,2)+LEFT(N$14,1)*Ar"&amp;"rayFormula(lower(REGEXREPLACE(MID(N$14,3,2), ""([^A-Za-z0-9]+)|(---)"" , """" ) ))+RIGHT(N$14,2))/2)*VLOOKUP($M15,'Списки'!$B$166:$D$169,3,FALSE))),"""")"),"1d6+4")</f>
        <v>1d6+4</v>
      </c>
      <c r="O15" s="1115" t="str">
        <f>IFERROR(__xludf.DUMMYFUNCTION("IFERROR(LEFT(O$14,1)&amp;""""&amp;""d""&amp;""""&amp;ArrayFormula(lower(REGEXREPLACE(MID(O$14,3,2), ""([^A-Za-z0-9]+)|(---)"" , """" ) ))&amp;""""&amp;""+""&amp;""""&amp;RIGHT(O$14,2)+ROUNDDOWN(MAX(VLOOKUP($M15,'Списки'!$B$166:$D$169,2,FALSE),((LEFT(O$14,1)+RIGHT(O$14,2)+LEFT(O$14,1)*Ar"&amp;"rayFormula(lower(REGEXREPLACE(MID(O$14,3,2), ""([^A-Za-z0-9]+)|(---)"" , """" ) ))+RIGHT(O$14,2))/2)*VLOOKUP($M15,'Списки'!$B$166:$D$169,3,FALSE))),"""")"),"1d6+7")</f>
        <v>1d6+7</v>
      </c>
      <c r="P15" s="1115" t="str">
        <f>IFERROR(__xludf.DUMMYFUNCTION("IFERROR(LEFT(P$14,1)&amp;""""&amp;""d""&amp;""""&amp;ArrayFormula(lower(REGEXREPLACE(MID(P$14,3,2), ""([^A-Za-z0-9]+)|(---)"" , """" ) ))&amp;""""&amp;""+""&amp;""""&amp;RIGHT(P$14,2)+ROUNDDOWN(MAX(VLOOKUP($M15,'Списки'!$B$166:$D$169,2,FALSE),((LEFT(P$14,1)+RIGHT(P$14,2)+LEFT(P$14,1)*Ar"&amp;"rayFormula(lower(REGEXREPLACE(MID(P$14,3,2), ""([^A-Za-z0-9]+)|(---)"" , """" ) ))+RIGHT(P$14,2))/2)*VLOOKUP($M15,'Списки'!$B$166:$D$169,3,FALSE))),"""")"),"1d8+10")</f>
        <v>1d8+10</v>
      </c>
      <c r="Q15" s="1115" t="str">
        <f>IFERROR(__xludf.DUMMYFUNCTION("IFERROR(LEFT(Q$14,1)&amp;""""&amp;""d""&amp;""""&amp;ArrayFormula(lower(REGEXREPLACE(MID(Q$14,3,2), ""([^A-Za-z0-9]+)|(---)"" , """" ) ))&amp;""""&amp;""+""&amp;""""&amp;RIGHT(Q$14,2)+ROUNDDOWN(MAX(VLOOKUP($M15,'Списки'!$B$166:$D$169,2,FALSE),((LEFT(Q$14,1)+RIGHT(Q$14,2)+LEFT(Q$14,1)*Ar"&amp;"rayFormula(lower(REGEXREPLACE(MID(Q$14,3,2), ""([^A-Za-z0-9]+)|(---)"" , """" ) ))+RIGHT(Q$14,2))/2)*VLOOKUP($M15,'Списки'!$B$166:$D$169,3,FALSE))),"""")"),"1d8+15")</f>
        <v>1d8+15</v>
      </c>
      <c r="R15" s="1115" t="str">
        <f>IFERROR(__xludf.DUMMYFUNCTION("IFERROR(LEFT(R$14,1)&amp;""""&amp;""d""&amp;""""&amp;ArrayFormula(lower(REGEXREPLACE(MID(R$14,3,2), ""([^A-Za-z0-9]+)|(---)"" , """" ) ))&amp;""""&amp;""+""&amp;""""&amp;RIGHT(R$14,2)+ROUNDDOWN(MAX(VLOOKUP($M15,'Списки'!$B$166:$D$169,2,FALSE),((LEFT(R$14,1)+RIGHT(R$14,2)+LEFT(R$14,1)*Ar"&amp;"rayFormula(lower(REGEXREPLACE(MID(R$14,3,2), ""([^A-Za-z0-9]+)|(---)"" , """" ) ))+RIGHT(R$14,2))/2)*VLOOKUP($M15,'Списки'!$B$166:$D$169,3,FALSE))),"""")"),"1d10+19")</f>
        <v>1d10+19</v>
      </c>
      <c r="S15" s="1115" t="str">
        <f>IFERROR(__xludf.DUMMYFUNCTION("IFERROR(LEFT(S$14,1)&amp;""""&amp;""d""&amp;""""&amp;ArrayFormula(lower(REGEXREPLACE(MID(S$14,3,2), ""([^A-Za-z0-9]+)|(---)"" , """" ) ))&amp;""""&amp;""+""&amp;""""&amp;RIGHT(S$14,2)+ROUNDDOWN(MAX(VLOOKUP($M15,'Списки'!$B$166:$D$169,2,FALSE),((LEFT(S$14,1)+RIGHT(S$14,2)+LEFT(S$14,1)*Ar"&amp;"rayFormula(lower(REGEXREPLACE(MID(S$14,3,2), ""([^A-Za-z0-9]+)|(---)"" , """" ) ))+RIGHT(S$14,2))/2)*VLOOKUP($M15,'Списки'!$B$166:$D$169,3,FALSE))),"""")"),"1d10+25")</f>
        <v>1d10+25</v>
      </c>
      <c r="T15" s="1115" t="str">
        <f>IFERROR(__xludf.DUMMYFUNCTION("IFERROR(LEFT(T$14,1)&amp;""""&amp;""d""&amp;""""&amp;ArrayFormula(lower(REGEXREPLACE(MID(T$14,3,2), ""([^A-Za-z0-9]+)|(---)"" , """" ) ))&amp;""""&amp;""+""&amp;""""&amp;RIGHT(T$14,2)+ROUNDDOWN(MAX(VLOOKUP($M15,'Списки'!$B$166:$D$169,2,FALSE),((LEFT(T$14,1)+RIGHT(T$14,2)+LEFT(T$14,1)*Ar"&amp;"rayFormula(lower(REGEXREPLACE(MID(T$14,3,2), ""([^A-Za-z0-9]+)|(---)"" , """" ) ))+RIGHT(T$14,2))/2)*VLOOKUP($M15,'Списки'!$B$166:$D$169,3,FALSE))),"""")"),"1d12+30")</f>
        <v>1d12+30</v>
      </c>
    </row>
    <row r="16">
      <c r="B16" s="1304" t="s">
        <v>1645</v>
      </c>
      <c r="C16" s="1306">
        <f t="shared" ref="C16:I16" si="2">$C$9</f>
        <v>2</v>
      </c>
      <c r="D16" s="1306">
        <f t="shared" si="2"/>
        <v>2</v>
      </c>
      <c r="E16" s="1306">
        <f t="shared" si="2"/>
        <v>2</v>
      </c>
      <c r="F16" s="1306">
        <f t="shared" si="2"/>
        <v>2</v>
      </c>
      <c r="G16" s="1306">
        <f t="shared" si="2"/>
        <v>2</v>
      </c>
      <c r="H16" s="1306">
        <f t="shared" si="2"/>
        <v>2</v>
      </c>
      <c r="I16" s="1306">
        <f t="shared" si="2"/>
        <v>2</v>
      </c>
      <c r="J16" s="1104"/>
      <c r="K16" s="1113"/>
      <c r="L16" s="1104"/>
      <c r="M16" s="1114" t="s">
        <v>1212</v>
      </c>
      <c r="N16" s="1115" t="str">
        <f>IFERROR(__xludf.DUMMYFUNCTION("IF($M$16&lt;&gt;$G$8,""Недостижимое качество"",IFERROR(LEFT(N$14,1)&amp;""""&amp;""d""&amp;""""&amp;ArrayFormula(lower(REGEXREPLACE(MID(N$14,3,2), ""([^A-Za-z0-9]+)|(---)"" , """" ) ))&amp;""""&amp;""+""&amp;""""&amp;RIGHT(N$14,2)+ROUNDDOWN(MAX(VLOOKUP($M16,'Списки'!$B$166:$D$169,2,FALSE),((L"&amp;"EFT(N$14,1)+RIGHT(N$14,2)+LEFT(N$14,1)*ArrayFormula(lower(REGEXREPLACE(MID(N$14,3,2), ""([^A-Za-z0-9]+)|(---)"" , """" ) ))+RIGHT(N$14,2))/2)*VLOOKUP($M16,'Списки'!$B$166:$D$169,3,FALSE))),""""))"),"Недостижимое качество")</f>
        <v>Недостижимое качество</v>
      </c>
      <c r="O16" s="1115" t="str">
        <f>IFERROR(__xludf.DUMMYFUNCTION("IF($M$16&lt;&gt;$G$8,""Недостижимое качество"",IFERROR(LEFT(O$14,1)&amp;""""&amp;""d""&amp;""""&amp;ArrayFormula(lower(REGEXREPLACE(MID(O$14,3,2), ""([^A-Za-z0-9]+)|(---)"" , """" ) ))&amp;""""&amp;""+""&amp;""""&amp;RIGHT(O$14,2)+ROUNDDOWN(MAX(VLOOKUP($M16,'Списки'!$B$166:$D$169,2,FALSE),((L"&amp;"EFT(O$14,1)+RIGHT(O$14,2)+LEFT(O$14,1)*ArrayFormula(lower(REGEXREPLACE(MID(O$14,3,2), ""([^A-Za-z0-9]+)|(---)"" , """" ) ))+RIGHT(O$14,2))/2)*VLOOKUP($M16,'Списки'!$B$166:$D$169,3,FALSE))),""""))"),"Недостижимое качество")</f>
        <v>Недостижимое качество</v>
      </c>
      <c r="P16" s="1115" t="str">
        <f>IFERROR(__xludf.DUMMYFUNCTION("IF($M$16&lt;&gt;$G$8,""Недостижимое качество"",IFERROR(LEFT(P$14,1)&amp;""""&amp;""d""&amp;""""&amp;ArrayFormula(lower(REGEXREPLACE(MID(P$14,3,2), ""([^A-Za-z0-9]+)|(---)"" , """" ) ))&amp;""""&amp;""+""&amp;""""&amp;RIGHT(P$14,2)+ROUNDDOWN(MAX(VLOOKUP($M16,'Списки'!$B$166:$D$169,2,FALSE),((L"&amp;"EFT(P$14,1)+RIGHT(P$14,2)+LEFT(P$14,1)*ArrayFormula(lower(REGEXREPLACE(MID(P$14,3,2), ""([^A-Za-z0-9]+)|(---)"" , """" ) ))+RIGHT(P$14,2))/2)*VLOOKUP($M16,'Списки'!$B$166:$D$169,3,FALSE))),""""))"),"Недостижимое качество")</f>
        <v>Недостижимое качество</v>
      </c>
      <c r="Q16" s="1115" t="str">
        <f>IFERROR(__xludf.DUMMYFUNCTION("IF($M$16&lt;&gt;$G$8,""Недостижимое качество"",IFERROR(LEFT(Q$14,1)&amp;""""&amp;""d""&amp;""""&amp;ArrayFormula(lower(REGEXREPLACE(MID(Q$14,3,2), ""([^A-Za-z0-9]+)|(---)"" , """" ) ))&amp;""""&amp;""+""&amp;""""&amp;RIGHT(Q$14,2)+ROUNDDOWN(MAX(VLOOKUP($M16,'Списки'!$B$166:$D$169,2,FALSE),((L"&amp;"EFT(Q$14,1)+RIGHT(Q$14,2)+LEFT(Q$14,1)*ArrayFormula(lower(REGEXREPLACE(MID(Q$14,3,2), ""([^A-Za-z0-9]+)|(---)"" , """" ) ))+RIGHT(Q$14,2))/2)*VLOOKUP($M16,'Списки'!$B$166:$D$169,3,FALSE))),""""))"),"Недостижимое качество")</f>
        <v>Недостижимое качество</v>
      </c>
      <c r="R16" s="1115" t="str">
        <f>IFERROR(__xludf.DUMMYFUNCTION("IF($M$16&lt;&gt;$G$8,""Недостижимое качество"",IFERROR(LEFT(R$14,1)&amp;""""&amp;""d""&amp;""""&amp;ArrayFormula(lower(REGEXREPLACE(MID(R$14,3,2), ""([^A-Za-z0-9]+)|(---)"" , """" ) ))&amp;""""&amp;""+""&amp;""""&amp;RIGHT(R$14,2)+ROUNDDOWN(MAX(VLOOKUP($M16,'Списки'!$B$166:$D$169,2,FALSE),((L"&amp;"EFT(R$14,1)+RIGHT(R$14,2)+LEFT(R$14,1)*ArrayFormula(lower(REGEXREPLACE(MID(R$14,3,2), ""([^A-Za-z0-9]+)|(---)"" , """" ) ))+RIGHT(R$14,2))/2)*VLOOKUP($M16,'Списки'!$B$166:$D$169,3,FALSE))),""""))"),"Недостижимое качество")</f>
        <v>Недостижимое качество</v>
      </c>
      <c r="S16" s="1115" t="str">
        <f>IFERROR(__xludf.DUMMYFUNCTION("IF($M$16&lt;&gt;$G$8,""Недостижимое качество"",IFERROR(LEFT(S$14,1)&amp;""""&amp;""d""&amp;""""&amp;ArrayFormula(lower(REGEXREPLACE(MID(S$14,3,2), ""([^A-Za-z0-9]+)|(---)"" , """" ) ))&amp;""""&amp;""+""&amp;""""&amp;RIGHT(S$14,2)+ROUNDDOWN(MAX(VLOOKUP($M16,'Списки'!$B$166:$D$169,2,FALSE),((L"&amp;"EFT(S$14,1)+RIGHT(S$14,2)+LEFT(S$14,1)*ArrayFormula(lower(REGEXREPLACE(MID(S$14,3,2), ""([^A-Za-z0-9]+)|(---)"" , """" ) ))+RIGHT(S$14,2))/2)*VLOOKUP($M16,'Списки'!$B$166:$D$169,3,FALSE))),""""))"),"Недостижимое качество")</f>
        <v>Недостижимое качество</v>
      </c>
      <c r="T16" s="1115" t="str">
        <f>IFERROR(__xludf.DUMMYFUNCTION("IF($M$16&lt;&gt;$G$8,""Недостижимое качество"",IFERROR(LEFT(T$14,1)&amp;""""&amp;""d""&amp;""""&amp;ArrayFormula(lower(REGEXREPLACE(MID(T$14,3,2), ""([^A-Za-z0-9]+)|(---)"" , """" ) ))&amp;""""&amp;""+""&amp;""""&amp;RIGHT(T$14,2)+ROUNDDOWN(MAX(VLOOKUP($M16,'Списки'!$B$166:$D$169,2,FALSE),((L"&amp;"EFT(T$14,1)+RIGHT(T$14,2)+LEFT(T$14,1)*ArrayFormula(lower(REGEXREPLACE(MID(T$14,3,2), ""([^A-Za-z0-9]+)|(---)"" , """" ) ))+RIGHT(T$14,2))/2)*VLOOKUP($M16,'Списки'!$B$166:$D$169,3,FALSE))),""""))"),"Недостижимое качество")</f>
        <v>Недостижимое качество</v>
      </c>
    </row>
    <row r="17">
      <c r="B17" s="1004" t="s">
        <v>1371</v>
      </c>
      <c r="C17" s="950">
        <f t="shared" ref="C17:I17" si="3">C16*C18</f>
        <v>6</v>
      </c>
      <c r="D17" s="950">
        <f t="shared" si="3"/>
        <v>7</v>
      </c>
      <c r="E17" s="950">
        <f t="shared" si="3"/>
        <v>8</v>
      </c>
      <c r="F17" s="950">
        <f t="shared" si="3"/>
        <v>9</v>
      </c>
      <c r="G17" s="950">
        <f t="shared" si="3"/>
        <v>10</v>
      </c>
      <c r="H17" s="950">
        <f t="shared" si="3"/>
        <v>11</v>
      </c>
      <c r="I17" s="950">
        <f t="shared" si="3"/>
        <v>12</v>
      </c>
      <c r="J17" s="1104"/>
      <c r="K17" s="1113"/>
      <c r="L17" s="1104"/>
    </row>
    <row r="18">
      <c r="B18" s="1004" t="s">
        <v>1385</v>
      </c>
      <c r="C18" s="950">
        <f>$C$10</f>
        <v>3</v>
      </c>
      <c r="D18" s="950">
        <f t="shared" ref="D18:I18" si="4">C18+0.5</f>
        <v>3.5</v>
      </c>
      <c r="E18" s="950">
        <f t="shared" si="4"/>
        <v>4</v>
      </c>
      <c r="F18" s="950">
        <f t="shared" si="4"/>
        <v>4.5</v>
      </c>
      <c r="G18" s="950">
        <f t="shared" si="4"/>
        <v>5</v>
      </c>
      <c r="H18" s="950">
        <f t="shared" si="4"/>
        <v>5.5</v>
      </c>
      <c r="I18" s="950">
        <f t="shared" si="4"/>
        <v>6</v>
      </c>
      <c r="J18" s="1104"/>
      <c r="K18" s="1113"/>
      <c r="L18" s="1104"/>
    </row>
    <row r="19">
      <c r="B19" s="1004" t="s">
        <v>1372</v>
      </c>
      <c r="C19" s="950">
        <f t="shared" ref="C19:I19" si="5">(0.02*C20)*C20</f>
        <v>0.02</v>
      </c>
      <c r="D19" s="950">
        <f t="shared" si="5"/>
        <v>0.08</v>
      </c>
      <c r="E19" s="950">
        <f t="shared" si="5"/>
        <v>0.18</v>
      </c>
      <c r="F19" s="950">
        <f t="shared" si="5"/>
        <v>0.32</v>
      </c>
      <c r="G19" s="951">
        <f t="shared" si="5"/>
        <v>0.5</v>
      </c>
      <c r="H19" s="950">
        <f t="shared" si="5"/>
        <v>0.72</v>
      </c>
      <c r="I19" s="950">
        <f t="shared" si="5"/>
        <v>0.98</v>
      </c>
      <c r="J19" s="1104"/>
      <c r="K19" s="1113"/>
      <c r="L19" s="1104"/>
    </row>
    <row r="20">
      <c r="B20" s="1004" t="s">
        <v>1687</v>
      </c>
      <c r="C20" s="950">
        <f>$C$11</f>
        <v>1</v>
      </c>
      <c r="D20" s="950">
        <f t="shared" ref="D20:I20" si="6">C20+1</f>
        <v>2</v>
      </c>
      <c r="E20" s="950">
        <f t="shared" si="6"/>
        <v>3</v>
      </c>
      <c r="F20" s="950">
        <f t="shared" si="6"/>
        <v>4</v>
      </c>
      <c r="G20" s="950">
        <f t="shared" si="6"/>
        <v>5</v>
      </c>
      <c r="H20" s="950">
        <f t="shared" si="6"/>
        <v>6</v>
      </c>
      <c r="I20" s="950">
        <f t="shared" si="6"/>
        <v>7</v>
      </c>
      <c r="J20" s="1104"/>
      <c r="K20" s="1113"/>
      <c r="L20" s="1104"/>
    </row>
    <row r="21">
      <c r="B21" s="1004" t="s">
        <v>1688</v>
      </c>
      <c r="C21" s="1008">
        <f t="shared" ref="C21:I21" si="7">10+(C20-1)*2</f>
        <v>10</v>
      </c>
      <c r="D21" s="1008">
        <f t="shared" si="7"/>
        <v>12</v>
      </c>
      <c r="E21" s="1008">
        <f t="shared" si="7"/>
        <v>14</v>
      </c>
      <c r="F21" s="1008">
        <f t="shared" si="7"/>
        <v>16</v>
      </c>
      <c r="G21" s="1008">
        <f t="shared" si="7"/>
        <v>18</v>
      </c>
      <c r="H21" s="1008">
        <f t="shared" si="7"/>
        <v>20</v>
      </c>
      <c r="I21" s="1008">
        <f t="shared" si="7"/>
        <v>22</v>
      </c>
      <c r="J21" s="1104"/>
      <c r="K21" s="1113"/>
      <c r="L21" s="1104"/>
    </row>
    <row r="22">
      <c r="B22" s="1004" t="s">
        <v>1624</v>
      </c>
      <c r="C22" s="953" t="s">
        <v>1237</v>
      </c>
      <c r="D22" s="953" t="s">
        <v>1237</v>
      </c>
      <c r="E22" s="953" t="s">
        <v>1237</v>
      </c>
      <c r="F22" s="953" t="s">
        <v>1250</v>
      </c>
      <c r="G22" s="953" t="s">
        <v>1250</v>
      </c>
      <c r="H22" s="953" t="s">
        <v>1250</v>
      </c>
      <c r="I22" s="953" t="s">
        <v>1263</v>
      </c>
    </row>
    <row r="23">
      <c r="B23" s="1111" t="s">
        <v>1494</v>
      </c>
      <c r="C23" s="1124">
        <f t="shared" ref="C23:I23" si="8">C$15*C$16+C24*C26</f>
        <v>1.2</v>
      </c>
      <c r="D23" s="1124">
        <f t="shared" si="8"/>
        <v>3.24</v>
      </c>
      <c r="E23" s="1124">
        <f t="shared" si="8"/>
        <v>7.28</v>
      </c>
      <c r="F23" s="1124">
        <f t="shared" si="8"/>
        <v>15.48</v>
      </c>
      <c r="G23" s="1124">
        <f t="shared" si="8"/>
        <v>33.84</v>
      </c>
      <c r="H23" s="1124">
        <f t="shared" si="8"/>
        <v>79.88</v>
      </c>
      <c r="I23" s="1124">
        <f t="shared" si="8"/>
        <v>205.68</v>
      </c>
      <c r="J23" s="1104"/>
      <c r="K23" s="1113">
        <v>2.0</v>
      </c>
      <c r="L23" s="1104"/>
      <c r="M23" s="1104"/>
      <c r="N23" s="1104"/>
      <c r="O23" s="1104"/>
      <c r="P23" s="1104"/>
    </row>
    <row r="24">
      <c r="B24" s="1004" t="s">
        <v>1371</v>
      </c>
      <c r="C24" s="1075">
        <f t="shared" ref="C24:I24" si="9">C$16*C25</f>
        <v>12</v>
      </c>
      <c r="D24" s="1075">
        <f t="shared" si="9"/>
        <v>14</v>
      </c>
      <c r="E24" s="1075">
        <f t="shared" si="9"/>
        <v>16</v>
      </c>
      <c r="F24" s="1075">
        <f t="shared" si="9"/>
        <v>18</v>
      </c>
      <c r="G24" s="1075">
        <f t="shared" si="9"/>
        <v>20</v>
      </c>
      <c r="H24" s="1075">
        <f t="shared" si="9"/>
        <v>22</v>
      </c>
      <c r="I24" s="1075">
        <f t="shared" si="9"/>
        <v>24</v>
      </c>
      <c r="J24" s="1104"/>
      <c r="K24" s="1113"/>
      <c r="L24" s="1104"/>
      <c r="M24" s="1104"/>
      <c r="N24" s="1104"/>
      <c r="O24" s="1104"/>
      <c r="P24" s="1104"/>
    </row>
    <row r="25">
      <c r="B25" s="1004" t="s">
        <v>1385</v>
      </c>
      <c r="C25" s="1075">
        <f t="shared" ref="C25:I25" si="10">C$18*$K23</f>
        <v>6</v>
      </c>
      <c r="D25" s="1075">
        <f t="shared" si="10"/>
        <v>7</v>
      </c>
      <c r="E25" s="1075">
        <f t="shared" si="10"/>
        <v>8</v>
      </c>
      <c r="F25" s="1075">
        <f t="shared" si="10"/>
        <v>9</v>
      </c>
      <c r="G25" s="1075">
        <f t="shared" si="10"/>
        <v>10</v>
      </c>
      <c r="H25" s="1075">
        <f t="shared" si="10"/>
        <v>11</v>
      </c>
      <c r="I25" s="1075">
        <f t="shared" si="10"/>
        <v>12</v>
      </c>
      <c r="J25" s="1104"/>
      <c r="K25" s="1113"/>
      <c r="L25" s="1104"/>
      <c r="M25" s="1104"/>
      <c r="N25" s="1104"/>
      <c r="O25" s="1104"/>
      <c r="P25" s="1104"/>
    </row>
    <row r="26">
      <c r="B26" s="1004" t="s">
        <v>1372</v>
      </c>
      <c r="C26" s="1075">
        <f t="shared" ref="C26:I26" si="11">(0.02*C27)*C27</f>
        <v>0.08</v>
      </c>
      <c r="D26" s="1075">
        <f t="shared" si="11"/>
        <v>0.18</v>
      </c>
      <c r="E26" s="1075">
        <f t="shared" si="11"/>
        <v>0.32</v>
      </c>
      <c r="F26" s="1076">
        <f t="shared" si="11"/>
        <v>0.5</v>
      </c>
      <c r="G26" s="1075">
        <f t="shared" si="11"/>
        <v>0.72</v>
      </c>
      <c r="H26" s="1075">
        <f t="shared" si="11"/>
        <v>0.98</v>
      </c>
      <c r="I26" s="1075">
        <f t="shared" si="11"/>
        <v>1.28</v>
      </c>
      <c r="J26" s="1104"/>
      <c r="K26" s="1113"/>
      <c r="L26" s="1104"/>
      <c r="M26" s="1104"/>
      <c r="N26" s="1104"/>
      <c r="O26" s="1104"/>
      <c r="P26" s="1104"/>
    </row>
    <row r="27">
      <c r="B27" s="1004" t="s">
        <v>1687</v>
      </c>
      <c r="C27" s="1075">
        <f t="shared" ref="C27:I27" si="12">C20+1</f>
        <v>2</v>
      </c>
      <c r="D27" s="1075">
        <f t="shared" si="12"/>
        <v>3</v>
      </c>
      <c r="E27" s="1075">
        <f t="shared" si="12"/>
        <v>4</v>
      </c>
      <c r="F27" s="1075">
        <f t="shared" si="12"/>
        <v>5</v>
      </c>
      <c r="G27" s="1075">
        <f t="shared" si="12"/>
        <v>6</v>
      </c>
      <c r="H27" s="1075">
        <f t="shared" si="12"/>
        <v>7</v>
      </c>
      <c r="I27" s="1075">
        <f t="shared" si="12"/>
        <v>8</v>
      </c>
      <c r="J27" s="1104"/>
      <c r="K27" s="1113"/>
      <c r="L27" s="1104"/>
      <c r="M27" s="1104"/>
      <c r="N27" s="1104"/>
      <c r="O27" s="1104"/>
      <c r="P27" s="1104"/>
    </row>
    <row r="28">
      <c r="B28" s="1004" t="s">
        <v>1688</v>
      </c>
      <c r="C28" s="953">
        <f t="shared" ref="C28:I28" si="13">10+(C27-1)*2</f>
        <v>12</v>
      </c>
      <c r="D28" s="953">
        <f t="shared" si="13"/>
        <v>14</v>
      </c>
      <c r="E28" s="953">
        <f t="shared" si="13"/>
        <v>16</v>
      </c>
      <c r="F28" s="953">
        <f t="shared" si="13"/>
        <v>18</v>
      </c>
      <c r="G28" s="953">
        <f t="shared" si="13"/>
        <v>20</v>
      </c>
      <c r="H28" s="953">
        <f t="shared" si="13"/>
        <v>22</v>
      </c>
      <c r="I28" s="953">
        <f t="shared" si="13"/>
        <v>24</v>
      </c>
      <c r="J28" s="1104"/>
      <c r="K28" s="1113"/>
      <c r="L28" s="1104"/>
      <c r="M28" s="1104"/>
      <c r="N28" s="1104"/>
      <c r="O28" s="1104"/>
      <c r="P28" s="1104"/>
    </row>
    <row r="29">
      <c r="B29" s="1004" t="s">
        <v>1624</v>
      </c>
      <c r="C29" s="953" t="s">
        <v>1237</v>
      </c>
      <c r="D29" s="953" t="s">
        <v>1237</v>
      </c>
      <c r="E29" s="953" t="s">
        <v>1250</v>
      </c>
      <c r="F29" s="953" t="s">
        <v>1250</v>
      </c>
      <c r="G29" s="953" t="s">
        <v>1250</v>
      </c>
      <c r="H29" s="953" t="s">
        <v>1263</v>
      </c>
      <c r="I29" s="953" t="s">
        <v>1263</v>
      </c>
      <c r="O29" s="1104"/>
      <c r="P29" s="1104"/>
    </row>
    <row r="30">
      <c r="B30" s="1111" t="s">
        <v>1495</v>
      </c>
      <c r="C30" s="1124">
        <f>C$15*C$16+C31*C33</f>
        <v>3.48</v>
      </c>
      <c r="D30" s="1124">
        <f>'Кузнец'!D$14*'Кузнец'!D$15+D31*D33</f>
        <v>8.23</v>
      </c>
      <c r="E30" s="1124">
        <f>'Кузнец'!E$14*'Кузнец'!E$15+E31*E33</f>
        <v>16.57</v>
      </c>
      <c r="F30" s="1124">
        <f>'Кузнец'!F$14*'Кузнец'!F$15+F31*F33</f>
        <v>33.224</v>
      </c>
      <c r="G30" s="1124">
        <f>'Кузнец'!G$14*'Кузнец'!G$15+G31*G33</f>
        <v>70.95</v>
      </c>
      <c r="H30" s="1124">
        <f>'Кузнец'!H$14*'Кузнец'!H$15+H31*H33</f>
        <v>166.96</v>
      </c>
      <c r="I30" s="1124">
        <f>'Кузнец'!I$14*'Кузнец'!I$15+I31*I33</f>
        <v>433.03</v>
      </c>
      <c r="J30" s="1104"/>
      <c r="K30" s="1113">
        <v>3.0</v>
      </c>
      <c r="L30" s="1104"/>
      <c r="M30" s="1104"/>
      <c r="N30" s="1104"/>
      <c r="O30" s="1104"/>
      <c r="P30" s="1104"/>
    </row>
    <row r="31">
      <c r="B31" s="1004" t="s">
        <v>1371</v>
      </c>
      <c r="C31" s="1075">
        <f t="shared" ref="C31:I31" si="14">C$16*C32</f>
        <v>18</v>
      </c>
      <c r="D31" s="1075">
        <f t="shared" si="14"/>
        <v>21</v>
      </c>
      <c r="E31" s="1075">
        <f t="shared" si="14"/>
        <v>24</v>
      </c>
      <c r="F31" s="1075">
        <f t="shared" si="14"/>
        <v>27</v>
      </c>
      <c r="G31" s="1075">
        <f t="shared" si="14"/>
        <v>30</v>
      </c>
      <c r="H31" s="1075">
        <f t="shared" si="14"/>
        <v>33</v>
      </c>
      <c r="I31" s="1075">
        <f t="shared" si="14"/>
        <v>36</v>
      </c>
      <c r="J31" s="1104"/>
      <c r="K31" s="1113"/>
      <c r="L31" s="1104"/>
      <c r="M31" s="1104"/>
      <c r="N31" s="1104"/>
      <c r="O31" s="1104"/>
      <c r="P31" s="1104"/>
    </row>
    <row r="32">
      <c r="B32" s="1004" t="s">
        <v>1385</v>
      </c>
      <c r="C32" s="1075">
        <f t="shared" ref="C32:I32" si="15">C$18*$K30</f>
        <v>9</v>
      </c>
      <c r="D32" s="1075">
        <f t="shared" si="15"/>
        <v>10.5</v>
      </c>
      <c r="E32" s="1075">
        <f t="shared" si="15"/>
        <v>12</v>
      </c>
      <c r="F32" s="1075">
        <f t="shared" si="15"/>
        <v>13.5</v>
      </c>
      <c r="G32" s="1075">
        <f t="shared" si="15"/>
        <v>15</v>
      </c>
      <c r="H32" s="1075">
        <f t="shared" si="15"/>
        <v>16.5</v>
      </c>
      <c r="I32" s="1075">
        <f t="shared" si="15"/>
        <v>18</v>
      </c>
      <c r="J32" s="1104"/>
      <c r="K32" s="1113"/>
      <c r="L32" s="1104"/>
      <c r="M32" s="1104"/>
      <c r="N32" s="1104"/>
      <c r="O32" s="1104"/>
      <c r="P32" s="1104"/>
    </row>
    <row r="33">
      <c r="B33" s="1004" t="s">
        <v>1372</v>
      </c>
      <c r="C33" s="1075">
        <f t="shared" ref="C33:I33" si="16">(0.02*C34)*C34</f>
        <v>0.18</v>
      </c>
      <c r="D33" s="1075">
        <f t="shared" si="16"/>
        <v>0.32</v>
      </c>
      <c r="E33" s="1076">
        <f t="shared" si="16"/>
        <v>0.5</v>
      </c>
      <c r="F33" s="1075">
        <f t="shared" si="16"/>
        <v>0.72</v>
      </c>
      <c r="G33" s="1075">
        <f t="shared" si="16"/>
        <v>0.98</v>
      </c>
      <c r="H33" s="1075">
        <f t="shared" si="16"/>
        <v>1.28</v>
      </c>
      <c r="I33" s="1075">
        <f t="shared" si="16"/>
        <v>1.62</v>
      </c>
      <c r="J33" s="1104"/>
      <c r="K33" s="1113"/>
      <c r="L33" s="1104"/>
      <c r="M33" s="1104"/>
      <c r="N33" s="1104"/>
      <c r="O33" s="1104"/>
      <c r="P33" s="1104"/>
    </row>
    <row r="34">
      <c r="B34" s="1004" t="s">
        <v>1687</v>
      </c>
      <c r="C34" s="1075">
        <f t="shared" ref="C34:I34" si="17">C27+1</f>
        <v>3</v>
      </c>
      <c r="D34" s="1075">
        <f t="shared" si="17"/>
        <v>4</v>
      </c>
      <c r="E34" s="1075">
        <f t="shared" si="17"/>
        <v>5</v>
      </c>
      <c r="F34" s="1075">
        <f t="shared" si="17"/>
        <v>6</v>
      </c>
      <c r="G34" s="1075">
        <f t="shared" si="17"/>
        <v>7</v>
      </c>
      <c r="H34" s="1075">
        <f t="shared" si="17"/>
        <v>8</v>
      </c>
      <c r="I34" s="1075">
        <f t="shared" si="17"/>
        <v>9</v>
      </c>
      <c r="J34" s="1104"/>
      <c r="K34" s="1113"/>
      <c r="L34" s="1104"/>
      <c r="M34" s="1104"/>
      <c r="N34" s="1104"/>
      <c r="O34" s="1104"/>
      <c r="P34" s="1104"/>
    </row>
    <row r="35">
      <c r="B35" s="1004" t="s">
        <v>1688</v>
      </c>
      <c r="C35" s="953">
        <f t="shared" ref="C35:I35" si="18">10+(C34-1)*2</f>
        <v>14</v>
      </c>
      <c r="D35" s="953">
        <f t="shared" si="18"/>
        <v>16</v>
      </c>
      <c r="E35" s="953">
        <f t="shared" si="18"/>
        <v>18</v>
      </c>
      <c r="F35" s="953">
        <f t="shared" si="18"/>
        <v>20</v>
      </c>
      <c r="G35" s="953">
        <f t="shared" si="18"/>
        <v>22</v>
      </c>
      <c r="H35" s="953">
        <f t="shared" si="18"/>
        <v>24</v>
      </c>
      <c r="I35" s="953">
        <f t="shared" si="18"/>
        <v>26</v>
      </c>
      <c r="J35" s="1104"/>
      <c r="K35" s="1113"/>
      <c r="L35" s="1104"/>
      <c r="M35" s="1104"/>
      <c r="N35" s="1104"/>
      <c r="O35" s="1104"/>
      <c r="P35" s="1104"/>
    </row>
    <row r="36">
      <c r="B36" s="1004" t="s">
        <v>1624</v>
      </c>
      <c r="C36" s="953" t="s">
        <v>1237</v>
      </c>
      <c r="D36" s="953" t="s">
        <v>1250</v>
      </c>
      <c r="E36" s="953" t="s">
        <v>1250</v>
      </c>
      <c r="F36" s="953" t="s">
        <v>1250</v>
      </c>
      <c r="G36" s="953" t="s">
        <v>1263</v>
      </c>
      <c r="H36" s="953" t="s">
        <v>1263</v>
      </c>
      <c r="I36" s="953" t="s">
        <v>1263</v>
      </c>
    </row>
    <row r="37">
      <c r="B37" s="1111" t="s">
        <v>1496</v>
      </c>
      <c r="C37" s="1124">
        <f>'Кузнец'!C$14*'Кузнец'!C$15+C38*C40</f>
        <v>8.18</v>
      </c>
      <c r="D37" s="1124">
        <f>'Кузнец'!D$14*'Кузнец'!D$15+D38*D40</f>
        <v>15.51</v>
      </c>
      <c r="E37" s="1124">
        <f>'Кузнец'!E$14*'Кузнец'!E$15+E38*E40</f>
        <v>27.61</v>
      </c>
      <c r="F37" s="1124">
        <f>'Кузнец'!F$14*'Кузнец'!F$15+F38*F40</f>
        <v>49.064</v>
      </c>
      <c r="G37" s="1124">
        <f>'Кузнец'!G$14*'Кузнец'!G$15+G38*G40</f>
        <v>92.75</v>
      </c>
      <c r="H37" s="1124">
        <f>'Кузнец'!H$14*'Кузнец'!H$15+H38*H40</f>
        <v>196</v>
      </c>
      <c r="I37" s="1124">
        <f>'Кузнец'!I$14*'Кузнец'!I$15+I38*I40</f>
        <v>470.71</v>
      </c>
      <c r="J37" s="1104"/>
      <c r="K37" s="1113">
        <v>4.0</v>
      </c>
      <c r="L37" s="1104"/>
      <c r="M37" s="1104"/>
      <c r="N37" s="1104"/>
      <c r="O37" s="1104"/>
      <c r="P37" s="1104"/>
    </row>
    <row r="38">
      <c r="B38" s="1004" t="s">
        <v>1371</v>
      </c>
      <c r="C38" s="1075">
        <f t="shared" ref="C38:I38" si="19">C$16*C39</f>
        <v>24</v>
      </c>
      <c r="D38" s="1075">
        <f t="shared" si="19"/>
        <v>28</v>
      </c>
      <c r="E38" s="1075">
        <f t="shared" si="19"/>
        <v>32</v>
      </c>
      <c r="F38" s="1075">
        <f t="shared" si="19"/>
        <v>36</v>
      </c>
      <c r="G38" s="1075">
        <f t="shared" si="19"/>
        <v>40</v>
      </c>
      <c r="H38" s="1075">
        <f t="shared" si="19"/>
        <v>44</v>
      </c>
      <c r="I38" s="1075">
        <f t="shared" si="19"/>
        <v>48</v>
      </c>
      <c r="J38" s="1104"/>
      <c r="K38" s="1122"/>
      <c r="L38" s="1104"/>
      <c r="M38" s="1104"/>
      <c r="N38" s="1104"/>
      <c r="O38" s="1104"/>
      <c r="P38" s="1104"/>
    </row>
    <row r="39">
      <c r="B39" s="1004" t="s">
        <v>1385</v>
      </c>
      <c r="C39" s="1075">
        <f t="shared" ref="C39:I39" si="20">C$18*$K37</f>
        <v>12</v>
      </c>
      <c r="D39" s="1075">
        <f t="shared" si="20"/>
        <v>14</v>
      </c>
      <c r="E39" s="1075">
        <f t="shared" si="20"/>
        <v>16</v>
      </c>
      <c r="F39" s="1075">
        <f t="shared" si="20"/>
        <v>18</v>
      </c>
      <c r="G39" s="1075">
        <f t="shared" si="20"/>
        <v>20</v>
      </c>
      <c r="H39" s="1075">
        <f t="shared" si="20"/>
        <v>22</v>
      </c>
      <c r="I39" s="1075">
        <f t="shared" si="20"/>
        <v>24</v>
      </c>
      <c r="J39" s="1104"/>
      <c r="K39" s="1122"/>
      <c r="L39" s="1104"/>
      <c r="M39" s="1104"/>
      <c r="N39" s="1104"/>
      <c r="O39" s="1104"/>
      <c r="P39" s="1104"/>
    </row>
    <row r="40">
      <c r="B40" s="1004" t="s">
        <v>1372</v>
      </c>
      <c r="C40" s="1075">
        <f t="shared" ref="C40:I40" si="21">(0.02*C41)*C41</f>
        <v>0.32</v>
      </c>
      <c r="D40" s="1076">
        <f t="shared" si="21"/>
        <v>0.5</v>
      </c>
      <c r="E40" s="1075">
        <f t="shared" si="21"/>
        <v>0.72</v>
      </c>
      <c r="F40" s="1075">
        <f t="shared" si="21"/>
        <v>0.98</v>
      </c>
      <c r="G40" s="1075">
        <f t="shared" si="21"/>
        <v>1.28</v>
      </c>
      <c r="H40" s="1075">
        <f t="shared" si="21"/>
        <v>1.62</v>
      </c>
      <c r="I40" s="1075">
        <f t="shared" si="21"/>
        <v>2</v>
      </c>
      <c r="J40" s="1104"/>
      <c r="K40" s="1122"/>
      <c r="L40" s="1104"/>
      <c r="M40" s="1104"/>
      <c r="N40" s="1104"/>
      <c r="O40" s="1104"/>
      <c r="P40" s="1100"/>
    </row>
    <row r="41">
      <c r="B41" s="1004" t="s">
        <v>1687</v>
      </c>
      <c r="C41" s="1075">
        <f t="shared" ref="C41:I41" si="22">C34+1</f>
        <v>4</v>
      </c>
      <c r="D41" s="1075">
        <f t="shared" si="22"/>
        <v>5</v>
      </c>
      <c r="E41" s="1075">
        <f t="shared" si="22"/>
        <v>6</v>
      </c>
      <c r="F41" s="1075">
        <f t="shared" si="22"/>
        <v>7</v>
      </c>
      <c r="G41" s="1075">
        <f t="shared" si="22"/>
        <v>8</v>
      </c>
      <c r="H41" s="1075">
        <f t="shared" si="22"/>
        <v>9</v>
      </c>
      <c r="I41" s="1075">
        <f t="shared" si="22"/>
        <v>10</v>
      </c>
      <c r="J41" s="1104"/>
      <c r="K41" s="1122"/>
      <c r="L41" s="1104"/>
      <c r="M41" s="1104"/>
      <c r="N41" s="1104"/>
      <c r="O41" s="1104"/>
      <c r="P41" s="1100"/>
    </row>
    <row r="42">
      <c r="B42" s="1004" t="s">
        <v>1688</v>
      </c>
      <c r="C42" s="953">
        <f t="shared" ref="C42:I42" si="23">10+(C41-1)*2</f>
        <v>16</v>
      </c>
      <c r="D42" s="953">
        <f t="shared" si="23"/>
        <v>18</v>
      </c>
      <c r="E42" s="953">
        <f t="shared" si="23"/>
        <v>20</v>
      </c>
      <c r="F42" s="953">
        <f t="shared" si="23"/>
        <v>22</v>
      </c>
      <c r="G42" s="953">
        <f t="shared" si="23"/>
        <v>24</v>
      </c>
      <c r="H42" s="953">
        <f t="shared" si="23"/>
        <v>26</v>
      </c>
      <c r="I42" s="953">
        <f t="shared" si="23"/>
        <v>28</v>
      </c>
      <c r="J42" s="1104"/>
      <c r="K42" s="1122"/>
      <c r="L42" s="1104"/>
      <c r="M42" s="1104"/>
      <c r="N42" s="1104"/>
      <c r="O42" s="1100"/>
      <c r="P42" s="1100"/>
    </row>
    <row r="43">
      <c r="B43" s="1004" t="s">
        <v>1624</v>
      </c>
      <c r="C43" s="953" t="s">
        <v>1250</v>
      </c>
      <c r="D43" s="953" t="s">
        <v>1250</v>
      </c>
      <c r="E43" s="953" t="s">
        <v>1250</v>
      </c>
      <c r="F43" s="953" t="s">
        <v>1263</v>
      </c>
      <c r="G43" s="953" t="s">
        <v>1263</v>
      </c>
      <c r="H43" s="953" t="s">
        <v>1263</v>
      </c>
      <c r="I43" s="953" t="s">
        <v>1263</v>
      </c>
      <c r="J43" s="1100"/>
      <c r="K43" s="1100"/>
      <c r="L43" s="1100"/>
      <c r="M43" s="1100"/>
      <c r="N43" s="1100"/>
      <c r="O43" s="1100"/>
      <c r="P43" s="1100"/>
    </row>
    <row r="44">
      <c r="O44" s="1100"/>
      <c r="P44" s="1100"/>
    </row>
    <row r="45">
      <c r="B45" s="1277"/>
      <c r="C45" s="545"/>
      <c r="D45" s="545"/>
      <c r="E45" s="545"/>
      <c r="F45" s="1100"/>
      <c r="G45" s="545"/>
      <c r="H45" s="545"/>
      <c r="I45" s="545"/>
      <c r="J45" s="1100"/>
      <c r="K45" s="1100"/>
      <c r="L45" s="1100"/>
      <c r="M45" s="1100"/>
      <c r="N45" s="1100"/>
      <c r="O45" s="1100"/>
      <c r="P45" s="1100"/>
    </row>
    <row r="46">
      <c r="B46" s="1300" t="s">
        <v>1201</v>
      </c>
      <c r="C46" s="545"/>
      <c r="D46" s="545"/>
      <c r="E46" s="545"/>
      <c r="F46" s="1100"/>
      <c r="G46" s="545"/>
      <c r="H46" s="545"/>
      <c r="I46" s="545"/>
      <c r="J46" s="1100"/>
      <c r="K46" s="1100"/>
      <c r="L46" s="1100"/>
      <c r="M46" s="1100"/>
      <c r="N46" s="1100"/>
      <c r="O46" s="1100"/>
      <c r="P46" s="1100"/>
    </row>
    <row r="47">
      <c r="B47" s="1277"/>
      <c r="C47" s="545"/>
      <c r="D47" s="545"/>
      <c r="E47" s="545"/>
      <c r="F47" s="1100"/>
      <c r="G47" s="545"/>
      <c r="H47" s="545"/>
      <c r="I47" s="545"/>
      <c r="J47" s="1100"/>
      <c r="K47" s="1100"/>
      <c r="L47" s="1100"/>
      <c r="M47" s="1100"/>
      <c r="N47" s="1100"/>
      <c r="O47" s="1100"/>
      <c r="P47" s="1100"/>
    </row>
    <row r="48">
      <c r="B48" s="1257" t="s">
        <v>1539</v>
      </c>
      <c r="C48" s="1331" t="s">
        <v>1689</v>
      </c>
      <c r="E48" s="1332" t="s">
        <v>1690</v>
      </c>
      <c r="F48" s="1332"/>
      <c r="G48" s="929"/>
      <c r="H48" s="505"/>
      <c r="I48" s="505"/>
      <c r="J48" s="1333">
        <v>0.5</v>
      </c>
      <c r="K48" s="1100"/>
      <c r="L48" s="1100"/>
      <c r="M48" s="1100"/>
      <c r="N48" s="1100"/>
      <c r="O48" s="1100"/>
      <c r="P48" s="1100"/>
    </row>
    <row r="49">
      <c r="B49" s="1101" t="s">
        <v>1484</v>
      </c>
      <c r="C49" s="1334">
        <f>VLOOKUP(C48,B186:G188,2,0)</f>
        <v>4</v>
      </c>
      <c r="E49" s="1332" t="s">
        <v>1691</v>
      </c>
      <c r="F49" s="1332"/>
      <c r="G49" s="929"/>
      <c r="H49" s="505"/>
      <c r="I49" s="505"/>
      <c r="J49" s="1333">
        <v>0.15</v>
      </c>
      <c r="K49" s="1100"/>
      <c r="L49" s="1100"/>
      <c r="M49" s="1100"/>
      <c r="N49" s="1100"/>
      <c r="O49" s="1100"/>
      <c r="P49" s="1100"/>
    </row>
    <row r="50">
      <c r="B50" s="1278" t="s">
        <v>1385</v>
      </c>
      <c r="C50" s="1334">
        <f>VLOOKUP(C48,B186:G188,3,0)</f>
        <v>1</v>
      </c>
      <c r="E50" s="1332" t="s">
        <v>1692</v>
      </c>
      <c r="F50" s="1332"/>
      <c r="G50" s="929"/>
      <c r="H50" s="505"/>
      <c r="I50" s="505"/>
      <c r="J50" s="1334">
        <v>-1.0</v>
      </c>
      <c r="K50" s="1100"/>
      <c r="L50" s="929"/>
      <c r="M50" s="1335" t="s">
        <v>1693</v>
      </c>
      <c r="N50" s="1105"/>
      <c r="O50" s="1105"/>
      <c r="P50" s="1105"/>
      <c r="Q50" s="1105"/>
      <c r="R50" s="1105"/>
      <c r="S50" s="1105"/>
      <c r="T50" s="1105"/>
      <c r="U50" s="929"/>
      <c r="V50" s="929"/>
      <c r="W50" s="929"/>
      <c r="X50" s="929"/>
      <c r="Y50" s="929"/>
      <c r="Z50" s="929"/>
      <c r="AA50" s="929"/>
    </row>
    <row r="51">
      <c r="B51" s="1101" t="s">
        <v>1485</v>
      </c>
      <c r="C51" s="1334">
        <f>VLOOKUP(C48,B186:G188,5,0)</f>
        <v>1</v>
      </c>
      <c r="E51" s="1336" t="s">
        <v>1694</v>
      </c>
      <c r="F51" s="1332"/>
      <c r="G51" s="929"/>
      <c r="H51" s="505"/>
      <c r="I51" s="505"/>
      <c r="J51" s="1337">
        <v>0.759889587926368</v>
      </c>
      <c r="K51" s="1100"/>
      <c r="L51" s="1338"/>
      <c r="M51" s="1339"/>
      <c r="N51" s="1330" t="str">
        <f>'Материалы и инструменты'!E62</f>
        <v>Орешник</v>
      </c>
      <c r="O51" s="1330" t="str">
        <f>'Материалы и инструменты'!F62</f>
        <v>Клён</v>
      </c>
      <c r="P51" s="1330" t="str">
        <f>'Материалы и инструменты'!G62</f>
        <v>Ясень</v>
      </c>
      <c r="Q51" s="1330" t="str">
        <f>'Материалы и инструменты'!H62</f>
        <v>Вяз</v>
      </c>
      <c r="R51" s="1330" t="str">
        <f>'Материалы и инструменты'!I62</f>
        <v>Кедр</v>
      </c>
      <c r="S51" s="1330" t="str">
        <f>'Материалы и инструменты'!J62</f>
        <v>Бальза</v>
      </c>
      <c r="T51" s="1330" t="str">
        <f>'Материалы и инструменты'!K62</f>
        <v>Тис</v>
      </c>
      <c r="U51" s="929"/>
      <c r="V51" s="929"/>
      <c r="W51" s="929"/>
      <c r="X51" s="929"/>
      <c r="Y51" s="929"/>
      <c r="Z51" s="929"/>
      <c r="AA51" s="929"/>
    </row>
    <row r="52">
      <c r="B52" s="7"/>
      <c r="C52" s="505"/>
      <c r="D52" s="505"/>
      <c r="E52" s="505"/>
      <c r="F52" s="929"/>
      <c r="G52" s="505"/>
      <c r="H52" s="505"/>
      <c r="I52" s="505"/>
      <c r="J52" s="1100"/>
      <c r="K52" s="1100"/>
      <c r="L52" s="1338"/>
      <c r="M52" s="1340" t="s">
        <v>1695</v>
      </c>
      <c r="N52" s="1341">
        <v>5.0</v>
      </c>
      <c r="O52" s="1341">
        <f t="shared" ref="O52:T52" si="24">N52+2</f>
        <v>7</v>
      </c>
      <c r="P52" s="1341">
        <f t="shared" si="24"/>
        <v>9</v>
      </c>
      <c r="Q52" s="1341">
        <f t="shared" si="24"/>
        <v>11</v>
      </c>
      <c r="R52" s="1341">
        <f t="shared" si="24"/>
        <v>13</v>
      </c>
      <c r="S52" s="1341">
        <f t="shared" si="24"/>
        <v>15</v>
      </c>
      <c r="T52" s="1341">
        <f t="shared" si="24"/>
        <v>17</v>
      </c>
      <c r="U52" s="929"/>
      <c r="V52" s="929"/>
      <c r="W52" s="929"/>
      <c r="X52" s="929"/>
      <c r="Y52" s="929"/>
      <c r="Z52" s="929"/>
      <c r="AA52" s="929"/>
    </row>
    <row r="53">
      <c r="B53" s="1342" t="str">
        <f>C48</f>
        <v>Деревянный кулачный щит</v>
      </c>
      <c r="C53" s="1343"/>
      <c r="D53" s="1343"/>
      <c r="E53" s="1343"/>
      <c r="F53" s="1105"/>
      <c r="G53" s="1343"/>
      <c r="H53" s="1343"/>
      <c r="I53" s="1343"/>
      <c r="J53" s="1100"/>
      <c r="K53" s="1100"/>
      <c r="L53" s="929"/>
      <c r="M53" s="1105"/>
      <c r="N53" s="1105"/>
      <c r="O53" s="1105"/>
      <c r="P53" s="1105"/>
      <c r="Q53" s="1105"/>
      <c r="R53" s="1105"/>
      <c r="S53" s="1105"/>
      <c r="T53" s="1105"/>
      <c r="U53" s="1105"/>
      <c r="V53" s="1105"/>
      <c r="W53" s="1105"/>
      <c r="X53" s="1105"/>
      <c r="Y53" s="1105"/>
      <c r="Z53" s="1105"/>
      <c r="AA53" s="1105"/>
    </row>
    <row r="54">
      <c r="B54" s="1302" t="s">
        <v>1615</v>
      </c>
      <c r="C54" s="1344" t="str">
        <f>'Материалы и инструменты'!E62</f>
        <v>Орешник</v>
      </c>
      <c r="D54" s="1344" t="str">
        <f>'Материалы и инструменты'!F62</f>
        <v>Клён</v>
      </c>
      <c r="E54" s="1344" t="str">
        <f>'Материалы и инструменты'!G62</f>
        <v>Ясень</v>
      </c>
      <c r="F54" s="1344" t="str">
        <f>'Материалы и инструменты'!H62</f>
        <v>Вяз</v>
      </c>
      <c r="G54" s="1344" t="str">
        <f>'Материалы и инструменты'!I62</f>
        <v>Кедр</v>
      </c>
      <c r="H54" s="1344" t="str">
        <f>'Материалы и инструменты'!J62</f>
        <v>Бальза</v>
      </c>
      <c r="I54" s="1344" t="str">
        <f>'Материалы и инструменты'!K62</f>
        <v>Тис</v>
      </c>
      <c r="J54" s="1100"/>
      <c r="K54" s="1108" t="s">
        <v>1434</v>
      </c>
      <c r="L54" s="1345"/>
      <c r="M54" s="1346" t="s">
        <v>1696</v>
      </c>
      <c r="N54" s="213"/>
      <c r="O54" s="213"/>
      <c r="P54" s="213"/>
      <c r="Q54" s="213"/>
      <c r="R54" s="213"/>
      <c r="S54" s="213"/>
      <c r="T54" s="672"/>
      <c r="U54" s="1347" t="s">
        <v>1543</v>
      </c>
      <c r="V54" s="1348" t="s">
        <v>176</v>
      </c>
      <c r="W54" s="1348" t="s">
        <v>181</v>
      </c>
      <c r="X54" s="1348" t="s">
        <v>256</v>
      </c>
      <c r="Y54" s="1348" t="s">
        <v>1448</v>
      </c>
      <c r="Z54" s="1348" t="s">
        <v>25</v>
      </c>
      <c r="AA54" s="1348" t="s">
        <v>1450</v>
      </c>
    </row>
    <row r="55">
      <c r="B55" s="1111" t="s">
        <v>1697</v>
      </c>
      <c r="C55" s="1349">
        <f t="shared" ref="C55:I55" si="25">C56*C57+C58*C60</f>
        <v>0.56</v>
      </c>
      <c r="D55" s="1349">
        <f t="shared" si="25"/>
        <v>1.92</v>
      </c>
      <c r="E55" s="1349">
        <f t="shared" si="25"/>
        <v>5.76</v>
      </c>
      <c r="F55" s="1349">
        <f t="shared" si="25"/>
        <v>16.16</v>
      </c>
      <c r="G55" s="1349">
        <f t="shared" si="25"/>
        <v>44.88</v>
      </c>
      <c r="H55" s="1349">
        <f t="shared" si="25"/>
        <v>126.72</v>
      </c>
      <c r="I55" s="1349">
        <f t="shared" si="25"/>
        <v>365.6</v>
      </c>
      <c r="J55" s="1100"/>
      <c r="K55" s="1113">
        <v>1.0</v>
      </c>
      <c r="L55" s="1345"/>
      <c r="M55" s="1350" t="s">
        <v>1689</v>
      </c>
      <c r="N55" s="1351"/>
      <c r="O55" s="1351"/>
      <c r="P55" s="1351"/>
      <c r="Q55" s="1351"/>
      <c r="R55" s="1351"/>
      <c r="S55" s="1351"/>
      <c r="T55" s="1351"/>
      <c r="U55" s="1351"/>
      <c r="V55" s="1351"/>
      <c r="W55" s="1351"/>
      <c r="X55" s="1351"/>
      <c r="Y55" s="1351"/>
      <c r="Z55" s="1351"/>
      <c r="AA55" s="1352"/>
    </row>
    <row r="56">
      <c r="B56" s="1304" t="s">
        <v>1619</v>
      </c>
      <c r="C56" s="1353">
        <f>'Материалы и инструменты'!E63</f>
        <v>0.12</v>
      </c>
      <c r="D56" s="1353">
        <f>'Материалы и инструменты'!F63</f>
        <v>0.36</v>
      </c>
      <c r="E56" s="1353">
        <f>'Материалы и инструменты'!G63</f>
        <v>1.08</v>
      </c>
      <c r="F56" s="1353">
        <f>'Материалы и инструменты'!H63</f>
        <v>3.24</v>
      </c>
      <c r="G56" s="1353">
        <f>'Материалы и инструменты'!I63</f>
        <v>9.72</v>
      </c>
      <c r="H56" s="1353">
        <f>'Материалы и инструменты'!J63</f>
        <v>29.16</v>
      </c>
      <c r="I56" s="1353">
        <f>'Материалы и инструменты'!K63</f>
        <v>87.48</v>
      </c>
      <c r="J56" s="1100"/>
      <c r="K56" s="1113"/>
      <c r="L56" s="1345"/>
      <c r="M56" s="1354" t="s">
        <v>1451</v>
      </c>
      <c r="N56" s="1355" t="str">
        <f>'Материалы и инструменты'!E62</f>
        <v>Орешник</v>
      </c>
      <c r="O56" s="1355" t="str">
        <f>'Материалы и инструменты'!F62</f>
        <v>Клён</v>
      </c>
      <c r="P56" s="1355" t="str">
        <f>'Материалы и инструменты'!G62</f>
        <v>Ясень</v>
      </c>
      <c r="Q56" s="1355" t="str">
        <f>'Материалы и инструменты'!H62</f>
        <v>Вяз</v>
      </c>
      <c r="R56" s="1355" t="str">
        <f>'Материалы и инструменты'!I62</f>
        <v>Кедр</v>
      </c>
      <c r="S56" s="1355" t="str">
        <f>'Материалы и инструменты'!J62</f>
        <v>Бальза</v>
      </c>
      <c r="T56" s="1355" t="str">
        <f>'Материалы и инструменты'!K62</f>
        <v>Тис</v>
      </c>
      <c r="U56" s="1356"/>
      <c r="V56" s="1356"/>
      <c r="W56" s="1356"/>
      <c r="X56" s="1356"/>
      <c r="Y56" s="1356"/>
      <c r="Z56" s="1356"/>
      <c r="AA56" s="1356"/>
    </row>
    <row r="57">
      <c r="B57" s="1304" t="s">
        <v>1645</v>
      </c>
      <c r="C57" s="1357">
        <f t="shared" ref="C57:I57" si="26">$C$49</f>
        <v>4</v>
      </c>
      <c r="D57" s="1357">
        <f t="shared" si="26"/>
        <v>4</v>
      </c>
      <c r="E57" s="1357">
        <f t="shared" si="26"/>
        <v>4</v>
      </c>
      <c r="F57" s="1357">
        <f t="shared" si="26"/>
        <v>4</v>
      </c>
      <c r="G57" s="1357">
        <f t="shared" si="26"/>
        <v>4</v>
      </c>
      <c r="H57" s="1357">
        <f t="shared" si="26"/>
        <v>4</v>
      </c>
      <c r="I57" s="1357">
        <f t="shared" si="26"/>
        <v>4</v>
      </c>
      <c r="J57" s="1100"/>
      <c r="K57" s="1113"/>
      <c r="L57" s="1174"/>
      <c r="M57" s="1358" t="s">
        <v>1545</v>
      </c>
      <c r="N57" s="1359">
        <f>ROUNDDOWN((1-$J$48)*'Кузнец'!N101)</f>
        <v>5</v>
      </c>
      <c r="O57" s="1359">
        <f>ROUNDDOWN((1-$J$48)*'Кузнец'!O101)</f>
        <v>7</v>
      </c>
      <c r="P57" s="1359">
        <f>ROUNDDOWN((1-$J$48)*'Кузнец'!P101)</f>
        <v>10</v>
      </c>
      <c r="Q57" s="1359">
        <f>ROUNDDOWN((1-$J$48)*'Кузнец'!Q101)</f>
        <v>13</v>
      </c>
      <c r="R57" s="1359">
        <f>ROUNDDOWN((1-$J$48)*'Кузнец'!R101)</f>
        <v>16</v>
      </c>
      <c r="S57" s="1359">
        <f>ROUNDDOWN((1-$J$48)*'Кузнец'!S101)</f>
        <v>19</v>
      </c>
      <c r="T57" s="1359">
        <f>ROUNDDOWN((1-$J$48)*'Кузнец'!T101)</f>
        <v>20</v>
      </c>
      <c r="U57" s="1360" t="s">
        <v>1182</v>
      </c>
      <c r="V57" s="1361" t="s">
        <v>1698</v>
      </c>
      <c r="W57" s="1362">
        <v>14.0</v>
      </c>
      <c r="X57" s="1363">
        <v>290.0</v>
      </c>
      <c r="Y57" s="1360" t="s">
        <v>1462</v>
      </c>
      <c r="Z57" s="1360" t="s">
        <v>30</v>
      </c>
      <c r="AA57" s="1364" t="s">
        <v>1546</v>
      </c>
    </row>
    <row r="58">
      <c r="B58" s="1004" t="s">
        <v>1371</v>
      </c>
      <c r="C58" s="1365">
        <f t="shared" ref="C58:I58" si="27">C57*C59</f>
        <v>4</v>
      </c>
      <c r="D58" s="1365">
        <f t="shared" si="27"/>
        <v>6</v>
      </c>
      <c r="E58" s="1365">
        <f t="shared" si="27"/>
        <v>8</v>
      </c>
      <c r="F58" s="1271">
        <f t="shared" si="27"/>
        <v>10</v>
      </c>
      <c r="G58" s="1365">
        <f t="shared" si="27"/>
        <v>12</v>
      </c>
      <c r="H58" s="1365">
        <f t="shared" si="27"/>
        <v>14</v>
      </c>
      <c r="I58" s="1365">
        <f t="shared" si="27"/>
        <v>16</v>
      </c>
      <c r="J58" s="1100"/>
      <c r="K58" s="1113"/>
      <c r="L58" s="1175"/>
      <c r="M58" s="1366" t="s">
        <v>1699</v>
      </c>
      <c r="N58" s="1367">
        <f>'Материалы и инструменты'!E$63*$C$186+$C$186*$D$186*$K55*C60</f>
        <v>0.56</v>
      </c>
      <c r="O58" s="1367">
        <f>'Материалы и инструменты'!F$63*$C$186+$C$186*$D$186*$K55*D60</f>
        <v>1.76</v>
      </c>
      <c r="P58" s="1367">
        <f>'Материалы и инструменты'!G$63*$C$186+$C$186*$D$186*$K55*E60</f>
        <v>5.04</v>
      </c>
      <c r="Q58" s="1367">
        <f>'Материалы и инструменты'!H$63*$C$186+$C$186*$D$186*$K55*F60</f>
        <v>14.24</v>
      </c>
      <c r="R58" s="1367">
        <f>'Материалы и инструменты'!I$63*$C$186+$C$186*$D$186*$K55*G60</f>
        <v>40.88</v>
      </c>
      <c r="S58" s="1367">
        <f>'Материалы и инструменты'!J$63*$C$186+$C$186*$D$186*$K55*H60</f>
        <v>119.52</v>
      </c>
      <c r="T58" s="1367">
        <f>'Материалы и инструменты'!K$63*$C$186+$C$186*$D$186*$K55*I60</f>
        <v>353.84</v>
      </c>
      <c r="U58" s="672"/>
      <c r="V58" s="672"/>
      <c r="W58" s="672"/>
      <c r="X58" s="672"/>
      <c r="Y58" s="672"/>
      <c r="Z58" s="672"/>
      <c r="AA58" s="672"/>
    </row>
    <row r="59">
      <c r="B59" s="1004" t="s">
        <v>1385</v>
      </c>
      <c r="C59" s="1365">
        <f>$C$50*$K55</f>
        <v>1</v>
      </c>
      <c r="D59" s="1365">
        <f t="shared" ref="D59:I59" si="28">C59+0.5</f>
        <v>1.5</v>
      </c>
      <c r="E59" s="1365">
        <f t="shared" si="28"/>
        <v>2</v>
      </c>
      <c r="F59" s="1365">
        <f t="shared" si="28"/>
        <v>2.5</v>
      </c>
      <c r="G59" s="1365">
        <f t="shared" si="28"/>
        <v>3</v>
      </c>
      <c r="H59" s="1365">
        <f t="shared" si="28"/>
        <v>3.5</v>
      </c>
      <c r="I59" s="1365">
        <f t="shared" si="28"/>
        <v>4</v>
      </c>
      <c r="J59" s="1100"/>
      <c r="K59" s="1113"/>
      <c r="L59" s="1205"/>
      <c r="M59" s="1358" t="s">
        <v>1548</v>
      </c>
      <c r="N59" s="1359">
        <f>ROUNDDOWN((1-$J$48)*'Кузнец'!N103)</f>
        <v>5</v>
      </c>
      <c r="O59" s="1359">
        <f>ROUNDDOWN((1-$J$48)*'Кузнец'!O103)</f>
        <v>7</v>
      </c>
      <c r="P59" s="1359">
        <f>ROUNDDOWN((1-$J$48)*'Кузнец'!P103)</f>
        <v>10</v>
      </c>
      <c r="Q59" s="1359">
        <f>ROUNDDOWN((1-$J$48)*'Кузнец'!Q103)</f>
        <v>13</v>
      </c>
      <c r="R59" s="1359">
        <f>ROUNDDOWN((1-$J$48)*'Кузнец'!R103)</f>
        <v>16</v>
      </c>
      <c r="S59" s="1359">
        <f>ROUNDDOWN((1-$J$48)*'Кузнец'!S103)</f>
        <v>19</v>
      </c>
      <c r="T59" s="1359">
        <f>ROUNDDOWN((1-$J$48)*'Кузнец'!T103)</f>
        <v>21</v>
      </c>
      <c r="U59" s="1360" t="s">
        <v>1549</v>
      </c>
      <c r="V59" s="1361" t="s">
        <v>1465</v>
      </c>
      <c r="W59" s="1362">
        <v>14.0</v>
      </c>
      <c r="X59" s="1363">
        <v>290.0</v>
      </c>
      <c r="Y59" s="1360" t="s">
        <v>1467</v>
      </c>
      <c r="Z59" s="1360" t="s">
        <v>30</v>
      </c>
      <c r="AA59" s="1364" t="s">
        <v>1546</v>
      </c>
    </row>
    <row r="60">
      <c r="B60" s="1004" t="s">
        <v>1372</v>
      </c>
      <c r="C60" s="1365">
        <f t="shared" ref="C60:I60" si="29">(0.02*C61)*C61</f>
        <v>0.02</v>
      </c>
      <c r="D60" s="1365">
        <f t="shared" si="29"/>
        <v>0.08</v>
      </c>
      <c r="E60" s="1365">
        <f t="shared" si="29"/>
        <v>0.18</v>
      </c>
      <c r="F60" s="1271">
        <f t="shared" si="29"/>
        <v>0.32</v>
      </c>
      <c r="G60" s="1365">
        <f t="shared" si="29"/>
        <v>0.5</v>
      </c>
      <c r="H60" s="1365">
        <f t="shared" si="29"/>
        <v>0.72</v>
      </c>
      <c r="I60" s="1365">
        <f t="shared" si="29"/>
        <v>0.98</v>
      </c>
      <c r="J60" s="1100"/>
      <c r="K60" s="1113"/>
      <c r="L60" s="1175"/>
      <c r="M60" s="1366" t="s">
        <v>1700</v>
      </c>
      <c r="N60" s="1367">
        <f>'Материалы и инструменты'!E$63*$C$186+$C$186*$D$186*$K64*C67</f>
        <v>1.12</v>
      </c>
      <c r="O60" s="1367">
        <f>'Материалы и инструменты'!F$63*$C$186+$C$186*$D$186*$K64*D67</f>
        <v>2.88</v>
      </c>
      <c r="P60" s="1367">
        <f>'Материалы и инструменты'!G$63*$C$186+$C$186*$D$186*$K64*E67</f>
        <v>6.88</v>
      </c>
      <c r="Q60" s="1367">
        <f>'Материалы и инструменты'!H$63*$C$186+$C$186*$D$186*$K64*F67</f>
        <v>16.96</v>
      </c>
      <c r="R60" s="1367">
        <f>'Материалы и инструменты'!I$63*$C$186+$C$186*$D$186*$K64*G67</f>
        <v>44.64</v>
      </c>
      <c r="S60" s="1367">
        <f>'Материалы и инструменты'!J$63*$C$186+$C$186*$D$186*$K64*H67</f>
        <v>124.48</v>
      </c>
      <c r="T60" s="1367">
        <f>'Материалы и инструменты'!K$63*$C$186+$C$186*$D$186*$K64*I67</f>
        <v>360.16</v>
      </c>
      <c r="U60" s="672"/>
      <c r="V60" s="672"/>
      <c r="W60" s="672"/>
      <c r="X60" s="672"/>
      <c r="Y60" s="672"/>
      <c r="Z60" s="672"/>
      <c r="AA60" s="672"/>
    </row>
    <row r="61">
      <c r="B61" s="1004" t="s">
        <v>1687</v>
      </c>
      <c r="C61" s="1365">
        <v>1.0</v>
      </c>
      <c r="D61" s="1365">
        <f t="shared" ref="D61:I61" si="30">C61+1</f>
        <v>2</v>
      </c>
      <c r="E61" s="1365">
        <f t="shared" si="30"/>
        <v>3</v>
      </c>
      <c r="F61" s="1271">
        <f t="shared" si="30"/>
        <v>4</v>
      </c>
      <c r="G61" s="1365">
        <f t="shared" si="30"/>
        <v>5</v>
      </c>
      <c r="H61" s="1365">
        <f t="shared" si="30"/>
        <v>6</v>
      </c>
      <c r="I61" s="1365">
        <f t="shared" si="30"/>
        <v>7</v>
      </c>
      <c r="J61" s="1100"/>
      <c r="K61" s="1113"/>
      <c r="L61" s="1205"/>
      <c r="M61" s="1358" t="s">
        <v>1550</v>
      </c>
      <c r="N61" s="1359">
        <f>ROUNDDOWN((1-$J$48)*'Кузнец'!N105)</f>
        <v>5</v>
      </c>
      <c r="O61" s="1359">
        <f>ROUNDDOWN((1-$J$48)*'Кузнец'!O105)</f>
        <v>8</v>
      </c>
      <c r="P61" s="1359">
        <f>ROUNDDOWN((1-$J$48)*'Кузнец'!P105)</f>
        <v>10</v>
      </c>
      <c r="Q61" s="1359">
        <f>ROUNDDOWN((1-$J$48)*'Кузнец'!Q105)</f>
        <v>13</v>
      </c>
      <c r="R61" s="1359">
        <f>ROUNDDOWN((1-$J$48)*'Кузнец'!R105)</f>
        <v>16</v>
      </c>
      <c r="S61" s="1359">
        <f>ROUNDDOWN((1-$J$48)*'Кузнец'!S105)</f>
        <v>20</v>
      </c>
      <c r="T61" s="1359">
        <f>ROUNDDOWN((1-$J$48)*'Кузнец'!T105)</f>
        <v>22</v>
      </c>
      <c r="U61" s="1360" t="s">
        <v>1551</v>
      </c>
      <c r="V61" s="1361" t="s">
        <v>1465</v>
      </c>
      <c r="W61" s="1362">
        <v>14.0</v>
      </c>
      <c r="X61" s="1363">
        <v>290.0</v>
      </c>
      <c r="Y61" s="1360" t="s">
        <v>1470</v>
      </c>
      <c r="Z61" s="1360" t="s">
        <v>30</v>
      </c>
      <c r="AA61" s="1364" t="s">
        <v>1546</v>
      </c>
    </row>
    <row r="62">
      <c r="B62" s="1274" t="s">
        <v>1688</v>
      </c>
      <c r="C62" s="1368">
        <f t="shared" ref="C62:I62" si="31">10+(C61-1)*2</f>
        <v>10</v>
      </c>
      <c r="D62" s="1368">
        <f t="shared" si="31"/>
        <v>12</v>
      </c>
      <c r="E62" s="1368">
        <f t="shared" si="31"/>
        <v>14</v>
      </c>
      <c r="F62" s="1368">
        <f t="shared" si="31"/>
        <v>16</v>
      </c>
      <c r="G62" s="1368">
        <f t="shared" si="31"/>
        <v>18</v>
      </c>
      <c r="H62" s="1368">
        <f t="shared" si="31"/>
        <v>20</v>
      </c>
      <c r="I62" s="1368">
        <f t="shared" si="31"/>
        <v>22</v>
      </c>
      <c r="J62" s="1100"/>
      <c r="K62" s="1113"/>
      <c r="L62" s="1175"/>
      <c r="M62" s="1366" t="s">
        <v>1701</v>
      </c>
      <c r="N62" s="1367">
        <f>'Материалы и инструменты'!E$63*$C$186+$C$186*$D$186*$K71*C74</f>
        <v>2.64</v>
      </c>
      <c r="O62" s="1367">
        <f>'Материалы и инструменты'!F$63*$C$186+$C$186*$D$186*$K71*D74</f>
        <v>5.28</v>
      </c>
      <c r="P62" s="1367">
        <f>'Материалы и инструменты'!G$63*$C$186+$C$186*$D$186*$K71*E74</f>
        <v>10.32</v>
      </c>
      <c r="Q62" s="1367">
        <f>'Материалы и инструменты'!H$63*$C$186+$C$186*$D$186*$K71*F74</f>
        <v>21.6</v>
      </c>
      <c r="R62" s="1367">
        <f>'Материалы и инструменты'!I$63*$C$186+$C$186*$D$186*$K71*G74</f>
        <v>50.64</v>
      </c>
      <c r="S62" s="1367">
        <f>'Материалы и инструменты'!J$63*$C$186+$C$186*$D$186*$K71*H74</f>
        <v>132</v>
      </c>
      <c r="T62" s="1367">
        <f>'Материалы и инструменты'!K$63*$C$186+$C$186*$D$186*$K71*I74</f>
        <v>369.36</v>
      </c>
      <c r="U62" s="672"/>
      <c r="V62" s="672"/>
      <c r="W62" s="672"/>
      <c r="X62" s="672"/>
      <c r="Y62" s="672"/>
      <c r="Z62" s="672"/>
      <c r="AA62" s="672"/>
    </row>
    <row r="63">
      <c r="B63" s="1004" t="s">
        <v>1624</v>
      </c>
      <c r="C63" s="953" t="s">
        <v>1237</v>
      </c>
      <c r="D63" s="953" t="s">
        <v>1237</v>
      </c>
      <c r="E63" s="953" t="s">
        <v>1237</v>
      </c>
      <c r="F63" s="953" t="s">
        <v>1250</v>
      </c>
      <c r="G63" s="953" t="s">
        <v>1250</v>
      </c>
      <c r="H63" s="953" t="s">
        <v>1250</v>
      </c>
      <c r="I63" s="953" t="s">
        <v>1263</v>
      </c>
      <c r="J63" s="1100"/>
      <c r="L63" s="1205"/>
      <c r="M63" s="1358" t="s">
        <v>1552</v>
      </c>
      <c r="N63" s="1359">
        <f>ROUNDDOWN((1-$J$48)*'Кузнец'!N107)</f>
        <v>6</v>
      </c>
      <c r="O63" s="1359">
        <f>ROUNDDOWN((1-$J$48)*'Кузнец'!O107)</f>
        <v>8</v>
      </c>
      <c r="P63" s="1359">
        <f>ROUNDDOWN((1-$J$48)*'Кузнец'!P107)</f>
        <v>11</v>
      </c>
      <c r="Q63" s="1359">
        <f>ROUNDDOWN((1-$J$48)*'Кузнец'!Q107)</f>
        <v>14</v>
      </c>
      <c r="R63" s="1359">
        <f>ROUNDDOWN((1-$J$48)*'Кузнец'!R107)</f>
        <v>17</v>
      </c>
      <c r="S63" s="1359">
        <f>ROUNDDOWN((1-$J$48)*'Кузнец'!S107)</f>
        <v>20</v>
      </c>
      <c r="T63" s="1359">
        <f>ROUNDDOWN((1-$J$48)*'Кузнец'!T107)</f>
        <v>23</v>
      </c>
      <c r="U63" s="1360" t="s">
        <v>1553</v>
      </c>
      <c r="V63" s="1361" t="s">
        <v>1465</v>
      </c>
      <c r="W63" s="1362">
        <v>14.0</v>
      </c>
      <c r="X63" s="1363">
        <v>290.0</v>
      </c>
      <c r="Y63" s="1360" t="s">
        <v>1477</v>
      </c>
      <c r="Z63" s="1360" t="s">
        <v>30</v>
      </c>
      <c r="AA63" s="1364" t="s">
        <v>1546</v>
      </c>
    </row>
    <row r="64">
      <c r="B64" s="1233" t="s">
        <v>1702</v>
      </c>
      <c r="C64" s="1369">
        <f t="shared" ref="C64:I64" si="32">$C$49*C$56+C65*C67</f>
        <v>1.12</v>
      </c>
      <c r="D64" s="1369">
        <f t="shared" si="32"/>
        <v>3.6</v>
      </c>
      <c r="E64" s="1369">
        <f t="shared" si="32"/>
        <v>9.44</v>
      </c>
      <c r="F64" s="1369">
        <f t="shared" si="32"/>
        <v>22.96</v>
      </c>
      <c r="G64" s="1369">
        <f t="shared" si="32"/>
        <v>56.16</v>
      </c>
      <c r="H64" s="1369">
        <f t="shared" si="32"/>
        <v>144.08</v>
      </c>
      <c r="I64" s="1369">
        <f t="shared" si="32"/>
        <v>390.88</v>
      </c>
      <c r="J64" s="1100"/>
      <c r="K64" s="1113">
        <v>2.0</v>
      </c>
      <c r="L64" s="1175"/>
      <c r="M64" s="1366" t="s">
        <v>1703</v>
      </c>
      <c r="N64" s="1367">
        <f>'Материалы и инструменты'!E$63*$C$186+$C$186*$D$186*$K78*C81</f>
        <v>5.6</v>
      </c>
      <c r="O64" s="1367">
        <f>'Материалы и инструменты'!F$63*$C$186+$C$186*$D$186*$K78*D81</f>
        <v>9.44</v>
      </c>
      <c r="P64" s="1367">
        <f>'Материалы и инструменты'!G$63*$C$186+$C$186*$D$186*$K78*E81</f>
        <v>15.84</v>
      </c>
      <c r="Q64" s="1367">
        <f>'Материалы и инструменты'!H$63*$C$186+$C$186*$D$186*$K78*F81</f>
        <v>28.64</v>
      </c>
      <c r="R64" s="1367">
        <f>'Материалы и инструменты'!I$63*$C$186+$C$186*$D$186*$K78*G81</f>
        <v>59.36</v>
      </c>
      <c r="S64" s="1367">
        <f>'Материалы и инструменты'!J$63*$C$186+$C$186*$D$186*$K78*H81</f>
        <v>142.56</v>
      </c>
      <c r="T64" s="1367">
        <f>'Материалы и инструменты'!K$63*$C$186+$C$186*$D$186*$K78*I81</f>
        <v>381.92</v>
      </c>
      <c r="U64" s="672"/>
      <c r="V64" s="672"/>
      <c r="W64" s="672"/>
      <c r="X64" s="672"/>
      <c r="Y64" s="672"/>
      <c r="Z64" s="672"/>
      <c r="AA64" s="672"/>
    </row>
    <row r="65">
      <c r="B65" s="1004" t="s">
        <v>1371</v>
      </c>
      <c r="C65" s="1365">
        <f t="shared" ref="C65:I65" si="33">$C$57*C66</f>
        <v>8</v>
      </c>
      <c r="D65" s="1365">
        <f t="shared" si="33"/>
        <v>12</v>
      </c>
      <c r="E65" s="1365">
        <f t="shared" si="33"/>
        <v>16</v>
      </c>
      <c r="F65" s="1365">
        <f t="shared" si="33"/>
        <v>20</v>
      </c>
      <c r="G65" s="1365">
        <f t="shared" si="33"/>
        <v>24</v>
      </c>
      <c r="H65" s="1365">
        <f t="shared" si="33"/>
        <v>28</v>
      </c>
      <c r="I65" s="1365">
        <f t="shared" si="33"/>
        <v>32</v>
      </c>
      <c r="J65" s="1100"/>
      <c r="K65" s="1113"/>
      <c r="L65" s="1370"/>
      <c r="M65" s="1371" t="s">
        <v>1704</v>
      </c>
      <c r="N65" s="1372"/>
      <c r="O65" s="1372"/>
      <c r="P65" s="1372"/>
      <c r="Q65" s="1372"/>
      <c r="R65" s="1372"/>
      <c r="S65" s="1372"/>
      <c r="T65" s="1372"/>
      <c r="U65" s="1372"/>
      <c r="V65" s="1372"/>
      <c r="W65" s="1372"/>
      <c r="X65" s="1373"/>
      <c r="Y65" s="1372"/>
      <c r="Z65" s="1372"/>
      <c r="AA65" s="1374"/>
    </row>
    <row r="66">
      <c r="B66" s="1004" t="s">
        <v>1385</v>
      </c>
      <c r="C66" s="1365">
        <f t="shared" ref="C66:I66" si="34">C$59*$K64</f>
        <v>2</v>
      </c>
      <c r="D66" s="1365">
        <f t="shared" si="34"/>
        <v>3</v>
      </c>
      <c r="E66" s="1365">
        <f t="shared" si="34"/>
        <v>4</v>
      </c>
      <c r="F66" s="1365">
        <f t="shared" si="34"/>
        <v>5</v>
      </c>
      <c r="G66" s="1365">
        <f t="shared" si="34"/>
        <v>6</v>
      </c>
      <c r="H66" s="1365">
        <f t="shared" si="34"/>
        <v>7</v>
      </c>
      <c r="I66" s="1365">
        <f t="shared" si="34"/>
        <v>8</v>
      </c>
      <c r="J66" s="1100"/>
      <c r="K66" s="1113"/>
      <c r="L66" s="1370"/>
      <c r="M66" s="1375" t="s">
        <v>1451</v>
      </c>
      <c r="N66" s="1376" t="str">
        <f>'Материалы и инструменты'!E62</f>
        <v>Орешник</v>
      </c>
      <c r="O66" s="1376" t="str">
        <f>'Материалы и инструменты'!F62</f>
        <v>Клён</v>
      </c>
      <c r="P66" s="1376" t="str">
        <f>'Материалы и инструменты'!G62</f>
        <v>Ясень</v>
      </c>
      <c r="Q66" s="1376" t="str">
        <f>'Материалы и инструменты'!H62</f>
        <v>Вяз</v>
      </c>
      <c r="R66" s="1376" t="str">
        <f>'Материалы и инструменты'!I62</f>
        <v>Кедр</v>
      </c>
      <c r="S66" s="1376" t="str">
        <f>'Материалы и инструменты'!J62</f>
        <v>Бальза</v>
      </c>
      <c r="T66" s="1376" t="str">
        <f>'Материалы и инструменты'!K62</f>
        <v>Тис</v>
      </c>
      <c r="U66" s="1377"/>
      <c r="V66" s="1377"/>
      <c r="W66" s="1377"/>
      <c r="X66" s="1378"/>
      <c r="Y66" s="1377"/>
      <c r="Z66" s="1377"/>
      <c r="AA66" s="1377"/>
    </row>
    <row r="67">
      <c r="B67" s="1004" t="s">
        <v>1372</v>
      </c>
      <c r="C67" s="1365">
        <f t="shared" ref="C67:I67" si="35">(0.02*C68)*C68</f>
        <v>0.08</v>
      </c>
      <c r="D67" s="1365">
        <f t="shared" si="35"/>
        <v>0.18</v>
      </c>
      <c r="E67" s="1365">
        <f t="shared" si="35"/>
        <v>0.32</v>
      </c>
      <c r="F67" s="1271">
        <f t="shared" si="35"/>
        <v>0.5</v>
      </c>
      <c r="G67" s="1365">
        <f t="shared" si="35"/>
        <v>0.72</v>
      </c>
      <c r="H67" s="1365">
        <f t="shared" si="35"/>
        <v>0.98</v>
      </c>
      <c r="I67" s="1365">
        <f t="shared" si="35"/>
        <v>1.28</v>
      </c>
      <c r="J67" s="1100"/>
      <c r="K67" s="1113"/>
      <c r="L67" s="1205"/>
      <c r="M67" s="1379" t="s">
        <v>1558</v>
      </c>
      <c r="N67" s="1380">
        <f>ROUNDDOWN((1-$J$48)*'Кузнец'!N110)</f>
        <v>7</v>
      </c>
      <c r="O67" s="1380">
        <f>ROUNDDOWN((1-$J$48)*'Кузнец'!O110)</f>
        <v>10</v>
      </c>
      <c r="P67" s="1380">
        <f>ROUNDDOWN((1-$J$48)*'Кузнец'!P110)</f>
        <v>13</v>
      </c>
      <c r="Q67" s="1380">
        <f>ROUNDDOWN((1-$J$48)*'Кузнец'!Q110)</f>
        <v>16</v>
      </c>
      <c r="R67" s="1380">
        <f>ROUNDDOWN((1-$J$48)*'Кузнец'!R110)</f>
        <v>20</v>
      </c>
      <c r="S67" s="1380">
        <f>ROUNDDOWN((1-$J$48)*'Кузнец'!S110)</f>
        <v>24</v>
      </c>
      <c r="T67" s="1380">
        <f>ROUNDDOWN((1-$J$48)*'Кузнец'!T110)</f>
        <v>26</v>
      </c>
      <c r="U67" s="1381" t="s">
        <v>1559</v>
      </c>
      <c r="V67" s="1382" t="s">
        <v>1698</v>
      </c>
      <c r="W67" s="1383">
        <v>10.0</v>
      </c>
      <c r="X67" s="1384">
        <v>160.0</v>
      </c>
      <c r="Y67" s="1381" t="s">
        <v>1462</v>
      </c>
      <c r="Z67" s="1385" t="s">
        <v>1114</v>
      </c>
      <c r="AA67" s="1386" t="s">
        <v>1560</v>
      </c>
    </row>
    <row r="68">
      <c r="B68" s="1004" t="s">
        <v>1687</v>
      </c>
      <c r="C68" s="1365">
        <f t="shared" ref="C68:I68" si="36">C61+1</f>
        <v>2</v>
      </c>
      <c r="D68" s="1365">
        <f t="shared" si="36"/>
        <v>3</v>
      </c>
      <c r="E68" s="1365">
        <f t="shared" si="36"/>
        <v>4</v>
      </c>
      <c r="F68" s="1271">
        <f t="shared" si="36"/>
        <v>5</v>
      </c>
      <c r="G68" s="1365">
        <f t="shared" si="36"/>
        <v>6</v>
      </c>
      <c r="H68" s="1365">
        <f t="shared" si="36"/>
        <v>7</v>
      </c>
      <c r="I68" s="1365">
        <f t="shared" si="36"/>
        <v>8</v>
      </c>
      <c r="J68" s="1100"/>
      <c r="K68" s="1113"/>
      <c r="L68" s="1175"/>
      <c r="M68" s="1366" t="s">
        <v>1705</v>
      </c>
      <c r="N68" s="1367">
        <f>'Материалы и инструменты'!E$63*$C$187+$C$187*$D$187*$K55*C60</f>
        <v>1.2</v>
      </c>
      <c r="O68" s="1367">
        <f>'Материалы и инструменты'!F$63*$C$187+$C$187*$D$187*$K55*D60</f>
        <v>3.84</v>
      </c>
      <c r="P68" s="1367">
        <f>'Материалы и инструменты'!G$63*$C$187+$C$187*$D$187*$K55*E60</f>
        <v>10.8</v>
      </c>
      <c r="Q68" s="1367">
        <f>'Материалы и инструменты'!H$63*$C$187+$C$187*$D$187*$K55*F60</f>
        <v>29.76</v>
      </c>
      <c r="R68" s="1367">
        <f>'Материалы и инструменты'!I$63*$C$187+$C$187*$D$187*$K55*G60</f>
        <v>83.76</v>
      </c>
      <c r="S68" s="1367">
        <f>'Материалы и инструменты'!J$63*$C$187+$C$187*$D$187*$K55*H60</f>
        <v>241.92</v>
      </c>
      <c r="T68" s="1367">
        <f>'Материалы и инструменты'!K$63*$C$187+$C$187*$D$187*$K55*I60</f>
        <v>711.6</v>
      </c>
      <c r="U68" s="672"/>
      <c r="V68" s="672"/>
      <c r="W68" s="672"/>
      <c r="X68" s="672"/>
      <c r="Y68" s="672"/>
      <c r="Z68" s="672"/>
      <c r="AA68" s="672"/>
    </row>
    <row r="69">
      <c r="B69" s="1274" t="s">
        <v>1688</v>
      </c>
      <c r="C69" s="1368">
        <f t="shared" ref="C69:I69" si="37">10+(C68-1)*2</f>
        <v>12</v>
      </c>
      <c r="D69" s="1368">
        <f t="shared" si="37"/>
        <v>14</v>
      </c>
      <c r="E69" s="1368">
        <f t="shared" si="37"/>
        <v>16</v>
      </c>
      <c r="F69" s="1368">
        <f t="shared" si="37"/>
        <v>18</v>
      </c>
      <c r="G69" s="1368">
        <f t="shared" si="37"/>
        <v>20</v>
      </c>
      <c r="H69" s="1368">
        <f t="shared" si="37"/>
        <v>22</v>
      </c>
      <c r="I69" s="1368">
        <f t="shared" si="37"/>
        <v>24</v>
      </c>
      <c r="J69" s="1100"/>
      <c r="K69" s="1113"/>
      <c r="L69" s="1205"/>
      <c r="M69" s="1379" t="s">
        <v>1562</v>
      </c>
      <c r="N69" s="1380">
        <f>ROUNDDOWN((1-$J$48)*'Кузнец'!N112)</f>
        <v>7</v>
      </c>
      <c r="O69" s="1380">
        <f>ROUNDDOWN((1-$J$48)*'Кузнец'!O112)</f>
        <v>10</v>
      </c>
      <c r="P69" s="1380">
        <f>ROUNDDOWN((1-$J$48)*'Кузнец'!P112)</f>
        <v>13</v>
      </c>
      <c r="Q69" s="1380">
        <f>ROUNDDOWN((1-$J$48)*'Кузнец'!Q112)</f>
        <v>17</v>
      </c>
      <c r="R69" s="1380">
        <f>ROUNDDOWN((1-$J$48)*'Кузнец'!R112)</f>
        <v>20</v>
      </c>
      <c r="S69" s="1380">
        <f>ROUNDDOWN((1-$J$48)*'Кузнец'!S112)</f>
        <v>24</v>
      </c>
      <c r="T69" s="1380">
        <f>ROUNDDOWN((1-$J$48)*'Кузнец'!T112)</f>
        <v>27</v>
      </c>
      <c r="U69" s="1381" t="s">
        <v>1563</v>
      </c>
      <c r="V69" s="1382" t="s">
        <v>1465</v>
      </c>
      <c r="W69" s="1383">
        <v>10.0</v>
      </c>
      <c r="X69" s="1384">
        <v>160.0</v>
      </c>
      <c r="Y69" s="1381" t="s">
        <v>1467</v>
      </c>
      <c r="Z69" s="1385" t="s">
        <v>1114</v>
      </c>
      <c r="AA69" s="1386" t="s">
        <v>1560</v>
      </c>
    </row>
    <row r="70">
      <c r="B70" s="1004" t="s">
        <v>1624</v>
      </c>
      <c r="C70" s="953" t="s">
        <v>1237</v>
      </c>
      <c r="D70" s="953" t="s">
        <v>1237</v>
      </c>
      <c r="E70" s="953" t="s">
        <v>1250</v>
      </c>
      <c r="F70" s="953" t="s">
        <v>1250</v>
      </c>
      <c r="G70" s="953" t="s">
        <v>1250</v>
      </c>
      <c r="H70" s="953" t="s">
        <v>1263</v>
      </c>
      <c r="I70" s="953" t="s">
        <v>1263</v>
      </c>
      <c r="J70" s="1100"/>
      <c r="L70" s="1175"/>
      <c r="M70" s="1366" t="s">
        <v>1706</v>
      </c>
      <c r="N70" s="1367">
        <f>'Материалы и инструменты'!E$63*$C$187+$C$187*$D$187*$K64*C67</f>
        <v>2.88</v>
      </c>
      <c r="O70" s="1367">
        <f>'Материалы и инструменты'!F$63*$C$187+$C$187*$D$187*$K64*D67</f>
        <v>7.2</v>
      </c>
      <c r="P70" s="1367">
        <f>'Материалы и инструменты'!G$63*$C$187+$C$187*$D$187*$K64*E67</f>
        <v>16.32</v>
      </c>
      <c r="Q70" s="1367">
        <f>'Материалы и инструменты'!H$63*$C$187+$C$187*$D$187*$K64*F67</f>
        <v>37.92</v>
      </c>
      <c r="R70" s="1367">
        <f>'Материалы и инструменты'!I$63*$C$187+$C$187*$D$187*$K64*G67</f>
        <v>95.04</v>
      </c>
      <c r="S70" s="1367">
        <f>'Материалы и инструменты'!J$63*$C$187+$C$187*$D$187*$K64*H67</f>
        <v>256.8</v>
      </c>
      <c r="T70" s="1367">
        <f>'Материалы и инструменты'!K$63*$C$187+$C$187*$D$187*$K64*I67</f>
        <v>730.56</v>
      </c>
      <c r="U70" s="672"/>
      <c r="V70" s="672"/>
      <c r="W70" s="672"/>
      <c r="X70" s="672"/>
      <c r="Y70" s="672"/>
      <c r="Z70" s="672"/>
      <c r="AA70" s="672"/>
    </row>
    <row r="71">
      <c r="B71" s="1233" t="s">
        <v>1707</v>
      </c>
      <c r="C71" s="1369">
        <f t="shared" ref="C71:I71" si="38">$C$49*C$56+C72*C74</f>
        <v>2.64</v>
      </c>
      <c r="D71" s="1369">
        <f t="shared" si="38"/>
        <v>7.2</v>
      </c>
      <c r="E71" s="1369">
        <f t="shared" si="38"/>
        <v>16.32</v>
      </c>
      <c r="F71" s="1369">
        <f t="shared" si="38"/>
        <v>34.56</v>
      </c>
      <c r="G71" s="1369">
        <f t="shared" si="38"/>
        <v>74.16</v>
      </c>
      <c r="H71" s="1369">
        <f t="shared" si="38"/>
        <v>170.4</v>
      </c>
      <c r="I71" s="1369">
        <f t="shared" si="38"/>
        <v>427.68</v>
      </c>
      <c r="J71" s="1100"/>
      <c r="K71" s="1113">
        <v>3.0</v>
      </c>
      <c r="L71" s="1205"/>
      <c r="M71" s="1379" t="s">
        <v>1565</v>
      </c>
      <c r="N71" s="1380">
        <f>ROUNDDOWN((1-$J$48)*'Кузнец'!N114)</f>
        <v>8</v>
      </c>
      <c r="O71" s="1380">
        <f>ROUNDDOWN((1-$J$48)*'Кузнец'!O114)</f>
        <v>11</v>
      </c>
      <c r="P71" s="1380">
        <f>ROUNDDOWN((1-$J$48)*'Кузнец'!P114)</f>
        <v>14</v>
      </c>
      <c r="Q71" s="1380">
        <f>ROUNDDOWN((1-$J$48)*'Кузнец'!Q114)</f>
        <v>17</v>
      </c>
      <c r="R71" s="1380">
        <f>ROUNDDOWN((1-$J$48)*'Кузнец'!R114)</f>
        <v>21</v>
      </c>
      <c r="S71" s="1380">
        <f>ROUNDDOWN((1-$J$48)*'Кузнец'!S114)</f>
        <v>25</v>
      </c>
      <c r="T71" s="1380">
        <f>ROUNDDOWN((1-$J$48)*'Кузнец'!T114)</f>
        <v>29</v>
      </c>
      <c r="U71" s="1381" t="s">
        <v>1566</v>
      </c>
      <c r="V71" s="1382" t="s">
        <v>1465</v>
      </c>
      <c r="W71" s="1383">
        <v>10.0</v>
      </c>
      <c r="X71" s="1384">
        <v>160.0</v>
      </c>
      <c r="Y71" s="1381" t="s">
        <v>1470</v>
      </c>
      <c r="Z71" s="1385" t="s">
        <v>1114</v>
      </c>
      <c r="AA71" s="1386" t="s">
        <v>1560</v>
      </c>
    </row>
    <row r="72">
      <c r="B72" s="1004" t="s">
        <v>1371</v>
      </c>
      <c r="C72" s="1365">
        <f t="shared" ref="C72:I72" si="39">$C$57*C73</f>
        <v>12</v>
      </c>
      <c r="D72" s="1365">
        <f t="shared" si="39"/>
        <v>18</v>
      </c>
      <c r="E72" s="1365">
        <f t="shared" si="39"/>
        <v>24</v>
      </c>
      <c r="F72" s="1365">
        <f t="shared" si="39"/>
        <v>30</v>
      </c>
      <c r="G72" s="1365">
        <f t="shared" si="39"/>
        <v>36</v>
      </c>
      <c r="H72" s="1365">
        <f t="shared" si="39"/>
        <v>42</v>
      </c>
      <c r="I72" s="1365">
        <f t="shared" si="39"/>
        <v>48</v>
      </c>
      <c r="J72" s="1100"/>
      <c r="K72" s="1113"/>
      <c r="L72" s="1175"/>
      <c r="M72" s="1366" t="s">
        <v>1708</v>
      </c>
      <c r="N72" s="1367">
        <f>'Материалы и инструменты'!E$63*$C$187+$C$187*$D$187*$K71*C74</f>
        <v>7.44</v>
      </c>
      <c r="O72" s="1367">
        <f>'Материалы и инструменты'!F$63*$C$187+$C$187*$D$187*$K71*D74</f>
        <v>14.4</v>
      </c>
      <c r="P72" s="1367">
        <f>'Материалы и инструменты'!G$63*$C$187+$C$187*$D$187*$K71*E74</f>
        <v>26.64</v>
      </c>
      <c r="Q72" s="1367">
        <f>'Материалы и инструменты'!H$63*$C$187+$C$187*$D$187*$K71*F74</f>
        <v>51.84</v>
      </c>
      <c r="R72" s="1367">
        <f>'Материалы и инструменты'!I$63*$C$187+$C$187*$D$187*$K71*G74</f>
        <v>113.04</v>
      </c>
      <c r="S72" s="1367">
        <f>'Материалы и инструменты'!J$63*$C$187+$C$187*$D$187*$K71*H74</f>
        <v>279.36</v>
      </c>
      <c r="T72" s="1367">
        <f>'Материалы и инструменты'!K$63*$C$187+$C$187*$D$187*$K71*I74</f>
        <v>758.16</v>
      </c>
      <c r="U72" s="672"/>
      <c r="V72" s="672"/>
      <c r="W72" s="672"/>
      <c r="X72" s="672"/>
      <c r="Y72" s="672"/>
      <c r="Z72" s="672"/>
      <c r="AA72" s="672"/>
    </row>
    <row r="73">
      <c r="B73" s="1004" t="s">
        <v>1385</v>
      </c>
      <c r="C73" s="1365">
        <f t="shared" ref="C73:I73" si="40">C$59*$K71</f>
        <v>3</v>
      </c>
      <c r="D73" s="1365">
        <f t="shared" si="40"/>
        <v>4.5</v>
      </c>
      <c r="E73" s="1365">
        <f t="shared" si="40"/>
        <v>6</v>
      </c>
      <c r="F73" s="1365">
        <f t="shared" si="40"/>
        <v>7.5</v>
      </c>
      <c r="G73" s="1365">
        <f t="shared" si="40"/>
        <v>9</v>
      </c>
      <c r="H73" s="1365">
        <f t="shared" si="40"/>
        <v>10.5</v>
      </c>
      <c r="I73" s="1365">
        <f t="shared" si="40"/>
        <v>12</v>
      </c>
      <c r="J73" s="1100"/>
      <c r="K73" s="1113"/>
      <c r="L73" s="1205"/>
      <c r="M73" s="1379" t="s">
        <v>1567</v>
      </c>
      <c r="N73" s="1380">
        <f>ROUNDDOWN((1-$J$48)*'Кузнец'!N116)</f>
        <v>8</v>
      </c>
      <c r="O73" s="1380">
        <f>ROUNDDOWN((1-$J$48)*'Кузнец'!O116)</f>
        <v>11</v>
      </c>
      <c r="P73" s="1380">
        <f>ROUNDDOWN((1-$J$48)*'Кузнец'!P116)</f>
        <v>14</v>
      </c>
      <c r="Q73" s="1380">
        <f>ROUNDDOWN((1-$J$48)*'Кузнец'!Q116)</f>
        <v>18</v>
      </c>
      <c r="R73" s="1380">
        <f>ROUNDDOWN((1-$J$48)*'Кузнец'!R116)</f>
        <v>21</v>
      </c>
      <c r="S73" s="1380">
        <f>ROUNDDOWN((1-$J$48)*'Кузнец'!S116)</f>
        <v>25</v>
      </c>
      <c r="T73" s="1380">
        <f>ROUNDDOWN((1-$J$48)*'Кузнец'!T116)</f>
        <v>30</v>
      </c>
      <c r="U73" s="1381" t="s">
        <v>1568</v>
      </c>
      <c r="V73" s="1382" t="s">
        <v>1465</v>
      </c>
      <c r="W73" s="1383">
        <v>10.0</v>
      </c>
      <c r="X73" s="1384">
        <v>160.0</v>
      </c>
      <c r="Y73" s="1381" t="s">
        <v>1477</v>
      </c>
      <c r="Z73" s="1385" t="s">
        <v>1114</v>
      </c>
      <c r="AA73" s="1386" t="s">
        <v>1560</v>
      </c>
    </row>
    <row r="74">
      <c r="B74" s="1004" t="s">
        <v>1372</v>
      </c>
      <c r="C74" s="1365">
        <f t="shared" ref="C74:I74" si="41">(0.02*C75)*C75</f>
        <v>0.18</v>
      </c>
      <c r="D74" s="1365">
        <f t="shared" si="41"/>
        <v>0.32</v>
      </c>
      <c r="E74" s="1365">
        <f t="shared" si="41"/>
        <v>0.5</v>
      </c>
      <c r="F74" s="1271">
        <f t="shared" si="41"/>
        <v>0.72</v>
      </c>
      <c r="G74" s="1365">
        <f t="shared" si="41"/>
        <v>0.98</v>
      </c>
      <c r="H74" s="1365">
        <f t="shared" si="41"/>
        <v>1.28</v>
      </c>
      <c r="I74" s="1365">
        <f t="shared" si="41"/>
        <v>1.62</v>
      </c>
      <c r="J74" s="1100"/>
      <c r="K74" s="1113"/>
      <c r="L74" s="1175"/>
      <c r="M74" s="1366" t="s">
        <v>1709</v>
      </c>
      <c r="N74" s="1367">
        <f>'Материалы и инструменты'!E$63*$C$187+$C$187*$D$187*$K78*C81</f>
        <v>16.32</v>
      </c>
      <c r="O74" s="1367">
        <f>'Материалы и инструменты'!F$63*$C$187+$C$187*$D$187*$K78*D81</f>
        <v>26.88</v>
      </c>
      <c r="P74" s="1367">
        <f>'Материалы и инструменты'!G$63*$C$187+$C$187*$D$187*$K78*E81</f>
        <v>43.2</v>
      </c>
      <c r="Q74" s="1367">
        <f>'Материалы и инструменты'!H$63*$C$187+$C$187*$D$187*$K78*F81</f>
        <v>72.96</v>
      </c>
      <c r="R74" s="1367">
        <f>'Материалы и инструменты'!I$63*$C$187+$C$187*$D$187*$K78*G81</f>
        <v>139.2</v>
      </c>
      <c r="S74" s="1367">
        <f>'Материалы и инструменты'!J$63*$C$187+$C$187*$D$187*$K78*H81</f>
        <v>311.04</v>
      </c>
      <c r="T74" s="1367">
        <f>'Материалы и инструменты'!K$63*$C$187+$C$187*$D$187*$K78*I81</f>
        <v>795.84</v>
      </c>
      <c r="U74" s="672"/>
      <c r="V74" s="672"/>
      <c r="W74" s="672"/>
      <c r="X74" s="672"/>
      <c r="Y74" s="672"/>
      <c r="Z74" s="672"/>
      <c r="AA74" s="672"/>
    </row>
    <row r="75">
      <c r="B75" s="1004" t="s">
        <v>1687</v>
      </c>
      <c r="C75" s="1365">
        <f t="shared" ref="C75:I75" si="42">C68+1</f>
        <v>3</v>
      </c>
      <c r="D75" s="1365">
        <f t="shared" si="42"/>
        <v>4</v>
      </c>
      <c r="E75" s="1365">
        <f t="shared" si="42"/>
        <v>5</v>
      </c>
      <c r="F75" s="1271">
        <f t="shared" si="42"/>
        <v>6</v>
      </c>
      <c r="G75" s="1365">
        <f t="shared" si="42"/>
        <v>7</v>
      </c>
      <c r="H75" s="1365">
        <f t="shared" si="42"/>
        <v>8</v>
      </c>
      <c r="I75" s="1365">
        <f t="shared" si="42"/>
        <v>9</v>
      </c>
      <c r="J75" s="1100"/>
      <c r="K75" s="1113"/>
      <c r="L75" s="1370"/>
      <c r="M75" s="1387" t="s">
        <v>1710</v>
      </c>
      <c r="N75" s="1388"/>
      <c r="O75" s="1388"/>
      <c r="P75" s="1388"/>
      <c r="Q75" s="1388"/>
      <c r="R75" s="1388"/>
      <c r="S75" s="1388"/>
      <c r="T75" s="1388"/>
      <c r="U75" s="1388"/>
      <c r="V75" s="1388"/>
      <c r="W75" s="1388"/>
      <c r="X75" s="1389"/>
      <c r="Y75" s="1388"/>
      <c r="Z75" s="1388"/>
      <c r="AA75" s="1390"/>
    </row>
    <row r="76">
      <c r="B76" s="1274" t="s">
        <v>1688</v>
      </c>
      <c r="C76" s="1368">
        <f t="shared" ref="C76:I76" si="43">10+(C75-1)*2</f>
        <v>14</v>
      </c>
      <c r="D76" s="1368">
        <f t="shared" si="43"/>
        <v>16</v>
      </c>
      <c r="E76" s="1368">
        <f t="shared" si="43"/>
        <v>18</v>
      </c>
      <c r="F76" s="1368">
        <f t="shared" si="43"/>
        <v>20</v>
      </c>
      <c r="G76" s="1368">
        <f t="shared" si="43"/>
        <v>22</v>
      </c>
      <c r="H76" s="1368">
        <f t="shared" si="43"/>
        <v>24</v>
      </c>
      <c r="I76" s="1368">
        <f t="shared" si="43"/>
        <v>26</v>
      </c>
      <c r="J76" s="1100"/>
      <c r="K76" s="1113"/>
      <c r="L76" s="1370"/>
      <c r="M76" s="1391" t="s">
        <v>1451</v>
      </c>
      <c r="N76" s="1392" t="str">
        <f>'Материалы и инструменты'!E62</f>
        <v>Орешник</v>
      </c>
      <c r="O76" s="1392" t="str">
        <f>'Материалы и инструменты'!F62</f>
        <v>Клён</v>
      </c>
      <c r="P76" s="1392" t="str">
        <f>'Материалы и инструменты'!G62</f>
        <v>Ясень</v>
      </c>
      <c r="Q76" s="1392" t="str">
        <f>'Материалы и инструменты'!H62</f>
        <v>Вяз</v>
      </c>
      <c r="R76" s="1392" t="str">
        <f>'Материалы и инструменты'!I62</f>
        <v>Кедр</v>
      </c>
      <c r="S76" s="1392" t="str">
        <f>'Материалы и инструменты'!J62</f>
        <v>Бальза</v>
      </c>
      <c r="T76" s="1392" t="str">
        <f>'Материалы и инструменты'!K62</f>
        <v>Тис</v>
      </c>
      <c r="U76" s="1393"/>
      <c r="V76" s="1393"/>
      <c r="W76" s="1393"/>
      <c r="X76" s="1394"/>
      <c r="Y76" s="1393"/>
      <c r="Z76" s="1393"/>
      <c r="AA76" s="1393"/>
    </row>
    <row r="77">
      <c r="B77" s="1004" t="s">
        <v>1624</v>
      </c>
      <c r="C77" s="953" t="s">
        <v>1237</v>
      </c>
      <c r="D77" s="953" t="s">
        <v>1250</v>
      </c>
      <c r="E77" s="953" t="s">
        <v>1250</v>
      </c>
      <c r="F77" s="953" t="s">
        <v>1250</v>
      </c>
      <c r="G77" s="953" t="s">
        <v>1263</v>
      </c>
      <c r="H77" s="953" t="s">
        <v>1263</v>
      </c>
      <c r="I77" s="953" t="s">
        <v>1263</v>
      </c>
      <c r="J77" s="1100"/>
      <c r="L77" s="1205"/>
      <c r="M77" s="1395" t="s">
        <v>1570</v>
      </c>
      <c r="N77" s="1396">
        <f>ROUNDDOWN((1-$J$48)*'Кузнец'!N119)</f>
        <v>9</v>
      </c>
      <c r="O77" s="1396">
        <f>ROUNDDOWN((1-$J$48)*'Кузнец'!O119)</f>
        <v>12</v>
      </c>
      <c r="P77" s="1396">
        <f>ROUNDDOWN((1-$J$48)*'Кузнец'!P119)</f>
        <v>16</v>
      </c>
      <c r="Q77" s="1396">
        <f>ROUNDDOWN((1-$J$48)*'Кузнец'!Q119)</f>
        <v>20</v>
      </c>
      <c r="R77" s="1396">
        <f>ROUNDDOWN((1-$J$48)*'Кузнец'!R119)</f>
        <v>24</v>
      </c>
      <c r="S77" s="1396">
        <f>ROUNDDOWN((1-$J$48)*'Кузнец'!S119)</f>
        <v>28</v>
      </c>
      <c r="T77" s="1396">
        <f>ROUNDDOWN((1-$J$48)*'Кузнец'!T119)</f>
        <v>35</v>
      </c>
      <c r="U77" s="1397" t="s">
        <v>1530</v>
      </c>
      <c r="V77" s="1398" t="s">
        <v>1698</v>
      </c>
      <c r="W77" s="1399">
        <v>6.0</v>
      </c>
      <c r="X77" s="1400">
        <v>80.0</v>
      </c>
      <c r="Y77" s="1397" t="s">
        <v>1462</v>
      </c>
      <c r="Z77" s="1401" t="s">
        <v>1711</v>
      </c>
      <c r="AA77" s="1402" t="s">
        <v>1712</v>
      </c>
    </row>
    <row r="78">
      <c r="B78" s="1233" t="s">
        <v>1713</v>
      </c>
      <c r="C78" s="1369">
        <f t="shared" ref="C78:I78" si="44">$C$49*C$56+C79*C81</f>
        <v>5.6</v>
      </c>
      <c r="D78" s="1369">
        <f t="shared" si="44"/>
        <v>13.44</v>
      </c>
      <c r="E78" s="1369">
        <f t="shared" si="44"/>
        <v>27.36</v>
      </c>
      <c r="F78" s="1369">
        <f t="shared" si="44"/>
        <v>52.16</v>
      </c>
      <c r="G78" s="1369">
        <f t="shared" si="44"/>
        <v>100.32</v>
      </c>
      <c r="H78" s="1369">
        <f t="shared" si="44"/>
        <v>207.36</v>
      </c>
      <c r="I78" s="1369">
        <f t="shared" si="44"/>
        <v>477.92</v>
      </c>
      <c r="J78" s="1100"/>
      <c r="K78" s="1113">
        <v>4.0</v>
      </c>
      <c r="L78" s="1175"/>
      <c r="M78" s="1366" t="s">
        <v>1714</v>
      </c>
      <c r="N78" s="1367">
        <f>'Материалы и инструменты'!E$63*$C$188+$C$188*$D$188*$K55*C60</f>
        <v>2.56</v>
      </c>
      <c r="O78" s="1367">
        <f>'Материалы и инструменты'!F$63*$C$188+$C$188*$D$188*$K55*D60</f>
        <v>8.32</v>
      </c>
      <c r="P78" s="1367">
        <f>'Материалы и инструменты'!G$63*$C$188+$C$188*$D$188*$K55*E60</f>
        <v>23.04</v>
      </c>
      <c r="Q78" s="1367">
        <f>'Материалы и инструменты'!H$63*$C$188+$C$188*$D$188*$K55*F60</f>
        <v>62.08</v>
      </c>
      <c r="R78" s="1367">
        <f>'Материалы и инструменты'!I$63*$C$188+$C$188*$D$188*$K55*G60</f>
        <v>171.52</v>
      </c>
      <c r="S78" s="1367">
        <f>'Материалы и инструменты'!J$63*$C$188+$C$188*$D$188*$K55*H60</f>
        <v>489.6</v>
      </c>
      <c r="T78" s="1367">
        <f>'Материалы и инструменты'!K$63*$C$188+$C$188*$D$188*$K55*I60</f>
        <v>1431.04</v>
      </c>
      <c r="U78" s="672"/>
      <c r="V78" s="672"/>
      <c r="W78" s="672"/>
      <c r="X78" s="672"/>
      <c r="Y78" s="672"/>
      <c r="Z78" s="672"/>
      <c r="AA78" s="672"/>
    </row>
    <row r="79">
      <c r="B79" s="1004" t="s">
        <v>1371</v>
      </c>
      <c r="C79" s="1365">
        <f t="shared" ref="C79:I79" si="45">$C$57*C80</f>
        <v>16</v>
      </c>
      <c r="D79" s="1365">
        <f t="shared" si="45"/>
        <v>24</v>
      </c>
      <c r="E79" s="1365">
        <f t="shared" si="45"/>
        <v>32</v>
      </c>
      <c r="F79" s="1365">
        <f t="shared" si="45"/>
        <v>40</v>
      </c>
      <c r="G79" s="1365">
        <f t="shared" si="45"/>
        <v>48</v>
      </c>
      <c r="H79" s="1365">
        <f t="shared" si="45"/>
        <v>56</v>
      </c>
      <c r="I79" s="1365">
        <f t="shared" si="45"/>
        <v>64</v>
      </c>
      <c r="J79" s="1100"/>
      <c r="K79" s="1100"/>
      <c r="L79" s="1205"/>
      <c r="M79" s="1395" t="s">
        <v>1573</v>
      </c>
      <c r="N79" s="1396">
        <f>ROUNDDOWN((1-$J$48)*'Кузнец'!N121)</f>
        <v>10</v>
      </c>
      <c r="O79" s="1396">
        <f>ROUNDDOWN((1-$J$48)*'Кузнец'!O121)</f>
        <v>13</v>
      </c>
      <c r="P79" s="1396">
        <f>ROUNDDOWN((1-$J$48)*'Кузнец'!P121)</f>
        <v>17</v>
      </c>
      <c r="Q79" s="1396">
        <f>ROUNDDOWN((1-$J$48)*'Кузнец'!Q121)</f>
        <v>21</v>
      </c>
      <c r="R79" s="1396">
        <f>ROUNDDOWN((1-$J$48)*'Кузнец'!R121)</f>
        <v>25</v>
      </c>
      <c r="S79" s="1396">
        <f>ROUNDDOWN((1-$J$48)*'Кузнец'!S121)</f>
        <v>29</v>
      </c>
      <c r="T79" s="1396">
        <f>ROUNDDOWN((1-$J$48)*'Кузнец'!T121)</f>
        <v>37</v>
      </c>
      <c r="U79" s="1397" t="s">
        <v>1574</v>
      </c>
      <c r="V79" s="1398" t="s">
        <v>1465</v>
      </c>
      <c r="W79" s="1399">
        <v>6.0</v>
      </c>
      <c r="X79" s="1400">
        <v>80.0</v>
      </c>
      <c r="Y79" s="1397" t="s">
        <v>1467</v>
      </c>
      <c r="Z79" s="1401" t="s">
        <v>1711</v>
      </c>
      <c r="AA79" s="1402" t="s">
        <v>1712</v>
      </c>
    </row>
    <row r="80">
      <c r="B80" s="1004" t="s">
        <v>1385</v>
      </c>
      <c r="C80" s="1365">
        <f t="shared" ref="C80:I80" si="46">C$59*$K78</f>
        <v>4</v>
      </c>
      <c r="D80" s="1365">
        <f t="shared" si="46"/>
        <v>6</v>
      </c>
      <c r="E80" s="1365">
        <f t="shared" si="46"/>
        <v>8</v>
      </c>
      <c r="F80" s="1365">
        <f t="shared" si="46"/>
        <v>10</v>
      </c>
      <c r="G80" s="1365">
        <f t="shared" si="46"/>
        <v>12</v>
      </c>
      <c r="H80" s="1365">
        <f t="shared" si="46"/>
        <v>14</v>
      </c>
      <c r="I80" s="1365">
        <f t="shared" si="46"/>
        <v>16</v>
      </c>
      <c r="J80" s="1100"/>
      <c r="K80" s="1100"/>
      <c r="L80" s="1175"/>
      <c r="M80" s="1366" t="s">
        <v>1715</v>
      </c>
      <c r="N80" s="1367">
        <f>'Материалы и инструменты'!E$63*$C$188+$C$188*$D$188*$K64*C67</f>
        <v>7.04</v>
      </c>
      <c r="O80" s="1367">
        <f>'Материалы и инструменты'!F$63*$C$188+$C$188*$D$188*$K64*D67</f>
        <v>17.28</v>
      </c>
      <c r="P80" s="1367">
        <f>'Материалы и инструменты'!G$63*$C$188+$C$188*$D$188*$K64*E67</f>
        <v>37.76</v>
      </c>
      <c r="Q80" s="1367">
        <f>'Материалы и инструменты'!H$63*$C$188+$C$188*$D$188*$K64*F67</f>
        <v>83.84</v>
      </c>
      <c r="R80" s="1367">
        <f>'Материалы и инструменты'!I$63*$C$188+$C$188*$D$188*$K64*G67</f>
        <v>201.6</v>
      </c>
      <c r="S80" s="1367">
        <f>'Материалы и инструменты'!J$63*$C$188+$C$188*$D$188*$K64*H67</f>
        <v>529.28</v>
      </c>
      <c r="T80" s="1367">
        <f>'Материалы и инструменты'!K$63*$C$188+$C$188*$D$188*$K64*I67</f>
        <v>1481.6</v>
      </c>
      <c r="U80" s="672"/>
      <c r="V80" s="672"/>
      <c r="W80" s="672"/>
      <c r="X80" s="672"/>
      <c r="Y80" s="672"/>
      <c r="Z80" s="672"/>
      <c r="AA80" s="672"/>
    </row>
    <row r="81">
      <c r="B81" s="1004" t="s">
        <v>1372</v>
      </c>
      <c r="C81" s="1365">
        <f t="shared" ref="C81:I81" si="47">(0.02*C82)*C82</f>
        <v>0.32</v>
      </c>
      <c r="D81" s="1365">
        <f t="shared" si="47"/>
        <v>0.5</v>
      </c>
      <c r="E81" s="1365">
        <f t="shared" si="47"/>
        <v>0.72</v>
      </c>
      <c r="F81" s="1271">
        <f t="shared" si="47"/>
        <v>0.98</v>
      </c>
      <c r="G81" s="1365">
        <f t="shared" si="47"/>
        <v>1.28</v>
      </c>
      <c r="H81" s="1365">
        <f t="shared" si="47"/>
        <v>1.62</v>
      </c>
      <c r="I81" s="1365">
        <f t="shared" si="47"/>
        <v>2</v>
      </c>
      <c r="J81" s="1100"/>
      <c r="K81" s="1100"/>
      <c r="L81" s="1205"/>
      <c r="M81" s="1395" t="s">
        <v>1575</v>
      </c>
      <c r="N81" s="1396">
        <f>ROUNDDOWN((1-$J$48)*'Кузнец'!N123)</f>
        <v>11</v>
      </c>
      <c r="O81" s="1396">
        <f>ROUNDDOWN((1-$J$48)*'Кузнец'!O123)</f>
        <v>14</v>
      </c>
      <c r="P81" s="1396">
        <f>ROUNDDOWN((1-$J$48)*'Кузнец'!P123)</f>
        <v>18</v>
      </c>
      <c r="Q81" s="1396">
        <f>ROUNDDOWN((1-$J$48)*'Кузнец'!Q123)</f>
        <v>22</v>
      </c>
      <c r="R81" s="1396">
        <f>ROUNDDOWN((1-$J$48)*'Кузнец'!R123)</f>
        <v>26</v>
      </c>
      <c r="S81" s="1396">
        <f>ROUNDDOWN((1-$J$48)*'Кузнец'!S123)</f>
        <v>30</v>
      </c>
      <c r="T81" s="1396">
        <f>ROUNDDOWN((1-$J$48)*'Кузнец'!T123)</f>
        <v>39</v>
      </c>
      <c r="U81" s="1397" t="s">
        <v>1576</v>
      </c>
      <c r="V81" s="1398" t="s">
        <v>1465</v>
      </c>
      <c r="W81" s="1399">
        <v>6.0</v>
      </c>
      <c r="X81" s="1400">
        <v>80.0</v>
      </c>
      <c r="Y81" s="1397" t="s">
        <v>1470</v>
      </c>
      <c r="Z81" s="1401" t="s">
        <v>1711</v>
      </c>
      <c r="AA81" s="1402" t="s">
        <v>1712</v>
      </c>
    </row>
    <row r="82">
      <c r="B82" s="1004" t="s">
        <v>1687</v>
      </c>
      <c r="C82" s="1365">
        <f t="shared" ref="C82:I82" si="48">C75+1</f>
        <v>4</v>
      </c>
      <c r="D82" s="1365">
        <f t="shared" si="48"/>
        <v>5</v>
      </c>
      <c r="E82" s="1365">
        <f t="shared" si="48"/>
        <v>6</v>
      </c>
      <c r="F82" s="1271">
        <f t="shared" si="48"/>
        <v>7</v>
      </c>
      <c r="G82" s="1365">
        <f t="shared" si="48"/>
        <v>8</v>
      </c>
      <c r="H82" s="1365">
        <f t="shared" si="48"/>
        <v>9</v>
      </c>
      <c r="I82" s="1365">
        <f t="shared" si="48"/>
        <v>10</v>
      </c>
      <c r="J82" s="1100"/>
      <c r="K82" s="1100"/>
      <c r="L82" s="1175"/>
      <c r="M82" s="1366" t="s">
        <v>1716</v>
      </c>
      <c r="N82" s="1367">
        <f>'Материалы и инструменты'!E$63*$C$188+$C$188*$D$188*$K71*C74</f>
        <v>19.2</v>
      </c>
      <c r="O82" s="1367">
        <f>'Материалы и инструменты'!F$63*$C$188+$C$188*$D$188*$K71*D74</f>
        <v>36.48</v>
      </c>
      <c r="P82" s="1367">
        <f>'Материалы и инструменты'!G$63*$C$188+$C$188*$D$188*$K71*E74</f>
        <v>65.28</v>
      </c>
      <c r="Q82" s="1367">
        <f>'Материалы и инструменты'!H$63*$C$188+$C$188*$D$188*$K71*F74</f>
        <v>120.96</v>
      </c>
      <c r="R82" s="1367">
        <f>'Материалы и инструменты'!I$63*$C$188+$C$188*$D$188*$K71*G74</f>
        <v>249.6</v>
      </c>
      <c r="S82" s="1367">
        <f>'Материалы и инструменты'!J$63*$C$188+$C$188*$D$188*$K71*H74</f>
        <v>589.44</v>
      </c>
      <c r="T82" s="1367">
        <f>'Материалы и инструменты'!K$63*$C$188+$C$188*$D$188*$K71*I74</f>
        <v>1555.2</v>
      </c>
      <c r="U82" s="672"/>
      <c r="V82" s="672"/>
      <c r="W82" s="672"/>
      <c r="X82" s="672"/>
      <c r="Y82" s="672"/>
      <c r="Z82" s="672"/>
      <c r="AA82" s="672"/>
    </row>
    <row r="83">
      <c r="B83" s="1274" t="s">
        <v>1688</v>
      </c>
      <c r="C83" s="1368">
        <f t="shared" ref="C83:I83" si="49">10+(C82-1)*2</f>
        <v>16</v>
      </c>
      <c r="D83" s="1368">
        <f t="shared" si="49"/>
        <v>18</v>
      </c>
      <c r="E83" s="1368">
        <f t="shared" si="49"/>
        <v>20</v>
      </c>
      <c r="F83" s="1368">
        <f t="shared" si="49"/>
        <v>22</v>
      </c>
      <c r="G83" s="1368">
        <f t="shared" si="49"/>
        <v>24</v>
      </c>
      <c r="H83" s="1368">
        <f t="shared" si="49"/>
        <v>26</v>
      </c>
      <c r="I83" s="1368">
        <f t="shared" si="49"/>
        <v>28</v>
      </c>
      <c r="J83" s="1100"/>
      <c r="K83" s="1100"/>
      <c r="L83" s="1205"/>
      <c r="M83" s="1395" t="s">
        <v>1577</v>
      </c>
      <c r="N83" s="1396">
        <f>ROUNDDOWN((1-$J$48)*'Кузнец'!N125)</f>
        <v>12</v>
      </c>
      <c r="O83" s="1396">
        <f>ROUNDDOWN((1-$J$48)*'Кузнец'!O125)</f>
        <v>15</v>
      </c>
      <c r="P83" s="1396">
        <f>ROUNDDOWN((1-$J$48)*'Кузнец'!P125)</f>
        <v>19</v>
      </c>
      <c r="Q83" s="1396">
        <f>ROUNDDOWN((1-$J$48)*'Кузнец'!Q125)</f>
        <v>23</v>
      </c>
      <c r="R83" s="1396">
        <f>ROUNDDOWN((1-$J$48)*'Кузнец'!R125)</f>
        <v>27</v>
      </c>
      <c r="S83" s="1396">
        <f>ROUNDDOWN((1-$J$48)*'Кузнец'!S125)</f>
        <v>31</v>
      </c>
      <c r="T83" s="1396">
        <f>ROUNDDOWN((1-$J$48)*'Кузнец'!T125)</f>
        <v>41</v>
      </c>
      <c r="U83" s="1397" t="s">
        <v>1578</v>
      </c>
      <c r="V83" s="1398" t="s">
        <v>1465</v>
      </c>
      <c r="W83" s="1399">
        <v>6.0</v>
      </c>
      <c r="X83" s="1400">
        <v>80.0</v>
      </c>
      <c r="Y83" s="1397" t="s">
        <v>1477</v>
      </c>
      <c r="Z83" s="1401" t="s">
        <v>1711</v>
      </c>
      <c r="AA83" s="1402" t="s">
        <v>1712</v>
      </c>
    </row>
    <row r="84">
      <c r="B84" s="1004" t="s">
        <v>1624</v>
      </c>
      <c r="C84" s="953" t="s">
        <v>1250</v>
      </c>
      <c r="D84" s="953" t="s">
        <v>1250</v>
      </c>
      <c r="E84" s="953" t="s">
        <v>1250</v>
      </c>
      <c r="F84" s="953" t="s">
        <v>1263</v>
      </c>
      <c r="G84" s="953" t="s">
        <v>1263</v>
      </c>
      <c r="H84" s="953" t="s">
        <v>1263</v>
      </c>
      <c r="I84" s="953" t="s">
        <v>1263</v>
      </c>
      <c r="J84" s="1100"/>
      <c r="K84" s="1100"/>
      <c r="L84" s="1175"/>
      <c r="M84" s="1366" t="s">
        <v>1717</v>
      </c>
      <c r="N84" s="1367">
        <f>'Материалы и инструменты'!E$63*$C$188+$C$188*$D$188*$K78*C81</f>
        <v>42.88</v>
      </c>
      <c r="O84" s="1367">
        <f>'Материалы и инструменты'!F$63*$C$188+$C$188*$D$188*$K78*D81</f>
        <v>69.76</v>
      </c>
      <c r="P84" s="1367">
        <f>'Материалы и инструменты'!G$63*$C$188+$C$188*$D$188*$K78*E81</f>
        <v>109.44</v>
      </c>
      <c r="Q84" s="1367">
        <f>'Материалы и инструменты'!H$63*$C$188+$C$188*$D$188*$K78*F81</f>
        <v>177.28</v>
      </c>
      <c r="R84" s="1367">
        <f>'Материалы и инструменты'!I$63*$C$188+$C$188*$D$188*$K78*G81</f>
        <v>319.36</v>
      </c>
      <c r="S84" s="1367">
        <f>'Материалы и инструменты'!J$63*$C$188+$C$188*$D$188*$K78*H81</f>
        <v>673.92</v>
      </c>
      <c r="T84" s="1367">
        <f>'Материалы и инструменты'!K$63*$C$188+$C$188*$D$188*$K78*I81</f>
        <v>1655.68</v>
      </c>
      <c r="U84" s="672"/>
      <c r="V84" s="672"/>
      <c r="W84" s="672"/>
      <c r="X84" s="672"/>
      <c r="Y84" s="672"/>
      <c r="Z84" s="672"/>
      <c r="AA84" s="672"/>
    </row>
    <row r="85">
      <c r="B85" s="1277"/>
      <c r="C85" s="545"/>
      <c r="D85" s="545"/>
      <c r="E85" s="545"/>
      <c r="F85" s="1100"/>
      <c r="G85" s="545"/>
      <c r="H85" s="545"/>
      <c r="I85" s="545"/>
      <c r="J85" s="1100"/>
      <c r="K85" s="1100"/>
      <c r="L85" s="1100"/>
      <c r="M85" s="1100"/>
      <c r="N85" s="1100"/>
      <c r="O85" s="1100"/>
      <c r="P85" s="1100"/>
    </row>
    <row r="86">
      <c r="B86" s="1277"/>
      <c r="C86" s="545"/>
      <c r="D86" s="545"/>
      <c r="E86" s="545"/>
      <c r="F86" s="1100"/>
      <c r="G86" s="545"/>
      <c r="H86" s="545"/>
      <c r="I86" s="545"/>
      <c r="J86" s="1100"/>
      <c r="K86" s="1100"/>
      <c r="L86" s="1100"/>
      <c r="M86" s="1100"/>
      <c r="N86" s="1100"/>
      <c r="O86" s="1100"/>
      <c r="P86" s="1100"/>
    </row>
    <row r="87">
      <c r="B87" s="1300" t="s">
        <v>1718</v>
      </c>
      <c r="C87" s="545"/>
      <c r="D87" s="545"/>
      <c r="E87" s="545"/>
      <c r="F87" s="1100"/>
      <c r="G87" s="545"/>
      <c r="H87" s="545"/>
      <c r="I87" s="545"/>
      <c r="J87" s="1100"/>
      <c r="K87" s="1100"/>
      <c r="L87" s="1100"/>
      <c r="M87" s="1300" t="s">
        <v>1719</v>
      </c>
      <c r="N87" s="1100"/>
      <c r="O87" s="1100"/>
      <c r="P87" s="1100"/>
    </row>
    <row r="88">
      <c r="B88" s="1277"/>
      <c r="C88" s="545"/>
      <c r="D88" s="545"/>
      <c r="E88" s="545"/>
      <c r="F88" s="1100"/>
      <c r="G88" s="545"/>
      <c r="H88" s="545"/>
      <c r="I88" s="545"/>
      <c r="J88" s="1100"/>
      <c r="K88" s="1100"/>
      <c r="L88" s="1100"/>
      <c r="M88" s="1100"/>
      <c r="N88" s="1100"/>
      <c r="O88" s="1100"/>
      <c r="P88" s="1100"/>
    </row>
    <row r="89">
      <c r="B89" s="1257" t="s">
        <v>1720</v>
      </c>
      <c r="C89" s="1331" t="s">
        <v>1721</v>
      </c>
      <c r="D89" s="505"/>
      <c r="E89" s="505"/>
      <c r="F89" s="929"/>
      <c r="G89" s="505"/>
      <c r="H89" s="505"/>
      <c r="I89" s="505"/>
      <c r="J89" s="929"/>
      <c r="K89" s="929"/>
      <c r="L89" s="929"/>
      <c r="M89" s="929"/>
      <c r="N89" s="929"/>
      <c r="O89" s="929"/>
      <c r="P89" s="929"/>
      <c r="Q89" s="929"/>
      <c r="R89" s="929"/>
    </row>
    <row r="90">
      <c r="B90" s="1101" t="s">
        <v>1484</v>
      </c>
      <c r="C90" s="1334">
        <f>VLOOKUP(C89,B178:G185,2,0)</f>
        <v>5</v>
      </c>
      <c r="D90" s="505"/>
      <c r="E90" s="505"/>
      <c r="F90" s="929"/>
      <c r="G90" s="505"/>
      <c r="H90" s="505"/>
      <c r="I90" s="505"/>
      <c r="J90" s="929"/>
      <c r="K90" s="929"/>
      <c r="L90" s="929"/>
      <c r="M90" s="929"/>
      <c r="N90" s="929"/>
      <c r="O90" s="929"/>
      <c r="P90" s="929"/>
      <c r="Q90" s="929"/>
      <c r="R90" s="929"/>
    </row>
    <row r="91">
      <c r="B91" s="1278" t="s">
        <v>1385</v>
      </c>
      <c r="C91" s="1334">
        <f>VLOOKUP(C89,B178:G185,3,0)</f>
        <v>1</v>
      </c>
      <c r="D91" s="505"/>
      <c r="E91" s="505"/>
      <c r="F91" s="929"/>
      <c r="G91" s="505"/>
      <c r="H91" s="505"/>
      <c r="I91" s="505"/>
      <c r="J91" s="929"/>
      <c r="K91" s="929"/>
      <c r="L91" s="929"/>
      <c r="M91" s="929"/>
      <c r="N91" s="929"/>
      <c r="O91" s="929"/>
      <c r="P91" s="929"/>
      <c r="Q91" s="929"/>
      <c r="R91" s="929"/>
    </row>
    <row r="92">
      <c r="B92" s="1101" t="s">
        <v>1485</v>
      </c>
      <c r="C92" s="1334">
        <f>VLOOKUP(C89,B178:G185,5,0)</f>
        <v>1</v>
      </c>
      <c r="D92" s="505"/>
      <c r="E92" s="505"/>
      <c r="F92" s="929"/>
      <c r="G92" s="505"/>
      <c r="H92" s="505"/>
      <c r="I92" s="505"/>
      <c r="J92" s="929"/>
      <c r="K92" s="929"/>
      <c r="L92" s="929"/>
      <c r="M92" s="929"/>
      <c r="N92" s="929"/>
      <c r="O92" s="929"/>
      <c r="P92" s="929"/>
      <c r="Q92" s="929"/>
      <c r="R92" s="929"/>
    </row>
    <row r="93">
      <c r="B93" s="1403"/>
      <c r="C93" s="1343"/>
      <c r="D93" s="1343"/>
      <c r="E93" s="1343"/>
      <c r="F93" s="1105"/>
      <c r="G93" s="1343"/>
      <c r="H93" s="1343"/>
      <c r="I93" s="1343"/>
      <c r="J93" s="929"/>
      <c r="K93" s="929"/>
      <c r="L93" s="929"/>
      <c r="N93" s="1286" t="s">
        <v>1722</v>
      </c>
      <c r="O93" s="1286" t="s">
        <v>1723</v>
      </c>
      <c r="P93" s="1286" t="s">
        <v>1724</v>
      </c>
      <c r="Q93" s="1286" t="s">
        <v>1725</v>
      </c>
      <c r="R93" s="1286" t="s">
        <v>1726</v>
      </c>
    </row>
    <row r="94">
      <c r="B94" s="1302" t="s">
        <v>1615</v>
      </c>
      <c r="C94" s="1404" t="str">
        <f>'Материалы и инструменты'!E62</f>
        <v>Орешник</v>
      </c>
      <c r="D94" s="1404" t="str">
        <f>'Материалы и инструменты'!F62</f>
        <v>Клён</v>
      </c>
      <c r="E94" s="1404" t="str">
        <f>'Материалы и инструменты'!G62</f>
        <v>Ясень</v>
      </c>
      <c r="F94" s="1404" t="str">
        <f>'Материалы и инструменты'!H62</f>
        <v>Вяз</v>
      </c>
      <c r="G94" s="1404" t="str">
        <f>'Материалы и инструменты'!I62</f>
        <v>Кедр</v>
      </c>
      <c r="H94" s="1404" t="str">
        <f>'Материалы и инструменты'!J62</f>
        <v>Бальза</v>
      </c>
      <c r="I94" s="1404" t="str">
        <f>'Материалы и инструменты'!K62</f>
        <v>Тис</v>
      </c>
      <c r="J94" s="1260" t="s">
        <v>1614</v>
      </c>
      <c r="K94" s="929"/>
      <c r="L94" s="1338"/>
      <c r="M94" s="1302" t="s">
        <v>1615</v>
      </c>
      <c r="N94" s="1303" t="s">
        <v>1616</v>
      </c>
      <c r="O94" s="1303" t="s">
        <v>1616</v>
      </c>
      <c r="P94" s="1303" t="s">
        <v>1616</v>
      </c>
      <c r="Q94" s="1303" t="s">
        <v>1616</v>
      </c>
      <c r="R94" s="1303" t="s">
        <v>1616</v>
      </c>
    </row>
    <row r="95">
      <c r="B95" s="1233" t="s">
        <v>1617</v>
      </c>
      <c r="C95" s="1349">
        <f t="shared" ref="C95:I95" si="50">C96*C97+C98*C100</f>
        <v>0.7</v>
      </c>
      <c r="D95" s="1349">
        <f t="shared" si="50"/>
        <v>2.4</v>
      </c>
      <c r="E95" s="1349">
        <f t="shared" si="50"/>
        <v>7.2</v>
      </c>
      <c r="F95" s="1349">
        <f t="shared" si="50"/>
        <v>20.2</v>
      </c>
      <c r="G95" s="1349">
        <f t="shared" si="50"/>
        <v>56.1</v>
      </c>
      <c r="H95" s="1349">
        <f t="shared" si="50"/>
        <v>158.4</v>
      </c>
      <c r="I95" s="1349">
        <f t="shared" si="50"/>
        <v>457</v>
      </c>
      <c r="J95" s="1243">
        <v>1.0</v>
      </c>
      <c r="K95" s="929"/>
      <c r="L95" s="1338"/>
      <c r="M95" s="1111" t="s">
        <v>1488</v>
      </c>
      <c r="N95" s="1112">
        <f t="shared" ref="N95:R95" si="51">N96*N97+N98*N100</f>
        <v>0.02</v>
      </c>
      <c r="O95" s="1112">
        <f t="shared" si="51"/>
        <v>0.03</v>
      </c>
      <c r="P95" s="1112">
        <f t="shared" si="51"/>
        <v>0.08</v>
      </c>
      <c r="Q95" s="1112">
        <f t="shared" si="51"/>
        <v>0.78</v>
      </c>
      <c r="R95" s="1112">
        <f t="shared" si="51"/>
        <v>2.04</v>
      </c>
    </row>
    <row r="96">
      <c r="B96" s="1304" t="s">
        <v>1619</v>
      </c>
      <c r="C96" s="1353">
        <f>'Материалы и инструменты'!E63</f>
        <v>0.12</v>
      </c>
      <c r="D96" s="1353">
        <f>'Материалы и инструменты'!F63</f>
        <v>0.36</v>
      </c>
      <c r="E96" s="1353">
        <f>'Материалы и инструменты'!G63</f>
        <v>1.08</v>
      </c>
      <c r="F96" s="1353">
        <f>'Материалы и инструменты'!H63</f>
        <v>3.24</v>
      </c>
      <c r="G96" s="1353">
        <f>'Материалы и инструменты'!I63</f>
        <v>9.72</v>
      </c>
      <c r="H96" s="1353">
        <f>'Материалы и инструменты'!J63</f>
        <v>29.16</v>
      </c>
      <c r="I96" s="1353">
        <f>'Материалы и инструменты'!K63</f>
        <v>87.48</v>
      </c>
      <c r="J96" s="929"/>
      <c r="K96" s="929"/>
      <c r="L96" s="1338"/>
      <c r="M96" s="1304" t="s">
        <v>1619</v>
      </c>
      <c r="N96" s="1306">
        <f>'Материалы и инструменты'!D63</f>
        <v>0.01</v>
      </c>
      <c r="O96" s="1306">
        <f>'Материалы и инструменты'!D63</f>
        <v>0.01</v>
      </c>
      <c r="P96" s="1306">
        <f>'Материалы и инструменты'!D63</f>
        <v>0.01</v>
      </c>
      <c r="Q96" s="1306">
        <f>'Материалы и инструменты'!D63</f>
        <v>0.01</v>
      </c>
      <c r="R96" s="1306">
        <f>'Материалы и инструменты'!D63</f>
        <v>0.01</v>
      </c>
    </row>
    <row r="97">
      <c r="B97" s="1304" t="s">
        <v>1645</v>
      </c>
      <c r="C97" s="1357">
        <f t="shared" ref="C97:I97" si="52">$C$90</f>
        <v>5</v>
      </c>
      <c r="D97" s="1357">
        <f t="shared" si="52"/>
        <v>5</v>
      </c>
      <c r="E97" s="1357">
        <f t="shared" si="52"/>
        <v>5</v>
      </c>
      <c r="F97" s="1357">
        <f t="shared" si="52"/>
        <v>5</v>
      </c>
      <c r="G97" s="1357">
        <f t="shared" si="52"/>
        <v>5</v>
      </c>
      <c r="H97" s="1357">
        <f t="shared" si="52"/>
        <v>5</v>
      </c>
      <c r="I97" s="1357">
        <f t="shared" si="52"/>
        <v>5</v>
      </c>
      <c r="J97" s="929"/>
      <c r="K97" s="929"/>
      <c r="L97" s="1338"/>
      <c r="M97" s="1304" t="s">
        <v>1645</v>
      </c>
      <c r="N97" s="1405">
        <v>1.0</v>
      </c>
      <c r="O97" s="1406">
        <v>1.0</v>
      </c>
      <c r="P97" s="1406">
        <v>2.0</v>
      </c>
      <c r="Q97" s="1406">
        <v>6.0</v>
      </c>
      <c r="R97" s="1406">
        <v>12.0</v>
      </c>
    </row>
    <row r="98">
      <c r="B98" s="1004" t="s">
        <v>1371</v>
      </c>
      <c r="C98" s="1365">
        <f t="shared" ref="C98:I98" si="53">C97*C99</f>
        <v>5</v>
      </c>
      <c r="D98" s="1365">
        <f t="shared" si="53"/>
        <v>7.5</v>
      </c>
      <c r="E98" s="1365">
        <f t="shared" si="53"/>
        <v>10</v>
      </c>
      <c r="F98" s="1271">
        <f t="shared" si="53"/>
        <v>12.5</v>
      </c>
      <c r="G98" s="1365">
        <f t="shared" si="53"/>
        <v>15</v>
      </c>
      <c r="H98" s="1365">
        <f t="shared" si="53"/>
        <v>17.5</v>
      </c>
      <c r="I98" s="1365">
        <f t="shared" si="53"/>
        <v>20</v>
      </c>
      <c r="J98" s="929"/>
      <c r="K98" s="929"/>
      <c r="L98" s="1338"/>
      <c r="M98" s="1004" t="s">
        <v>1371</v>
      </c>
      <c r="N98" s="1008">
        <f t="shared" ref="N98:R98" si="54">N97*N99</f>
        <v>0.5</v>
      </c>
      <c r="O98" s="1008">
        <f t="shared" si="54"/>
        <v>1</v>
      </c>
      <c r="P98" s="1008">
        <f t="shared" si="54"/>
        <v>3</v>
      </c>
      <c r="Q98" s="1008">
        <f t="shared" si="54"/>
        <v>9</v>
      </c>
      <c r="R98" s="1008">
        <f t="shared" si="54"/>
        <v>24</v>
      </c>
    </row>
    <row r="99">
      <c r="B99" s="1004" t="s">
        <v>1385</v>
      </c>
      <c r="C99" s="1365">
        <f>$C$91</f>
        <v>1</v>
      </c>
      <c r="D99" s="1365">
        <f t="shared" ref="D99:I99" si="55">C99+0.5</f>
        <v>1.5</v>
      </c>
      <c r="E99" s="1365">
        <f t="shared" si="55"/>
        <v>2</v>
      </c>
      <c r="F99" s="1271">
        <f t="shared" si="55"/>
        <v>2.5</v>
      </c>
      <c r="G99" s="1365">
        <f t="shared" si="55"/>
        <v>3</v>
      </c>
      <c r="H99" s="1365">
        <f t="shared" si="55"/>
        <v>3.5</v>
      </c>
      <c r="I99" s="1365">
        <f t="shared" si="55"/>
        <v>4</v>
      </c>
      <c r="J99" s="929"/>
      <c r="K99" s="929"/>
      <c r="L99" s="1338"/>
      <c r="M99" s="1004" t="s">
        <v>1385</v>
      </c>
      <c r="N99" s="1407">
        <v>0.5</v>
      </c>
      <c r="O99" s="1408">
        <v>1.0</v>
      </c>
      <c r="P99" s="1408">
        <v>1.5</v>
      </c>
      <c r="Q99" s="1408">
        <v>1.5</v>
      </c>
      <c r="R99" s="1408">
        <v>2.0</v>
      </c>
    </row>
    <row r="100">
      <c r="B100" s="1004" t="s">
        <v>1372</v>
      </c>
      <c r="C100" s="1365">
        <f t="shared" ref="C100:I100" si="56">(0.02*C101)*C101</f>
        <v>0.02</v>
      </c>
      <c r="D100" s="1365">
        <f t="shared" si="56"/>
        <v>0.08</v>
      </c>
      <c r="E100" s="1365">
        <f t="shared" si="56"/>
        <v>0.18</v>
      </c>
      <c r="F100" s="1271">
        <f t="shared" si="56"/>
        <v>0.32</v>
      </c>
      <c r="G100" s="1272">
        <f t="shared" si="56"/>
        <v>0.5</v>
      </c>
      <c r="H100" s="1365">
        <f t="shared" si="56"/>
        <v>0.72</v>
      </c>
      <c r="I100" s="1365">
        <f t="shared" si="56"/>
        <v>0.98</v>
      </c>
      <c r="J100" s="929"/>
      <c r="K100" s="929"/>
      <c r="L100" s="1338"/>
      <c r="M100" s="1004" t="s">
        <v>1372</v>
      </c>
      <c r="N100" s="950">
        <f t="shared" ref="N100:R100" si="57">(0.02*N101)*N101</f>
        <v>0.02</v>
      </c>
      <c r="O100" s="950">
        <f t="shared" si="57"/>
        <v>0.02</v>
      </c>
      <c r="P100" s="950">
        <f t="shared" si="57"/>
        <v>0.02</v>
      </c>
      <c r="Q100" s="950">
        <f t="shared" si="57"/>
        <v>0.08</v>
      </c>
      <c r="R100" s="950">
        <f t="shared" si="57"/>
        <v>0.08</v>
      </c>
    </row>
    <row r="101">
      <c r="B101" s="1004" t="s">
        <v>1687</v>
      </c>
      <c r="C101" s="1365">
        <f>$C$92</f>
        <v>1</v>
      </c>
      <c r="D101" s="1365">
        <f t="shared" ref="D101:I101" si="58">C101+1</f>
        <v>2</v>
      </c>
      <c r="E101" s="1365">
        <f t="shared" si="58"/>
        <v>3</v>
      </c>
      <c r="F101" s="1271">
        <f t="shared" si="58"/>
        <v>4</v>
      </c>
      <c r="G101" s="1365">
        <f t="shared" si="58"/>
        <v>5</v>
      </c>
      <c r="H101" s="1365">
        <f t="shared" si="58"/>
        <v>6</v>
      </c>
      <c r="I101" s="1365">
        <f t="shared" si="58"/>
        <v>7</v>
      </c>
      <c r="J101" s="929"/>
      <c r="K101" s="929"/>
      <c r="L101" s="1338"/>
      <c r="M101" s="1004" t="s">
        <v>1687</v>
      </c>
      <c r="N101" s="950">
        <f t="shared" ref="N101:P101" si="59">$C$11</f>
        <v>1</v>
      </c>
      <c r="O101" s="950">
        <f t="shared" si="59"/>
        <v>1</v>
      </c>
      <c r="P101" s="950">
        <f t="shared" si="59"/>
        <v>1</v>
      </c>
      <c r="Q101" s="1008">
        <v>2.0</v>
      </c>
      <c r="R101" s="1008">
        <v>2.0</v>
      </c>
    </row>
    <row r="102">
      <c r="B102" s="1274" t="s">
        <v>1688</v>
      </c>
      <c r="C102" s="1365">
        <f t="shared" ref="C102:I102" si="60">10+(C101-1)*2</f>
        <v>10</v>
      </c>
      <c r="D102" s="1365">
        <f t="shared" si="60"/>
        <v>12</v>
      </c>
      <c r="E102" s="1365">
        <f t="shared" si="60"/>
        <v>14</v>
      </c>
      <c r="F102" s="1271">
        <f t="shared" si="60"/>
        <v>16</v>
      </c>
      <c r="G102" s="1365">
        <f t="shared" si="60"/>
        <v>18</v>
      </c>
      <c r="H102" s="1365">
        <f t="shared" si="60"/>
        <v>20</v>
      </c>
      <c r="I102" s="1365">
        <f t="shared" si="60"/>
        <v>22</v>
      </c>
      <c r="J102" s="929"/>
      <c r="K102" s="929"/>
      <c r="L102" s="1338"/>
      <c r="M102" s="1004" t="s">
        <v>1688</v>
      </c>
      <c r="N102" s="1008">
        <v>10.0</v>
      </c>
      <c r="O102" s="1008">
        <v>10.0</v>
      </c>
      <c r="P102" s="1008">
        <v>10.0</v>
      </c>
      <c r="Q102" s="1008">
        <v>12.0</v>
      </c>
      <c r="R102" s="1008">
        <v>12.0</v>
      </c>
    </row>
    <row r="103">
      <c r="B103" s="1004" t="s">
        <v>1624</v>
      </c>
      <c r="C103" s="1272" t="str">
        <f t="shared" ref="C103:I103" si="61">IF(C101&lt;4,"Простые",IF(C101&lt;7,"Продвинутые","Мастерские"))</f>
        <v>Простые</v>
      </c>
      <c r="D103" s="1272" t="str">
        <f t="shared" si="61"/>
        <v>Простые</v>
      </c>
      <c r="E103" s="1272" t="str">
        <f t="shared" si="61"/>
        <v>Простые</v>
      </c>
      <c r="F103" s="1272" t="str">
        <f t="shared" si="61"/>
        <v>Продвинутые</v>
      </c>
      <c r="G103" s="1272" t="str">
        <f t="shared" si="61"/>
        <v>Продвинутые</v>
      </c>
      <c r="H103" s="1272" t="str">
        <f t="shared" si="61"/>
        <v>Продвинутые</v>
      </c>
      <c r="I103" s="1272" t="str">
        <f t="shared" si="61"/>
        <v>Мастерские</v>
      </c>
      <c r="J103" s="929"/>
      <c r="K103" s="929"/>
      <c r="L103" s="1338"/>
      <c r="M103" s="1004" t="s">
        <v>1624</v>
      </c>
      <c r="N103" s="1008" t="s">
        <v>1237</v>
      </c>
      <c r="O103" s="1008" t="s">
        <v>1237</v>
      </c>
      <c r="P103" s="1008" t="s">
        <v>1237</v>
      </c>
      <c r="Q103" s="1008" t="s">
        <v>1237</v>
      </c>
      <c r="R103" s="1008" t="s">
        <v>1237</v>
      </c>
    </row>
    <row r="104">
      <c r="B104" s="1409" t="s">
        <v>1727</v>
      </c>
      <c r="C104" s="1410">
        <f t="shared" ref="C104:I104" si="62">C$96*C$97+C105*C107</f>
        <v>1.4</v>
      </c>
      <c r="D104" s="1349">
        <f t="shared" si="62"/>
        <v>4.5</v>
      </c>
      <c r="E104" s="1349">
        <f t="shared" si="62"/>
        <v>11.8</v>
      </c>
      <c r="F104" s="1349">
        <f t="shared" si="62"/>
        <v>28.7</v>
      </c>
      <c r="G104" s="1349">
        <f t="shared" si="62"/>
        <v>70.2</v>
      </c>
      <c r="H104" s="1349">
        <f t="shared" si="62"/>
        <v>180.1</v>
      </c>
      <c r="I104" s="1349">
        <f t="shared" si="62"/>
        <v>488.6</v>
      </c>
      <c r="J104" s="1243">
        <v>2.0</v>
      </c>
      <c r="K104" s="929"/>
      <c r="L104" s="929"/>
      <c r="M104" s="929"/>
      <c r="N104" s="929"/>
      <c r="O104" s="929"/>
      <c r="P104" s="929"/>
      <c r="Q104" s="929"/>
      <c r="R104" s="929"/>
    </row>
    <row r="105">
      <c r="B105" s="1004" t="s">
        <v>1371</v>
      </c>
      <c r="C105" s="1365">
        <f t="shared" ref="C105:I105" si="63">C$97*C106</f>
        <v>10</v>
      </c>
      <c r="D105" s="1365">
        <f t="shared" si="63"/>
        <v>15</v>
      </c>
      <c r="E105" s="1365">
        <f t="shared" si="63"/>
        <v>20</v>
      </c>
      <c r="F105" s="1365">
        <f t="shared" si="63"/>
        <v>25</v>
      </c>
      <c r="G105" s="1365">
        <f t="shared" si="63"/>
        <v>30</v>
      </c>
      <c r="H105" s="1365">
        <f t="shared" si="63"/>
        <v>35</v>
      </c>
      <c r="I105" s="1365">
        <f t="shared" si="63"/>
        <v>40</v>
      </c>
      <c r="J105" s="929"/>
      <c r="K105" s="929"/>
      <c r="L105" s="929"/>
      <c r="M105" s="929"/>
      <c r="N105" s="929"/>
      <c r="O105" s="929"/>
      <c r="P105" s="929"/>
      <c r="Q105" s="929"/>
      <c r="R105" s="929"/>
    </row>
    <row r="106">
      <c r="B106" s="1004" t="s">
        <v>1385</v>
      </c>
      <c r="C106" s="1365">
        <f t="shared" ref="C106:I106" si="64">C$99*$J104</f>
        <v>2</v>
      </c>
      <c r="D106" s="1365">
        <f t="shared" si="64"/>
        <v>3</v>
      </c>
      <c r="E106" s="1365">
        <f t="shared" si="64"/>
        <v>4</v>
      </c>
      <c r="F106" s="1365">
        <f t="shared" si="64"/>
        <v>5</v>
      </c>
      <c r="G106" s="1365">
        <f t="shared" si="64"/>
        <v>6</v>
      </c>
      <c r="H106" s="1365">
        <f t="shared" si="64"/>
        <v>7</v>
      </c>
      <c r="I106" s="1365">
        <f t="shared" si="64"/>
        <v>8</v>
      </c>
      <c r="J106" s="929"/>
      <c r="K106" s="929"/>
      <c r="L106" s="929"/>
      <c r="M106" s="929"/>
      <c r="N106" s="929"/>
      <c r="O106" s="929"/>
      <c r="P106" s="929"/>
      <c r="Q106" s="929"/>
      <c r="R106" s="929"/>
    </row>
    <row r="107">
      <c r="B107" s="1004" t="s">
        <v>1372</v>
      </c>
      <c r="C107" s="1365">
        <f t="shared" ref="C107:I107" si="65">(0.02*C108)*C108</f>
        <v>0.08</v>
      </c>
      <c r="D107" s="1365">
        <f t="shared" si="65"/>
        <v>0.18</v>
      </c>
      <c r="E107" s="1365">
        <f t="shared" si="65"/>
        <v>0.32</v>
      </c>
      <c r="F107" s="1272">
        <f t="shared" si="65"/>
        <v>0.5</v>
      </c>
      <c r="G107" s="1365">
        <f t="shared" si="65"/>
        <v>0.72</v>
      </c>
      <c r="H107" s="1365">
        <f t="shared" si="65"/>
        <v>0.98</v>
      </c>
      <c r="I107" s="1365">
        <f t="shared" si="65"/>
        <v>1.28</v>
      </c>
      <c r="J107" s="929"/>
      <c r="K107" s="929"/>
      <c r="L107" s="929"/>
      <c r="M107" s="929"/>
      <c r="N107" s="929"/>
      <c r="O107" s="929"/>
      <c r="P107" s="929"/>
      <c r="Q107" s="929"/>
      <c r="R107" s="929"/>
    </row>
    <row r="108">
      <c r="B108" s="1004" t="s">
        <v>1687</v>
      </c>
      <c r="C108" s="1365">
        <f t="shared" ref="C108:I108" si="66">C101+1</f>
        <v>2</v>
      </c>
      <c r="D108" s="1365">
        <f t="shared" si="66"/>
        <v>3</v>
      </c>
      <c r="E108" s="1365">
        <f t="shared" si="66"/>
        <v>4</v>
      </c>
      <c r="F108" s="1271">
        <f t="shared" si="66"/>
        <v>5</v>
      </c>
      <c r="G108" s="1365">
        <f t="shared" si="66"/>
        <v>6</v>
      </c>
      <c r="H108" s="1365">
        <f t="shared" si="66"/>
        <v>7</v>
      </c>
      <c r="I108" s="1365">
        <f t="shared" si="66"/>
        <v>8</v>
      </c>
      <c r="J108" s="929"/>
      <c r="K108" s="929"/>
      <c r="L108" s="929"/>
      <c r="M108" s="929"/>
      <c r="N108" s="929"/>
      <c r="O108" s="929"/>
      <c r="P108" s="929"/>
      <c r="Q108" s="929"/>
      <c r="R108" s="929"/>
    </row>
    <row r="109">
      <c r="B109" s="1274" t="s">
        <v>1688</v>
      </c>
      <c r="C109" s="1365">
        <f t="shared" ref="C109:I109" si="67">10+(C108-1)*2</f>
        <v>12</v>
      </c>
      <c r="D109" s="1365">
        <f t="shared" si="67"/>
        <v>14</v>
      </c>
      <c r="E109" s="1365">
        <f t="shared" si="67"/>
        <v>16</v>
      </c>
      <c r="F109" s="1271">
        <f t="shared" si="67"/>
        <v>18</v>
      </c>
      <c r="G109" s="1365">
        <f t="shared" si="67"/>
        <v>20</v>
      </c>
      <c r="H109" s="1365">
        <f t="shared" si="67"/>
        <v>22</v>
      </c>
      <c r="I109" s="1365">
        <f t="shared" si="67"/>
        <v>24</v>
      </c>
      <c r="J109" s="929"/>
      <c r="K109" s="929"/>
      <c r="L109" s="929"/>
      <c r="M109" s="929"/>
      <c r="N109" s="929"/>
      <c r="O109" s="929"/>
      <c r="P109" s="929"/>
      <c r="Q109" s="929"/>
      <c r="R109" s="929"/>
    </row>
    <row r="110">
      <c r="B110" s="1004" t="s">
        <v>1624</v>
      </c>
      <c r="C110" s="1272" t="str">
        <f t="shared" ref="C110:I110" si="68">IF(C108&lt;4,"Простые",IF(C108&lt;7,"Продвинутые","Мастерские"))</f>
        <v>Простые</v>
      </c>
      <c r="D110" s="1272" t="str">
        <f t="shared" si="68"/>
        <v>Простые</v>
      </c>
      <c r="E110" s="1272" t="str">
        <f t="shared" si="68"/>
        <v>Продвинутые</v>
      </c>
      <c r="F110" s="1272" t="str">
        <f t="shared" si="68"/>
        <v>Продвинутые</v>
      </c>
      <c r="G110" s="1272" t="str">
        <f t="shared" si="68"/>
        <v>Продвинутые</v>
      </c>
      <c r="H110" s="1272" t="str">
        <f t="shared" si="68"/>
        <v>Мастерские</v>
      </c>
      <c r="I110" s="1272" t="str">
        <f t="shared" si="68"/>
        <v>Мастерские</v>
      </c>
      <c r="J110" s="929"/>
      <c r="K110" s="929"/>
      <c r="L110" s="929"/>
      <c r="M110" s="929"/>
      <c r="N110" s="929"/>
      <c r="O110" s="929"/>
      <c r="P110" s="929"/>
      <c r="Q110" s="929"/>
      <c r="R110" s="929"/>
    </row>
    <row r="111">
      <c r="B111" s="1233" t="s">
        <v>1728</v>
      </c>
      <c r="C111" s="1410">
        <f t="shared" ref="C111:I111" si="69">C$96*C$97+C112*C114</f>
        <v>3.3</v>
      </c>
      <c r="D111" s="1349">
        <f t="shared" si="69"/>
        <v>9</v>
      </c>
      <c r="E111" s="1349">
        <f t="shared" si="69"/>
        <v>20.4</v>
      </c>
      <c r="F111" s="1349">
        <f t="shared" si="69"/>
        <v>43.2</v>
      </c>
      <c r="G111" s="1349">
        <f t="shared" si="69"/>
        <v>92.7</v>
      </c>
      <c r="H111" s="1349">
        <f t="shared" si="69"/>
        <v>213</v>
      </c>
      <c r="I111" s="1349">
        <f t="shared" si="69"/>
        <v>534.6</v>
      </c>
      <c r="J111" s="1243">
        <v>3.0</v>
      </c>
      <c r="K111" s="929"/>
      <c r="L111" s="929"/>
      <c r="N111" s="929"/>
      <c r="O111" s="929"/>
      <c r="P111" s="929"/>
      <c r="Q111" s="929"/>
      <c r="R111" s="929"/>
    </row>
    <row r="112">
      <c r="B112" s="1004" t="s">
        <v>1371</v>
      </c>
      <c r="C112" s="1365">
        <f t="shared" ref="C112:I112" si="70">C$97*C113</f>
        <v>15</v>
      </c>
      <c r="D112" s="1365">
        <f t="shared" si="70"/>
        <v>22.5</v>
      </c>
      <c r="E112" s="1365">
        <f t="shared" si="70"/>
        <v>30</v>
      </c>
      <c r="F112" s="1365">
        <f t="shared" si="70"/>
        <v>37.5</v>
      </c>
      <c r="G112" s="1365">
        <f t="shared" si="70"/>
        <v>45</v>
      </c>
      <c r="H112" s="1365">
        <f t="shared" si="70"/>
        <v>52.5</v>
      </c>
      <c r="I112" s="1365">
        <f t="shared" si="70"/>
        <v>60</v>
      </c>
      <c r="J112" s="929"/>
      <c r="K112" s="929"/>
      <c r="L112" s="929"/>
      <c r="M112" s="929"/>
      <c r="N112" s="929"/>
      <c r="O112" s="929"/>
      <c r="P112" s="929"/>
      <c r="Q112" s="929"/>
      <c r="R112" s="929"/>
    </row>
    <row r="113">
      <c r="B113" s="1004" t="s">
        <v>1385</v>
      </c>
      <c r="C113" s="1365">
        <f t="shared" ref="C113:I113" si="71">C$99*$J111</f>
        <v>3</v>
      </c>
      <c r="D113" s="1365">
        <f t="shared" si="71"/>
        <v>4.5</v>
      </c>
      <c r="E113" s="1365">
        <f t="shared" si="71"/>
        <v>6</v>
      </c>
      <c r="F113" s="1365">
        <f t="shared" si="71"/>
        <v>7.5</v>
      </c>
      <c r="G113" s="1365">
        <f t="shared" si="71"/>
        <v>9</v>
      </c>
      <c r="H113" s="1365">
        <f t="shared" si="71"/>
        <v>10.5</v>
      </c>
      <c r="I113" s="1365">
        <f t="shared" si="71"/>
        <v>12</v>
      </c>
      <c r="J113" s="929"/>
      <c r="K113" s="929"/>
      <c r="L113" s="929"/>
      <c r="M113" s="929"/>
      <c r="N113" s="929"/>
      <c r="O113" s="929"/>
      <c r="P113" s="929"/>
      <c r="Q113" s="929"/>
      <c r="R113" s="929"/>
    </row>
    <row r="114">
      <c r="B114" s="1004" t="s">
        <v>1372</v>
      </c>
      <c r="C114" s="1365">
        <f t="shared" ref="C114:I114" si="72">(0.02*C115)*C115</f>
        <v>0.18</v>
      </c>
      <c r="D114" s="1365">
        <f t="shared" si="72"/>
        <v>0.32</v>
      </c>
      <c r="E114" s="1272">
        <f t="shared" si="72"/>
        <v>0.5</v>
      </c>
      <c r="F114" s="1271">
        <f t="shared" si="72"/>
        <v>0.72</v>
      </c>
      <c r="G114" s="1365">
        <f t="shared" si="72"/>
        <v>0.98</v>
      </c>
      <c r="H114" s="1365">
        <f t="shared" si="72"/>
        <v>1.28</v>
      </c>
      <c r="I114" s="1365">
        <f t="shared" si="72"/>
        <v>1.62</v>
      </c>
      <c r="J114" s="929"/>
      <c r="K114" s="929"/>
      <c r="L114" s="929"/>
      <c r="M114" s="929"/>
      <c r="N114" s="929"/>
      <c r="O114" s="929"/>
      <c r="P114" s="929"/>
      <c r="Q114" s="929"/>
      <c r="R114" s="929"/>
    </row>
    <row r="115">
      <c r="B115" s="1004" t="s">
        <v>1687</v>
      </c>
      <c r="C115" s="1365">
        <f t="shared" ref="C115:I115" si="73">C108+1</f>
        <v>3</v>
      </c>
      <c r="D115" s="1365">
        <f t="shared" si="73"/>
        <v>4</v>
      </c>
      <c r="E115" s="1365">
        <f t="shared" si="73"/>
        <v>5</v>
      </c>
      <c r="F115" s="1271">
        <f t="shared" si="73"/>
        <v>6</v>
      </c>
      <c r="G115" s="1365">
        <f t="shared" si="73"/>
        <v>7</v>
      </c>
      <c r="H115" s="1365">
        <f t="shared" si="73"/>
        <v>8</v>
      </c>
      <c r="I115" s="1365">
        <f t="shared" si="73"/>
        <v>9</v>
      </c>
      <c r="J115" s="929"/>
      <c r="K115" s="929"/>
      <c r="L115" s="929"/>
      <c r="M115" s="929"/>
      <c r="N115" s="929"/>
      <c r="O115" s="929"/>
      <c r="P115" s="929"/>
      <c r="Q115" s="929"/>
      <c r="R115" s="929"/>
    </row>
    <row r="116">
      <c r="B116" s="1274" t="s">
        <v>1688</v>
      </c>
      <c r="C116" s="1365">
        <f t="shared" ref="C116:I116" si="74">10+(C115-1)*2</f>
        <v>14</v>
      </c>
      <c r="D116" s="1365">
        <f t="shared" si="74"/>
        <v>16</v>
      </c>
      <c r="E116" s="1365">
        <f t="shared" si="74"/>
        <v>18</v>
      </c>
      <c r="F116" s="1271">
        <f t="shared" si="74"/>
        <v>20</v>
      </c>
      <c r="G116" s="1365">
        <f t="shared" si="74"/>
        <v>22</v>
      </c>
      <c r="H116" s="1365">
        <f t="shared" si="74"/>
        <v>24</v>
      </c>
      <c r="I116" s="1365">
        <f t="shared" si="74"/>
        <v>26</v>
      </c>
      <c r="J116" s="929"/>
      <c r="K116" s="929"/>
      <c r="L116" s="929"/>
      <c r="M116" s="929"/>
      <c r="N116" s="929"/>
      <c r="O116" s="929"/>
      <c r="P116" s="929"/>
      <c r="Q116" s="929"/>
      <c r="R116" s="929"/>
    </row>
    <row r="117">
      <c r="B117" s="1004" t="s">
        <v>1624</v>
      </c>
      <c r="C117" s="1272" t="str">
        <f t="shared" ref="C117:I117" si="75">IF(C115&lt;4,"Простые",IF(C115&lt;7,"Продвинутые","Мастерские"))</f>
        <v>Простые</v>
      </c>
      <c r="D117" s="1272" t="str">
        <f t="shared" si="75"/>
        <v>Продвинутые</v>
      </c>
      <c r="E117" s="1272" t="str">
        <f t="shared" si="75"/>
        <v>Продвинутые</v>
      </c>
      <c r="F117" s="1272" t="str">
        <f t="shared" si="75"/>
        <v>Продвинутые</v>
      </c>
      <c r="G117" s="1272" t="str">
        <f t="shared" si="75"/>
        <v>Мастерские</v>
      </c>
      <c r="H117" s="1272" t="str">
        <f t="shared" si="75"/>
        <v>Мастерские</v>
      </c>
      <c r="I117" s="1272" t="str">
        <f t="shared" si="75"/>
        <v>Мастерские</v>
      </c>
      <c r="J117" s="929"/>
      <c r="K117" s="929"/>
      <c r="L117" s="929"/>
      <c r="M117" s="929"/>
      <c r="N117" s="929"/>
      <c r="O117" s="929"/>
      <c r="P117" s="929"/>
      <c r="Q117" s="929"/>
      <c r="R117" s="929"/>
    </row>
    <row r="118">
      <c r="B118" s="1233" t="s">
        <v>1728</v>
      </c>
      <c r="C118" s="1410">
        <f t="shared" ref="C118:I118" si="76">C$96*C$97+C119*C121</f>
        <v>7</v>
      </c>
      <c r="D118" s="1349">
        <f t="shared" si="76"/>
        <v>16.8</v>
      </c>
      <c r="E118" s="1349">
        <f t="shared" si="76"/>
        <v>34.2</v>
      </c>
      <c r="F118" s="1349">
        <f t="shared" si="76"/>
        <v>65.2</v>
      </c>
      <c r="G118" s="1349">
        <f t="shared" si="76"/>
        <v>125.4</v>
      </c>
      <c r="H118" s="1349">
        <f t="shared" si="76"/>
        <v>259.2</v>
      </c>
      <c r="I118" s="1349">
        <f t="shared" si="76"/>
        <v>597.4</v>
      </c>
      <c r="J118" s="1243">
        <v>4.0</v>
      </c>
      <c r="K118" s="929"/>
      <c r="L118" s="929"/>
      <c r="M118" s="929"/>
      <c r="N118" s="929"/>
      <c r="O118" s="929"/>
      <c r="P118" s="929"/>
      <c r="Q118" s="929"/>
      <c r="R118" s="929"/>
    </row>
    <row r="119">
      <c r="B119" s="1004" t="s">
        <v>1371</v>
      </c>
      <c r="C119" s="1365">
        <f t="shared" ref="C119:I119" si="77">C$97*C120</f>
        <v>20</v>
      </c>
      <c r="D119" s="1365">
        <f t="shared" si="77"/>
        <v>30</v>
      </c>
      <c r="E119" s="1365">
        <f t="shared" si="77"/>
        <v>40</v>
      </c>
      <c r="F119" s="1365">
        <f t="shared" si="77"/>
        <v>50</v>
      </c>
      <c r="G119" s="1365">
        <f t="shared" si="77"/>
        <v>60</v>
      </c>
      <c r="H119" s="1365">
        <f t="shared" si="77"/>
        <v>70</v>
      </c>
      <c r="I119" s="1365">
        <f t="shared" si="77"/>
        <v>80</v>
      </c>
      <c r="J119" s="929"/>
      <c r="K119" s="929"/>
      <c r="L119" s="929"/>
      <c r="M119" s="929"/>
      <c r="N119" s="929"/>
      <c r="O119" s="929"/>
      <c r="P119" s="929"/>
      <c r="Q119" s="929"/>
      <c r="R119" s="929"/>
    </row>
    <row r="120">
      <c r="B120" s="1004" t="s">
        <v>1385</v>
      </c>
      <c r="C120" s="1365">
        <f t="shared" ref="C120:I120" si="78">C$99*$J118</f>
        <v>4</v>
      </c>
      <c r="D120" s="1365">
        <f t="shared" si="78"/>
        <v>6</v>
      </c>
      <c r="E120" s="1365">
        <f t="shared" si="78"/>
        <v>8</v>
      </c>
      <c r="F120" s="1365">
        <f t="shared" si="78"/>
        <v>10</v>
      </c>
      <c r="G120" s="1365">
        <f t="shared" si="78"/>
        <v>12</v>
      </c>
      <c r="H120" s="1365">
        <f t="shared" si="78"/>
        <v>14</v>
      </c>
      <c r="I120" s="1365">
        <f t="shared" si="78"/>
        <v>16</v>
      </c>
      <c r="J120" s="929"/>
      <c r="K120" s="929"/>
      <c r="L120" s="929"/>
      <c r="M120" s="929"/>
      <c r="N120" s="929"/>
      <c r="O120" s="929"/>
      <c r="P120" s="929"/>
      <c r="Q120" s="929"/>
      <c r="R120" s="929"/>
    </row>
    <row r="121">
      <c r="B121" s="1004" t="s">
        <v>1372</v>
      </c>
      <c r="C121" s="1365">
        <f t="shared" ref="C121:I121" si="79">(0.02*C122)*C122</f>
        <v>0.32</v>
      </c>
      <c r="D121" s="1272">
        <f t="shared" si="79"/>
        <v>0.5</v>
      </c>
      <c r="E121" s="1365">
        <f t="shared" si="79"/>
        <v>0.72</v>
      </c>
      <c r="F121" s="1271">
        <f t="shared" si="79"/>
        <v>0.98</v>
      </c>
      <c r="G121" s="1365">
        <f t="shared" si="79"/>
        <v>1.28</v>
      </c>
      <c r="H121" s="1365">
        <f t="shared" si="79"/>
        <v>1.62</v>
      </c>
      <c r="I121" s="1365">
        <f t="shared" si="79"/>
        <v>2</v>
      </c>
      <c r="J121" s="929"/>
      <c r="K121" s="929"/>
      <c r="L121" s="929"/>
      <c r="M121" s="929"/>
      <c r="N121" s="929"/>
      <c r="O121" s="929"/>
      <c r="P121" s="929"/>
      <c r="Q121" s="929"/>
      <c r="R121" s="929"/>
    </row>
    <row r="122">
      <c r="B122" s="1004" t="s">
        <v>1687</v>
      </c>
      <c r="C122" s="1365">
        <f t="shared" ref="C122:I122" si="80">C115+1</f>
        <v>4</v>
      </c>
      <c r="D122" s="1365">
        <f t="shared" si="80"/>
        <v>5</v>
      </c>
      <c r="E122" s="1365">
        <f t="shared" si="80"/>
        <v>6</v>
      </c>
      <c r="F122" s="1271">
        <f t="shared" si="80"/>
        <v>7</v>
      </c>
      <c r="G122" s="1365">
        <f t="shared" si="80"/>
        <v>8</v>
      </c>
      <c r="H122" s="1365">
        <f t="shared" si="80"/>
        <v>9</v>
      </c>
      <c r="I122" s="1365">
        <f t="shared" si="80"/>
        <v>10</v>
      </c>
      <c r="J122" s="929"/>
      <c r="K122" s="929"/>
      <c r="L122" s="929"/>
      <c r="M122" s="929"/>
      <c r="N122" s="929"/>
      <c r="O122" s="929"/>
      <c r="P122" s="929"/>
      <c r="Q122" s="929"/>
      <c r="R122" s="929"/>
    </row>
    <row r="123">
      <c r="B123" s="1274" t="s">
        <v>1688</v>
      </c>
      <c r="C123" s="1365">
        <f t="shared" ref="C123:I123" si="81">10+(C122-1)*2</f>
        <v>16</v>
      </c>
      <c r="D123" s="1365">
        <f t="shared" si="81"/>
        <v>18</v>
      </c>
      <c r="E123" s="1365">
        <f t="shared" si="81"/>
        <v>20</v>
      </c>
      <c r="F123" s="1271">
        <f t="shared" si="81"/>
        <v>22</v>
      </c>
      <c r="G123" s="1365">
        <f t="shared" si="81"/>
        <v>24</v>
      </c>
      <c r="H123" s="1365">
        <f t="shared" si="81"/>
        <v>26</v>
      </c>
      <c r="I123" s="1365">
        <f t="shared" si="81"/>
        <v>28</v>
      </c>
      <c r="J123" s="929"/>
      <c r="K123" s="929"/>
      <c r="L123" s="929"/>
      <c r="M123" s="929"/>
      <c r="N123" s="929"/>
      <c r="O123" s="929"/>
      <c r="P123" s="929"/>
      <c r="Q123" s="929"/>
      <c r="R123" s="929"/>
    </row>
    <row r="124">
      <c r="B124" s="1004" t="s">
        <v>1624</v>
      </c>
      <c r="C124" s="1272" t="str">
        <f t="shared" ref="C124:I124" si="82">IF(C122&lt;4,"Простые",IF(C122&lt;7,"Продвинутые","Мастерские"))</f>
        <v>Продвинутые</v>
      </c>
      <c r="D124" s="1272" t="str">
        <f t="shared" si="82"/>
        <v>Продвинутые</v>
      </c>
      <c r="E124" s="1272" t="str">
        <f t="shared" si="82"/>
        <v>Продвинутые</v>
      </c>
      <c r="F124" s="1272" t="str">
        <f t="shared" si="82"/>
        <v>Мастерские</v>
      </c>
      <c r="G124" s="1272" t="str">
        <f t="shared" si="82"/>
        <v>Мастерские</v>
      </c>
      <c r="H124" s="1272" t="str">
        <f t="shared" si="82"/>
        <v>Мастерские</v>
      </c>
      <c r="I124" s="1272" t="str">
        <f t="shared" si="82"/>
        <v>Мастерские</v>
      </c>
      <c r="J124" s="929"/>
      <c r="K124" s="929"/>
      <c r="L124" s="929"/>
      <c r="M124" s="929"/>
      <c r="N124" s="929"/>
      <c r="O124" s="929"/>
      <c r="P124" s="929"/>
      <c r="Q124" s="929"/>
      <c r="R124" s="929"/>
    </row>
    <row r="125">
      <c r="B125" s="1277"/>
      <c r="C125" s="545"/>
      <c r="D125" s="545"/>
      <c r="E125" s="545"/>
      <c r="F125" s="1100"/>
      <c r="G125" s="545"/>
      <c r="H125" s="545"/>
      <c r="I125" s="545"/>
      <c r="J125" s="1100"/>
      <c r="K125" s="1100"/>
      <c r="L125" s="1100"/>
      <c r="M125" s="1100"/>
      <c r="N125" s="1100"/>
      <c r="O125" s="1100"/>
      <c r="P125" s="1100"/>
    </row>
    <row r="126">
      <c r="B126" s="1277"/>
      <c r="C126" s="545"/>
      <c r="D126" s="545"/>
      <c r="E126" s="545"/>
      <c r="F126" s="1100"/>
      <c r="G126" s="545"/>
      <c r="H126" s="545"/>
      <c r="I126" s="545"/>
      <c r="J126" s="1100"/>
      <c r="K126" s="1100"/>
      <c r="L126" s="1100"/>
      <c r="M126" s="1100"/>
      <c r="N126" s="1100"/>
      <c r="O126" s="1100"/>
      <c r="P126" s="1100"/>
    </row>
    <row r="127">
      <c r="B127" s="1300" t="s">
        <v>1170</v>
      </c>
      <c r="C127" s="545"/>
      <c r="D127" s="545"/>
      <c r="E127" s="545"/>
      <c r="F127" s="1100"/>
      <c r="G127" s="545"/>
      <c r="H127" s="545"/>
      <c r="I127" s="545"/>
      <c r="J127" s="1100"/>
      <c r="K127" s="1100"/>
      <c r="L127" s="1100"/>
      <c r="M127" s="1230" t="s">
        <v>1729</v>
      </c>
      <c r="N127" s="929"/>
      <c r="O127" s="929"/>
      <c r="P127" s="929"/>
      <c r="Q127" s="929"/>
      <c r="R127" s="929"/>
      <c r="S127" s="929"/>
      <c r="T127" s="929"/>
    </row>
    <row r="128">
      <c r="B128" s="1100"/>
      <c r="C128" s="1100"/>
      <c r="D128" s="1100"/>
      <c r="E128" s="1100"/>
      <c r="F128" s="1100"/>
      <c r="G128" s="1100"/>
      <c r="H128" s="1100"/>
      <c r="I128" s="1100"/>
      <c r="J128" s="1100"/>
      <c r="K128" s="1100"/>
      <c r="L128" s="1100"/>
      <c r="M128" s="1250" t="s">
        <v>1601</v>
      </c>
      <c r="N128" s="929"/>
      <c r="O128" s="929"/>
      <c r="P128" s="929"/>
      <c r="Q128" s="929"/>
      <c r="R128" s="929"/>
      <c r="S128" s="929"/>
      <c r="T128" s="929"/>
    </row>
    <row r="129">
      <c r="B129" s="1101" t="s">
        <v>1482</v>
      </c>
      <c r="C129" s="1411" t="s">
        <v>1171</v>
      </c>
      <c r="D129" s="1100"/>
      <c r="E129" s="1100"/>
      <c r="F129" s="1100"/>
      <c r="G129" s="1100"/>
      <c r="H129" s="1100"/>
      <c r="I129" s="1100"/>
      <c r="J129" s="1100"/>
      <c r="K129" s="1100"/>
      <c r="L129" s="1100"/>
      <c r="M129" s="929"/>
      <c r="N129" s="1252"/>
      <c r="O129" s="929"/>
      <c r="P129" s="929"/>
      <c r="Q129" s="929"/>
      <c r="R129" s="929"/>
      <c r="S129" s="929"/>
      <c r="T129" s="929"/>
    </row>
    <row r="130">
      <c r="B130" s="1101" t="s">
        <v>1612</v>
      </c>
      <c r="C130" s="1412">
        <f>VLOOKUP(C129,B194:I197,2,0)</f>
        <v>1</v>
      </c>
      <c r="D130" s="1100"/>
      <c r="E130" s="1100"/>
      <c r="F130" s="1100"/>
      <c r="G130" s="1100"/>
      <c r="H130" s="1100"/>
      <c r="I130" s="1100"/>
      <c r="J130" s="1100"/>
      <c r="K130" s="1100"/>
      <c r="L130" s="1100"/>
      <c r="M130" s="1257" t="s">
        <v>1610</v>
      </c>
      <c r="N130" s="1258" t="s">
        <v>1156</v>
      </c>
      <c r="O130" s="929"/>
      <c r="P130" s="929"/>
      <c r="Q130" s="929"/>
      <c r="R130" s="929"/>
      <c r="S130" s="929"/>
      <c r="T130" s="929"/>
    </row>
    <row r="131">
      <c r="B131" s="1101" t="s">
        <v>1730</v>
      </c>
      <c r="C131" s="1412">
        <f>VLOOKUP(C129,B194:I197,3,0)</f>
        <v>1</v>
      </c>
      <c r="D131" s="1100"/>
      <c r="E131" s="1100"/>
      <c r="F131" s="1100"/>
      <c r="G131" s="1100"/>
      <c r="H131" s="1100"/>
      <c r="I131" s="1100"/>
      <c r="J131" s="1100"/>
      <c r="K131" s="1100"/>
      <c r="L131" s="1100"/>
      <c r="M131" s="936" t="s">
        <v>1612</v>
      </c>
      <c r="N131" s="1259">
        <f>VLOOKUP(N130,B203:I204,2,0)</f>
        <v>0.1</v>
      </c>
      <c r="O131" s="929"/>
      <c r="P131" s="929"/>
      <c r="Q131" s="929"/>
      <c r="R131" s="929"/>
      <c r="S131" s="929"/>
      <c r="T131" s="929"/>
    </row>
    <row r="132">
      <c r="B132" s="1278" t="s">
        <v>1385</v>
      </c>
      <c r="C132" s="1412">
        <f>VLOOKUP(C129,B194:I197,4,0)</f>
        <v>5</v>
      </c>
      <c r="D132" s="1100"/>
      <c r="E132" s="1100"/>
      <c r="F132" s="1100"/>
      <c r="G132" s="1100"/>
      <c r="H132" s="1100"/>
      <c r="I132" s="1100"/>
      <c r="J132" s="1100"/>
      <c r="K132" s="1100"/>
      <c r="L132" s="1100"/>
      <c r="M132" s="936" t="s">
        <v>1613</v>
      </c>
      <c r="N132" s="1259">
        <f>VLOOKUP(N130,$B$203:$I$204,3,0)</f>
        <v>0.3</v>
      </c>
      <c r="O132" s="929"/>
      <c r="P132" s="929"/>
      <c r="Q132" s="929"/>
      <c r="R132" s="929"/>
      <c r="S132" s="929"/>
      <c r="T132" s="929"/>
    </row>
    <row r="133">
      <c r="B133" s="1101" t="s">
        <v>1485</v>
      </c>
      <c r="C133" s="1412">
        <f>VLOOKUP(C129,B194:I197,6,0)</f>
        <v>1</v>
      </c>
      <c r="D133" s="1100"/>
      <c r="E133" s="1100"/>
      <c r="F133" s="1100"/>
      <c r="G133" s="1100"/>
      <c r="H133" s="1100"/>
      <c r="I133" s="1100"/>
      <c r="J133" s="1100"/>
      <c r="K133" s="1100"/>
      <c r="L133" s="1100"/>
      <c r="M133" s="1101" t="s">
        <v>1385</v>
      </c>
      <c r="N133" s="1259">
        <f>VLOOKUP(N130,$B$203:$I$204,4,0)</f>
        <v>0.6</v>
      </c>
      <c r="O133" s="929"/>
      <c r="P133" s="929"/>
      <c r="Q133" s="929"/>
      <c r="R133" s="929"/>
      <c r="S133" s="929"/>
      <c r="T133" s="929"/>
    </row>
    <row r="134">
      <c r="B134" s="1100"/>
      <c r="C134" s="1100"/>
      <c r="D134" s="1100"/>
      <c r="E134" s="1100"/>
      <c r="F134" s="1100"/>
      <c r="G134" s="1100"/>
      <c r="H134" s="1100"/>
      <c r="I134" s="1100"/>
      <c r="J134" s="1100"/>
      <c r="K134" s="1100"/>
      <c r="L134" s="1100"/>
      <c r="M134" s="1101" t="s">
        <v>1485</v>
      </c>
      <c r="N134" s="1259">
        <f>VLOOKUP(N130,$B$203:$I$204,6,0)</f>
        <v>1</v>
      </c>
      <c r="O134" s="929"/>
      <c r="P134" s="929"/>
      <c r="Q134" s="929"/>
      <c r="R134" s="929"/>
      <c r="S134" s="929"/>
      <c r="T134" s="929"/>
    </row>
    <row r="135">
      <c r="B135" s="1279" t="s">
        <v>1487</v>
      </c>
      <c r="C135" s="1280" t="s">
        <v>172</v>
      </c>
      <c r="D135" s="1280" t="s">
        <v>738</v>
      </c>
      <c r="E135" s="1280" t="s">
        <v>739</v>
      </c>
      <c r="F135" s="1280" t="s">
        <v>741</v>
      </c>
      <c r="G135" s="1280" t="s">
        <v>742</v>
      </c>
      <c r="H135" s="1280" t="s">
        <v>743</v>
      </c>
      <c r="J135" s="1104"/>
      <c r="K135" s="1108" t="s">
        <v>1434</v>
      </c>
      <c r="L135" s="1104"/>
      <c r="M135" s="1105"/>
      <c r="N135" s="1105"/>
      <c r="O135" s="1105"/>
      <c r="P135" s="1105"/>
      <c r="Q135" s="1105"/>
      <c r="R135" s="1105"/>
      <c r="S135" s="1105"/>
      <c r="T135" s="1105"/>
      <c r="U135" s="1108" t="s">
        <v>1434</v>
      </c>
    </row>
    <row r="136">
      <c r="B136" s="1302" t="s">
        <v>1615</v>
      </c>
      <c r="C136" s="1303" t="s">
        <v>1148</v>
      </c>
      <c r="D136" s="1303" t="s">
        <v>1149</v>
      </c>
      <c r="E136" s="1303" t="s">
        <v>1150</v>
      </c>
      <c r="F136" s="1303" t="s">
        <v>1152</v>
      </c>
      <c r="G136" s="1303" t="s">
        <v>1153</v>
      </c>
      <c r="H136" s="1303" t="s">
        <v>1154</v>
      </c>
      <c r="J136" s="1104"/>
      <c r="K136" s="1122"/>
      <c r="L136" s="1104"/>
      <c r="M136" s="1106" t="s">
        <v>1487</v>
      </c>
      <c r="N136" s="1110" t="str">
        <f>'Материалы и инструменты'!D23</f>
        <v>Бронза</v>
      </c>
      <c r="O136" s="1110" t="str">
        <f>'Материалы и инструменты'!E23</f>
        <v>Железо</v>
      </c>
      <c r="P136" s="1110" t="str">
        <f>'Материалы и инструменты'!F23</f>
        <v>Сталь</v>
      </c>
      <c r="Q136" s="1110" t="str">
        <f>'Материалы и инструменты'!G23</f>
        <v>Булатная сталь</v>
      </c>
      <c r="R136" s="1110" t="str">
        <f>'Материалы и инструменты'!H23</f>
        <v>Каврил</v>
      </c>
      <c r="S136" s="1110" t="str">
        <f>'Материалы и инструменты'!I23</f>
        <v>Грамант</v>
      </c>
      <c r="T136" s="1110" t="str">
        <f>'Материалы и инструменты'!J23</f>
        <v>Леорит</v>
      </c>
    </row>
    <row r="137">
      <c r="B137" s="1111" t="s">
        <v>1488</v>
      </c>
      <c r="C137" s="1112">
        <f t="shared" ref="C137:H137" si="83">C138*C140+C139*C141+C146*C148+C144*C145</f>
        <v>0.96</v>
      </c>
      <c r="D137" s="1112">
        <f t="shared" si="83"/>
        <v>2.96</v>
      </c>
      <c r="E137" s="1112">
        <f t="shared" si="83"/>
        <v>8.23</v>
      </c>
      <c r="F137" s="1112">
        <f t="shared" si="83"/>
        <v>58.97</v>
      </c>
      <c r="G137" s="1112">
        <f t="shared" si="83"/>
        <v>165.38</v>
      </c>
      <c r="H137" s="1112">
        <f t="shared" si="83"/>
        <v>478.71</v>
      </c>
      <c r="J137" s="1104"/>
      <c r="K137" s="1122"/>
      <c r="L137" s="1104"/>
      <c r="M137" s="1261" t="s">
        <v>1615</v>
      </c>
      <c r="N137" s="1262" t="s">
        <v>1616</v>
      </c>
      <c r="O137" s="1262" t="s">
        <v>1616</v>
      </c>
      <c r="P137" s="1262" t="s">
        <v>1616</v>
      </c>
      <c r="Q137" s="1262" t="s">
        <v>1616</v>
      </c>
      <c r="R137" s="1262" t="s">
        <v>1616</v>
      </c>
      <c r="S137" s="1262" t="s">
        <v>1616</v>
      </c>
      <c r="T137" s="1262" t="s">
        <v>1616</v>
      </c>
    </row>
    <row r="138">
      <c r="B138" s="1283" t="s">
        <v>1618</v>
      </c>
      <c r="C138" s="1284">
        <f>'Материалы и инструменты'!D24</f>
        <v>0.5</v>
      </c>
      <c r="D138" s="1284">
        <f>'Материалы и инструменты'!E24</f>
        <v>1.51</v>
      </c>
      <c r="E138" s="1284">
        <f>'Материалы и инструменты'!F24</f>
        <v>4.57</v>
      </c>
      <c r="F138" s="1284">
        <f>'Материалы и инструменты'!H24</f>
        <v>41.55</v>
      </c>
      <c r="G138" s="1284">
        <f>'Материалы и инструменты'!I24</f>
        <v>124.72</v>
      </c>
      <c r="H138" s="1284">
        <f>'Материалы и инструменты'!J24</f>
        <v>374.71</v>
      </c>
      <c r="J138" s="1104"/>
      <c r="K138" s="1113"/>
      <c r="L138" s="1104"/>
      <c r="M138" s="1233" t="s">
        <v>1617</v>
      </c>
      <c r="N138" s="1263">
        <f t="shared" ref="N138:T138" si="84">N139*N141+N140*N142+N147*N149+N145*N146</f>
        <v>0.0718</v>
      </c>
      <c r="O138" s="1263">
        <f t="shared" si="84"/>
        <v>0.2102</v>
      </c>
      <c r="P138" s="1263">
        <f t="shared" si="84"/>
        <v>0.6172</v>
      </c>
      <c r="Q138" s="1263">
        <f t="shared" si="84"/>
        <v>1.7062</v>
      </c>
      <c r="R138" s="1263">
        <f t="shared" si="84"/>
        <v>4.748</v>
      </c>
      <c r="S138" s="1263">
        <f t="shared" si="84"/>
        <v>13.4378</v>
      </c>
      <c r="T138" s="1263">
        <f t="shared" si="84"/>
        <v>38.9692</v>
      </c>
      <c r="U138" s="1113">
        <v>1.0</v>
      </c>
    </row>
    <row r="139">
      <c r="B139" s="1304" t="s">
        <v>1619</v>
      </c>
      <c r="C139" s="1305">
        <f>'Материалы и инструменты'!E63</f>
        <v>0.12</v>
      </c>
      <c r="D139" s="1305">
        <f>'Материалы и инструменты'!F63</f>
        <v>0.36</v>
      </c>
      <c r="E139" s="1305">
        <f>'Материалы и инструменты'!G63</f>
        <v>1.08</v>
      </c>
      <c r="F139" s="1305">
        <f>'Материалы и инструменты'!I63</f>
        <v>9.72</v>
      </c>
      <c r="G139" s="1305">
        <f>'Материалы и инструменты'!J63</f>
        <v>29.16</v>
      </c>
      <c r="H139" s="1305">
        <f>'Материалы и инструменты'!K63</f>
        <v>87.48</v>
      </c>
      <c r="J139" s="1104"/>
      <c r="K139" s="1113"/>
      <c r="L139" s="1104"/>
      <c r="M139" s="1116" t="s">
        <v>1618</v>
      </c>
      <c r="N139" s="1235">
        <f>'Материалы и инструменты'!D24</f>
        <v>0.5</v>
      </c>
      <c r="O139" s="1235">
        <f>'Материалы и инструменты'!E24</f>
        <v>1.51</v>
      </c>
      <c r="P139" s="1235">
        <f>'Материалы и инструменты'!F24</f>
        <v>4.57</v>
      </c>
      <c r="Q139" s="1235">
        <f>'Материалы и инструменты'!G24</f>
        <v>13.784</v>
      </c>
      <c r="R139" s="1235">
        <f>'Материалы и инструменты'!H24</f>
        <v>41.55</v>
      </c>
      <c r="S139" s="1235">
        <f>'Материалы и инструменты'!I24</f>
        <v>124.72</v>
      </c>
      <c r="T139" s="1235">
        <f>'Материалы и инструменты'!J24</f>
        <v>374.71</v>
      </c>
    </row>
    <row r="140">
      <c r="B140" s="1283" t="s">
        <v>1641</v>
      </c>
      <c r="C140" s="1285">
        <f t="shared" ref="C140:C141" si="86">C130</f>
        <v>1</v>
      </c>
      <c r="D140" s="1285">
        <f t="shared" ref="D140:H140" si="85">$C$140</f>
        <v>1</v>
      </c>
      <c r="E140" s="1285">
        <f t="shared" si="85"/>
        <v>1</v>
      </c>
      <c r="F140" s="1285">
        <f t="shared" si="85"/>
        <v>1</v>
      </c>
      <c r="G140" s="1285">
        <f t="shared" si="85"/>
        <v>1</v>
      </c>
      <c r="H140" s="1285">
        <f t="shared" si="85"/>
        <v>1</v>
      </c>
      <c r="J140" s="1104"/>
      <c r="K140" s="1113"/>
      <c r="L140" s="1104"/>
      <c r="M140" s="1264" t="s">
        <v>1619</v>
      </c>
      <c r="N140" s="1265">
        <f>'Материалы и инструменты'!$D$63</f>
        <v>0.01</v>
      </c>
      <c r="O140" s="1265">
        <f>'Материалы и инструменты'!$D$63</f>
        <v>0.01</v>
      </c>
      <c r="P140" s="1265">
        <f>'Материалы и инструменты'!$D$63</f>
        <v>0.01</v>
      </c>
      <c r="Q140" s="1265">
        <f>'Материалы и инструменты'!$D$63</f>
        <v>0.01</v>
      </c>
      <c r="R140" s="1265">
        <f>'Материалы и инструменты'!$D$63</f>
        <v>0.01</v>
      </c>
      <c r="S140" s="1265">
        <f>'Материалы и инструменты'!$D$63</f>
        <v>0.01</v>
      </c>
      <c r="T140" s="1265">
        <f>'Материалы и инструменты'!$D$63</f>
        <v>0.01</v>
      </c>
    </row>
    <row r="141">
      <c r="B141" s="1304" t="s">
        <v>1645</v>
      </c>
      <c r="C141" s="1306">
        <f t="shared" si="86"/>
        <v>1</v>
      </c>
      <c r="D141" s="1306">
        <f t="shared" ref="D141:H141" si="87">$C$141</f>
        <v>1</v>
      </c>
      <c r="E141" s="1306">
        <f t="shared" si="87"/>
        <v>1</v>
      </c>
      <c r="F141" s="1306">
        <f t="shared" si="87"/>
        <v>1</v>
      </c>
      <c r="G141" s="1306">
        <f t="shared" si="87"/>
        <v>1</v>
      </c>
      <c r="H141" s="1306">
        <f t="shared" si="87"/>
        <v>1</v>
      </c>
      <c r="J141" s="1104"/>
      <c r="K141" s="1113"/>
      <c r="L141" s="1104"/>
      <c r="M141" s="1266" t="s">
        <v>1620</v>
      </c>
      <c r="N141" s="1267">
        <f t="shared" ref="N141:T141" si="88">$N$131</f>
        <v>0.1</v>
      </c>
      <c r="O141" s="1267">
        <f t="shared" si="88"/>
        <v>0.1</v>
      </c>
      <c r="P141" s="1267">
        <f t="shared" si="88"/>
        <v>0.1</v>
      </c>
      <c r="Q141" s="1267">
        <f t="shared" si="88"/>
        <v>0.1</v>
      </c>
      <c r="R141" s="1267">
        <f t="shared" si="88"/>
        <v>0.1</v>
      </c>
      <c r="S141" s="1267">
        <f t="shared" si="88"/>
        <v>0.1</v>
      </c>
      <c r="T141" s="1267">
        <f t="shared" si="88"/>
        <v>0.1</v>
      </c>
    </row>
    <row r="142">
      <c r="B142" s="999" t="s">
        <v>1400</v>
      </c>
      <c r="C142" s="1000" t="s">
        <v>1489</v>
      </c>
      <c r="D142" s="1000" t="s">
        <v>1490</v>
      </c>
      <c r="E142" s="1000" t="s">
        <v>1490</v>
      </c>
      <c r="F142" s="1000" t="s">
        <v>1490</v>
      </c>
      <c r="G142" s="1000" t="s">
        <v>1490</v>
      </c>
      <c r="H142" s="1000" t="s">
        <v>1490</v>
      </c>
      <c r="M142" s="1268" t="s">
        <v>1621</v>
      </c>
      <c r="N142" s="1269">
        <f t="shared" ref="N142:T142" si="89">$N$132</f>
        <v>0.3</v>
      </c>
      <c r="O142" s="1269">
        <f t="shared" si="89"/>
        <v>0.3</v>
      </c>
      <c r="P142" s="1269">
        <f t="shared" si="89"/>
        <v>0.3</v>
      </c>
      <c r="Q142" s="1269">
        <f t="shared" si="89"/>
        <v>0.3</v>
      </c>
      <c r="R142" s="1269">
        <f t="shared" si="89"/>
        <v>0.3</v>
      </c>
      <c r="S142" s="1269">
        <f t="shared" si="89"/>
        <v>0.3</v>
      </c>
      <c r="T142" s="1269">
        <f t="shared" si="89"/>
        <v>0.3</v>
      </c>
    </row>
    <row r="143">
      <c r="B143" s="1001" t="s">
        <v>1369</v>
      </c>
      <c r="C143" s="1120" t="str">
        <f>'Материалы и инструменты'!$E$148</f>
        <v>Древесный уголь</v>
      </c>
      <c r="D143" s="1120" t="str">
        <f>'Материалы и инструменты'!$E$148</f>
        <v>Древесный уголь</v>
      </c>
      <c r="E143" s="1120" t="str">
        <f>'Материалы и инструменты'!$F$148</f>
        <v>Каменный уголь</v>
      </c>
      <c r="F143" s="1120" t="str">
        <f>'Материалы и инструменты'!$F$148</f>
        <v>Каменный уголь</v>
      </c>
      <c r="G143" s="1120" t="str">
        <f>'Материалы и инструменты'!$F$148</f>
        <v>Каменный уголь</v>
      </c>
      <c r="H143" s="1120" t="str">
        <f>'Материалы и инструменты'!$F$148</f>
        <v>Каменный уголь</v>
      </c>
      <c r="M143" s="999" t="s">
        <v>1400</v>
      </c>
      <c r="N143" s="1238" t="s">
        <v>1595</v>
      </c>
      <c r="O143" s="1238" t="s">
        <v>1547</v>
      </c>
      <c r="P143" s="1238" t="s">
        <v>1547</v>
      </c>
      <c r="Q143" s="1238" t="s">
        <v>1547</v>
      </c>
      <c r="R143" s="1238" t="s">
        <v>1547</v>
      </c>
      <c r="S143" s="1238" t="s">
        <v>1547</v>
      </c>
      <c r="T143" s="1238" t="s">
        <v>1547</v>
      </c>
    </row>
    <row r="144">
      <c r="B144" s="1002" t="s">
        <v>1370</v>
      </c>
      <c r="C144" s="1121">
        <f>'Материалы и инструменты'!$E$149</f>
        <v>0.07</v>
      </c>
      <c r="D144" s="1121">
        <f>'Материалы и инструменты'!$E$149</f>
        <v>0.07</v>
      </c>
      <c r="E144" s="1120">
        <f>'Материалы и инструменты'!$F$149</f>
        <v>0.14</v>
      </c>
      <c r="F144" s="1120">
        <f>'Материалы и инструменты'!$F$149</f>
        <v>0.14</v>
      </c>
      <c r="G144" s="1120">
        <f>'Материалы и инструменты'!$F$149</f>
        <v>0.14</v>
      </c>
      <c r="H144" s="1120">
        <f>'Материалы и инструменты'!$F$149</f>
        <v>0.14</v>
      </c>
      <c r="M144" s="1001" t="s">
        <v>1369</v>
      </c>
      <c r="N144" s="1237" t="str">
        <f>'Материалы и инструменты'!$E$148</f>
        <v>Древесный уголь</v>
      </c>
      <c r="O144" s="1237" t="str">
        <f>'Материалы и инструменты'!$E$148</f>
        <v>Древесный уголь</v>
      </c>
      <c r="P144" s="1240" t="str">
        <f>'Материалы и инструменты'!$F$148</f>
        <v>Каменный уголь</v>
      </c>
      <c r="Q144" s="1240" t="str">
        <f>'Материалы и инструменты'!$F$148</f>
        <v>Каменный уголь</v>
      </c>
      <c r="R144" s="1240" t="str">
        <f>'Материалы и инструменты'!$F$148</f>
        <v>Каменный уголь</v>
      </c>
      <c r="S144" s="1240" t="str">
        <f>'Материалы и инструменты'!$F$148</f>
        <v>Каменный уголь</v>
      </c>
      <c r="T144" s="1240" t="str">
        <f>'Материалы и инструменты'!$F$148</f>
        <v>Каменный уголь</v>
      </c>
    </row>
    <row r="145">
      <c r="B145" s="1002" t="s">
        <v>1231</v>
      </c>
      <c r="C145" s="1120">
        <f>'Рудокоп'!$C$84*C141</f>
        <v>2</v>
      </c>
      <c r="D145" s="1120">
        <f>'Рудокоп'!$H$63*D141</f>
        <v>3</v>
      </c>
      <c r="E145" s="1120">
        <f>'Рудокоп'!$D$84*E141</f>
        <v>3</v>
      </c>
      <c r="F145" s="1120">
        <f>'Рудокоп'!$L$63*F141</f>
        <v>5</v>
      </c>
      <c r="G145" s="1120">
        <f>'Рудокоп'!$M$63*G141</f>
        <v>5</v>
      </c>
      <c r="H145" s="1120">
        <f>'Рудокоп'!$N$63*H141</f>
        <v>6</v>
      </c>
      <c r="M145" s="1002" t="s">
        <v>1370</v>
      </c>
      <c r="N145" s="1239">
        <f>'Материалы и инструменты'!$E$149</f>
        <v>0.07</v>
      </c>
      <c r="O145" s="1239">
        <f>'Материалы и инструменты'!$E$149</f>
        <v>0.07</v>
      </c>
      <c r="P145" s="1270">
        <f>'Материалы и инструменты'!$F$149</f>
        <v>0.14</v>
      </c>
      <c r="Q145" s="1270">
        <f>'Материалы и инструменты'!$F$149</f>
        <v>0.14</v>
      </c>
      <c r="R145" s="1270">
        <f>'Материалы и инструменты'!$F$149</f>
        <v>0.14</v>
      </c>
      <c r="S145" s="1270">
        <f>'Материалы и инструменты'!$F$149</f>
        <v>0.14</v>
      </c>
      <c r="T145" s="1270">
        <f>'Материалы и инструменты'!$F$149</f>
        <v>0.14</v>
      </c>
    </row>
    <row r="146">
      <c r="B146" s="1004" t="s">
        <v>1371</v>
      </c>
      <c r="C146" s="950">
        <f t="shared" ref="C146:H146" si="90">(C140+C141)*C147</f>
        <v>10</v>
      </c>
      <c r="D146" s="950">
        <f t="shared" si="90"/>
        <v>11</v>
      </c>
      <c r="E146" s="950">
        <f t="shared" si="90"/>
        <v>12</v>
      </c>
      <c r="F146" s="950">
        <f t="shared" si="90"/>
        <v>14</v>
      </c>
      <c r="G146" s="950">
        <f t="shared" si="90"/>
        <v>15</v>
      </c>
      <c r="H146" s="950">
        <f t="shared" si="90"/>
        <v>16</v>
      </c>
      <c r="J146" s="1104"/>
      <c r="K146" s="1113"/>
      <c r="L146" s="1104"/>
      <c r="M146" s="1002" t="s">
        <v>1231</v>
      </c>
      <c r="N146" s="1240">
        <f>VLOOKUP(N136,'Списки'!$L$108:$P$114,3,FALSE)*N141</f>
        <v>0.2</v>
      </c>
      <c r="O146" s="1240">
        <f>VLOOKUP(O136,'Списки'!$L$108:$P$114,3,FALSE)*O141</f>
        <v>0.3</v>
      </c>
      <c r="P146" s="1240">
        <f>VLOOKUP(P136,'Списки'!$L$108:$P$114,3,FALSE)*P141</f>
        <v>0.3</v>
      </c>
      <c r="Q146" s="1240">
        <f>VLOOKUP(Q136,'Списки'!$L$108:$P$114,3,FALSE)*Q141</f>
        <v>0.4</v>
      </c>
      <c r="R146" s="1240">
        <f>VLOOKUP(R136,'Списки'!$L$108:$P$114,3,FALSE)*R141</f>
        <v>0.5</v>
      </c>
      <c r="S146" s="1240">
        <f>VLOOKUP(S136,'Списки'!$L$108:$P$114,3,FALSE)*S141</f>
        <v>0.5</v>
      </c>
      <c r="T146" s="1240">
        <f>VLOOKUP(T136,'Списки'!$L$108:$P$114,3,FALSE)*T141</f>
        <v>0.6</v>
      </c>
    </row>
    <row r="147">
      <c r="B147" s="1004" t="s">
        <v>1385</v>
      </c>
      <c r="C147" s="950">
        <f>C132</f>
        <v>5</v>
      </c>
      <c r="D147" s="950">
        <f t="shared" ref="D147:E147" si="91">C147+0.5</f>
        <v>5.5</v>
      </c>
      <c r="E147" s="950">
        <f t="shared" si="91"/>
        <v>6</v>
      </c>
      <c r="F147" s="950">
        <f>E147+0.5*2</f>
        <v>7</v>
      </c>
      <c r="G147" s="950">
        <f t="shared" ref="G147:H147" si="92">F147+0.5</f>
        <v>7.5</v>
      </c>
      <c r="H147" s="950">
        <f t="shared" si="92"/>
        <v>8</v>
      </c>
      <c r="J147" s="1104"/>
      <c r="K147" s="1113">
        <v>1.0</v>
      </c>
      <c r="L147" s="1104"/>
      <c r="M147" s="1004" t="s">
        <v>1371</v>
      </c>
      <c r="N147" s="1271">
        <f t="shared" ref="N147:T147" si="93">(N141+N142)*N148</f>
        <v>0.24</v>
      </c>
      <c r="O147" s="1271">
        <f t="shared" si="93"/>
        <v>0.44</v>
      </c>
      <c r="P147" s="1271">
        <f t="shared" si="93"/>
        <v>0.64</v>
      </c>
      <c r="Q147" s="1271">
        <f t="shared" si="93"/>
        <v>0.84</v>
      </c>
      <c r="R147" s="1271">
        <f t="shared" si="93"/>
        <v>1.04</v>
      </c>
      <c r="S147" s="1271">
        <f t="shared" si="93"/>
        <v>1.24</v>
      </c>
      <c r="T147" s="1271">
        <f t="shared" si="93"/>
        <v>1.44</v>
      </c>
    </row>
    <row r="148">
      <c r="B148" s="1004" t="s">
        <v>1372</v>
      </c>
      <c r="C148" s="950">
        <f t="shared" ref="C148:H148" si="94">(0.02*C149)*C149</f>
        <v>0.02</v>
      </c>
      <c r="D148" s="950">
        <f t="shared" si="94"/>
        <v>0.08</v>
      </c>
      <c r="E148" s="950">
        <f t="shared" si="94"/>
        <v>0.18</v>
      </c>
      <c r="F148" s="951">
        <f t="shared" si="94"/>
        <v>0.5</v>
      </c>
      <c r="G148" s="950">
        <f t="shared" si="94"/>
        <v>0.72</v>
      </c>
      <c r="H148" s="950">
        <f t="shared" si="94"/>
        <v>0.98</v>
      </c>
      <c r="J148" s="1104"/>
      <c r="K148" s="1113"/>
      <c r="L148" s="1104"/>
      <c r="M148" s="1004" t="s">
        <v>1385</v>
      </c>
      <c r="N148" s="1271">
        <f>N133</f>
        <v>0.6</v>
      </c>
      <c r="O148" s="1271">
        <f t="shared" ref="O148:T148" si="95">N148+0.5</f>
        <v>1.1</v>
      </c>
      <c r="P148" s="1271">
        <f t="shared" si="95"/>
        <v>1.6</v>
      </c>
      <c r="Q148" s="1271">
        <f t="shared" si="95"/>
        <v>2.1</v>
      </c>
      <c r="R148" s="1271">
        <f t="shared" si="95"/>
        <v>2.6</v>
      </c>
      <c r="S148" s="1271">
        <f t="shared" si="95"/>
        <v>3.1</v>
      </c>
      <c r="T148" s="1271">
        <f t="shared" si="95"/>
        <v>3.6</v>
      </c>
    </row>
    <row r="149">
      <c r="B149" s="1004" t="s">
        <v>1646</v>
      </c>
      <c r="C149" s="950">
        <f>C133</f>
        <v>1</v>
      </c>
      <c r="D149" s="950">
        <f t="shared" ref="D149:E149" si="96">C149+1</f>
        <v>2</v>
      </c>
      <c r="E149" s="950">
        <f t="shared" si="96"/>
        <v>3</v>
      </c>
      <c r="F149" s="950">
        <f>E149+2</f>
        <v>5</v>
      </c>
      <c r="G149" s="950">
        <f t="shared" ref="G149:H149" si="97">F149+1</f>
        <v>6</v>
      </c>
      <c r="H149" s="950">
        <f t="shared" si="97"/>
        <v>7</v>
      </c>
      <c r="J149" s="1104"/>
      <c r="K149" s="1113"/>
      <c r="L149" s="1104"/>
      <c r="M149" s="1004" t="s">
        <v>1372</v>
      </c>
      <c r="N149" s="1271">
        <f t="shared" ref="N149:T149" si="98">(0.02*N150)*N150</f>
        <v>0.02</v>
      </c>
      <c r="O149" s="1271">
        <f t="shared" si="98"/>
        <v>0.08</v>
      </c>
      <c r="P149" s="1271">
        <f t="shared" si="98"/>
        <v>0.18</v>
      </c>
      <c r="Q149" s="1272">
        <f t="shared" si="98"/>
        <v>0.32</v>
      </c>
      <c r="R149" s="1271">
        <f t="shared" si="98"/>
        <v>0.5</v>
      </c>
      <c r="S149" s="1271">
        <f t="shared" si="98"/>
        <v>0.72</v>
      </c>
      <c r="T149" s="1271">
        <f t="shared" si="98"/>
        <v>0.98</v>
      </c>
    </row>
    <row r="150">
      <c r="B150" s="1004" t="s">
        <v>1647</v>
      </c>
      <c r="C150" s="1008">
        <f t="shared" ref="C150:H150" si="99">20+(C149-1)*4</f>
        <v>20</v>
      </c>
      <c r="D150" s="1008">
        <f t="shared" si="99"/>
        <v>24</v>
      </c>
      <c r="E150" s="1008">
        <f t="shared" si="99"/>
        <v>28</v>
      </c>
      <c r="F150" s="1008">
        <f t="shared" si="99"/>
        <v>36</v>
      </c>
      <c r="G150" s="1008">
        <f t="shared" si="99"/>
        <v>40</v>
      </c>
      <c r="H150" s="1008">
        <f t="shared" si="99"/>
        <v>44</v>
      </c>
      <c r="J150" s="1104"/>
      <c r="K150" s="1113"/>
      <c r="L150" s="1104"/>
      <c r="M150" s="1004" t="s">
        <v>1622</v>
      </c>
      <c r="N150" s="1271">
        <f>N134</f>
        <v>1</v>
      </c>
      <c r="O150" s="1271">
        <f t="shared" ref="O150:T150" si="100">N150+1</f>
        <v>2</v>
      </c>
      <c r="P150" s="1271">
        <f t="shared" si="100"/>
        <v>3</v>
      </c>
      <c r="Q150" s="1271">
        <f t="shared" si="100"/>
        <v>4</v>
      </c>
      <c r="R150" s="1271">
        <f t="shared" si="100"/>
        <v>5</v>
      </c>
      <c r="S150" s="1271">
        <f t="shared" si="100"/>
        <v>6</v>
      </c>
      <c r="T150" s="1271">
        <f t="shared" si="100"/>
        <v>7</v>
      </c>
    </row>
    <row r="151">
      <c r="B151" s="1004" t="s">
        <v>1493</v>
      </c>
      <c r="C151" s="953" t="s">
        <v>1237</v>
      </c>
      <c r="D151" s="953" t="s">
        <v>1237</v>
      </c>
      <c r="E151" s="953" t="s">
        <v>1237</v>
      </c>
      <c r="F151" s="953" t="s">
        <v>1250</v>
      </c>
      <c r="G151" s="953" t="s">
        <v>1250</v>
      </c>
      <c r="H151" s="953" t="s">
        <v>1263</v>
      </c>
      <c r="L151" s="1104"/>
      <c r="M151" s="1273" t="s">
        <v>1623</v>
      </c>
      <c r="N151" s="1271">
        <f t="shared" ref="N151:T151" si="101">20+(N150-1)*4</f>
        <v>20</v>
      </c>
      <c r="O151" s="1271">
        <f t="shared" si="101"/>
        <v>24</v>
      </c>
      <c r="P151" s="1271">
        <f t="shared" si="101"/>
        <v>28</v>
      </c>
      <c r="Q151" s="1271">
        <f t="shared" si="101"/>
        <v>32</v>
      </c>
      <c r="R151" s="1271">
        <f t="shared" si="101"/>
        <v>36</v>
      </c>
      <c r="S151" s="1271">
        <f t="shared" si="101"/>
        <v>40</v>
      </c>
      <c r="T151" s="1271">
        <f t="shared" si="101"/>
        <v>44</v>
      </c>
    </row>
    <row r="152">
      <c r="B152" s="1004" t="s">
        <v>1624</v>
      </c>
      <c r="C152" s="953" t="s">
        <v>1237</v>
      </c>
      <c r="D152" s="953" t="s">
        <v>1237</v>
      </c>
      <c r="E152" s="953" t="s">
        <v>1237</v>
      </c>
      <c r="F152" s="953" t="s">
        <v>1250</v>
      </c>
      <c r="G152" s="953" t="s">
        <v>1250</v>
      </c>
      <c r="H152" s="953" t="s">
        <v>1263</v>
      </c>
      <c r="L152" s="1104"/>
      <c r="M152" s="1274" t="s">
        <v>1624</v>
      </c>
      <c r="N152" s="1008" t="s">
        <v>1237</v>
      </c>
      <c r="O152" s="1008" t="s">
        <v>1237</v>
      </c>
      <c r="P152" s="1008" t="s">
        <v>1237</v>
      </c>
      <c r="Q152" s="953" t="s">
        <v>1250</v>
      </c>
      <c r="R152" s="953" t="s">
        <v>1250</v>
      </c>
      <c r="S152" s="953" t="s">
        <v>1250</v>
      </c>
      <c r="T152" s="953" t="s">
        <v>1263</v>
      </c>
    </row>
    <row r="153">
      <c r="B153" s="1111" t="s">
        <v>1443</v>
      </c>
      <c r="C153" s="1124">
        <f t="shared" ref="C153:H153" si="102">C138*C140+C139*C141+C154*C156+C144*C145</f>
        <v>2.36</v>
      </c>
      <c r="D153" s="1124">
        <f t="shared" si="102"/>
        <v>6.04</v>
      </c>
      <c r="E153" s="1124">
        <f t="shared" si="102"/>
        <v>13.75</v>
      </c>
      <c r="F153" s="1124">
        <f t="shared" si="102"/>
        <v>72.13</v>
      </c>
      <c r="G153" s="1124">
        <f t="shared" si="102"/>
        <v>183.98</v>
      </c>
      <c r="H153" s="1112">
        <f t="shared" si="102"/>
        <v>503.99</v>
      </c>
      <c r="J153" s="1104"/>
      <c r="K153" s="1113"/>
      <c r="L153" s="1104"/>
      <c r="M153" s="1004" t="s">
        <v>1493</v>
      </c>
      <c r="N153" s="1008" t="s">
        <v>1237</v>
      </c>
      <c r="O153" s="1008" t="s">
        <v>1237</v>
      </c>
      <c r="P153" s="1008" t="s">
        <v>1237</v>
      </c>
      <c r="Q153" s="953" t="s">
        <v>1250</v>
      </c>
      <c r="R153" s="953" t="s">
        <v>1250</v>
      </c>
      <c r="S153" s="953" t="s">
        <v>1250</v>
      </c>
      <c r="T153" s="953" t="s">
        <v>1263</v>
      </c>
    </row>
    <row r="154">
      <c r="B154" s="1004" t="s">
        <v>1371</v>
      </c>
      <c r="C154" s="1075">
        <f t="shared" ref="C154:H154" si="103">(C140+C141)*C155</f>
        <v>20</v>
      </c>
      <c r="D154" s="1075">
        <f t="shared" si="103"/>
        <v>22</v>
      </c>
      <c r="E154" s="1075">
        <f t="shared" si="103"/>
        <v>24</v>
      </c>
      <c r="F154" s="1075">
        <f t="shared" si="103"/>
        <v>28</v>
      </c>
      <c r="G154" s="1075">
        <f t="shared" si="103"/>
        <v>30</v>
      </c>
      <c r="H154" s="1075">
        <f t="shared" si="103"/>
        <v>32</v>
      </c>
      <c r="J154" s="1104"/>
      <c r="K154" s="1113"/>
      <c r="L154" s="1104"/>
      <c r="M154" s="1111" t="s">
        <v>1494</v>
      </c>
      <c r="N154" s="1275">
        <f t="shared" ref="N154:T154" si="104">N139*N141+N140*N142+N155*N157+N145*N146</f>
        <v>0.1054</v>
      </c>
      <c r="O154" s="1275">
        <f t="shared" si="104"/>
        <v>0.3334</v>
      </c>
      <c r="P154" s="1275">
        <f t="shared" si="104"/>
        <v>0.9116</v>
      </c>
      <c r="Q154" s="1275">
        <f t="shared" si="104"/>
        <v>2.2774</v>
      </c>
      <c r="R154" s="1275">
        <f t="shared" si="104"/>
        <v>5.7256</v>
      </c>
      <c r="S154" s="1275">
        <f t="shared" si="104"/>
        <v>14.9754</v>
      </c>
      <c r="T154" s="1275">
        <f t="shared" si="104"/>
        <v>41.2444</v>
      </c>
      <c r="U154" s="1113">
        <v>2.0</v>
      </c>
    </row>
    <row r="155">
      <c r="B155" s="1004" t="s">
        <v>1385</v>
      </c>
      <c r="C155" s="1075">
        <f t="shared" ref="C155:H155" si="105">C$147*$K155</f>
        <v>10</v>
      </c>
      <c r="D155" s="1075">
        <f t="shared" si="105"/>
        <v>11</v>
      </c>
      <c r="E155" s="1075">
        <f t="shared" si="105"/>
        <v>12</v>
      </c>
      <c r="F155" s="1075">
        <f t="shared" si="105"/>
        <v>14</v>
      </c>
      <c r="G155" s="1075">
        <f t="shared" si="105"/>
        <v>15</v>
      </c>
      <c r="H155" s="1075">
        <f t="shared" si="105"/>
        <v>16</v>
      </c>
      <c r="J155" s="1104"/>
      <c r="K155" s="1113">
        <v>2.0</v>
      </c>
      <c r="L155" s="1104"/>
      <c r="M155" s="1004" t="s">
        <v>1371</v>
      </c>
      <c r="N155" s="1271">
        <f t="shared" ref="N155:T155" si="106">(N141+N142)*N156</f>
        <v>0.48</v>
      </c>
      <c r="O155" s="1271">
        <f t="shared" si="106"/>
        <v>0.88</v>
      </c>
      <c r="P155" s="1271">
        <f t="shared" si="106"/>
        <v>1.28</v>
      </c>
      <c r="Q155" s="1271">
        <f t="shared" si="106"/>
        <v>1.68</v>
      </c>
      <c r="R155" s="1271">
        <f t="shared" si="106"/>
        <v>2.08</v>
      </c>
      <c r="S155" s="1271">
        <f t="shared" si="106"/>
        <v>2.48</v>
      </c>
      <c r="T155" s="1271">
        <f t="shared" si="106"/>
        <v>2.88</v>
      </c>
    </row>
    <row r="156">
      <c r="B156" s="1004" t="s">
        <v>1372</v>
      </c>
      <c r="C156" s="1075">
        <f t="shared" ref="C156:H156" si="107">(0.02*C157)*C157</f>
        <v>0.08</v>
      </c>
      <c r="D156" s="1075">
        <f t="shared" si="107"/>
        <v>0.18</v>
      </c>
      <c r="E156" s="1075">
        <f t="shared" si="107"/>
        <v>0.32</v>
      </c>
      <c r="F156" s="1075">
        <f t="shared" si="107"/>
        <v>0.72</v>
      </c>
      <c r="G156" s="1075">
        <f t="shared" si="107"/>
        <v>0.98</v>
      </c>
      <c r="H156" s="1075">
        <f t="shared" si="107"/>
        <v>1.28</v>
      </c>
      <c r="J156" s="1104"/>
      <c r="K156" s="1113"/>
      <c r="L156" s="1104"/>
      <c r="M156" s="1004" t="s">
        <v>1385</v>
      </c>
      <c r="N156" s="1271">
        <f t="shared" ref="N156:T156" si="108">N$148*$U154</f>
        <v>1.2</v>
      </c>
      <c r="O156" s="1271">
        <f t="shared" si="108"/>
        <v>2.2</v>
      </c>
      <c r="P156" s="1271">
        <f t="shared" si="108"/>
        <v>3.2</v>
      </c>
      <c r="Q156" s="1271">
        <f t="shared" si="108"/>
        <v>4.2</v>
      </c>
      <c r="R156" s="1271">
        <f t="shared" si="108"/>
        <v>5.2</v>
      </c>
      <c r="S156" s="1271">
        <f t="shared" si="108"/>
        <v>6.2</v>
      </c>
      <c r="T156" s="1271">
        <f t="shared" si="108"/>
        <v>7.2</v>
      </c>
    </row>
    <row r="157">
      <c r="B157" s="1004" t="s">
        <v>1646</v>
      </c>
      <c r="C157" s="1075">
        <f t="shared" ref="C157:H157" si="109">C149+1</f>
        <v>2</v>
      </c>
      <c r="D157" s="1075">
        <f t="shared" si="109"/>
        <v>3</v>
      </c>
      <c r="E157" s="1075">
        <f t="shared" si="109"/>
        <v>4</v>
      </c>
      <c r="F157" s="1075">
        <f t="shared" si="109"/>
        <v>6</v>
      </c>
      <c r="G157" s="1075">
        <f t="shared" si="109"/>
        <v>7</v>
      </c>
      <c r="H157" s="1075">
        <f t="shared" si="109"/>
        <v>8</v>
      </c>
      <c r="J157" s="1104"/>
      <c r="K157" s="1113"/>
      <c r="L157" s="1104"/>
      <c r="M157" s="1004" t="s">
        <v>1372</v>
      </c>
      <c r="N157" s="1271">
        <f t="shared" ref="N157:T157" si="110">(0.02*N158)*N158</f>
        <v>0.08</v>
      </c>
      <c r="O157" s="1271">
        <f t="shared" si="110"/>
        <v>0.18</v>
      </c>
      <c r="P157" s="1271">
        <f t="shared" si="110"/>
        <v>0.32</v>
      </c>
      <c r="Q157" s="1271">
        <f t="shared" si="110"/>
        <v>0.5</v>
      </c>
      <c r="R157" s="1271">
        <f t="shared" si="110"/>
        <v>0.72</v>
      </c>
      <c r="S157" s="1271">
        <f t="shared" si="110"/>
        <v>0.98</v>
      </c>
      <c r="T157" s="1271">
        <f t="shared" si="110"/>
        <v>1.28</v>
      </c>
    </row>
    <row r="158">
      <c r="B158" s="1004" t="s">
        <v>1647</v>
      </c>
      <c r="C158" s="953">
        <f t="shared" ref="C158:H158" si="111">20+(C157-1)*4</f>
        <v>24</v>
      </c>
      <c r="D158" s="953">
        <f t="shared" si="111"/>
        <v>28</v>
      </c>
      <c r="E158" s="953">
        <f t="shared" si="111"/>
        <v>32</v>
      </c>
      <c r="F158" s="953">
        <f t="shared" si="111"/>
        <v>40</v>
      </c>
      <c r="G158" s="953">
        <f t="shared" si="111"/>
        <v>44</v>
      </c>
      <c r="H158" s="953">
        <f t="shared" si="111"/>
        <v>48</v>
      </c>
      <c r="J158" s="1104"/>
      <c r="K158" s="1113"/>
      <c r="L158" s="1104"/>
      <c r="M158" s="1004" t="s">
        <v>1622</v>
      </c>
      <c r="N158" s="1271">
        <f t="shared" ref="N158:T158" si="112">N150+1</f>
        <v>2</v>
      </c>
      <c r="O158" s="1271">
        <f t="shared" si="112"/>
        <v>3</v>
      </c>
      <c r="P158" s="1271">
        <f t="shared" si="112"/>
        <v>4</v>
      </c>
      <c r="Q158" s="1271">
        <f t="shared" si="112"/>
        <v>5</v>
      </c>
      <c r="R158" s="1271">
        <f t="shared" si="112"/>
        <v>6</v>
      </c>
      <c r="S158" s="1271">
        <f t="shared" si="112"/>
        <v>7</v>
      </c>
      <c r="T158" s="1271">
        <f t="shared" si="112"/>
        <v>8</v>
      </c>
    </row>
    <row r="159">
      <c r="B159" s="1004" t="s">
        <v>1493</v>
      </c>
      <c r="C159" s="953" t="s">
        <v>1237</v>
      </c>
      <c r="D159" s="953" t="s">
        <v>1237</v>
      </c>
      <c r="E159" s="953" t="s">
        <v>1250</v>
      </c>
      <c r="F159" s="953" t="s">
        <v>1250</v>
      </c>
      <c r="G159" s="953" t="s">
        <v>1263</v>
      </c>
      <c r="H159" s="953" t="s">
        <v>1263</v>
      </c>
      <c r="L159" s="1104"/>
      <c r="M159" s="1273" t="s">
        <v>1623</v>
      </c>
      <c r="N159" s="1271">
        <f t="shared" ref="N159:T159" si="113">20+(N158-1)*4</f>
        <v>24</v>
      </c>
      <c r="O159" s="1271">
        <f t="shared" si="113"/>
        <v>28</v>
      </c>
      <c r="P159" s="1271">
        <f t="shared" si="113"/>
        <v>32</v>
      </c>
      <c r="Q159" s="1271">
        <f t="shared" si="113"/>
        <v>36</v>
      </c>
      <c r="R159" s="1271">
        <f t="shared" si="113"/>
        <v>40</v>
      </c>
      <c r="S159" s="1271">
        <f t="shared" si="113"/>
        <v>44</v>
      </c>
      <c r="T159" s="1271">
        <f t="shared" si="113"/>
        <v>48</v>
      </c>
    </row>
    <row r="160">
      <c r="B160" s="1004" t="s">
        <v>1624</v>
      </c>
      <c r="C160" s="953" t="s">
        <v>1237</v>
      </c>
      <c r="D160" s="953" t="s">
        <v>1237</v>
      </c>
      <c r="E160" s="953" t="s">
        <v>1250</v>
      </c>
      <c r="F160" s="953" t="s">
        <v>1250</v>
      </c>
      <c r="G160" s="953" t="s">
        <v>1263</v>
      </c>
      <c r="H160" s="953" t="s">
        <v>1263</v>
      </c>
      <c r="L160" s="1104"/>
      <c r="M160" s="1274" t="s">
        <v>1624</v>
      </c>
      <c r="N160" s="1008" t="s">
        <v>1237</v>
      </c>
      <c r="O160" s="1008" t="s">
        <v>1237</v>
      </c>
      <c r="P160" s="953" t="s">
        <v>1250</v>
      </c>
      <c r="Q160" s="953" t="s">
        <v>1250</v>
      </c>
      <c r="R160" s="953" t="s">
        <v>1250</v>
      </c>
      <c r="S160" s="953" t="s">
        <v>1263</v>
      </c>
      <c r="T160" s="953" t="s">
        <v>1263</v>
      </c>
    </row>
    <row r="161">
      <c r="B161" s="1111" t="s">
        <v>1495</v>
      </c>
      <c r="C161" s="1124">
        <f t="shared" ref="C161:H161" si="114">C138*C140+C139*C141+C162*C164+C144*C145</f>
        <v>6.16</v>
      </c>
      <c r="D161" s="1124">
        <f t="shared" si="114"/>
        <v>12.64</v>
      </c>
      <c r="E161" s="1124">
        <f t="shared" si="114"/>
        <v>24.07</v>
      </c>
      <c r="F161" s="1124">
        <f t="shared" si="114"/>
        <v>93.13</v>
      </c>
      <c r="G161" s="1124">
        <f t="shared" si="114"/>
        <v>212.18</v>
      </c>
      <c r="H161" s="1112">
        <f t="shared" si="114"/>
        <v>540.79</v>
      </c>
      <c r="J161" s="1104"/>
      <c r="K161" s="1113"/>
      <c r="L161" s="1104"/>
      <c r="M161" s="1004" t="s">
        <v>1493</v>
      </c>
      <c r="N161" s="1008" t="s">
        <v>1237</v>
      </c>
      <c r="O161" s="1008" t="s">
        <v>1237</v>
      </c>
      <c r="P161" s="953" t="s">
        <v>1250</v>
      </c>
      <c r="Q161" s="953" t="s">
        <v>1250</v>
      </c>
      <c r="R161" s="953" t="s">
        <v>1250</v>
      </c>
      <c r="S161" s="953" t="s">
        <v>1263</v>
      </c>
      <c r="T161" s="953" t="s">
        <v>1263</v>
      </c>
    </row>
    <row r="162">
      <c r="B162" s="1004" t="s">
        <v>1371</v>
      </c>
      <c r="C162" s="1075">
        <f t="shared" ref="C162:H162" si="115">(C140+C141)*C163</f>
        <v>30</v>
      </c>
      <c r="D162" s="1075">
        <f t="shared" si="115"/>
        <v>33</v>
      </c>
      <c r="E162" s="1075">
        <f t="shared" si="115"/>
        <v>36</v>
      </c>
      <c r="F162" s="1075">
        <f t="shared" si="115"/>
        <v>42</v>
      </c>
      <c r="G162" s="1075">
        <f t="shared" si="115"/>
        <v>45</v>
      </c>
      <c r="H162" s="1075">
        <f t="shared" si="115"/>
        <v>48</v>
      </c>
      <c r="J162" s="1104"/>
      <c r="K162" s="1113"/>
      <c r="L162" s="1104"/>
      <c r="M162" s="929"/>
      <c r="N162" s="929"/>
      <c r="O162" s="929"/>
      <c r="P162" s="929"/>
      <c r="Q162" s="929"/>
      <c r="R162" s="929"/>
      <c r="S162" s="929"/>
      <c r="T162" s="929"/>
    </row>
    <row r="163">
      <c r="B163" s="1004" t="s">
        <v>1385</v>
      </c>
      <c r="C163" s="1075">
        <f t="shared" ref="C163:H163" si="116">C$147*$K163</f>
        <v>15</v>
      </c>
      <c r="D163" s="1075">
        <f t="shared" si="116"/>
        <v>16.5</v>
      </c>
      <c r="E163" s="1075">
        <f t="shared" si="116"/>
        <v>18</v>
      </c>
      <c r="F163" s="1075">
        <f t="shared" si="116"/>
        <v>21</v>
      </c>
      <c r="G163" s="1075">
        <f t="shared" si="116"/>
        <v>22.5</v>
      </c>
      <c r="H163" s="1075">
        <f t="shared" si="116"/>
        <v>24</v>
      </c>
      <c r="J163" s="1104"/>
      <c r="K163" s="1113">
        <v>3.0</v>
      </c>
      <c r="L163" s="1100"/>
      <c r="M163" s="1276" t="s">
        <v>1625</v>
      </c>
      <c r="N163" s="1105"/>
      <c r="O163" s="1105"/>
      <c r="P163" s="1105"/>
      <c r="Q163" s="1105"/>
      <c r="R163" s="1105"/>
      <c r="S163" s="1105"/>
      <c r="T163" s="1105"/>
    </row>
    <row r="164">
      <c r="B164" s="1004" t="s">
        <v>1372</v>
      </c>
      <c r="C164" s="1075">
        <f t="shared" ref="C164:H164" si="117">(0.02*C165)*C165</f>
        <v>0.18</v>
      </c>
      <c r="D164" s="1075">
        <f t="shared" si="117"/>
        <v>0.32</v>
      </c>
      <c r="E164" s="1076">
        <f t="shared" si="117"/>
        <v>0.5</v>
      </c>
      <c r="F164" s="1075">
        <f t="shared" si="117"/>
        <v>0.98</v>
      </c>
      <c r="G164" s="1075">
        <f t="shared" si="117"/>
        <v>1.28</v>
      </c>
      <c r="H164" s="1075">
        <f t="shared" si="117"/>
        <v>1.62</v>
      </c>
      <c r="J164" s="1104"/>
      <c r="K164" s="1122"/>
      <c r="L164" s="1100"/>
      <c r="M164" s="1247" t="s">
        <v>1626</v>
      </c>
      <c r="N164" s="1110" t="str">
        <f t="shared" ref="N164:T164" si="118">N136</f>
        <v>Бронза</v>
      </c>
      <c r="O164" s="1110" t="str">
        <f t="shared" si="118"/>
        <v>Железо</v>
      </c>
      <c r="P164" s="1110" t="str">
        <f t="shared" si="118"/>
        <v>Сталь</v>
      </c>
      <c r="Q164" s="1110" t="str">
        <f t="shared" si="118"/>
        <v>Булатная сталь</v>
      </c>
      <c r="R164" s="1110" t="str">
        <f t="shared" si="118"/>
        <v>Каврил</v>
      </c>
      <c r="S164" s="1110" t="str">
        <f t="shared" si="118"/>
        <v>Грамант</v>
      </c>
      <c r="T164" s="1110" t="str">
        <f t="shared" si="118"/>
        <v>Леорит</v>
      </c>
    </row>
    <row r="165">
      <c r="B165" s="1004" t="s">
        <v>1646</v>
      </c>
      <c r="C165" s="1075">
        <f t="shared" ref="C165:H165" si="119">C157+1</f>
        <v>3</v>
      </c>
      <c r="D165" s="1075">
        <f t="shared" si="119"/>
        <v>4</v>
      </c>
      <c r="E165" s="1075">
        <f t="shared" si="119"/>
        <v>5</v>
      </c>
      <c r="F165" s="1075">
        <f t="shared" si="119"/>
        <v>7</v>
      </c>
      <c r="G165" s="1075">
        <f t="shared" si="119"/>
        <v>8</v>
      </c>
      <c r="H165" s="1075">
        <f t="shared" si="119"/>
        <v>9</v>
      </c>
      <c r="J165" s="1104"/>
      <c r="K165" s="1122"/>
      <c r="L165" s="1100"/>
      <c r="M165" s="1114" t="s">
        <v>133</v>
      </c>
      <c r="N165" s="1115">
        <v>0.0</v>
      </c>
      <c r="O165" s="1115">
        <v>1.0</v>
      </c>
      <c r="P165" s="1115">
        <v>2.0</v>
      </c>
      <c r="Q165" s="1115">
        <v>3.0</v>
      </c>
      <c r="R165" s="1115">
        <v>4.0</v>
      </c>
      <c r="S165" s="1115">
        <v>5.0</v>
      </c>
      <c r="T165" s="1115">
        <v>6.0</v>
      </c>
    </row>
    <row r="166">
      <c r="B166" s="1004" t="s">
        <v>1647</v>
      </c>
      <c r="C166" s="953">
        <f t="shared" ref="C166:H166" si="120">20+(C165-1)*4</f>
        <v>28</v>
      </c>
      <c r="D166" s="953">
        <f t="shared" si="120"/>
        <v>32</v>
      </c>
      <c r="E166" s="953">
        <f t="shared" si="120"/>
        <v>36</v>
      </c>
      <c r="F166" s="953">
        <f t="shared" si="120"/>
        <v>44</v>
      </c>
      <c r="G166" s="953">
        <f t="shared" si="120"/>
        <v>48</v>
      </c>
      <c r="H166" s="953">
        <f t="shared" si="120"/>
        <v>52</v>
      </c>
      <c r="J166" s="1104"/>
      <c r="K166" s="1122"/>
      <c r="L166" s="1100"/>
      <c r="M166" s="1114" t="s">
        <v>1211</v>
      </c>
      <c r="N166" s="1115">
        <f t="shared" ref="N166:T166" si="121">N165+1</f>
        <v>1</v>
      </c>
      <c r="O166" s="1115">
        <f t="shared" si="121"/>
        <v>2</v>
      </c>
      <c r="P166" s="1115">
        <f t="shared" si="121"/>
        <v>3</v>
      </c>
      <c r="Q166" s="1115">
        <f t="shared" si="121"/>
        <v>4</v>
      </c>
      <c r="R166" s="1115">
        <f t="shared" si="121"/>
        <v>5</v>
      </c>
      <c r="S166" s="1115">
        <f t="shared" si="121"/>
        <v>6</v>
      </c>
      <c r="T166" s="1115">
        <f t="shared" si="121"/>
        <v>7</v>
      </c>
    </row>
    <row r="167">
      <c r="B167" s="1004" t="s">
        <v>1493</v>
      </c>
      <c r="C167" s="953" t="s">
        <v>1237</v>
      </c>
      <c r="D167" s="953" t="s">
        <v>1250</v>
      </c>
      <c r="E167" s="953" t="s">
        <v>1250</v>
      </c>
      <c r="F167" s="953" t="s">
        <v>1263</v>
      </c>
      <c r="G167" s="953" t="s">
        <v>1263</v>
      </c>
      <c r="H167" s="953" t="s">
        <v>1263</v>
      </c>
      <c r="J167" s="1100"/>
      <c r="K167" s="1100"/>
      <c r="L167" s="1100"/>
      <c r="M167" s="1100"/>
      <c r="N167" s="1100"/>
      <c r="O167" s="1100"/>
      <c r="P167" s="1100"/>
    </row>
    <row r="168">
      <c r="B168" s="1004" t="s">
        <v>1624</v>
      </c>
      <c r="C168" s="953" t="s">
        <v>1237</v>
      </c>
      <c r="D168" s="953" t="s">
        <v>1250</v>
      </c>
      <c r="E168" s="953" t="s">
        <v>1250</v>
      </c>
      <c r="F168" s="953" t="s">
        <v>1263</v>
      </c>
      <c r="G168" s="953" t="s">
        <v>1263</v>
      </c>
      <c r="H168" s="953" t="s">
        <v>1263</v>
      </c>
      <c r="J168" s="1100"/>
      <c r="K168" s="1100"/>
      <c r="L168" s="1100"/>
      <c r="M168" s="1100"/>
      <c r="N168" s="1100"/>
      <c r="O168" s="1100"/>
      <c r="P168" s="1100"/>
    </row>
    <row r="170">
      <c r="B170" s="1300" t="s">
        <v>1731</v>
      </c>
      <c r="C170" s="1100"/>
      <c r="D170" s="1100"/>
      <c r="E170" s="1100"/>
      <c r="F170" s="1100"/>
      <c r="G170" s="1100"/>
      <c r="H170" s="1100"/>
      <c r="I170" s="1100"/>
      <c r="J170" s="1100"/>
      <c r="M170" s="1300" t="s">
        <v>1732</v>
      </c>
      <c r="N170" s="1053" t="s">
        <v>1733</v>
      </c>
      <c r="O170" s="1053" t="s">
        <v>1734</v>
      </c>
      <c r="Q170" s="1059" t="s">
        <v>1735</v>
      </c>
    </row>
    <row r="171">
      <c r="B171" s="1100"/>
      <c r="C171" s="1219" t="s">
        <v>1660</v>
      </c>
      <c r="D171" s="1219" t="s">
        <v>1650</v>
      </c>
      <c r="E171" s="1219" t="s">
        <v>1651</v>
      </c>
      <c r="F171" s="1219" t="s">
        <v>1652</v>
      </c>
      <c r="G171" s="1219" t="s">
        <v>1654</v>
      </c>
      <c r="H171" s="1100"/>
      <c r="I171" s="1100"/>
      <c r="J171" s="1100"/>
      <c r="N171" s="31"/>
      <c r="O171" s="1053" t="s">
        <v>1736</v>
      </c>
    </row>
    <row r="172">
      <c r="B172" s="810" t="s">
        <v>199</v>
      </c>
      <c r="C172" s="1308">
        <v>2.0</v>
      </c>
      <c r="D172" s="1308">
        <v>3.0</v>
      </c>
      <c r="E172" s="1308">
        <v>4.0</v>
      </c>
      <c r="F172" s="1308">
        <v>1.0</v>
      </c>
      <c r="G172" s="1413">
        <f>'Материалы и инструменты'!$E$63*C172+(D172*C172)*(0.02*F172)*F172</f>
        <v>0.36</v>
      </c>
      <c r="H172" s="1100"/>
      <c r="I172" s="1100"/>
      <c r="J172" s="1100"/>
      <c r="M172" s="1302" t="s">
        <v>1615</v>
      </c>
      <c r="N172" s="1303" t="s">
        <v>1616</v>
      </c>
      <c r="O172" s="1303" t="s">
        <v>1616</v>
      </c>
    </row>
    <row r="173">
      <c r="B173" s="810" t="s">
        <v>1157</v>
      </c>
      <c r="C173" s="1308">
        <v>3.0</v>
      </c>
      <c r="D173" s="1308">
        <v>3.5</v>
      </c>
      <c r="E173" s="1308">
        <v>6.0</v>
      </c>
      <c r="F173" s="1308">
        <v>1.0</v>
      </c>
      <c r="G173" s="1413">
        <f>'Материалы и инструменты'!$E$63*C173+(D173*C173)*(0.02*F173)*F173</f>
        <v>0.57</v>
      </c>
      <c r="H173" s="1100"/>
      <c r="I173" s="1100"/>
      <c r="J173" s="1100"/>
      <c r="M173" s="1111" t="s">
        <v>1488</v>
      </c>
      <c r="N173" s="1112">
        <f>ROUNDDOWN(O173/(O175*0.2),2)</f>
        <v>0.07</v>
      </c>
      <c r="O173" s="1112">
        <f>O174*O175+O178*O179+O180*O183</f>
        <v>1.14</v>
      </c>
    </row>
    <row r="174">
      <c r="B174" s="838" t="s">
        <v>1158</v>
      </c>
      <c r="C174" s="1308">
        <v>2.0</v>
      </c>
      <c r="D174" s="1308">
        <v>7.0</v>
      </c>
      <c r="E174" s="1308">
        <v>5.0</v>
      </c>
      <c r="F174" s="1309">
        <v>2.0</v>
      </c>
      <c r="G174" s="1413">
        <f>'Материалы и инструменты'!$E$63*C174+(D174*C174)*(0.02*F174)*F174</f>
        <v>1.36</v>
      </c>
      <c r="H174" s="1100"/>
      <c r="I174" s="1100"/>
      <c r="J174" s="1100"/>
      <c r="M174" s="1304" t="s">
        <v>1619</v>
      </c>
      <c r="N174" s="1306"/>
      <c r="O174" s="1306">
        <f>'Материалы и инструменты'!$D$63</f>
        <v>0.01</v>
      </c>
    </row>
    <row r="175">
      <c r="B175" s="838" t="s">
        <v>1164</v>
      </c>
      <c r="C175" s="1308">
        <v>3.0</v>
      </c>
      <c r="D175" s="1308">
        <v>8.0</v>
      </c>
      <c r="E175" s="1308">
        <v>7.0</v>
      </c>
      <c r="F175" s="1309">
        <v>2.0</v>
      </c>
      <c r="G175" s="1413">
        <f>'Материалы и инструменты'!$E$63*C175+(D175*C175)*(0.02*F175)*F175</f>
        <v>2.28</v>
      </c>
      <c r="H175" s="1100"/>
      <c r="I175" s="1100"/>
      <c r="J175" s="1100"/>
      <c r="M175" s="1304" t="s">
        <v>1645</v>
      </c>
      <c r="N175" s="1414"/>
      <c r="O175" s="1414">
        <v>80.0</v>
      </c>
    </row>
    <row r="176">
      <c r="B176" s="1415" t="s">
        <v>888</v>
      </c>
      <c r="C176" s="1416">
        <v>1.0</v>
      </c>
      <c r="D176" s="1416">
        <v>1.0</v>
      </c>
      <c r="E176" s="1416">
        <v>5.0</v>
      </c>
      <c r="F176" s="1416">
        <v>1.0</v>
      </c>
      <c r="G176" s="1413">
        <f>'Материалы и инструменты'!$E$63*C176+(D176*C176)*(0.02*F176)*F176</f>
        <v>0.14</v>
      </c>
      <c r="H176" s="1100"/>
      <c r="I176" s="1100"/>
      <c r="J176" s="1100"/>
      <c r="M176" s="999" t="s">
        <v>1400</v>
      </c>
      <c r="N176" s="1000"/>
      <c r="O176" s="1000" t="s">
        <v>30</v>
      </c>
    </row>
    <row r="177">
      <c r="B177" s="1417" t="s">
        <v>967</v>
      </c>
      <c r="C177" s="1254">
        <v>2.0</v>
      </c>
      <c r="D177" s="1254">
        <v>1.5</v>
      </c>
      <c r="E177" s="1254">
        <v>5.0</v>
      </c>
      <c r="F177" s="1254">
        <v>1.0</v>
      </c>
      <c r="G177" s="1413">
        <f>'Материалы и инструменты'!$E$63*C177+(D177*C177)*(0.02*F177)*F177</f>
        <v>0.3</v>
      </c>
      <c r="J177" s="1100"/>
      <c r="M177" s="1001" t="s">
        <v>1369</v>
      </c>
      <c r="N177" s="1418"/>
      <c r="O177" s="1418" t="s">
        <v>1238</v>
      </c>
    </row>
    <row r="178">
      <c r="B178" s="1419" t="s">
        <v>1721</v>
      </c>
      <c r="C178" s="1308">
        <v>5.0</v>
      </c>
      <c r="D178" s="1308">
        <v>1.0</v>
      </c>
      <c r="E178" s="1308">
        <v>4.0</v>
      </c>
      <c r="F178" s="1308">
        <v>1.0</v>
      </c>
      <c r="G178" s="1413">
        <f>'Материалы и инструменты'!$E$63*C178+(D178*C178)*(0.02*F178)*F178</f>
        <v>0.7</v>
      </c>
      <c r="H178" s="1100"/>
      <c r="I178" s="1100"/>
      <c r="J178" s="1100"/>
      <c r="M178" s="1002" t="s">
        <v>1370</v>
      </c>
      <c r="N178" s="1120"/>
      <c r="O178" s="1120">
        <f>'Материалы и инструменты'!$D$63</f>
        <v>0.01</v>
      </c>
    </row>
    <row r="179">
      <c r="B179" s="1419" t="s">
        <v>1737</v>
      </c>
      <c r="C179" s="1308">
        <v>10.0</v>
      </c>
      <c r="D179" s="1308">
        <v>4.0</v>
      </c>
      <c r="E179" s="1308">
        <v>4.0</v>
      </c>
      <c r="F179" s="1308">
        <v>1.0</v>
      </c>
      <c r="G179" s="1413">
        <f>'Материалы и инструменты'!$E$63*C179+(D179*C179)*(0.02*F179)*F179</f>
        <v>2</v>
      </c>
      <c r="H179" s="1100"/>
      <c r="I179" s="1100"/>
      <c r="J179" s="1100"/>
      <c r="M179" s="1002" t="s">
        <v>1231</v>
      </c>
      <c r="N179" s="1418"/>
      <c r="O179" s="1418">
        <v>30.0</v>
      </c>
    </row>
    <row r="180">
      <c r="B180" s="1420" t="s">
        <v>1738</v>
      </c>
      <c r="C180" s="1308">
        <v>4.0</v>
      </c>
      <c r="D180" s="1308">
        <v>4.0</v>
      </c>
      <c r="E180" s="1308">
        <v>4.0</v>
      </c>
      <c r="F180" s="1308">
        <v>1.0</v>
      </c>
      <c r="G180" s="1413">
        <f>'Материалы и инструменты'!$E$63*C180+(D180*C180)*(0.02*F180)*F180</f>
        <v>0.8</v>
      </c>
      <c r="H180" s="1100"/>
      <c r="I180" s="1100"/>
      <c r="J180" s="1100"/>
      <c r="M180" s="1004" t="s">
        <v>1739</v>
      </c>
      <c r="N180" s="1008"/>
      <c r="O180" s="1008">
        <v>2.0</v>
      </c>
    </row>
    <row r="181">
      <c r="B181" s="1420" t="s">
        <v>1740</v>
      </c>
      <c r="C181" s="1308">
        <v>8.0</v>
      </c>
      <c r="D181" s="1308">
        <v>12.0</v>
      </c>
      <c r="E181" s="1308">
        <v>4.0</v>
      </c>
      <c r="F181" s="1308">
        <v>2.0</v>
      </c>
      <c r="G181" s="1413">
        <f>'Материалы и инструменты'!$E$63*C181+(D181*C181)*(0.02*F181)*F181</f>
        <v>8.64</v>
      </c>
      <c r="H181" s="1100"/>
      <c r="I181" s="1100"/>
      <c r="J181" s="1100"/>
      <c r="M181" s="1004" t="s">
        <v>1371</v>
      </c>
      <c r="N181" s="1008"/>
      <c r="O181" s="1008">
        <v>15.0</v>
      </c>
    </row>
    <row r="182">
      <c r="B182" s="1420" t="s">
        <v>1741</v>
      </c>
      <c r="C182" s="1309">
        <v>30.0</v>
      </c>
      <c r="D182" s="1309">
        <v>4.0</v>
      </c>
      <c r="E182" s="1308">
        <v>4.0</v>
      </c>
      <c r="F182" s="1309">
        <v>2.0</v>
      </c>
      <c r="G182" s="1413">
        <f>'Материалы и инструменты'!$E$63*C182+(D182*C182)*(0.02*F182)*F182</f>
        <v>13.2</v>
      </c>
      <c r="H182" s="1100"/>
      <c r="I182" s="1100"/>
      <c r="J182" s="1100"/>
      <c r="M182" s="1004" t="s">
        <v>1385</v>
      </c>
      <c r="N182" s="1407"/>
      <c r="O182" s="1421">
        <v>0.5</v>
      </c>
    </row>
    <row r="183">
      <c r="B183" s="1420" t="s">
        <v>1742</v>
      </c>
      <c r="C183" s="1309">
        <v>50.0</v>
      </c>
      <c r="D183" s="1309">
        <v>4.0</v>
      </c>
      <c r="E183" s="1308">
        <v>4.0</v>
      </c>
      <c r="F183" s="1309">
        <v>3.0</v>
      </c>
      <c r="G183" s="1413">
        <f>'Материалы и инструменты'!$E$63*C183+(D183*C183)*(0.02*F183)*F183</f>
        <v>42</v>
      </c>
      <c r="H183" s="1100"/>
      <c r="I183" s="1100"/>
      <c r="J183" s="1100"/>
      <c r="M183" s="1004" t="s">
        <v>1372</v>
      </c>
      <c r="N183" s="950"/>
      <c r="O183" s="950">
        <f>(0.02*O184)*O184</f>
        <v>0.02</v>
      </c>
    </row>
    <row r="184">
      <c r="B184" s="1420" t="s">
        <v>1743</v>
      </c>
      <c r="C184" s="1309">
        <v>35.0</v>
      </c>
      <c r="D184" s="1309">
        <v>5.0</v>
      </c>
      <c r="E184" s="1308">
        <v>4.0</v>
      </c>
      <c r="F184" s="1309">
        <v>4.0</v>
      </c>
      <c r="G184" s="1413">
        <f>'Материалы и инструменты'!$E$63*C184+(D184*C184)*(0.02*F184)*F184</f>
        <v>60.2</v>
      </c>
      <c r="H184" s="1422" t="s">
        <v>1744</v>
      </c>
      <c r="I184" s="1100"/>
      <c r="J184" s="1100"/>
      <c r="M184" s="1004" t="s">
        <v>1687</v>
      </c>
      <c r="N184" s="950"/>
      <c r="O184" s="950">
        <f>$C$11</f>
        <v>1</v>
      </c>
    </row>
    <row r="185">
      <c r="B185" s="1420" t="s">
        <v>1745</v>
      </c>
      <c r="C185" s="1309">
        <v>120.0</v>
      </c>
      <c r="D185" s="1309">
        <v>6.0</v>
      </c>
      <c r="E185" s="1308">
        <v>4.0</v>
      </c>
      <c r="F185" s="1309">
        <v>5.0</v>
      </c>
      <c r="G185" s="1413">
        <f>'Материалы и инструменты'!$E$63*C185+(D185*C185)*(0.02*F185)*F185</f>
        <v>374.4</v>
      </c>
      <c r="H185" s="1100"/>
      <c r="I185" s="1100"/>
      <c r="J185" s="1100"/>
      <c r="M185" s="1004" t="s">
        <v>1688</v>
      </c>
      <c r="N185" s="1008"/>
      <c r="O185" s="1008">
        <v>10.0</v>
      </c>
    </row>
    <row r="186">
      <c r="B186" s="1415" t="s">
        <v>1689</v>
      </c>
      <c r="C186" s="1423">
        <v>4.0</v>
      </c>
      <c r="D186" s="1416">
        <v>1.0</v>
      </c>
      <c r="E186" s="1416">
        <f t="shared" ref="E186:E188" si="122">C186</f>
        <v>4</v>
      </c>
      <c r="F186" s="1416">
        <v>1.0</v>
      </c>
      <c r="G186" s="1413">
        <f>'Материалы и инструменты'!$E$63*C186+(D186*C186)*(0.02*F186)*F186</f>
        <v>0.56</v>
      </c>
      <c r="J186" s="1100"/>
      <c r="M186" s="1004" t="s">
        <v>1624</v>
      </c>
      <c r="N186" s="1008"/>
      <c r="O186" s="1008" t="s">
        <v>1237</v>
      </c>
    </row>
    <row r="187">
      <c r="B187" s="1417" t="s">
        <v>1704</v>
      </c>
      <c r="C187" s="1424">
        <v>8.0</v>
      </c>
      <c r="D187" s="1254">
        <v>1.5</v>
      </c>
      <c r="E187" s="1254">
        <f t="shared" si="122"/>
        <v>8</v>
      </c>
      <c r="F187" s="1254">
        <v>1.0</v>
      </c>
      <c r="G187" s="1413">
        <f>'Материалы и инструменты'!$E$63*C187+(D187*C187)*(0.02*F187)*F187</f>
        <v>1.2</v>
      </c>
      <c r="H187" s="1100"/>
      <c r="I187" s="1100"/>
      <c r="J187" s="1100"/>
    </row>
    <row r="188">
      <c r="B188" s="1417" t="s">
        <v>1710</v>
      </c>
      <c r="C188" s="1424">
        <v>16.0</v>
      </c>
      <c r="D188" s="1254">
        <v>2.0</v>
      </c>
      <c r="E188" s="1254">
        <f t="shared" si="122"/>
        <v>16</v>
      </c>
      <c r="F188" s="1254">
        <v>1.0</v>
      </c>
      <c r="G188" s="1413">
        <f>'Материалы и инструменты'!$E$63*C188+(D188*C188)*(0.02*F188)*F188</f>
        <v>2.56</v>
      </c>
      <c r="H188" s="1100"/>
      <c r="I188" s="1100"/>
      <c r="J188" s="1100"/>
    </row>
    <row r="189">
      <c r="B189" s="1100"/>
      <c r="C189" s="1100"/>
      <c r="D189" s="1100"/>
      <c r="E189" s="1100"/>
      <c r="F189" s="1100"/>
      <c r="G189" s="1100"/>
      <c r="H189" s="1100"/>
      <c r="I189" s="1100"/>
      <c r="J189" s="1100"/>
    </row>
    <row r="190">
      <c r="B190" s="1300"/>
      <c r="C190" s="1100"/>
      <c r="D190" s="1100"/>
      <c r="E190" s="1100"/>
      <c r="F190" s="1100"/>
      <c r="G190" s="1100"/>
      <c r="H190" s="1100"/>
      <c r="I190" s="1100"/>
      <c r="J190" s="1100"/>
    </row>
    <row r="191">
      <c r="B191" s="1300" t="s">
        <v>1746</v>
      </c>
      <c r="C191" s="1100"/>
      <c r="D191" s="1100"/>
      <c r="E191" s="1100"/>
      <c r="F191" s="1100"/>
      <c r="G191" s="1100"/>
      <c r="H191" s="1100"/>
      <c r="I191" s="1100"/>
      <c r="J191" s="1100"/>
    </row>
    <row r="192">
      <c r="B192" s="1100"/>
      <c r="C192" s="1219"/>
      <c r="D192" s="1219"/>
      <c r="E192" s="1219"/>
      <c r="F192" s="1219"/>
      <c r="G192" s="1219"/>
      <c r="H192" s="1219"/>
      <c r="I192" s="1100"/>
      <c r="J192" s="1100"/>
    </row>
    <row r="193">
      <c r="B193" s="1100"/>
      <c r="C193" s="1219" t="s">
        <v>1659</v>
      </c>
      <c r="D193" s="1219" t="s">
        <v>1660</v>
      </c>
      <c r="E193" s="1219" t="s">
        <v>1650</v>
      </c>
      <c r="F193" s="1219" t="s">
        <v>1651</v>
      </c>
      <c r="G193" s="1219" t="s">
        <v>1652</v>
      </c>
      <c r="H193" s="1219" t="s">
        <v>1653</v>
      </c>
      <c r="I193" s="1219" t="s">
        <v>1654</v>
      </c>
      <c r="J193" s="1100"/>
    </row>
    <row r="194">
      <c r="B194" s="850" t="s">
        <v>1171</v>
      </c>
      <c r="C194" s="1308">
        <v>1.0</v>
      </c>
      <c r="D194" s="1308">
        <v>1.0</v>
      </c>
      <c r="E194" s="1308">
        <v>5.0</v>
      </c>
      <c r="F194" s="1308">
        <v>5.0</v>
      </c>
      <c r="G194" s="1308">
        <v>1.0</v>
      </c>
      <c r="H194" s="1425">
        <f>'Материалы и инструменты'!$E$149*'Рудокоп'!$C$84*C194</f>
        <v>0.14</v>
      </c>
      <c r="I194" s="1313">
        <f>'Плотник'!$C$138*C194+'Плотник'!$C$139*D194+(C194+D194)*E194*(0.02*G194)*G194+H194</f>
        <v>0.96</v>
      </c>
      <c r="J194" s="1100"/>
    </row>
    <row r="195">
      <c r="B195" s="850" t="s">
        <v>1179</v>
      </c>
      <c r="C195" s="1308">
        <v>2.0</v>
      </c>
      <c r="D195" s="1308">
        <v>2.0</v>
      </c>
      <c r="E195" s="1308">
        <v>5.0</v>
      </c>
      <c r="F195" s="1308">
        <v>9.0</v>
      </c>
      <c r="G195" s="1308">
        <v>1.0</v>
      </c>
      <c r="H195" s="1425">
        <f>'Материалы и инструменты'!$E$149*'Рудокоп'!$C$84*C195</f>
        <v>0.28</v>
      </c>
      <c r="I195" s="1313">
        <f>'Плотник'!$C$138*C195+'Плотник'!$C$139*D195+(C195+D195)*E195*(0.02*G195)*G195+H195</f>
        <v>1.92</v>
      </c>
      <c r="J195" s="1100"/>
    </row>
    <row r="196">
      <c r="B196" s="867" t="s">
        <v>1184</v>
      </c>
      <c r="C196" s="1308">
        <v>3.0</v>
      </c>
      <c r="D196" s="1308">
        <v>3.0</v>
      </c>
      <c r="E196" s="1308">
        <v>5.0</v>
      </c>
      <c r="F196" s="1308">
        <v>13.0</v>
      </c>
      <c r="G196" s="1308">
        <v>1.0</v>
      </c>
      <c r="H196" s="1425">
        <f>'Материалы и инструменты'!$E$149*'Рудокоп'!$C$84*C196</f>
        <v>0.42</v>
      </c>
      <c r="I196" s="1313">
        <f>'Плотник'!$C$138*C196+'Плотник'!$C$139*D196+(C196+D196)*E196*(0.02*G196)*G196+H196</f>
        <v>2.88</v>
      </c>
    </row>
    <row r="197">
      <c r="B197" s="850" t="s">
        <v>1186</v>
      </c>
      <c r="C197" s="1308">
        <v>4.0</v>
      </c>
      <c r="D197" s="1308">
        <v>4.0</v>
      </c>
      <c r="E197" s="1308">
        <v>5.0</v>
      </c>
      <c r="F197" s="1308">
        <v>17.0</v>
      </c>
      <c r="G197" s="1309">
        <v>1.0</v>
      </c>
      <c r="H197" s="1425">
        <f>'Материалы и инструменты'!$E$149*'Рудокоп'!$C$84*C197</f>
        <v>0.56</v>
      </c>
      <c r="I197" s="1313">
        <f>'Плотник'!$C$138*C197+'Плотник'!$C$139*D197+(C197+D197)*E197*(0.02*G197)*G197+H197</f>
        <v>3.84</v>
      </c>
    </row>
    <row r="200">
      <c r="B200" s="1300" t="s">
        <v>1747</v>
      </c>
    </row>
    <row r="202">
      <c r="B202" s="1105"/>
      <c r="C202" s="1219" t="s">
        <v>1659</v>
      </c>
      <c r="D202" s="1219" t="s">
        <v>1660</v>
      </c>
      <c r="E202" s="1219" t="s">
        <v>1650</v>
      </c>
      <c r="F202" s="1219" t="s">
        <v>1651</v>
      </c>
      <c r="G202" s="1219" t="s">
        <v>1652</v>
      </c>
      <c r="H202" s="1219" t="s">
        <v>1653</v>
      </c>
      <c r="I202" s="1219" t="s">
        <v>1654</v>
      </c>
    </row>
    <row r="203">
      <c r="B203" s="1253" t="s">
        <v>1156</v>
      </c>
      <c r="C203" s="1416">
        <v>0.1</v>
      </c>
      <c r="D203" s="1416">
        <v>0.3</v>
      </c>
      <c r="E203" s="1416">
        <v>0.6</v>
      </c>
      <c r="F203" s="1416">
        <v>0.5</v>
      </c>
      <c r="G203" s="1416">
        <v>1.0</v>
      </c>
      <c r="H203" s="1425">
        <f>'Материалы и инструменты'!$E$149*'Рудокоп'!$C$84*C203</f>
        <v>0.014</v>
      </c>
      <c r="I203" s="1313">
        <f>'Плотник'!$C$138*C203+'Материалы и инструменты'!$D$63*D203+(C203+D203)*E203*(0.02*G203)*G203+H203</f>
        <v>0.0718</v>
      </c>
    </row>
    <row r="204">
      <c r="B204" s="1253" t="s">
        <v>1611</v>
      </c>
      <c r="C204" s="1254">
        <v>0.1</v>
      </c>
      <c r="D204" s="1254">
        <v>0.2</v>
      </c>
      <c r="E204" s="1254">
        <v>0.5</v>
      </c>
      <c r="F204" s="1254">
        <v>0.5</v>
      </c>
      <c r="G204" s="1254">
        <v>1.0</v>
      </c>
      <c r="H204" s="1425">
        <f>'Материалы и инструменты'!$E$149*'Рудокоп'!$C$84*C204</f>
        <v>0.014</v>
      </c>
      <c r="I204" s="1313">
        <f>'Плотник'!$C$138*C204+'Материалы и инструменты'!$D$63*D204+(C204+D204)*E204*(0.02*G204)*G204+H204</f>
        <v>0.069</v>
      </c>
    </row>
  </sheetData>
  <mergeCells count="97">
    <mergeCell ref="Z57:Z58"/>
    <mergeCell ref="AA57:AA58"/>
    <mergeCell ref="U57:U58"/>
    <mergeCell ref="U59:U60"/>
    <mergeCell ref="V59:V60"/>
    <mergeCell ref="W59:W60"/>
    <mergeCell ref="X59:X60"/>
    <mergeCell ref="Y59:Y60"/>
    <mergeCell ref="Z59:Z60"/>
    <mergeCell ref="AA59:AA60"/>
    <mergeCell ref="W61:W62"/>
    <mergeCell ref="X61:X62"/>
    <mergeCell ref="Z61:Z62"/>
    <mergeCell ref="AA61:AA62"/>
    <mergeCell ref="L61:L62"/>
    <mergeCell ref="L63:L64"/>
    <mergeCell ref="Y63:Y64"/>
    <mergeCell ref="Z63:Z64"/>
    <mergeCell ref="AA63:AA64"/>
    <mergeCell ref="U79:U80"/>
    <mergeCell ref="V79:V80"/>
    <mergeCell ref="W79:W80"/>
    <mergeCell ref="X79:X80"/>
    <mergeCell ref="Y79:Y80"/>
    <mergeCell ref="Z79:Z80"/>
    <mergeCell ref="AA79:AA80"/>
    <mergeCell ref="U77:U78"/>
    <mergeCell ref="V77:V78"/>
    <mergeCell ref="W77:W78"/>
    <mergeCell ref="X77:X78"/>
    <mergeCell ref="Y77:Y78"/>
    <mergeCell ref="Z77:Z78"/>
    <mergeCell ref="AA77:AA78"/>
    <mergeCell ref="U83:U84"/>
    <mergeCell ref="V83:V84"/>
    <mergeCell ref="W83:W84"/>
    <mergeCell ref="X83:X84"/>
    <mergeCell ref="Y83:Y84"/>
    <mergeCell ref="Z83:Z84"/>
    <mergeCell ref="AA83:AA84"/>
    <mergeCell ref="U81:U82"/>
    <mergeCell ref="V81:V82"/>
    <mergeCell ref="W81:W82"/>
    <mergeCell ref="X81:X82"/>
    <mergeCell ref="Y81:Y82"/>
    <mergeCell ref="Z81:Z82"/>
    <mergeCell ref="AA81:AA82"/>
    <mergeCell ref="V57:V58"/>
    <mergeCell ref="U61:U62"/>
    <mergeCell ref="V61:V62"/>
    <mergeCell ref="U63:U64"/>
    <mergeCell ref="V63:V64"/>
    <mergeCell ref="W63:W64"/>
    <mergeCell ref="X63:X64"/>
    <mergeCell ref="M54:T54"/>
    <mergeCell ref="L57:L58"/>
    <mergeCell ref="W57:W58"/>
    <mergeCell ref="X57:X58"/>
    <mergeCell ref="Y57:Y58"/>
    <mergeCell ref="L59:L60"/>
    <mergeCell ref="Y61:Y62"/>
    <mergeCell ref="L67:L68"/>
    <mergeCell ref="L69:L70"/>
    <mergeCell ref="L71:L72"/>
    <mergeCell ref="L73:L74"/>
    <mergeCell ref="L77:L78"/>
    <mergeCell ref="L79:L80"/>
    <mergeCell ref="L81:L82"/>
    <mergeCell ref="L83:L84"/>
    <mergeCell ref="U67:U68"/>
    <mergeCell ref="V67:V68"/>
    <mergeCell ref="W67:W68"/>
    <mergeCell ref="X67:X68"/>
    <mergeCell ref="Y67:Y68"/>
    <mergeCell ref="Z67:Z68"/>
    <mergeCell ref="AA67:AA68"/>
    <mergeCell ref="U69:U70"/>
    <mergeCell ref="V69:V70"/>
    <mergeCell ref="W69:W70"/>
    <mergeCell ref="X69:X70"/>
    <mergeCell ref="Y69:Y70"/>
    <mergeCell ref="Z69:Z70"/>
    <mergeCell ref="AA69:AA70"/>
    <mergeCell ref="U71:U72"/>
    <mergeCell ref="V71:V72"/>
    <mergeCell ref="W71:W72"/>
    <mergeCell ref="X71:X72"/>
    <mergeCell ref="Y71:Y72"/>
    <mergeCell ref="Z71:Z72"/>
    <mergeCell ref="AA71:AA72"/>
    <mergeCell ref="U73:U74"/>
    <mergeCell ref="V73:V74"/>
    <mergeCell ref="W73:W74"/>
    <mergeCell ref="X73:X74"/>
    <mergeCell ref="Y73:Y74"/>
    <mergeCell ref="Z73:Z74"/>
    <mergeCell ref="AA73:AA74"/>
  </mergeCells>
  <dataValidations>
    <dataValidation type="list" allowBlank="1" showErrorMessage="1" sqref="C8">
      <formula1>'Плотник'!$B$172:$B$177</formula1>
    </dataValidation>
    <dataValidation type="list" allowBlank="1" showErrorMessage="1" sqref="C89">
      <formula1>'Плотник'!$B$178:$B$185</formula1>
    </dataValidation>
    <dataValidation type="list" allowBlank="1" showErrorMessage="1" sqref="N130">
      <formula1>'Плотник'!$B$203:$B$204</formula1>
    </dataValidation>
    <dataValidation type="list" allowBlank="1" showErrorMessage="1" sqref="C48">
      <formula1>'Плотник'!$B$186:$B$188</formula1>
    </dataValidation>
    <dataValidation type="list" allowBlank="1" showErrorMessage="1" sqref="C129">
      <formula1>'Плотник'!$B$194:$B$197</formula1>
    </dataValidation>
  </dataValidations>
  <hyperlinks>
    <hyperlink r:id="rId2" ref="Q170"/>
  </hyperlinks>
  <drawing r:id="rId3"/>
  <legacy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13"/>
    <col customWidth="1" min="2" max="2" width="25.75"/>
    <col customWidth="1" min="5" max="5" width="14.0"/>
    <col customWidth="1" min="8" max="8" width="16.13"/>
    <col customWidth="1" min="10" max="10" width="25.88"/>
    <col customWidth="1" min="11" max="11" width="15.88"/>
    <col customWidth="1" min="12" max="12" width="16.38"/>
    <col customWidth="1" min="14" max="14" width="16.0"/>
  </cols>
  <sheetData>
    <row r="2">
      <c r="B2" s="930" t="s">
        <v>1748</v>
      </c>
    </row>
    <row r="3">
      <c r="B3" s="1052" t="s">
        <v>1749</v>
      </c>
    </row>
    <row r="4">
      <c r="B4" s="1052" t="s">
        <v>1750</v>
      </c>
    </row>
    <row r="6">
      <c r="B6" s="406" t="s">
        <v>1751</v>
      </c>
      <c r="C6" s="441"/>
      <c r="D6" s="441"/>
      <c r="E6" s="441"/>
      <c r="F6" s="441"/>
      <c r="G6" s="441"/>
      <c r="H6" s="441"/>
      <c r="I6" s="441"/>
      <c r="J6" s="406" t="s">
        <v>1752</v>
      </c>
      <c r="K6" s="441"/>
      <c r="L6" s="441"/>
      <c r="M6" s="1426"/>
      <c r="N6" s="1426"/>
      <c r="O6" s="1426"/>
    </row>
    <row r="7">
      <c r="B7" s="692" t="s">
        <v>1749</v>
      </c>
      <c r="C7" s="441"/>
      <c r="D7" s="441"/>
      <c r="E7" s="441"/>
      <c r="F7" s="441"/>
      <c r="G7" s="441"/>
      <c r="H7" s="441"/>
      <c r="I7" s="441"/>
      <c r="J7" s="441"/>
      <c r="K7" s="441"/>
      <c r="L7" s="441"/>
      <c r="M7" s="1426"/>
      <c r="N7" s="1426"/>
      <c r="O7" s="1426"/>
    </row>
    <row r="8">
      <c r="B8" s="441"/>
      <c r="C8" s="441"/>
      <c r="D8" s="441"/>
      <c r="E8" s="441"/>
      <c r="F8" s="441"/>
      <c r="G8" s="441"/>
      <c r="H8" s="441"/>
      <c r="I8" s="441"/>
      <c r="J8" s="441"/>
      <c r="K8" s="441"/>
      <c r="L8" s="441"/>
      <c r="M8" s="1426"/>
      <c r="N8" s="1426"/>
      <c r="O8" s="1426"/>
    </row>
    <row r="9">
      <c r="B9" s="692" t="s">
        <v>1753</v>
      </c>
      <c r="C9" s="441"/>
      <c r="D9" s="441"/>
      <c r="E9" s="441"/>
      <c r="F9" s="441"/>
      <c r="G9" s="441"/>
      <c r="H9" s="441"/>
      <c r="J9" s="1078" t="s">
        <v>1754</v>
      </c>
      <c r="K9" s="228"/>
      <c r="L9" s="228"/>
      <c r="M9" s="228"/>
      <c r="N9" s="228"/>
      <c r="O9" s="665"/>
      <c r="P9" s="427" t="s">
        <v>176</v>
      </c>
      <c r="Q9" s="427" t="s">
        <v>1447</v>
      </c>
      <c r="R9" s="427" t="s">
        <v>1402</v>
      </c>
      <c r="S9" s="427" t="s">
        <v>1448</v>
      </c>
      <c r="T9" s="427" t="s">
        <v>1449</v>
      </c>
      <c r="U9" s="427" t="s">
        <v>1450</v>
      </c>
    </row>
    <row r="10">
      <c r="B10" s="1427" t="s">
        <v>130</v>
      </c>
      <c r="C10" s="1428" t="s">
        <v>131</v>
      </c>
      <c r="D10" s="1428" t="s">
        <v>1755</v>
      </c>
      <c r="E10" s="1428" t="s">
        <v>1756</v>
      </c>
      <c r="F10" s="1428" t="s">
        <v>1757</v>
      </c>
      <c r="G10" s="1070" t="s">
        <v>1434</v>
      </c>
      <c r="H10" s="1068"/>
      <c r="J10" s="1429" t="s">
        <v>229</v>
      </c>
      <c r="K10" s="1430"/>
      <c r="L10" s="1430"/>
      <c r="M10" s="1430"/>
      <c r="N10" s="1430"/>
      <c r="O10" s="1430"/>
      <c r="P10" s="1430"/>
      <c r="Q10" s="1430"/>
      <c r="R10" s="1430"/>
      <c r="S10" s="1430"/>
      <c r="T10" s="1430"/>
      <c r="U10" s="1431"/>
    </row>
    <row r="11">
      <c r="B11" s="1432" t="s">
        <v>1758</v>
      </c>
      <c r="C11" s="1433">
        <f t="shared" ref="C11:F11" si="1">C12*C13+C14*C16</f>
        <v>0.6</v>
      </c>
      <c r="D11" s="1433">
        <f t="shared" si="1"/>
        <v>2</v>
      </c>
      <c r="E11" s="1433">
        <f t="shared" si="1"/>
        <v>5.2</v>
      </c>
      <c r="F11" s="1433">
        <f t="shared" si="1"/>
        <v>75.2</v>
      </c>
      <c r="G11" s="1127">
        <v>1.0</v>
      </c>
      <c r="H11" s="1068"/>
      <c r="J11" s="1434" t="s">
        <v>1759</v>
      </c>
      <c r="K11" s="1435" t="s">
        <v>131</v>
      </c>
      <c r="L11" s="1435" t="s">
        <v>1755</v>
      </c>
      <c r="M11" s="1435" t="s">
        <v>1756</v>
      </c>
      <c r="N11" s="1435" t="s">
        <v>1757</v>
      </c>
      <c r="O11" s="1435" t="s">
        <v>1760</v>
      </c>
      <c r="P11" s="1436"/>
      <c r="Q11" s="1436"/>
      <c r="R11" s="1436"/>
      <c r="S11" s="1436"/>
      <c r="T11" s="1436"/>
      <c r="U11" s="1436"/>
    </row>
    <row r="12">
      <c r="B12" s="995" t="s">
        <v>1436</v>
      </c>
      <c r="C12" s="1437">
        <f>'Материалы и инструменты'!$E$6</f>
        <v>0.04</v>
      </c>
      <c r="D12" s="1437">
        <f>'Материалы и инструменты'!$F$6</f>
        <v>0.08</v>
      </c>
      <c r="E12" s="1437">
        <f>'Материалы и инструменты'!$G$6</f>
        <v>0.16</v>
      </c>
      <c r="F12" s="1438">
        <f>'Материалы и инструменты'!$I$6</f>
        <v>6.72</v>
      </c>
      <c r="G12" s="1127"/>
      <c r="H12" s="1068"/>
      <c r="J12" s="1439" t="s">
        <v>1761</v>
      </c>
      <c r="K12" s="1440"/>
      <c r="L12" s="1440"/>
      <c r="M12" s="1440"/>
      <c r="N12" s="1440"/>
      <c r="O12" s="1440"/>
      <c r="P12" s="1441"/>
      <c r="Q12" s="1441"/>
      <c r="R12" s="1441"/>
      <c r="S12" s="1441"/>
      <c r="T12" s="1441"/>
      <c r="U12" s="1442"/>
    </row>
    <row r="13">
      <c r="B13" s="995" t="s">
        <v>1365</v>
      </c>
      <c r="C13" s="997">
        <v>10.0</v>
      </c>
      <c r="D13" s="997">
        <v>10.0</v>
      </c>
      <c r="E13" s="997">
        <v>10.0</v>
      </c>
      <c r="F13" s="997">
        <v>10.0</v>
      </c>
      <c r="G13" s="1127"/>
      <c r="H13" s="1068"/>
      <c r="J13" s="1443" t="s">
        <v>1452</v>
      </c>
      <c r="K13" s="1444" t="s">
        <v>1459</v>
      </c>
      <c r="L13" s="1444" t="s">
        <v>1464</v>
      </c>
      <c r="M13" s="1444" t="s">
        <v>1762</v>
      </c>
      <c r="N13" s="1444" t="s">
        <v>1763</v>
      </c>
      <c r="O13" s="1445"/>
      <c r="P13" s="1446" t="s">
        <v>1460</v>
      </c>
      <c r="Q13" s="1446" t="s">
        <v>1764</v>
      </c>
      <c r="R13" s="1446" t="s">
        <v>1764</v>
      </c>
      <c r="S13" s="1447">
        <v>0.0</v>
      </c>
      <c r="T13" s="1448" t="s">
        <v>30</v>
      </c>
      <c r="U13" s="1448" t="s">
        <v>30</v>
      </c>
    </row>
    <row r="14">
      <c r="B14" s="1004" t="s">
        <v>1371</v>
      </c>
      <c r="C14" s="981">
        <f t="shared" ref="C14:F14" si="2">C13*C15</f>
        <v>10</v>
      </c>
      <c r="D14" s="981">
        <f t="shared" si="2"/>
        <v>15</v>
      </c>
      <c r="E14" s="981">
        <f t="shared" si="2"/>
        <v>20</v>
      </c>
      <c r="F14" s="981">
        <f t="shared" si="2"/>
        <v>25</v>
      </c>
      <c r="G14" s="1127"/>
      <c r="H14" s="1068"/>
      <c r="J14" s="1449" t="s">
        <v>1463</v>
      </c>
      <c r="K14" s="1149">
        <f t="shared" ref="K14:N14" si="3">C11</f>
        <v>0.6</v>
      </c>
      <c r="L14" s="1149">
        <f t="shared" si="3"/>
        <v>2</v>
      </c>
      <c r="M14" s="1149">
        <f t="shared" si="3"/>
        <v>5.2</v>
      </c>
      <c r="N14" s="1149">
        <f t="shared" si="3"/>
        <v>75.2</v>
      </c>
      <c r="O14" s="1450"/>
      <c r="P14" s="428"/>
      <c r="Q14" s="428"/>
      <c r="R14" s="428"/>
      <c r="S14" s="428"/>
      <c r="T14" s="428"/>
      <c r="U14" s="428"/>
    </row>
    <row r="15">
      <c r="B15" s="1004" t="s">
        <v>1410</v>
      </c>
      <c r="C15" s="981">
        <v>1.0</v>
      </c>
      <c r="D15" s="981">
        <v>1.5</v>
      </c>
      <c r="E15" s="981">
        <v>2.0</v>
      </c>
      <c r="F15" s="981">
        <v>2.5</v>
      </c>
      <c r="G15" s="1127"/>
      <c r="H15" s="1068"/>
      <c r="J15" s="1443" t="s">
        <v>1211</v>
      </c>
      <c r="K15" s="1444" t="s">
        <v>1464</v>
      </c>
      <c r="L15" s="1444" t="s">
        <v>1762</v>
      </c>
      <c r="M15" s="1444" t="s">
        <v>1468</v>
      </c>
      <c r="N15" s="1444" t="s">
        <v>1475</v>
      </c>
      <c r="O15" s="1445"/>
      <c r="P15" s="1446" t="s">
        <v>1465</v>
      </c>
      <c r="Q15" s="1446" t="s">
        <v>1764</v>
      </c>
      <c r="R15" s="1446" t="s">
        <v>1764</v>
      </c>
      <c r="S15" s="1447">
        <v>0.0</v>
      </c>
      <c r="T15" s="1448" t="s">
        <v>30</v>
      </c>
      <c r="U15" s="1448" t="s">
        <v>30</v>
      </c>
    </row>
    <row r="16">
      <c r="B16" s="1004" t="s">
        <v>1412</v>
      </c>
      <c r="C16" s="981">
        <f t="shared" ref="C16:F16" si="4">(0.02*C17)*C17</f>
        <v>0.02</v>
      </c>
      <c r="D16" s="981">
        <f t="shared" si="4"/>
        <v>0.08</v>
      </c>
      <c r="E16" s="981">
        <f t="shared" si="4"/>
        <v>0.18</v>
      </c>
      <c r="F16" s="981">
        <f t="shared" si="4"/>
        <v>0.32</v>
      </c>
      <c r="G16" s="1127"/>
      <c r="H16" s="1068"/>
      <c r="J16" s="1094" t="s">
        <v>1463</v>
      </c>
      <c r="K16" s="1150">
        <f t="shared" ref="K16:N16" si="5">C20</f>
        <v>2</v>
      </c>
      <c r="L16" s="1150">
        <f t="shared" si="5"/>
        <v>6.2</v>
      </c>
      <c r="M16" s="1150">
        <f t="shared" si="5"/>
        <v>14.4</v>
      </c>
      <c r="N16" s="1150">
        <f t="shared" si="5"/>
        <v>92.2</v>
      </c>
      <c r="O16" s="1450"/>
      <c r="P16" s="428"/>
      <c r="Q16" s="428"/>
      <c r="R16" s="428"/>
      <c r="S16" s="428"/>
      <c r="T16" s="428"/>
      <c r="U16" s="428"/>
    </row>
    <row r="17">
      <c r="B17" s="1004" t="s">
        <v>1765</v>
      </c>
      <c r="C17" s="981">
        <v>1.0</v>
      </c>
      <c r="D17" s="981">
        <v>2.0</v>
      </c>
      <c r="E17" s="981">
        <v>3.0</v>
      </c>
      <c r="F17" s="981">
        <v>4.0</v>
      </c>
      <c r="G17" s="1451"/>
      <c r="H17" s="1068"/>
      <c r="J17" s="1443" t="s">
        <v>1212</v>
      </c>
      <c r="K17" s="1444" t="s">
        <v>1762</v>
      </c>
      <c r="L17" s="1444" t="s">
        <v>1468</v>
      </c>
      <c r="M17" s="1444" t="s">
        <v>1763</v>
      </c>
      <c r="N17" s="1444" t="s">
        <v>1766</v>
      </c>
      <c r="O17" s="1445"/>
      <c r="P17" s="1446" t="s">
        <v>1465</v>
      </c>
      <c r="Q17" s="1446" t="s">
        <v>1764</v>
      </c>
      <c r="R17" s="1446" t="s">
        <v>1764</v>
      </c>
      <c r="S17" s="1447">
        <v>0.0</v>
      </c>
      <c r="T17" s="1448" t="s">
        <v>30</v>
      </c>
      <c r="U17" s="1448" t="s">
        <v>30</v>
      </c>
    </row>
    <row r="18">
      <c r="B18" s="1004" t="s">
        <v>1767</v>
      </c>
      <c r="C18" s="1005">
        <v>10.0</v>
      </c>
      <c r="D18" s="1005">
        <v>12.0</v>
      </c>
      <c r="E18" s="1005">
        <v>14.0</v>
      </c>
      <c r="F18" s="1005">
        <v>16.0</v>
      </c>
      <c r="G18" s="1127"/>
      <c r="H18" s="1068"/>
      <c r="J18" s="1094" t="s">
        <v>1463</v>
      </c>
      <c r="K18" s="1150">
        <f t="shared" ref="K18:N18" si="6">C27</f>
        <v>5.8</v>
      </c>
      <c r="L18" s="1150">
        <f t="shared" si="6"/>
        <v>15.2</v>
      </c>
      <c r="M18" s="1150">
        <f t="shared" si="6"/>
        <v>31.6</v>
      </c>
      <c r="N18" s="1150">
        <f t="shared" si="6"/>
        <v>121.2</v>
      </c>
      <c r="O18" s="1450"/>
      <c r="P18" s="428"/>
      <c r="Q18" s="428"/>
      <c r="R18" s="428"/>
      <c r="S18" s="428"/>
      <c r="T18" s="428"/>
      <c r="U18" s="428"/>
    </row>
    <row r="19">
      <c r="B19" s="1004" t="s">
        <v>1768</v>
      </c>
      <c r="C19" s="953" t="s">
        <v>1237</v>
      </c>
      <c r="D19" s="953" t="s">
        <v>1237</v>
      </c>
      <c r="E19" s="953" t="s">
        <v>1237</v>
      </c>
      <c r="F19" s="953" t="s">
        <v>1250</v>
      </c>
      <c r="G19" s="1127"/>
      <c r="H19" s="1068"/>
      <c r="J19" s="1443" t="s">
        <v>1213</v>
      </c>
      <c r="K19" s="1444" t="s">
        <v>1468</v>
      </c>
      <c r="L19" s="1444" t="s">
        <v>1763</v>
      </c>
      <c r="M19" s="1444" t="s">
        <v>1475</v>
      </c>
      <c r="N19" s="1444" t="s">
        <v>1769</v>
      </c>
      <c r="O19" s="1445"/>
      <c r="P19" s="1446" t="s">
        <v>1465</v>
      </c>
      <c r="Q19" s="1446" t="s">
        <v>1764</v>
      </c>
      <c r="R19" s="1446" t="s">
        <v>1764</v>
      </c>
      <c r="S19" s="1447">
        <v>0.0</v>
      </c>
      <c r="T19" s="1448" t="s">
        <v>30</v>
      </c>
      <c r="U19" s="1448" t="s">
        <v>30</v>
      </c>
    </row>
    <row r="20">
      <c r="B20" s="1432" t="s">
        <v>1770</v>
      </c>
      <c r="C20" s="1452">
        <f t="shared" ref="C20:F20" si="7">C$12*C$13+C21*C23</f>
        <v>2</v>
      </c>
      <c r="D20" s="1452">
        <f t="shared" si="7"/>
        <v>6.2</v>
      </c>
      <c r="E20" s="1452">
        <f t="shared" si="7"/>
        <v>14.4</v>
      </c>
      <c r="F20" s="1452">
        <f t="shared" si="7"/>
        <v>92.2</v>
      </c>
      <c r="G20" s="1127">
        <v>2.0</v>
      </c>
      <c r="H20" s="1068"/>
      <c r="J20" s="1094" t="s">
        <v>1463</v>
      </c>
      <c r="K20" s="1150">
        <f t="shared" ref="K20:N20" si="8">C34</f>
        <v>13.2</v>
      </c>
      <c r="L20" s="1150">
        <f t="shared" si="8"/>
        <v>30.8</v>
      </c>
      <c r="M20" s="1150">
        <f t="shared" si="8"/>
        <v>59.2</v>
      </c>
      <c r="N20" s="1150">
        <f t="shared" si="8"/>
        <v>165.2</v>
      </c>
      <c r="O20" s="1450"/>
      <c r="P20" s="428"/>
      <c r="Q20" s="428"/>
      <c r="R20" s="428"/>
      <c r="S20" s="428"/>
      <c r="T20" s="428"/>
      <c r="U20" s="428"/>
    </row>
    <row r="21">
      <c r="B21" s="1004" t="s">
        <v>1371</v>
      </c>
      <c r="C21" s="997">
        <f t="shared" ref="C21:F21" si="9">C$13*C22</f>
        <v>20</v>
      </c>
      <c r="D21" s="997">
        <f t="shared" si="9"/>
        <v>30</v>
      </c>
      <c r="E21" s="997">
        <f t="shared" si="9"/>
        <v>40</v>
      </c>
      <c r="F21" s="997">
        <f t="shared" si="9"/>
        <v>50</v>
      </c>
      <c r="G21" s="1127"/>
      <c r="H21" s="1068"/>
      <c r="J21" s="1453" t="s">
        <v>1771</v>
      </c>
      <c r="K21" s="1454"/>
      <c r="L21" s="1454"/>
      <c r="M21" s="1454"/>
      <c r="N21" s="1454"/>
      <c r="O21" s="1454"/>
      <c r="P21" s="1455"/>
      <c r="Q21" s="1455"/>
      <c r="R21" s="1455"/>
      <c r="S21" s="1455"/>
      <c r="T21" s="1455"/>
      <c r="U21" s="1456"/>
    </row>
    <row r="22">
      <c r="B22" s="1004" t="s">
        <v>1410</v>
      </c>
      <c r="C22" s="997">
        <f t="shared" ref="C22:F22" si="10">C$15*$G20</f>
        <v>2</v>
      </c>
      <c r="D22" s="997">
        <f t="shared" si="10"/>
        <v>3</v>
      </c>
      <c r="E22" s="997">
        <f t="shared" si="10"/>
        <v>4</v>
      </c>
      <c r="F22" s="997">
        <f t="shared" si="10"/>
        <v>5</v>
      </c>
      <c r="G22" s="1127"/>
      <c r="H22" s="1068"/>
      <c r="J22" s="1457" t="s">
        <v>1452</v>
      </c>
      <c r="K22" s="1458" t="s">
        <v>1459</v>
      </c>
      <c r="L22" s="1458" t="s">
        <v>1464</v>
      </c>
      <c r="M22" s="1458" t="s">
        <v>1762</v>
      </c>
      <c r="N22" s="1459"/>
      <c r="O22" s="1459"/>
      <c r="P22" s="1460" t="s">
        <v>1460</v>
      </c>
      <c r="Q22" s="1460" t="s">
        <v>1764</v>
      </c>
      <c r="R22" s="1460" t="s">
        <v>1764</v>
      </c>
      <c r="S22" s="1461">
        <v>0.0</v>
      </c>
      <c r="T22" s="1462" t="s">
        <v>30</v>
      </c>
      <c r="U22" s="1462" t="s">
        <v>30</v>
      </c>
    </row>
    <row r="23">
      <c r="B23" s="1004" t="s">
        <v>1412</v>
      </c>
      <c r="C23" s="997">
        <f t="shared" ref="C23:F23" si="11">(0.02*C24)*C24</f>
        <v>0.08</v>
      </c>
      <c r="D23" s="997">
        <f t="shared" si="11"/>
        <v>0.18</v>
      </c>
      <c r="E23" s="997">
        <f t="shared" si="11"/>
        <v>0.32</v>
      </c>
      <c r="F23" s="1463">
        <f t="shared" si="11"/>
        <v>0.5</v>
      </c>
      <c r="G23" s="1127"/>
      <c r="H23" s="1068"/>
      <c r="J23" s="1449" t="s">
        <v>1463</v>
      </c>
      <c r="K23" s="1149">
        <f t="shared" ref="K23:M23" si="12">C44</f>
        <v>2.88</v>
      </c>
      <c r="L23" s="1149">
        <f t="shared" si="12"/>
        <v>7.92</v>
      </c>
      <c r="M23" s="1149">
        <f t="shared" si="12"/>
        <v>17.28</v>
      </c>
      <c r="N23" s="1450"/>
      <c r="O23" s="1450"/>
      <c r="P23" s="428"/>
      <c r="Q23" s="428"/>
      <c r="R23" s="428"/>
      <c r="S23" s="428"/>
      <c r="T23" s="428"/>
      <c r="U23" s="428"/>
    </row>
    <row r="24">
      <c r="B24" s="1004" t="s">
        <v>1765</v>
      </c>
      <c r="C24" s="997">
        <v>2.0</v>
      </c>
      <c r="D24" s="997">
        <v>3.0</v>
      </c>
      <c r="E24" s="997">
        <v>4.0</v>
      </c>
      <c r="F24" s="997">
        <v>5.0</v>
      </c>
      <c r="G24" s="1451"/>
      <c r="H24" s="1068"/>
      <c r="J24" s="1457" t="s">
        <v>1211</v>
      </c>
      <c r="K24" s="1458" t="s">
        <v>1464</v>
      </c>
      <c r="L24" s="1458" t="s">
        <v>1762</v>
      </c>
      <c r="M24" s="1458" t="s">
        <v>1468</v>
      </c>
      <c r="N24" s="1459"/>
      <c r="O24" s="1464"/>
      <c r="P24" s="1460" t="s">
        <v>1465</v>
      </c>
      <c r="Q24" s="1460" t="s">
        <v>1764</v>
      </c>
      <c r="R24" s="1460" t="s">
        <v>1764</v>
      </c>
      <c r="S24" s="1461">
        <v>0.0</v>
      </c>
      <c r="T24" s="1462" t="s">
        <v>30</v>
      </c>
      <c r="U24" s="1462" t="s">
        <v>30</v>
      </c>
    </row>
    <row r="25">
      <c r="B25" s="1004" t="s">
        <v>1767</v>
      </c>
      <c r="C25" s="998">
        <v>12.0</v>
      </c>
      <c r="D25" s="998">
        <v>14.0</v>
      </c>
      <c r="E25" s="998">
        <v>16.0</v>
      </c>
      <c r="F25" s="998">
        <v>18.0</v>
      </c>
      <c r="G25" s="1127"/>
      <c r="H25" s="1068"/>
      <c r="J25" s="1094" t="s">
        <v>1463</v>
      </c>
      <c r="K25" s="1150">
        <f t="shared" ref="K25:M25" si="13">C53</f>
        <v>10.44</v>
      </c>
      <c r="L25" s="1150">
        <f t="shared" si="13"/>
        <v>24.48</v>
      </c>
      <c r="M25" s="1150">
        <f t="shared" si="13"/>
        <v>47.88</v>
      </c>
      <c r="N25" s="1150"/>
      <c r="O25" s="1450"/>
      <c r="P25" s="428"/>
      <c r="Q25" s="428"/>
      <c r="R25" s="428"/>
      <c r="S25" s="428"/>
      <c r="T25" s="428"/>
      <c r="U25" s="428"/>
    </row>
    <row r="26">
      <c r="B26" s="1004" t="s">
        <v>1768</v>
      </c>
      <c r="C26" s="953" t="s">
        <v>1237</v>
      </c>
      <c r="D26" s="953" t="s">
        <v>1237</v>
      </c>
      <c r="E26" s="953" t="s">
        <v>1250</v>
      </c>
      <c r="F26" s="953" t="s">
        <v>1250</v>
      </c>
      <c r="G26" s="1127"/>
      <c r="H26" s="1068"/>
      <c r="J26" s="1457" t="s">
        <v>1212</v>
      </c>
      <c r="K26" s="1458" t="s">
        <v>1762</v>
      </c>
      <c r="L26" s="1458" t="s">
        <v>1468</v>
      </c>
      <c r="M26" s="1458" t="s">
        <v>1763</v>
      </c>
      <c r="N26" s="1459"/>
      <c r="O26" s="1464"/>
      <c r="P26" s="1460" t="s">
        <v>1465</v>
      </c>
      <c r="Q26" s="1460" t="s">
        <v>1764</v>
      </c>
      <c r="R26" s="1460" t="s">
        <v>1764</v>
      </c>
      <c r="S26" s="1461">
        <v>0.0</v>
      </c>
      <c r="T26" s="1462" t="s">
        <v>30</v>
      </c>
      <c r="U26" s="1462" t="s">
        <v>30</v>
      </c>
    </row>
    <row r="27">
      <c r="B27" s="1432" t="s">
        <v>1772</v>
      </c>
      <c r="C27" s="1452">
        <f t="shared" ref="C27:F27" si="14">C$12*C$13+C28*C30</f>
        <v>5.8</v>
      </c>
      <c r="D27" s="1452">
        <f t="shared" si="14"/>
        <v>15.2</v>
      </c>
      <c r="E27" s="1452">
        <f t="shared" si="14"/>
        <v>31.6</v>
      </c>
      <c r="F27" s="1452">
        <f t="shared" si="14"/>
        <v>121.2</v>
      </c>
      <c r="G27" s="1127">
        <v>3.0</v>
      </c>
      <c r="H27" s="1068"/>
      <c r="J27" s="1094" t="s">
        <v>1463</v>
      </c>
      <c r="K27" s="1150">
        <f t="shared" ref="K27:M27" si="15">C60</f>
        <v>26.64</v>
      </c>
      <c r="L27" s="1150">
        <f t="shared" si="15"/>
        <v>55.44</v>
      </c>
      <c r="M27" s="1150">
        <f t="shared" si="15"/>
        <v>100.08</v>
      </c>
      <c r="N27" s="1450"/>
      <c r="O27" s="1450"/>
      <c r="P27" s="428"/>
      <c r="Q27" s="428"/>
      <c r="R27" s="428"/>
      <c r="S27" s="428"/>
      <c r="T27" s="428"/>
      <c r="U27" s="428"/>
    </row>
    <row r="28">
      <c r="B28" s="1004" t="s">
        <v>1371</v>
      </c>
      <c r="C28" s="997">
        <f t="shared" ref="C28:F28" si="16">C$13*C29</f>
        <v>30</v>
      </c>
      <c r="D28" s="997">
        <f t="shared" si="16"/>
        <v>45</v>
      </c>
      <c r="E28" s="997">
        <f t="shared" si="16"/>
        <v>60</v>
      </c>
      <c r="F28" s="997">
        <f t="shared" si="16"/>
        <v>75</v>
      </c>
      <c r="G28" s="1127"/>
      <c r="H28" s="1068"/>
      <c r="J28" s="1457" t="s">
        <v>1213</v>
      </c>
      <c r="K28" s="1458" t="s">
        <v>1468</v>
      </c>
      <c r="L28" s="1458" t="s">
        <v>1763</v>
      </c>
      <c r="M28" s="1458" t="s">
        <v>1475</v>
      </c>
      <c r="N28" s="1459"/>
      <c r="O28" s="1464"/>
      <c r="P28" s="1460" t="s">
        <v>1465</v>
      </c>
      <c r="Q28" s="1460" t="s">
        <v>1764</v>
      </c>
      <c r="R28" s="1460" t="s">
        <v>1764</v>
      </c>
      <c r="S28" s="1461">
        <v>0.0</v>
      </c>
      <c r="T28" s="1462" t="s">
        <v>30</v>
      </c>
      <c r="U28" s="1462" t="s">
        <v>30</v>
      </c>
    </row>
    <row r="29">
      <c r="B29" s="1004" t="s">
        <v>1410</v>
      </c>
      <c r="C29" s="997">
        <f t="shared" ref="C29:F29" si="17">C$15*$G27</f>
        <v>3</v>
      </c>
      <c r="D29" s="997">
        <f t="shared" si="17"/>
        <v>4.5</v>
      </c>
      <c r="E29" s="997">
        <f t="shared" si="17"/>
        <v>6</v>
      </c>
      <c r="F29" s="997">
        <f t="shared" si="17"/>
        <v>7.5</v>
      </c>
      <c r="G29" s="1127"/>
      <c r="H29" s="1068"/>
      <c r="J29" s="1094" t="s">
        <v>1463</v>
      </c>
      <c r="K29" s="1150">
        <f t="shared" ref="K29:M29" si="18">C67</f>
        <v>54.72</v>
      </c>
      <c r="L29" s="1150">
        <f t="shared" si="18"/>
        <v>105.12</v>
      </c>
      <c r="M29" s="1150">
        <f t="shared" si="18"/>
        <v>179.28</v>
      </c>
      <c r="N29" s="1450"/>
      <c r="O29" s="1450"/>
      <c r="P29" s="428"/>
      <c r="Q29" s="428"/>
      <c r="R29" s="428"/>
      <c r="S29" s="428"/>
      <c r="T29" s="428"/>
      <c r="U29" s="428"/>
    </row>
    <row r="30">
      <c r="B30" s="1004" t="s">
        <v>1412</v>
      </c>
      <c r="C30" s="997">
        <f t="shared" ref="C30:F30" si="19">(0.02*C31)*C31</f>
        <v>0.18</v>
      </c>
      <c r="D30" s="997">
        <f t="shared" si="19"/>
        <v>0.32</v>
      </c>
      <c r="E30" s="997">
        <f t="shared" si="19"/>
        <v>0.5</v>
      </c>
      <c r="F30" s="997">
        <f t="shared" si="19"/>
        <v>0.72</v>
      </c>
      <c r="G30" s="1127"/>
      <c r="H30" s="1068"/>
      <c r="J30" s="1465" t="s">
        <v>1773</v>
      </c>
      <c r="K30" s="1466"/>
      <c r="L30" s="1466"/>
      <c r="M30" s="1466"/>
      <c r="N30" s="1466"/>
      <c r="O30" s="1466"/>
      <c r="P30" s="1467"/>
      <c r="Q30" s="1467"/>
      <c r="R30" s="1467"/>
      <c r="S30" s="1467"/>
      <c r="T30" s="1467"/>
      <c r="U30" s="1468"/>
    </row>
    <row r="31">
      <c r="B31" s="1004" t="s">
        <v>1765</v>
      </c>
      <c r="C31" s="1437">
        <v>3.0</v>
      </c>
      <c r="D31" s="1437">
        <v>4.0</v>
      </c>
      <c r="E31" s="1437">
        <v>5.0</v>
      </c>
      <c r="F31" s="1437">
        <v>6.0</v>
      </c>
      <c r="G31" s="1451"/>
      <c r="H31" s="1068"/>
      <c r="J31" s="1469" t="s">
        <v>1452</v>
      </c>
      <c r="K31" s="1470" t="s">
        <v>1468</v>
      </c>
      <c r="L31" s="1470" t="s">
        <v>1475</v>
      </c>
      <c r="M31" s="1470" t="s">
        <v>1769</v>
      </c>
      <c r="N31" s="1470" t="s">
        <v>1774</v>
      </c>
      <c r="O31" s="1470" t="s">
        <v>1775</v>
      </c>
      <c r="P31" s="1471" t="s">
        <v>1460</v>
      </c>
      <c r="Q31" s="1471" t="s">
        <v>1764</v>
      </c>
      <c r="R31" s="1471" t="s">
        <v>1764</v>
      </c>
      <c r="S31" s="1472">
        <v>0.0</v>
      </c>
      <c r="T31" s="1473" t="s">
        <v>30</v>
      </c>
      <c r="U31" s="1473" t="s">
        <v>30</v>
      </c>
    </row>
    <row r="32">
      <c r="B32" s="1004" t="s">
        <v>1767</v>
      </c>
      <c r="C32" s="998">
        <v>14.0</v>
      </c>
      <c r="D32" s="998">
        <v>16.0</v>
      </c>
      <c r="E32" s="998">
        <v>18.0</v>
      </c>
      <c r="F32" s="998">
        <v>20.0</v>
      </c>
      <c r="G32" s="1127"/>
      <c r="H32" s="1068"/>
      <c r="J32" s="1449" t="s">
        <v>1463</v>
      </c>
      <c r="K32" s="1149">
        <f t="shared" ref="K32:O32" si="20">C77</f>
        <v>6.4</v>
      </c>
      <c r="L32" s="1149">
        <f t="shared" si="20"/>
        <v>14.08</v>
      </c>
      <c r="M32" s="1149">
        <f t="shared" si="20"/>
        <v>26.56</v>
      </c>
      <c r="N32" s="1149">
        <f t="shared" si="20"/>
        <v>147.84</v>
      </c>
      <c r="O32" s="1149">
        <f t="shared" si="20"/>
        <v>492.8</v>
      </c>
      <c r="P32" s="428"/>
      <c r="Q32" s="428"/>
      <c r="R32" s="428"/>
      <c r="S32" s="428"/>
      <c r="T32" s="428"/>
      <c r="U32" s="428"/>
    </row>
    <row r="33">
      <c r="B33" s="1004" t="s">
        <v>1768</v>
      </c>
      <c r="C33" s="953" t="s">
        <v>1237</v>
      </c>
      <c r="D33" s="953" t="s">
        <v>1250</v>
      </c>
      <c r="E33" s="953" t="s">
        <v>1250</v>
      </c>
      <c r="F33" s="953" t="s">
        <v>1250</v>
      </c>
      <c r="G33" s="1127"/>
      <c r="H33" s="1068"/>
      <c r="J33" s="1469" t="s">
        <v>1211</v>
      </c>
      <c r="K33" s="1470" t="s">
        <v>1763</v>
      </c>
      <c r="L33" s="1470" t="s">
        <v>1766</v>
      </c>
      <c r="M33" s="1470" t="s">
        <v>1776</v>
      </c>
      <c r="N33" s="1470" t="s">
        <v>1777</v>
      </c>
      <c r="O33" s="1470" t="s">
        <v>1778</v>
      </c>
      <c r="P33" s="1471" t="s">
        <v>1465</v>
      </c>
      <c r="Q33" s="1471" t="s">
        <v>1764</v>
      </c>
      <c r="R33" s="1471" t="s">
        <v>1764</v>
      </c>
      <c r="S33" s="1472">
        <v>0.0</v>
      </c>
      <c r="T33" s="1473" t="s">
        <v>30</v>
      </c>
      <c r="U33" s="1473" t="s">
        <v>30</v>
      </c>
    </row>
    <row r="34">
      <c r="B34" s="1432" t="s">
        <v>1779</v>
      </c>
      <c r="C34" s="1452">
        <f t="shared" ref="C34:F34" si="21">C$12*C$13+C35*C37</f>
        <v>13.2</v>
      </c>
      <c r="D34" s="1452">
        <f t="shared" si="21"/>
        <v>30.8</v>
      </c>
      <c r="E34" s="1452">
        <f t="shared" si="21"/>
        <v>59.2</v>
      </c>
      <c r="F34" s="1452">
        <f t="shared" si="21"/>
        <v>165.2</v>
      </c>
      <c r="G34" s="1127">
        <v>4.0</v>
      </c>
      <c r="H34" s="1068"/>
      <c r="J34" s="1094" t="s">
        <v>1463</v>
      </c>
      <c r="K34" s="1150">
        <f t="shared" ref="K34:O34" si="22">C86</f>
        <v>21.12</v>
      </c>
      <c r="L34" s="1150">
        <f t="shared" si="22"/>
        <v>41.28</v>
      </c>
      <c r="M34" s="1150">
        <f t="shared" si="22"/>
        <v>71.68</v>
      </c>
      <c r="N34" s="1150">
        <f t="shared" si="22"/>
        <v>217.28</v>
      </c>
      <c r="O34" s="1150">
        <f t="shared" si="22"/>
        <v>593.92</v>
      </c>
      <c r="P34" s="428"/>
      <c r="Q34" s="428"/>
      <c r="R34" s="428"/>
      <c r="S34" s="428"/>
      <c r="T34" s="428"/>
      <c r="U34" s="428"/>
    </row>
    <row r="35">
      <c r="B35" s="1004" t="s">
        <v>1371</v>
      </c>
      <c r="C35" s="997">
        <f t="shared" ref="C35:F35" si="23">C$13*C36</f>
        <v>40</v>
      </c>
      <c r="D35" s="997">
        <f t="shared" si="23"/>
        <v>60</v>
      </c>
      <c r="E35" s="997">
        <f t="shared" si="23"/>
        <v>80</v>
      </c>
      <c r="F35" s="997">
        <f t="shared" si="23"/>
        <v>100</v>
      </c>
      <c r="G35" s="1127"/>
      <c r="H35" s="1068"/>
      <c r="J35" s="1469" t="s">
        <v>1212</v>
      </c>
      <c r="K35" s="1470" t="s">
        <v>1475</v>
      </c>
      <c r="L35" s="1470" t="s">
        <v>1769</v>
      </c>
      <c r="M35" s="1470" t="s">
        <v>1780</v>
      </c>
      <c r="N35" s="1470" t="s">
        <v>1775</v>
      </c>
      <c r="O35" s="1470" t="s">
        <v>1781</v>
      </c>
      <c r="P35" s="1471" t="s">
        <v>1465</v>
      </c>
      <c r="Q35" s="1471" t="s">
        <v>1764</v>
      </c>
      <c r="R35" s="1471" t="s">
        <v>1764</v>
      </c>
      <c r="S35" s="1472">
        <v>0.0</v>
      </c>
      <c r="T35" s="1473" t="s">
        <v>30</v>
      </c>
      <c r="U35" s="1473" t="s">
        <v>30</v>
      </c>
    </row>
    <row r="36">
      <c r="B36" s="1004" t="s">
        <v>1410</v>
      </c>
      <c r="C36" s="997">
        <f t="shared" ref="C36:F36" si="24">C$15*$G34</f>
        <v>4</v>
      </c>
      <c r="D36" s="997">
        <f t="shared" si="24"/>
        <v>6</v>
      </c>
      <c r="E36" s="997">
        <f t="shared" si="24"/>
        <v>8</v>
      </c>
      <c r="F36" s="997">
        <f t="shared" si="24"/>
        <v>10</v>
      </c>
      <c r="G36" s="1127"/>
      <c r="H36" s="1068"/>
      <c r="J36" s="1094" t="s">
        <v>1463</v>
      </c>
      <c r="K36" s="1150">
        <f t="shared" ref="K36:O36" si="25">C93</f>
        <v>48.64</v>
      </c>
      <c r="L36" s="1150">
        <f t="shared" si="25"/>
        <v>87.68</v>
      </c>
      <c r="M36" s="1150">
        <f t="shared" si="25"/>
        <v>143.68</v>
      </c>
      <c r="N36" s="1150">
        <f t="shared" si="25"/>
        <v>322.56</v>
      </c>
      <c r="O36" s="1150">
        <f t="shared" si="25"/>
        <v>741.12</v>
      </c>
      <c r="P36" s="428"/>
      <c r="Q36" s="428"/>
      <c r="R36" s="428"/>
      <c r="S36" s="428"/>
      <c r="T36" s="428"/>
      <c r="U36" s="428"/>
    </row>
    <row r="37">
      <c r="B37" s="1004" t="s">
        <v>1412</v>
      </c>
      <c r="C37" s="997">
        <f t="shared" ref="C37:F37" si="26">(0.02*C38)*C38</f>
        <v>0.32</v>
      </c>
      <c r="D37" s="997">
        <f t="shared" si="26"/>
        <v>0.5</v>
      </c>
      <c r="E37" s="997">
        <f t="shared" si="26"/>
        <v>0.72</v>
      </c>
      <c r="F37" s="997">
        <f t="shared" si="26"/>
        <v>0.98</v>
      </c>
      <c r="G37" s="1127"/>
      <c r="H37" s="1068"/>
      <c r="J37" s="1469" t="s">
        <v>1213</v>
      </c>
      <c r="K37" s="1470" t="s">
        <v>1766</v>
      </c>
      <c r="L37" s="1470" t="s">
        <v>1776</v>
      </c>
      <c r="M37" s="1470" t="s">
        <v>1782</v>
      </c>
      <c r="N37" s="1470" t="s">
        <v>1778</v>
      </c>
      <c r="O37" s="1470" t="s">
        <v>1783</v>
      </c>
      <c r="P37" s="1471" t="s">
        <v>1465</v>
      </c>
      <c r="Q37" s="1471" t="s">
        <v>1764</v>
      </c>
      <c r="R37" s="1471" t="s">
        <v>1764</v>
      </c>
      <c r="S37" s="1472">
        <v>0.0</v>
      </c>
      <c r="T37" s="1473" t="s">
        <v>30</v>
      </c>
      <c r="U37" s="1473" t="s">
        <v>30</v>
      </c>
    </row>
    <row r="38">
      <c r="B38" s="1004" t="s">
        <v>1765</v>
      </c>
      <c r="C38" s="1437">
        <v>4.0</v>
      </c>
      <c r="D38" s="1437">
        <v>5.0</v>
      </c>
      <c r="E38" s="1437">
        <v>6.0</v>
      </c>
      <c r="F38" s="1437">
        <v>7.0</v>
      </c>
      <c r="G38" s="1451"/>
      <c r="H38" s="1068"/>
      <c r="J38" s="1094" t="s">
        <v>1463</v>
      </c>
      <c r="K38" s="1150">
        <f t="shared" ref="K38:O38" si="27">C100</f>
        <v>92.8</v>
      </c>
      <c r="L38" s="1150">
        <f t="shared" si="27"/>
        <v>158.08</v>
      </c>
      <c r="M38" s="1150">
        <f t="shared" si="27"/>
        <v>248.32</v>
      </c>
      <c r="N38" s="1150">
        <f t="shared" si="27"/>
        <v>470.4</v>
      </c>
      <c r="O38" s="1150">
        <f t="shared" si="27"/>
        <v>942.08</v>
      </c>
      <c r="P38" s="428"/>
      <c r="Q38" s="428"/>
      <c r="R38" s="428"/>
      <c r="S38" s="428"/>
      <c r="T38" s="428"/>
      <c r="U38" s="428"/>
    </row>
    <row r="39">
      <c r="B39" s="1004" t="s">
        <v>1767</v>
      </c>
      <c r="C39" s="998">
        <v>16.0</v>
      </c>
      <c r="D39" s="998">
        <v>18.0</v>
      </c>
      <c r="E39" s="998">
        <v>20.0</v>
      </c>
      <c r="F39" s="998">
        <v>22.0</v>
      </c>
      <c r="G39" s="1127"/>
      <c r="H39" s="1068"/>
      <c r="O39" s="1426"/>
    </row>
    <row r="40">
      <c r="B40" s="1004" t="s">
        <v>1768</v>
      </c>
      <c r="C40" s="953" t="s">
        <v>1250</v>
      </c>
      <c r="D40" s="953" t="s">
        <v>1250</v>
      </c>
      <c r="E40" s="953" t="s">
        <v>1250</v>
      </c>
      <c r="F40" s="953" t="s">
        <v>1263</v>
      </c>
      <c r="G40" s="1068"/>
      <c r="H40" s="1068"/>
      <c r="O40" s="1426"/>
    </row>
    <row r="41">
      <c r="B41" s="692"/>
      <c r="C41" s="441"/>
      <c r="D41" s="441"/>
      <c r="E41" s="441"/>
      <c r="F41" s="441"/>
      <c r="G41" s="1068"/>
      <c r="H41" s="1068"/>
      <c r="O41" s="1426"/>
    </row>
    <row r="42">
      <c r="B42" s="692" t="s">
        <v>1784</v>
      </c>
      <c r="C42" s="441"/>
      <c r="D42" s="441"/>
      <c r="E42" s="441"/>
      <c r="F42" s="441"/>
      <c r="G42" s="1068"/>
      <c r="H42" s="1068"/>
      <c r="K42" s="516" t="s">
        <v>1785</v>
      </c>
      <c r="L42" s="441"/>
      <c r="M42" s="1426"/>
      <c r="N42" s="516" t="s">
        <v>1786</v>
      </c>
      <c r="O42" s="1426"/>
    </row>
    <row r="43">
      <c r="B43" s="1427" t="s">
        <v>130</v>
      </c>
      <c r="C43" s="1428" t="s">
        <v>131</v>
      </c>
      <c r="D43" s="1428" t="s">
        <v>1755</v>
      </c>
      <c r="E43" s="1428" t="s">
        <v>1756</v>
      </c>
      <c r="F43" s="441"/>
      <c r="G43" s="1070" t="s">
        <v>1434</v>
      </c>
      <c r="H43" s="1068"/>
      <c r="I43" s="441"/>
      <c r="J43" s="441"/>
      <c r="K43" s="441"/>
      <c r="L43" s="441"/>
      <c r="M43" s="1426"/>
      <c r="N43" s="1474" t="s">
        <v>131</v>
      </c>
      <c r="O43" s="1426"/>
    </row>
    <row r="44">
      <c r="B44" s="1432" t="s">
        <v>1787</v>
      </c>
      <c r="C44" s="1433">
        <f t="shared" ref="C44:E44" si="28">C45*C46+C47*C49</f>
        <v>2.88</v>
      </c>
      <c r="D44" s="1433">
        <f t="shared" si="28"/>
        <v>7.92</v>
      </c>
      <c r="E44" s="1433">
        <f t="shared" si="28"/>
        <v>17.28</v>
      </c>
      <c r="F44" s="441"/>
      <c r="G44" s="1127">
        <v>1.0</v>
      </c>
      <c r="H44" s="1068"/>
      <c r="I44" s="928"/>
      <c r="J44" s="984" t="s">
        <v>1365</v>
      </c>
      <c r="K44" s="1475">
        <f>K45*K46+K47*K49</f>
        <v>1.1136</v>
      </c>
      <c r="L44" s="1068"/>
      <c r="M44" s="1476"/>
      <c r="N44" s="1475">
        <f>N45*N46+N47*N49</f>
        <v>0.3</v>
      </c>
      <c r="O44" s="1426"/>
    </row>
    <row r="45">
      <c r="B45" s="995" t="s">
        <v>1436</v>
      </c>
      <c r="C45" s="1437">
        <f>'Материалы и инструменты'!$E$6</f>
        <v>0.04</v>
      </c>
      <c r="D45" s="1437">
        <f>'Материалы и инструменты'!$F$6</f>
        <v>0.08</v>
      </c>
      <c r="E45" s="1437">
        <f>'Материалы и инструменты'!$G$6</f>
        <v>0.16</v>
      </c>
      <c r="F45" s="441"/>
      <c r="G45" s="1127"/>
      <c r="H45" s="1068"/>
      <c r="I45" s="1477" t="str">
        <f>C10</f>
        <v>Лён</v>
      </c>
      <c r="J45" s="1047">
        <v>7.0</v>
      </c>
      <c r="K45" s="1437">
        <f>J45*C12</f>
        <v>0.28</v>
      </c>
      <c r="L45" s="1068"/>
      <c r="M45" s="1476"/>
      <c r="N45" s="1437">
        <f>'Материалы и инструменты'!E6</f>
        <v>0.04</v>
      </c>
      <c r="O45" s="1426"/>
    </row>
    <row r="46">
      <c r="B46" s="995" t="s">
        <v>1365</v>
      </c>
      <c r="C46" s="997">
        <v>18.0</v>
      </c>
      <c r="D46" s="997">
        <v>18.0</v>
      </c>
      <c r="E46" s="997">
        <v>18.0</v>
      </c>
      <c r="F46" s="441"/>
      <c r="G46" s="1127"/>
      <c r="H46" s="1068"/>
      <c r="I46" s="1477" t="str">
        <f>E10</f>
        <v>Шерсть</v>
      </c>
      <c r="J46" s="998">
        <v>7.0</v>
      </c>
      <c r="K46" s="997">
        <f>J46*E12</f>
        <v>1.12</v>
      </c>
      <c r="L46" s="1068"/>
      <c r="M46" s="1476"/>
      <c r="N46" s="998">
        <v>5.0</v>
      </c>
      <c r="O46" s="1426"/>
    </row>
    <row r="47">
      <c r="B47" s="1004" t="s">
        <v>1371</v>
      </c>
      <c r="C47" s="981">
        <f t="shared" ref="C47:E47" si="29">C46*C48</f>
        <v>27</v>
      </c>
      <c r="D47" s="981">
        <f t="shared" si="29"/>
        <v>36</v>
      </c>
      <c r="E47" s="981">
        <f t="shared" si="29"/>
        <v>45</v>
      </c>
      <c r="F47" s="441"/>
      <c r="G47" s="1127"/>
      <c r="H47" s="1068"/>
      <c r="I47" s="1068"/>
      <c r="J47" s="1005" t="s">
        <v>1371</v>
      </c>
      <c r="K47" s="1005">
        <v>10.0</v>
      </c>
      <c r="L47" s="1068"/>
      <c r="M47" s="1476"/>
      <c r="N47" s="981">
        <f>N46*N48</f>
        <v>5</v>
      </c>
      <c r="O47" s="1426"/>
    </row>
    <row r="48">
      <c r="B48" s="1004" t="s">
        <v>1410</v>
      </c>
      <c r="C48" s="981">
        <v>1.5</v>
      </c>
      <c r="D48" s="981">
        <v>2.0</v>
      </c>
      <c r="E48" s="981">
        <v>2.5</v>
      </c>
      <c r="F48" s="441"/>
      <c r="G48" s="1127"/>
      <c r="H48" s="1068"/>
      <c r="I48" s="1068"/>
      <c r="J48" s="1005" t="s">
        <v>1410</v>
      </c>
      <c r="K48" s="1005">
        <v>1.0</v>
      </c>
      <c r="L48" s="1068"/>
      <c r="M48" s="1476"/>
      <c r="N48" s="981">
        <v>1.0</v>
      </c>
      <c r="O48" s="1426"/>
    </row>
    <row r="49">
      <c r="B49" s="1004" t="s">
        <v>1412</v>
      </c>
      <c r="C49" s="981">
        <f t="shared" ref="C49:E49" si="30">(0.02*C50)*C50</f>
        <v>0.08</v>
      </c>
      <c r="D49" s="981">
        <f t="shared" si="30"/>
        <v>0.18</v>
      </c>
      <c r="E49" s="981">
        <f t="shared" si="30"/>
        <v>0.32</v>
      </c>
      <c r="F49" s="441"/>
      <c r="G49" s="1127"/>
      <c r="H49" s="1068"/>
      <c r="I49" s="1068"/>
      <c r="J49" s="1005" t="s">
        <v>1412</v>
      </c>
      <c r="K49" s="981">
        <f>(0.02*K50)*K50</f>
        <v>0.08</v>
      </c>
      <c r="L49" s="1068"/>
      <c r="M49" s="1476"/>
      <c r="N49" s="981">
        <f>(0.02*N50)*N50</f>
        <v>0.02</v>
      </c>
      <c r="O49" s="1426"/>
    </row>
    <row r="50">
      <c r="B50" s="1004" t="s">
        <v>1765</v>
      </c>
      <c r="C50" s="981">
        <v>2.0</v>
      </c>
      <c r="D50" s="981">
        <v>3.0</v>
      </c>
      <c r="E50" s="981">
        <v>4.0</v>
      </c>
      <c r="F50" s="441"/>
      <c r="G50" s="1127"/>
      <c r="H50" s="1068"/>
      <c r="I50" s="1068"/>
      <c r="J50" s="1005" t="s">
        <v>1765</v>
      </c>
      <c r="K50" s="1005">
        <v>2.0</v>
      </c>
      <c r="L50" s="1068"/>
      <c r="M50" s="1476"/>
      <c r="N50" s="981">
        <v>1.0</v>
      </c>
      <c r="O50" s="1426"/>
    </row>
    <row r="51">
      <c r="B51" s="1004" t="s">
        <v>1767</v>
      </c>
      <c r="C51" s="1005">
        <v>12.0</v>
      </c>
      <c r="D51" s="1005">
        <v>14.0</v>
      </c>
      <c r="E51" s="1005">
        <v>16.0</v>
      </c>
      <c r="F51" s="441"/>
      <c r="G51" s="1127"/>
      <c r="H51" s="1068"/>
      <c r="I51" s="1068"/>
      <c r="J51" s="1005" t="s">
        <v>1767</v>
      </c>
      <c r="K51" s="1005">
        <v>12.0</v>
      </c>
      <c r="L51" s="1068"/>
      <c r="M51" s="1476"/>
      <c r="N51" s="1005">
        <v>10.0</v>
      </c>
      <c r="O51" s="1426"/>
    </row>
    <row r="52">
      <c r="B52" s="1004" t="s">
        <v>1768</v>
      </c>
      <c r="C52" s="953" t="s">
        <v>1237</v>
      </c>
      <c r="D52" s="953" t="s">
        <v>1237</v>
      </c>
      <c r="E52" s="953" t="s">
        <v>1250</v>
      </c>
      <c r="F52" s="441"/>
      <c r="G52" s="1127"/>
      <c r="H52" s="1068"/>
      <c r="I52" s="1068"/>
      <c r="J52" s="1004" t="s">
        <v>1768</v>
      </c>
      <c r="K52" s="1008" t="s">
        <v>1237</v>
      </c>
      <c r="L52" s="1068"/>
      <c r="M52" s="1476"/>
      <c r="N52" s="1008" t="s">
        <v>1237</v>
      </c>
      <c r="O52" s="1426"/>
    </row>
    <row r="53">
      <c r="B53" s="1432" t="s">
        <v>1788</v>
      </c>
      <c r="C53" s="1452">
        <f t="shared" ref="C53:E53" si="31">C$45*C$46+C54*C56</f>
        <v>10.44</v>
      </c>
      <c r="D53" s="1452">
        <f t="shared" si="31"/>
        <v>24.48</v>
      </c>
      <c r="E53" s="1452">
        <f t="shared" si="31"/>
        <v>47.88</v>
      </c>
      <c r="F53" s="441"/>
      <c r="G53" s="1127">
        <v>2.0</v>
      </c>
      <c r="H53" s="1068"/>
      <c r="I53" s="1068"/>
      <c r="J53" s="1068"/>
      <c r="K53" s="1068"/>
      <c r="L53" s="1068"/>
      <c r="M53" s="1476"/>
      <c r="N53" s="1452">
        <f>N45*N46+N54*N56</f>
        <v>1</v>
      </c>
      <c r="O53" s="1426"/>
    </row>
    <row r="54">
      <c r="B54" s="1004" t="s">
        <v>1371</v>
      </c>
      <c r="C54" s="997">
        <f t="shared" ref="C54:E54" si="32">C$46*C55</f>
        <v>54</v>
      </c>
      <c r="D54" s="997">
        <f t="shared" si="32"/>
        <v>72</v>
      </c>
      <c r="E54" s="997">
        <f t="shared" si="32"/>
        <v>90</v>
      </c>
      <c r="F54" s="441"/>
      <c r="G54" s="1127"/>
      <c r="H54" s="1068"/>
      <c r="I54" s="1068"/>
      <c r="J54" s="1068"/>
      <c r="K54" s="1068"/>
      <c r="L54" s="1068"/>
      <c r="M54" s="1476"/>
      <c r="N54" s="981">
        <f>N$46*N55</f>
        <v>10</v>
      </c>
      <c r="O54" s="1426"/>
    </row>
    <row r="55">
      <c r="B55" s="1004" t="s">
        <v>1410</v>
      </c>
      <c r="C55" s="997">
        <f t="shared" ref="C55:E55" si="33">C$48*$G53</f>
        <v>3</v>
      </c>
      <c r="D55" s="997">
        <f t="shared" si="33"/>
        <v>4</v>
      </c>
      <c r="E55" s="997">
        <f t="shared" si="33"/>
        <v>5</v>
      </c>
      <c r="F55" s="441"/>
      <c r="G55" s="1127"/>
      <c r="H55" s="1068"/>
      <c r="I55" s="1068"/>
      <c r="J55" s="1068"/>
      <c r="K55" s="1068"/>
      <c r="L55" s="1068"/>
      <c r="M55" s="1476"/>
      <c r="N55" s="981">
        <f>N$48*$G20</f>
        <v>2</v>
      </c>
      <c r="O55" s="1426"/>
    </row>
    <row r="56">
      <c r="B56" s="1004" t="s">
        <v>1412</v>
      </c>
      <c r="C56" s="997">
        <f t="shared" ref="C56:E56" si="34">(0.02*C57)*C57</f>
        <v>0.18</v>
      </c>
      <c r="D56" s="997">
        <f t="shared" si="34"/>
        <v>0.32</v>
      </c>
      <c r="E56" s="997">
        <f t="shared" si="34"/>
        <v>0.5</v>
      </c>
      <c r="F56" s="441"/>
      <c r="G56" s="1127"/>
      <c r="H56" s="1068"/>
      <c r="I56" s="1068"/>
      <c r="J56" s="1068"/>
      <c r="K56" s="1068"/>
      <c r="L56" s="1068"/>
      <c r="M56" s="1476"/>
      <c r="N56" s="981">
        <f>(0.02*N57)*N57</f>
        <v>0.08</v>
      </c>
      <c r="O56" s="1426"/>
    </row>
    <row r="57">
      <c r="B57" s="1004" t="s">
        <v>1765</v>
      </c>
      <c r="C57" s="997">
        <v>3.0</v>
      </c>
      <c r="D57" s="997">
        <v>4.0</v>
      </c>
      <c r="E57" s="997">
        <v>5.0</v>
      </c>
      <c r="F57" s="441"/>
      <c r="G57" s="1127"/>
      <c r="H57" s="1068"/>
      <c r="I57" s="1068"/>
      <c r="J57" s="1068"/>
      <c r="K57" s="1068"/>
      <c r="L57" s="1068"/>
      <c r="M57" s="1476"/>
      <c r="N57" s="981">
        <v>2.0</v>
      </c>
      <c r="O57" s="1426"/>
    </row>
    <row r="58">
      <c r="B58" s="1004" t="s">
        <v>1767</v>
      </c>
      <c r="C58" s="998">
        <v>14.0</v>
      </c>
      <c r="D58" s="998">
        <v>16.0</v>
      </c>
      <c r="E58" s="998">
        <v>18.0</v>
      </c>
      <c r="F58" s="441"/>
      <c r="G58" s="1127"/>
      <c r="H58" s="1068"/>
      <c r="I58" s="1068"/>
      <c r="J58" s="1068"/>
      <c r="K58" s="1068"/>
      <c r="L58" s="1068"/>
      <c r="M58" s="1476"/>
      <c r="N58" s="1005">
        <v>12.0</v>
      </c>
      <c r="O58" s="1426"/>
    </row>
    <row r="59">
      <c r="B59" s="1004" t="s">
        <v>1768</v>
      </c>
      <c r="C59" s="953" t="s">
        <v>1237</v>
      </c>
      <c r="D59" s="953" t="s">
        <v>1250</v>
      </c>
      <c r="E59" s="953" t="s">
        <v>1250</v>
      </c>
      <c r="F59" s="441"/>
      <c r="G59" s="1127"/>
      <c r="H59" s="1068"/>
      <c r="I59" s="441"/>
      <c r="J59" s="441"/>
      <c r="K59" s="441"/>
      <c r="L59" s="441"/>
      <c r="M59" s="1426"/>
      <c r="N59" s="1008" t="s">
        <v>1237</v>
      </c>
      <c r="O59" s="1426"/>
    </row>
    <row r="60">
      <c r="B60" s="1432" t="s">
        <v>1789</v>
      </c>
      <c r="C60" s="1452">
        <f t="shared" ref="C60:E60" si="35">C$45*C$46+C61*C63</f>
        <v>26.64</v>
      </c>
      <c r="D60" s="1452">
        <f t="shared" si="35"/>
        <v>55.44</v>
      </c>
      <c r="E60" s="1452">
        <f t="shared" si="35"/>
        <v>100.08</v>
      </c>
      <c r="F60" s="441"/>
      <c r="G60" s="1127">
        <v>3.0</v>
      </c>
      <c r="H60" s="1068"/>
      <c r="I60" s="441"/>
      <c r="J60" s="441"/>
      <c r="K60" s="441"/>
      <c r="L60" s="441"/>
      <c r="M60" s="1426"/>
      <c r="N60" s="1426"/>
      <c r="O60" s="1426"/>
    </row>
    <row r="61">
      <c r="B61" s="1004" t="s">
        <v>1371</v>
      </c>
      <c r="C61" s="997">
        <f t="shared" ref="C61:E61" si="36">C$46*C62</f>
        <v>81</v>
      </c>
      <c r="D61" s="997">
        <f t="shared" si="36"/>
        <v>108</v>
      </c>
      <c r="E61" s="997">
        <f t="shared" si="36"/>
        <v>135</v>
      </c>
      <c r="F61" s="441"/>
      <c r="G61" s="1127"/>
      <c r="H61" s="1068"/>
      <c r="I61" s="441"/>
      <c r="J61" s="441"/>
      <c r="K61" s="441"/>
      <c r="L61" s="441"/>
      <c r="M61" s="1426"/>
      <c r="N61" s="1426"/>
      <c r="O61" s="1426"/>
    </row>
    <row r="62">
      <c r="B62" s="1004" t="s">
        <v>1410</v>
      </c>
      <c r="C62" s="997">
        <f t="shared" ref="C62:E62" si="37">C$48*$G60</f>
        <v>4.5</v>
      </c>
      <c r="D62" s="997">
        <f t="shared" si="37"/>
        <v>6</v>
      </c>
      <c r="E62" s="997">
        <f t="shared" si="37"/>
        <v>7.5</v>
      </c>
      <c r="F62" s="441"/>
      <c r="G62" s="1127"/>
      <c r="H62" s="1068"/>
      <c r="I62" s="441"/>
      <c r="J62" s="441"/>
      <c r="K62" s="441"/>
      <c r="L62" s="441"/>
      <c r="M62" s="1426"/>
      <c r="N62" s="1426"/>
      <c r="O62" s="1426"/>
    </row>
    <row r="63">
      <c r="B63" s="1004" t="s">
        <v>1412</v>
      </c>
      <c r="C63" s="997">
        <f t="shared" ref="C63:E63" si="38">(0.02*C64)*C64</f>
        <v>0.32</v>
      </c>
      <c r="D63" s="997">
        <f t="shared" si="38"/>
        <v>0.5</v>
      </c>
      <c r="E63" s="997">
        <f t="shared" si="38"/>
        <v>0.72</v>
      </c>
      <c r="F63" s="441"/>
      <c r="G63" s="1127"/>
      <c r="H63" s="1068"/>
      <c r="I63" s="441"/>
      <c r="J63" s="441"/>
      <c r="K63" s="441"/>
      <c r="L63" s="441"/>
      <c r="M63" s="1426"/>
      <c r="N63" s="1426"/>
      <c r="O63" s="1426"/>
    </row>
    <row r="64">
      <c r="B64" s="1004" t="s">
        <v>1765</v>
      </c>
      <c r="C64" s="997">
        <v>4.0</v>
      </c>
      <c r="D64" s="997">
        <v>5.0</v>
      </c>
      <c r="E64" s="997">
        <v>6.0</v>
      </c>
      <c r="F64" s="441"/>
      <c r="G64" s="1127"/>
      <c r="H64" s="1068"/>
      <c r="I64" s="441"/>
      <c r="J64" s="441"/>
      <c r="K64" s="441"/>
      <c r="L64" s="441"/>
      <c r="M64" s="1426"/>
      <c r="N64" s="1426"/>
      <c r="O64" s="1426"/>
    </row>
    <row r="65">
      <c r="B65" s="1004" t="s">
        <v>1767</v>
      </c>
      <c r="C65" s="998">
        <v>16.0</v>
      </c>
      <c r="D65" s="998">
        <v>18.0</v>
      </c>
      <c r="E65" s="998">
        <v>20.0</v>
      </c>
      <c r="F65" s="441"/>
      <c r="G65" s="1127"/>
      <c r="H65" s="1068"/>
      <c r="I65" s="441"/>
      <c r="J65" s="441"/>
      <c r="K65" s="441"/>
      <c r="L65" s="441"/>
      <c r="M65" s="1426"/>
      <c r="N65" s="1426"/>
      <c r="O65" s="1426"/>
    </row>
    <row r="66">
      <c r="B66" s="1004" t="s">
        <v>1768</v>
      </c>
      <c r="C66" s="953" t="s">
        <v>1250</v>
      </c>
      <c r="D66" s="953" t="s">
        <v>1250</v>
      </c>
      <c r="E66" s="953" t="s">
        <v>1250</v>
      </c>
      <c r="F66" s="441"/>
      <c r="G66" s="1127"/>
      <c r="H66" s="1068"/>
      <c r="I66" s="441"/>
      <c r="J66" s="441"/>
      <c r="K66" s="441"/>
      <c r="L66" s="441"/>
      <c r="M66" s="1426"/>
      <c r="N66" s="1426"/>
      <c r="O66" s="1426"/>
    </row>
    <row r="67">
      <c r="B67" s="1432" t="s">
        <v>1790</v>
      </c>
      <c r="C67" s="1452">
        <f t="shared" ref="C67:E67" si="39">C$45*C$46+C68*C70</f>
        <v>54.72</v>
      </c>
      <c r="D67" s="1452">
        <f t="shared" si="39"/>
        <v>105.12</v>
      </c>
      <c r="E67" s="1452">
        <f t="shared" si="39"/>
        <v>179.28</v>
      </c>
      <c r="F67" s="441"/>
      <c r="G67" s="1127">
        <v>4.0</v>
      </c>
      <c r="H67" s="1068"/>
      <c r="I67" s="441"/>
      <c r="J67" s="441"/>
      <c r="K67" s="441"/>
      <c r="L67" s="441"/>
      <c r="M67" s="1426"/>
      <c r="N67" s="1426"/>
      <c r="O67" s="1426"/>
    </row>
    <row r="68">
      <c r="B68" s="1004" t="s">
        <v>1371</v>
      </c>
      <c r="C68" s="997">
        <f t="shared" ref="C68:E68" si="40">C$46*C69</f>
        <v>108</v>
      </c>
      <c r="D68" s="997">
        <f t="shared" si="40"/>
        <v>144</v>
      </c>
      <c r="E68" s="997">
        <f t="shared" si="40"/>
        <v>180</v>
      </c>
      <c r="F68" s="441"/>
      <c r="G68" s="1127"/>
      <c r="H68" s="1068"/>
      <c r="I68" s="441"/>
      <c r="J68" s="441"/>
      <c r="K68" s="441"/>
      <c r="L68" s="441"/>
      <c r="M68" s="1426"/>
      <c r="N68" s="1426"/>
      <c r="O68" s="1426"/>
    </row>
    <row r="69">
      <c r="B69" s="1004" t="s">
        <v>1410</v>
      </c>
      <c r="C69" s="997">
        <f t="shared" ref="C69:E69" si="41">C$48*$G67</f>
        <v>6</v>
      </c>
      <c r="D69" s="997">
        <f t="shared" si="41"/>
        <v>8</v>
      </c>
      <c r="E69" s="997">
        <f t="shared" si="41"/>
        <v>10</v>
      </c>
      <c r="F69" s="441"/>
      <c r="G69" s="1127"/>
      <c r="H69" s="1068"/>
      <c r="I69" s="441"/>
      <c r="J69" s="441"/>
      <c r="K69" s="441"/>
      <c r="L69" s="441"/>
      <c r="M69" s="1426"/>
      <c r="N69" s="1426"/>
      <c r="O69" s="1426"/>
    </row>
    <row r="70">
      <c r="B70" s="1004" t="s">
        <v>1412</v>
      </c>
      <c r="C70" s="997">
        <f t="shared" ref="C70:E70" si="42">(0.02*C71)*C71</f>
        <v>0.5</v>
      </c>
      <c r="D70" s="997">
        <f t="shared" si="42"/>
        <v>0.72</v>
      </c>
      <c r="E70" s="997">
        <f t="shared" si="42"/>
        <v>0.98</v>
      </c>
      <c r="F70" s="441"/>
      <c r="G70" s="1127"/>
      <c r="H70" s="1068"/>
      <c r="I70" s="441"/>
      <c r="J70" s="441"/>
      <c r="K70" s="441"/>
      <c r="L70" s="441"/>
      <c r="M70" s="1426"/>
      <c r="N70" s="1426"/>
      <c r="O70" s="1426"/>
    </row>
    <row r="71">
      <c r="B71" s="1004" t="s">
        <v>1765</v>
      </c>
      <c r="C71" s="997">
        <v>5.0</v>
      </c>
      <c r="D71" s="997">
        <v>6.0</v>
      </c>
      <c r="E71" s="997">
        <v>7.0</v>
      </c>
      <c r="F71" s="441"/>
      <c r="G71" s="1127"/>
      <c r="H71" s="1068"/>
      <c r="I71" s="441"/>
      <c r="J71" s="441"/>
      <c r="K71" s="441"/>
      <c r="L71" s="441"/>
      <c r="M71" s="1426"/>
      <c r="N71" s="1426"/>
      <c r="O71" s="1426"/>
    </row>
    <row r="72">
      <c r="B72" s="1004" t="s">
        <v>1767</v>
      </c>
      <c r="C72" s="998">
        <v>18.0</v>
      </c>
      <c r="D72" s="998">
        <v>20.0</v>
      </c>
      <c r="E72" s="998">
        <v>22.0</v>
      </c>
      <c r="F72" s="441"/>
      <c r="G72" s="1127"/>
      <c r="H72" s="1068"/>
      <c r="I72" s="441"/>
      <c r="J72" s="441"/>
      <c r="K72" s="441"/>
      <c r="L72" s="441"/>
      <c r="M72" s="1426"/>
      <c r="N72" s="1426"/>
      <c r="O72" s="1426"/>
    </row>
    <row r="73">
      <c r="B73" s="1004" t="s">
        <v>1768</v>
      </c>
      <c r="C73" s="953" t="s">
        <v>1250</v>
      </c>
      <c r="D73" s="953" t="s">
        <v>1250</v>
      </c>
      <c r="E73" s="953" t="s">
        <v>1263</v>
      </c>
      <c r="F73" s="441"/>
      <c r="G73" s="1068"/>
      <c r="H73" s="1068"/>
      <c r="I73" s="441"/>
      <c r="J73" s="441"/>
      <c r="K73" s="441"/>
      <c r="L73" s="441"/>
      <c r="M73" s="1426"/>
      <c r="N73" s="1426"/>
      <c r="O73" s="1426"/>
    </row>
    <row r="74">
      <c r="B74" s="692"/>
      <c r="C74" s="441"/>
      <c r="D74" s="441"/>
      <c r="E74" s="441"/>
      <c r="F74" s="441"/>
      <c r="G74" s="1068"/>
      <c r="H74" s="1068"/>
      <c r="I74" s="441"/>
      <c r="J74" s="441"/>
      <c r="K74" s="441"/>
      <c r="L74" s="441"/>
      <c r="M74" s="1426"/>
      <c r="N74" s="1426"/>
      <c r="O74" s="1426"/>
    </row>
    <row r="75">
      <c r="B75" s="692" t="s">
        <v>1791</v>
      </c>
      <c r="C75" s="441"/>
      <c r="D75" s="441"/>
      <c r="E75" s="441"/>
      <c r="F75" s="441"/>
      <c r="G75" s="1068"/>
      <c r="H75" s="1068"/>
      <c r="I75" s="441"/>
      <c r="J75" s="1478" t="s">
        <v>1792</v>
      </c>
      <c r="K75" s="692" t="s">
        <v>1668</v>
      </c>
      <c r="L75" s="692" t="s">
        <v>1793</v>
      </c>
      <c r="M75" s="1426"/>
      <c r="N75" s="1426"/>
      <c r="O75" s="1426"/>
    </row>
    <row r="76">
      <c r="B76" s="1427" t="s">
        <v>130</v>
      </c>
      <c r="C76" s="1428" t="s">
        <v>131</v>
      </c>
      <c r="D76" s="1428" t="s">
        <v>1755</v>
      </c>
      <c r="E76" s="1428" t="s">
        <v>1756</v>
      </c>
      <c r="F76" s="1428" t="s">
        <v>1757</v>
      </c>
      <c r="G76" s="1428" t="s">
        <v>1760</v>
      </c>
      <c r="H76" s="1070" t="s">
        <v>1434</v>
      </c>
      <c r="I76" s="441"/>
      <c r="J76" s="1427" t="s">
        <v>130</v>
      </c>
      <c r="K76" s="1428" t="s">
        <v>1755</v>
      </c>
      <c r="L76" s="1428" t="s">
        <v>1794</v>
      </c>
      <c r="N76" s="1426"/>
      <c r="O76" s="1426"/>
    </row>
    <row r="77">
      <c r="B77" s="1432" t="s">
        <v>1795</v>
      </c>
      <c r="C77" s="1433">
        <f t="shared" ref="C77:G77" si="43">C$78*C$79+C80*C82</f>
        <v>6.4</v>
      </c>
      <c r="D77" s="1433">
        <f t="shared" si="43"/>
        <v>14.08</v>
      </c>
      <c r="E77" s="1433">
        <f t="shared" si="43"/>
        <v>26.56</v>
      </c>
      <c r="F77" s="1433">
        <f t="shared" si="43"/>
        <v>147.84</v>
      </c>
      <c r="G77" s="1433">
        <f t="shared" si="43"/>
        <v>492.8</v>
      </c>
      <c r="H77" s="1127">
        <v>1.0</v>
      </c>
      <c r="I77" s="441"/>
      <c r="J77" s="1432" t="s">
        <v>1796</v>
      </c>
      <c r="K77" s="1433">
        <f t="shared" ref="K77:L77" si="44">K78*K79+K80*K82</f>
        <v>0.1</v>
      </c>
      <c r="L77" s="1433">
        <f t="shared" si="44"/>
        <v>0.295</v>
      </c>
      <c r="N77" s="1426"/>
      <c r="O77" s="1426"/>
    </row>
    <row r="78">
      <c r="B78" s="995" t="s">
        <v>1436</v>
      </c>
      <c r="C78" s="1437">
        <f>'Материалы и инструменты'!$E$6</f>
        <v>0.04</v>
      </c>
      <c r="D78" s="1437">
        <f>'Материалы и инструменты'!$F$6</f>
        <v>0.08</v>
      </c>
      <c r="E78" s="1437">
        <f>'Материалы и инструменты'!$G$6</f>
        <v>0.16</v>
      </c>
      <c r="F78" s="1438">
        <f>'Материалы и инструменты'!$I$6</f>
        <v>6.72</v>
      </c>
      <c r="G78" s="997">
        <f>'Материалы и инструменты'!J6</f>
        <v>26.88</v>
      </c>
      <c r="H78" s="1127"/>
      <c r="I78" s="441"/>
      <c r="J78" s="995" t="s">
        <v>1436</v>
      </c>
      <c r="K78" s="997">
        <f>'Материалы и инструменты'!$F$6</f>
        <v>0.08</v>
      </c>
      <c r="L78" s="997">
        <f>'Материалы и инструменты'!$H$6</f>
        <v>0.32</v>
      </c>
      <c r="N78" s="1426"/>
      <c r="O78" s="1426"/>
    </row>
    <row r="79">
      <c r="B79" s="995" t="s">
        <v>1365</v>
      </c>
      <c r="C79" s="997">
        <v>16.0</v>
      </c>
      <c r="D79" s="997">
        <v>16.0</v>
      </c>
      <c r="E79" s="997">
        <v>16.0</v>
      </c>
      <c r="F79" s="997">
        <v>16.0</v>
      </c>
      <c r="G79" s="997">
        <v>16.0</v>
      </c>
      <c r="H79" s="1127"/>
      <c r="I79" s="441"/>
      <c r="J79" s="995" t="s">
        <v>1365</v>
      </c>
      <c r="K79" s="998">
        <v>0.5</v>
      </c>
      <c r="L79" s="998">
        <v>0.5</v>
      </c>
      <c r="N79" s="1426"/>
      <c r="O79" s="1426"/>
    </row>
    <row r="80">
      <c r="B80" s="1004" t="s">
        <v>1371</v>
      </c>
      <c r="C80" s="981">
        <f t="shared" ref="C80:G80" si="45">C79*C81</f>
        <v>32</v>
      </c>
      <c r="D80" s="981">
        <f t="shared" si="45"/>
        <v>40</v>
      </c>
      <c r="E80" s="981">
        <f t="shared" si="45"/>
        <v>48</v>
      </c>
      <c r="F80" s="981">
        <f t="shared" si="45"/>
        <v>56</v>
      </c>
      <c r="G80" s="981">
        <f t="shared" si="45"/>
        <v>64</v>
      </c>
      <c r="H80" s="1127"/>
      <c r="I80" s="441"/>
      <c r="J80" s="1005" t="s">
        <v>1371</v>
      </c>
      <c r="K80" s="981">
        <f t="shared" ref="K80:L80" si="46">K79*K81</f>
        <v>0.75</v>
      </c>
      <c r="L80" s="981">
        <f t="shared" si="46"/>
        <v>0.75</v>
      </c>
      <c r="N80" s="1426"/>
      <c r="O80" s="1426"/>
    </row>
    <row r="81">
      <c r="B81" s="1004" t="s">
        <v>1410</v>
      </c>
      <c r="C81" s="981">
        <v>2.0</v>
      </c>
      <c r="D81" s="981">
        <v>2.5</v>
      </c>
      <c r="E81" s="981">
        <v>3.0</v>
      </c>
      <c r="F81" s="981">
        <v>3.5</v>
      </c>
      <c r="G81" s="981">
        <v>4.0</v>
      </c>
      <c r="H81" s="1127"/>
      <c r="I81" s="441"/>
      <c r="J81" s="1005" t="s">
        <v>1410</v>
      </c>
      <c r="K81" s="1005">
        <v>1.5</v>
      </c>
      <c r="L81" s="1005">
        <v>1.5</v>
      </c>
      <c r="N81" s="1426"/>
      <c r="O81" s="1426"/>
    </row>
    <row r="82">
      <c r="B82" s="1004" t="s">
        <v>1412</v>
      </c>
      <c r="C82" s="981">
        <f t="shared" ref="C82:G82" si="47">(0.02*C83)*C83</f>
        <v>0.18</v>
      </c>
      <c r="D82" s="981">
        <f t="shared" si="47"/>
        <v>0.32</v>
      </c>
      <c r="E82" s="981">
        <f t="shared" si="47"/>
        <v>0.5</v>
      </c>
      <c r="F82" s="981">
        <f t="shared" si="47"/>
        <v>0.72</v>
      </c>
      <c r="G82" s="981">
        <f t="shared" si="47"/>
        <v>0.98</v>
      </c>
      <c r="H82" s="1127"/>
      <c r="I82" s="441"/>
      <c r="J82" s="1005" t="s">
        <v>1412</v>
      </c>
      <c r="K82" s="981">
        <f t="shared" ref="K82:L82" si="48">(0.02*K83)*K83</f>
        <v>0.08</v>
      </c>
      <c r="L82" s="981">
        <f t="shared" si="48"/>
        <v>0.18</v>
      </c>
      <c r="N82" s="1426"/>
      <c r="O82" s="1426"/>
    </row>
    <row r="83">
      <c r="B83" s="1004" t="s">
        <v>1765</v>
      </c>
      <c r="C83" s="981">
        <v>3.0</v>
      </c>
      <c r="D83" s="981">
        <v>4.0</v>
      </c>
      <c r="E83" s="981">
        <v>5.0</v>
      </c>
      <c r="F83" s="981">
        <v>6.0</v>
      </c>
      <c r="G83" s="981">
        <v>7.0</v>
      </c>
      <c r="H83" s="1127"/>
      <c r="I83" s="441"/>
      <c r="J83" s="1005" t="s">
        <v>1765</v>
      </c>
      <c r="K83" s="1005">
        <v>2.0</v>
      </c>
      <c r="L83" s="1005">
        <v>3.0</v>
      </c>
      <c r="N83" s="1426"/>
      <c r="O83" s="1426"/>
    </row>
    <row r="84">
      <c r="B84" s="1004" t="s">
        <v>1767</v>
      </c>
      <c r="C84" s="1005">
        <v>14.0</v>
      </c>
      <c r="D84" s="1005">
        <v>16.0</v>
      </c>
      <c r="E84" s="1005">
        <v>18.0</v>
      </c>
      <c r="F84" s="1005">
        <v>20.0</v>
      </c>
      <c r="G84" s="1005">
        <v>22.0</v>
      </c>
      <c r="H84" s="1127"/>
      <c r="I84" s="441"/>
      <c r="J84" s="1005" t="s">
        <v>1767</v>
      </c>
      <c r="K84" s="1005">
        <v>12.0</v>
      </c>
      <c r="L84" s="1005">
        <v>14.0</v>
      </c>
      <c r="N84" s="1426"/>
      <c r="O84" s="1426"/>
    </row>
    <row r="85">
      <c r="B85" s="1004" t="s">
        <v>1768</v>
      </c>
      <c r="C85" s="953" t="s">
        <v>1237</v>
      </c>
      <c r="D85" s="953" t="s">
        <v>1250</v>
      </c>
      <c r="E85" s="953" t="s">
        <v>1250</v>
      </c>
      <c r="F85" s="953" t="s">
        <v>1250</v>
      </c>
      <c r="G85" s="953" t="s">
        <v>1263</v>
      </c>
      <c r="H85" s="1127"/>
      <c r="I85" s="441"/>
      <c r="J85" s="1004" t="s">
        <v>1768</v>
      </c>
      <c r="K85" s="1008" t="s">
        <v>1237</v>
      </c>
      <c r="L85" s="1008" t="s">
        <v>1237</v>
      </c>
      <c r="O85" s="1426"/>
    </row>
    <row r="86">
      <c r="B86" s="1432" t="s">
        <v>1797</v>
      </c>
      <c r="C86" s="1433">
        <f t="shared" ref="C86:G86" si="49">C$78*C$79+C87*C89</f>
        <v>21.12</v>
      </c>
      <c r="D86" s="1433">
        <f t="shared" si="49"/>
        <v>41.28</v>
      </c>
      <c r="E86" s="1433">
        <f t="shared" si="49"/>
        <v>71.68</v>
      </c>
      <c r="F86" s="1433">
        <f t="shared" si="49"/>
        <v>217.28</v>
      </c>
      <c r="G86" s="1433">
        <f t="shared" si="49"/>
        <v>593.92</v>
      </c>
      <c r="H86" s="1127">
        <v>2.0</v>
      </c>
      <c r="I86" s="441"/>
      <c r="J86" s="441"/>
      <c r="K86" s="441"/>
      <c r="L86" s="441"/>
      <c r="M86" s="1426"/>
      <c r="N86" s="1426"/>
      <c r="O86" s="1426"/>
    </row>
    <row r="87">
      <c r="B87" s="1004" t="s">
        <v>1371</v>
      </c>
      <c r="C87" s="997">
        <f t="shared" ref="C87:G87" si="50">C$79*C88</f>
        <v>64</v>
      </c>
      <c r="D87" s="997">
        <f t="shared" si="50"/>
        <v>80</v>
      </c>
      <c r="E87" s="997">
        <f t="shared" si="50"/>
        <v>96</v>
      </c>
      <c r="F87" s="997">
        <f t="shared" si="50"/>
        <v>112</v>
      </c>
      <c r="G87" s="997">
        <f t="shared" si="50"/>
        <v>128</v>
      </c>
      <c r="H87" s="1127"/>
      <c r="I87" s="441"/>
      <c r="J87" s="441"/>
      <c r="K87" s="441"/>
      <c r="L87" s="441"/>
      <c r="M87" s="1426"/>
      <c r="N87" s="1426"/>
      <c r="O87" s="1426"/>
    </row>
    <row r="88">
      <c r="B88" s="1004" t="s">
        <v>1410</v>
      </c>
      <c r="C88" s="997">
        <f t="shared" ref="C88:G88" si="51">C$81*$H86</f>
        <v>4</v>
      </c>
      <c r="D88" s="997">
        <f t="shared" si="51"/>
        <v>5</v>
      </c>
      <c r="E88" s="997">
        <f t="shared" si="51"/>
        <v>6</v>
      </c>
      <c r="F88" s="997">
        <f t="shared" si="51"/>
        <v>7</v>
      </c>
      <c r="G88" s="997">
        <f t="shared" si="51"/>
        <v>8</v>
      </c>
      <c r="H88" s="1127"/>
      <c r="I88" s="441"/>
      <c r="J88" s="441"/>
      <c r="K88" s="441"/>
      <c r="L88" s="441"/>
      <c r="M88" s="1426"/>
      <c r="N88" s="1426"/>
      <c r="O88" s="1426"/>
    </row>
    <row r="89">
      <c r="B89" s="1004" t="s">
        <v>1412</v>
      </c>
      <c r="C89" s="997">
        <f t="shared" ref="C89:G89" si="52">(0.02*C90)*C90</f>
        <v>0.32</v>
      </c>
      <c r="D89" s="997">
        <f t="shared" si="52"/>
        <v>0.5</v>
      </c>
      <c r="E89" s="997">
        <f t="shared" si="52"/>
        <v>0.72</v>
      </c>
      <c r="F89" s="997">
        <f t="shared" si="52"/>
        <v>0.98</v>
      </c>
      <c r="G89" s="997">
        <f t="shared" si="52"/>
        <v>1.28</v>
      </c>
      <c r="H89" s="1127"/>
      <c r="I89" s="441"/>
      <c r="J89" s="441"/>
      <c r="K89" s="441"/>
      <c r="L89" s="441"/>
      <c r="M89" s="1426"/>
      <c r="N89" s="1426"/>
      <c r="O89" s="1426"/>
    </row>
    <row r="90">
      <c r="B90" s="1004" t="s">
        <v>1765</v>
      </c>
      <c r="C90" s="997">
        <v>4.0</v>
      </c>
      <c r="D90" s="997">
        <v>5.0</v>
      </c>
      <c r="E90" s="997">
        <v>6.0</v>
      </c>
      <c r="F90" s="997">
        <v>7.0</v>
      </c>
      <c r="G90" s="997">
        <v>8.0</v>
      </c>
      <c r="H90" s="1127"/>
      <c r="I90" s="441"/>
      <c r="J90" s="441"/>
      <c r="K90" s="441"/>
      <c r="L90" s="441"/>
      <c r="M90" s="1426"/>
      <c r="N90" s="1426"/>
      <c r="O90" s="1426"/>
    </row>
    <row r="91">
      <c r="B91" s="1004" t="s">
        <v>1767</v>
      </c>
      <c r="C91" s="998">
        <v>16.0</v>
      </c>
      <c r="D91" s="998">
        <v>18.0</v>
      </c>
      <c r="E91" s="998">
        <v>20.0</v>
      </c>
      <c r="F91" s="998">
        <v>22.0</v>
      </c>
      <c r="G91" s="998">
        <v>24.0</v>
      </c>
      <c r="H91" s="1127"/>
      <c r="I91" s="441"/>
      <c r="J91" s="441"/>
      <c r="K91" s="441"/>
      <c r="L91" s="441"/>
      <c r="M91" s="1426"/>
      <c r="N91" s="1426"/>
      <c r="O91" s="1426"/>
    </row>
    <row r="92">
      <c r="B92" s="1004" t="s">
        <v>1768</v>
      </c>
      <c r="C92" s="953" t="s">
        <v>1250</v>
      </c>
      <c r="D92" s="953" t="s">
        <v>1250</v>
      </c>
      <c r="E92" s="953" t="s">
        <v>1250</v>
      </c>
      <c r="F92" s="953" t="s">
        <v>1263</v>
      </c>
      <c r="G92" s="953" t="s">
        <v>1263</v>
      </c>
      <c r="H92" s="1127"/>
      <c r="I92" s="441"/>
      <c r="J92" s="441"/>
      <c r="K92" s="441"/>
      <c r="L92" s="441"/>
      <c r="M92" s="1426"/>
      <c r="N92" s="1426"/>
      <c r="O92" s="1426"/>
    </row>
    <row r="93">
      <c r="B93" s="1432" t="s">
        <v>1798</v>
      </c>
      <c r="C93" s="1433">
        <f t="shared" ref="C93:G93" si="53">C$78*C$79+C94*C96</f>
        <v>48.64</v>
      </c>
      <c r="D93" s="1433">
        <f t="shared" si="53"/>
        <v>87.68</v>
      </c>
      <c r="E93" s="1433">
        <f t="shared" si="53"/>
        <v>143.68</v>
      </c>
      <c r="F93" s="1433">
        <f t="shared" si="53"/>
        <v>322.56</v>
      </c>
      <c r="G93" s="1433">
        <f t="shared" si="53"/>
        <v>741.12</v>
      </c>
      <c r="H93" s="1127">
        <v>3.0</v>
      </c>
      <c r="I93" s="441"/>
      <c r="J93" s="441"/>
      <c r="K93" s="441"/>
      <c r="L93" s="441"/>
      <c r="M93" s="1426"/>
      <c r="N93" s="1426"/>
      <c r="O93" s="1426"/>
    </row>
    <row r="94">
      <c r="B94" s="1004" t="s">
        <v>1371</v>
      </c>
      <c r="C94" s="997">
        <f t="shared" ref="C94:G94" si="54">C$79*C95</f>
        <v>96</v>
      </c>
      <c r="D94" s="997">
        <f t="shared" si="54"/>
        <v>120</v>
      </c>
      <c r="E94" s="997">
        <f t="shared" si="54"/>
        <v>144</v>
      </c>
      <c r="F94" s="997">
        <f t="shared" si="54"/>
        <v>168</v>
      </c>
      <c r="G94" s="997">
        <f t="shared" si="54"/>
        <v>192</v>
      </c>
      <c r="H94" s="1127"/>
      <c r="I94" s="441"/>
      <c r="J94" s="441"/>
      <c r="K94" s="441"/>
      <c r="L94" s="441"/>
      <c r="M94" s="1426"/>
      <c r="N94" s="1426"/>
      <c r="O94" s="1426"/>
    </row>
    <row r="95">
      <c r="B95" s="1004" t="s">
        <v>1410</v>
      </c>
      <c r="C95" s="997">
        <f t="shared" ref="C95:G95" si="55">C$81*$H93</f>
        <v>6</v>
      </c>
      <c r="D95" s="997">
        <f t="shared" si="55"/>
        <v>7.5</v>
      </c>
      <c r="E95" s="997">
        <f t="shared" si="55"/>
        <v>9</v>
      </c>
      <c r="F95" s="997">
        <f t="shared" si="55"/>
        <v>10.5</v>
      </c>
      <c r="G95" s="997">
        <f t="shared" si="55"/>
        <v>12</v>
      </c>
      <c r="H95" s="1127"/>
      <c r="I95" s="441"/>
      <c r="J95" s="441"/>
      <c r="K95" s="441"/>
      <c r="L95" s="441"/>
      <c r="M95" s="1426"/>
      <c r="N95" s="1426"/>
      <c r="O95" s="1426"/>
    </row>
    <row r="96">
      <c r="B96" s="1004" t="s">
        <v>1412</v>
      </c>
      <c r="C96" s="997">
        <f t="shared" ref="C96:G96" si="56">(0.02*C97)*C97</f>
        <v>0.5</v>
      </c>
      <c r="D96" s="997">
        <f t="shared" si="56"/>
        <v>0.72</v>
      </c>
      <c r="E96" s="997">
        <f t="shared" si="56"/>
        <v>0.98</v>
      </c>
      <c r="F96" s="997">
        <f t="shared" si="56"/>
        <v>1.28</v>
      </c>
      <c r="G96" s="997">
        <f t="shared" si="56"/>
        <v>1.62</v>
      </c>
      <c r="H96" s="1127"/>
      <c r="I96" s="441"/>
      <c r="J96" s="441"/>
      <c r="K96" s="441"/>
      <c r="L96" s="441"/>
      <c r="M96" s="1426"/>
      <c r="N96" s="1426"/>
      <c r="O96" s="1426"/>
    </row>
    <row r="97">
      <c r="B97" s="1004" t="s">
        <v>1765</v>
      </c>
      <c r="C97" s="997">
        <v>5.0</v>
      </c>
      <c r="D97" s="997">
        <v>6.0</v>
      </c>
      <c r="E97" s="997">
        <v>7.0</v>
      </c>
      <c r="F97" s="997">
        <v>8.0</v>
      </c>
      <c r="G97" s="997">
        <v>9.0</v>
      </c>
      <c r="H97" s="1127"/>
      <c r="I97" s="441"/>
      <c r="J97" s="441"/>
      <c r="K97" s="441"/>
      <c r="L97" s="441"/>
      <c r="M97" s="1426"/>
      <c r="N97" s="1426"/>
      <c r="O97" s="1426"/>
    </row>
    <row r="98">
      <c r="B98" s="1004" t="s">
        <v>1767</v>
      </c>
      <c r="C98" s="998">
        <v>18.0</v>
      </c>
      <c r="D98" s="998">
        <v>20.0</v>
      </c>
      <c r="E98" s="998">
        <v>22.0</v>
      </c>
      <c r="F98" s="998">
        <v>24.0</v>
      </c>
      <c r="G98" s="998">
        <v>26.0</v>
      </c>
      <c r="H98" s="1127"/>
      <c r="I98" s="441"/>
      <c r="J98" s="441"/>
      <c r="K98" s="441"/>
      <c r="L98" s="441"/>
      <c r="M98" s="1426"/>
      <c r="N98" s="1426"/>
      <c r="O98" s="1426"/>
    </row>
    <row r="99">
      <c r="B99" s="1004" t="s">
        <v>1768</v>
      </c>
      <c r="C99" s="953" t="s">
        <v>1250</v>
      </c>
      <c r="D99" s="953" t="s">
        <v>1250</v>
      </c>
      <c r="E99" s="953" t="s">
        <v>1263</v>
      </c>
      <c r="F99" s="953" t="s">
        <v>1263</v>
      </c>
      <c r="G99" s="953" t="s">
        <v>1263</v>
      </c>
      <c r="H99" s="1127"/>
      <c r="I99" s="441"/>
      <c r="J99" s="441"/>
      <c r="K99" s="441"/>
      <c r="L99" s="441"/>
      <c r="M99" s="1426"/>
      <c r="N99" s="1426"/>
      <c r="O99" s="1426"/>
    </row>
    <row r="100">
      <c r="B100" s="1432" t="s">
        <v>1799</v>
      </c>
      <c r="C100" s="1433">
        <f t="shared" ref="C100:G100" si="57">C$78*C$79+C101*C103</f>
        <v>92.8</v>
      </c>
      <c r="D100" s="1433">
        <f t="shared" si="57"/>
        <v>158.08</v>
      </c>
      <c r="E100" s="1433">
        <f t="shared" si="57"/>
        <v>248.32</v>
      </c>
      <c r="F100" s="1433">
        <f t="shared" si="57"/>
        <v>470.4</v>
      </c>
      <c r="G100" s="1433">
        <f t="shared" si="57"/>
        <v>942.08</v>
      </c>
      <c r="H100" s="1127">
        <v>4.0</v>
      </c>
      <c r="I100" s="441"/>
      <c r="J100" s="441"/>
      <c r="K100" s="441"/>
      <c r="L100" s="441"/>
      <c r="M100" s="1426"/>
      <c r="N100" s="1426"/>
      <c r="O100" s="1426"/>
    </row>
    <row r="101">
      <c r="B101" s="1004" t="s">
        <v>1371</v>
      </c>
      <c r="C101" s="997">
        <f t="shared" ref="C101:G101" si="58">C$79*C102</f>
        <v>128</v>
      </c>
      <c r="D101" s="997">
        <f t="shared" si="58"/>
        <v>160</v>
      </c>
      <c r="E101" s="997">
        <f t="shared" si="58"/>
        <v>192</v>
      </c>
      <c r="F101" s="997">
        <f t="shared" si="58"/>
        <v>224</v>
      </c>
      <c r="G101" s="997">
        <f t="shared" si="58"/>
        <v>256</v>
      </c>
      <c r="H101" s="1127"/>
      <c r="I101" s="441"/>
      <c r="J101" s="441"/>
      <c r="K101" s="441"/>
      <c r="L101" s="441"/>
      <c r="M101" s="1426"/>
      <c r="N101" s="1426"/>
      <c r="O101" s="1426"/>
    </row>
    <row r="102">
      <c r="B102" s="1004" t="s">
        <v>1410</v>
      </c>
      <c r="C102" s="997">
        <f t="shared" ref="C102:G102" si="59">C$81*$H100</f>
        <v>8</v>
      </c>
      <c r="D102" s="997">
        <f t="shared" si="59"/>
        <v>10</v>
      </c>
      <c r="E102" s="997">
        <f t="shared" si="59"/>
        <v>12</v>
      </c>
      <c r="F102" s="997">
        <f t="shared" si="59"/>
        <v>14</v>
      </c>
      <c r="G102" s="997">
        <f t="shared" si="59"/>
        <v>16</v>
      </c>
      <c r="H102" s="1127"/>
      <c r="I102" s="441"/>
      <c r="J102" s="441"/>
      <c r="K102" s="441"/>
      <c r="L102" s="441"/>
      <c r="M102" s="1426"/>
      <c r="N102" s="1426"/>
      <c r="O102" s="1426"/>
    </row>
    <row r="103">
      <c r="B103" s="1004" t="s">
        <v>1412</v>
      </c>
      <c r="C103" s="997">
        <f t="shared" ref="C103:G103" si="60">(0.02*C104)*C104</f>
        <v>0.72</v>
      </c>
      <c r="D103" s="997">
        <f t="shared" si="60"/>
        <v>0.98</v>
      </c>
      <c r="E103" s="997">
        <f t="shared" si="60"/>
        <v>1.28</v>
      </c>
      <c r="F103" s="997">
        <f t="shared" si="60"/>
        <v>1.62</v>
      </c>
      <c r="G103" s="1463">
        <f t="shared" si="60"/>
        <v>2</v>
      </c>
      <c r="H103" s="1127"/>
      <c r="I103" s="441"/>
      <c r="J103" s="441"/>
      <c r="K103" s="441"/>
      <c r="L103" s="441"/>
      <c r="M103" s="1426"/>
      <c r="N103" s="1426"/>
      <c r="O103" s="1426"/>
    </row>
    <row r="104">
      <c r="B104" s="1004" t="s">
        <v>1765</v>
      </c>
      <c r="C104" s="997">
        <v>6.0</v>
      </c>
      <c r="D104" s="997">
        <v>7.0</v>
      </c>
      <c r="E104" s="997">
        <v>8.0</v>
      </c>
      <c r="F104" s="997">
        <v>9.0</v>
      </c>
      <c r="G104" s="997">
        <v>10.0</v>
      </c>
      <c r="H104" s="1127"/>
      <c r="I104" s="441"/>
      <c r="J104" s="441"/>
      <c r="K104" s="441"/>
      <c r="L104" s="441"/>
      <c r="M104" s="1426"/>
      <c r="N104" s="1426"/>
      <c r="O104" s="1426"/>
    </row>
    <row r="105">
      <c r="B105" s="1004" t="s">
        <v>1767</v>
      </c>
      <c r="C105" s="998">
        <v>20.0</v>
      </c>
      <c r="D105" s="998">
        <v>22.0</v>
      </c>
      <c r="E105" s="998">
        <v>24.0</v>
      </c>
      <c r="F105" s="998">
        <v>26.0</v>
      </c>
      <c r="G105" s="998">
        <v>28.0</v>
      </c>
      <c r="H105" s="1127"/>
      <c r="I105" s="441"/>
      <c r="J105" s="441"/>
      <c r="K105" s="441"/>
      <c r="L105" s="441"/>
      <c r="M105" s="1426"/>
      <c r="N105" s="1426"/>
      <c r="O105" s="1426"/>
    </row>
    <row r="106">
      <c r="B106" s="1004" t="s">
        <v>1768</v>
      </c>
      <c r="C106" s="953" t="s">
        <v>1250</v>
      </c>
      <c r="D106" s="953" t="s">
        <v>1263</v>
      </c>
      <c r="E106" s="953" t="s">
        <v>1263</v>
      </c>
      <c r="F106" s="953" t="s">
        <v>1263</v>
      </c>
      <c r="G106" s="953" t="s">
        <v>1263</v>
      </c>
      <c r="H106" s="1479"/>
      <c r="I106" s="441"/>
      <c r="J106" s="692"/>
      <c r="K106" s="441"/>
      <c r="L106" s="441"/>
      <c r="M106" s="1426"/>
      <c r="N106" s="441"/>
      <c r="O106" s="441"/>
    </row>
    <row r="107">
      <c r="B107" s="692"/>
      <c r="C107" s="441"/>
      <c r="D107" s="441"/>
      <c r="E107" s="441"/>
      <c r="F107" s="441"/>
      <c r="G107" s="441"/>
      <c r="H107" s="1479"/>
      <c r="I107" s="441"/>
      <c r="J107" s="692"/>
      <c r="K107" s="441"/>
      <c r="L107" s="441"/>
      <c r="M107" s="1426"/>
      <c r="N107" s="441"/>
      <c r="O107" s="441"/>
    </row>
    <row r="108">
      <c r="B108" s="692" t="s">
        <v>1800</v>
      </c>
      <c r="C108" s="441"/>
      <c r="D108" s="441"/>
      <c r="E108" s="441"/>
      <c r="F108" s="441"/>
      <c r="G108" s="441"/>
      <c r="H108" s="1479" t="s">
        <v>1801</v>
      </c>
      <c r="I108" s="441"/>
      <c r="J108" s="692" t="s">
        <v>1802</v>
      </c>
      <c r="K108" s="441"/>
      <c r="L108" s="441"/>
      <c r="M108" s="1426"/>
      <c r="N108" s="441"/>
      <c r="O108" s="441"/>
    </row>
    <row r="109">
      <c r="B109" s="1427" t="s">
        <v>130</v>
      </c>
      <c r="C109" s="1428" t="s">
        <v>1803</v>
      </c>
      <c r="D109" s="1428" t="s">
        <v>131</v>
      </c>
      <c r="E109" s="1428" t="s">
        <v>1794</v>
      </c>
      <c r="F109" s="1428" t="s">
        <v>1804</v>
      </c>
      <c r="G109" s="1167"/>
      <c r="H109" s="1480" t="s">
        <v>131</v>
      </c>
      <c r="I109" s="441"/>
      <c r="J109" s="1427" t="s">
        <v>1805</v>
      </c>
      <c r="K109" s="1428" t="s">
        <v>1803</v>
      </c>
      <c r="L109" s="1428" t="s">
        <v>131</v>
      </c>
      <c r="M109" s="1428" t="s">
        <v>1794</v>
      </c>
      <c r="N109" s="1428" t="s">
        <v>1804</v>
      </c>
    </row>
    <row r="110">
      <c r="B110" s="1432" t="s">
        <v>1806</v>
      </c>
      <c r="C110" s="1475">
        <f t="shared" ref="C110:F110" si="61">C$111*C$112+C113*C115</f>
        <v>0.015</v>
      </c>
      <c r="D110" s="1475">
        <f t="shared" si="61"/>
        <v>0.035</v>
      </c>
      <c r="E110" s="1475">
        <f t="shared" si="61"/>
        <v>0.24</v>
      </c>
      <c r="F110" s="1475">
        <f t="shared" si="61"/>
        <v>3.63</v>
      </c>
      <c r="G110" s="1481"/>
      <c r="H110" s="1475">
        <f>H$111*H$112+H113*H115</f>
        <v>0.12</v>
      </c>
      <c r="I110" s="441"/>
      <c r="J110" s="1482" t="s">
        <v>1807</v>
      </c>
      <c r="K110" s="1483">
        <v>4.0</v>
      </c>
      <c r="L110" s="1483">
        <v>6.0</v>
      </c>
      <c r="M110" s="1483">
        <v>10.0</v>
      </c>
      <c r="N110" s="1483">
        <v>14.0</v>
      </c>
    </row>
    <row r="111">
      <c r="B111" s="995" t="s">
        <v>1436</v>
      </c>
      <c r="C111" s="1437">
        <f>'Материалы и инструменты'!$D$6</f>
        <v>0.01</v>
      </c>
      <c r="D111" s="1437">
        <f>'Материалы и инструменты'!$E$6</f>
        <v>0.04</v>
      </c>
      <c r="E111" s="1437">
        <f>'Материалы и инструменты'!$H$6</f>
        <v>0.32</v>
      </c>
      <c r="F111" s="1438">
        <f>'Материалы и инструменты'!$I$6</f>
        <v>6.72</v>
      </c>
      <c r="G111" s="1481"/>
      <c r="H111" s="1437">
        <f>'Материалы и инструменты'!$E$6</f>
        <v>0.04</v>
      </c>
      <c r="I111" s="441"/>
      <c r="J111" s="1482" t="s">
        <v>1808</v>
      </c>
      <c r="K111" s="1483">
        <v>12.0</v>
      </c>
      <c r="L111" s="1483">
        <v>14.0</v>
      </c>
      <c r="M111" s="1483">
        <v>18.0</v>
      </c>
      <c r="N111" s="1483">
        <v>22.0</v>
      </c>
    </row>
    <row r="112">
      <c r="B112" s="995" t="s">
        <v>1365</v>
      </c>
      <c r="C112" s="998">
        <v>0.5</v>
      </c>
      <c r="D112" s="998">
        <v>0.5</v>
      </c>
      <c r="E112" s="998">
        <v>0.5</v>
      </c>
      <c r="F112" s="998">
        <v>0.5</v>
      </c>
      <c r="G112" s="1481"/>
      <c r="H112" s="998">
        <v>2.0</v>
      </c>
      <c r="I112" s="441"/>
      <c r="J112" s="1482" t="s">
        <v>1809</v>
      </c>
      <c r="K112" s="1483">
        <v>14.0</v>
      </c>
      <c r="L112" s="1483">
        <v>16.0</v>
      </c>
      <c r="M112" s="1483">
        <v>20.0</v>
      </c>
      <c r="N112" s="1483"/>
    </row>
    <row r="113">
      <c r="B113" s="995" t="s">
        <v>1371</v>
      </c>
      <c r="C113" s="997">
        <f t="shared" ref="C113:F113" si="62">C112*C114</f>
        <v>0.5</v>
      </c>
      <c r="D113" s="997">
        <f t="shared" si="62"/>
        <v>0.75</v>
      </c>
      <c r="E113" s="997">
        <f t="shared" si="62"/>
        <v>1</v>
      </c>
      <c r="F113" s="997">
        <f t="shared" si="62"/>
        <v>1.5</v>
      </c>
      <c r="G113" s="1481"/>
      <c r="H113" s="997">
        <f>H112*H114</f>
        <v>2</v>
      </c>
      <c r="I113" s="441"/>
      <c r="J113" s="1068"/>
      <c r="K113" s="1068"/>
      <c r="L113" s="1068"/>
      <c r="M113" s="1484"/>
      <c r="N113" s="1068"/>
      <c r="O113" s="441"/>
    </row>
    <row r="114">
      <c r="B114" s="995" t="s">
        <v>1410</v>
      </c>
      <c r="C114" s="998">
        <v>1.0</v>
      </c>
      <c r="D114" s="998">
        <v>1.5</v>
      </c>
      <c r="E114" s="998">
        <v>2.0</v>
      </c>
      <c r="F114" s="998">
        <v>3.0</v>
      </c>
      <c r="G114" s="1481"/>
      <c r="H114" s="998">
        <v>1.0</v>
      </c>
      <c r="I114" s="441"/>
      <c r="J114" s="1068"/>
      <c r="K114" s="1068"/>
      <c r="L114" s="1068"/>
      <c r="M114" s="1476"/>
      <c r="N114" s="1068"/>
      <c r="O114" s="441"/>
    </row>
    <row r="115">
      <c r="B115" s="995" t="s">
        <v>1412</v>
      </c>
      <c r="C115" s="997">
        <f t="shared" ref="C115:F115" si="63">(0.02*C116)*C116</f>
        <v>0.02</v>
      </c>
      <c r="D115" s="997">
        <f t="shared" si="63"/>
        <v>0.02</v>
      </c>
      <c r="E115" s="997">
        <f t="shared" si="63"/>
        <v>0.08</v>
      </c>
      <c r="F115" s="997">
        <f t="shared" si="63"/>
        <v>0.18</v>
      </c>
      <c r="G115" s="1481"/>
      <c r="H115" s="997">
        <f>(0.02*H116)*H116</f>
        <v>0.02</v>
      </c>
      <c r="I115" s="441"/>
      <c r="J115" s="1068"/>
      <c r="K115" s="1068"/>
      <c r="L115" s="1068"/>
      <c r="M115" s="1476"/>
      <c r="N115" s="1068"/>
      <c r="O115" s="441"/>
    </row>
    <row r="116">
      <c r="B116" s="1004" t="s">
        <v>1765</v>
      </c>
      <c r="C116" s="998">
        <v>1.0</v>
      </c>
      <c r="D116" s="998">
        <v>1.0</v>
      </c>
      <c r="E116" s="998">
        <v>2.0</v>
      </c>
      <c r="F116" s="998">
        <v>3.0</v>
      </c>
      <c r="G116" s="1481"/>
      <c r="H116" s="998">
        <v>1.0</v>
      </c>
      <c r="I116" s="441"/>
      <c r="J116" s="1068"/>
      <c r="K116" s="1068"/>
      <c r="L116" s="1068"/>
      <c r="M116" s="1476"/>
      <c r="N116" s="1068"/>
      <c r="O116" s="441"/>
    </row>
    <row r="117">
      <c r="B117" s="1004" t="s">
        <v>1767</v>
      </c>
      <c r="C117" s="998">
        <v>10.0</v>
      </c>
      <c r="D117" s="998">
        <v>10.0</v>
      </c>
      <c r="E117" s="998">
        <v>12.0</v>
      </c>
      <c r="F117" s="998">
        <v>14.0</v>
      </c>
      <c r="G117" s="1068"/>
      <c r="H117" s="998">
        <v>8.0</v>
      </c>
      <c r="I117" s="441"/>
      <c r="J117" s="1068"/>
      <c r="K117" s="1068"/>
      <c r="L117" s="1068"/>
      <c r="M117" s="1476"/>
      <c r="N117" s="1068"/>
      <c r="O117" s="441"/>
    </row>
    <row r="118">
      <c r="B118" s="1004" t="s">
        <v>1768</v>
      </c>
      <c r="C118" s="1008" t="s">
        <v>1237</v>
      </c>
      <c r="D118" s="1008" t="s">
        <v>1237</v>
      </c>
      <c r="E118" s="1008" t="s">
        <v>1237</v>
      </c>
      <c r="F118" s="1008" t="s">
        <v>1237</v>
      </c>
      <c r="G118" s="1068"/>
      <c r="H118" s="1008" t="s">
        <v>1237</v>
      </c>
      <c r="I118" s="441"/>
      <c r="J118" s="1068"/>
      <c r="K118" s="1068"/>
      <c r="L118" s="1068"/>
      <c r="M118" s="1476"/>
      <c r="N118" s="1068"/>
      <c r="O118" s="441"/>
    </row>
    <row r="119">
      <c r="B119" s="1432" t="s">
        <v>1810</v>
      </c>
      <c r="C119" s="1475">
        <f t="shared" ref="C119:F119" si="64">C$111*C$120+C121*C123</f>
        <v>0.06</v>
      </c>
      <c r="D119" s="1475">
        <f t="shared" si="64"/>
        <v>0.32</v>
      </c>
      <c r="E119" s="1475">
        <f t="shared" si="64"/>
        <v>1.36</v>
      </c>
      <c r="F119" s="1475">
        <f t="shared" si="64"/>
        <v>15.36</v>
      </c>
      <c r="G119" s="1068"/>
      <c r="H119" s="1068"/>
      <c r="I119" s="441"/>
      <c r="J119" s="1068"/>
      <c r="K119" s="1068"/>
      <c r="L119" s="1068"/>
      <c r="M119" s="1476"/>
      <c r="N119" s="1068"/>
      <c r="O119" s="441"/>
    </row>
    <row r="120">
      <c r="B120" s="995" t="s">
        <v>1365</v>
      </c>
      <c r="C120" s="998">
        <v>2.0</v>
      </c>
      <c r="D120" s="998">
        <v>2.0</v>
      </c>
      <c r="E120" s="998">
        <v>2.0</v>
      </c>
      <c r="F120" s="998">
        <v>2.0</v>
      </c>
      <c r="G120" s="1068"/>
      <c r="H120" s="1068"/>
      <c r="I120" s="441"/>
      <c r="J120" s="1068"/>
      <c r="K120" s="1068"/>
      <c r="L120" s="1068"/>
      <c r="M120" s="1476"/>
      <c r="N120" s="1068"/>
      <c r="O120" s="441"/>
    </row>
    <row r="121">
      <c r="B121" s="995" t="s">
        <v>1371</v>
      </c>
      <c r="C121" s="997">
        <f t="shared" ref="C121:F121" si="65">C120*C122</f>
        <v>2</v>
      </c>
      <c r="D121" s="997">
        <f t="shared" si="65"/>
        <v>3</v>
      </c>
      <c r="E121" s="997">
        <f t="shared" si="65"/>
        <v>4</v>
      </c>
      <c r="F121" s="997">
        <f t="shared" si="65"/>
        <v>6</v>
      </c>
      <c r="G121" s="1068"/>
      <c r="H121" s="1068"/>
      <c r="I121" s="441"/>
      <c r="J121" s="441"/>
      <c r="K121" s="441"/>
      <c r="L121" s="441"/>
      <c r="M121" s="1426"/>
      <c r="N121" s="441"/>
      <c r="O121" s="441"/>
    </row>
    <row r="122">
      <c r="B122" s="995" t="s">
        <v>1410</v>
      </c>
      <c r="C122" s="998">
        <v>1.0</v>
      </c>
      <c r="D122" s="998">
        <v>1.5</v>
      </c>
      <c r="E122" s="998">
        <v>2.0</v>
      </c>
      <c r="F122" s="998">
        <v>3.0</v>
      </c>
      <c r="G122" s="1068"/>
      <c r="H122" s="1068"/>
      <c r="I122" s="441"/>
      <c r="J122" s="441"/>
      <c r="K122" s="441"/>
      <c r="L122" s="441"/>
      <c r="M122" s="1426"/>
      <c r="N122" s="441"/>
      <c r="O122" s="441"/>
    </row>
    <row r="123">
      <c r="B123" s="995" t="s">
        <v>1412</v>
      </c>
      <c r="C123" s="997">
        <f t="shared" ref="C123:F123" si="66">(0.02*C124)*C124</f>
        <v>0.02</v>
      </c>
      <c r="D123" s="997">
        <f t="shared" si="66"/>
        <v>0.08</v>
      </c>
      <c r="E123" s="997">
        <f t="shared" si="66"/>
        <v>0.18</v>
      </c>
      <c r="F123" s="997">
        <f t="shared" si="66"/>
        <v>0.32</v>
      </c>
      <c r="G123" s="1068"/>
      <c r="H123" s="1068"/>
      <c r="I123" s="441"/>
      <c r="J123" s="441"/>
      <c r="K123" s="441"/>
      <c r="L123" s="441"/>
      <c r="M123" s="1426"/>
      <c r="N123" s="441"/>
      <c r="O123" s="441"/>
    </row>
    <row r="124">
      <c r="B124" s="1004" t="s">
        <v>1765</v>
      </c>
      <c r="C124" s="998">
        <v>1.0</v>
      </c>
      <c r="D124" s="998">
        <v>2.0</v>
      </c>
      <c r="E124" s="998">
        <v>3.0</v>
      </c>
      <c r="F124" s="998">
        <v>4.0</v>
      </c>
      <c r="G124" s="1068"/>
      <c r="H124" s="1068"/>
      <c r="I124" s="441"/>
      <c r="J124" s="441"/>
      <c r="K124" s="441"/>
      <c r="L124" s="441"/>
      <c r="M124" s="1426"/>
      <c r="N124" s="441"/>
      <c r="O124" s="441"/>
    </row>
    <row r="125">
      <c r="B125" s="1004" t="s">
        <v>1767</v>
      </c>
      <c r="C125" s="998">
        <v>10.0</v>
      </c>
      <c r="D125" s="998">
        <v>12.0</v>
      </c>
      <c r="E125" s="998">
        <v>14.0</v>
      </c>
      <c r="F125" s="998">
        <v>16.0</v>
      </c>
      <c r="G125" s="1068"/>
      <c r="H125" s="1068"/>
      <c r="I125" s="441"/>
      <c r="J125" s="441"/>
      <c r="K125" s="441"/>
      <c r="L125" s="441"/>
      <c r="M125" s="1426"/>
      <c r="N125" s="441"/>
      <c r="O125" s="441"/>
    </row>
    <row r="126">
      <c r="B126" s="1004" t="s">
        <v>1768</v>
      </c>
      <c r="C126" s="953" t="s">
        <v>1237</v>
      </c>
      <c r="D126" s="953" t="s">
        <v>1237</v>
      </c>
      <c r="E126" s="953" t="s">
        <v>1237</v>
      </c>
      <c r="F126" s="953" t="s">
        <v>1250</v>
      </c>
      <c r="G126" s="1068"/>
      <c r="H126" s="1068"/>
      <c r="I126" s="441"/>
      <c r="J126" s="441"/>
      <c r="K126" s="441"/>
      <c r="L126" s="441"/>
      <c r="M126" s="1426"/>
      <c r="N126" s="441"/>
      <c r="O126" s="441"/>
    </row>
    <row r="127">
      <c r="B127" s="1427" t="s">
        <v>130</v>
      </c>
      <c r="C127" s="1428" t="s">
        <v>1811</v>
      </c>
      <c r="D127" s="1428" t="s">
        <v>1812</v>
      </c>
      <c r="E127" s="1428" t="s">
        <v>1813</v>
      </c>
      <c r="F127" s="1068"/>
      <c r="G127" s="1068"/>
      <c r="H127" s="1068"/>
      <c r="I127" s="441"/>
      <c r="J127" s="441"/>
      <c r="K127" s="441"/>
      <c r="L127" s="441"/>
      <c r="M127" s="1426"/>
      <c r="N127" s="441"/>
      <c r="O127" s="441"/>
    </row>
    <row r="128">
      <c r="B128" s="1432" t="s">
        <v>1814</v>
      </c>
      <c r="C128" s="1475">
        <f t="shared" ref="C128:E128" si="67">C$129*C$130+C131*C133</f>
        <v>2.8</v>
      </c>
      <c r="D128" s="1475">
        <f t="shared" si="67"/>
        <v>11.8</v>
      </c>
      <c r="E128" s="1475">
        <f t="shared" si="67"/>
        <v>40</v>
      </c>
      <c r="F128" s="1068"/>
      <c r="G128" s="1068"/>
      <c r="H128" s="1068"/>
      <c r="I128" s="441"/>
      <c r="J128" s="441"/>
      <c r="K128" s="441"/>
      <c r="L128" s="441"/>
      <c r="M128" s="1426"/>
      <c r="N128" s="441"/>
      <c r="O128" s="441"/>
    </row>
    <row r="129">
      <c r="B129" s="995" t="s">
        <v>1436</v>
      </c>
      <c r="C129" s="1485">
        <f t="shared" ref="C129:E129" si="68">C119</f>
        <v>0.06</v>
      </c>
      <c r="D129" s="1485">
        <f t="shared" si="68"/>
        <v>0.32</v>
      </c>
      <c r="E129" s="1485">
        <f t="shared" si="68"/>
        <v>1.36</v>
      </c>
      <c r="F129" s="1068"/>
      <c r="G129" s="1068"/>
      <c r="H129" s="1068"/>
      <c r="I129" s="441"/>
      <c r="J129" s="441"/>
      <c r="K129" s="441"/>
      <c r="L129" s="441"/>
      <c r="M129" s="1426"/>
      <c r="N129" s="441"/>
      <c r="O129" s="441"/>
    </row>
    <row r="130">
      <c r="B130" s="995" t="s">
        <v>1365</v>
      </c>
      <c r="C130" s="998">
        <v>20.0</v>
      </c>
      <c r="D130" s="998">
        <v>20.0</v>
      </c>
      <c r="E130" s="998">
        <v>20.0</v>
      </c>
      <c r="F130" s="1068"/>
      <c r="G130" s="1068"/>
      <c r="H130" s="1068"/>
      <c r="I130" s="441"/>
      <c r="J130" s="441"/>
      <c r="K130" s="441"/>
      <c r="L130" s="441"/>
      <c r="M130" s="1426"/>
      <c r="N130" s="441"/>
      <c r="O130" s="441"/>
    </row>
    <row r="131">
      <c r="B131" s="995" t="s">
        <v>1371</v>
      </c>
      <c r="C131" s="997">
        <f t="shared" ref="C131:E131" si="69">C130*C132</f>
        <v>20</v>
      </c>
      <c r="D131" s="997">
        <f t="shared" si="69"/>
        <v>30</v>
      </c>
      <c r="E131" s="997">
        <f t="shared" si="69"/>
        <v>40</v>
      </c>
      <c r="F131" s="1068"/>
      <c r="G131" s="1068"/>
      <c r="H131" s="1068"/>
      <c r="I131" s="441"/>
      <c r="J131" s="441"/>
      <c r="K131" s="441"/>
      <c r="L131" s="441"/>
      <c r="M131" s="1426"/>
      <c r="N131" s="441"/>
      <c r="O131" s="441"/>
    </row>
    <row r="132">
      <c r="B132" s="995" t="s">
        <v>1410</v>
      </c>
      <c r="C132" s="998">
        <v>1.0</v>
      </c>
      <c r="D132" s="998">
        <v>1.5</v>
      </c>
      <c r="E132" s="998">
        <v>2.0</v>
      </c>
      <c r="F132" s="1068"/>
      <c r="G132" s="1068"/>
      <c r="H132" s="1068"/>
      <c r="I132" s="441"/>
      <c r="J132" s="441"/>
      <c r="K132" s="441"/>
      <c r="L132" s="441"/>
      <c r="M132" s="1426"/>
      <c r="N132" s="441"/>
      <c r="O132" s="441"/>
    </row>
    <row r="133">
      <c r="B133" s="995" t="s">
        <v>1412</v>
      </c>
      <c r="C133" s="997">
        <f t="shared" ref="C133:E133" si="70">(0.02*C134)*C134</f>
        <v>0.08</v>
      </c>
      <c r="D133" s="997">
        <f t="shared" si="70"/>
        <v>0.18</v>
      </c>
      <c r="E133" s="997">
        <f t="shared" si="70"/>
        <v>0.32</v>
      </c>
      <c r="F133" s="1068"/>
      <c r="G133" s="1068"/>
      <c r="H133" s="1068"/>
      <c r="I133" s="441"/>
      <c r="J133" s="441"/>
      <c r="K133" s="441"/>
      <c r="L133" s="441"/>
      <c r="M133" s="1426"/>
      <c r="N133" s="441"/>
      <c r="O133" s="441"/>
    </row>
    <row r="134">
      <c r="B134" s="1004" t="s">
        <v>1765</v>
      </c>
      <c r="C134" s="998">
        <v>2.0</v>
      </c>
      <c r="D134" s="997">
        <v>3.0</v>
      </c>
      <c r="E134" s="997">
        <v>4.0</v>
      </c>
      <c r="F134" s="1068"/>
      <c r="G134" s="1068"/>
      <c r="H134" s="1068"/>
      <c r="I134" s="441"/>
      <c r="J134" s="441"/>
      <c r="K134" s="441"/>
      <c r="L134" s="441"/>
      <c r="M134" s="1426"/>
      <c r="N134" s="441"/>
      <c r="O134" s="441"/>
    </row>
    <row r="135">
      <c r="B135" s="1004" t="s">
        <v>1767</v>
      </c>
      <c r="C135" s="998">
        <v>12.0</v>
      </c>
      <c r="D135" s="998">
        <v>14.0</v>
      </c>
      <c r="E135" s="998">
        <v>16.0</v>
      </c>
      <c r="F135" s="1068"/>
      <c r="G135" s="1068"/>
      <c r="H135" s="1068"/>
      <c r="I135" s="441"/>
      <c r="J135" s="441"/>
      <c r="K135" s="441"/>
      <c r="L135" s="441"/>
      <c r="M135" s="1426"/>
      <c r="N135" s="441"/>
      <c r="O135" s="441"/>
    </row>
    <row r="136">
      <c r="B136" s="1004" t="s">
        <v>1768</v>
      </c>
      <c r="C136" s="953" t="s">
        <v>1237</v>
      </c>
      <c r="D136" s="953" t="s">
        <v>1237</v>
      </c>
      <c r="E136" s="953" t="s">
        <v>1250</v>
      </c>
      <c r="F136" s="1167"/>
    </row>
  </sheetData>
  <mergeCells count="73">
    <mergeCell ref="S28:S29"/>
    <mergeCell ref="T28:T29"/>
    <mergeCell ref="P26:P27"/>
    <mergeCell ref="Q26:Q27"/>
    <mergeCell ref="R26:R27"/>
    <mergeCell ref="S26:S27"/>
    <mergeCell ref="T26:T27"/>
    <mergeCell ref="U26:U27"/>
    <mergeCell ref="U28:U29"/>
    <mergeCell ref="P28:P29"/>
    <mergeCell ref="P31:P32"/>
    <mergeCell ref="Q31:Q32"/>
    <mergeCell ref="R31:R32"/>
    <mergeCell ref="S31:S32"/>
    <mergeCell ref="T31:T32"/>
    <mergeCell ref="U31:U32"/>
    <mergeCell ref="Q35:Q36"/>
    <mergeCell ref="R35:R36"/>
    <mergeCell ref="P37:P38"/>
    <mergeCell ref="Q37:Q38"/>
    <mergeCell ref="R37:R38"/>
    <mergeCell ref="S35:S36"/>
    <mergeCell ref="T35:T36"/>
    <mergeCell ref="S37:S38"/>
    <mergeCell ref="T37:T38"/>
    <mergeCell ref="U37:U38"/>
    <mergeCell ref="P33:P34"/>
    <mergeCell ref="Q33:Q34"/>
    <mergeCell ref="R33:R34"/>
    <mergeCell ref="S33:S34"/>
    <mergeCell ref="T33:T34"/>
    <mergeCell ref="U33:U34"/>
    <mergeCell ref="P35:P36"/>
    <mergeCell ref="U35:U36"/>
    <mergeCell ref="J9:O9"/>
    <mergeCell ref="P13:P14"/>
    <mergeCell ref="Q13:Q14"/>
    <mergeCell ref="R13:R14"/>
    <mergeCell ref="S13:S14"/>
    <mergeCell ref="T13:T14"/>
    <mergeCell ref="U13:U14"/>
    <mergeCell ref="S17:S18"/>
    <mergeCell ref="T17:T18"/>
    <mergeCell ref="S19:S20"/>
    <mergeCell ref="T19:T20"/>
    <mergeCell ref="U19:U20"/>
    <mergeCell ref="P15:P16"/>
    <mergeCell ref="Q15:Q16"/>
    <mergeCell ref="R15:R16"/>
    <mergeCell ref="S15:S16"/>
    <mergeCell ref="T15:T16"/>
    <mergeCell ref="U15:U16"/>
    <mergeCell ref="P17:P18"/>
    <mergeCell ref="U17:U18"/>
    <mergeCell ref="R22:R23"/>
    <mergeCell ref="S22:S23"/>
    <mergeCell ref="T22:T23"/>
    <mergeCell ref="U22:U23"/>
    <mergeCell ref="P24:P25"/>
    <mergeCell ref="Q24:Q25"/>
    <mergeCell ref="R24:R25"/>
    <mergeCell ref="S24:S25"/>
    <mergeCell ref="T24:T25"/>
    <mergeCell ref="U24:U25"/>
    <mergeCell ref="Q17:Q18"/>
    <mergeCell ref="R17:R18"/>
    <mergeCell ref="P19:P20"/>
    <mergeCell ref="Q19:Q20"/>
    <mergeCell ref="R19:R20"/>
    <mergeCell ref="P22:P23"/>
    <mergeCell ref="Q22:Q23"/>
    <mergeCell ref="Q28:Q29"/>
    <mergeCell ref="R28:R29"/>
  </mergeCell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63"/>
    <col customWidth="1" min="2" max="2" width="42.5"/>
    <col customWidth="1" min="3" max="3" width="17.25"/>
    <col customWidth="1" min="4" max="4" width="16.75"/>
    <col customWidth="1" min="5" max="5" width="24.38"/>
    <col customWidth="1" min="6" max="6" width="17.88"/>
    <col customWidth="1" min="7" max="7" width="14.75"/>
    <col customWidth="1" min="8" max="8" width="29.0"/>
    <col customWidth="1" min="9" max="9" width="16.5"/>
    <col customWidth="1" min="10" max="10" width="14.38"/>
    <col customWidth="1" min="11" max="11" width="15.63"/>
    <col customWidth="1" min="12" max="12" width="14.13"/>
    <col customWidth="1" min="13" max="13" width="18.0"/>
    <col customWidth="1" min="14" max="14" width="13.5"/>
    <col customWidth="1" min="15" max="16" width="16.13"/>
    <col customWidth="1" min="17" max="17" width="17.38"/>
  </cols>
  <sheetData>
    <row r="3">
      <c r="B3" s="930" t="s">
        <v>1815</v>
      </c>
    </row>
    <row r="4">
      <c r="B4" s="1052" t="s">
        <v>1816</v>
      </c>
    </row>
    <row r="5">
      <c r="B5" s="1052" t="s">
        <v>1817</v>
      </c>
    </row>
    <row r="7">
      <c r="B7" s="986" t="s">
        <v>1818</v>
      </c>
    </row>
    <row r="8">
      <c r="B8" s="1279" t="s">
        <v>1819</v>
      </c>
      <c r="C8" s="1280" t="s">
        <v>1820</v>
      </c>
      <c r="D8" s="1280" t="s">
        <v>1821</v>
      </c>
      <c r="E8" s="1280" t="s">
        <v>1822</v>
      </c>
      <c r="F8" s="1280" t="s">
        <v>1823</v>
      </c>
      <c r="G8" s="1280" t="s">
        <v>1824</v>
      </c>
      <c r="H8" s="1486" t="s">
        <v>1825</v>
      </c>
    </row>
    <row r="9">
      <c r="B9" s="1004">
        <v>1.0</v>
      </c>
      <c r="C9" s="1008">
        <v>10.0</v>
      </c>
      <c r="D9" s="1008" t="s">
        <v>1237</v>
      </c>
      <c r="E9" s="1487" t="s">
        <v>1826</v>
      </c>
      <c r="F9" s="1488">
        <v>1.0</v>
      </c>
      <c r="G9" s="1489">
        <f t="shared" ref="G9:G15" si="1">(0.01*B9)*B9*F9</f>
        <v>0.01</v>
      </c>
      <c r="H9" s="1487" t="s">
        <v>1827</v>
      </c>
    </row>
    <row r="10">
      <c r="B10" s="1004">
        <v>2.0</v>
      </c>
      <c r="C10" s="1008">
        <v>12.0</v>
      </c>
      <c r="D10" s="953" t="s">
        <v>1237</v>
      </c>
      <c r="E10" s="1487" t="s">
        <v>1828</v>
      </c>
      <c r="F10" s="1488">
        <v>1.5</v>
      </c>
      <c r="G10" s="1489">
        <f t="shared" si="1"/>
        <v>0.06</v>
      </c>
      <c r="H10" s="1487" t="s">
        <v>1829</v>
      </c>
    </row>
    <row r="11">
      <c r="B11" s="1490">
        <v>3.0</v>
      </c>
      <c r="C11" s="1491">
        <v>14.0</v>
      </c>
      <c r="D11" s="1492" t="s">
        <v>1237</v>
      </c>
      <c r="E11" s="1491" t="s">
        <v>1830</v>
      </c>
      <c r="F11" s="1493">
        <v>2.0</v>
      </c>
      <c r="G11" s="1494">
        <f t="shared" si="1"/>
        <v>0.18</v>
      </c>
      <c r="H11" s="1487" t="s">
        <v>1831</v>
      </c>
    </row>
    <row r="12">
      <c r="B12" s="1490">
        <v>4.0</v>
      </c>
      <c r="C12" s="1491">
        <v>16.0</v>
      </c>
      <c r="D12" s="953" t="s">
        <v>1250</v>
      </c>
      <c r="E12" s="1491" t="s">
        <v>1832</v>
      </c>
      <c r="F12" s="1493">
        <v>2.0</v>
      </c>
      <c r="G12" s="1494">
        <f t="shared" si="1"/>
        <v>0.32</v>
      </c>
      <c r="H12" s="1487" t="s">
        <v>1833</v>
      </c>
    </row>
    <row r="13">
      <c r="B13" s="1490">
        <v>5.0</v>
      </c>
      <c r="C13" s="1491">
        <v>18.0</v>
      </c>
      <c r="D13" s="953" t="s">
        <v>1250</v>
      </c>
      <c r="E13" s="1491" t="s">
        <v>1834</v>
      </c>
      <c r="F13" s="1493">
        <v>2.0</v>
      </c>
      <c r="G13" s="1494">
        <f t="shared" si="1"/>
        <v>0.5</v>
      </c>
      <c r="H13" s="1487" t="s">
        <v>1835</v>
      </c>
    </row>
    <row r="14">
      <c r="B14" s="1490">
        <v>6.0</v>
      </c>
      <c r="C14" s="1491">
        <v>20.0</v>
      </c>
      <c r="D14" s="953" t="s">
        <v>1250</v>
      </c>
      <c r="E14" s="1491" t="s">
        <v>1836</v>
      </c>
      <c r="F14" s="1493">
        <v>2.5</v>
      </c>
      <c r="G14" s="1494">
        <f t="shared" si="1"/>
        <v>0.9</v>
      </c>
      <c r="H14" s="1487" t="s">
        <v>1837</v>
      </c>
    </row>
    <row r="15">
      <c r="B15" s="1490">
        <v>7.0</v>
      </c>
      <c r="C15" s="1491">
        <v>22.0</v>
      </c>
      <c r="D15" s="953" t="s">
        <v>1263</v>
      </c>
      <c r="E15" s="1491" t="s">
        <v>1838</v>
      </c>
      <c r="F15" s="1493">
        <v>3.0</v>
      </c>
      <c r="G15" s="1494">
        <f t="shared" si="1"/>
        <v>1.47</v>
      </c>
      <c r="H15" s="1487" t="s">
        <v>1839</v>
      </c>
    </row>
    <row r="17">
      <c r="B17" s="986" t="s">
        <v>1840</v>
      </c>
    </row>
    <row r="18">
      <c r="B18" s="1279" t="s">
        <v>1841</v>
      </c>
      <c r="C18" s="1280" t="s">
        <v>1824</v>
      </c>
      <c r="D18" s="1280" t="s">
        <v>1842</v>
      </c>
      <c r="E18" s="1280" t="s">
        <v>1843</v>
      </c>
    </row>
    <row r="19">
      <c r="B19" s="1020" t="s">
        <v>1844</v>
      </c>
      <c r="C19" s="1494">
        <f>G9</f>
        <v>0.01</v>
      </c>
      <c r="D19" s="1491">
        <v>0.0</v>
      </c>
      <c r="E19" s="1494">
        <f t="shared" ref="E19:E35" si="2">C19+D19</f>
        <v>0.01</v>
      </c>
    </row>
    <row r="20">
      <c r="B20" s="1020" t="s">
        <v>1845</v>
      </c>
      <c r="C20" s="1494">
        <f>G9</f>
        <v>0.01</v>
      </c>
      <c r="D20" s="1491">
        <v>0.01</v>
      </c>
      <c r="E20" s="1494">
        <f t="shared" si="2"/>
        <v>0.02</v>
      </c>
    </row>
    <row r="21">
      <c r="B21" s="1020" t="s">
        <v>1846</v>
      </c>
      <c r="C21" s="1494">
        <f>G9</f>
        <v>0.01</v>
      </c>
      <c r="D21" s="1491">
        <v>0.01</v>
      </c>
      <c r="E21" s="1494">
        <f t="shared" si="2"/>
        <v>0.02</v>
      </c>
    </row>
    <row r="22">
      <c r="B22" s="1020" t="s">
        <v>1847</v>
      </c>
      <c r="C22" s="1494">
        <f>G9</f>
        <v>0.01</v>
      </c>
      <c r="D22" s="1491">
        <v>0.04</v>
      </c>
      <c r="E22" s="1494">
        <f t="shared" si="2"/>
        <v>0.05</v>
      </c>
    </row>
    <row r="23">
      <c r="B23" s="1020" t="s">
        <v>1848</v>
      </c>
      <c r="C23" s="1494">
        <f t="shared" ref="C23:C24" si="3">G9</f>
        <v>0.01</v>
      </c>
      <c r="D23" s="1491">
        <v>0.08</v>
      </c>
      <c r="E23" s="1494">
        <f t="shared" si="2"/>
        <v>0.09</v>
      </c>
    </row>
    <row r="24">
      <c r="B24" s="1020" t="s">
        <v>1849</v>
      </c>
      <c r="C24" s="1494">
        <f t="shared" si="3"/>
        <v>0.06</v>
      </c>
      <c r="D24" s="1491">
        <v>0.08</v>
      </c>
      <c r="E24" s="1494">
        <f t="shared" si="2"/>
        <v>0.14</v>
      </c>
    </row>
    <row r="25">
      <c r="B25" s="1020" t="s">
        <v>1850</v>
      </c>
      <c r="C25" s="1494">
        <f t="shared" ref="C25:C27" si="4">G10</f>
        <v>0.06</v>
      </c>
      <c r="D25" s="1494">
        <v>0.32</v>
      </c>
      <c r="E25" s="1494">
        <f t="shared" si="2"/>
        <v>0.38</v>
      </c>
    </row>
    <row r="26">
      <c r="B26" s="1020" t="s">
        <v>1830</v>
      </c>
      <c r="C26" s="1494">
        <f t="shared" si="4"/>
        <v>0.18</v>
      </c>
      <c r="D26" s="1491">
        <v>0.02</v>
      </c>
      <c r="E26" s="1494">
        <f t="shared" si="2"/>
        <v>0.2</v>
      </c>
    </row>
    <row r="27">
      <c r="B27" s="1020" t="s">
        <v>1851</v>
      </c>
      <c r="C27" s="1494">
        <f t="shared" si="4"/>
        <v>0.32</v>
      </c>
      <c r="D27" s="1494">
        <v>0.04</v>
      </c>
      <c r="E27" s="1494">
        <f t="shared" si="2"/>
        <v>0.36</v>
      </c>
    </row>
    <row r="28">
      <c r="B28" s="1020" t="s">
        <v>1852</v>
      </c>
      <c r="C28" s="1494">
        <f t="shared" ref="C28:C29" si="5">G12</f>
        <v>0.32</v>
      </c>
      <c r="D28" s="1494">
        <v>0.2</v>
      </c>
      <c r="E28" s="1494">
        <f t="shared" si="2"/>
        <v>0.52</v>
      </c>
    </row>
    <row r="29">
      <c r="B29" s="1020" t="s">
        <v>1853</v>
      </c>
      <c r="C29" s="1494">
        <f t="shared" si="5"/>
        <v>0.5</v>
      </c>
      <c r="D29" s="1494">
        <v>0.4</v>
      </c>
      <c r="E29" s="1494">
        <f t="shared" si="2"/>
        <v>0.9</v>
      </c>
    </row>
    <row r="30">
      <c r="B30" s="1020" t="s">
        <v>1854</v>
      </c>
      <c r="C30" s="1494">
        <f>G13</f>
        <v>0.5</v>
      </c>
      <c r="D30" s="1494">
        <v>2.17</v>
      </c>
      <c r="E30" s="1494">
        <f t="shared" si="2"/>
        <v>2.67</v>
      </c>
    </row>
    <row r="31">
      <c r="B31" s="1020" t="s">
        <v>1855</v>
      </c>
      <c r="C31" s="1494">
        <f t="shared" ref="C31:C32" si="6">G13</f>
        <v>0.5</v>
      </c>
      <c r="D31" s="1495">
        <v>12.45</v>
      </c>
      <c r="E31" s="1494">
        <f t="shared" si="2"/>
        <v>12.95</v>
      </c>
    </row>
    <row r="32">
      <c r="B32" s="1020" t="s">
        <v>1856</v>
      </c>
      <c r="C32" s="1494">
        <f t="shared" si="6"/>
        <v>0.9</v>
      </c>
      <c r="D32" s="1494">
        <v>332.0</v>
      </c>
      <c r="E32" s="1494">
        <f t="shared" si="2"/>
        <v>332.9</v>
      </c>
    </row>
    <row r="33">
      <c r="B33" s="1020" t="s">
        <v>1857</v>
      </c>
      <c r="C33" s="1494">
        <f t="shared" ref="C33:C34" si="7">G14</f>
        <v>0.9</v>
      </c>
      <c r="D33" s="1495">
        <v>39.0</v>
      </c>
      <c r="E33" s="1494">
        <f t="shared" si="2"/>
        <v>39.9</v>
      </c>
      <c r="J33" s="1496"/>
      <c r="K33" s="1496"/>
      <c r="L33" s="1496"/>
    </row>
    <row r="34">
      <c r="B34" s="1020" t="s">
        <v>1858</v>
      </c>
      <c r="C34" s="1494">
        <f t="shared" si="7"/>
        <v>1.47</v>
      </c>
      <c r="D34" s="1497">
        <v>3329.58</v>
      </c>
      <c r="E34" s="1494">
        <f t="shared" si="2"/>
        <v>3331.05</v>
      </c>
      <c r="J34" s="1496"/>
      <c r="K34" s="1496"/>
      <c r="L34" s="1496"/>
      <c r="O34" s="1498"/>
      <c r="P34" s="1498"/>
    </row>
    <row r="35">
      <c r="B35" s="1020" t="s">
        <v>1859</v>
      </c>
      <c r="C35" s="1494">
        <f>G15</f>
        <v>1.47</v>
      </c>
      <c r="D35" s="1495">
        <v>122.5</v>
      </c>
      <c r="E35" s="1494">
        <f t="shared" si="2"/>
        <v>123.97</v>
      </c>
      <c r="J35" s="1496"/>
      <c r="K35" s="1496"/>
      <c r="L35" s="1496"/>
    </row>
    <row r="36">
      <c r="B36" s="984" t="s">
        <v>1860</v>
      </c>
      <c r="K36" s="1496"/>
      <c r="L36" s="1496"/>
    </row>
    <row r="37">
      <c r="B37" s="986"/>
    </row>
    <row r="38">
      <c r="B38" s="986" t="s">
        <v>1861</v>
      </c>
    </row>
    <row r="39">
      <c r="B39" s="1499" t="s">
        <v>1862</v>
      </c>
      <c r="C39" s="1500">
        <f t="shared" ref="C39:D39" si="8">C41*C42+C43*C45</f>
        <v>0.05</v>
      </c>
      <c r="D39" s="1500">
        <f t="shared" si="8"/>
        <v>0.6</v>
      </c>
    </row>
    <row r="40">
      <c r="B40" s="1279" t="s">
        <v>130</v>
      </c>
      <c r="C40" s="1280" t="s">
        <v>1863</v>
      </c>
      <c r="D40" s="1280" t="s">
        <v>1851</v>
      </c>
    </row>
    <row r="41">
      <c r="B41" s="995" t="s">
        <v>1363</v>
      </c>
      <c r="C41" s="996">
        <f>E19</f>
        <v>0.01</v>
      </c>
      <c r="D41" s="996">
        <f>E27</f>
        <v>0.36</v>
      </c>
    </row>
    <row r="42">
      <c r="B42" s="995" t="s">
        <v>1365</v>
      </c>
      <c r="C42" s="953">
        <v>1.0</v>
      </c>
      <c r="D42" s="953">
        <v>1.0</v>
      </c>
    </row>
    <row r="43">
      <c r="B43" s="1004" t="s">
        <v>1371</v>
      </c>
      <c r="C43" s="1008">
        <v>2.0</v>
      </c>
      <c r="D43" s="1008">
        <v>3.0</v>
      </c>
    </row>
    <row r="44">
      <c r="B44" s="1004" t="s">
        <v>1410</v>
      </c>
      <c r="C44" s="1008">
        <v>1.0</v>
      </c>
      <c r="D44" s="1008">
        <v>1.0</v>
      </c>
    </row>
    <row r="45">
      <c r="B45" s="1004" t="s">
        <v>1372</v>
      </c>
      <c r="C45" s="950">
        <f t="shared" ref="C45:D45" si="9">(0.02*C46)*C46</f>
        <v>0.02</v>
      </c>
      <c r="D45" s="950">
        <f t="shared" si="9"/>
        <v>0.08</v>
      </c>
    </row>
    <row r="46">
      <c r="B46" s="1004" t="s">
        <v>1864</v>
      </c>
      <c r="C46" s="1008">
        <v>1.0</v>
      </c>
      <c r="D46" s="1008">
        <v>2.0</v>
      </c>
    </row>
    <row r="47">
      <c r="B47" s="1006" t="s">
        <v>1820</v>
      </c>
      <c r="C47" s="1066">
        <v>10.0</v>
      </c>
      <c r="D47" s="1066">
        <v>12.0</v>
      </c>
    </row>
    <row r="48">
      <c r="B48" s="1004" t="s">
        <v>1821</v>
      </c>
      <c r="C48" s="1491" t="s">
        <v>1237</v>
      </c>
      <c r="D48" s="1491" t="s">
        <v>1237</v>
      </c>
    </row>
    <row r="49">
      <c r="B49" s="986"/>
      <c r="C49" s="1053"/>
      <c r="D49" s="1053"/>
      <c r="E49" s="1053"/>
      <c r="F49" s="1053"/>
      <c r="G49" s="1053"/>
      <c r="H49" s="1053"/>
      <c r="I49" s="1053"/>
      <c r="J49" s="1501"/>
      <c r="K49" s="1053"/>
      <c r="L49" s="1053"/>
    </row>
    <row r="50">
      <c r="B50" s="986" t="s">
        <v>1865</v>
      </c>
      <c r="C50" s="1053" t="s">
        <v>1866</v>
      </c>
      <c r="D50" s="1053" t="s">
        <v>1867</v>
      </c>
      <c r="E50" s="1053" t="s">
        <v>1868</v>
      </c>
      <c r="F50" s="1053" t="s">
        <v>1869</v>
      </c>
      <c r="G50" s="1053" t="s">
        <v>1870</v>
      </c>
      <c r="H50" s="1053" t="s">
        <v>1871</v>
      </c>
      <c r="I50" s="1053" t="s">
        <v>1872</v>
      </c>
      <c r="J50" s="1053" t="s">
        <v>1873</v>
      </c>
      <c r="K50" s="1053" t="s">
        <v>1874</v>
      </c>
      <c r="L50" s="1053" t="s">
        <v>1875</v>
      </c>
      <c r="M50" s="1501" t="s">
        <v>1876</v>
      </c>
      <c r="N50" s="1053" t="s">
        <v>1877</v>
      </c>
      <c r="O50" s="1053" t="s">
        <v>1878</v>
      </c>
    </row>
    <row r="51">
      <c r="B51" s="1499" t="s">
        <v>1879</v>
      </c>
      <c r="C51" s="1502">
        <f t="shared" ref="C51:O51" si="10">C53*C54+C55*C56+C62*C63</f>
        <v>0.33</v>
      </c>
      <c r="D51" s="1503">
        <f t="shared" si="10"/>
        <v>0.12</v>
      </c>
      <c r="E51" s="1503">
        <f t="shared" si="10"/>
        <v>0.13</v>
      </c>
      <c r="F51" s="1503">
        <f t="shared" si="10"/>
        <v>2.55</v>
      </c>
      <c r="G51" s="1503">
        <f t="shared" si="10"/>
        <v>0.33</v>
      </c>
      <c r="H51" s="1503">
        <f t="shared" si="10"/>
        <v>1.51</v>
      </c>
      <c r="I51" s="1503">
        <f t="shared" si="10"/>
        <v>4.41</v>
      </c>
      <c r="J51" s="1503">
        <f t="shared" si="10"/>
        <v>10.22</v>
      </c>
      <c r="K51" s="1503">
        <f t="shared" si="10"/>
        <v>1000.35</v>
      </c>
      <c r="L51" s="1503">
        <f t="shared" si="10"/>
        <v>41.55</v>
      </c>
      <c r="M51" s="1503">
        <f t="shared" si="10"/>
        <v>124.72</v>
      </c>
      <c r="N51" s="1503">
        <f t="shared" si="10"/>
        <v>374.71</v>
      </c>
      <c r="O51" s="1504">
        <f t="shared" si="10"/>
        <v>10000.85</v>
      </c>
    </row>
    <row r="52">
      <c r="B52" s="1279" t="s">
        <v>130</v>
      </c>
      <c r="C52" s="1280" t="str">
        <f>'Материалы и инструменты'!F139</f>
        <v>Оловянная руда</v>
      </c>
      <c r="D52" s="1280" t="str">
        <f>B21</f>
        <v>Свинцовая руда</v>
      </c>
      <c r="E52" s="1280" t="str">
        <f>B20</f>
        <v>Цинковая руда</v>
      </c>
      <c r="F52" s="1280" t="str">
        <f>B28</f>
        <v>Кобальтовая руда</v>
      </c>
      <c r="G52" s="1280" t="str">
        <f>'Материалы и инструменты'!E139</f>
        <v>Медная руда</v>
      </c>
      <c r="H52" s="1280" t="str">
        <f>'Материалы и инструменты'!G139</f>
        <v>Железная руда</v>
      </c>
      <c r="I52" s="1280" t="str">
        <f>B29</f>
        <v>Никелевая руда</v>
      </c>
      <c r="J52" s="1280" t="str">
        <f>'Материалы и инструменты'!J139</f>
        <v>Серебрянная руда</v>
      </c>
      <c r="K52" s="1280" t="str">
        <f>'Материалы и инструменты'!N139</f>
        <v>Золотая руда</v>
      </c>
      <c r="L52" s="1280" t="str">
        <f>'Материалы и инструменты'!K139</f>
        <v>Кавриловая руда</v>
      </c>
      <c r="M52" s="1280" t="str">
        <f>'Материалы и инструменты'!L139</f>
        <v>Грамантовая руда</v>
      </c>
      <c r="N52" s="1280" t="str">
        <f>'Материалы и инструменты'!M139</f>
        <v>Леоритовая руда</v>
      </c>
      <c r="O52" s="1280" t="s">
        <v>1858</v>
      </c>
    </row>
    <row r="53">
      <c r="B53" s="995" t="s">
        <v>1363</v>
      </c>
      <c r="C53" s="996">
        <f>E23</f>
        <v>0.09</v>
      </c>
      <c r="D53" s="996">
        <f>E21</f>
        <v>0.02</v>
      </c>
      <c r="E53" s="996">
        <f>E20</f>
        <v>0.02</v>
      </c>
      <c r="F53" s="1063">
        <f>E28</f>
        <v>0.52</v>
      </c>
      <c r="G53" s="996">
        <f>E22</f>
        <v>0.05</v>
      </c>
      <c r="H53" s="1063">
        <f>E25</f>
        <v>0.38</v>
      </c>
      <c r="I53" s="1063">
        <f>E29</f>
        <v>0.9</v>
      </c>
      <c r="J53" s="996">
        <f>E30</f>
        <v>2.67</v>
      </c>
      <c r="K53" s="996">
        <f>E32</f>
        <v>332.9</v>
      </c>
      <c r="L53" s="996">
        <f>E31</f>
        <v>12.95</v>
      </c>
      <c r="M53" s="996">
        <f>E33</f>
        <v>39.9</v>
      </c>
      <c r="N53" s="996">
        <f>E35</f>
        <v>123.97</v>
      </c>
      <c r="O53" s="996">
        <f>E34</f>
        <v>3331.05</v>
      </c>
    </row>
    <row r="54">
      <c r="B54" s="995" t="s">
        <v>1365</v>
      </c>
      <c r="C54" s="953">
        <v>3.0</v>
      </c>
      <c r="D54" s="953">
        <v>3.0</v>
      </c>
      <c r="E54" s="953">
        <v>3.0</v>
      </c>
      <c r="F54" s="953">
        <v>3.0</v>
      </c>
      <c r="G54" s="953">
        <v>3.0</v>
      </c>
      <c r="H54" s="953">
        <v>3.0</v>
      </c>
      <c r="I54" s="953">
        <v>3.0</v>
      </c>
      <c r="J54" s="953">
        <v>3.0</v>
      </c>
      <c r="K54" s="953">
        <v>3.0</v>
      </c>
      <c r="L54" s="953">
        <v>3.0</v>
      </c>
      <c r="M54" s="953">
        <v>3.0</v>
      </c>
      <c r="N54" s="953">
        <v>3.0</v>
      </c>
      <c r="O54" s="953">
        <v>3.0</v>
      </c>
    </row>
    <row r="55">
      <c r="B55" s="1004" t="s">
        <v>1371</v>
      </c>
      <c r="C55" s="1008">
        <v>2.0</v>
      </c>
      <c r="D55" s="1008">
        <v>2.0</v>
      </c>
      <c r="E55" s="1008">
        <v>2.0</v>
      </c>
      <c r="F55" s="1008">
        <v>3.0</v>
      </c>
      <c r="G55" s="1008">
        <v>2.0</v>
      </c>
      <c r="H55" s="1008">
        <v>2.0</v>
      </c>
      <c r="I55" s="1008">
        <v>3.0</v>
      </c>
      <c r="J55" s="1008">
        <v>4.0</v>
      </c>
      <c r="K55" s="1008">
        <v>2.0</v>
      </c>
      <c r="L55" s="1008">
        <v>4.0</v>
      </c>
      <c r="M55" s="1008">
        <v>6.0</v>
      </c>
      <c r="N55" s="1008">
        <v>2.0</v>
      </c>
      <c r="O55" s="1008">
        <v>7.0</v>
      </c>
    </row>
    <row r="56">
      <c r="B56" s="1004" t="s">
        <v>1372</v>
      </c>
      <c r="C56" s="950">
        <f t="shared" ref="C56:O56" si="11">(0.02*C57)*C57</f>
        <v>0.02</v>
      </c>
      <c r="D56" s="950">
        <f t="shared" si="11"/>
        <v>0.02</v>
      </c>
      <c r="E56" s="950">
        <f t="shared" si="11"/>
        <v>0.02</v>
      </c>
      <c r="F56" s="950">
        <f t="shared" si="11"/>
        <v>0.32</v>
      </c>
      <c r="G56" s="950">
        <f t="shared" si="11"/>
        <v>0.02</v>
      </c>
      <c r="H56" s="950">
        <f t="shared" si="11"/>
        <v>0.08</v>
      </c>
      <c r="I56" s="950">
        <f t="shared" si="11"/>
        <v>0.5</v>
      </c>
      <c r="J56" s="950">
        <f t="shared" si="11"/>
        <v>0.5</v>
      </c>
      <c r="K56" s="950">
        <f t="shared" si="11"/>
        <v>0.72</v>
      </c>
      <c r="L56" s="950">
        <f t="shared" si="11"/>
        <v>0.5</v>
      </c>
      <c r="M56" s="950">
        <f t="shared" si="11"/>
        <v>0.72</v>
      </c>
      <c r="N56" s="950">
        <f t="shared" si="11"/>
        <v>0.98</v>
      </c>
      <c r="O56" s="950">
        <f t="shared" si="11"/>
        <v>0.98</v>
      </c>
    </row>
    <row r="57">
      <c r="B57" s="1004" t="s">
        <v>1864</v>
      </c>
      <c r="C57" s="1008">
        <v>1.0</v>
      </c>
      <c r="D57" s="1008">
        <v>1.0</v>
      </c>
      <c r="E57" s="1008">
        <v>1.0</v>
      </c>
      <c r="F57" s="1008">
        <v>4.0</v>
      </c>
      <c r="G57" s="1008">
        <v>1.0</v>
      </c>
      <c r="H57" s="1008">
        <v>2.0</v>
      </c>
      <c r="I57" s="1008">
        <v>5.0</v>
      </c>
      <c r="J57" s="1008">
        <v>5.0</v>
      </c>
      <c r="K57" s="1008">
        <v>6.0</v>
      </c>
      <c r="L57" s="1008">
        <v>5.0</v>
      </c>
      <c r="M57" s="1008">
        <v>6.0</v>
      </c>
      <c r="N57" s="1008">
        <v>7.0</v>
      </c>
      <c r="O57" s="1008">
        <v>7.0</v>
      </c>
    </row>
    <row r="58">
      <c r="B58" s="1006" t="s">
        <v>1880</v>
      </c>
      <c r="C58" s="1066">
        <v>10.0</v>
      </c>
      <c r="D58" s="1066">
        <v>8.0</v>
      </c>
      <c r="E58" s="1066">
        <v>10.0</v>
      </c>
      <c r="F58" s="1066">
        <v>12.0</v>
      </c>
      <c r="G58" s="1066">
        <v>10.0</v>
      </c>
      <c r="H58" s="1066">
        <v>12.0</v>
      </c>
      <c r="I58" s="1066">
        <v>12.0</v>
      </c>
      <c r="J58" s="1066">
        <v>18.0</v>
      </c>
      <c r="K58" s="1066">
        <v>20.0</v>
      </c>
      <c r="L58" s="1066">
        <v>18.0</v>
      </c>
      <c r="M58" s="1066">
        <v>20.0</v>
      </c>
      <c r="N58" s="1066">
        <v>22.0</v>
      </c>
      <c r="O58" s="1066">
        <v>22.0</v>
      </c>
    </row>
    <row r="59">
      <c r="B59" s="1004" t="s">
        <v>1881</v>
      </c>
      <c r="C59" s="953" t="s">
        <v>1237</v>
      </c>
      <c r="D59" s="953" t="s">
        <v>1237</v>
      </c>
      <c r="E59" s="953" t="s">
        <v>1237</v>
      </c>
      <c r="F59" s="953" t="s">
        <v>1237</v>
      </c>
      <c r="G59" s="953" t="s">
        <v>1237</v>
      </c>
      <c r="H59" s="953" t="s">
        <v>1237</v>
      </c>
      <c r="I59" s="953" t="s">
        <v>1237</v>
      </c>
      <c r="J59" s="953" t="s">
        <v>1250</v>
      </c>
      <c r="K59" s="953" t="s">
        <v>1250</v>
      </c>
      <c r="L59" s="953" t="s">
        <v>1250</v>
      </c>
      <c r="M59" s="953" t="s">
        <v>1250</v>
      </c>
      <c r="N59" s="953" t="s">
        <v>1263</v>
      </c>
      <c r="O59" s="953" t="s">
        <v>1263</v>
      </c>
    </row>
    <row r="60">
      <c r="B60" s="999" t="s">
        <v>1400</v>
      </c>
      <c r="C60" s="1000" t="s">
        <v>1489</v>
      </c>
      <c r="D60" s="1000" t="s">
        <v>1489</v>
      </c>
      <c r="E60" s="1000" t="s">
        <v>1489</v>
      </c>
      <c r="F60" s="1000" t="s">
        <v>1489</v>
      </c>
      <c r="G60" s="1000" t="s">
        <v>1489</v>
      </c>
      <c r="H60" s="1000" t="s">
        <v>1490</v>
      </c>
      <c r="I60" s="1000" t="s">
        <v>1490</v>
      </c>
      <c r="J60" s="1000" t="s">
        <v>1490</v>
      </c>
      <c r="K60" s="1000" t="s">
        <v>1490</v>
      </c>
      <c r="L60" s="1000" t="s">
        <v>1490</v>
      </c>
      <c r="M60" s="1000" t="s">
        <v>1490</v>
      </c>
      <c r="N60" s="1000" t="s">
        <v>1490</v>
      </c>
      <c r="O60" s="1000" t="s">
        <v>1490</v>
      </c>
    </row>
    <row r="61">
      <c r="B61" s="1001" t="s">
        <v>1369</v>
      </c>
      <c r="C61" s="1000" t="s">
        <v>1238</v>
      </c>
      <c r="D61" s="1000" t="s">
        <v>1238</v>
      </c>
      <c r="E61" s="1000" t="s">
        <v>1238</v>
      </c>
      <c r="F61" s="1000" t="s">
        <v>1238</v>
      </c>
      <c r="G61" s="1000" t="str">
        <f>'Материалы и инструменты'!E148</f>
        <v>Древесный уголь</v>
      </c>
      <c r="H61" s="1000" t="str">
        <f>'Материалы и инструменты'!E148</f>
        <v>Древесный уголь</v>
      </c>
      <c r="I61" s="1000" t="str">
        <f>'Материалы и инструменты'!E148</f>
        <v>Древесный уголь</v>
      </c>
      <c r="J61" s="1000" t="str">
        <f>'Материалы и инструменты'!E148</f>
        <v>Древесный уголь</v>
      </c>
      <c r="K61" s="1000" t="str">
        <f>'Материалы и инструменты'!E148</f>
        <v>Древесный уголь</v>
      </c>
      <c r="L61" s="1000" t="str">
        <f>'Материалы и инструменты'!F148</f>
        <v>Каменный уголь</v>
      </c>
      <c r="M61" s="1000" t="str">
        <f>'Материалы и инструменты'!F148</f>
        <v>Каменный уголь</v>
      </c>
      <c r="N61" s="1000" t="str">
        <f>'Материалы и инструменты'!F148</f>
        <v>Каменный уголь</v>
      </c>
      <c r="O61" s="1000" t="str">
        <f>'Материалы и инструменты'!F148</f>
        <v>Каменный уголь</v>
      </c>
    </row>
    <row r="62">
      <c r="B62" s="1002" t="s">
        <v>1370</v>
      </c>
      <c r="C62" s="1000">
        <f>'Материалы и инструменты'!D149</f>
        <v>0.01</v>
      </c>
      <c r="D62" s="1000">
        <f>'Материалы и инструменты'!D149</f>
        <v>0.01</v>
      </c>
      <c r="E62" s="1000">
        <f>'Материалы и инструменты'!D149</f>
        <v>0.01</v>
      </c>
      <c r="F62" s="1000">
        <f>'Материалы и инструменты'!D149</f>
        <v>0.01</v>
      </c>
      <c r="G62" s="1505">
        <f>'Материалы и инструменты'!E149</f>
        <v>0.07</v>
      </c>
      <c r="H62" s="1505">
        <f>'Материалы и инструменты'!E149</f>
        <v>0.07</v>
      </c>
      <c r="I62" s="1505">
        <f>'Материалы и инструменты'!E149</f>
        <v>0.07</v>
      </c>
      <c r="J62" s="1505">
        <f>'Материалы и инструменты'!E149</f>
        <v>0.07</v>
      </c>
      <c r="K62" s="1505">
        <f>'Материалы и инструменты'!E149</f>
        <v>0.07</v>
      </c>
      <c r="L62" s="1000">
        <f>'Материалы и инструменты'!F149</f>
        <v>0.14</v>
      </c>
      <c r="M62" s="1000">
        <f>'Материалы и инструменты'!F149</f>
        <v>0.14</v>
      </c>
      <c r="N62" s="1000">
        <f>'Материалы и инструменты'!F149</f>
        <v>0.14</v>
      </c>
      <c r="O62" s="1000">
        <f>'Материалы и инструменты'!F149</f>
        <v>0.14</v>
      </c>
    </row>
    <row r="63">
      <c r="B63" s="1002" t="s">
        <v>1231</v>
      </c>
      <c r="C63" s="1003">
        <v>2.0</v>
      </c>
      <c r="D63" s="1506">
        <v>2.0</v>
      </c>
      <c r="E63" s="1506">
        <v>3.0</v>
      </c>
      <c r="F63" s="1506">
        <v>3.0</v>
      </c>
      <c r="G63" s="1506">
        <v>2.0</v>
      </c>
      <c r="H63" s="1507">
        <v>3.0</v>
      </c>
      <c r="I63" s="1506">
        <v>3.0</v>
      </c>
      <c r="J63" s="1506">
        <v>3.0</v>
      </c>
      <c r="K63" s="1506">
        <v>3.0</v>
      </c>
      <c r="L63" s="1507">
        <v>5.0</v>
      </c>
      <c r="M63" s="1507">
        <v>5.0</v>
      </c>
      <c r="N63" s="1507">
        <v>6.0</v>
      </c>
      <c r="O63" s="1507">
        <v>6.0</v>
      </c>
    </row>
    <row r="64">
      <c r="B64" s="986"/>
      <c r="C64" s="1508"/>
      <c r="D64" s="1508"/>
      <c r="E64" s="1508"/>
    </row>
    <row r="65">
      <c r="B65" s="986" t="s">
        <v>1882</v>
      </c>
      <c r="C65" s="1508" t="s">
        <v>1883</v>
      </c>
      <c r="D65" s="1508" t="s">
        <v>1884</v>
      </c>
      <c r="E65" s="1508" t="s">
        <v>740</v>
      </c>
    </row>
    <row r="66">
      <c r="B66" s="1499" t="s">
        <v>1879</v>
      </c>
      <c r="C66" s="1502">
        <f t="shared" ref="C66:E66" si="12">C68*C69+C71*C72+C73*C74+C83*C84</f>
        <v>0.5</v>
      </c>
      <c r="D66" s="1503">
        <f t="shared" si="12"/>
        <v>4.57</v>
      </c>
      <c r="E66" s="1503">
        <f t="shared" si="12"/>
        <v>13.784</v>
      </c>
    </row>
    <row r="67">
      <c r="B67" s="1279" t="s">
        <v>130</v>
      </c>
      <c r="C67" s="1280" t="s">
        <v>1870</v>
      </c>
      <c r="D67" s="1280" t="s">
        <v>1871</v>
      </c>
      <c r="E67" s="1280" t="s">
        <v>1884</v>
      </c>
    </row>
    <row r="68">
      <c r="B68" s="995" t="s">
        <v>1363</v>
      </c>
      <c r="C68" s="996">
        <f t="shared" ref="C68:D68" si="13">G51</f>
        <v>0.33</v>
      </c>
      <c r="D68" s="996">
        <f t="shared" si="13"/>
        <v>1.51</v>
      </c>
      <c r="E68" s="996">
        <f>D66</f>
        <v>4.57</v>
      </c>
    </row>
    <row r="69">
      <c r="B69" s="995" t="s">
        <v>1365</v>
      </c>
      <c r="C69" s="953">
        <v>0.8</v>
      </c>
      <c r="D69" s="953">
        <v>1.0</v>
      </c>
      <c r="E69" s="953">
        <v>1.0</v>
      </c>
    </row>
    <row r="70">
      <c r="B70" s="1279" t="s">
        <v>130</v>
      </c>
      <c r="C70" s="1280" t="s">
        <v>1866</v>
      </c>
      <c r="D70" s="1280" t="s">
        <v>1885</v>
      </c>
      <c r="E70" s="1280" t="s">
        <v>1302</v>
      </c>
    </row>
    <row r="71">
      <c r="B71" s="995" t="s">
        <v>1363</v>
      </c>
      <c r="C71" s="996">
        <f>C51</f>
        <v>0.33</v>
      </c>
      <c r="D71" s="1509">
        <v>3.0</v>
      </c>
      <c r="E71" s="1063">
        <f>E24</f>
        <v>0.14</v>
      </c>
    </row>
    <row r="72">
      <c r="B72" s="995" t="s">
        <v>1365</v>
      </c>
      <c r="C72" s="953">
        <v>0.2</v>
      </c>
      <c r="D72" s="953">
        <v>0.1</v>
      </c>
      <c r="E72" s="953">
        <v>0.1</v>
      </c>
    </row>
    <row r="73">
      <c r="B73" s="1004" t="s">
        <v>1371</v>
      </c>
      <c r="C73" s="1008">
        <v>1.5</v>
      </c>
      <c r="D73" s="1407">
        <v>13.0</v>
      </c>
      <c r="E73" s="1408">
        <v>27.0</v>
      </c>
    </row>
    <row r="74">
      <c r="B74" s="1004" t="s">
        <v>1372</v>
      </c>
      <c r="C74" s="950">
        <f t="shared" ref="C74:E74" si="14">(0.02*C75)*C75</f>
        <v>0.02</v>
      </c>
      <c r="D74" s="950">
        <f t="shared" si="14"/>
        <v>0.18</v>
      </c>
      <c r="E74" s="950">
        <f t="shared" si="14"/>
        <v>0.32</v>
      </c>
    </row>
    <row r="75">
      <c r="B75" s="1004" t="s">
        <v>1864</v>
      </c>
      <c r="C75" s="1008">
        <v>1.0</v>
      </c>
      <c r="D75" s="1008">
        <v>3.0</v>
      </c>
      <c r="E75" s="1008">
        <v>4.0</v>
      </c>
    </row>
    <row r="76">
      <c r="B76" s="1006" t="s">
        <v>1820</v>
      </c>
      <c r="C76" s="1066">
        <v>10.0</v>
      </c>
      <c r="D76" s="1008" t="s">
        <v>30</v>
      </c>
      <c r="E76" s="1008" t="s">
        <v>30</v>
      </c>
    </row>
    <row r="77">
      <c r="B77" s="1004" t="s">
        <v>1227</v>
      </c>
      <c r="C77" s="1008" t="s">
        <v>30</v>
      </c>
      <c r="D77" s="1008">
        <v>3.0</v>
      </c>
      <c r="E77" s="1008">
        <v>4.0</v>
      </c>
    </row>
    <row r="78">
      <c r="B78" s="1004" t="s">
        <v>1886</v>
      </c>
      <c r="C78" s="1008" t="s">
        <v>30</v>
      </c>
      <c r="D78" s="1008">
        <f t="shared" ref="D78:E78" si="15">20+(D77-1)*4</f>
        <v>28</v>
      </c>
      <c r="E78" s="1008">
        <f t="shared" si="15"/>
        <v>32</v>
      </c>
    </row>
    <row r="79">
      <c r="B79" s="1004" t="s">
        <v>1821</v>
      </c>
      <c r="C79" s="1491" t="s">
        <v>1237</v>
      </c>
      <c r="D79" s="1491" t="s">
        <v>1237</v>
      </c>
      <c r="E79" s="953" t="s">
        <v>1250</v>
      </c>
    </row>
    <row r="80">
      <c r="B80" s="1004" t="s">
        <v>1887</v>
      </c>
      <c r="C80" s="1008" t="s">
        <v>30</v>
      </c>
      <c r="D80" s="1491" t="s">
        <v>1237</v>
      </c>
      <c r="E80" s="953" t="s">
        <v>1250</v>
      </c>
    </row>
    <row r="81">
      <c r="B81" s="999" t="s">
        <v>1400</v>
      </c>
      <c r="C81" s="1000" t="s">
        <v>1489</v>
      </c>
      <c r="D81" s="1000" t="s">
        <v>1490</v>
      </c>
      <c r="E81" s="1000" t="s">
        <v>1490</v>
      </c>
    </row>
    <row r="82">
      <c r="B82" s="1001" t="s">
        <v>1369</v>
      </c>
      <c r="C82" s="1000" t="str">
        <f>'Материалы и инструменты'!E148</f>
        <v>Древесный уголь</v>
      </c>
      <c r="D82" s="1000" t="str">
        <f>'Материалы и инструменты'!F148</f>
        <v>Каменный уголь</v>
      </c>
      <c r="E82" s="1000" t="str">
        <f>'Материалы и инструменты'!F148</f>
        <v>Каменный уголь</v>
      </c>
    </row>
    <row r="83">
      <c r="B83" s="1002" t="s">
        <v>1370</v>
      </c>
      <c r="C83" s="1505">
        <f>'Материалы и инструменты'!E149</f>
        <v>0.07</v>
      </c>
      <c r="D83" s="1000">
        <f>'Материалы и инструменты'!F149</f>
        <v>0.14</v>
      </c>
      <c r="E83" s="1000">
        <f>'Материалы и инструменты'!F149</f>
        <v>0.14</v>
      </c>
    </row>
    <row r="84">
      <c r="B84" s="1002" t="s">
        <v>1231</v>
      </c>
      <c r="C84" s="1003">
        <v>2.0</v>
      </c>
      <c r="D84" s="1506">
        <v>3.0</v>
      </c>
      <c r="E84" s="1506">
        <v>4.0</v>
      </c>
    </row>
  </sheetData>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5"/>
    <col customWidth="1" min="2" max="2" width="28.0"/>
    <col customWidth="1" min="3" max="3" width="18.0"/>
    <col customWidth="1" min="4" max="4" width="11.25"/>
    <col customWidth="1" min="5" max="5" width="30.38"/>
    <col customWidth="1" min="7" max="7" width="19.0"/>
    <col customWidth="1" min="8" max="8" width="13.75"/>
    <col customWidth="1" min="10" max="10" width="20.63"/>
    <col customWidth="1" min="14" max="14" width="22.63"/>
    <col customWidth="1" min="21" max="21" width="14.38"/>
    <col customWidth="1" min="22" max="22" width="17.63"/>
  </cols>
  <sheetData>
    <row r="2">
      <c r="B2" s="930"/>
    </row>
    <row r="3">
      <c r="B3" s="930" t="s">
        <v>1888</v>
      </c>
    </row>
    <row r="4">
      <c r="B4" s="1052" t="s">
        <v>1889</v>
      </c>
    </row>
    <row r="5">
      <c r="B5" s="1052" t="s">
        <v>1353</v>
      </c>
      <c r="E5" s="986"/>
      <c r="N5" s="1510"/>
      <c r="O5" s="1510"/>
      <c r="P5" s="1510"/>
      <c r="Q5" s="1510"/>
      <c r="R5" s="1510"/>
      <c r="S5" s="1510"/>
      <c r="T5" s="1510"/>
      <c r="U5" s="1510"/>
      <c r="V5" s="1510"/>
      <c r="W5" s="1510"/>
      <c r="X5" s="1510"/>
      <c r="Y5" s="1510"/>
    </row>
    <row r="6">
      <c r="B6" s="986"/>
      <c r="E6" s="986"/>
      <c r="N6" s="1510"/>
      <c r="O6" s="1510"/>
      <c r="P6" s="1510"/>
      <c r="Q6" s="1510"/>
      <c r="R6" s="1510"/>
      <c r="S6" s="1510"/>
      <c r="T6" s="1510"/>
      <c r="U6" s="1510"/>
      <c r="V6" s="1510"/>
      <c r="W6" s="1510"/>
      <c r="X6" s="1510"/>
      <c r="Y6" s="1510"/>
    </row>
    <row r="7">
      <c r="B7" s="1052" t="s">
        <v>1890</v>
      </c>
      <c r="E7" s="1052" t="s">
        <v>1891</v>
      </c>
      <c r="N7" s="1511" t="s">
        <v>1892</v>
      </c>
      <c r="O7" s="1512"/>
      <c r="P7" s="1512"/>
      <c r="Q7" s="1512"/>
      <c r="R7" s="1512"/>
      <c r="S7" s="1512"/>
      <c r="T7" s="1512"/>
      <c r="U7" s="1512"/>
      <c r="V7" s="1512"/>
      <c r="W7" s="1512"/>
      <c r="X7" s="1512"/>
      <c r="Y7" s="1513"/>
    </row>
    <row r="8">
      <c r="N8" s="1514" t="s">
        <v>1893</v>
      </c>
      <c r="O8" s="1515" t="s">
        <v>1894</v>
      </c>
      <c r="P8" s="1515" t="s">
        <v>1895</v>
      </c>
      <c r="Q8" s="1515" t="s">
        <v>1896</v>
      </c>
      <c r="R8" s="1515" t="s">
        <v>1897</v>
      </c>
      <c r="S8" s="1515" t="s">
        <v>1898</v>
      </c>
      <c r="T8" s="1515" t="s">
        <v>1899</v>
      </c>
      <c r="U8" s="1515" t="s">
        <v>1900</v>
      </c>
      <c r="V8" s="1515" t="s">
        <v>1901</v>
      </c>
      <c r="W8" s="1515" t="s">
        <v>1902</v>
      </c>
      <c r="X8" s="1515" t="s">
        <v>1903</v>
      </c>
      <c r="Y8" s="1515" t="s">
        <v>1904</v>
      </c>
    </row>
    <row r="9">
      <c r="B9" s="986" t="s">
        <v>1905</v>
      </c>
      <c r="C9" s="1516" t="s">
        <v>1906</v>
      </c>
      <c r="E9" s="986" t="s">
        <v>1907</v>
      </c>
      <c r="F9" s="1516" t="s">
        <v>1908</v>
      </c>
      <c r="G9" s="1516" t="s">
        <v>1909</v>
      </c>
      <c r="H9" s="1516" t="s">
        <v>1910</v>
      </c>
      <c r="I9" s="1516" t="s">
        <v>1911</v>
      </c>
      <c r="J9" s="1516" t="s">
        <v>1912</v>
      </c>
      <c r="N9" s="1514" t="s">
        <v>1913</v>
      </c>
      <c r="O9" s="1515" t="s">
        <v>1914</v>
      </c>
      <c r="P9" s="1515" t="s">
        <v>1915</v>
      </c>
      <c r="Q9" s="1515">
        <v>2.0</v>
      </c>
      <c r="R9" s="1515" t="s">
        <v>1916</v>
      </c>
      <c r="S9" s="1515" t="s">
        <v>1917</v>
      </c>
      <c r="T9" s="1515" t="s">
        <v>1915</v>
      </c>
      <c r="U9" s="1515" t="s">
        <v>1915</v>
      </c>
      <c r="V9" s="1515" t="s">
        <v>1918</v>
      </c>
      <c r="W9" s="1515" t="s">
        <v>1915</v>
      </c>
      <c r="X9" s="1515" t="s">
        <v>1919</v>
      </c>
      <c r="Y9" s="1515" t="s">
        <v>1920</v>
      </c>
    </row>
    <row r="10">
      <c r="B10" s="1517" t="s">
        <v>130</v>
      </c>
      <c r="C10" s="1518" t="str">
        <f>O26</f>
        <v>Кварцевый песок</v>
      </c>
      <c r="E10" s="1517" t="s">
        <v>1921</v>
      </c>
      <c r="F10" s="1518" t="str">
        <f>C9</f>
        <v>Лесное стекло</v>
      </c>
      <c r="G10" s="1518" t="str">
        <f>C9</f>
        <v>Лесное стекло</v>
      </c>
      <c r="H10" s="1518" t="str">
        <f>C9</f>
        <v>Лесное стекло</v>
      </c>
      <c r="I10" s="1518" t="str">
        <f>C9</f>
        <v>Лесное стекло</v>
      </c>
      <c r="J10" s="1518" t="str">
        <f>C9</f>
        <v>Лесное стекло</v>
      </c>
      <c r="K10" s="1011"/>
      <c r="N10" s="1514" t="s">
        <v>1922</v>
      </c>
      <c r="O10" s="1515" t="s">
        <v>1923</v>
      </c>
      <c r="P10" s="1515" t="s">
        <v>1915</v>
      </c>
      <c r="Q10" s="1515" t="s">
        <v>1924</v>
      </c>
      <c r="R10" s="1515" t="s">
        <v>1925</v>
      </c>
      <c r="S10" s="1515" t="s">
        <v>1926</v>
      </c>
      <c r="T10" s="1515" t="s">
        <v>1915</v>
      </c>
      <c r="U10" s="1515" t="s">
        <v>1915</v>
      </c>
      <c r="V10" s="1515">
        <v>16.0</v>
      </c>
      <c r="W10" s="1515" t="s">
        <v>1915</v>
      </c>
      <c r="X10" s="1515" t="s">
        <v>1927</v>
      </c>
      <c r="Y10" s="1515" t="s">
        <v>1928</v>
      </c>
    </row>
    <row r="11">
      <c r="B11" s="995" t="s">
        <v>1363</v>
      </c>
      <c r="C11" s="996">
        <f>'Материалы и инструменты'!D127</f>
        <v>0.03</v>
      </c>
      <c r="E11" s="995" t="s">
        <v>1363</v>
      </c>
      <c r="F11" s="996">
        <f>C16</f>
        <v>0.082</v>
      </c>
      <c r="G11" s="996">
        <f t="shared" ref="G11:J11" si="1">F11</f>
        <v>0.082</v>
      </c>
      <c r="H11" s="996">
        <f t="shared" si="1"/>
        <v>0.082</v>
      </c>
      <c r="I11" s="996">
        <f t="shared" si="1"/>
        <v>0.082</v>
      </c>
      <c r="J11" s="996">
        <f t="shared" si="1"/>
        <v>0.082</v>
      </c>
      <c r="K11" s="1011"/>
      <c r="N11" s="1514" t="s">
        <v>1929</v>
      </c>
      <c r="O11" s="1515">
        <v>74.0</v>
      </c>
      <c r="P11" s="1515" t="s">
        <v>1915</v>
      </c>
      <c r="Q11" s="1515" t="s">
        <v>1920</v>
      </c>
      <c r="R11" s="1515" t="s">
        <v>1915</v>
      </c>
      <c r="S11" s="1515" t="s">
        <v>1930</v>
      </c>
      <c r="T11" s="1515" t="s">
        <v>1915</v>
      </c>
      <c r="U11" s="1515" t="s">
        <v>1915</v>
      </c>
      <c r="V11" s="1515">
        <v>16.0</v>
      </c>
      <c r="W11" s="1515">
        <v>2.0</v>
      </c>
      <c r="X11" s="1515" t="s">
        <v>1931</v>
      </c>
      <c r="Y11" s="1515" t="s">
        <v>1915</v>
      </c>
    </row>
    <row r="12">
      <c r="B12" s="995" t="s">
        <v>1365</v>
      </c>
      <c r="C12" s="997">
        <v>1.0</v>
      </c>
      <c r="E12" s="995" t="s">
        <v>1365</v>
      </c>
      <c r="F12" s="997">
        <v>1.0</v>
      </c>
      <c r="G12" s="998">
        <v>4.0</v>
      </c>
      <c r="H12" s="998">
        <v>20.0</v>
      </c>
      <c r="I12" s="998">
        <v>3.0</v>
      </c>
      <c r="J12" s="998">
        <v>4.0</v>
      </c>
      <c r="K12" s="1011"/>
      <c r="N12" s="1514" t="s">
        <v>1932</v>
      </c>
      <c r="O12" s="1515" t="s">
        <v>1933</v>
      </c>
      <c r="P12" s="1515" t="s">
        <v>1915</v>
      </c>
      <c r="Q12" s="1515" t="s">
        <v>1934</v>
      </c>
      <c r="R12" s="1515" t="s">
        <v>1915</v>
      </c>
      <c r="S12" s="1515">
        <v>1.0</v>
      </c>
      <c r="T12" s="1515" t="s">
        <v>1915</v>
      </c>
      <c r="U12" s="1515">
        <v>27.0</v>
      </c>
      <c r="V12" s="1515">
        <v>6.0</v>
      </c>
      <c r="W12" s="1515">
        <v>10.0</v>
      </c>
      <c r="X12" s="1515" t="s">
        <v>1935</v>
      </c>
      <c r="Y12" s="1515" t="s">
        <v>1915</v>
      </c>
    </row>
    <row r="13">
      <c r="B13" s="1517" t="s">
        <v>130</v>
      </c>
      <c r="C13" s="1518" t="str">
        <f>S28</f>
        <v>Древесная зола</v>
      </c>
      <c r="E13" s="1519" t="s">
        <v>1488</v>
      </c>
      <c r="F13" s="1520">
        <f t="shared" ref="F13:J13" si="2">F19*F18+F12*F11+F16*F17</f>
        <v>0.152</v>
      </c>
      <c r="G13" s="1520">
        <f t="shared" si="2"/>
        <v>0.448</v>
      </c>
      <c r="H13" s="1520">
        <f t="shared" si="2"/>
        <v>2.24</v>
      </c>
      <c r="I13" s="1520">
        <f t="shared" si="2"/>
        <v>1.356</v>
      </c>
      <c r="J13" s="1520">
        <f t="shared" si="2"/>
        <v>1.448</v>
      </c>
      <c r="K13" s="1011"/>
      <c r="N13" s="1514" t="s">
        <v>1936</v>
      </c>
      <c r="O13" s="1515" t="s">
        <v>1937</v>
      </c>
      <c r="P13" s="1515" t="s">
        <v>1938</v>
      </c>
      <c r="Q13" s="1515" t="s">
        <v>1939</v>
      </c>
      <c r="R13" s="1515" t="s">
        <v>1915</v>
      </c>
      <c r="S13" s="1515" t="s">
        <v>1940</v>
      </c>
      <c r="T13" s="1515" t="s">
        <v>1915</v>
      </c>
      <c r="U13" s="1515" t="s">
        <v>1915</v>
      </c>
      <c r="V13" s="1515" t="s">
        <v>1941</v>
      </c>
      <c r="W13" s="1515" t="s">
        <v>1942</v>
      </c>
      <c r="X13" s="1515" t="s">
        <v>1915</v>
      </c>
      <c r="Y13" s="1515" t="s">
        <v>1915</v>
      </c>
    </row>
    <row r="14">
      <c r="B14" s="995" t="s">
        <v>1363</v>
      </c>
      <c r="C14" s="996">
        <f>'Материалы и инструменты'!F127</f>
        <v>0.01</v>
      </c>
      <c r="E14" s="999" t="s">
        <v>1400</v>
      </c>
      <c r="F14" s="1000" t="s">
        <v>1368</v>
      </c>
      <c r="G14" s="1000" t="s">
        <v>1368</v>
      </c>
      <c r="H14" s="1000" t="s">
        <v>1368</v>
      </c>
      <c r="I14" s="1000" t="s">
        <v>1368</v>
      </c>
      <c r="J14" s="1000" t="s">
        <v>1368</v>
      </c>
      <c r="N14" s="1514" t="s">
        <v>1943</v>
      </c>
      <c r="O14" s="1515" t="s">
        <v>1944</v>
      </c>
      <c r="P14" s="1515" t="s">
        <v>1915</v>
      </c>
      <c r="Q14" s="1515" t="s">
        <v>1915</v>
      </c>
      <c r="R14" s="1515" t="s">
        <v>1915</v>
      </c>
      <c r="S14" s="1515" t="s">
        <v>1915</v>
      </c>
      <c r="T14" s="1515" t="s">
        <v>1915</v>
      </c>
      <c r="U14" s="1515" t="s">
        <v>1945</v>
      </c>
      <c r="V14" s="1515" t="s">
        <v>1915</v>
      </c>
      <c r="W14" s="1515" t="s">
        <v>1946</v>
      </c>
      <c r="X14" s="1515" t="s">
        <v>1915</v>
      </c>
      <c r="Y14" s="1515" t="s">
        <v>1915</v>
      </c>
    </row>
    <row r="15">
      <c r="B15" s="995" t="s">
        <v>1365</v>
      </c>
      <c r="C15" s="998">
        <v>0.2</v>
      </c>
      <c r="E15" s="1001" t="s">
        <v>1369</v>
      </c>
      <c r="F15" s="1000" t="s">
        <v>1238</v>
      </c>
      <c r="G15" s="1000" t="s">
        <v>1238</v>
      </c>
      <c r="H15" s="1000" t="s">
        <v>1238</v>
      </c>
      <c r="I15" s="1000" t="s">
        <v>1238</v>
      </c>
      <c r="J15" s="1000" t="s">
        <v>1238</v>
      </c>
      <c r="N15" s="1514" t="s">
        <v>1947</v>
      </c>
      <c r="O15" s="1515">
        <v>96.0</v>
      </c>
      <c r="P15" s="1515" t="s">
        <v>1948</v>
      </c>
      <c r="Q15" s="1515" t="s">
        <v>1915</v>
      </c>
      <c r="R15" s="1515" t="s">
        <v>1915</v>
      </c>
      <c r="S15" s="1515" t="s">
        <v>1915</v>
      </c>
      <c r="T15" s="1515" t="s">
        <v>1915</v>
      </c>
      <c r="U15" s="1515" t="s">
        <v>1915</v>
      </c>
      <c r="V15" s="1515" t="s">
        <v>1920</v>
      </c>
      <c r="W15" s="1515" t="s">
        <v>1915</v>
      </c>
      <c r="X15" s="1515" t="s">
        <v>1915</v>
      </c>
      <c r="Y15" s="1515" t="s">
        <v>1915</v>
      </c>
    </row>
    <row r="16">
      <c r="B16" s="1519" t="s">
        <v>1488</v>
      </c>
      <c r="C16" s="1520">
        <f>C22*C21+C12*C11+C15*C14+C19*C20</f>
        <v>0.082</v>
      </c>
      <c r="E16" s="1002" t="s">
        <v>1370</v>
      </c>
      <c r="F16" s="1000">
        <f>'Материалы и инструменты'!$D$149</f>
        <v>0.01</v>
      </c>
      <c r="G16" s="1000">
        <f>'Материалы и инструменты'!$D$149</f>
        <v>0.01</v>
      </c>
      <c r="H16" s="1000">
        <f>'Материалы и инструменты'!$D$149</f>
        <v>0.01</v>
      </c>
      <c r="I16" s="1000">
        <f>'Материалы и инструменты'!$D$149</f>
        <v>0.01</v>
      </c>
      <c r="J16" s="1000">
        <f>'Материалы и инструменты'!$D$149</f>
        <v>0.01</v>
      </c>
      <c r="N16" s="1514" t="s">
        <v>1949</v>
      </c>
      <c r="O16" s="1515" t="s">
        <v>1950</v>
      </c>
      <c r="P16" s="1515" t="s">
        <v>1915</v>
      </c>
      <c r="Q16" s="1515" t="s">
        <v>1915</v>
      </c>
      <c r="R16" s="1515" t="s">
        <v>1948</v>
      </c>
      <c r="S16" s="1515" t="s">
        <v>1951</v>
      </c>
      <c r="T16" s="1515">
        <v>2.0</v>
      </c>
      <c r="U16" s="1515" t="s">
        <v>1915</v>
      </c>
      <c r="V16" s="1515" t="s">
        <v>1952</v>
      </c>
      <c r="W16" s="1515">
        <v>1.0</v>
      </c>
      <c r="X16" s="1515" t="s">
        <v>1915</v>
      </c>
      <c r="Y16" s="1515" t="s">
        <v>1915</v>
      </c>
    </row>
    <row r="17">
      <c r="B17" s="999" t="s">
        <v>1400</v>
      </c>
      <c r="C17" s="1000" t="s">
        <v>1368</v>
      </c>
      <c r="E17" s="1002" t="s">
        <v>1231</v>
      </c>
      <c r="F17" s="1003">
        <f t="shared" ref="F17:J17" si="3">F12</f>
        <v>1</v>
      </c>
      <c r="G17" s="1003">
        <f t="shared" si="3"/>
        <v>4</v>
      </c>
      <c r="H17" s="1003">
        <f t="shared" si="3"/>
        <v>20</v>
      </c>
      <c r="I17" s="1003">
        <f t="shared" si="3"/>
        <v>3</v>
      </c>
      <c r="J17" s="1003">
        <f t="shared" si="3"/>
        <v>4</v>
      </c>
      <c r="N17" s="1514" t="s">
        <v>1953</v>
      </c>
      <c r="O17" s="1515" t="s">
        <v>1954</v>
      </c>
      <c r="P17" s="1515" t="s">
        <v>1955</v>
      </c>
      <c r="Q17" s="1515" t="s">
        <v>1948</v>
      </c>
      <c r="R17" s="1515" t="s">
        <v>1915</v>
      </c>
      <c r="S17" s="1515" t="s">
        <v>1915</v>
      </c>
      <c r="T17" s="1515" t="s">
        <v>1915</v>
      </c>
      <c r="U17" s="1515" t="s">
        <v>1915</v>
      </c>
      <c r="V17" s="1515" t="s">
        <v>1939</v>
      </c>
      <c r="W17" s="1515" t="s">
        <v>1946</v>
      </c>
      <c r="X17" s="1515" t="s">
        <v>1915</v>
      </c>
      <c r="Y17" s="1515" t="s">
        <v>1915</v>
      </c>
    </row>
    <row r="18">
      <c r="B18" s="1001" t="s">
        <v>1369</v>
      </c>
      <c r="C18" s="1000" t="s">
        <v>1238</v>
      </c>
      <c r="E18" s="1004" t="s">
        <v>1371</v>
      </c>
      <c r="F18" s="1005">
        <v>3.0</v>
      </c>
      <c r="G18" s="1005">
        <v>4.0</v>
      </c>
      <c r="H18" s="1005">
        <v>5.0</v>
      </c>
      <c r="I18" s="1005">
        <v>6.0</v>
      </c>
      <c r="J18" s="1005">
        <v>6.0</v>
      </c>
      <c r="K18" s="1011"/>
      <c r="N18" s="1514" t="s">
        <v>1956</v>
      </c>
      <c r="O18" s="1515">
        <v>73.0</v>
      </c>
      <c r="P18" s="1515">
        <v>4.0</v>
      </c>
      <c r="Q18" s="1515" t="s">
        <v>1957</v>
      </c>
      <c r="R18" s="1515">
        <v>1.0</v>
      </c>
      <c r="S18" s="1515">
        <v>7.0</v>
      </c>
      <c r="T18" s="1515" t="s">
        <v>1915</v>
      </c>
      <c r="U18" s="1515" t="s">
        <v>1915</v>
      </c>
      <c r="V18" s="1515" t="s">
        <v>1940</v>
      </c>
      <c r="W18" s="1515">
        <v>2.0</v>
      </c>
      <c r="X18" s="1515" t="s">
        <v>1915</v>
      </c>
      <c r="Y18" s="1515" t="s">
        <v>1915</v>
      </c>
    </row>
    <row r="19">
      <c r="B19" s="1002" t="s">
        <v>1370</v>
      </c>
      <c r="C19" s="1000">
        <f>'Материалы и инструменты'!$D$149</f>
        <v>0.01</v>
      </c>
      <c r="E19" s="1004" t="s">
        <v>1372</v>
      </c>
      <c r="F19" s="981">
        <f t="shared" ref="F19:J19" si="4">(0.02*F20)*F20</f>
        <v>0.02</v>
      </c>
      <c r="G19" s="981">
        <f t="shared" si="4"/>
        <v>0.02</v>
      </c>
      <c r="H19" s="981">
        <f t="shared" si="4"/>
        <v>0.08</v>
      </c>
      <c r="I19" s="981">
        <f t="shared" si="4"/>
        <v>0.18</v>
      </c>
      <c r="J19" s="981">
        <f t="shared" si="4"/>
        <v>0.18</v>
      </c>
      <c r="K19" s="1011"/>
      <c r="N19" s="1514" t="s">
        <v>1958</v>
      </c>
      <c r="O19" s="1515" t="s">
        <v>1959</v>
      </c>
      <c r="P19" s="1515" t="s">
        <v>1915</v>
      </c>
      <c r="Q19" s="1515">
        <v>25.0</v>
      </c>
      <c r="R19" s="1515">
        <v>8.0</v>
      </c>
      <c r="S19" s="1515" t="s">
        <v>1960</v>
      </c>
      <c r="T19" s="1515" t="s">
        <v>1915</v>
      </c>
      <c r="U19" s="1515" t="s">
        <v>1915</v>
      </c>
      <c r="V19" s="1515" t="s">
        <v>1915</v>
      </c>
      <c r="W19" s="1515">
        <v>2.0</v>
      </c>
      <c r="X19" s="1515" t="s">
        <v>1915</v>
      </c>
      <c r="Y19" s="1515" t="s">
        <v>1915</v>
      </c>
    </row>
    <row r="20">
      <c r="B20" s="1002" t="s">
        <v>1231</v>
      </c>
      <c r="C20" s="1003">
        <f>C12</f>
        <v>1</v>
      </c>
      <c r="E20" s="1004" t="s">
        <v>1961</v>
      </c>
      <c r="F20" s="981">
        <v>1.0</v>
      </c>
      <c r="G20" s="981">
        <v>1.0</v>
      </c>
      <c r="H20" s="1005">
        <v>2.0</v>
      </c>
      <c r="I20" s="1005">
        <v>3.0</v>
      </c>
      <c r="J20" s="1005">
        <v>3.0</v>
      </c>
      <c r="K20" s="1011"/>
      <c r="N20" s="1514" t="s">
        <v>1962</v>
      </c>
      <c r="O20" s="1515" t="s">
        <v>1963</v>
      </c>
      <c r="P20" s="1515">
        <v>12.0</v>
      </c>
      <c r="Q20" s="1515">
        <v>2.0</v>
      </c>
      <c r="R20" s="1515" t="s">
        <v>1915</v>
      </c>
      <c r="S20" s="1515" t="s">
        <v>1920</v>
      </c>
      <c r="T20" s="1515" t="s">
        <v>1915</v>
      </c>
      <c r="U20" s="1515" t="s">
        <v>1915</v>
      </c>
      <c r="V20" s="1515">
        <v>4.0</v>
      </c>
      <c r="W20" s="1515">
        <v>1.0</v>
      </c>
      <c r="X20" s="1515" t="s">
        <v>1915</v>
      </c>
      <c r="Y20" s="1515" t="s">
        <v>1915</v>
      </c>
    </row>
    <row r="21">
      <c r="B21" s="1004" t="s">
        <v>1371</v>
      </c>
      <c r="C21" s="1005">
        <v>2.0</v>
      </c>
      <c r="E21" s="1006" t="s">
        <v>1964</v>
      </c>
      <c r="F21" s="1007">
        <v>10.0</v>
      </c>
      <c r="G21" s="1007">
        <v>10.0</v>
      </c>
      <c r="H21" s="1007">
        <v>12.0</v>
      </c>
      <c r="I21" s="1007">
        <v>14.0</v>
      </c>
      <c r="J21" s="1007">
        <v>14.0</v>
      </c>
      <c r="K21" s="1011"/>
      <c r="N21" s="1514" t="s">
        <v>1965</v>
      </c>
      <c r="O21" s="1515" t="s">
        <v>1966</v>
      </c>
      <c r="P21" s="1515" t="s">
        <v>1967</v>
      </c>
      <c r="Q21" s="1515" t="s">
        <v>1968</v>
      </c>
      <c r="R21" s="1515" t="s">
        <v>1969</v>
      </c>
      <c r="S21" s="1515" t="s">
        <v>1970</v>
      </c>
      <c r="T21" s="1515" t="s">
        <v>1915</v>
      </c>
      <c r="U21" s="1515" t="s">
        <v>1915</v>
      </c>
      <c r="V21" s="1515" t="s">
        <v>1915</v>
      </c>
      <c r="W21" s="1515" t="s">
        <v>1915</v>
      </c>
      <c r="X21" s="1515" t="s">
        <v>1915</v>
      </c>
      <c r="Y21" s="1515" t="s">
        <v>1915</v>
      </c>
    </row>
    <row r="22">
      <c r="B22" s="1004" t="s">
        <v>1372</v>
      </c>
      <c r="C22" s="981">
        <f>(0.02*C23)*C23</f>
        <v>0.02</v>
      </c>
      <c r="E22" s="1004" t="s">
        <v>1971</v>
      </c>
      <c r="F22" s="1008" t="s">
        <v>1237</v>
      </c>
      <c r="G22" s="1008" t="s">
        <v>1237</v>
      </c>
      <c r="H22" s="1008" t="s">
        <v>1237</v>
      </c>
      <c r="I22" s="1008" t="s">
        <v>1237</v>
      </c>
      <c r="J22" s="1008" t="s">
        <v>1237</v>
      </c>
      <c r="N22" s="1514" t="s">
        <v>1972</v>
      </c>
      <c r="O22" s="1515">
        <v>12.0</v>
      </c>
      <c r="P22" s="1515" t="s">
        <v>1915</v>
      </c>
      <c r="Q22" s="1515" t="s">
        <v>1915</v>
      </c>
      <c r="R22" s="1515" t="s">
        <v>1915</v>
      </c>
      <c r="S22" s="1515" t="s">
        <v>1915</v>
      </c>
      <c r="T22" s="1515" t="s">
        <v>1915</v>
      </c>
      <c r="U22" s="1515">
        <v>86.0</v>
      </c>
      <c r="V22" s="1515" t="s">
        <v>1915</v>
      </c>
      <c r="W22" s="1515">
        <v>2.0</v>
      </c>
      <c r="X22" s="1515" t="s">
        <v>1915</v>
      </c>
      <c r="Y22" s="1515" t="s">
        <v>1915</v>
      </c>
    </row>
    <row r="23">
      <c r="B23" s="1004" t="s">
        <v>1961</v>
      </c>
      <c r="C23" s="981">
        <v>1.0</v>
      </c>
      <c r="E23" s="1517" t="s">
        <v>1973</v>
      </c>
      <c r="F23" s="1518" t="str">
        <f t="shared" ref="F23:J23" si="5">F10</f>
        <v>Лесное стекло</v>
      </c>
      <c r="G23" s="1518" t="str">
        <f t="shared" si="5"/>
        <v>Лесное стекло</v>
      </c>
      <c r="H23" s="1518" t="str">
        <f t="shared" si="5"/>
        <v>Лесное стекло</v>
      </c>
      <c r="I23" s="1518" t="str">
        <f t="shared" si="5"/>
        <v>Лесное стекло</v>
      </c>
      <c r="J23" s="1518" t="str">
        <f t="shared" si="5"/>
        <v>Лесное стекло</v>
      </c>
      <c r="K23" s="1044">
        <v>1.5</v>
      </c>
      <c r="N23" s="1514" t="s">
        <v>1974</v>
      </c>
      <c r="O23" s="1515" t="s">
        <v>1975</v>
      </c>
      <c r="P23" s="1515">
        <v>4.0</v>
      </c>
      <c r="Q23" s="1515" t="s">
        <v>1976</v>
      </c>
      <c r="R23" s="1515" t="s">
        <v>1915</v>
      </c>
      <c r="S23" s="1515" t="s">
        <v>1977</v>
      </c>
      <c r="T23" s="1515" t="s">
        <v>1978</v>
      </c>
      <c r="U23" s="1515" t="s">
        <v>1915</v>
      </c>
      <c r="V23" s="1515">
        <v>1.0</v>
      </c>
      <c r="W23" s="1515" t="s">
        <v>1979</v>
      </c>
      <c r="X23" s="1515" t="s">
        <v>1915</v>
      </c>
      <c r="Y23" s="1515" t="s">
        <v>1915</v>
      </c>
    </row>
    <row r="24">
      <c r="B24" s="1006" t="s">
        <v>1964</v>
      </c>
      <c r="C24" s="1007">
        <v>10.0</v>
      </c>
      <c r="E24" s="995" t="s">
        <v>1363</v>
      </c>
      <c r="F24" s="996">
        <f>C26</f>
        <v>0.362</v>
      </c>
      <c r="G24" s="996">
        <f t="shared" ref="G24:J24" si="6">F24</f>
        <v>0.362</v>
      </c>
      <c r="H24" s="996">
        <f t="shared" si="6"/>
        <v>0.362</v>
      </c>
      <c r="I24" s="996">
        <f t="shared" si="6"/>
        <v>0.362</v>
      </c>
      <c r="J24" s="996">
        <f t="shared" si="6"/>
        <v>0.362</v>
      </c>
      <c r="K24" s="1011"/>
      <c r="N24" s="1514" t="s">
        <v>1980</v>
      </c>
      <c r="O24" s="1515">
        <v>71.0</v>
      </c>
      <c r="P24" s="1515" t="s">
        <v>1915</v>
      </c>
      <c r="Q24" s="1515">
        <v>3.0</v>
      </c>
      <c r="R24" s="1515">
        <v>3.0</v>
      </c>
      <c r="S24" s="1515">
        <v>8.0</v>
      </c>
      <c r="T24" s="1515" t="s">
        <v>1915</v>
      </c>
      <c r="U24" s="1515" t="s">
        <v>1915</v>
      </c>
      <c r="V24" s="1515">
        <v>15.0</v>
      </c>
      <c r="W24" s="1515" t="s">
        <v>1915</v>
      </c>
      <c r="X24" s="1515" t="s">
        <v>1915</v>
      </c>
      <c r="Y24" s="1515" t="s">
        <v>1915</v>
      </c>
    </row>
    <row r="25">
      <c r="B25" s="1004" t="s">
        <v>1971</v>
      </c>
      <c r="C25" s="1008" t="s">
        <v>1237</v>
      </c>
      <c r="E25" s="995" t="s">
        <v>1365</v>
      </c>
      <c r="F25" s="997">
        <v>1.0</v>
      </c>
      <c r="G25" s="998">
        <v>4.0</v>
      </c>
      <c r="H25" s="998">
        <v>20.0</v>
      </c>
      <c r="I25" s="998">
        <v>3.0</v>
      </c>
      <c r="J25" s="998">
        <v>4.0</v>
      </c>
      <c r="K25" s="1011"/>
    </row>
    <row r="26">
      <c r="B26" s="1519" t="s">
        <v>1494</v>
      </c>
      <c r="C26" s="1521">
        <f>C27*C28+C11*C12+C15*C14+C19*C20</f>
        <v>0.362</v>
      </c>
      <c r="E26" s="1519" t="s">
        <v>1494</v>
      </c>
      <c r="F26" s="1521">
        <f t="shared" ref="F26:J26" si="7">F27*F28+F24*F25+F16*F17</f>
        <v>0.732</v>
      </c>
      <c r="G26" s="1521">
        <f t="shared" si="7"/>
        <v>1.968</v>
      </c>
      <c r="H26" s="1521">
        <f t="shared" si="7"/>
        <v>8.79</v>
      </c>
      <c r="I26" s="1521">
        <f t="shared" si="7"/>
        <v>3.996</v>
      </c>
      <c r="J26" s="1521">
        <f t="shared" si="7"/>
        <v>4.368</v>
      </c>
      <c r="K26" s="1011"/>
      <c r="O26" s="1522" t="s">
        <v>1981</v>
      </c>
      <c r="S26" s="1522" t="s">
        <v>1982</v>
      </c>
      <c r="U26" s="1522" t="s">
        <v>1983</v>
      </c>
      <c r="V26" s="1522" t="s">
        <v>1984</v>
      </c>
    </row>
    <row r="27">
      <c r="B27" s="1004" t="s">
        <v>1371</v>
      </c>
      <c r="C27" s="981">
        <f>C21*2</f>
        <v>4</v>
      </c>
      <c r="E27" s="1004" t="s">
        <v>1371</v>
      </c>
      <c r="F27" s="981">
        <f t="shared" ref="F27:J27" si="8">F18*$K$47</f>
        <v>4.5</v>
      </c>
      <c r="G27" s="981">
        <f t="shared" si="8"/>
        <v>6</v>
      </c>
      <c r="H27" s="981">
        <f t="shared" si="8"/>
        <v>7.5</v>
      </c>
      <c r="I27" s="981">
        <f t="shared" si="8"/>
        <v>9</v>
      </c>
      <c r="J27" s="981">
        <f t="shared" si="8"/>
        <v>9</v>
      </c>
      <c r="K27" s="1011"/>
      <c r="S27" s="1523" t="s">
        <v>1985</v>
      </c>
      <c r="U27" s="1522" t="s">
        <v>1986</v>
      </c>
      <c r="V27" s="1522" t="s">
        <v>1987</v>
      </c>
    </row>
    <row r="28">
      <c r="B28" s="1004" t="s">
        <v>1372</v>
      </c>
      <c r="C28" s="981">
        <f>(0.02*C29)*C29</f>
        <v>0.08</v>
      </c>
      <c r="E28" s="1004" t="s">
        <v>1372</v>
      </c>
      <c r="F28" s="981">
        <f t="shared" ref="F28:J28" si="9">(0.02*F29)*F29</f>
        <v>0.08</v>
      </c>
      <c r="G28" s="981">
        <f t="shared" si="9"/>
        <v>0.08</v>
      </c>
      <c r="H28" s="981">
        <f t="shared" si="9"/>
        <v>0.18</v>
      </c>
      <c r="I28" s="981">
        <f t="shared" si="9"/>
        <v>0.32</v>
      </c>
      <c r="J28" s="981">
        <f t="shared" si="9"/>
        <v>0.32</v>
      </c>
      <c r="K28" s="1011"/>
      <c r="S28" s="1523" t="s">
        <v>1988</v>
      </c>
    </row>
    <row r="29">
      <c r="B29" s="1004" t="s">
        <v>1961</v>
      </c>
      <c r="C29" s="981">
        <v>2.0</v>
      </c>
      <c r="E29" s="1004" t="s">
        <v>1961</v>
      </c>
      <c r="F29" s="981">
        <v>2.0</v>
      </c>
      <c r="G29" s="981">
        <v>2.0</v>
      </c>
      <c r="H29" s="1005">
        <v>3.0</v>
      </c>
      <c r="I29" s="1005">
        <v>4.0</v>
      </c>
      <c r="J29" s="1005">
        <v>4.0</v>
      </c>
      <c r="K29" s="1011"/>
    </row>
    <row r="30">
      <c r="B30" s="1006" t="s">
        <v>1964</v>
      </c>
      <c r="C30" s="1007">
        <v>12.0</v>
      </c>
      <c r="E30" s="1006" t="s">
        <v>1964</v>
      </c>
      <c r="F30" s="1007">
        <v>12.0</v>
      </c>
      <c r="G30" s="1007">
        <v>12.0</v>
      </c>
      <c r="H30" s="1007">
        <v>14.0</v>
      </c>
      <c r="I30" s="1007">
        <v>16.0</v>
      </c>
      <c r="J30" s="1007">
        <v>16.0</v>
      </c>
      <c r="K30" s="1011"/>
    </row>
    <row r="31">
      <c r="B31" s="1004" t="s">
        <v>1971</v>
      </c>
      <c r="C31" s="1008" t="s">
        <v>1237</v>
      </c>
      <c r="E31" s="1004" t="s">
        <v>1971</v>
      </c>
      <c r="F31" s="1008" t="s">
        <v>1237</v>
      </c>
      <c r="G31" s="1008" t="s">
        <v>1237</v>
      </c>
      <c r="H31" s="1008" t="s">
        <v>1237</v>
      </c>
      <c r="I31" s="953" t="s">
        <v>1250</v>
      </c>
      <c r="J31" s="953" t="s">
        <v>1250</v>
      </c>
      <c r="K31" s="1011"/>
    </row>
    <row r="33">
      <c r="B33" s="986" t="s">
        <v>1905</v>
      </c>
      <c r="C33" s="1516" t="s">
        <v>1989</v>
      </c>
      <c r="E33" s="986" t="s">
        <v>1907</v>
      </c>
      <c r="F33" s="1516" t="s">
        <v>1908</v>
      </c>
      <c r="G33" s="1516" t="s">
        <v>1909</v>
      </c>
      <c r="H33" s="1516" t="s">
        <v>1910</v>
      </c>
      <c r="I33" s="1516" t="s">
        <v>1911</v>
      </c>
      <c r="J33" s="1516" t="s">
        <v>1912</v>
      </c>
      <c r="K33" s="1011"/>
    </row>
    <row r="34">
      <c r="B34" s="1517" t="s">
        <v>130</v>
      </c>
      <c r="C34" s="1518" t="str">
        <f>O26</f>
        <v>Кварцевый песок</v>
      </c>
      <c r="E34" s="1517" t="s">
        <v>1921</v>
      </c>
      <c r="F34" s="1518" t="str">
        <f>C33</f>
        <v>Содовое стекло</v>
      </c>
      <c r="G34" s="1518" t="str">
        <f>C33</f>
        <v>Содовое стекло</v>
      </c>
      <c r="H34" s="1518" t="str">
        <f>C33</f>
        <v>Содовое стекло</v>
      </c>
      <c r="I34" s="1518" t="str">
        <f>C33</f>
        <v>Содовое стекло</v>
      </c>
      <c r="J34" s="1518" t="str">
        <f>C33</f>
        <v>Содовое стекло</v>
      </c>
      <c r="K34" s="1011"/>
    </row>
    <row r="35">
      <c r="B35" s="995" t="s">
        <v>1363</v>
      </c>
      <c r="C35" s="996">
        <f>'Материалы и инструменты'!D127</f>
        <v>0.03</v>
      </c>
      <c r="E35" s="995" t="s">
        <v>1363</v>
      </c>
      <c r="F35" s="996">
        <f>C40</f>
        <v>0.22</v>
      </c>
      <c r="G35" s="996">
        <f t="shared" ref="G35:J35" si="10">F35</f>
        <v>0.22</v>
      </c>
      <c r="H35" s="996">
        <f t="shared" si="10"/>
        <v>0.22</v>
      </c>
      <c r="I35" s="996">
        <f t="shared" si="10"/>
        <v>0.22</v>
      </c>
      <c r="J35" s="996">
        <f t="shared" si="10"/>
        <v>0.22</v>
      </c>
      <c r="K35" s="1011"/>
    </row>
    <row r="36">
      <c r="B36" s="995" t="s">
        <v>1365</v>
      </c>
      <c r="C36" s="997">
        <v>1.0</v>
      </c>
      <c r="E36" s="995" t="s">
        <v>1365</v>
      </c>
      <c r="F36" s="997">
        <v>1.0</v>
      </c>
      <c r="G36" s="998">
        <v>4.0</v>
      </c>
      <c r="H36" s="998">
        <v>20.0</v>
      </c>
      <c r="I36" s="998">
        <v>3.0</v>
      </c>
      <c r="J36" s="998">
        <v>4.0</v>
      </c>
      <c r="K36" s="1011"/>
    </row>
    <row r="37">
      <c r="B37" s="1517" t="s">
        <v>130</v>
      </c>
      <c r="C37" s="1518" t="str">
        <f>V27</f>
        <v>Зола морских водорослей</v>
      </c>
      <c r="E37" s="1519" t="s">
        <v>1488</v>
      </c>
      <c r="F37" s="1520">
        <f t="shared" ref="F37:J37" si="11">F43*F42+F36*F35+F40*F41</f>
        <v>0.29</v>
      </c>
      <c r="G37" s="1520">
        <f t="shared" si="11"/>
        <v>1</v>
      </c>
      <c r="H37" s="1520">
        <f t="shared" si="11"/>
        <v>5</v>
      </c>
      <c r="I37" s="1520">
        <f t="shared" si="11"/>
        <v>1.77</v>
      </c>
      <c r="J37" s="1520">
        <f t="shared" si="11"/>
        <v>2</v>
      </c>
      <c r="K37" s="1011"/>
    </row>
    <row r="38">
      <c r="B38" s="995" t="s">
        <v>1363</v>
      </c>
      <c r="C38" s="996">
        <f>'Материалы и инструменты'!E127</f>
        <v>0.1</v>
      </c>
      <c r="E38" s="999" t="s">
        <v>1400</v>
      </c>
      <c r="F38" s="1000" t="s">
        <v>1368</v>
      </c>
      <c r="G38" s="1000" t="s">
        <v>1368</v>
      </c>
      <c r="H38" s="1000" t="s">
        <v>1368</v>
      </c>
      <c r="I38" s="1000" t="s">
        <v>1368</v>
      </c>
      <c r="J38" s="1000" t="s">
        <v>1368</v>
      </c>
    </row>
    <row r="39">
      <c r="B39" s="995" t="s">
        <v>1365</v>
      </c>
      <c r="C39" s="998">
        <v>0.2</v>
      </c>
      <c r="E39" s="1001" t="s">
        <v>1369</v>
      </c>
      <c r="F39" s="1000" t="s">
        <v>1238</v>
      </c>
      <c r="G39" s="1000" t="s">
        <v>1238</v>
      </c>
      <c r="H39" s="1000" t="s">
        <v>1238</v>
      </c>
      <c r="I39" s="1000" t="s">
        <v>1238</v>
      </c>
      <c r="J39" s="1000" t="s">
        <v>1238</v>
      </c>
    </row>
    <row r="40">
      <c r="B40" s="1519" t="s">
        <v>1990</v>
      </c>
      <c r="C40" s="1520">
        <f>C46*C45+C36*C35+C39*C38+C43*C44</f>
        <v>0.22</v>
      </c>
      <c r="E40" s="1002" t="s">
        <v>1370</v>
      </c>
      <c r="F40" s="1000">
        <f>'Материалы и инструменты'!$D$149</f>
        <v>0.01</v>
      </c>
      <c r="G40" s="1000">
        <f>'Материалы и инструменты'!$D$149</f>
        <v>0.01</v>
      </c>
      <c r="H40" s="1000">
        <f>'Материалы и инструменты'!$D$149</f>
        <v>0.01</v>
      </c>
      <c r="I40" s="1000">
        <f>'Материалы и инструменты'!$D$149</f>
        <v>0.01</v>
      </c>
      <c r="J40" s="1000">
        <f>'Материалы и инструменты'!$D$149</f>
        <v>0.01</v>
      </c>
    </row>
    <row r="41">
      <c r="B41" s="999" t="s">
        <v>1400</v>
      </c>
      <c r="C41" s="1000" t="s">
        <v>1368</v>
      </c>
      <c r="E41" s="1002" t="s">
        <v>1231</v>
      </c>
      <c r="F41" s="1003">
        <f t="shared" ref="F41:J41" si="12">F36</f>
        <v>1</v>
      </c>
      <c r="G41" s="1003">
        <f t="shared" si="12"/>
        <v>4</v>
      </c>
      <c r="H41" s="1003">
        <f t="shared" si="12"/>
        <v>20</v>
      </c>
      <c r="I41" s="1003">
        <f t="shared" si="12"/>
        <v>3</v>
      </c>
      <c r="J41" s="1003">
        <f t="shared" si="12"/>
        <v>4</v>
      </c>
    </row>
    <row r="42">
      <c r="B42" s="1001" t="s">
        <v>1369</v>
      </c>
      <c r="C42" s="1000" t="s">
        <v>1238</v>
      </c>
      <c r="E42" s="1004" t="s">
        <v>1371</v>
      </c>
      <c r="F42" s="1005">
        <v>3.0</v>
      </c>
      <c r="G42" s="1005">
        <v>4.0</v>
      </c>
      <c r="H42" s="1005">
        <v>5.0</v>
      </c>
      <c r="I42" s="1005">
        <v>6.0</v>
      </c>
      <c r="J42" s="1005">
        <v>6.0</v>
      </c>
      <c r="K42" s="1011"/>
    </row>
    <row r="43">
      <c r="B43" s="1002" t="s">
        <v>1370</v>
      </c>
      <c r="C43" s="1000">
        <f>'Материалы и инструменты'!$D$149</f>
        <v>0.01</v>
      </c>
      <c r="E43" s="1004" t="s">
        <v>1372</v>
      </c>
      <c r="F43" s="981">
        <f t="shared" ref="F43:J43" si="13">(0.02*F44)*F44</f>
        <v>0.02</v>
      </c>
      <c r="G43" s="981">
        <f t="shared" si="13"/>
        <v>0.02</v>
      </c>
      <c r="H43" s="981">
        <f t="shared" si="13"/>
        <v>0.08</v>
      </c>
      <c r="I43" s="981">
        <f t="shared" si="13"/>
        <v>0.18</v>
      </c>
      <c r="J43" s="981">
        <f t="shared" si="13"/>
        <v>0.18</v>
      </c>
      <c r="K43" s="1011"/>
    </row>
    <row r="44">
      <c r="B44" s="1002" t="s">
        <v>1231</v>
      </c>
      <c r="C44" s="1003">
        <f>C36</f>
        <v>1</v>
      </c>
      <c r="E44" s="1004" t="s">
        <v>1961</v>
      </c>
      <c r="F44" s="981">
        <v>1.0</v>
      </c>
      <c r="G44" s="981">
        <v>1.0</v>
      </c>
      <c r="H44" s="1005">
        <v>2.0</v>
      </c>
      <c r="I44" s="1005">
        <v>3.0</v>
      </c>
      <c r="J44" s="1005">
        <v>3.0</v>
      </c>
      <c r="K44" s="1011"/>
    </row>
    <row r="45">
      <c r="B45" s="1004" t="s">
        <v>1371</v>
      </c>
      <c r="C45" s="1005">
        <v>2.0</v>
      </c>
      <c r="E45" s="1006" t="s">
        <v>1964</v>
      </c>
      <c r="F45" s="1007">
        <v>10.0</v>
      </c>
      <c r="G45" s="1007">
        <v>10.0</v>
      </c>
      <c r="H45" s="1007">
        <v>12.0</v>
      </c>
      <c r="I45" s="1007">
        <v>14.0</v>
      </c>
      <c r="J45" s="1007">
        <v>14.0</v>
      </c>
      <c r="K45" s="1011"/>
    </row>
    <row r="46">
      <c r="B46" s="1004" t="s">
        <v>1372</v>
      </c>
      <c r="C46" s="981">
        <f>(0.02*C47)*C47</f>
        <v>0.08</v>
      </c>
      <c r="E46" s="1004" t="s">
        <v>1971</v>
      </c>
      <c r="F46" s="1008" t="s">
        <v>1237</v>
      </c>
      <c r="G46" s="1008" t="s">
        <v>1237</v>
      </c>
      <c r="H46" s="1008" t="s">
        <v>1237</v>
      </c>
      <c r="I46" s="1008" t="s">
        <v>1237</v>
      </c>
      <c r="J46" s="1008" t="s">
        <v>1237</v>
      </c>
    </row>
    <row r="47">
      <c r="B47" s="1004" t="s">
        <v>1961</v>
      </c>
      <c r="C47" s="1005">
        <v>2.0</v>
      </c>
      <c r="E47" s="1517" t="s">
        <v>1973</v>
      </c>
      <c r="F47" s="1518" t="str">
        <f t="shared" ref="F47:J47" si="14">F34</f>
        <v>Содовое стекло</v>
      </c>
      <c r="G47" s="1518" t="str">
        <f t="shared" si="14"/>
        <v>Содовое стекло</v>
      </c>
      <c r="H47" s="1518" t="str">
        <f t="shared" si="14"/>
        <v>Содовое стекло</v>
      </c>
      <c r="I47" s="1518" t="str">
        <f t="shared" si="14"/>
        <v>Содовое стекло</v>
      </c>
      <c r="J47" s="1518" t="str">
        <f t="shared" si="14"/>
        <v>Содовое стекло</v>
      </c>
      <c r="K47" s="1044">
        <v>1.5</v>
      </c>
    </row>
    <row r="48">
      <c r="B48" s="1006" t="s">
        <v>1964</v>
      </c>
      <c r="C48" s="1007">
        <v>12.0</v>
      </c>
      <c r="E48" s="995" t="s">
        <v>1363</v>
      </c>
      <c r="F48" s="996">
        <f>C50</f>
        <v>0.78</v>
      </c>
      <c r="G48" s="996">
        <f t="shared" ref="G48:J48" si="15">F48</f>
        <v>0.78</v>
      </c>
      <c r="H48" s="996">
        <f t="shared" si="15"/>
        <v>0.78</v>
      </c>
      <c r="I48" s="996">
        <f t="shared" si="15"/>
        <v>0.78</v>
      </c>
      <c r="J48" s="996">
        <f t="shared" si="15"/>
        <v>0.78</v>
      </c>
      <c r="K48" s="1011"/>
    </row>
    <row r="49">
      <c r="B49" s="1004" t="s">
        <v>1971</v>
      </c>
      <c r="C49" s="1008" t="s">
        <v>1237</v>
      </c>
      <c r="E49" s="995" t="s">
        <v>1365</v>
      </c>
      <c r="F49" s="997">
        <v>1.0</v>
      </c>
      <c r="G49" s="998">
        <v>4.0</v>
      </c>
      <c r="H49" s="998">
        <v>20.0</v>
      </c>
      <c r="I49" s="998">
        <v>3.0</v>
      </c>
      <c r="J49" s="998">
        <v>4.0</v>
      </c>
      <c r="K49" s="1011"/>
    </row>
    <row r="50">
      <c r="B50" s="1519" t="s">
        <v>1991</v>
      </c>
      <c r="C50" s="1521">
        <f>C51*C52+C35*C36+C39*C38+C43*C44</f>
        <v>0.78</v>
      </c>
      <c r="E50" s="1519" t="s">
        <v>1494</v>
      </c>
      <c r="F50" s="1521">
        <f t="shared" ref="F50:J50" si="16">F51*F52+F48*F49+F40*F41</f>
        <v>1.15</v>
      </c>
      <c r="G50" s="1521">
        <f t="shared" si="16"/>
        <v>3.64</v>
      </c>
      <c r="H50" s="1521">
        <f t="shared" si="16"/>
        <v>17.15</v>
      </c>
      <c r="I50" s="1521">
        <f t="shared" si="16"/>
        <v>5.25</v>
      </c>
      <c r="J50" s="1521">
        <f t="shared" si="16"/>
        <v>6.04</v>
      </c>
      <c r="K50" s="1011"/>
    </row>
    <row r="51">
      <c r="B51" s="1004" t="s">
        <v>1371</v>
      </c>
      <c r="C51" s="1005">
        <f>C45*2</f>
        <v>4</v>
      </c>
      <c r="E51" s="1004" t="s">
        <v>1371</v>
      </c>
      <c r="F51" s="981">
        <f t="shared" ref="F51:J51" si="17">F42*$K$47</f>
        <v>4.5</v>
      </c>
      <c r="G51" s="981">
        <f t="shared" si="17"/>
        <v>6</v>
      </c>
      <c r="H51" s="981">
        <f t="shared" si="17"/>
        <v>7.5</v>
      </c>
      <c r="I51" s="981">
        <f t="shared" si="17"/>
        <v>9</v>
      </c>
      <c r="J51" s="981">
        <f t="shared" si="17"/>
        <v>9</v>
      </c>
      <c r="K51" s="1011"/>
    </row>
    <row r="52">
      <c r="B52" s="1004" t="s">
        <v>1372</v>
      </c>
      <c r="C52" s="981">
        <f>(0.02*C53)*C53</f>
        <v>0.18</v>
      </c>
      <c r="E52" s="1004" t="s">
        <v>1372</v>
      </c>
      <c r="F52" s="981">
        <f t="shared" ref="F52:J52" si="18">(0.02*F53)*F53</f>
        <v>0.08</v>
      </c>
      <c r="G52" s="981">
        <f t="shared" si="18"/>
        <v>0.08</v>
      </c>
      <c r="H52" s="981">
        <f t="shared" si="18"/>
        <v>0.18</v>
      </c>
      <c r="I52" s="981">
        <f t="shared" si="18"/>
        <v>0.32</v>
      </c>
      <c r="J52" s="981">
        <f t="shared" si="18"/>
        <v>0.32</v>
      </c>
      <c r="K52" s="1011"/>
    </row>
    <row r="53">
      <c r="B53" s="1004" t="s">
        <v>1961</v>
      </c>
      <c r="C53" s="1005">
        <v>3.0</v>
      </c>
      <c r="E53" s="1004" t="s">
        <v>1961</v>
      </c>
      <c r="F53" s="981">
        <v>2.0</v>
      </c>
      <c r="G53" s="981">
        <v>2.0</v>
      </c>
      <c r="H53" s="1005">
        <v>3.0</v>
      </c>
      <c r="I53" s="1005">
        <v>4.0</v>
      </c>
      <c r="J53" s="1005">
        <v>4.0</v>
      </c>
      <c r="K53" s="1011"/>
    </row>
    <row r="54">
      <c r="B54" s="1006" t="s">
        <v>1964</v>
      </c>
      <c r="C54" s="1007">
        <v>14.0</v>
      </c>
      <c r="E54" s="1006" t="s">
        <v>1964</v>
      </c>
      <c r="F54" s="1007">
        <v>12.0</v>
      </c>
      <c r="G54" s="1007">
        <v>12.0</v>
      </c>
      <c r="H54" s="1007">
        <v>14.0</v>
      </c>
      <c r="I54" s="1007">
        <v>16.0</v>
      </c>
      <c r="J54" s="1007">
        <v>16.0</v>
      </c>
      <c r="K54" s="1011"/>
      <c r="L54" s="984"/>
    </row>
    <row r="55">
      <c r="B55" s="1004" t="s">
        <v>1971</v>
      </c>
      <c r="C55" s="1008" t="s">
        <v>1237</v>
      </c>
      <c r="E55" s="1004" t="s">
        <v>1971</v>
      </c>
      <c r="F55" s="1008" t="s">
        <v>1237</v>
      </c>
      <c r="G55" s="1008" t="s">
        <v>1237</v>
      </c>
      <c r="H55" s="1008" t="s">
        <v>1237</v>
      </c>
      <c r="I55" s="953" t="s">
        <v>1250</v>
      </c>
      <c r="J55" s="953" t="s">
        <v>1250</v>
      </c>
      <c r="K55" s="1011"/>
    </row>
    <row r="57">
      <c r="B57" s="986" t="s">
        <v>1905</v>
      </c>
      <c r="C57" s="1516" t="s">
        <v>1992</v>
      </c>
      <c r="E57" s="986" t="s">
        <v>1907</v>
      </c>
      <c r="F57" s="1516" t="s">
        <v>1932</v>
      </c>
      <c r="G57" s="1516" t="s">
        <v>1993</v>
      </c>
      <c r="H57" s="1516" t="s">
        <v>1994</v>
      </c>
      <c r="I57" s="1516" t="s">
        <v>1995</v>
      </c>
      <c r="J57" s="1516" t="s">
        <v>1996</v>
      </c>
      <c r="K57" s="1011"/>
    </row>
    <row r="58">
      <c r="B58" s="1517" t="s">
        <v>130</v>
      </c>
      <c r="C58" s="1518" t="str">
        <f>O26</f>
        <v>Кварцевый песок</v>
      </c>
      <c r="E58" s="1517" t="s">
        <v>1921</v>
      </c>
      <c r="F58" s="1518" t="str">
        <f>C57</f>
        <v>Свинцовое стекло</v>
      </c>
      <c r="G58" s="1518" t="s">
        <v>1932</v>
      </c>
      <c r="H58" s="1518" t="str">
        <f>C57</f>
        <v>Свинцовое стекло</v>
      </c>
      <c r="I58" s="1518" t="str">
        <f>H57</f>
        <v>Линза</v>
      </c>
      <c r="J58" s="1518" t="str">
        <f>H57</f>
        <v>Линза</v>
      </c>
      <c r="K58" s="1011"/>
    </row>
    <row r="59">
      <c r="B59" s="995" t="s">
        <v>1363</v>
      </c>
      <c r="C59" s="996">
        <f>'Материалы и инструменты'!D127</f>
        <v>0.03</v>
      </c>
      <c r="E59" s="995" t="s">
        <v>1363</v>
      </c>
      <c r="F59" s="996">
        <f>C64</f>
        <v>0.484</v>
      </c>
      <c r="G59" s="996">
        <f>F61</f>
        <v>1.748</v>
      </c>
      <c r="H59" s="996">
        <f>F59</f>
        <v>0.484</v>
      </c>
      <c r="I59" s="996">
        <f>H61</f>
        <v>0.914</v>
      </c>
      <c r="J59" s="996">
        <f>H61</f>
        <v>0.914</v>
      </c>
      <c r="K59" s="1011"/>
    </row>
    <row r="60">
      <c r="B60" s="995" t="s">
        <v>1365</v>
      </c>
      <c r="C60" s="997">
        <v>1.0</v>
      </c>
      <c r="E60" s="995" t="s">
        <v>1365</v>
      </c>
      <c r="F60" s="998">
        <v>2.0</v>
      </c>
      <c r="G60" s="998">
        <v>2.0</v>
      </c>
      <c r="H60" s="998">
        <v>1.0</v>
      </c>
      <c r="I60" s="998">
        <v>2.0</v>
      </c>
      <c r="J60" s="998">
        <v>2.0</v>
      </c>
      <c r="K60" s="1011"/>
    </row>
    <row r="61">
      <c r="B61" s="1517" t="s">
        <v>130</v>
      </c>
      <c r="C61" s="1518" t="str">
        <f>U27</f>
        <v>Свинцовый порошок</v>
      </c>
      <c r="E61" s="1519" t="s">
        <v>1488</v>
      </c>
      <c r="F61" s="1520">
        <f t="shared" ref="F61:J61" si="19">F67*F66+F60*F59+F64*F65</f>
        <v>1.748</v>
      </c>
      <c r="G61" s="1520">
        <f t="shared" si="19"/>
        <v>6.516</v>
      </c>
      <c r="H61" s="1520">
        <f t="shared" si="19"/>
        <v>0.914</v>
      </c>
      <c r="I61" s="1520">
        <f t="shared" si="19"/>
        <v>2.328</v>
      </c>
      <c r="J61" s="1520">
        <f t="shared" si="19"/>
        <v>2.928</v>
      </c>
      <c r="K61" s="1011"/>
    </row>
    <row r="62">
      <c r="B62" s="995" t="s">
        <v>1363</v>
      </c>
      <c r="C62" s="996">
        <f>'Материалы и инструменты'!G127</f>
        <v>0.12</v>
      </c>
      <c r="E62" s="999" t="s">
        <v>1400</v>
      </c>
      <c r="F62" s="1000" t="s">
        <v>1368</v>
      </c>
      <c r="G62" s="1000" t="s">
        <v>1368</v>
      </c>
      <c r="H62" s="1000" t="s">
        <v>1368</v>
      </c>
      <c r="I62" s="1000" t="s">
        <v>1368</v>
      </c>
      <c r="J62" s="1000" t="s">
        <v>1368</v>
      </c>
    </row>
    <row r="63">
      <c r="B63" s="995" t="s">
        <v>1365</v>
      </c>
      <c r="C63" s="998">
        <v>0.2</v>
      </c>
      <c r="E63" s="1001" t="s">
        <v>1369</v>
      </c>
      <c r="F63" s="1000" t="str">
        <f>'Материалы и инструменты'!$E$148</f>
        <v>Древесный уголь</v>
      </c>
      <c r="G63" s="1000" t="str">
        <f>'Материалы и инструменты'!$E$148</f>
        <v>Древесный уголь</v>
      </c>
      <c r="H63" s="1000" t="str">
        <f>'Материалы и инструменты'!$E$148</f>
        <v>Древесный уголь</v>
      </c>
      <c r="I63" s="1000" t="str">
        <f>'Материалы и инструменты'!$E$148</f>
        <v>Древесный уголь</v>
      </c>
      <c r="J63" s="1000" t="str">
        <f>'Материалы и инструменты'!$E$148</f>
        <v>Древесный уголь</v>
      </c>
    </row>
    <row r="64">
      <c r="B64" s="1519" t="s">
        <v>1488</v>
      </c>
      <c r="C64" s="1520">
        <f>C70*C69+C60*C59+C63*C62+C67*C68</f>
        <v>0.484</v>
      </c>
      <c r="E64" s="1002" t="s">
        <v>1370</v>
      </c>
      <c r="F64" s="1505">
        <f>'Материалы и инструменты'!$E$149</f>
        <v>0.07</v>
      </c>
      <c r="G64" s="1505">
        <f>'Материалы и инструменты'!$E$149</f>
        <v>0.07</v>
      </c>
      <c r="H64" s="1505">
        <f>'Материалы и инструменты'!$E$149</f>
        <v>0.07</v>
      </c>
      <c r="I64" s="1505">
        <f>'Материалы и инструменты'!$E$149</f>
        <v>0.07</v>
      </c>
      <c r="J64" s="1505">
        <f>'Материалы и инструменты'!$E$149</f>
        <v>0.07</v>
      </c>
    </row>
    <row r="65">
      <c r="B65" s="999" t="s">
        <v>1400</v>
      </c>
      <c r="C65" s="1000" t="s">
        <v>1368</v>
      </c>
      <c r="E65" s="1002" t="s">
        <v>1231</v>
      </c>
      <c r="F65" s="1003">
        <f t="shared" ref="F65:J65" si="20">F60</f>
        <v>2</v>
      </c>
      <c r="G65" s="1003">
        <f t="shared" si="20"/>
        <v>2</v>
      </c>
      <c r="H65" s="1003">
        <f t="shared" si="20"/>
        <v>1</v>
      </c>
      <c r="I65" s="1003">
        <f t="shared" si="20"/>
        <v>2</v>
      </c>
      <c r="J65" s="1003">
        <f t="shared" si="20"/>
        <v>2</v>
      </c>
    </row>
    <row r="66">
      <c r="B66" s="1001" t="s">
        <v>1369</v>
      </c>
      <c r="C66" s="1000" t="str">
        <f>'Материалы и инструменты'!$E$148</f>
        <v>Древесный уголь</v>
      </c>
      <c r="E66" s="1004" t="s">
        <v>1371</v>
      </c>
      <c r="F66" s="1005">
        <v>8.0</v>
      </c>
      <c r="G66" s="1005">
        <v>16.0</v>
      </c>
      <c r="H66" s="1005">
        <v>2.0</v>
      </c>
      <c r="I66" s="1005">
        <v>2.0</v>
      </c>
      <c r="J66" s="1005">
        <v>3.0</v>
      </c>
      <c r="K66" s="1011"/>
    </row>
    <row r="67">
      <c r="B67" s="1002" t="s">
        <v>1370</v>
      </c>
      <c r="C67" s="1505">
        <f>'Материалы и инструменты'!$E$149</f>
        <v>0.07</v>
      </c>
      <c r="E67" s="1004" t="s">
        <v>1372</v>
      </c>
      <c r="F67" s="981">
        <f t="shared" ref="F67:J67" si="21">(0.02*F68)*F68</f>
        <v>0.08</v>
      </c>
      <c r="G67" s="981">
        <f t="shared" si="21"/>
        <v>0.18</v>
      </c>
      <c r="H67" s="981">
        <f t="shared" si="21"/>
        <v>0.18</v>
      </c>
      <c r="I67" s="981">
        <f t="shared" si="21"/>
        <v>0.18</v>
      </c>
      <c r="J67" s="981">
        <f t="shared" si="21"/>
        <v>0.32</v>
      </c>
      <c r="K67" s="1011"/>
    </row>
    <row r="68">
      <c r="B68" s="1002" t="s">
        <v>1231</v>
      </c>
      <c r="C68" s="1003">
        <f>C60</f>
        <v>1</v>
      </c>
      <c r="E68" s="1004" t="s">
        <v>1961</v>
      </c>
      <c r="F68" s="1005">
        <v>2.0</v>
      </c>
      <c r="G68" s="1005">
        <v>3.0</v>
      </c>
      <c r="H68" s="1005">
        <v>3.0</v>
      </c>
      <c r="I68" s="1005">
        <v>3.0</v>
      </c>
      <c r="J68" s="1005">
        <v>4.0</v>
      </c>
      <c r="K68" s="1011"/>
    </row>
    <row r="69">
      <c r="B69" s="1004" t="s">
        <v>1371</v>
      </c>
      <c r="C69" s="1005">
        <v>2.0</v>
      </c>
      <c r="E69" s="1006" t="s">
        <v>1964</v>
      </c>
      <c r="F69" s="1007">
        <v>12.0</v>
      </c>
      <c r="G69" s="1007">
        <v>14.0</v>
      </c>
      <c r="H69" s="1007">
        <v>14.0</v>
      </c>
      <c r="I69" s="1007">
        <v>14.0</v>
      </c>
      <c r="J69" s="1007">
        <v>16.0</v>
      </c>
      <c r="K69" s="1011"/>
    </row>
    <row r="70">
      <c r="B70" s="1004" t="s">
        <v>1372</v>
      </c>
      <c r="C70" s="981">
        <f>(0.02*C71)*C71</f>
        <v>0.18</v>
      </c>
      <c r="E70" s="1004" t="s">
        <v>1971</v>
      </c>
      <c r="F70" s="1008" t="s">
        <v>1237</v>
      </c>
      <c r="G70" s="1008" t="s">
        <v>1237</v>
      </c>
      <c r="H70" s="1008" t="s">
        <v>1237</v>
      </c>
      <c r="I70" s="1008" t="s">
        <v>1237</v>
      </c>
      <c r="J70" s="953" t="s">
        <v>1250</v>
      </c>
    </row>
    <row r="71">
      <c r="B71" s="1004" t="s">
        <v>1961</v>
      </c>
      <c r="C71" s="1005">
        <v>3.0</v>
      </c>
      <c r="E71" s="1517" t="s">
        <v>1973</v>
      </c>
      <c r="F71" s="1518" t="str">
        <f t="shared" ref="F71:J71" si="22">F58</f>
        <v>Свинцовое стекло</v>
      </c>
      <c r="G71" s="1518" t="str">
        <f t="shared" si="22"/>
        <v>Хрусталь</v>
      </c>
      <c r="H71" s="1518" t="str">
        <f t="shared" si="22"/>
        <v>Свинцовое стекло</v>
      </c>
      <c r="I71" s="1518" t="str">
        <f t="shared" si="22"/>
        <v>Линза</v>
      </c>
      <c r="J71" s="1518" t="str">
        <f t="shared" si="22"/>
        <v>Линза</v>
      </c>
    </row>
    <row r="72">
      <c r="B72" s="1006" t="s">
        <v>1964</v>
      </c>
      <c r="C72" s="1007">
        <v>14.0</v>
      </c>
      <c r="E72" s="995" t="s">
        <v>1363</v>
      </c>
      <c r="F72" s="996">
        <f>C74</f>
        <v>2.684</v>
      </c>
      <c r="G72" s="996">
        <f>F74</f>
        <v>7.668</v>
      </c>
      <c r="H72" s="996">
        <f>F72</f>
        <v>2.684</v>
      </c>
      <c r="I72" s="996">
        <f>H74</f>
        <v>3.714</v>
      </c>
      <c r="J72" s="996">
        <f>H74</f>
        <v>3.714</v>
      </c>
      <c r="K72" s="1011"/>
    </row>
    <row r="73">
      <c r="B73" s="1004" t="s">
        <v>1971</v>
      </c>
      <c r="C73" s="1008" t="s">
        <v>1237</v>
      </c>
      <c r="E73" s="995" t="s">
        <v>1365</v>
      </c>
      <c r="F73" s="998">
        <v>2.0</v>
      </c>
      <c r="G73" s="998">
        <v>16.0</v>
      </c>
      <c r="H73" s="998">
        <v>1.0</v>
      </c>
      <c r="I73" s="998">
        <v>2.0</v>
      </c>
      <c r="J73" s="998">
        <v>3.0</v>
      </c>
      <c r="K73" s="1011"/>
    </row>
    <row r="74">
      <c r="B74" s="1519" t="s">
        <v>1494</v>
      </c>
      <c r="C74" s="1521">
        <f>C75*C76+C59*C60+C63*C62+C67*C68</f>
        <v>2.684</v>
      </c>
      <c r="E74" s="1519" t="s">
        <v>1494</v>
      </c>
      <c r="F74" s="1521">
        <f t="shared" ref="F74:J74" si="23">F75*F76+F72*F73+F64*F65</f>
        <v>7.668</v>
      </c>
      <c r="G74" s="1521">
        <f t="shared" si="23"/>
        <v>130.508</v>
      </c>
      <c r="H74" s="1521">
        <f t="shared" si="23"/>
        <v>3.714</v>
      </c>
      <c r="I74" s="1521">
        <f t="shared" si="23"/>
        <v>8.528</v>
      </c>
      <c r="J74" s="1521">
        <f t="shared" si="23"/>
        <v>13.532</v>
      </c>
      <c r="K74" s="1044">
        <v>1.5</v>
      </c>
    </row>
    <row r="75">
      <c r="B75" s="1004" t="s">
        <v>1371</v>
      </c>
      <c r="C75" s="981">
        <v>8.0</v>
      </c>
      <c r="E75" s="1004" t="s">
        <v>1371</v>
      </c>
      <c r="F75" s="981">
        <f t="shared" ref="F75:H75" si="24">F66*$K$47</f>
        <v>12</v>
      </c>
      <c r="G75" s="981">
        <f t="shared" si="24"/>
        <v>24</v>
      </c>
      <c r="H75" s="981">
        <f t="shared" si="24"/>
        <v>3</v>
      </c>
      <c r="I75" s="981">
        <f>I66*$K$74</f>
        <v>3</v>
      </c>
      <c r="J75" s="981">
        <f>J66*$K$47</f>
        <v>4.5</v>
      </c>
      <c r="K75" s="1011"/>
    </row>
    <row r="76">
      <c r="B76" s="1004" t="s">
        <v>1372</v>
      </c>
      <c r="C76" s="981">
        <f>(0.02*C77)*C77</f>
        <v>0.32</v>
      </c>
      <c r="E76" s="1004" t="s">
        <v>1372</v>
      </c>
      <c r="F76" s="981">
        <f t="shared" ref="F76:J76" si="25">(0.02*F77)*F77</f>
        <v>0.18</v>
      </c>
      <c r="G76" s="981">
        <f t="shared" si="25"/>
        <v>0.32</v>
      </c>
      <c r="H76" s="981">
        <f t="shared" si="25"/>
        <v>0.32</v>
      </c>
      <c r="I76" s="981">
        <f t="shared" si="25"/>
        <v>0.32</v>
      </c>
      <c r="J76" s="981">
        <f t="shared" si="25"/>
        <v>0.5</v>
      </c>
      <c r="K76" s="1011"/>
    </row>
    <row r="77">
      <c r="B77" s="1004" t="s">
        <v>1961</v>
      </c>
      <c r="C77" s="1005">
        <v>4.0</v>
      </c>
      <c r="E77" s="1004" t="s">
        <v>1961</v>
      </c>
      <c r="F77" s="1005">
        <v>3.0</v>
      </c>
      <c r="G77" s="1005">
        <v>4.0</v>
      </c>
      <c r="H77" s="1005">
        <v>4.0</v>
      </c>
      <c r="I77" s="1005">
        <v>4.0</v>
      </c>
      <c r="J77" s="1005">
        <v>5.0</v>
      </c>
      <c r="K77" s="1011"/>
    </row>
    <row r="78">
      <c r="B78" s="1006" t="s">
        <v>1964</v>
      </c>
      <c r="C78" s="1007">
        <v>16.0</v>
      </c>
      <c r="E78" s="1006" t="s">
        <v>1964</v>
      </c>
      <c r="F78" s="1007">
        <v>14.0</v>
      </c>
      <c r="G78" s="1007">
        <v>16.0</v>
      </c>
      <c r="H78" s="1007">
        <v>16.0</v>
      </c>
      <c r="I78" s="1007">
        <v>16.0</v>
      </c>
      <c r="J78" s="1007">
        <v>18.0</v>
      </c>
      <c r="K78" s="1011"/>
    </row>
    <row r="79">
      <c r="B79" s="1004" t="s">
        <v>1971</v>
      </c>
      <c r="C79" s="953" t="s">
        <v>1250</v>
      </c>
      <c r="D79" s="1167"/>
      <c r="E79" s="995" t="s">
        <v>1971</v>
      </c>
      <c r="F79" s="953" t="s">
        <v>1237</v>
      </c>
      <c r="G79" s="953" t="s">
        <v>1250</v>
      </c>
      <c r="H79" s="953" t="s">
        <v>1250</v>
      </c>
      <c r="I79" s="953" t="s">
        <v>1250</v>
      </c>
      <c r="J79" s="953" t="s">
        <v>1250</v>
      </c>
    </row>
  </sheetData>
  <mergeCells count="1">
    <mergeCell ref="N7:Y7"/>
  </mergeCells>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38"/>
    <col customWidth="1" min="2" max="2" width="28.13"/>
  </cols>
  <sheetData>
    <row r="3">
      <c r="B3" s="930" t="s">
        <v>1997</v>
      </c>
    </row>
    <row r="4">
      <c r="B4" s="1052" t="s">
        <v>1998</v>
      </c>
    </row>
    <row r="5">
      <c r="B5" s="1052" t="s">
        <v>1999</v>
      </c>
    </row>
    <row r="7">
      <c r="B7" s="986" t="s">
        <v>2000</v>
      </c>
    </row>
    <row r="8">
      <c r="B8" s="1524" t="s">
        <v>130</v>
      </c>
      <c r="C8" s="1525" t="str">
        <f>'Материалы и инструменты'!E130</f>
        <v>Доска</v>
      </c>
      <c r="D8" s="1525" t="str">
        <f>'Материалы и инструменты'!G130</f>
        <v>Глинянный кирпич</v>
      </c>
      <c r="E8" s="1525" t="str">
        <f>'Материалы и инструменты'!H130</f>
        <v>Обтёсанный камень</v>
      </c>
    </row>
    <row r="9">
      <c r="B9" s="1526" t="s">
        <v>2001</v>
      </c>
      <c r="C9" s="1527">
        <f t="shared" ref="C9:E9" si="1">C10*C11+C12*C14</f>
        <v>4.9</v>
      </c>
      <c r="D9" s="1527">
        <f t="shared" si="1"/>
        <v>45.6</v>
      </c>
      <c r="E9" s="1527">
        <f t="shared" si="1"/>
        <v>39</v>
      </c>
    </row>
    <row r="10">
      <c r="B10" s="995" t="s">
        <v>1363</v>
      </c>
      <c r="C10" s="996">
        <f>'Материалы и инструменты'!E131</f>
        <v>0.03</v>
      </c>
      <c r="D10" s="996">
        <f>'Материалы и инструменты'!G131</f>
        <v>0.102</v>
      </c>
      <c r="E10" s="996">
        <f>'Материалы и инструменты'!H131</f>
        <v>0.05</v>
      </c>
    </row>
    <row r="11">
      <c r="B11" s="995" t="s">
        <v>1365</v>
      </c>
      <c r="C11" s="998">
        <v>70.0</v>
      </c>
      <c r="D11" s="998">
        <v>300.0</v>
      </c>
      <c r="E11" s="998">
        <v>300.0</v>
      </c>
    </row>
    <row r="12">
      <c r="B12" s="1004" t="s">
        <v>1371</v>
      </c>
      <c r="C12" s="1005">
        <f t="shared" ref="C12:E12" si="2">C11*C13</f>
        <v>140</v>
      </c>
      <c r="D12" s="1005">
        <f t="shared" si="2"/>
        <v>750</v>
      </c>
      <c r="E12" s="1005">
        <f t="shared" si="2"/>
        <v>1200</v>
      </c>
    </row>
    <row r="13">
      <c r="B13" s="1004" t="s">
        <v>1410</v>
      </c>
      <c r="C13" s="1005">
        <v>2.0</v>
      </c>
      <c r="D13" s="1005">
        <v>2.5</v>
      </c>
      <c r="E13" s="1005">
        <v>4.0</v>
      </c>
    </row>
    <row r="14">
      <c r="B14" s="1004" t="s">
        <v>1372</v>
      </c>
      <c r="C14" s="981">
        <f t="shared" ref="C14:E14" si="3">(0.02*C15)*C15</f>
        <v>0.02</v>
      </c>
      <c r="D14" s="981">
        <f t="shared" si="3"/>
        <v>0.02</v>
      </c>
      <c r="E14" s="981">
        <f t="shared" si="3"/>
        <v>0.02</v>
      </c>
    </row>
    <row r="15">
      <c r="B15" s="1004" t="s">
        <v>2002</v>
      </c>
      <c r="C15" s="1005">
        <v>1.0</v>
      </c>
      <c r="D15" s="1005">
        <v>1.0</v>
      </c>
      <c r="E15" s="1005">
        <v>1.0</v>
      </c>
    </row>
    <row r="16">
      <c r="B16" s="1006" t="s">
        <v>2003</v>
      </c>
      <c r="C16" s="1007">
        <v>10.0</v>
      </c>
      <c r="D16" s="1007">
        <v>10.0</v>
      </c>
      <c r="E16" s="1007">
        <v>10.0</v>
      </c>
    </row>
    <row r="17">
      <c r="B17" s="1004" t="s">
        <v>2004</v>
      </c>
      <c r="C17" s="1008" t="s">
        <v>1237</v>
      </c>
      <c r="D17" s="1008" t="s">
        <v>1237</v>
      </c>
      <c r="E17" s="1008" t="s">
        <v>1237</v>
      </c>
    </row>
    <row r="18">
      <c r="B18" s="986"/>
    </row>
    <row r="19">
      <c r="B19" s="986" t="s">
        <v>2005</v>
      </c>
    </row>
    <row r="20">
      <c r="B20" s="1524" t="s">
        <v>130</v>
      </c>
      <c r="C20" s="1525" t="str">
        <f>'Материалы и инструменты'!G130</f>
        <v>Глинянный кирпич</v>
      </c>
      <c r="D20" s="1525" t="str">
        <f>'Материалы и инструменты'!H130</f>
        <v>Обтёсанный камень</v>
      </c>
    </row>
    <row r="21">
      <c r="B21" s="1526" t="s">
        <v>2006</v>
      </c>
      <c r="C21" s="1527">
        <f t="shared" ref="C21:D21" si="4">C22*C23+C24*C26</f>
        <v>7.28</v>
      </c>
      <c r="D21" s="1527">
        <f t="shared" si="4"/>
        <v>5.95</v>
      </c>
    </row>
    <row r="22">
      <c r="B22" s="995" t="s">
        <v>1363</v>
      </c>
      <c r="C22" s="996">
        <f>'Материалы и инструменты'!G131</f>
        <v>0.102</v>
      </c>
      <c r="D22" s="996">
        <f>'Материалы и инструменты'!H131</f>
        <v>0.05</v>
      </c>
    </row>
    <row r="23">
      <c r="B23" s="995" t="s">
        <v>1365</v>
      </c>
      <c r="C23" s="998">
        <v>40.0</v>
      </c>
      <c r="D23" s="998">
        <v>35.0</v>
      </c>
    </row>
    <row r="24">
      <c r="B24" s="1004" t="s">
        <v>1371</v>
      </c>
      <c r="C24" s="1005">
        <f t="shared" ref="C24:D24" si="5">C23*C25</f>
        <v>40</v>
      </c>
      <c r="D24" s="1005">
        <f t="shared" si="5"/>
        <v>52.5</v>
      </c>
    </row>
    <row r="25">
      <c r="B25" s="1004" t="s">
        <v>1410</v>
      </c>
      <c r="C25" s="1005">
        <v>1.0</v>
      </c>
      <c r="D25" s="1005">
        <v>1.5</v>
      </c>
    </row>
    <row r="26">
      <c r="B26" s="1004" t="s">
        <v>1372</v>
      </c>
      <c r="C26" s="981">
        <f t="shared" ref="C26:D26" si="6">(0.02*C27)*C27</f>
        <v>0.08</v>
      </c>
      <c r="D26" s="981">
        <f t="shared" si="6"/>
        <v>0.08</v>
      </c>
    </row>
    <row r="27">
      <c r="B27" s="1004" t="s">
        <v>2002</v>
      </c>
      <c r="C27" s="1005">
        <v>2.0</v>
      </c>
      <c r="D27" s="1005">
        <v>2.0</v>
      </c>
    </row>
    <row r="28">
      <c r="B28" s="1006" t="s">
        <v>2003</v>
      </c>
      <c r="C28" s="1007">
        <v>12.0</v>
      </c>
      <c r="D28" s="1007">
        <v>12.0</v>
      </c>
    </row>
    <row r="29">
      <c r="B29" s="1004" t="s">
        <v>2004</v>
      </c>
      <c r="C29" s="1008" t="s">
        <v>1237</v>
      </c>
      <c r="D29" s="1008" t="s">
        <v>1237</v>
      </c>
      <c r="F29" s="984"/>
    </row>
    <row r="30">
      <c r="B30" s="1526" t="s">
        <v>2007</v>
      </c>
      <c r="C30" s="1527">
        <f t="shared" ref="C30:D30" si="7">C22*C23+C31*C33</f>
        <v>18.48</v>
      </c>
      <c r="D30" s="1527">
        <f t="shared" si="7"/>
        <v>20.65</v>
      </c>
      <c r="F30" s="1044">
        <v>2.0</v>
      </c>
      <c r="G30" s="1011"/>
    </row>
    <row r="31">
      <c r="B31" s="1004" t="s">
        <v>1371</v>
      </c>
      <c r="C31" s="1005">
        <f t="shared" ref="C31:D31" si="8">C23*C32</f>
        <v>80</v>
      </c>
      <c r="D31" s="1005">
        <f t="shared" si="8"/>
        <v>105</v>
      </c>
      <c r="F31" s="1011"/>
      <c r="G31" s="1011"/>
    </row>
    <row r="32">
      <c r="B32" s="1004" t="s">
        <v>1410</v>
      </c>
      <c r="C32" s="1005">
        <f t="shared" ref="C32:D32" si="9">C25*$F30</f>
        <v>2</v>
      </c>
      <c r="D32" s="1005">
        <f t="shared" si="9"/>
        <v>3</v>
      </c>
      <c r="F32" s="1011"/>
      <c r="G32" s="1011"/>
    </row>
    <row r="33">
      <c r="B33" s="1004" t="s">
        <v>1372</v>
      </c>
      <c r="C33" s="981">
        <f t="shared" ref="C33:D33" si="10">(0.02*C34)*C34</f>
        <v>0.18</v>
      </c>
      <c r="D33" s="981">
        <f t="shared" si="10"/>
        <v>0.18</v>
      </c>
      <c r="F33" s="1011"/>
      <c r="G33" s="1011"/>
    </row>
    <row r="34">
      <c r="B34" s="1004" t="s">
        <v>2002</v>
      </c>
      <c r="C34" s="1007">
        <v>3.0</v>
      </c>
      <c r="D34" s="1007">
        <v>3.0</v>
      </c>
      <c r="F34" s="1011"/>
      <c r="G34" s="1011"/>
    </row>
    <row r="35">
      <c r="B35" s="1006" t="s">
        <v>2003</v>
      </c>
      <c r="C35" s="1007">
        <v>14.0</v>
      </c>
      <c r="D35" s="1007">
        <v>14.0</v>
      </c>
      <c r="F35" s="1011"/>
      <c r="G35" s="1011"/>
    </row>
    <row r="36">
      <c r="B36" s="1004" t="s">
        <v>2004</v>
      </c>
      <c r="C36" s="1008" t="s">
        <v>1237</v>
      </c>
      <c r="D36" s="1008" t="s">
        <v>1237</v>
      </c>
      <c r="F36" s="1011"/>
      <c r="G36" s="1011"/>
    </row>
    <row r="37">
      <c r="B37" s="986"/>
      <c r="F37" s="1011"/>
      <c r="G37" s="1011"/>
    </row>
    <row r="38">
      <c r="B38" s="986" t="s">
        <v>2008</v>
      </c>
      <c r="F38" s="1011"/>
      <c r="G38" s="1011"/>
    </row>
    <row r="39">
      <c r="B39" s="1524" t="s">
        <v>130</v>
      </c>
      <c r="C39" s="1525" t="str">
        <f>'Материалы и инструменты'!F130</f>
        <v>Деревянная балка</v>
      </c>
      <c r="D39" s="1525" t="str">
        <f>'Материалы и инструменты'!G130</f>
        <v>Глинянный кирпич</v>
      </c>
      <c r="E39" s="1525" t="str">
        <f>'Материалы и инструменты'!H130</f>
        <v>Обтёсанный камень</v>
      </c>
      <c r="F39" s="1011"/>
      <c r="G39" s="1011"/>
    </row>
    <row r="40">
      <c r="B40" s="1526" t="s">
        <v>2009</v>
      </c>
      <c r="C40" s="1527">
        <f t="shared" ref="C40:E40" si="11">C41*C42+C43*C45</f>
        <v>117</v>
      </c>
      <c r="D40" s="1527">
        <f t="shared" si="11"/>
        <v>143.1</v>
      </c>
      <c r="E40" s="1527">
        <f t="shared" si="11"/>
        <v>135.9</v>
      </c>
      <c r="F40" s="1011"/>
      <c r="G40" s="1011"/>
    </row>
    <row r="41">
      <c r="B41" s="995" t="s">
        <v>1363</v>
      </c>
      <c r="C41" s="996">
        <f>'Материалы и инструменты'!F131</f>
        <v>0.08</v>
      </c>
      <c r="D41" s="996">
        <f>'Материалы и инструменты'!G131</f>
        <v>0.102</v>
      </c>
      <c r="E41" s="996">
        <f>'Материалы и инструменты'!H131</f>
        <v>0.05</v>
      </c>
      <c r="F41" s="1011"/>
      <c r="G41" s="1011"/>
    </row>
    <row r="42">
      <c r="B42" s="995" t="s">
        <v>1365</v>
      </c>
      <c r="C42" s="998">
        <v>450.0</v>
      </c>
      <c r="D42" s="998">
        <v>450.0</v>
      </c>
      <c r="E42" s="998">
        <v>450.0</v>
      </c>
      <c r="F42" s="1011"/>
      <c r="G42" s="1011"/>
    </row>
    <row r="43">
      <c r="B43" s="1004" t="s">
        <v>1371</v>
      </c>
      <c r="C43" s="1005">
        <f t="shared" ref="C43:E43" si="12">C42*C44</f>
        <v>450</v>
      </c>
      <c r="D43" s="1005">
        <f t="shared" si="12"/>
        <v>540</v>
      </c>
      <c r="E43" s="1005">
        <f t="shared" si="12"/>
        <v>630</v>
      </c>
      <c r="F43" s="1011"/>
      <c r="G43" s="1011"/>
    </row>
    <row r="44">
      <c r="B44" s="1004" t="s">
        <v>1410</v>
      </c>
      <c r="C44" s="1005">
        <v>1.0</v>
      </c>
      <c r="D44" s="1005">
        <v>1.2</v>
      </c>
      <c r="E44" s="1005">
        <v>1.4</v>
      </c>
      <c r="F44" s="1011"/>
      <c r="G44" s="1011"/>
    </row>
    <row r="45">
      <c r="B45" s="1004" t="s">
        <v>1372</v>
      </c>
      <c r="C45" s="981">
        <f t="shared" ref="C45:E45" si="13">(0.02*C46)*C46</f>
        <v>0.18</v>
      </c>
      <c r="D45" s="981">
        <f t="shared" si="13"/>
        <v>0.18</v>
      </c>
      <c r="E45" s="981">
        <f t="shared" si="13"/>
        <v>0.18</v>
      </c>
      <c r="F45" s="1011"/>
      <c r="G45" s="1011"/>
    </row>
    <row r="46">
      <c r="B46" s="1004" t="s">
        <v>2002</v>
      </c>
      <c r="C46" s="1005">
        <v>3.0</v>
      </c>
      <c r="D46" s="1005">
        <v>3.0</v>
      </c>
      <c r="E46" s="1005">
        <v>3.0</v>
      </c>
      <c r="F46" s="1011"/>
      <c r="G46" s="1011"/>
    </row>
    <row r="47">
      <c r="B47" s="1006" t="s">
        <v>2003</v>
      </c>
      <c r="C47" s="1007">
        <v>14.0</v>
      </c>
      <c r="D47" s="1007">
        <v>14.0</v>
      </c>
      <c r="E47" s="1007">
        <v>14.0</v>
      </c>
      <c r="F47" s="1011"/>
      <c r="G47" s="1011"/>
    </row>
    <row r="48">
      <c r="B48" s="1004" t="s">
        <v>2004</v>
      </c>
      <c r="C48" s="1008" t="s">
        <v>1237</v>
      </c>
      <c r="D48" s="1008" t="s">
        <v>1237</v>
      </c>
      <c r="E48" s="1008" t="s">
        <v>1237</v>
      </c>
      <c r="F48" s="1011"/>
      <c r="G48" s="1044"/>
    </row>
    <row r="49">
      <c r="B49" s="1526" t="s">
        <v>2010</v>
      </c>
      <c r="C49" s="1527">
        <f t="shared" ref="C49:E49" si="14">C41*C42+C50*C52</f>
        <v>324</v>
      </c>
      <c r="D49" s="1527">
        <f t="shared" si="14"/>
        <v>391.5</v>
      </c>
      <c r="E49" s="1527">
        <f t="shared" si="14"/>
        <v>425.7</v>
      </c>
      <c r="F49" s="1011"/>
      <c r="G49" s="1044">
        <v>2.0</v>
      </c>
    </row>
    <row r="50">
      <c r="B50" s="1004" t="s">
        <v>1371</v>
      </c>
      <c r="C50" s="1005">
        <f t="shared" ref="C50:E50" si="15">C42*C51</f>
        <v>900</v>
      </c>
      <c r="D50" s="1005">
        <f t="shared" si="15"/>
        <v>1080</v>
      </c>
      <c r="E50" s="1005">
        <f t="shared" si="15"/>
        <v>1260</v>
      </c>
      <c r="F50" s="1011"/>
      <c r="G50" s="1011"/>
    </row>
    <row r="51">
      <c r="B51" s="1004" t="s">
        <v>1410</v>
      </c>
      <c r="C51" s="981">
        <f t="shared" ref="C51:E51" si="16">C44*$G$49</f>
        <v>2</v>
      </c>
      <c r="D51" s="981">
        <f t="shared" si="16"/>
        <v>2.4</v>
      </c>
      <c r="E51" s="981">
        <f t="shared" si="16"/>
        <v>2.8</v>
      </c>
      <c r="F51" s="1011"/>
      <c r="G51" s="1011"/>
    </row>
    <row r="52">
      <c r="B52" s="1004" t="s">
        <v>1372</v>
      </c>
      <c r="C52" s="981">
        <f t="shared" ref="C52:E52" si="17">(0.02*C53)*C53</f>
        <v>0.32</v>
      </c>
      <c r="D52" s="981">
        <f t="shared" si="17"/>
        <v>0.32</v>
      </c>
      <c r="E52" s="981">
        <f t="shared" si="17"/>
        <v>0.32</v>
      </c>
      <c r="F52" s="1011"/>
      <c r="G52" s="1011"/>
    </row>
    <row r="53">
      <c r="B53" s="1004" t="s">
        <v>2002</v>
      </c>
      <c r="C53" s="1007">
        <v>4.0</v>
      </c>
      <c r="D53" s="1007">
        <v>4.0</v>
      </c>
      <c r="E53" s="1007">
        <v>4.0</v>
      </c>
      <c r="F53" s="1011"/>
      <c r="G53" s="1011"/>
    </row>
    <row r="54">
      <c r="B54" s="1006" t="s">
        <v>2003</v>
      </c>
      <c r="C54" s="1007">
        <v>16.0</v>
      </c>
      <c r="D54" s="1007">
        <v>16.0</v>
      </c>
      <c r="E54" s="1007">
        <v>16.0</v>
      </c>
      <c r="F54" s="1011"/>
      <c r="G54" s="1011"/>
    </row>
    <row r="55">
      <c r="B55" s="1004" t="s">
        <v>2004</v>
      </c>
      <c r="C55" s="953" t="s">
        <v>1250</v>
      </c>
      <c r="D55" s="953" t="s">
        <v>1250</v>
      </c>
      <c r="E55" s="953" t="s">
        <v>1250</v>
      </c>
      <c r="F55" s="1011"/>
      <c r="G55" s="1326"/>
    </row>
    <row r="56">
      <c r="B56" s="1526" t="s">
        <v>2011</v>
      </c>
      <c r="C56" s="1527">
        <f t="shared" ref="C56:E56" si="18">C41*C42+C57*C59</f>
        <v>711</v>
      </c>
      <c r="D56" s="1527">
        <f t="shared" si="18"/>
        <v>855.9</v>
      </c>
      <c r="E56" s="1527">
        <f t="shared" si="18"/>
        <v>967.5</v>
      </c>
      <c r="F56" s="1011"/>
      <c r="G56" s="1326">
        <v>3.0</v>
      </c>
    </row>
    <row r="57">
      <c r="B57" s="1004" t="s">
        <v>1371</v>
      </c>
      <c r="C57" s="998">
        <f t="shared" ref="C57:E57" si="19">C42*C58</f>
        <v>1350</v>
      </c>
      <c r="D57" s="998">
        <f t="shared" si="19"/>
        <v>1620</v>
      </c>
      <c r="E57" s="998">
        <f t="shared" si="19"/>
        <v>1890</v>
      </c>
      <c r="F57" s="1011"/>
      <c r="G57" s="1011"/>
    </row>
    <row r="58">
      <c r="B58" s="1004" t="s">
        <v>1410</v>
      </c>
      <c r="C58" s="997">
        <f t="shared" ref="C58:E58" si="20">C44*$G$56</f>
        <v>3</v>
      </c>
      <c r="D58" s="997">
        <f t="shared" si="20"/>
        <v>3.6</v>
      </c>
      <c r="E58" s="997">
        <f t="shared" si="20"/>
        <v>4.2</v>
      </c>
      <c r="F58" s="1011"/>
      <c r="G58" s="1011"/>
    </row>
    <row r="59">
      <c r="B59" s="1004" t="s">
        <v>1372</v>
      </c>
      <c r="C59" s="997">
        <f t="shared" ref="C59:E59" si="21">(0.02*C60)*C60</f>
        <v>0.5</v>
      </c>
      <c r="D59" s="997">
        <f t="shared" si="21"/>
        <v>0.5</v>
      </c>
      <c r="E59" s="997">
        <f t="shared" si="21"/>
        <v>0.5</v>
      </c>
      <c r="F59" s="1011"/>
      <c r="G59" s="1011"/>
    </row>
    <row r="60">
      <c r="B60" s="1004" t="s">
        <v>2002</v>
      </c>
      <c r="C60" s="1007">
        <v>5.0</v>
      </c>
      <c r="D60" s="1007">
        <v>5.0</v>
      </c>
      <c r="E60" s="1007">
        <v>5.0</v>
      </c>
      <c r="F60" s="1011"/>
      <c r="G60" s="1011"/>
    </row>
    <row r="61">
      <c r="B61" s="1006" t="s">
        <v>2003</v>
      </c>
      <c r="C61" s="1007">
        <v>18.0</v>
      </c>
      <c r="D61" s="1007">
        <v>18.0</v>
      </c>
      <c r="E61" s="1007">
        <v>18.0</v>
      </c>
      <c r="F61" s="1011"/>
      <c r="G61" s="1011"/>
    </row>
    <row r="62">
      <c r="B62" s="1004" t="s">
        <v>2004</v>
      </c>
      <c r="C62" s="953" t="s">
        <v>1250</v>
      </c>
      <c r="D62" s="953" t="s">
        <v>1250</v>
      </c>
      <c r="E62" s="953" t="s">
        <v>1250</v>
      </c>
      <c r="F62" s="1011"/>
      <c r="G62" s="1326"/>
    </row>
    <row r="63">
      <c r="B63" s="1526" t="s">
        <v>2012</v>
      </c>
      <c r="C63" s="1528">
        <f t="shared" ref="C63:E63" si="22">C41*C42+C64*C66</f>
        <v>1332</v>
      </c>
      <c r="D63" s="1528">
        <f t="shared" si="22"/>
        <v>1601.1</v>
      </c>
      <c r="E63" s="1528">
        <f t="shared" si="22"/>
        <v>1836.9</v>
      </c>
      <c r="F63" s="1011"/>
      <c r="G63" s="1326">
        <v>4.0</v>
      </c>
    </row>
    <row r="64">
      <c r="B64" s="1004" t="s">
        <v>1371</v>
      </c>
      <c r="C64" s="998">
        <f t="shared" ref="C64:E64" si="23">C42*C65</f>
        <v>1800</v>
      </c>
      <c r="D64" s="998">
        <f t="shared" si="23"/>
        <v>2160</v>
      </c>
      <c r="E64" s="998">
        <f t="shared" si="23"/>
        <v>2520</v>
      </c>
      <c r="F64" s="1011"/>
      <c r="G64" s="1011"/>
    </row>
    <row r="65">
      <c r="B65" s="1004" t="s">
        <v>1410</v>
      </c>
      <c r="C65" s="997">
        <f t="shared" ref="C65:E65" si="24">C44*$G$63</f>
        <v>4</v>
      </c>
      <c r="D65" s="997">
        <f t="shared" si="24"/>
        <v>4.8</v>
      </c>
      <c r="E65" s="997">
        <f t="shared" si="24"/>
        <v>5.6</v>
      </c>
      <c r="F65" s="1011"/>
      <c r="G65" s="1011"/>
    </row>
    <row r="66">
      <c r="B66" s="1004" t="s">
        <v>1372</v>
      </c>
      <c r="C66" s="997">
        <f t="shared" ref="C66:E66" si="25">(0.02*C67)*C67</f>
        <v>0.72</v>
      </c>
      <c r="D66" s="997">
        <f t="shared" si="25"/>
        <v>0.72</v>
      </c>
      <c r="E66" s="997">
        <f t="shared" si="25"/>
        <v>0.72</v>
      </c>
      <c r="F66" s="1011"/>
      <c r="G66" s="1011"/>
    </row>
    <row r="67">
      <c r="B67" s="1004" t="s">
        <v>2002</v>
      </c>
      <c r="C67" s="1007">
        <v>6.0</v>
      </c>
      <c r="D67" s="1007">
        <v>6.0</v>
      </c>
      <c r="E67" s="1007">
        <v>6.0</v>
      </c>
      <c r="F67" s="1011"/>
      <c r="G67" s="1011"/>
    </row>
    <row r="68">
      <c r="B68" s="1006" t="s">
        <v>2003</v>
      </c>
      <c r="C68" s="1007">
        <v>20.0</v>
      </c>
      <c r="D68" s="1007">
        <v>20.0</v>
      </c>
      <c r="E68" s="1007">
        <v>20.0</v>
      </c>
      <c r="F68" s="1011"/>
      <c r="G68" s="1011"/>
    </row>
    <row r="69">
      <c r="B69" s="1004" t="s">
        <v>2004</v>
      </c>
      <c r="C69" s="953" t="s">
        <v>1250</v>
      </c>
      <c r="D69" s="953" t="s">
        <v>1250</v>
      </c>
      <c r="E69" s="953" t="s">
        <v>1250</v>
      </c>
      <c r="F69" s="1011"/>
      <c r="G69" s="1011"/>
    </row>
    <row r="70">
      <c r="B70" s="986"/>
    </row>
    <row r="71">
      <c r="B71" s="986" t="s">
        <v>2013</v>
      </c>
    </row>
    <row r="72">
      <c r="B72" s="1524" t="s">
        <v>2014</v>
      </c>
      <c r="C72" s="1525" t="str">
        <f>'Материалы и инструменты'!F130</f>
        <v>Деревянная балка</v>
      </c>
      <c r="D72" s="1525" t="str">
        <f>'Материалы и инструменты'!G130</f>
        <v>Глинянный кирпич</v>
      </c>
      <c r="E72" s="1525" t="str">
        <f>'Материалы и инструменты'!H130</f>
        <v>Обтёсанный камень</v>
      </c>
      <c r="F72" s="1525" t="str">
        <f>'Материалы и инструменты'!I130</f>
        <v>Обтёсанный мрамор</v>
      </c>
    </row>
    <row r="73">
      <c r="B73" s="1526" t="s">
        <v>2015</v>
      </c>
      <c r="C73" s="1527">
        <f>C$74*C$75+C$76+C$77+C$78+C$79+C80*C82</f>
        <v>109.82</v>
      </c>
      <c r="D73" s="1527">
        <f t="shared" ref="D73:F73" si="26">D74*D75+D76+D77+D78+D79+D80*D82</f>
        <v>127.22</v>
      </c>
      <c r="E73" s="1527">
        <f t="shared" si="26"/>
        <v>122.42</v>
      </c>
      <c r="F73" s="1527">
        <f t="shared" si="26"/>
        <v>403.82</v>
      </c>
    </row>
    <row r="74">
      <c r="B74" s="995" t="s">
        <v>1363</v>
      </c>
      <c r="C74" s="1063">
        <f>'Материалы и инструменты'!F131</f>
        <v>0.08</v>
      </c>
      <c r="D74" s="996">
        <f>'Материалы и инструменты'!G131</f>
        <v>0.102</v>
      </c>
      <c r="E74" s="996">
        <f>'Материалы и инструменты'!H131</f>
        <v>0.05</v>
      </c>
      <c r="F74" s="996">
        <f>'Материалы и инструменты'!I131</f>
        <v>0.6</v>
      </c>
    </row>
    <row r="75">
      <c r="B75" s="995" t="s">
        <v>2016</v>
      </c>
      <c r="C75" s="998">
        <v>300.0</v>
      </c>
      <c r="D75" s="998">
        <v>300.0</v>
      </c>
      <c r="E75" s="998">
        <v>300.0</v>
      </c>
      <c r="F75" s="998">
        <v>300.0</v>
      </c>
    </row>
    <row r="76">
      <c r="B76" s="1004" t="s">
        <v>2017</v>
      </c>
      <c r="C76" s="1005">
        <f>'Материалы и инструменты'!K131*3</f>
        <v>2.34</v>
      </c>
      <c r="D76" s="1005">
        <f>'Материалы и инструменты'!K131*3</f>
        <v>2.34</v>
      </c>
      <c r="E76" s="1005">
        <f>'Материалы и инструменты'!K131*3</f>
        <v>2.34</v>
      </c>
      <c r="F76" s="1005">
        <f>'Материалы и инструменты'!K131*3</f>
        <v>2.34</v>
      </c>
    </row>
    <row r="77">
      <c r="B77" s="1004" t="s">
        <v>2018</v>
      </c>
      <c r="C77" s="1529">
        <f>'Материалы и инструменты'!J131*4</f>
        <v>20</v>
      </c>
      <c r="D77" s="1529">
        <f>'Материалы и инструменты'!J131*4</f>
        <v>20</v>
      </c>
      <c r="E77" s="1529">
        <f>'Материалы и инструменты'!J131*4</f>
        <v>20</v>
      </c>
      <c r="F77" s="1529">
        <f>'Материалы и инструменты'!J131*4</f>
        <v>20</v>
      </c>
    </row>
    <row r="78">
      <c r="B78" s="1004" t="s">
        <v>2019</v>
      </c>
      <c r="C78" s="1529">
        <f t="shared" ref="C78:F78" si="27">$C$21</f>
        <v>7.28</v>
      </c>
      <c r="D78" s="1529">
        <f t="shared" si="27"/>
        <v>7.28</v>
      </c>
      <c r="E78" s="1529">
        <f t="shared" si="27"/>
        <v>7.28</v>
      </c>
      <c r="F78" s="1529">
        <f t="shared" si="27"/>
        <v>7.28</v>
      </c>
    </row>
    <row r="79">
      <c r="B79" s="1004" t="s">
        <v>2020</v>
      </c>
      <c r="C79" s="1530">
        <f>'Гончар'!$H$8</f>
        <v>2.2</v>
      </c>
      <c r="D79" s="1530">
        <f>'Гончар'!$H$8</f>
        <v>2.2</v>
      </c>
      <c r="E79" s="1530">
        <f>'Гончар'!$H$8</f>
        <v>2.2</v>
      </c>
      <c r="F79" s="1530">
        <f>'Гончар'!$H$8</f>
        <v>2.2</v>
      </c>
    </row>
    <row r="80">
      <c r="B80" s="1004" t="s">
        <v>1371</v>
      </c>
      <c r="C80" s="1005">
        <f t="shared" ref="C80:F80" si="28">C$75*C81</f>
        <v>300</v>
      </c>
      <c r="D80" s="1005">
        <f t="shared" si="28"/>
        <v>360</v>
      </c>
      <c r="E80" s="1005">
        <f t="shared" si="28"/>
        <v>420</v>
      </c>
      <c r="F80" s="1005">
        <f t="shared" si="28"/>
        <v>600</v>
      </c>
    </row>
    <row r="81">
      <c r="B81" s="1004" t="s">
        <v>1410</v>
      </c>
      <c r="C81" s="1005">
        <v>1.0</v>
      </c>
      <c r="D81" s="1005">
        <v>1.2</v>
      </c>
      <c r="E81" s="1005">
        <v>1.4</v>
      </c>
      <c r="F81" s="1005">
        <v>2.0</v>
      </c>
    </row>
    <row r="82">
      <c r="B82" s="1004" t="s">
        <v>1372</v>
      </c>
      <c r="C82" s="981">
        <f t="shared" ref="C82:F82" si="29">(0.02*C83)*C83</f>
        <v>0.18</v>
      </c>
      <c r="D82" s="981">
        <f t="shared" si="29"/>
        <v>0.18</v>
      </c>
      <c r="E82" s="981">
        <f t="shared" si="29"/>
        <v>0.18</v>
      </c>
      <c r="F82" s="981">
        <f t="shared" si="29"/>
        <v>0.32</v>
      </c>
    </row>
    <row r="83">
      <c r="B83" s="1004" t="s">
        <v>2002</v>
      </c>
      <c r="C83" s="1005">
        <v>3.0</v>
      </c>
      <c r="D83" s="1005">
        <v>3.0</v>
      </c>
      <c r="E83" s="1005">
        <v>3.0</v>
      </c>
      <c r="F83" s="1005">
        <v>4.0</v>
      </c>
    </row>
    <row r="84">
      <c r="B84" s="1006" t="s">
        <v>2003</v>
      </c>
      <c r="C84" s="1007">
        <v>14.0</v>
      </c>
      <c r="D84" s="1007">
        <v>14.0</v>
      </c>
      <c r="E84" s="1007">
        <v>14.0</v>
      </c>
      <c r="F84" s="1007">
        <v>16.0</v>
      </c>
    </row>
    <row r="85">
      <c r="B85" s="1004" t="s">
        <v>2004</v>
      </c>
      <c r="C85" s="953" t="s">
        <v>1237</v>
      </c>
      <c r="D85" s="953" t="s">
        <v>1237</v>
      </c>
      <c r="E85" s="953" t="s">
        <v>1237</v>
      </c>
      <c r="F85" s="953" t="s">
        <v>1250</v>
      </c>
      <c r="G85" s="984"/>
    </row>
    <row r="86">
      <c r="B86" s="1526" t="s">
        <v>2021</v>
      </c>
      <c r="C86" s="1527">
        <f t="shared" ref="C86:F86" si="30">C$74*C$75+C$76+C$77+C$78+C$79+C87*C89</f>
        <v>247.82</v>
      </c>
      <c r="D86" s="1527">
        <f t="shared" si="30"/>
        <v>292.82</v>
      </c>
      <c r="E86" s="1527">
        <f t="shared" si="30"/>
        <v>315.62</v>
      </c>
      <c r="F86" s="1527">
        <f t="shared" si="30"/>
        <v>811.82</v>
      </c>
      <c r="G86" s="1044">
        <v>2.0</v>
      </c>
    </row>
    <row r="87">
      <c r="B87" s="1004" t="s">
        <v>1371</v>
      </c>
      <c r="C87" s="998">
        <f t="shared" ref="C87:F87" si="31">C$75*C88</f>
        <v>600</v>
      </c>
      <c r="D87" s="998">
        <f t="shared" si="31"/>
        <v>720</v>
      </c>
      <c r="E87" s="998">
        <f t="shared" si="31"/>
        <v>840</v>
      </c>
      <c r="F87" s="998">
        <f t="shared" si="31"/>
        <v>1200</v>
      </c>
      <c r="G87" s="1011"/>
    </row>
    <row r="88">
      <c r="B88" s="1004" t="s">
        <v>1410</v>
      </c>
      <c r="C88" s="1531">
        <f t="shared" ref="C88:F88" si="32">C$81*$G86</f>
        <v>2</v>
      </c>
      <c r="D88" s="1531">
        <f t="shared" si="32"/>
        <v>2.4</v>
      </c>
      <c r="E88" s="1531">
        <f t="shared" si="32"/>
        <v>2.8</v>
      </c>
      <c r="F88" s="1531">
        <f t="shared" si="32"/>
        <v>4</v>
      </c>
      <c r="G88" s="1011"/>
    </row>
    <row r="89">
      <c r="B89" s="1004" t="s">
        <v>1372</v>
      </c>
      <c r="C89" s="997">
        <f t="shared" ref="C89:F89" si="33">(0.02*C90)*C90</f>
        <v>0.32</v>
      </c>
      <c r="D89" s="997">
        <f t="shared" si="33"/>
        <v>0.32</v>
      </c>
      <c r="E89" s="997">
        <f t="shared" si="33"/>
        <v>0.32</v>
      </c>
      <c r="F89" s="997">
        <f t="shared" si="33"/>
        <v>0.5</v>
      </c>
      <c r="G89" s="1011"/>
    </row>
    <row r="90">
      <c r="B90" s="1004" t="s">
        <v>2002</v>
      </c>
      <c r="C90" s="998">
        <v>4.0</v>
      </c>
      <c r="D90" s="998">
        <v>4.0</v>
      </c>
      <c r="E90" s="998">
        <v>4.0</v>
      </c>
      <c r="F90" s="1007">
        <v>5.0</v>
      </c>
      <c r="G90" s="1011"/>
    </row>
    <row r="91">
      <c r="B91" s="1006" t="s">
        <v>2003</v>
      </c>
      <c r="C91" s="1007">
        <v>16.0</v>
      </c>
      <c r="D91" s="1007">
        <v>16.0</v>
      </c>
      <c r="E91" s="1007">
        <v>16.0</v>
      </c>
      <c r="F91" s="1007">
        <v>18.0</v>
      </c>
      <c r="G91" s="1011"/>
    </row>
    <row r="92">
      <c r="B92" s="1004" t="s">
        <v>2004</v>
      </c>
      <c r="C92" s="953" t="s">
        <v>1250</v>
      </c>
      <c r="D92" s="953" t="s">
        <v>1250</v>
      </c>
      <c r="E92" s="953" t="s">
        <v>1250</v>
      </c>
      <c r="F92" s="953" t="s">
        <v>1250</v>
      </c>
      <c r="G92" s="1326"/>
    </row>
    <row r="93">
      <c r="B93" s="1526" t="s">
        <v>2022</v>
      </c>
      <c r="C93" s="1527">
        <f t="shared" ref="C93:F93" si="34">C$74*C$75+C$76+C$77+C$78+C$79+C94*C96</f>
        <v>505.82</v>
      </c>
      <c r="D93" s="1527">
        <f t="shared" si="34"/>
        <v>602.42</v>
      </c>
      <c r="E93" s="1527">
        <f t="shared" si="34"/>
        <v>676.82</v>
      </c>
      <c r="F93" s="1528">
        <f t="shared" si="34"/>
        <v>1507.82</v>
      </c>
      <c r="G93" s="1326">
        <v>3.0</v>
      </c>
    </row>
    <row r="94">
      <c r="B94" s="1004" t="s">
        <v>1371</v>
      </c>
      <c r="C94" s="998">
        <f t="shared" ref="C94:F94" si="35">C$75*C95</f>
        <v>900</v>
      </c>
      <c r="D94" s="998">
        <f t="shared" si="35"/>
        <v>1080</v>
      </c>
      <c r="E94" s="998">
        <f t="shared" si="35"/>
        <v>1260</v>
      </c>
      <c r="F94" s="998">
        <f t="shared" si="35"/>
        <v>1800</v>
      </c>
      <c r="G94" s="1011"/>
    </row>
    <row r="95">
      <c r="B95" s="1004" t="s">
        <v>1410</v>
      </c>
      <c r="C95" s="1531">
        <f t="shared" ref="C95:F95" si="36">C$81*$G93</f>
        <v>3</v>
      </c>
      <c r="D95" s="1531">
        <f t="shared" si="36"/>
        <v>3.6</v>
      </c>
      <c r="E95" s="1531">
        <f t="shared" si="36"/>
        <v>4.2</v>
      </c>
      <c r="F95" s="1531">
        <f t="shared" si="36"/>
        <v>6</v>
      </c>
      <c r="G95" s="1011"/>
    </row>
    <row r="96">
      <c r="B96" s="1004" t="s">
        <v>1372</v>
      </c>
      <c r="C96" s="997">
        <f t="shared" ref="C96:F96" si="37">(0.02*C97)*C97</f>
        <v>0.5</v>
      </c>
      <c r="D96" s="997">
        <f t="shared" si="37"/>
        <v>0.5</v>
      </c>
      <c r="E96" s="997">
        <f t="shared" si="37"/>
        <v>0.5</v>
      </c>
      <c r="F96" s="997">
        <f t="shared" si="37"/>
        <v>0.72</v>
      </c>
      <c r="G96" s="1011"/>
    </row>
    <row r="97">
      <c r="B97" s="1004" t="s">
        <v>2002</v>
      </c>
      <c r="C97" s="1007">
        <v>5.0</v>
      </c>
      <c r="D97" s="1007">
        <v>5.0</v>
      </c>
      <c r="E97" s="1007">
        <v>5.0</v>
      </c>
      <c r="F97" s="1007">
        <v>6.0</v>
      </c>
      <c r="G97" s="1011"/>
    </row>
    <row r="98">
      <c r="B98" s="1006" t="s">
        <v>2003</v>
      </c>
      <c r="C98" s="1007">
        <v>18.0</v>
      </c>
      <c r="D98" s="1007">
        <v>18.0</v>
      </c>
      <c r="E98" s="1007">
        <v>18.0</v>
      </c>
      <c r="F98" s="1007">
        <v>20.0</v>
      </c>
      <c r="G98" s="1011"/>
    </row>
    <row r="99">
      <c r="B99" s="1004" t="s">
        <v>2004</v>
      </c>
      <c r="C99" s="953" t="s">
        <v>1250</v>
      </c>
      <c r="D99" s="953" t="s">
        <v>1250</v>
      </c>
      <c r="E99" s="953" t="s">
        <v>1250</v>
      </c>
      <c r="F99" s="953" t="s">
        <v>1250</v>
      </c>
      <c r="G99" s="1326"/>
    </row>
    <row r="100">
      <c r="B100" s="1526" t="s">
        <v>2023</v>
      </c>
      <c r="C100" s="1528">
        <f t="shared" ref="C100:F100" si="38">C$74*C$75+C$76+C$77+C$78+C$79+C101*C103</f>
        <v>919.82</v>
      </c>
      <c r="D100" s="1528">
        <f t="shared" si="38"/>
        <v>1099.22</v>
      </c>
      <c r="E100" s="1528">
        <f t="shared" si="38"/>
        <v>1256.42</v>
      </c>
      <c r="F100" s="1528">
        <f t="shared" si="38"/>
        <v>2563.82</v>
      </c>
      <c r="G100" s="1326">
        <v>4.0</v>
      </c>
    </row>
    <row r="101">
      <c r="B101" s="1004" t="s">
        <v>1371</v>
      </c>
      <c r="C101" s="998">
        <f t="shared" ref="C101:F101" si="39">C$75*C102</f>
        <v>1200</v>
      </c>
      <c r="D101" s="998">
        <f t="shared" si="39"/>
        <v>1440</v>
      </c>
      <c r="E101" s="998">
        <f t="shared" si="39"/>
        <v>1680</v>
      </c>
      <c r="F101" s="998">
        <f t="shared" si="39"/>
        <v>2400</v>
      </c>
    </row>
    <row r="102">
      <c r="B102" s="1004" t="s">
        <v>1410</v>
      </c>
      <c r="C102" s="1531">
        <f t="shared" ref="C102:F102" si="40">C$81*$G100</f>
        <v>4</v>
      </c>
      <c r="D102" s="1531">
        <f t="shared" si="40"/>
        <v>4.8</v>
      </c>
      <c r="E102" s="1531">
        <f t="shared" si="40"/>
        <v>5.6</v>
      </c>
      <c r="F102" s="1531">
        <f t="shared" si="40"/>
        <v>8</v>
      </c>
    </row>
    <row r="103">
      <c r="B103" s="1004" t="s">
        <v>1372</v>
      </c>
      <c r="C103" s="997">
        <f t="shared" ref="C103:F103" si="41">(0.02*C104)*C104</f>
        <v>0.72</v>
      </c>
      <c r="D103" s="997">
        <f t="shared" si="41"/>
        <v>0.72</v>
      </c>
      <c r="E103" s="997">
        <f t="shared" si="41"/>
        <v>0.72</v>
      </c>
      <c r="F103" s="997">
        <f t="shared" si="41"/>
        <v>0.98</v>
      </c>
    </row>
    <row r="104">
      <c r="B104" s="1004" t="s">
        <v>2002</v>
      </c>
      <c r="C104" s="1007">
        <v>6.0</v>
      </c>
      <c r="D104" s="1007">
        <v>6.0</v>
      </c>
      <c r="E104" s="1007">
        <v>6.0</v>
      </c>
      <c r="F104" s="1007">
        <v>7.0</v>
      </c>
    </row>
    <row r="105">
      <c r="B105" s="1006" t="s">
        <v>2003</v>
      </c>
      <c r="C105" s="1007">
        <v>20.0</v>
      </c>
      <c r="D105" s="1007">
        <v>20.0</v>
      </c>
      <c r="E105" s="1007">
        <v>20.0</v>
      </c>
      <c r="F105" s="1007">
        <v>22.0</v>
      </c>
    </row>
    <row r="106">
      <c r="B106" s="1004" t="s">
        <v>2004</v>
      </c>
      <c r="C106" s="953" t="s">
        <v>1250</v>
      </c>
      <c r="D106" s="953" t="s">
        <v>1250</v>
      </c>
      <c r="E106" s="953" t="s">
        <v>1250</v>
      </c>
      <c r="F106" s="953" t="s">
        <v>1263</v>
      </c>
    </row>
  </sheetData>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7.63"/>
    <col customWidth="1" min="2" max="2" width="41.25"/>
    <col customWidth="1" min="3" max="3" width="10.88"/>
    <col customWidth="1" min="4" max="4" width="11.38"/>
    <col customWidth="1" min="5" max="5" width="11.75"/>
    <col customWidth="1" min="6" max="6" width="10.38"/>
    <col customWidth="1" min="7" max="8" width="10.0"/>
    <col customWidth="1" min="9" max="12" width="9.38"/>
    <col customWidth="1" min="13" max="15" width="7.63"/>
    <col customWidth="1" min="16" max="16" width="3.13"/>
    <col customWidth="1" min="17" max="17" width="17.0"/>
    <col customWidth="1" min="18" max="22" width="7.63"/>
    <col customWidth="1" min="23" max="23" width="36.13"/>
    <col customWidth="1" min="24" max="26" width="12.5"/>
    <col customWidth="1" min="27" max="32" width="9.38"/>
    <col customWidth="1" min="33" max="33" width="7.63"/>
  </cols>
  <sheetData>
    <row r="1" ht="12.75" customHeight="1"/>
    <row r="2" ht="12.75" customHeight="1">
      <c r="B2" s="930"/>
    </row>
    <row r="3" ht="12.75" customHeight="1">
      <c r="B3" s="930" t="s">
        <v>176</v>
      </c>
    </row>
    <row r="4" ht="12.75" customHeight="1">
      <c r="B4" s="1052" t="s">
        <v>2024</v>
      </c>
    </row>
    <row r="5" ht="12.75" customHeight="1">
      <c r="B5" s="1052" t="s">
        <v>1218</v>
      </c>
    </row>
    <row r="6" ht="12.75" customHeight="1"/>
    <row r="7" ht="12.75" customHeight="1">
      <c r="B7" s="1532" t="s">
        <v>2025</v>
      </c>
      <c r="C7" s="1533"/>
      <c r="X7" s="986"/>
    </row>
    <row r="8" ht="12.75" customHeight="1">
      <c r="B8" s="1534" t="s">
        <v>2026</v>
      </c>
      <c r="C8" s="1535">
        <v>0.02</v>
      </c>
      <c r="E8" s="986"/>
      <c r="Q8" s="986" t="s">
        <v>2027</v>
      </c>
    </row>
    <row r="9" ht="12.75" customHeight="1"/>
    <row r="10" ht="12.75" customHeight="1">
      <c r="B10" s="985" t="s">
        <v>2028</v>
      </c>
      <c r="Q10" s="1536"/>
      <c r="R10" s="1537" t="s">
        <v>2029</v>
      </c>
      <c r="S10" s="213"/>
      <c r="T10" s="213"/>
      <c r="U10" s="213"/>
      <c r="V10" s="213"/>
    </row>
    <row r="11" ht="12.75" customHeight="1">
      <c r="B11" s="1538" t="s">
        <v>1666</v>
      </c>
      <c r="C11" s="1539">
        <v>1.0</v>
      </c>
      <c r="D11" s="1539">
        <v>2.0</v>
      </c>
      <c r="E11" s="1539">
        <v>3.0</v>
      </c>
      <c r="F11" s="1539">
        <v>4.0</v>
      </c>
      <c r="G11" s="1539">
        <v>5.0</v>
      </c>
      <c r="H11" s="1539">
        <v>6.0</v>
      </c>
      <c r="I11" s="1539">
        <v>7.0</v>
      </c>
      <c r="J11" s="1539">
        <v>8.0</v>
      </c>
      <c r="K11" s="1539">
        <v>9.0</v>
      </c>
      <c r="L11" s="1010"/>
      <c r="M11" s="1070" t="s">
        <v>1434</v>
      </c>
      <c r="Q11" s="1540" t="s">
        <v>1443</v>
      </c>
      <c r="R11" s="1539">
        <v>1.0</v>
      </c>
      <c r="S11" s="1539">
        <v>2.0</v>
      </c>
      <c r="T11" s="1539">
        <v>3.0</v>
      </c>
      <c r="U11" s="1539">
        <v>4.0</v>
      </c>
      <c r="V11" s="1539">
        <v>5.0</v>
      </c>
    </row>
    <row r="12" ht="12.75" customHeight="1">
      <c r="B12" s="1111" t="s">
        <v>2030</v>
      </c>
      <c r="C12" s="1318">
        <f t="shared" ref="C12:K12" si="1">C14*C16+C$13*$C$8</f>
        <v>0.28</v>
      </c>
      <c r="D12" s="1318">
        <f t="shared" si="1"/>
        <v>1.12</v>
      </c>
      <c r="E12" s="1318">
        <f t="shared" si="1"/>
        <v>3.4</v>
      </c>
      <c r="F12" s="1318">
        <f t="shared" si="1"/>
        <v>8.14</v>
      </c>
      <c r="G12" s="1318">
        <f t="shared" si="1"/>
        <v>16.6</v>
      </c>
      <c r="H12" s="1318">
        <f t="shared" si="1"/>
        <v>30.28</v>
      </c>
      <c r="I12" s="1318">
        <f t="shared" si="1"/>
        <v>50.92</v>
      </c>
      <c r="J12" s="1318">
        <f t="shared" si="1"/>
        <v>80.5</v>
      </c>
      <c r="K12" s="1318">
        <f t="shared" si="1"/>
        <v>121.24</v>
      </c>
      <c r="L12" s="1010"/>
      <c r="M12" s="1127">
        <v>1.0</v>
      </c>
      <c r="P12" s="1541" t="s">
        <v>2031</v>
      </c>
      <c r="Q12" s="1542">
        <v>1.0</v>
      </c>
      <c r="R12" s="1543">
        <v>0.22</v>
      </c>
      <c r="S12" s="1543">
        <v>0.43</v>
      </c>
      <c r="T12" s="1543">
        <v>0.65</v>
      </c>
      <c r="U12" s="1543">
        <v>0.87</v>
      </c>
      <c r="V12" s="1543">
        <v>1.0</v>
      </c>
    </row>
    <row r="13" ht="12.75" customHeight="1">
      <c r="B13" s="1432" t="s">
        <v>2032</v>
      </c>
      <c r="C13" s="1544">
        <v>10.0</v>
      </c>
      <c r="D13" s="1544">
        <v>20.0</v>
      </c>
      <c r="E13" s="1544">
        <v>35.0</v>
      </c>
      <c r="F13" s="1544">
        <v>55.0</v>
      </c>
      <c r="G13" s="1544">
        <v>80.0</v>
      </c>
      <c r="H13" s="1544">
        <v>110.0</v>
      </c>
      <c r="I13" s="1544">
        <v>145.0</v>
      </c>
      <c r="J13" s="1544">
        <v>185.0</v>
      </c>
      <c r="K13" s="1544">
        <v>230.0</v>
      </c>
      <c r="L13" s="1010"/>
      <c r="M13" s="1127"/>
      <c r="P13" s="1175"/>
      <c r="Q13" s="1542">
        <v>2.0</v>
      </c>
      <c r="R13" s="1543">
        <v>0.17</v>
      </c>
      <c r="S13" s="1543">
        <v>0.33</v>
      </c>
      <c r="T13" s="1543">
        <v>0.5</v>
      </c>
      <c r="U13" s="1543">
        <v>0.67</v>
      </c>
      <c r="V13" s="1543">
        <v>0.83</v>
      </c>
    </row>
    <row r="14" ht="12.75" customHeight="1">
      <c r="B14" s="1004" t="s">
        <v>2033</v>
      </c>
      <c r="C14" s="981">
        <f t="shared" ref="C14:K14" si="2">C$11*C15</f>
        <v>4</v>
      </c>
      <c r="D14" s="981">
        <f t="shared" si="2"/>
        <v>9</v>
      </c>
      <c r="E14" s="981">
        <f t="shared" si="2"/>
        <v>15</v>
      </c>
      <c r="F14" s="981">
        <f t="shared" si="2"/>
        <v>22</v>
      </c>
      <c r="G14" s="981">
        <f t="shared" si="2"/>
        <v>30</v>
      </c>
      <c r="H14" s="981">
        <f t="shared" si="2"/>
        <v>39</v>
      </c>
      <c r="I14" s="981">
        <f t="shared" si="2"/>
        <v>49</v>
      </c>
      <c r="J14" s="981">
        <f t="shared" si="2"/>
        <v>60</v>
      </c>
      <c r="K14" s="981">
        <f t="shared" si="2"/>
        <v>72</v>
      </c>
      <c r="L14" s="1010"/>
      <c r="M14" s="1127"/>
      <c r="P14" s="1175"/>
      <c r="Q14" s="1542">
        <v>3.0</v>
      </c>
      <c r="R14" s="1543">
        <v>0.12</v>
      </c>
      <c r="S14" s="1543">
        <v>0.25</v>
      </c>
      <c r="T14" s="1543">
        <v>0.37</v>
      </c>
      <c r="U14" s="1543">
        <v>0.49</v>
      </c>
      <c r="V14" s="1543">
        <v>0.62</v>
      </c>
    </row>
    <row r="15" ht="12.75" customHeight="1">
      <c r="B15" s="1004" t="s">
        <v>2034</v>
      </c>
      <c r="C15" s="981">
        <v>4.0</v>
      </c>
      <c r="D15" s="981">
        <f t="shared" ref="D15:K15" si="3">C15+0.5</f>
        <v>4.5</v>
      </c>
      <c r="E15" s="981">
        <f t="shared" si="3"/>
        <v>5</v>
      </c>
      <c r="F15" s="981">
        <f t="shared" si="3"/>
        <v>5.5</v>
      </c>
      <c r="G15" s="981">
        <f t="shared" si="3"/>
        <v>6</v>
      </c>
      <c r="H15" s="981">
        <f t="shared" si="3"/>
        <v>6.5</v>
      </c>
      <c r="I15" s="981">
        <f t="shared" si="3"/>
        <v>7</v>
      </c>
      <c r="J15" s="981">
        <f t="shared" si="3"/>
        <v>7.5</v>
      </c>
      <c r="K15" s="981">
        <f t="shared" si="3"/>
        <v>8</v>
      </c>
      <c r="L15" s="1010"/>
      <c r="M15" s="1127"/>
      <c r="P15" s="928"/>
      <c r="Q15" s="928"/>
      <c r="R15" s="1545"/>
      <c r="S15" s="1545"/>
      <c r="T15" s="1545"/>
      <c r="U15" s="1545"/>
      <c r="V15" s="1545"/>
    </row>
    <row r="16" ht="12.75" customHeight="1">
      <c r="B16" s="1004" t="s">
        <v>1372</v>
      </c>
      <c r="C16" s="981">
        <f t="shared" ref="C16:K16" si="4">(0.02*C17)*C17</f>
        <v>0.02</v>
      </c>
      <c r="D16" s="981">
        <f t="shared" si="4"/>
        <v>0.08</v>
      </c>
      <c r="E16" s="981">
        <f t="shared" si="4"/>
        <v>0.18</v>
      </c>
      <c r="F16" s="981">
        <f t="shared" si="4"/>
        <v>0.32</v>
      </c>
      <c r="G16" s="982">
        <f t="shared" si="4"/>
        <v>0.5</v>
      </c>
      <c r="H16" s="981">
        <f t="shared" si="4"/>
        <v>0.72</v>
      </c>
      <c r="I16" s="981">
        <f t="shared" si="4"/>
        <v>0.98</v>
      </c>
      <c r="J16" s="981">
        <f t="shared" si="4"/>
        <v>1.28</v>
      </c>
      <c r="K16" s="981">
        <f t="shared" si="4"/>
        <v>1.62</v>
      </c>
      <c r="L16" s="1010"/>
      <c r="M16" s="1127"/>
      <c r="P16" s="1546"/>
      <c r="Q16" s="1536"/>
      <c r="R16" s="1547" t="s">
        <v>2029</v>
      </c>
      <c r="S16" s="213"/>
      <c r="T16" s="213"/>
      <c r="U16" s="213"/>
      <c r="V16" s="213"/>
    </row>
    <row r="17" ht="12.75" customHeight="1">
      <c r="B17" s="1004" t="s">
        <v>2035</v>
      </c>
      <c r="C17" s="981">
        <v>1.0</v>
      </c>
      <c r="D17" s="981">
        <f t="shared" ref="D17:K17" si="5">C17+1</f>
        <v>2</v>
      </c>
      <c r="E17" s="981">
        <f t="shared" si="5"/>
        <v>3</v>
      </c>
      <c r="F17" s="981">
        <f t="shared" si="5"/>
        <v>4</v>
      </c>
      <c r="G17" s="981">
        <f t="shared" si="5"/>
        <v>5</v>
      </c>
      <c r="H17" s="981">
        <f t="shared" si="5"/>
        <v>6</v>
      </c>
      <c r="I17" s="981">
        <f t="shared" si="5"/>
        <v>7</v>
      </c>
      <c r="J17" s="981">
        <f t="shared" si="5"/>
        <v>8</v>
      </c>
      <c r="K17" s="981">
        <f t="shared" si="5"/>
        <v>9</v>
      </c>
      <c r="L17" s="1010"/>
      <c r="M17" s="1127"/>
      <c r="P17" s="1546"/>
      <c r="Q17" s="1540" t="s">
        <v>2036</v>
      </c>
      <c r="R17" s="1539">
        <v>1.0</v>
      </c>
      <c r="S17" s="1539">
        <v>2.0</v>
      </c>
      <c r="T17" s="1539">
        <v>3.0</v>
      </c>
      <c r="U17" s="1539">
        <v>4.0</v>
      </c>
      <c r="V17" s="1539">
        <v>5.0</v>
      </c>
    </row>
    <row r="18" ht="12.75" customHeight="1">
      <c r="B18" s="1006" t="s">
        <v>2037</v>
      </c>
      <c r="C18" s="1324">
        <v>10.0</v>
      </c>
      <c r="D18" s="1324">
        <v>12.0</v>
      </c>
      <c r="E18" s="1324">
        <v>14.0</v>
      </c>
      <c r="F18" s="1324">
        <v>16.0</v>
      </c>
      <c r="G18" s="1324">
        <v>18.0</v>
      </c>
      <c r="H18" s="1324">
        <v>20.0</v>
      </c>
      <c r="I18" s="1324">
        <v>22.0</v>
      </c>
      <c r="J18" s="1324">
        <v>24.0</v>
      </c>
      <c r="K18" s="1324">
        <v>26.0</v>
      </c>
      <c r="L18" s="1010"/>
      <c r="M18" s="1127"/>
      <c r="P18" s="1541" t="s">
        <v>2031</v>
      </c>
      <c r="Q18" s="1542">
        <v>1.0</v>
      </c>
      <c r="R18" s="1543">
        <v>0.23</v>
      </c>
      <c r="S18" s="1543">
        <v>0.45</v>
      </c>
      <c r="T18" s="1543">
        <v>0.68</v>
      </c>
      <c r="U18" s="1543">
        <v>0.91</v>
      </c>
      <c r="V18" s="1543">
        <v>1.0</v>
      </c>
    </row>
    <row r="19" ht="12.75" customHeight="1">
      <c r="B19" s="1004" t="s">
        <v>2038</v>
      </c>
      <c r="C19" s="953" t="s">
        <v>1237</v>
      </c>
      <c r="D19" s="953" t="s">
        <v>1237</v>
      </c>
      <c r="E19" s="953" t="s">
        <v>1237</v>
      </c>
      <c r="F19" s="953" t="s">
        <v>1250</v>
      </c>
      <c r="G19" s="953" t="s">
        <v>1250</v>
      </c>
      <c r="H19" s="953" t="s">
        <v>1250</v>
      </c>
      <c r="I19" s="953" t="s">
        <v>1263</v>
      </c>
      <c r="J19" s="953" t="s">
        <v>1263</v>
      </c>
      <c r="K19" s="953" t="s">
        <v>1263</v>
      </c>
      <c r="P19" s="1175"/>
      <c r="Q19" s="1542">
        <v>2.0</v>
      </c>
      <c r="R19" s="1543">
        <v>0.18</v>
      </c>
      <c r="S19" s="1543">
        <v>0.35</v>
      </c>
      <c r="T19" s="1543">
        <v>0.53</v>
      </c>
      <c r="U19" s="1543">
        <v>0.71</v>
      </c>
      <c r="V19" s="1543">
        <v>0.88</v>
      </c>
    </row>
    <row r="20" ht="12.75" customHeight="1">
      <c r="B20" s="1111" t="s">
        <v>2039</v>
      </c>
      <c r="C20" s="1318">
        <f t="shared" ref="C20:K20" si="6">C21*C23+C$13*$C$8</f>
        <v>0.84</v>
      </c>
      <c r="D20" s="1318">
        <f t="shared" si="6"/>
        <v>3.64</v>
      </c>
      <c r="E20" s="1318">
        <f t="shared" si="6"/>
        <v>10.3</v>
      </c>
      <c r="F20" s="1318">
        <f t="shared" si="6"/>
        <v>23.1</v>
      </c>
      <c r="G20" s="1318">
        <f t="shared" si="6"/>
        <v>44.8</v>
      </c>
      <c r="H20" s="1318">
        <f t="shared" si="6"/>
        <v>78.64</v>
      </c>
      <c r="I20" s="1318">
        <f t="shared" si="6"/>
        <v>128.34</v>
      </c>
      <c r="J20" s="1318">
        <f t="shared" si="6"/>
        <v>198.1</v>
      </c>
      <c r="K20" s="1318">
        <f t="shared" si="6"/>
        <v>292.6</v>
      </c>
      <c r="L20" s="1010"/>
      <c r="M20" s="1044">
        <v>2.0</v>
      </c>
      <c r="P20" s="1175"/>
      <c r="Q20" s="1542">
        <v>3.0</v>
      </c>
      <c r="R20" s="1543">
        <v>0.13</v>
      </c>
      <c r="S20" s="1543">
        <v>0.27</v>
      </c>
      <c r="T20" s="1543">
        <v>0.4</v>
      </c>
      <c r="U20" s="1543">
        <v>0.53</v>
      </c>
      <c r="V20" s="1543">
        <v>0.67</v>
      </c>
    </row>
    <row r="21" ht="12.75" customHeight="1">
      <c r="B21" s="1004" t="s">
        <v>2033</v>
      </c>
      <c r="C21" s="997">
        <f t="shared" ref="C21:K21" si="7">C$11*C22</f>
        <v>8</v>
      </c>
      <c r="D21" s="997">
        <f t="shared" si="7"/>
        <v>18</v>
      </c>
      <c r="E21" s="997">
        <f t="shared" si="7"/>
        <v>30</v>
      </c>
      <c r="F21" s="997">
        <f t="shared" si="7"/>
        <v>44</v>
      </c>
      <c r="G21" s="997">
        <f t="shared" si="7"/>
        <v>60</v>
      </c>
      <c r="H21" s="997">
        <f t="shared" si="7"/>
        <v>78</v>
      </c>
      <c r="I21" s="997">
        <f t="shared" si="7"/>
        <v>98</v>
      </c>
      <c r="J21" s="997">
        <f t="shared" si="7"/>
        <v>120</v>
      </c>
      <c r="K21" s="997">
        <f t="shared" si="7"/>
        <v>144</v>
      </c>
      <c r="L21" s="1010"/>
      <c r="M21" s="1127"/>
      <c r="P21" s="1175"/>
      <c r="Q21" s="1542">
        <v>4.0</v>
      </c>
      <c r="R21" s="1543">
        <v>0.1</v>
      </c>
      <c r="S21" s="1543">
        <v>0.2</v>
      </c>
      <c r="T21" s="1543">
        <v>0.3</v>
      </c>
      <c r="U21" s="1543">
        <v>0.4</v>
      </c>
      <c r="V21" s="1543">
        <v>0.5</v>
      </c>
    </row>
    <row r="22" ht="12.75" customHeight="1">
      <c r="B22" s="1004" t="s">
        <v>2034</v>
      </c>
      <c r="C22" s="997">
        <f t="shared" ref="C22:K22" si="8">C$15*$M20</f>
        <v>8</v>
      </c>
      <c r="D22" s="997">
        <f t="shared" si="8"/>
        <v>9</v>
      </c>
      <c r="E22" s="997">
        <f t="shared" si="8"/>
        <v>10</v>
      </c>
      <c r="F22" s="997">
        <f t="shared" si="8"/>
        <v>11</v>
      </c>
      <c r="G22" s="997">
        <f t="shared" si="8"/>
        <v>12</v>
      </c>
      <c r="H22" s="997">
        <f t="shared" si="8"/>
        <v>13</v>
      </c>
      <c r="I22" s="997">
        <f t="shared" si="8"/>
        <v>14</v>
      </c>
      <c r="J22" s="997">
        <f t="shared" si="8"/>
        <v>15</v>
      </c>
      <c r="K22" s="997">
        <f t="shared" si="8"/>
        <v>16</v>
      </c>
      <c r="L22" s="1010"/>
      <c r="M22" s="1010"/>
      <c r="P22" s="1175"/>
      <c r="Q22" s="1542">
        <v>5.0</v>
      </c>
      <c r="R22" s="1543">
        <v>0.08</v>
      </c>
      <c r="S22" s="1543">
        <v>0.15</v>
      </c>
      <c r="T22" s="1543">
        <v>0.23</v>
      </c>
      <c r="U22" s="1543">
        <v>0.31</v>
      </c>
      <c r="V22" s="1543">
        <v>0.38</v>
      </c>
    </row>
    <row r="23" ht="12.75" customHeight="1">
      <c r="B23" s="1004" t="s">
        <v>1372</v>
      </c>
      <c r="C23" s="997">
        <f t="shared" ref="C23:K23" si="9">(0.02*C24)*C24</f>
        <v>0.08</v>
      </c>
      <c r="D23" s="997">
        <f t="shared" si="9"/>
        <v>0.18</v>
      </c>
      <c r="E23" s="997">
        <f t="shared" si="9"/>
        <v>0.32</v>
      </c>
      <c r="F23" s="1463">
        <f t="shared" si="9"/>
        <v>0.5</v>
      </c>
      <c r="G23" s="997">
        <f t="shared" si="9"/>
        <v>0.72</v>
      </c>
      <c r="H23" s="997">
        <f t="shared" si="9"/>
        <v>0.98</v>
      </c>
      <c r="I23" s="997">
        <f t="shared" si="9"/>
        <v>1.28</v>
      </c>
      <c r="J23" s="997">
        <f t="shared" si="9"/>
        <v>1.62</v>
      </c>
      <c r="K23" s="997">
        <f t="shared" si="9"/>
        <v>2</v>
      </c>
      <c r="L23" s="1010"/>
      <c r="M23" s="1127"/>
      <c r="R23" s="1301"/>
      <c r="S23" s="1301"/>
      <c r="T23" s="1301"/>
      <c r="U23" s="1301"/>
      <c r="V23" s="1301"/>
    </row>
    <row r="24" ht="12.75" customHeight="1">
      <c r="B24" s="1004" t="s">
        <v>2035</v>
      </c>
      <c r="C24" s="997">
        <f t="shared" ref="C24:K24" si="10">C17+1</f>
        <v>2</v>
      </c>
      <c r="D24" s="997">
        <f t="shared" si="10"/>
        <v>3</v>
      </c>
      <c r="E24" s="997">
        <f t="shared" si="10"/>
        <v>4</v>
      </c>
      <c r="F24" s="997">
        <f t="shared" si="10"/>
        <v>5</v>
      </c>
      <c r="G24" s="997">
        <f t="shared" si="10"/>
        <v>6</v>
      </c>
      <c r="H24" s="997">
        <f t="shared" si="10"/>
        <v>7</v>
      </c>
      <c r="I24" s="997">
        <f t="shared" si="10"/>
        <v>8</v>
      </c>
      <c r="J24" s="997">
        <f t="shared" si="10"/>
        <v>9</v>
      </c>
      <c r="K24" s="997">
        <f t="shared" si="10"/>
        <v>10</v>
      </c>
      <c r="L24" s="1010"/>
      <c r="M24" s="1127"/>
      <c r="P24" s="1546"/>
      <c r="Q24" s="1536"/>
      <c r="R24" s="1547" t="s">
        <v>2029</v>
      </c>
      <c r="S24" s="213"/>
      <c r="T24" s="213"/>
      <c r="U24" s="213"/>
      <c r="V24" s="213"/>
    </row>
    <row r="25" ht="12.75" customHeight="1">
      <c r="B25" s="1006" t="s">
        <v>2037</v>
      </c>
      <c r="C25" s="1324">
        <v>12.0</v>
      </c>
      <c r="D25" s="1324">
        <v>14.0</v>
      </c>
      <c r="E25" s="1324">
        <v>16.0</v>
      </c>
      <c r="F25" s="1324">
        <v>18.0</v>
      </c>
      <c r="G25" s="1324">
        <v>20.0</v>
      </c>
      <c r="H25" s="1324">
        <v>22.0</v>
      </c>
      <c r="I25" s="1324">
        <v>24.0</v>
      </c>
      <c r="J25" s="1324">
        <v>26.0</v>
      </c>
      <c r="K25" s="1324">
        <v>28.0</v>
      </c>
      <c r="L25" s="1010"/>
      <c r="M25" s="1127"/>
      <c r="P25" s="1546"/>
      <c r="Q25" s="1540" t="s">
        <v>2040</v>
      </c>
      <c r="R25" s="1539">
        <v>1.0</v>
      </c>
      <c r="S25" s="1539">
        <v>2.0</v>
      </c>
      <c r="T25" s="1539">
        <v>3.0</v>
      </c>
      <c r="U25" s="1539">
        <v>4.0</v>
      </c>
      <c r="V25" s="1539">
        <v>5.0</v>
      </c>
    </row>
    <row r="26" ht="12.75" customHeight="1">
      <c r="B26" s="1004" t="s">
        <v>2038</v>
      </c>
      <c r="C26" s="953" t="s">
        <v>1237</v>
      </c>
      <c r="D26" s="953" t="s">
        <v>1237</v>
      </c>
      <c r="E26" s="953" t="s">
        <v>1250</v>
      </c>
      <c r="F26" s="953" t="s">
        <v>1250</v>
      </c>
      <c r="G26" s="953" t="s">
        <v>1250</v>
      </c>
      <c r="H26" s="953" t="s">
        <v>1263</v>
      </c>
      <c r="I26" s="953" t="s">
        <v>1263</v>
      </c>
      <c r="J26" s="953" t="s">
        <v>1263</v>
      </c>
      <c r="K26" s="953" t="s">
        <v>1263</v>
      </c>
      <c r="P26" s="1541" t="s">
        <v>2041</v>
      </c>
      <c r="Q26" s="1542">
        <v>1.0</v>
      </c>
      <c r="R26" s="1543">
        <v>0.24</v>
      </c>
      <c r="S26" s="1543">
        <v>0.47</v>
      </c>
      <c r="T26" s="1543">
        <v>0.71</v>
      </c>
      <c r="U26" s="1543">
        <v>0.95</v>
      </c>
      <c r="V26" s="1543">
        <v>1.0</v>
      </c>
    </row>
    <row r="27" ht="12.75" customHeight="1">
      <c r="B27" s="1111" t="s">
        <v>2042</v>
      </c>
      <c r="C27" s="1318">
        <f t="shared" ref="C27:K27" si="11">C28*C30+C$13*$C$8</f>
        <v>2.36</v>
      </c>
      <c r="D27" s="1318">
        <f t="shared" si="11"/>
        <v>9.04</v>
      </c>
      <c r="E27" s="1318">
        <f t="shared" si="11"/>
        <v>23.2</v>
      </c>
      <c r="F27" s="1318">
        <f t="shared" si="11"/>
        <v>48.62</v>
      </c>
      <c r="G27" s="1318">
        <f t="shared" si="11"/>
        <v>89.8</v>
      </c>
      <c r="H27" s="1318">
        <f t="shared" si="11"/>
        <v>151.96</v>
      </c>
      <c r="I27" s="1318">
        <f t="shared" si="11"/>
        <v>241.04</v>
      </c>
      <c r="J27" s="1318">
        <f t="shared" si="11"/>
        <v>363.7</v>
      </c>
      <c r="K27" s="1318">
        <f t="shared" si="11"/>
        <v>527.32</v>
      </c>
      <c r="L27" s="1010"/>
      <c r="M27" s="1044">
        <v>3.0</v>
      </c>
      <c r="P27" s="1175"/>
      <c r="Q27" s="1542">
        <v>2.0</v>
      </c>
      <c r="R27" s="1543">
        <v>0.19</v>
      </c>
      <c r="S27" s="1543">
        <v>0.37</v>
      </c>
      <c r="T27" s="1543">
        <v>0.56</v>
      </c>
      <c r="U27" s="1543">
        <v>0.75</v>
      </c>
      <c r="V27" s="1543">
        <v>0.93</v>
      </c>
    </row>
    <row r="28" ht="12.75" customHeight="1">
      <c r="B28" s="1004" t="s">
        <v>2033</v>
      </c>
      <c r="C28" s="997">
        <f t="shared" ref="C28:K28" si="12">C$11*C29</f>
        <v>12</v>
      </c>
      <c r="D28" s="997">
        <f t="shared" si="12"/>
        <v>27</v>
      </c>
      <c r="E28" s="997">
        <f t="shared" si="12"/>
        <v>45</v>
      </c>
      <c r="F28" s="997">
        <f t="shared" si="12"/>
        <v>66</v>
      </c>
      <c r="G28" s="997">
        <f t="shared" si="12"/>
        <v>90</v>
      </c>
      <c r="H28" s="997">
        <f t="shared" si="12"/>
        <v>117</v>
      </c>
      <c r="I28" s="997">
        <f t="shared" si="12"/>
        <v>147</v>
      </c>
      <c r="J28" s="997">
        <f t="shared" si="12"/>
        <v>180</v>
      </c>
      <c r="K28" s="997">
        <f t="shared" si="12"/>
        <v>216</v>
      </c>
      <c r="L28" s="1010"/>
      <c r="M28" s="1127"/>
      <c r="P28" s="1175"/>
      <c r="Q28" s="1542">
        <v>3.0</v>
      </c>
      <c r="R28" s="1543">
        <v>0.14</v>
      </c>
      <c r="S28" s="1543">
        <v>0.29</v>
      </c>
      <c r="T28" s="1543">
        <v>0.43</v>
      </c>
      <c r="U28" s="1543">
        <v>0.57</v>
      </c>
      <c r="V28" s="1543">
        <v>0.72</v>
      </c>
    </row>
    <row r="29" ht="12.75" customHeight="1">
      <c r="B29" s="1004" t="s">
        <v>2034</v>
      </c>
      <c r="C29" s="997">
        <f t="shared" ref="C29:K29" si="13">C$15*$M27</f>
        <v>12</v>
      </c>
      <c r="D29" s="997">
        <f t="shared" si="13"/>
        <v>13.5</v>
      </c>
      <c r="E29" s="997">
        <f t="shared" si="13"/>
        <v>15</v>
      </c>
      <c r="F29" s="997">
        <f t="shared" si="13"/>
        <v>16.5</v>
      </c>
      <c r="G29" s="997">
        <f t="shared" si="13"/>
        <v>18</v>
      </c>
      <c r="H29" s="997">
        <f t="shared" si="13"/>
        <v>19.5</v>
      </c>
      <c r="I29" s="997">
        <f t="shared" si="13"/>
        <v>21</v>
      </c>
      <c r="J29" s="997">
        <f t="shared" si="13"/>
        <v>22.5</v>
      </c>
      <c r="K29" s="997">
        <f t="shared" si="13"/>
        <v>24</v>
      </c>
      <c r="L29" s="1010"/>
      <c r="M29" s="1010"/>
      <c r="P29" s="1175"/>
      <c r="Q29" s="1542">
        <v>4.0</v>
      </c>
      <c r="R29" s="1543">
        <v>0.11</v>
      </c>
      <c r="S29" s="1543">
        <v>0.22</v>
      </c>
      <c r="T29" s="1543">
        <v>0.33</v>
      </c>
      <c r="U29" s="1543">
        <v>0.44</v>
      </c>
      <c r="V29" s="1543">
        <v>0.55</v>
      </c>
    </row>
    <row r="30" ht="12.75" customHeight="1">
      <c r="B30" s="1004" t="s">
        <v>1372</v>
      </c>
      <c r="C30" s="997">
        <f t="shared" ref="C30:K30" si="14">(0.02*C31)*C31</f>
        <v>0.18</v>
      </c>
      <c r="D30" s="997">
        <f t="shared" si="14"/>
        <v>0.32</v>
      </c>
      <c r="E30" s="1463">
        <f t="shared" si="14"/>
        <v>0.5</v>
      </c>
      <c r="F30" s="997">
        <f t="shared" si="14"/>
        <v>0.72</v>
      </c>
      <c r="G30" s="997">
        <f t="shared" si="14"/>
        <v>0.98</v>
      </c>
      <c r="H30" s="997">
        <f t="shared" si="14"/>
        <v>1.28</v>
      </c>
      <c r="I30" s="997">
        <f t="shared" si="14"/>
        <v>1.62</v>
      </c>
      <c r="J30" s="997">
        <f t="shared" si="14"/>
        <v>2</v>
      </c>
      <c r="K30" s="997">
        <f t="shared" si="14"/>
        <v>2.42</v>
      </c>
      <c r="L30" s="1010"/>
      <c r="M30" s="1127"/>
      <c r="P30" s="1175"/>
      <c r="Q30" s="1542">
        <v>5.0</v>
      </c>
      <c r="R30" s="1543">
        <v>0.09</v>
      </c>
      <c r="S30" s="1543">
        <v>0.17</v>
      </c>
      <c r="T30" s="1543">
        <v>0.26</v>
      </c>
      <c r="U30" s="1543">
        <v>0.35</v>
      </c>
      <c r="V30" s="1543">
        <v>0.43</v>
      </c>
    </row>
    <row r="31" ht="12.75" customHeight="1">
      <c r="B31" s="1004" t="s">
        <v>2035</v>
      </c>
      <c r="C31" s="997">
        <f t="shared" ref="C31:K31" si="15">C24+1</f>
        <v>3</v>
      </c>
      <c r="D31" s="997">
        <f t="shared" si="15"/>
        <v>4</v>
      </c>
      <c r="E31" s="997">
        <f t="shared" si="15"/>
        <v>5</v>
      </c>
      <c r="F31" s="997">
        <f t="shared" si="15"/>
        <v>6</v>
      </c>
      <c r="G31" s="997">
        <f t="shared" si="15"/>
        <v>7</v>
      </c>
      <c r="H31" s="997">
        <f t="shared" si="15"/>
        <v>8</v>
      </c>
      <c r="I31" s="997">
        <f t="shared" si="15"/>
        <v>9</v>
      </c>
      <c r="J31" s="997">
        <f t="shared" si="15"/>
        <v>10</v>
      </c>
      <c r="K31" s="997">
        <f t="shared" si="15"/>
        <v>11</v>
      </c>
      <c r="L31" s="1010"/>
      <c r="M31" s="1127"/>
      <c r="P31" s="1175"/>
      <c r="Q31" s="1542">
        <v>6.0</v>
      </c>
      <c r="R31" s="1543">
        <v>0.07</v>
      </c>
      <c r="S31" s="1543">
        <v>0.15</v>
      </c>
      <c r="T31" s="1543">
        <v>0.22</v>
      </c>
      <c r="U31" s="1543">
        <v>0.29</v>
      </c>
      <c r="V31" s="1543">
        <v>0.37</v>
      </c>
    </row>
    <row r="32" ht="12.75" customHeight="1">
      <c r="B32" s="1006" t="s">
        <v>2037</v>
      </c>
      <c r="C32" s="1324">
        <v>14.0</v>
      </c>
      <c r="D32" s="1324">
        <v>16.0</v>
      </c>
      <c r="E32" s="1324">
        <v>18.0</v>
      </c>
      <c r="F32" s="1324">
        <v>20.0</v>
      </c>
      <c r="G32" s="1324">
        <v>22.0</v>
      </c>
      <c r="H32" s="1324">
        <v>24.0</v>
      </c>
      <c r="I32" s="1324">
        <v>26.0</v>
      </c>
      <c r="J32" s="1324">
        <v>28.0</v>
      </c>
      <c r="K32" s="1324">
        <v>30.0</v>
      </c>
      <c r="L32" s="1010"/>
      <c r="M32" s="1127"/>
      <c r="P32" s="1175"/>
      <c r="Q32" s="1542">
        <v>7.0</v>
      </c>
      <c r="R32" s="1543">
        <v>0.07</v>
      </c>
      <c r="S32" s="1543">
        <v>0.14</v>
      </c>
      <c r="T32" s="1543">
        <v>0.21</v>
      </c>
      <c r="U32" s="1543">
        <v>0.28</v>
      </c>
      <c r="V32" s="1543">
        <v>0.35</v>
      </c>
    </row>
    <row r="33" ht="12.75" customHeight="1">
      <c r="B33" s="1004" t="s">
        <v>2038</v>
      </c>
      <c r="C33" s="953" t="s">
        <v>1237</v>
      </c>
      <c r="D33" s="953" t="s">
        <v>1250</v>
      </c>
      <c r="E33" s="953" t="s">
        <v>1250</v>
      </c>
      <c r="F33" s="953" t="s">
        <v>1250</v>
      </c>
      <c r="G33" s="953" t="s">
        <v>1263</v>
      </c>
      <c r="H33" s="953" t="s">
        <v>1263</v>
      </c>
      <c r="I33" s="953" t="s">
        <v>1263</v>
      </c>
      <c r="J33" s="953" t="s">
        <v>1263</v>
      </c>
      <c r="K33" s="953" t="s">
        <v>1263</v>
      </c>
      <c r="L33" s="1010"/>
      <c r="M33" s="1127"/>
    </row>
    <row r="34" ht="12.75" customHeight="1"/>
    <row r="35" ht="12.75" customHeight="1">
      <c r="B35" s="985" t="s">
        <v>2043</v>
      </c>
      <c r="L35" s="1010"/>
      <c r="M35" s="1127"/>
    </row>
    <row r="36" ht="12.75" customHeight="1">
      <c r="B36" s="1538" t="s">
        <v>2044</v>
      </c>
      <c r="C36" s="1548" t="s">
        <v>131</v>
      </c>
      <c r="D36" s="1548" t="s">
        <v>1755</v>
      </c>
      <c r="E36" s="1548" t="s">
        <v>1756</v>
      </c>
      <c r="F36" s="1548" t="s">
        <v>1804</v>
      </c>
      <c r="G36" s="1548" t="s">
        <v>1760</v>
      </c>
      <c r="L36" s="1010"/>
      <c r="M36" s="1070" t="s">
        <v>1434</v>
      </c>
    </row>
    <row r="37" ht="12.75" customHeight="1">
      <c r="B37" s="1111" t="s">
        <v>2045</v>
      </c>
      <c r="C37" s="1549">
        <f t="shared" ref="C37:G37" si="16">C41*C42+C$40*0.1*$C$8+C39</f>
        <v>3</v>
      </c>
      <c r="D37" s="1549">
        <f t="shared" si="16"/>
        <v>8.62</v>
      </c>
      <c r="E37" s="1549">
        <f t="shared" si="16"/>
        <v>19.02</v>
      </c>
      <c r="F37" s="1549">
        <f t="shared" si="16"/>
        <v>99.92</v>
      </c>
      <c r="G37" s="1549">
        <f t="shared" si="16"/>
        <v>605.76</v>
      </c>
      <c r="L37" s="1010"/>
      <c r="M37" s="1044">
        <v>1.0</v>
      </c>
    </row>
    <row r="38" ht="12.75" customHeight="1">
      <c r="B38" s="1550" t="s">
        <v>2046</v>
      </c>
      <c r="C38" s="1551" t="s">
        <v>2047</v>
      </c>
      <c r="D38" s="1551" t="s">
        <v>2048</v>
      </c>
      <c r="E38" s="1551" t="s">
        <v>2049</v>
      </c>
      <c r="F38" s="1552" t="s">
        <v>2050</v>
      </c>
      <c r="G38" s="1552" t="s">
        <v>2051</v>
      </c>
      <c r="L38" s="1010"/>
      <c r="M38" s="1010"/>
    </row>
    <row r="39" ht="12.75" customHeight="1">
      <c r="B39" s="1553" t="s">
        <v>2052</v>
      </c>
      <c r="C39" s="1554">
        <f>'Портной'!C20</f>
        <v>2</v>
      </c>
      <c r="D39" s="1554">
        <f>'Портной'!D20</f>
        <v>6.2</v>
      </c>
      <c r="E39" s="1554">
        <f>'Портной'!E20</f>
        <v>14.4</v>
      </c>
      <c r="F39" s="1554">
        <f>'Портной'!F20</f>
        <v>92.2</v>
      </c>
      <c r="G39" s="1554">
        <f>'Портной'!G86</f>
        <v>593.92</v>
      </c>
      <c r="L39" s="1010"/>
      <c r="M39" s="1010"/>
    </row>
    <row r="40" ht="12.75" customHeight="1">
      <c r="B40" s="1432" t="s">
        <v>2032</v>
      </c>
      <c r="C40" s="1555">
        <v>20.0</v>
      </c>
      <c r="D40" s="1555">
        <v>40.0</v>
      </c>
      <c r="E40" s="1555">
        <v>70.0</v>
      </c>
      <c r="F40" s="1555">
        <v>110.0</v>
      </c>
      <c r="G40" s="1555">
        <v>160.0</v>
      </c>
      <c r="L40" s="1010"/>
      <c r="M40" s="1010"/>
    </row>
    <row r="41" ht="12.75" customHeight="1">
      <c r="B41" s="1004" t="s">
        <v>2033</v>
      </c>
      <c r="C41" s="950">
        <f t="shared" ref="C41:G41" si="17">10+C43</f>
        <v>12</v>
      </c>
      <c r="D41" s="950">
        <f t="shared" si="17"/>
        <v>13</v>
      </c>
      <c r="E41" s="950">
        <f t="shared" si="17"/>
        <v>14</v>
      </c>
      <c r="F41" s="950">
        <f t="shared" si="17"/>
        <v>15</v>
      </c>
      <c r="G41" s="950">
        <f t="shared" si="17"/>
        <v>16</v>
      </c>
      <c r="L41" s="1010"/>
      <c r="M41" s="1010"/>
      <c r="P41" s="1546"/>
    </row>
    <row r="42" ht="12.75" customHeight="1">
      <c r="B42" s="1004" t="s">
        <v>1372</v>
      </c>
      <c r="C42" s="950">
        <f t="shared" ref="C42:G42" si="18">(0.02*C43)*C43</f>
        <v>0.08</v>
      </c>
      <c r="D42" s="950">
        <f t="shared" si="18"/>
        <v>0.18</v>
      </c>
      <c r="E42" s="950">
        <f t="shared" si="18"/>
        <v>0.32</v>
      </c>
      <c r="F42" s="950">
        <f t="shared" si="18"/>
        <v>0.5</v>
      </c>
      <c r="G42" s="950">
        <f t="shared" si="18"/>
        <v>0.72</v>
      </c>
      <c r="L42" s="1010"/>
      <c r="M42" s="1010"/>
      <c r="P42" s="1546"/>
    </row>
    <row r="43" ht="12.75" customHeight="1">
      <c r="B43" s="1004" t="s">
        <v>2035</v>
      </c>
      <c r="C43" s="950">
        <v>2.0</v>
      </c>
      <c r="D43" s="950">
        <f t="shared" ref="D43:G43" si="19">C43+1</f>
        <v>3</v>
      </c>
      <c r="E43" s="950">
        <f t="shared" si="19"/>
        <v>4</v>
      </c>
      <c r="F43" s="950">
        <f t="shared" si="19"/>
        <v>5</v>
      </c>
      <c r="G43" s="950">
        <f t="shared" si="19"/>
        <v>6</v>
      </c>
      <c r="L43" s="1010"/>
      <c r="M43" s="1010"/>
      <c r="P43" s="1546"/>
    </row>
    <row r="44" ht="12.75" customHeight="1">
      <c r="B44" s="1006" t="s">
        <v>2037</v>
      </c>
      <c r="C44" s="1556">
        <v>12.0</v>
      </c>
      <c r="D44" s="1556">
        <v>14.0</v>
      </c>
      <c r="E44" s="1556">
        <v>16.0</v>
      </c>
      <c r="F44" s="1556">
        <v>18.0</v>
      </c>
      <c r="G44" s="1556">
        <v>20.0</v>
      </c>
      <c r="L44" s="1010"/>
      <c r="M44" s="1044"/>
    </row>
    <row r="45" ht="12.75" customHeight="1">
      <c r="B45" s="1004" t="s">
        <v>2038</v>
      </c>
      <c r="C45" s="953" t="s">
        <v>1237</v>
      </c>
      <c r="D45" s="953" t="s">
        <v>1237</v>
      </c>
      <c r="E45" s="953" t="s">
        <v>1250</v>
      </c>
      <c r="F45" s="953" t="s">
        <v>1250</v>
      </c>
      <c r="G45" s="953" t="s">
        <v>1250</v>
      </c>
    </row>
    <row r="46" ht="12.75" customHeight="1">
      <c r="B46" s="1111" t="s">
        <v>2053</v>
      </c>
      <c r="C46" s="1549">
        <f t="shared" ref="C46:G46" si="20">C49*C50+C$40*0.1*$C$8+C48</f>
        <v>10.16</v>
      </c>
      <c r="D46" s="1549">
        <f t="shared" si="20"/>
        <v>23.6</v>
      </c>
      <c r="E46" s="1549">
        <f t="shared" si="20"/>
        <v>45.74</v>
      </c>
      <c r="F46" s="1549">
        <f t="shared" si="20"/>
        <v>143.02</v>
      </c>
      <c r="G46" s="1549">
        <f t="shared" si="20"/>
        <v>772.8</v>
      </c>
      <c r="L46" s="1010"/>
      <c r="M46" s="1044">
        <v>2.0</v>
      </c>
    </row>
    <row r="47" ht="12.75" customHeight="1">
      <c r="B47" s="1550" t="s">
        <v>2046</v>
      </c>
      <c r="C47" s="1551" t="s">
        <v>2048</v>
      </c>
      <c r="D47" s="1551" t="s">
        <v>2049</v>
      </c>
      <c r="E47" s="1551" t="s">
        <v>2054</v>
      </c>
      <c r="F47" s="1552" t="s">
        <v>2055</v>
      </c>
      <c r="G47" s="1552" t="s">
        <v>2056</v>
      </c>
      <c r="L47" s="1010"/>
      <c r="M47" s="1010"/>
    </row>
    <row r="48" ht="12.75" customHeight="1">
      <c r="B48" s="1553" t="s">
        <v>2057</v>
      </c>
      <c r="C48" s="1554">
        <f>'Портной'!C27</f>
        <v>5.8</v>
      </c>
      <c r="D48" s="1554">
        <f>'Портной'!D27</f>
        <v>15.2</v>
      </c>
      <c r="E48" s="1554">
        <f>'Портной'!E27</f>
        <v>31.6</v>
      </c>
      <c r="F48" s="1554">
        <f>'Портной'!F27</f>
        <v>121.2</v>
      </c>
      <c r="G48" s="1554">
        <f>'Портной'!G93</f>
        <v>741.12</v>
      </c>
      <c r="L48" s="1010"/>
      <c r="M48" s="1010"/>
    </row>
    <row r="49" ht="12.75" customHeight="1">
      <c r="B49" s="1004" t="s">
        <v>2033</v>
      </c>
      <c r="C49" s="1075">
        <f t="shared" ref="C49:G49" si="21">C$41*$M46</f>
        <v>24</v>
      </c>
      <c r="D49" s="1075">
        <f t="shared" si="21"/>
        <v>26</v>
      </c>
      <c r="E49" s="1075">
        <f t="shared" si="21"/>
        <v>28</v>
      </c>
      <c r="F49" s="1075">
        <f t="shared" si="21"/>
        <v>30</v>
      </c>
      <c r="G49" s="1075">
        <f t="shared" si="21"/>
        <v>32</v>
      </c>
      <c r="L49" s="1010"/>
      <c r="M49" s="1010"/>
    </row>
    <row r="50" ht="12.75" customHeight="1">
      <c r="B50" s="1004" t="s">
        <v>1372</v>
      </c>
      <c r="C50" s="1075">
        <f t="shared" ref="C50:G50" si="22">(0.02*C51)*C51</f>
        <v>0.18</v>
      </c>
      <c r="D50" s="1075">
        <f t="shared" si="22"/>
        <v>0.32</v>
      </c>
      <c r="E50" s="1075">
        <f t="shared" si="22"/>
        <v>0.5</v>
      </c>
      <c r="F50" s="1076">
        <f t="shared" si="22"/>
        <v>0.72</v>
      </c>
      <c r="G50" s="1075">
        <f t="shared" si="22"/>
        <v>0.98</v>
      </c>
      <c r="L50" s="1010"/>
      <c r="M50" s="1010"/>
    </row>
    <row r="51" ht="12.75" customHeight="1">
      <c r="B51" s="1004" t="s">
        <v>2035</v>
      </c>
      <c r="C51" s="1075">
        <f t="shared" ref="C51:G51" si="23">C43+1</f>
        <v>3</v>
      </c>
      <c r="D51" s="1075">
        <f t="shared" si="23"/>
        <v>4</v>
      </c>
      <c r="E51" s="1075">
        <f t="shared" si="23"/>
        <v>5</v>
      </c>
      <c r="F51" s="1075">
        <f t="shared" si="23"/>
        <v>6</v>
      </c>
      <c r="G51" s="1075">
        <f t="shared" si="23"/>
        <v>7</v>
      </c>
      <c r="L51" s="1010"/>
      <c r="M51" s="1010"/>
    </row>
    <row r="52" ht="12.75" customHeight="1">
      <c r="B52" s="1006" t="s">
        <v>2037</v>
      </c>
      <c r="C52" s="1556">
        <v>14.0</v>
      </c>
      <c r="D52" s="1556">
        <v>16.0</v>
      </c>
      <c r="E52" s="1556">
        <v>18.0</v>
      </c>
      <c r="F52" s="1556">
        <v>20.0</v>
      </c>
      <c r="G52" s="1556">
        <v>22.0</v>
      </c>
      <c r="L52" s="1010"/>
      <c r="M52" s="1044"/>
    </row>
    <row r="53" ht="12.75" customHeight="1">
      <c r="B53" s="1004" t="s">
        <v>2038</v>
      </c>
      <c r="C53" s="953" t="s">
        <v>1237</v>
      </c>
      <c r="D53" s="953" t="s">
        <v>1250</v>
      </c>
      <c r="E53" s="953" t="s">
        <v>1250</v>
      </c>
      <c r="F53" s="953" t="s">
        <v>1250</v>
      </c>
      <c r="G53" s="953" t="s">
        <v>1263</v>
      </c>
    </row>
    <row r="54" ht="12.75" customHeight="1">
      <c r="B54" s="1111" t="s">
        <v>2058</v>
      </c>
      <c r="C54" s="1549">
        <f t="shared" ref="C54:G54" si="24">C57*C58+C$40*0.1*$C$8+C56</f>
        <v>24.76</v>
      </c>
      <c r="D54" s="1549">
        <f t="shared" si="24"/>
        <v>50.38</v>
      </c>
      <c r="E54" s="1549">
        <f t="shared" si="24"/>
        <v>89.58</v>
      </c>
      <c r="F54" s="1549">
        <f t="shared" si="24"/>
        <v>209.52</v>
      </c>
      <c r="G54" s="1549">
        <f t="shared" si="24"/>
        <v>1003.84</v>
      </c>
      <c r="L54" s="1010"/>
      <c r="M54" s="1044">
        <v>3.0</v>
      </c>
    </row>
    <row r="55" ht="12.75" customHeight="1">
      <c r="B55" s="1550" t="s">
        <v>2046</v>
      </c>
      <c r="C55" s="1551" t="s">
        <v>2049</v>
      </c>
      <c r="D55" s="1551" t="s">
        <v>2054</v>
      </c>
      <c r="E55" s="1551" t="s">
        <v>2050</v>
      </c>
      <c r="F55" s="1552" t="s">
        <v>2059</v>
      </c>
      <c r="G55" s="1552" t="s">
        <v>2060</v>
      </c>
      <c r="L55" s="1010"/>
      <c r="M55" s="1010"/>
    </row>
    <row r="56" ht="12.75" customHeight="1">
      <c r="B56" s="1553" t="s">
        <v>2061</v>
      </c>
      <c r="C56" s="1554">
        <f>'Портной'!C34</f>
        <v>13.2</v>
      </c>
      <c r="D56" s="1554">
        <f>'Портной'!D34</f>
        <v>30.8</v>
      </c>
      <c r="E56" s="1554">
        <f>'Портной'!E34</f>
        <v>59.2</v>
      </c>
      <c r="F56" s="1554">
        <f>'Портной'!F34</f>
        <v>165.2</v>
      </c>
      <c r="G56" s="1554">
        <f>'Портной'!G100</f>
        <v>942.08</v>
      </c>
      <c r="L56" s="1010"/>
      <c r="M56" s="1010"/>
    </row>
    <row r="57" ht="12.75" customHeight="1">
      <c r="B57" s="1004" t="s">
        <v>2033</v>
      </c>
      <c r="C57" s="1075">
        <f t="shared" ref="C57:G57" si="25">C41*$M$54</f>
        <v>36</v>
      </c>
      <c r="D57" s="1075">
        <f t="shared" si="25"/>
        <v>39</v>
      </c>
      <c r="E57" s="1075">
        <f t="shared" si="25"/>
        <v>42</v>
      </c>
      <c r="F57" s="1075">
        <f t="shared" si="25"/>
        <v>45</v>
      </c>
      <c r="G57" s="1075">
        <f t="shared" si="25"/>
        <v>48</v>
      </c>
      <c r="L57" s="1010"/>
      <c r="M57" s="1010"/>
    </row>
    <row r="58" ht="12.75" customHeight="1">
      <c r="B58" s="1004" t="s">
        <v>1372</v>
      </c>
      <c r="C58" s="1075">
        <f t="shared" ref="C58:G58" si="26">(0.02*C59)*C59</f>
        <v>0.32</v>
      </c>
      <c r="D58" s="1075">
        <f t="shared" si="26"/>
        <v>0.5</v>
      </c>
      <c r="E58" s="1076">
        <f t="shared" si="26"/>
        <v>0.72</v>
      </c>
      <c r="F58" s="1075">
        <f t="shared" si="26"/>
        <v>0.98</v>
      </c>
      <c r="G58" s="1075">
        <f t="shared" si="26"/>
        <v>1.28</v>
      </c>
      <c r="L58" s="1010"/>
      <c r="M58" s="1010"/>
    </row>
    <row r="59" ht="12.75" customHeight="1">
      <c r="B59" s="1004" t="s">
        <v>2035</v>
      </c>
      <c r="C59" s="1075">
        <f t="shared" ref="C59:G59" si="27">C51+1</f>
        <v>4</v>
      </c>
      <c r="D59" s="1075">
        <f t="shared" si="27"/>
        <v>5</v>
      </c>
      <c r="E59" s="1075">
        <f t="shared" si="27"/>
        <v>6</v>
      </c>
      <c r="F59" s="1075">
        <f t="shared" si="27"/>
        <v>7</v>
      </c>
      <c r="G59" s="1075">
        <f t="shared" si="27"/>
        <v>8</v>
      </c>
      <c r="L59" s="1010"/>
      <c r="M59" s="1010"/>
    </row>
    <row r="60" ht="12.75" customHeight="1">
      <c r="B60" s="1006" t="s">
        <v>2037</v>
      </c>
      <c r="C60" s="1556">
        <v>16.0</v>
      </c>
      <c r="D60" s="1556">
        <v>18.0</v>
      </c>
      <c r="E60" s="1556">
        <v>20.0</v>
      </c>
      <c r="F60" s="1556">
        <v>22.0</v>
      </c>
      <c r="G60" s="1556">
        <v>24.0</v>
      </c>
      <c r="L60" s="1010"/>
      <c r="M60" s="1010"/>
    </row>
    <row r="61" ht="12.75" customHeight="1">
      <c r="B61" s="1004" t="s">
        <v>2038</v>
      </c>
      <c r="C61" s="953" t="s">
        <v>1250</v>
      </c>
      <c r="D61" s="953" t="s">
        <v>1250</v>
      </c>
      <c r="E61" s="953" t="s">
        <v>1250</v>
      </c>
      <c r="F61" s="953" t="s">
        <v>1263</v>
      </c>
      <c r="G61" s="953" t="s">
        <v>1263</v>
      </c>
      <c r="L61" s="1010"/>
      <c r="M61" s="1010"/>
    </row>
    <row r="62" ht="12.75" customHeight="1"/>
    <row r="63" ht="12.75" customHeight="1">
      <c r="B63" s="985" t="s">
        <v>2062</v>
      </c>
      <c r="H63" s="1557"/>
      <c r="L63" s="1010"/>
      <c r="M63" s="1127"/>
      <c r="W63" s="985" t="s">
        <v>2063</v>
      </c>
      <c r="AB63" s="1557"/>
      <c r="AG63" s="1068"/>
    </row>
    <row r="64" ht="12.75" customHeight="1">
      <c r="B64" s="1538" t="s">
        <v>2064</v>
      </c>
      <c r="C64" s="1548" t="s">
        <v>86</v>
      </c>
      <c r="D64" s="1548" t="s">
        <v>85</v>
      </c>
      <c r="E64" s="1548" t="s">
        <v>84</v>
      </c>
      <c r="F64" s="1548" t="s">
        <v>2065</v>
      </c>
      <c r="L64" s="1010"/>
      <c r="M64" s="1070" t="s">
        <v>1434</v>
      </c>
      <c r="W64" s="1538" t="s">
        <v>2066</v>
      </c>
      <c r="X64" s="1548" t="s">
        <v>85</v>
      </c>
      <c r="Y64" s="1548" t="s">
        <v>84</v>
      </c>
      <c r="Z64" s="1548" t="s">
        <v>2065</v>
      </c>
      <c r="AF64" s="1010"/>
      <c r="AG64" s="1070" t="s">
        <v>1434</v>
      </c>
    </row>
    <row r="65" ht="12.75" customHeight="1">
      <c r="B65" s="1111" t="s">
        <v>2067</v>
      </c>
      <c r="C65" s="1549">
        <f t="shared" ref="C65:F65" si="28">C69*C70+C$68*0.1*$C$8+C67</f>
        <v>0.467</v>
      </c>
      <c r="D65" s="1549">
        <f t="shared" si="28"/>
        <v>2.623</v>
      </c>
      <c r="E65" s="1549">
        <f t="shared" si="28"/>
        <v>103.816</v>
      </c>
      <c r="F65" s="1549">
        <f t="shared" si="28"/>
        <v>1007.369</v>
      </c>
      <c r="M65" s="1044">
        <v>1.0</v>
      </c>
      <c r="W65" s="1111" t="s">
        <v>2067</v>
      </c>
      <c r="X65" s="1318">
        <f t="shared" ref="X65:Z65" si="29">X69*X70+X$68*0.1*$C$8+X67</f>
        <v>2.623</v>
      </c>
      <c r="Y65" s="1318">
        <f t="shared" si="29"/>
        <v>103.816</v>
      </c>
      <c r="Z65" s="1318">
        <f t="shared" si="29"/>
        <v>1007.369</v>
      </c>
      <c r="AF65" s="1044"/>
      <c r="AG65" s="1127">
        <v>1.0</v>
      </c>
    </row>
    <row r="66" ht="12.75" customHeight="1">
      <c r="B66" s="1550" t="s">
        <v>3</v>
      </c>
      <c r="C66" s="1552" t="s">
        <v>2068</v>
      </c>
      <c r="D66" s="1558" t="s">
        <v>2069</v>
      </c>
      <c r="E66" s="1558" t="s">
        <v>2070</v>
      </c>
      <c r="F66" s="1558" t="s">
        <v>2071</v>
      </c>
      <c r="M66" s="1010"/>
      <c r="W66" s="1550" t="s">
        <v>3</v>
      </c>
      <c r="X66" s="1552" t="s">
        <v>2072</v>
      </c>
      <c r="Y66" s="1552" t="s">
        <v>2073</v>
      </c>
      <c r="Z66" s="1552" t="s">
        <v>2074</v>
      </c>
      <c r="AF66" s="1010"/>
      <c r="AG66" s="1070"/>
    </row>
    <row r="67" ht="12.75" customHeight="1">
      <c r="B67" s="1553" t="s">
        <v>2075</v>
      </c>
      <c r="C67" s="1554">
        <f>'Ювелир'!D22</f>
        <v>0.207</v>
      </c>
      <c r="D67" s="1554">
        <f>'Ювелир'!E22</f>
        <v>1.583</v>
      </c>
      <c r="E67" s="1554">
        <f>'Ювелир'!F22</f>
        <v>101.336</v>
      </c>
      <c r="F67" s="1554">
        <f>'Ювелир'!G22</f>
        <v>1002.669</v>
      </c>
      <c r="M67" s="1010"/>
      <c r="W67" s="1559" t="s">
        <v>2076</v>
      </c>
      <c r="X67" s="1554">
        <f>'Ювелир'!E22</f>
        <v>1.583</v>
      </c>
      <c r="Y67" s="1554">
        <f>'Ювелир'!F22</f>
        <v>101.336</v>
      </c>
      <c r="Z67" s="1554">
        <f>'Ювелир'!G22</f>
        <v>1002.669</v>
      </c>
      <c r="AF67" s="1044"/>
      <c r="AG67" s="1127"/>
    </row>
    <row r="68" ht="12.75" customHeight="1">
      <c r="B68" s="1432" t="s">
        <v>2032</v>
      </c>
      <c r="C68" s="1555">
        <v>20.0</v>
      </c>
      <c r="D68" s="1555">
        <v>40.0</v>
      </c>
      <c r="E68" s="1555">
        <v>70.0</v>
      </c>
      <c r="F68" s="1555">
        <v>110.0</v>
      </c>
      <c r="M68" s="1010"/>
      <c r="W68" s="1432" t="s">
        <v>2032</v>
      </c>
      <c r="X68" s="1544">
        <v>40.0</v>
      </c>
      <c r="Y68" s="1544">
        <v>70.0</v>
      </c>
      <c r="Z68" s="1544">
        <v>110.0</v>
      </c>
      <c r="AF68" s="1010"/>
      <c r="AG68" s="1070"/>
    </row>
    <row r="69" ht="12.75" customHeight="1">
      <c r="B69" s="1004" t="s">
        <v>2033</v>
      </c>
      <c r="C69" s="950">
        <f t="shared" ref="C69:F69" si="30">10+C71</f>
        <v>11</v>
      </c>
      <c r="D69" s="950">
        <f t="shared" si="30"/>
        <v>12</v>
      </c>
      <c r="E69" s="950">
        <f t="shared" si="30"/>
        <v>13</v>
      </c>
      <c r="F69" s="950">
        <f t="shared" si="30"/>
        <v>14</v>
      </c>
      <c r="M69" s="1010"/>
      <c r="W69" s="1004" t="s">
        <v>2033</v>
      </c>
      <c r="X69" s="981">
        <f t="shared" ref="X69:Z69" si="31">10+X71</f>
        <v>12</v>
      </c>
      <c r="Y69" s="981">
        <f t="shared" si="31"/>
        <v>13</v>
      </c>
      <c r="Z69" s="981">
        <f t="shared" si="31"/>
        <v>14</v>
      </c>
      <c r="AF69" s="1044"/>
      <c r="AG69" s="1127"/>
    </row>
    <row r="70" ht="12.75" customHeight="1">
      <c r="B70" s="1004" t="s">
        <v>1372</v>
      </c>
      <c r="C70" s="950">
        <f t="shared" ref="C70:F70" si="32">(0.02*C71)*C71</f>
        <v>0.02</v>
      </c>
      <c r="D70" s="950">
        <f t="shared" si="32"/>
        <v>0.08</v>
      </c>
      <c r="E70" s="950">
        <f t="shared" si="32"/>
        <v>0.18</v>
      </c>
      <c r="F70" s="950">
        <f t="shared" si="32"/>
        <v>0.32</v>
      </c>
      <c r="M70" s="1010"/>
      <c r="W70" s="1004" t="s">
        <v>1372</v>
      </c>
      <c r="X70" s="981">
        <f t="shared" ref="X70:Z70" si="33">(0.02*X71)*X71</f>
        <v>0.08</v>
      </c>
      <c r="Y70" s="981">
        <f t="shared" si="33"/>
        <v>0.18</v>
      </c>
      <c r="Z70" s="981">
        <f t="shared" si="33"/>
        <v>0.32</v>
      </c>
      <c r="AF70" s="1010"/>
      <c r="AG70" s="1070"/>
    </row>
    <row r="71" ht="12.75" customHeight="1">
      <c r="B71" s="1004" t="s">
        <v>2035</v>
      </c>
      <c r="C71" s="950">
        <v>1.0</v>
      </c>
      <c r="D71" s="950">
        <f t="shared" ref="D71:F71" si="34">C71+1</f>
        <v>2</v>
      </c>
      <c r="E71" s="950">
        <f t="shared" si="34"/>
        <v>3</v>
      </c>
      <c r="F71" s="950">
        <f t="shared" si="34"/>
        <v>4</v>
      </c>
      <c r="M71" s="1010"/>
      <c r="W71" s="1004" t="s">
        <v>2035</v>
      </c>
      <c r="X71" s="1005">
        <v>2.0</v>
      </c>
      <c r="Y71" s="981">
        <f t="shared" ref="Y71:Z71" si="35">X71+1</f>
        <v>3</v>
      </c>
      <c r="Z71" s="981">
        <f t="shared" si="35"/>
        <v>4</v>
      </c>
      <c r="AF71" s="1044"/>
      <c r="AG71" s="1127"/>
    </row>
    <row r="72" ht="12.75" customHeight="1">
      <c r="B72" s="1006" t="s">
        <v>2037</v>
      </c>
      <c r="C72" s="1556">
        <v>10.0</v>
      </c>
      <c r="D72" s="1556">
        <v>12.0</v>
      </c>
      <c r="E72" s="1556">
        <v>14.0</v>
      </c>
      <c r="F72" s="1556">
        <v>16.0</v>
      </c>
      <c r="M72" s="1044"/>
      <c r="W72" s="1006" t="s">
        <v>2037</v>
      </c>
      <c r="X72" s="1556">
        <v>12.0</v>
      </c>
      <c r="Y72" s="1556">
        <v>14.0</v>
      </c>
      <c r="Z72" s="1556">
        <v>16.0</v>
      </c>
      <c r="AF72" s="1010"/>
      <c r="AG72" s="1070"/>
    </row>
    <row r="73" ht="12.75" customHeight="1">
      <c r="B73" s="1004" t="s">
        <v>2038</v>
      </c>
      <c r="C73" s="1008" t="s">
        <v>1237</v>
      </c>
      <c r="D73" s="1008" t="s">
        <v>1237</v>
      </c>
      <c r="E73" s="1008" t="s">
        <v>1237</v>
      </c>
      <c r="F73" s="1560" t="s">
        <v>1250</v>
      </c>
      <c r="W73" s="1004" t="s">
        <v>2038</v>
      </c>
      <c r="X73" s="953" t="s">
        <v>1237</v>
      </c>
      <c r="Y73" s="953" t="s">
        <v>1237</v>
      </c>
      <c r="Z73" s="953" t="s">
        <v>1250</v>
      </c>
    </row>
    <row r="74" ht="12.75" customHeight="1">
      <c r="B74" s="1111" t="s">
        <v>2077</v>
      </c>
      <c r="C74" s="1561">
        <f t="shared" ref="C74:F74" si="36">C77*C78+C$68*0.1*$C$8+C76</f>
        <v>2.787</v>
      </c>
      <c r="D74" s="1561">
        <f t="shared" si="36"/>
        <v>8.083</v>
      </c>
      <c r="E74" s="1561">
        <f t="shared" si="36"/>
        <v>115.116</v>
      </c>
      <c r="F74" s="1561">
        <f t="shared" si="36"/>
        <v>1052.189</v>
      </c>
      <c r="M74" s="1044">
        <v>2.0</v>
      </c>
      <c r="W74" s="1111" t="s">
        <v>2077</v>
      </c>
      <c r="X74" s="1318">
        <f t="shared" ref="X74:Z74" si="37">X77*X78+X$37*0.1*$C$8+X76</f>
        <v>8.003</v>
      </c>
      <c r="Y74" s="1318">
        <f t="shared" si="37"/>
        <v>114.976</v>
      </c>
      <c r="Z74" s="1318">
        <f t="shared" si="37"/>
        <v>1051.969</v>
      </c>
      <c r="AF74" s="1044"/>
      <c r="AG74" s="1127">
        <v>2.0</v>
      </c>
    </row>
    <row r="75" ht="12.75" customHeight="1">
      <c r="B75" s="1550" t="s">
        <v>3</v>
      </c>
      <c r="C75" s="1552" t="s">
        <v>2078</v>
      </c>
      <c r="D75" s="1558" t="s">
        <v>2079</v>
      </c>
      <c r="E75" s="1558" t="s">
        <v>2080</v>
      </c>
      <c r="F75" s="1558" t="s">
        <v>2081</v>
      </c>
      <c r="M75" s="1010"/>
      <c r="W75" s="1550" t="s">
        <v>3</v>
      </c>
      <c r="X75" s="1552" t="s">
        <v>2082</v>
      </c>
      <c r="Y75" s="1552" t="s">
        <v>2083</v>
      </c>
      <c r="Z75" s="1552" t="s">
        <v>2084</v>
      </c>
      <c r="AF75" s="1010"/>
      <c r="AG75" s="1070"/>
    </row>
    <row r="76" ht="12.75" customHeight="1">
      <c r="B76" s="1553" t="s">
        <v>2085</v>
      </c>
      <c r="C76" s="1554">
        <f>'Ювелир'!D29</f>
        <v>0.987</v>
      </c>
      <c r="D76" s="1554">
        <f>'Ювелир'!E29</f>
        <v>3.683</v>
      </c>
      <c r="E76" s="1554">
        <f>'Ювелир'!F29</f>
        <v>106.656</v>
      </c>
      <c r="F76" s="1554">
        <f>'Ювелир'!G29</f>
        <v>1037.969</v>
      </c>
      <c r="M76" s="1010"/>
      <c r="W76" s="1553" t="s">
        <v>2085</v>
      </c>
      <c r="X76" s="1554">
        <f>'Ювелир'!E29</f>
        <v>3.683</v>
      </c>
      <c r="Y76" s="1562">
        <f>'Ювелир'!F29</f>
        <v>106.656</v>
      </c>
      <c r="Z76" s="1554">
        <f>'Ювелир'!G29</f>
        <v>1037.969</v>
      </c>
      <c r="AF76" s="1044"/>
      <c r="AG76" s="1127"/>
    </row>
    <row r="77" ht="12.75" customHeight="1">
      <c r="B77" s="1004" t="s">
        <v>2033</v>
      </c>
      <c r="C77" s="950">
        <f t="shared" ref="C77:F77" si="38">C69*$M74</f>
        <v>22</v>
      </c>
      <c r="D77" s="950">
        <f t="shared" si="38"/>
        <v>24</v>
      </c>
      <c r="E77" s="950">
        <f t="shared" si="38"/>
        <v>26</v>
      </c>
      <c r="F77" s="950">
        <f t="shared" si="38"/>
        <v>28</v>
      </c>
      <c r="M77" s="1010"/>
      <c r="W77" s="1004" t="s">
        <v>2033</v>
      </c>
      <c r="X77" s="997">
        <f t="shared" ref="X77:Z77" si="39">X69*$AG74</f>
        <v>24</v>
      </c>
      <c r="Y77" s="997">
        <f t="shared" si="39"/>
        <v>26</v>
      </c>
      <c r="Z77" s="997">
        <f t="shared" si="39"/>
        <v>28</v>
      </c>
      <c r="AF77" s="1010"/>
      <c r="AG77" s="1070"/>
    </row>
    <row r="78" ht="12.75" customHeight="1">
      <c r="B78" s="1004" t="s">
        <v>1372</v>
      </c>
      <c r="C78" s="950">
        <f t="shared" ref="C78:F78" si="40">(0.02*C79)*C79</f>
        <v>0.08</v>
      </c>
      <c r="D78" s="950">
        <f t="shared" si="40"/>
        <v>0.18</v>
      </c>
      <c r="E78" s="950">
        <f t="shared" si="40"/>
        <v>0.32</v>
      </c>
      <c r="F78" s="951">
        <f t="shared" si="40"/>
        <v>0.5</v>
      </c>
      <c r="M78" s="1010"/>
      <c r="W78" s="1004" t="s">
        <v>1372</v>
      </c>
      <c r="X78" s="997">
        <f t="shared" ref="X78:Z78" si="41">(0.02*X79)*X79</f>
        <v>0.18</v>
      </c>
      <c r="Y78" s="997">
        <f t="shared" si="41"/>
        <v>0.32</v>
      </c>
      <c r="Z78" s="1463">
        <f t="shared" si="41"/>
        <v>0.5</v>
      </c>
      <c r="AF78" s="1044"/>
      <c r="AG78" s="1127"/>
    </row>
    <row r="79" ht="12.75" customHeight="1">
      <c r="B79" s="1004" t="s">
        <v>2035</v>
      </c>
      <c r="C79" s="950">
        <f t="shared" ref="C79:F79" si="42">C71+1</f>
        <v>2</v>
      </c>
      <c r="D79" s="950">
        <f t="shared" si="42"/>
        <v>3</v>
      </c>
      <c r="E79" s="950">
        <f t="shared" si="42"/>
        <v>4</v>
      </c>
      <c r="F79" s="950">
        <f t="shared" si="42"/>
        <v>5</v>
      </c>
      <c r="M79" s="1010"/>
      <c r="W79" s="1004" t="s">
        <v>2035</v>
      </c>
      <c r="X79" s="997">
        <f t="shared" ref="X79:Z79" si="43">X71+1</f>
        <v>3</v>
      </c>
      <c r="Y79" s="997">
        <f t="shared" si="43"/>
        <v>4</v>
      </c>
      <c r="Z79" s="997">
        <f t="shared" si="43"/>
        <v>5</v>
      </c>
      <c r="AF79" s="1010"/>
      <c r="AG79" s="1070"/>
    </row>
    <row r="80" ht="12.75" customHeight="1">
      <c r="B80" s="1006" t="s">
        <v>2037</v>
      </c>
      <c r="C80" s="1556">
        <v>12.0</v>
      </c>
      <c r="D80" s="1556">
        <v>14.0</v>
      </c>
      <c r="E80" s="1556">
        <v>16.0</v>
      </c>
      <c r="F80" s="1556">
        <v>18.0</v>
      </c>
      <c r="M80" s="1044"/>
      <c r="W80" s="1006" t="s">
        <v>2037</v>
      </c>
      <c r="X80" s="1556">
        <v>14.0</v>
      </c>
      <c r="Y80" s="1556">
        <v>16.0</v>
      </c>
      <c r="Z80" s="1556">
        <v>18.0</v>
      </c>
      <c r="AF80" s="1044"/>
      <c r="AG80" s="1127"/>
    </row>
    <row r="81" ht="12.75" customHeight="1">
      <c r="B81" s="1004" t="s">
        <v>2038</v>
      </c>
      <c r="C81" s="1008" t="s">
        <v>1237</v>
      </c>
      <c r="D81" s="1008" t="s">
        <v>1237</v>
      </c>
      <c r="E81" s="1560" t="s">
        <v>1250</v>
      </c>
      <c r="F81" s="1560" t="s">
        <v>1250</v>
      </c>
      <c r="W81" s="1004" t="s">
        <v>2038</v>
      </c>
      <c r="X81" s="953" t="s">
        <v>1237</v>
      </c>
      <c r="Y81" s="953" t="s">
        <v>1250</v>
      </c>
      <c r="Z81" s="953" t="s">
        <v>1250</v>
      </c>
    </row>
    <row r="82" ht="12.75" customHeight="1">
      <c r="B82" s="1111" t="s">
        <v>2086</v>
      </c>
      <c r="C82" s="1549">
        <f t="shared" ref="C82:F82" si="44">C85*C86+C$68*0.1*$C$8+C84</f>
        <v>8.507</v>
      </c>
      <c r="D82" s="1549">
        <f t="shared" si="44"/>
        <v>19.243</v>
      </c>
      <c r="E82" s="1549">
        <f t="shared" si="44"/>
        <v>157.856</v>
      </c>
      <c r="F82" s="1549">
        <f t="shared" si="44"/>
        <v>1332.029</v>
      </c>
      <c r="M82" s="1044">
        <v>3.0</v>
      </c>
      <c r="W82" s="1111" t="s">
        <v>2086</v>
      </c>
      <c r="X82" s="1318">
        <f t="shared" ref="X82:Z82" si="45">X85*X86+X$37*0.1*$C$8+X84</f>
        <v>19.163</v>
      </c>
      <c r="Y82" s="1318">
        <f t="shared" si="45"/>
        <v>157.716</v>
      </c>
      <c r="Z82" s="1318">
        <f t="shared" si="45"/>
        <v>1331.809</v>
      </c>
      <c r="AF82" s="1044"/>
      <c r="AG82" s="1127">
        <v>3.0</v>
      </c>
    </row>
    <row r="83" ht="12.75" customHeight="1">
      <c r="B83" s="1550" t="s">
        <v>3</v>
      </c>
      <c r="C83" s="1552" t="s">
        <v>2087</v>
      </c>
      <c r="D83" s="1558" t="s">
        <v>2088</v>
      </c>
      <c r="E83" s="1558" t="s">
        <v>2089</v>
      </c>
      <c r="F83" s="1558" t="s">
        <v>2090</v>
      </c>
      <c r="L83" s="1010"/>
      <c r="M83" s="1010"/>
      <c r="W83" s="1550" t="s">
        <v>3</v>
      </c>
      <c r="X83" s="1552" t="s">
        <v>2091</v>
      </c>
      <c r="Y83" s="1552" t="s">
        <v>2092</v>
      </c>
      <c r="Z83" s="1552" t="s">
        <v>2093</v>
      </c>
    </row>
    <row r="84" ht="12.75" customHeight="1">
      <c r="B84" s="1553" t="s">
        <v>2094</v>
      </c>
      <c r="C84" s="1554">
        <f>'Ювелир'!D37</f>
        <v>2.527</v>
      </c>
      <c r="D84" s="1554">
        <f>'Ювелир'!E37</f>
        <v>7.643</v>
      </c>
      <c r="E84" s="1554">
        <f>'Ювелир'!F37</f>
        <v>138.216</v>
      </c>
      <c r="F84" s="1554">
        <f>'Ювелир'!G37</f>
        <v>1301.569</v>
      </c>
      <c r="L84" s="1010"/>
      <c r="M84" s="1010"/>
      <c r="W84" s="1553" t="s">
        <v>2094</v>
      </c>
      <c r="X84" s="1554">
        <f>'Ювелир'!E37</f>
        <v>7.643</v>
      </c>
      <c r="Y84" s="1554">
        <f>'Ювелир'!F37</f>
        <v>138.216</v>
      </c>
      <c r="Z84" s="1554">
        <f>'Ювелир'!G37</f>
        <v>1301.569</v>
      </c>
    </row>
    <row r="85" ht="12.75" customHeight="1">
      <c r="B85" s="1004" t="s">
        <v>2033</v>
      </c>
      <c r="C85" s="950">
        <f t="shared" ref="C85:F85" si="46">C69*$M82</f>
        <v>33</v>
      </c>
      <c r="D85" s="950">
        <f t="shared" si="46"/>
        <v>36</v>
      </c>
      <c r="E85" s="950">
        <f t="shared" si="46"/>
        <v>39</v>
      </c>
      <c r="F85" s="950">
        <f t="shared" si="46"/>
        <v>42</v>
      </c>
      <c r="L85" s="1010"/>
      <c r="M85" s="1010"/>
      <c r="W85" s="1004" t="s">
        <v>2033</v>
      </c>
      <c r="X85" s="997">
        <f t="shared" ref="X85:Z85" si="47">X69*$AG82</f>
        <v>36</v>
      </c>
      <c r="Y85" s="997">
        <f t="shared" si="47"/>
        <v>39</v>
      </c>
      <c r="Z85" s="997">
        <f t="shared" si="47"/>
        <v>42</v>
      </c>
    </row>
    <row r="86" ht="12.75" customHeight="1">
      <c r="B86" s="1004" t="s">
        <v>1372</v>
      </c>
      <c r="C86" s="950">
        <f t="shared" ref="C86:F86" si="48">(0.02*C87)*C87</f>
        <v>0.18</v>
      </c>
      <c r="D86" s="950">
        <f t="shared" si="48"/>
        <v>0.32</v>
      </c>
      <c r="E86" s="951">
        <f t="shared" si="48"/>
        <v>0.5</v>
      </c>
      <c r="F86" s="950">
        <f t="shared" si="48"/>
        <v>0.72</v>
      </c>
      <c r="L86" s="1010"/>
      <c r="M86" s="1010"/>
      <c r="W86" s="1004" t="s">
        <v>1372</v>
      </c>
      <c r="X86" s="997">
        <f t="shared" ref="X86:Z86" si="49">(0.02*X87)*X87</f>
        <v>0.32</v>
      </c>
      <c r="Y86" s="1463">
        <f t="shared" si="49"/>
        <v>0.5</v>
      </c>
      <c r="Z86" s="997">
        <f t="shared" si="49"/>
        <v>0.72</v>
      </c>
    </row>
    <row r="87" ht="12.75" customHeight="1">
      <c r="B87" s="1004" t="s">
        <v>2035</v>
      </c>
      <c r="C87" s="950">
        <f t="shared" ref="C87:F87" si="50">C79+1</f>
        <v>3</v>
      </c>
      <c r="D87" s="950">
        <f t="shared" si="50"/>
        <v>4</v>
      </c>
      <c r="E87" s="950">
        <f t="shared" si="50"/>
        <v>5</v>
      </c>
      <c r="F87" s="950">
        <f t="shared" si="50"/>
        <v>6</v>
      </c>
      <c r="L87" s="1010"/>
      <c r="M87" s="1010"/>
      <c r="W87" s="1004" t="s">
        <v>2035</v>
      </c>
      <c r="X87" s="997">
        <f t="shared" ref="X87:Z87" si="51">X79+1</f>
        <v>4</v>
      </c>
      <c r="Y87" s="997">
        <f t="shared" si="51"/>
        <v>5</v>
      </c>
      <c r="Z87" s="997">
        <f t="shared" si="51"/>
        <v>6</v>
      </c>
    </row>
    <row r="88" ht="12.75" customHeight="1">
      <c r="B88" s="1006" t="s">
        <v>2037</v>
      </c>
      <c r="C88" s="1556">
        <v>14.0</v>
      </c>
      <c r="D88" s="1556">
        <v>16.0</v>
      </c>
      <c r="E88" s="1556">
        <v>18.0</v>
      </c>
      <c r="F88" s="1556">
        <v>20.0</v>
      </c>
      <c r="L88" s="1010"/>
      <c r="M88" s="1010"/>
      <c r="W88" s="1006" t="s">
        <v>2037</v>
      </c>
      <c r="X88" s="1556">
        <v>16.0</v>
      </c>
      <c r="Y88" s="1556">
        <v>18.0</v>
      </c>
      <c r="Z88" s="1556">
        <v>20.0</v>
      </c>
    </row>
    <row r="89" ht="12.75" customHeight="1">
      <c r="B89" s="1004" t="s">
        <v>2038</v>
      </c>
      <c r="C89" s="1008" t="s">
        <v>1237</v>
      </c>
      <c r="D89" s="1560" t="s">
        <v>1250</v>
      </c>
      <c r="E89" s="1560" t="s">
        <v>1250</v>
      </c>
      <c r="F89" s="1560" t="s">
        <v>1250</v>
      </c>
      <c r="L89" s="1010"/>
      <c r="M89" s="1010"/>
      <c r="W89" s="1004" t="s">
        <v>2038</v>
      </c>
      <c r="X89" s="953" t="s">
        <v>1250</v>
      </c>
      <c r="Y89" s="953" t="s">
        <v>1250</v>
      </c>
      <c r="Z89" s="953" t="s">
        <v>1250</v>
      </c>
    </row>
    <row r="90" ht="12.75" customHeight="1"/>
    <row r="91" ht="12.75" customHeight="1">
      <c r="B91" s="985" t="s">
        <v>2095</v>
      </c>
      <c r="H91" s="1557"/>
      <c r="L91" s="1010"/>
      <c r="M91" s="1010"/>
    </row>
    <row r="92" ht="12.75" customHeight="1">
      <c r="B92" s="1538" t="s">
        <v>2064</v>
      </c>
      <c r="C92" s="1548" t="s">
        <v>86</v>
      </c>
      <c r="D92" s="1548" t="s">
        <v>85</v>
      </c>
      <c r="E92" s="1548" t="s">
        <v>84</v>
      </c>
      <c r="F92" s="1548" t="s">
        <v>2065</v>
      </c>
      <c r="L92" s="1010"/>
      <c r="M92" s="1070" t="s">
        <v>1434</v>
      </c>
    </row>
    <row r="93" ht="12.75" customHeight="1">
      <c r="B93" s="1111" t="s">
        <v>2096</v>
      </c>
      <c r="C93" s="1318">
        <f t="shared" ref="C93:F93" si="52">C97*C98+C$96*0.1*$C$8+C95</f>
        <v>0.881</v>
      </c>
      <c r="D93" s="1318">
        <f t="shared" si="52"/>
        <v>5.789</v>
      </c>
      <c r="E93" s="1318">
        <f t="shared" si="52"/>
        <v>306.488</v>
      </c>
      <c r="F93" s="1318">
        <f t="shared" si="52"/>
        <v>3012.707</v>
      </c>
      <c r="M93" s="1044">
        <v>1.0</v>
      </c>
    </row>
    <row r="94" ht="12.75" customHeight="1">
      <c r="B94" s="1550" t="s">
        <v>3</v>
      </c>
      <c r="C94" s="1552" t="s">
        <v>2068</v>
      </c>
      <c r="D94" s="1558" t="s">
        <v>2069</v>
      </c>
      <c r="E94" s="1558" t="s">
        <v>2070</v>
      </c>
      <c r="F94" s="1558" t="s">
        <v>2071</v>
      </c>
      <c r="M94" s="1010"/>
    </row>
    <row r="95" ht="12.75" customHeight="1">
      <c r="B95" s="1553" t="s">
        <v>2097</v>
      </c>
      <c r="C95" s="1554">
        <f>'Ювелир'!D61</f>
        <v>0.621</v>
      </c>
      <c r="D95" s="1554">
        <f>'Ювелир'!E61</f>
        <v>4.749</v>
      </c>
      <c r="E95" s="1554">
        <f>'Ювелир'!F61</f>
        <v>304.008</v>
      </c>
      <c r="F95" s="1554">
        <f>'Ювелир'!G61</f>
        <v>3008.007</v>
      </c>
      <c r="M95" s="1010"/>
    </row>
    <row r="96" ht="12.75" customHeight="1">
      <c r="B96" s="1432" t="s">
        <v>2032</v>
      </c>
      <c r="C96" s="1544">
        <v>20.0</v>
      </c>
      <c r="D96" s="1544">
        <v>40.0</v>
      </c>
      <c r="E96" s="1544">
        <v>70.0</v>
      </c>
      <c r="F96" s="1544">
        <v>110.0</v>
      </c>
      <c r="M96" s="1010"/>
    </row>
    <row r="97" ht="12.75" customHeight="1">
      <c r="B97" s="1004" t="s">
        <v>2033</v>
      </c>
      <c r="C97" s="981">
        <f t="shared" ref="C97:F97" si="53">10+C99</f>
        <v>11</v>
      </c>
      <c r="D97" s="981">
        <f t="shared" si="53"/>
        <v>12</v>
      </c>
      <c r="E97" s="981">
        <f t="shared" si="53"/>
        <v>13</v>
      </c>
      <c r="F97" s="981">
        <f t="shared" si="53"/>
        <v>14</v>
      </c>
      <c r="M97" s="1010"/>
    </row>
    <row r="98" ht="12.75" customHeight="1">
      <c r="B98" s="1004" t="s">
        <v>1372</v>
      </c>
      <c r="C98" s="981">
        <f t="shared" ref="C98:F98" si="54">(0.02*C99)*C99</f>
        <v>0.02</v>
      </c>
      <c r="D98" s="981">
        <f t="shared" si="54"/>
        <v>0.08</v>
      </c>
      <c r="E98" s="981">
        <f t="shared" si="54"/>
        <v>0.18</v>
      </c>
      <c r="F98" s="981">
        <f t="shared" si="54"/>
        <v>0.32</v>
      </c>
      <c r="M98" s="1010"/>
    </row>
    <row r="99" ht="12.75" customHeight="1">
      <c r="B99" s="1004" t="s">
        <v>2035</v>
      </c>
      <c r="C99" s="981">
        <v>1.0</v>
      </c>
      <c r="D99" s="981">
        <f t="shared" ref="D99:F99" si="55">C99+1</f>
        <v>2</v>
      </c>
      <c r="E99" s="981">
        <f t="shared" si="55"/>
        <v>3</v>
      </c>
      <c r="F99" s="981">
        <f t="shared" si="55"/>
        <v>4</v>
      </c>
      <c r="M99" s="1010"/>
    </row>
    <row r="100" ht="12.75" customHeight="1">
      <c r="B100" s="1006" t="s">
        <v>2037</v>
      </c>
      <c r="C100" s="1556">
        <v>10.0</v>
      </c>
      <c r="D100" s="1556">
        <v>12.0</v>
      </c>
      <c r="E100" s="1556">
        <v>14.0</v>
      </c>
      <c r="F100" s="1556">
        <v>16.0</v>
      </c>
      <c r="M100" s="1044"/>
    </row>
    <row r="101" ht="12.75" customHeight="1">
      <c r="B101" s="1004" t="s">
        <v>2038</v>
      </c>
      <c r="C101" s="953" t="s">
        <v>1237</v>
      </c>
      <c r="D101" s="953" t="s">
        <v>1237</v>
      </c>
      <c r="E101" s="953" t="s">
        <v>1237</v>
      </c>
      <c r="F101" s="953" t="s">
        <v>1250</v>
      </c>
    </row>
    <row r="102" ht="12.75" customHeight="1">
      <c r="B102" s="1111" t="s">
        <v>2098</v>
      </c>
      <c r="C102" s="1318">
        <f t="shared" ref="C102:F102" si="56">C105*C106+C$96*0.1*$C$8+C104</f>
        <v>3.961</v>
      </c>
      <c r="D102" s="1318">
        <f t="shared" si="56"/>
        <v>13.049</v>
      </c>
      <c r="E102" s="1318">
        <f t="shared" si="56"/>
        <v>321.228</v>
      </c>
      <c r="F102" s="1318">
        <f t="shared" si="56"/>
        <v>3063.327</v>
      </c>
      <c r="M102" s="1044">
        <v>2.0</v>
      </c>
    </row>
    <row r="103" ht="12.75" customHeight="1">
      <c r="B103" s="1550" t="s">
        <v>3</v>
      </c>
      <c r="C103" s="1552" t="s">
        <v>2078</v>
      </c>
      <c r="D103" s="1558" t="s">
        <v>2079</v>
      </c>
      <c r="E103" s="1558" t="s">
        <v>2080</v>
      </c>
      <c r="F103" s="1558" t="s">
        <v>2081</v>
      </c>
      <c r="M103" s="1010"/>
    </row>
    <row r="104" ht="12.75" customHeight="1">
      <c r="B104" s="1553" t="s">
        <v>2099</v>
      </c>
      <c r="C104" s="1554">
        <f>'Ювелир'!D68</f>
        <v>2.161</v>
      </c>
      <c r="D104" s="1554">
        <f>'Ювелир'!E68</f>
        <v>8.649</v>
      </c>
      <c r="E104" s="1554">
        <f>'Ювелир'!F68</f>
        <v>312.768</v>
      </c>
      <c r="F104" s="1554">
        <f>'Ювелир'!G68</f>
        <v>3049.107</v>
      </c>
      <c r="M104" s="1010"/>
    </row>
    <row r="105" ht="12.75" customHeight="1">
      <c r="B105" s="1004" t="s">
        <v>2033</v>
      </c>
      <c r="C105" s="997">
        <f t="shared" ref="C105:F105" si="57">C97*$M102</f>
        <v>22</v>
      </c>
      <c r="D105" s="997">
        <f t="shared" si="57"/>
        <v>24</v>
      </c>
      <c r="E105" s="997">
        <f t="shared" si="57"/>
        <v>26</v>
      </c>
      <c r="F105" s="997">
        <f t="shared" si="57"/>
        <v>28</v>
      </c>
      <c r="M105" s="1010"/>
    </row>
    <row r="106" ht="12.75" customHeight="1">
      <c r="B106" s="1004" t="s">
        <v>1372</v>
      </c>
      <c r="C106" s="997">
        <f t="shared" ref="C106:F106" si="58">(0.02*C107)*C107</f>
        <v>0.08</v>
      </c>
      <c r="D106" s="997">
        <f t="shared" si="58"/>
        <v>0.18</v>
      </c>
      <c r="E106" s="997">
        <f t="shared" si="58"/>
        <v>0.32</v>
      </c>
      <c r="F106" s="1463">
        <f t="shared" si="58"/>
        <v>0.5</v>
      </c>
      <c r="M106" s="1010"/>
    </row>
    <row r="107" ht="12.75" customHeight="1">
      <c r="B107" s="1004" t="s">
        <v>2035</v>
      </c>
      <c r="C107" s="997">
        <f t="shared" ref="C107:F107" si="59">C99+1</f>
        <v>2</v>
      </c>
      <c r="D107" s="997">
        <f t="shared" si="59"/>
        <v>3</v>
      </c>
      <c r="E107" s="997">
        <f t="shared" si="59"/>
        <v>4</v>
      </c>
      <c r="F107" s="997">
        <f t="shared" si="59"/>
        <v>5</v>
      </c>
      <c r="M107" s="1010"/>
    </row>
    <row r="108" ht="12.75" customHeight="1">
      <c r="B108" s="1006" t="s">
        <v>2037</v>
      </c>
      <c r="C108" s="1556">
        <v>12.0</v>
      </c>
      <c r="D108" s="1556">
        <v>14.0</v>
      </c>
      <c r="E108" s="1556">
        <v>16.0</v>
      </c>
      <c r="F108" s="1556">
        <v>18.0</v>
      </c>
      <c r="M108" s="1044"/>
    </row>
    <row r="109" ht="12.75" customHeight="1">
      <c r="B109" s="1004" t="s">
        <v>2038</v>
      </c>
      <c r="C109" s="953" t="s">
        <v>1237</v>
      </c>
      <c r="D109" s="953" t="s">
        <v>1237</v>
      </c>
      <c r="E109" s="953" t="s">
        <v>1250</v>
      </c>
      <c r="F109" s="953" t="s">
        <v>1250</v>
      </c>
    </row>
    <row r="110" ht="12.75" customHeight="1">
      <c r="B110" s="1111" t="s">
        <v>2100</v>
      </c>
      <c r="C110" s="1318">
        <f t="shared" ref="C110:F110" si="60">C113*C114+C$96*0.1*$C$8+C112</f>
        <v>11.161</v>
      </c>
      <c r="D110" s="1318">
        <f t="shared" si="60"/>
        <v>27.329</v>
      </c>
      <c r="E110" s="1318">
        <f t="shared" si="60"/>
        <v>369.488</v>
      </c>
      <c r="F110" s="1318">
        <f t="shared" si="60"/>
        <v>3351.967</v>
      </c>
      <c r="M110" s="1044">
        <v>3.0</v>
      </c>
    </row>
    <row r="111" ht="12.75" customHeight="1">
      <c r="B111" s="1550" t="s">
        <v>3</v>
      </c>
      <c r="C111" s="1552" t="s">
        <v>2087</v>
      </c>
      <c r="D111" s="1558" t="s">
        <v>2088</v>
      </c>
      <c r="E111" s="1558" t="s">
        <v>2089</v>
      </c>
      <c r="F111" s="1558" t="s">
        <v>2090</v>
      </c>
      <c r="L111" s="1010"/>
      <c r="M111" s="1010"/>
    </row>
    <row r="112" ht="12.75" customHeight="1">
      <c r="B112" s="1553" t="s">
        <v>2101</v>
      </c>
      <c r="C112" s="1554">
        <f>'Ювелир'!D76</f>
        <v>5.181</v>
      </c>
      <c r="D112" s="1554">
        <f>'Ювелир'!E76</f>
        <v>15.729</v>
      </c>
      <c r="E112" s="1554">
        <f>'Ювелир'!F76</f>
        <v>349.848</v>
      </c>
      <c r="F112" s="1554">
        <f>'Ювелир'!G76</f>
        <v>3321.507</v>
      </c>
      <c r="L112" s="1010"/>
      <c r="M112" s="1010"/>
    </row>
    <row r="113" ht="12.75" customHeight="1">
      <c r="B113" s="1004" t="s">
        <v>2033</v>
      </c>
      <c r="C113" s="997">
        <f t="shared" ref="C113:F113" si="61">C97*$M110</f>
        <v>33</v>
      </c>
      <c r="D113" s="997">
        <f t="shared" si="61"/>
        <v>36</v>
      </c>
      <c r="E113" s="997">
        <f t="shared" si="61"/>
        <v>39</v>
      </c>
      <c r="F113" s="997">
        <f t="shared" si="61"/>
        <v>42</v>
      </c>
      <c r="L113" s="1010"/>
      <c r="M113" s="1010"/>
    </row>
    <row r="114" ht="12.75" customHeight="1">
      <c r="B114" s="1004" t="s">
        <v>1372</v>
      </c>
      <c r="C114" s="997">
        <f t="shared" ref="C114:F114" si="62">(0.02*C115)*C115</f>
        <v>0.18</v>
      </c>
      <c r="D114" s="997">
        <f t="shared" si="62"/>
        <v>0.32</v>
      </c>
      <c r="E114" s="1463">
        <f t="shared" si="62"/>
        <v>0.5</v>
      </c>
      <c r="F114" s="997">
        <f t="shared" si="62"/>
        <v>0.72</v>
      </c>
      <c r="L114" s="1010"/>
      <c r="M114" s="1010"/>
    </row>
    <row r="115" ht="12.75" customHeight="1">
      <c r="B115" s="1004" t="s">
        <v>2035</v>
      </c>
      <c r="C115" s="997">
        <f t="shared" ref="C115:F115" si="63">C107+1</f>
        <v>3</v>
      </c>
      <c r="D115" s="997">
        <f t="shared" si="63"/>
        <v>4</v>
      </c>
      <c r="E115" s="997">
        <f t="shared" si="63"/>
        <v>5</v>
      </c>
      <c r="F115" s="997">
        <f t="shared" si="63"/>
        <v>6</v>
      </c>
      <c r="L115" s="1010"/>
      <c r="M115" s="1010"/>
    </row>
    <row r="116" ht="12.75" customHeight="1">
      <c r="B116" s="1006" t="s">
        <v>2037</v>
      </c>
      <c r="C116" s="1556">
        <v>14.0</v>
      </c>
      <c r="D116" s="1556">
        <v>16.0</v>
      </c>
      <c r="E116" s="1556">
        <v>18.0</v>
      </c>
      <c r="F116" s="1556">
        <v>20.0</v>
      </c>
      <c r="L116" s="1010"/>
      <c r="M116" s="1010"/>
    </row>
    <row r="117" ht="12.75" customHeight="1">
      <c r="B117" s="1004" t="s">
        <v>2038</v>
      </c>
      <c r="C117" s="953" t="s">
        <v>1237</v>
      </c>
      <c r="D117" s="953" t="s">
        <v>1250</v>
      </c>
      <c r="E117" s="953" t="s">
        <v>1250</v>
      </c>
      <c r="F117" s="953" t="s">
        <v>1250</v>
      </c>
      <c r="L117" s="1010"/>
      <c r="M117" s="1010"/>
    </row>
    <row r="118" ht="12.75" customHeight="1"/>
    <row r="119" ht="12.75" customHeight="1">
      <c r="B119" s="985" t="s">
        <v>2102</v>
      </c>
      <c r="L119" s="1010"/>
      <c r="M119" s="1010"/>
    </row>
    <row r="120" ht="12.75" customHeight="1">
      <c r="B120" s="1538" t="s">
        <v>2064</v>
      </c>
      <c r="C120" s="1548" t="s">
        <v>86</v>
      </c>
      <c r="D120" s="1548" t="s">
        <v>85</v>
      </c>
      <c r="E120" s="1548" t="s">
        <v>84</v>
      </c>
      <c r="F120" s="1548" t="s">
        <v>2065</v>
      </c>
      <c r="L120" s="1010"/>
      <c r="M120" s="1070" t="s">
        <v>1434</v>
      </c>
    </row>
    <row r="121" ht="12.75" customHeight="1">
      <c r="B121" s="1111" t="s">
        <v>2103</v>
      </c>
      <c r="C121" s="1318">
        <f t="shared" ref="C121:F121" si="64">C125*C126+C$124*0.1*$C$8+C123</f>
        <v>0.674</v>
      </c>
      <c r="D121" s="1318">
        <f t="shared" si="64"/>
        <v>4.206</v>
      </c>
      <c r="E121" s="1318">
        <f t="shared" si="64"/>
        <v>205.152</v>
      </c>
      <c r="F121" s="1318">
        <f t="shared" si="64"/>
        <v>2010.038</v>
      </c>
      <c r="M121" s="1044">
        <v>1.0</v>
      </c>
    </row>
    <row r="122" ht="12.75" customHeight="1">
      <c r="B122" s="1550" t="s">
        <v>3</v>
      </c>
      <c r="C122" s="1552" t="s">
        <v>2068</v>
      </c>
      <c r="D122" s="1558" t="s">
        <v>2069</v>
      </c>
      <c r="E122" s="1558" t="s">
        <v>2070</v>
      </c>
      <c r="F122" s="1558" t="s">
        <v>2071</v>
      </c>
      <c r="M122" s="1010"/>
    </row>
    <row r="123" ht="12.75" customHeight="1">
      <c r="B123" s="1553" t="s">
        <v>2104</v>
      </c>
      <c r="C123" s="1554">
        <f>'Ювелир'!D100</f>
        <v>0.414</v>
      </c>
      <c r="D123" s="1554">
        <f>'Ювелир'!E100</f>
        <v>3.166</v>
      </c>
      <c r="E123" s="1554">
        <f>'Ювелир'!F100</f>
        <v>202.672</v>
      </c>
      <c r="F123" s="1554">
        <f>'Ювелир'!G100</f>
        <v>2005.338</v>
      </c>
      <c r="M123" s="1010"/>
    </row>
    <row r="124" ht="12.75" customHeight="1">
      <c r="B124" s="1432" t="s">
        <v>2032</v>
      </c>
      <c r="C124" s="1544">
        <v>20.0</v>
      </c>
      <c r="D124" s="1544">
        <v>40.0</v>
      </c>
      <c r="E124" s="1544">
        <v>70.0</v>
      </c>
      <c r="F124" s="1544">
        <v>110.0</v>
      </c>
      <c r="M124" s="1010"/>
    </row>
    <row r="125" ht="12.75" customHeight="1">
      <c r="B125" s="1004" t="s">
        <v>2033</v>
      </c>
      <c r="C125" s="981">
        <f t="shared" ref="C125:F125" si="65">10+C127</f>
        <v>11</v>
      </c>
      <c r="D125" s="981">
        <f t="shared" si="65"/>
        <v>12</v>
      </c>
      <c r="E125" s="981">
        <f t="shared" si="65"/>
        <v>13</v>
      </c>
      <c r="F125" s="981">
        <f t="shared" si="65"/>
        <v>14</v>
      </c>
      <c r="M125" s="1010"/>
    </row>
    <row r="126" ht="12.75" customHeight="1">
      <c r="B126" s="1004" t="s">
        <v>1372</v>
      </c>
      <c r="C126" s="981">
        <f t="shared" ref="C126:F126" si="66">(0.02*C127)*C127</f>
        <v>0.02</v>
      </c>
      <c r="D126" s="981">
        <f t="shared" si="66"/>
        <v>0.08</v>
      </c>
      <c r="E126" s="981">
        <f t="shared" si="66"/>
        <v>0.18</v>
      </c>
      <c r="F126" s="981">
        <f t="shared" si="66"/>
        <v>0.32</v>
      </c>
      <c r="M126" s="1010"/>
    </row>
    <row r="127" ht="12.75" customHeight="1">
      <c r="B127" s="1004" t="s">
        <v>2035</v>
      </c>
      <c r="C127" s="981">
        <v>1.0</v>
      </c>
      <c r="D127" s="981">
        <f t="shared" ref="D127:F127" si="67">C127+1</f>
        <v>2</v>
      </c>
      <c r="E127" s="981">
        <f t="shared" si="67"/>
        <v>3</v>
      </c>
      <c r="F127" s="981">
        <f t="shared" si="67"/>
        <v>4</v>
      </c>
      <c r="M127" s="1010"/>
    </row>
    <row r="128" ht="12.75" customHeight="1">
      <c r="B128" s="1006" t="s">
        <v>2037</v>
      </c>
      <c r="C128" s="1556">
        <v>10.0</v>
      </c>
      <c r="D128" s="1556">
        <v>12.0</v>
      </c>
      <c r="E128" s="1556">
        <v>14.0</v>
      </c>
      <c r="F128" s="1556">
        <v>16.0</v>
      </c>
      <c r="M128" s="1044"/>
    </row>
    <row r="129" ht="12.75" customHeight="1">
      <c r="B129" s="1004" t="s">
        <v>2038</v>
      </c>
      <c r="C129" s="953" t="s">
        <v>1237</v>
      </c>
      <c r="D129" s="953" t="s">
        <v>1237</v>
      </c>
      <c r="E129" s="953" t="s">
        <v>1237</v>
      </c>
      <c r="F129" s="953" t="s">
        <v>1250</v>
      </c>
    </row>
    <row r="130" ht="12.75" customHeight="1">
      <c r="B130" s="1111" t="s">
        <v>2105</v>
      </c>
      <c r="C130" s="1318">
        <f t="shared" ref="C130:F130" si="68">C133*C134+C$124*0.1*$C$8+C132</f>
        <v>3.774</v>
      </c>
      <c r="D130" s="1318">
        <f t="shared" si="68"/>
        <v>11.766</v>
      </c>
      <c r="E130" s="1318">
        <f t="shared" si="68"/>
        <v>221.772</v>
      </c>
      <c r="F130" s="1318">
        <f t="shared" si="68"/>
        <v>2090.158</v>
      </c>
      <c r="M130" s="1044">
        <v>2.0</v>
      </c>
    </row>
    <row r="131" ht="12.75" customHeight="1">
      <c r="B131" s="1550" t="s">
        <v>3</v>
      </c>
      <c r="C131" s="1552" t="s">
        <v>2078</v>
      </c>
      <c r="D131" s="1558" t="s">
        <v>2079</v>
      </c>
      <c r="E131" s="1558" t="s">
        <v>2080</v>
      </c>
      <c r="F131" s="1558" t="s">
        <v>2081</v>
      </c>
      <c r="M131" s="1010"/>
    </row>
    <row r="132" ht="12.75" customHeight="1">
      <c r="B132" s="1553" t="s">
        <v>2106</v>
      </c>
      <c r="C132" s="1554">
        <f>'Ювелир'!D107</f>
        <v>1.974</v>
      </c>
      <c r="D132" s="1554">
        <f>'Ювелир'!E107</f>
        <v>7.366</v>
      </c>
      <c r="E132" s="1554">
        <f>'Ювелир'!F107</f>
        <v>213.312</v>
      </c>
      <c r="F132" s="1554">
        <f>'Ювелир'!G107</f>
        <v>2075.938</v>
      </c>
      <c r="M132" s="1010"/>
    </row>
    <row r="133" ht="12.75" customHeight="1">
      <c r="B133" s="1004" t="s">
        <v>2033</v>
      </c>
      <c r="C133" s="997">
        <f t="shared" ref="C133:F133" si="69">C125*$M130</f>
        <v>22</v>
      </c>
      <c r="D133" s="997">
        <f t="shared" si="69"/>
        <v>24</v>
      </c>
      <c r="E133" s="997">
        <f t="shared" si="69"/>
        <v>26</v>
      </c>
      <c r="F133" s="997">
        <f t="shared" si="69"/>
        <v>28</v>
      </c>
      <c r="M133" s="1010"/>
    </row>
    <row r="134" ht="12.75" customHeight="1">
      <c r="B134" s="1004" t="s">
        <v>1372</v>
      </c>
      <c r="C134" s="997">
        <f t="shared" ref="C134:F134" si="70">(0.02*C135)*C135</f>
        <v>0.08</v>
      </c>
      <c r="D134" s="997">
        <f t="shared" si="70"/>
        <v>0.18</v>
      </c>
      <c r="E134" s="997">
        <f t="shared" si="70"/>
        <v>0.32</v>
      </c>
      <c r="F134" s="1463">
        <f t="shared" si="70"/>
        <v>0.5</v>
      </c>
      <c r="M134" s="1010"/>
    </row>
    <row r="135" ht="12.75" customHeight="1">
      <c r="B135" s="1004" t="s">
        <v>2035</v>
      </c>
      <c r="C135" s="997">
        <f t="shared" ref="C135:F135" si="71">C127+1</f>
        <v>2</v>
      </c>
      <c r="D135" s="997">
        <f t="shared" si="71"/>
        <v>3</v>
      </c>
      <c r="E135" s="997">
        <f t="shared" si="71"/>
        <v>4</v>
      </c>
      <c r="F135" s="997">
        <f t="shared" si="71"/>
        <v>5</v>
      </c>
      <c r="M135" s="1010"/>
    </row>
    <row r="136" ht="12.75" customHeight="1">
      <c r="B136" s="1006" t="s">
        <v>2037</v>
      </c>
      <c r="C136" s="1556">
        <v>12.0</v>
      </c>
      <c r="D136" s="1556">
        <v>14.0</v>
      </c>
      <c r="E136" s="1556">
        <v>16.0</v>
      </c>
      <c r="F136" s="1556">
        <v>18.0</v>
      </c>
      <c r="M136" s="1044"/>
    </row>
    <row r="137" ht="12.75" customHeight="1">
      <c r="B137" s="1004" t="s">
        <v>2038</v>
      </c>
      <c r="C137" s="953" t="s">
        <v>1237</v>
      </c>
      <c r="D137" s="953" t="s">
        <v>1237</v>
      </c>
      <c r="E137" s="953" t="s">
        <v>1250</v>
      </c>
      <c r="F137" s="953" t="s">
        <v>1250</v>
      </c>
    </row>
    <row r="138" ht="12.75" customHeight="1">
      <c r="B138" s="1111" t="s">
        <v>2107</v>
      </c>
      <c r="C138" s="1318">
        <f t="shared" ref="C138:F138" si="72">C141*C142+C$124*0.1*$C$8+C140</f>
        <v>11.034</v>
      </c>
      <c r="D138" s="1318">
        <f t="shared" si="72"/>
        <v>26.886</v>
      </c>
      <c r="E138" s="1318">
        <f t="shared" si="72"/>
        <v>296.072</v>
      </c>
      <c r="F138" s="1318">
        <f t="shared" si="72"/>
        <v>2633.598</v>
      </c>
      <c r="M138" s="1044">
        <v>3.0</v>
      </c>
    </row>
    <row r="139" ht="12.75" customHeight="1">
      <c r="B139" s="1550" t="s">
        <v>3</v>
      </c>
      <c r="C139" s="1552" t="s">
        <v>2087</v>
      </c>
      <c r="D139" s="1558" t="s">
        <v>2088</v>
      </c>
      <c r="E139" s="1558" t="s">
        <v>2089</v>
      </c>
      <c r="F139" s="1558" t="s">
        <v>2090</v>
      </c>
      <c r="L139" s="1010"/>
      <c r="M139" s="1010"/>
    </row>
    <row r="140" ht="12.75" customHeight="1">
      <c r="B140" s="1553" t="s">
        <v>2108</v>
      </c>
      <c r="C140" s="1554">
        <f>'Ювелир'!D115</f>
        <v>5.054</v>
      </c>
      <c r="D140" s="1554">
        <f>'Ювелир'!E115</f>
        <v>15.286</v>
      </c>
      <c r="E140" s="1554">
        <f>'Ювелир'!F115</f>
        <v>276.432</v>
      </c>
      <c r="F140" s="1554">
        <f>'Ювелир'!G115</f>
        <v>2603.138</v>
      </c>
      <c r="L140" s="1010"/>
      <c r="M140" s="1010"/>
    </row>
    <row r="141" ht="12.75" customHeight="1">
      <c r="B141" s="1004" t="s">
        <v>2033</v>
      </c>
      <c r="C141" s="997">
        <f t="shared" ref="C141:F141" si="73">C125*$M138</f>
        <v>33</v>
      </c>
      <c r="D141" s="997">
        <f t="shared" si="73"/>
        <v>36</v>
      </c>
      <c r="E141" s="997">
        <f t="shared" si="73"/>
        <v>39</v>
      </c>
      <c r="F141" s="997">
        <f t="shared" si="73"/>
        <v>42</v>
      </c>
      <c r="L141" s="1010"/>
      <c r="M141" s="1010"/>
    </row>
    <row r="142" ht="12.75" customHeight="1">
      <c r="B142" s="1004" t="s">
        <v>1372</v>
      </c>
      <c r="C142" s="997">
        <f t="shared" ref="C142:F142" si="74">(0.02*C143)*C143</f>
        <v>0.18</v>
      </c>
      <c r="D142" s="997">
        <f t="shared" si="74"/>
        <v>0.32</v>
      </c>
      <c r="E142" s="1463">
        <f t="shared" si="74"/>
        <v>0.5</v>
      </c>
      <c r="F142" s="997">
        <f t="shared" si="74"/>
        <v>0.72</v>
      </c>
      <c r="L142" s="1010"/>
      <c r="M142" s="1010"/>
    </row>
    <row r="143" ht="12.75" customHeight="1">
      <c r="B143" s="1004" t="s">
        <v>2035</v>
      </c>
      <c r="C143" s="997">
        <f t="shared" ref="C143:F143" si="75">C135+1</f>
        <v>3</v>
      </c>
      <c r="D143" s="997">
        <f t="shared" si="75"/>
        <v>4</v>
      </c>
      <c r="E143" s="997">
        <f t="shared" si="75"/>
        <v>5</v>
      </c>
      <c r="F143" s="997">
        <f t="shared" si="75"/>
        <v>6</v>
      </c>
      <c r="L143" s="1010"/>
      <c r="M143" s="1010"/>
    </row>
    <row r="144" ht="12.75" customHeight="1">
      <c r="B144" s="1006" t="s">
        <v>2037</v>
      </c>
      <c r="C144" s="1556">
        <v>14.0</v>
      </c>
      <c r="D144" s="1556">
        <v>16.0</v>
      </c>
      <c r="E144" s="1556">
        <v>18.0</v>
      </c>
      <c r="F144" s="1556">
        <v>20.0</v>
      </c>
      <c r="L144" s="1010"/>
      <c r="M144" s="1010"/>
    </row>
    <row r="145" ht="12.75" customHeight="1">
      <c r="B145" s="1004" t="s">
        <v>2038</v>
      </c>
      <c r="C145" s="953" t="s">
        <v>1237</v>
      </c>
      <c r="D145" s="953" t="s">
        <v>1250</v>
      </c>
      <c r="E145" s="953" t="s">
        <v>1250</v>
      </c>
      <c r="F145" s="953" t="s">
        <v>1250</v>
      </c>
    </row>
    <row r="146" ht="12.75" customHeight="1"/>
    <row r="147" ht="12.75" customHeight="1">
      <c r="B147" s="985" t="s">
        <v>2109</v>
      </c>
      <c r="L147" s="1010"/>
      <c r="M147" s="1010"/>
    </row>
    <row r="148" ht="12.75" customHeight="1">
      <c r="B148" s="1538" t="s">
        <v>2110</v>
      </c>
      <c r="C148" s="1540" t="s">
        <v>2111</v>
      </c>
      <c r="D148" s="1540" t="s">
        <v>2112</v>
      </c>
      <c r="L148" s="1010"/>
      <c r="M148" s="1010"/>
    </row>
    <row r="149" ht="12.75" customHeight="1">
      <c r="B149" s="1111" t="s">
        <v>2113</v>
      </c>
      <c r="C149" s="1318">
        <f t="shared" ref="C149:D149" si="76">C153*C154+C$152*0.1*$C$8+C151</f>
        <v>1.73</v>
      </c>
      <c r="D149" s="1318">
        <f t="shared" si="76"/>
        <v>7.52</v>
      </c>
      <c r="L149" s="1010"/>
      <c r="M149" s="1010"/>
    </row>
    <row r="150" ht="12.75" customHeight="1">
      <c r="B150" s="1550" t="s">
        <v>3</v>
      </c>
      <c r="C150" s="1552" t="s">
        <v>2114</v>
      </c>
      <c r="D150" s="1552" t="s">
        <v>2115</v>
      </c>
      <c r="L150" s="1010"/>
      <c r="M150" s="1010"/>
    </row>
    <row r="151" ht="12.75" customHeight="1">
      <c r="B151" s="1553" t="s">
        <v>1376</v>
      </c>
      <c r="C151" s="1554">
        <f>'Гончар'!C20</f>
        <v>0.69</v>
      </c>
      <c r="D151" s="1554">
        <f>'Гончар'!D20</f>
        <v>5.02</v>
      </c>
      <c r="L151" s="1010"/>
      <c r="M151" s="1010"/>
    </row>
    <row r="152" ht="12.75" customHeight="1">
      <c r="B152" s="1432" t="s">
        <v>2032</v>
      </c>
      <c r="C152" s="1544">
        <v>40.0</v>
      </c>
      <c r="D152" s="1544">
        <v>80.0</v>
      </c>
      <c r="L152" s="1010"/>
      <c r="M152" s="1010"/>
    </row>
    <row r="153" ht="12.75" customHeight="1">
      <c r="B153" s="1004" t="s">
        <v>2033</v>
      </c>
      <c r="C153" s="981">
        <v>12.0</v>
      </c>
      <c r="D153" s="981">
        <v>13.0</v>
      </c>
      <c r="L153" s="1010"/>
      <c r="M153" s="1010"/>
    </row>
    <row r="154" ht="12.75" customHeight="1">
      <c r="B154" s="1004" t="s">
        <v>1372</v>
      </c>
      <c r="C154" s="981">
        <f t="shared" ref="C154:D154" si="77">(0.02*C155)*C155</f>
        <v>0.08</v>
      </c>
      <c r="D154" s="981">
        <f t="shared" si="77"/>
        <v>0.18</v>
      </c>
      <c r="L154" s="1010"/>
      <c r="M154" s="1010"/>
    </row>
    <row r="155" ht="12.75" customHeight="1">
      <c r="B155" s="1004" t="s">
        <v>2035</v>
      </c>
      <c r="C155" s="981">
        <v>2.0</v>
      </c>
      <c r="D155" s="981">
        <f>C155+1</f>
        <v>3</v>
      </c>
      <c r="L155" s="1010"/>
      <c r="M155" s="1010"/>
    </row>
    <row r="156" ht="12.75" customHeight="1">
      <c r="B156" s="1004" t="s">
        <v>2037</v>
      </c>
      <c r="C156" s="1005">
        <v>12.0</v>
      </c>
      <c r="D156" s="1005">
        <v>14.0</v>
      </c>
      <c r="L156" s="1010"/>
      <c r="M156" s="1010"/>
    </row>
    <row r="157" ht="12.75" customHeight="1">
      <c r="B157" s="1004" t="s">
        <v>2038</v>
      </c>
      <c r="C157" s="1008" t="s">
        <v>1237</v>
      </c>
      <c r="D157" s="1008" t="s">
        <v>1237</v>
      </c>
      <c r="L157" s="1010"/>
      <c r="M157" s="1010"/>
    </row>
    <row r="158" ht="12.75" customHeight="1"/>
    <row r="159" ht="12.75" customHeight="1">
      <c r="B159" s="985" t="s">
        <v>2116</v>
      </c>
      <c r="L159" s="1010"/>
      <c r="M159" s="1010"/>
    </row>
    <row r="160" ht="12.75" customHeight="1">
      <c r="B160" s="410"/>
      <c r="L160" s="1010"/>
      <c r="M160" s="1563"/>
    </row>
    <row r="161" ht="12.75" customHeight="1">
      <c r="B161" s="985" t="s">
        <v>2117</v>
      </c>
      <c r="C161" s="985"/>
      <c r="D161" s="985"/>
      <c r="E161" s="985"/>
      <c r="F161" s="985"/>
      <c r="G161" s="985"/>
      <c r="L161" s="1010"/>
      <c r="M161" s="1563"/>
    </row>
    <row r="162" ht="12.75" customHeight="1">
      <c r="B162" s="985" t="s">
        <v>2118</v>
      </c>
      <c r="C162" s="1314">
        <v>3.0</v>
      </c>
      <c r="E162" s="1516" t="s">
        <v>2119</v>
      </c>
      <c r="F162" s="1564">
        <v>40.0</v>
      </c>
      <c r="L162" s="1010"/>
      <c r="M162" s="1563"/>
    </row>
    <row r="163" ht="12.75" customHeight="1">
      <c r="L163" s="1010"/>
      <c r="M163" s="1563"/>
    </row>
    <row r="164" ht="12.75" customHeight="1">
      <c r="B164" s="1538" t="s">
        <v>2120</v>
      </c>
      <c r="C164" s="1539">
        <v>1.0</v>
      </c>
      <c r="D164" s="1539">
        <v>2.0</v>
      </c>
      <c r="E164" s="1539">
        <v>3.0</v>
      </c>
      <c r="F164" s="1539">
        <v>4.0</v>
      </c>
      <c r="G164" s="1539">
        <v>5.0</v>
      </c>
      <c r="H164" s="1539">
        <v>6.0</v>
      </c>
      <c r="I164" s="1539">
        <v>7.0</v>
      </c>
      <c r="J164" s="1539">
        <v>8.0</v>
      </c>
      <c r="K164" s="1539">
        <v>9.0</v>
      </c>
      <c r="L164" s="1010"/>
      <c r="M164" s="1070" t="s">
        <v>1434</v>
      </c>
    </row>
    <row r="165" ht="12.75" customHeight="1">
      <c r="B165" s="1111" t="s">
        <v>2121</v>
      </c>
      <c r="C165" s="1318">
        <f t="shared" ref="C165:K165" si="78">C168*C170+C$167*$C$8+C166</f>
        <v>0.93</v>
      </c>
      <c r="D165" s="1318">
        <f t="shared" si="78"/>
        <v>1.41</v>
      </c>
      <c r="E165" s="1318">
        <f t="shared" si="78"/>
        <v>3.32</v>
      </c>
      <c r="F165" s="1318">
        <f t="shared" si="78"/>
        <v>8.46</v>
      </c>
      <c r="G165" s="1318">
        <f t="shared" si="78"/>
        <v>18.6</v>
      </c>
      <c r="H165" s="1318">
        <f t="shared" si="78"/>
        <v>36.74</v>
      </c>
      <c r="I165" s="1318">
        <f t="shared" si="78"/>
        <v>66.855</v>
      </c>
      <c r="J165" s="1318">
        <f t="shared" si="78"/>
        <v>111.765</v>
      </c>
      <c r="K165" s="1318">
        <f t="shared" si="78"/>
        <v>176.645</v>
      </c>
      <c r="L165" s="1010"/>
      <c r="M165" s="1127">
        <v>1.0</v>
      </c>
    </row>
    <row r="166" ht="12.75" customHeight="1">
      <c r="B166" s="1565" t="s">
        <v>2122</v>
      </c>
      <c r="C166" s="1566">
        <f>'Писарь'!D11</f>
        <v>0.12</v>
      </c>
      <c r="D166" s="1566">
        <f>'Писарь'!E11</f>
        <v>0.45</v>
      </c>
      <c r="E166" s="1566">
        <f>'Писарь'!F11</f>
        <v>1.71</v>
      </c>
      <c r="F166" s="1566">
        <f>'Писарь'!G11</f>
        <v>5.1</v>
      </c>
      <c r="G166" s="1566">
        <f>'Писарь'!H11</f>
        <v>11.55</v>
      </c>
      <c r="H166" s="1566">
        <f>'Писарь'!I11</f>
        <v>22.98</v>
      </c>
      <c r="I166" s="1566">
        <f>'Писарь'!J11</f>
        <v>42.045</v>
      </c>
      <c r="J166" s="1566">
        <f>'Писарь'!K11</f>
        <v>70.005</v>
      </c>
      <c r="K166" s="1566">
        <f>'Писарь'!L11</f>
        <v>110.235</v>
      </c>
      <c r="L166" s="1010"/>
      <c r="M166" s="1127"/>
    </row>
    <row r="167" ht="12.75" customHeight="1">
      <c r="B167" s="1432" t="s">
        <v>2032</v>
      </c>
      <c r="C167" s="1567">
        <f t="shared" ref="C167:K167" si="79">$F$162</f>
        <v>40</v>
      </c>
      <c r="D167" s="1567">
        <f t="shared" si="79"/>
        <v>40</v>
      </c>
      <c r="E167" s="1567">
        <f t="shared" si="79"/>
        <v>40</v>
      </c>
      <c r="F167" s="1567">
        <f t="shared" si="79"/>
        <v>40</v>
      </c>
      <c r="G167" s="1567">
        <f t="shared" si="79"/>
        <v>40</v>
      </c>
      <c r="H167" s="1567">
        <f t="shared" si="79"/>
        <v>40</v>
      </c>
      <c r="I167" s="1567">
        <f t="shared" si="79"/>
        <v>40</v>
      </c>
      <c r="J167" s="1567">
        <f t="shared" si="79"/>
        <v>40</v>
      </c>
      <c r="K167" s="1567">
        <f t="shared" si="79"/>
        <v>40</v>
      </c>
      <c r="L167" s="1010"/>
      <c r="M167" s="1127"/>
    </row>
    <row r="168" ht="12.75" customHeight="1">
      <c r="B168" s="1004" t="s">
        <v>2033</v>
      </c>
      <c r="C168" s="981">
        <f t="shared" ref="C168:K168" si="80">C$11*C169</f>
        <v>0.5</v>
      </c>
      <c r="D168" s="981">
        <f t="shared" si="80"/>
        <v>2</v>
      </c>
      <c r="E168" s="981">
        <f t="shared" si="80"/>
        <v>4.5</v>
      </c>
      <c r="F168" s="981">
        <f t="shared" si="80"/>
        <v>8</v>
      </c>
      <c r="G168" s="981">
        <f t="shared" si="80"/>
        <v>12.5</v>
      </c>
      <c r="H168" s="981">
        <f t="shared" si="80"/>
        <v>18</v>
      </c>
      <c r="I168" s="981">
        <f t="shared" si="80"/>
        <v>24.5</v>
      </c>
      <c r="J168" s="981">
        <f t="shared" si="80"/>
        <v>32</v>
      </c>
      <c r="K168" s="981">
        <f t="shared" si="80"/>
        <v>40.5</v>
      </c>
      <c r="L168" s="1010"/>
      <c r="M168" s="1127"/>
    </row>
    <row r="169" ht="12.75" customHeight="1">
      <c r="B169" s="1004" t="s">
        <v>2034</v>
      </c>
      <c r="C169" s="1005">
        <v>0.5</v>
      </c>
      <c r="D169" s="981">
        <f t="shared" ref="D169:K169" si="81">C169+0.5</f>
        <v>1</v>
      </c>
      <c r="E169" s="981">
        <f t="shared" si="81"/>
        <v>1.5</v>
      </c>
      <c r="F169" s="981">
        <f t="shared" si="81"/>
        <v>2</v>
      </c>
      <c r="G169" s="981">
        <f t="shared" si="81"/>
        <v>2.5</v>
      </c>
      <c r="H169" s="981">
        <f t="shared" si="81"/>
        <v>3</v>
      </c>
      <c r="I169" s="981">
        <f t="shared" si="81"/>
        <v>3.5</v>
      </c>
      <c r="J169" s="981">
        <f t="shared" si="81"/>
        <v>4</v>
      </c>
      <c r="K169" s="981">
        <f t="shared" si="81"/>
        <v>4.5</v>
      </c>
      <c r="L169" s="1010"/>
      <c r="M169" s="1127"/>
    </row>
    <row r="170" ht="12.75" customHeight="1">
      <c r="B170" s="1004" t="s">
        <v>1372</v>
      </c>
      <c r="C170" s="981">
        <f t="shared" ref="C170:K170" si="82">(0.02*C171)*C171</f>
        <v>0.02</v>
      </c>
      <c r="D170" s="981">
        <f t="shared" si="82"/>
        <v>0.08</v>
      </c>
      <c r="E170" s="981">
        <f t="shared" si="82"/>
        <v>0.18</v>
      </c>
      <c r="F170" s="981">
        <f t="shared" si="82"/>
        <v>0.32</v>
      </c>
      <c r="G170" s="982">
        <f t="shared" si="82"/>
        <v>0.5</v>
      </c>
      <c r="H170" s="981">
        <f t="shared" si="82"/>
        <v>0.72</v>
      </c>
      <c r="I170" s="981">
        <f t="shared" si="82"/>
        <v>0.98</v>
      </c>
      <c r="J170" s="981">
        <f t="shared" si="82"/>
        <v>1.28</v>
      </c>
      <c r="K170" s="981">
        <f t="shared" si="82"/>
        <v>1.62</v>
      </c>
      <c r="L170" s="1010"/>
      <c r="M170" s="1127"/>
    </row>
    <row r="171" ht="12.75" customHeight="1">
      <c r="B171" s="1004" t="s">
        <v>2123</v>
      </c>
      <c r="C171" s="981">
        <v>1.0</v>
      </c>
      <c r="D171" s="981">
        <f t="shared" ref="D171:K171" si="83">C171+1</f>
        <v>2</v>
      </c>
      <c r="E171" s="981">
        <f t="shared" si="83"/>
        <v>3</v>
      </c>
      <c r="F171" s="981">
        <f t="shared" si="83"/>
        <v>4</v>
      </c>
      <c r="G171" s="981">
        <f t="shared" si="83"/>
        <v>5</v>
      </c>
      <c r="H171" s="981">
        <f t="shared" si="83"/>
        <v>6</v>
      </c>
      <c r="I171" s="981">
        <f t="shared" si="83"/>
        <v>7</v>
      </c>
      <c r="J171" s="981">
        <f t="shared" si="83"/>
        <v>8</v>
      </c>
      <c r="K171" s="981">
        <f t="shared" si="83"/>
        <v>9</v>
      </c>
      <c r="L171" s="1010"/>
      <c r="M171" s="1127"/>
    </row>
    <row r="172" ht="12.75" customHeight="1">
      <c r="B172" s="1004" t="s">
        <v>2124</v>
      </c>
      <c r="C172" s="1005">
        <v>20.0</v>
      </c>
      <c r="D172" s="1005">
        <f t="shared" ref="D172:K172" si="84">C172+4</f>
        <v>24</v>
      </c>
      <c r="E172" s="1005">
        <f t="shared" si="84"/>
        <v>28</v>
      </c>
      <c r="F172" s="1005">
        <f t="shared" si="84"/>
        <v>32</v>
      </c>
      <c r="G172" s="1005">
        <f t="shared" si="84"/>
        <v>36</v>
      </c>
      <c r="H172" s="1005">
        <f t="shared" si="84"/>
        <v>40</v>
      </c>
      <c r="I172" s="1005">
        <f t="shared" si="84"/>
        <v>44</v>
      </c>
      <c r="J172" s="1005">
        <f t="shared" si="84"/>
        <v>48</v>
      </c>
      <c r="K172" s="1005">
        <f t="shared" si="84"/>
        <v>52</v>
      </c>
      <c r="L172" s="1010"/>
      <c r="M172" s="1127"/>
    </row>
    <row r="173" ht="12.75" customHeight="1">
      <c r="B173" s="1004" t="s">
        <v>2038</v>
      </c>
      <c r="C173" s="953" t="s">
        <v>1237</v>
      </c>
      <c r="D173" s="953" t="s">
        <v>1237</v>
      </c>
      <c r="E173" s="953" t="s">
        <v>1237</v>
      </c>
      <c r="F173" s="953" t="s">
        <v>1250</v>
      </c>
      <c r="G173" s="953" t="s">
        <v>1250</v>
      </c>
      <c r="H173" s="953" t="s">
        <v>1250</v>
      </c>
      <c r="I173" s="953" t="s">
        <v>1263</v>
      </c>
      <c r="J173" s="953" t="s">
        <v>1263</v>
      </c>
      <c r="K173" s="953" t="s">
        <v>1263</v>
      </c>
    </row>
    <row r="174" ht="12.75" customHeight="1">
      <c r="B174" s="1004" t="s">
        <v>1675</v>
      </c>
      <c r="C174" s="953" t="s">
        <v>1237</v>
      </c>
      <c r="D174" s="953" t="s">
        <v>1237</v>
      </c>
      <c r="E174" s="953" t="s">
        <v>1237</v>
      </c>
      <c r="F174" s="953" t="s">
        <v>1250</v>
      </c>
      <c r="G174" s="953" t="s">
        <v>1250</v>
      </c>
      <c r="H174" s="953" t="s">
        <v>1250</v>
      </c>
      <c r="I174" s="953" t="s">
        <v>1263</v>
      </c>
      <c r="J174" s="953" t="s">
        <v>1263</v>
      </c>
      <c r="K174" s="953" t="s">
        <v>1263</v>
      </c>
    </row>
    <row r="175" ht="12.75" customHeight="1">
      <c r="B175" s="1111" t="s">
        <v>2125</v>
      </c>
      <c r="C175" s="1318">
        <f t="shared" ref="C175:K175" si="85">C177*C179+C$167*$C$8+C176</f>
        <v>1.42</v>
      </c>
      <c r="D175" s="1318">
        <f t="shared" si="85"/>
        <v>4.13</v>
      </c>
      <c r="E175" s="1318">
        <f t="shared" si="85"/>
        <v>12.5</v>
      </c>
      <c r="F175" s="1318">
        <f t="shared" si="85"/>
        <v>31.9</v>
      </c>
      <c r="G175" s="1318">
        <f t="shared" si="85"/>
        <v>68</v>
      </c>
      <c r="H175" s="1318">
        <f t="shared" si="85"/>
        <v>129.29</v>
      </c>
      <c r="I175" s="1318">
        <f t="shared" si="85"/>
        <v>226.57</v>
      </c>
      <c r="J175" s="1318">
        <f t="shared" si="85"/>
        <v>368.69</v>
      </c>
      <c r="K175" s="1318">
        <f t="shared" si="85"/>
        <v>569.57</v>
      </c>
      <c r="L175" s="1010"/>
      <c r="M175" s="1127">
        <v>2.0</v>
      </c>
    </row>
    <row r="176" ht="12.75" customHeight="1">
      <c r="B176" s="1565" t="s">
        <v>2126</v>
      </c>
      <c r="C176" s="1566">
        <f>'Писарь'!D21</f>
        <v>0.54</v>
      </c>
      <c r="D176" s="1566">
        <f>'Писарь'!E21</f>
        <v>2.61</v>
      </c>
      <c r="E176" s="1566">
        <f>'Писарь'!F21</f>
        <v>8.82</v>
      </c>
      <c r="F176" s="1566">
        <f>'Писарь'!G21</f>
        <v>23.1</v>
      </c>
      <c r="G176" s="1566">
        <f>'Писарь'!H21</f>
        <v>49.2</v>
      </c>
      <c r="H176" s="1566">
        <f>'Писарь'!I21</f>
        <v>93.21</v>
      </c>
      <c r="I176" s="1566">
        <f>'Писарь'!J21</f>
        <v>163.05</v>
      </c>
      <c r="J176" s="1566">
        <f>'Писарь'!K21</f>
        <v>264.21</v>
      </c>
      <c r="K176" s="1566">
        <f>'Писарь'!L21</f>
        <v>406.77</v>
      </c>
      <c r="L176" s="1010"/>
      <c r="M176" s="1127"/>
    </row>
    <row r="177" ht="12.75" customHeight="1">
      <c r="B177" s="1004" t="s">
        <v>2033</v>
      </c>
      <c r="C177" s="997">
        <f t="shared" ref="C177:K177" si="86">C$164*C178</f>
        <v>1</v>
      </c>
      <c r="D177" s="997">
        <f t="shared" si="86"/>
        <v>4</v>
      </c>
      <c r="E177" s="997">
        <f t="shared" si="86"/>
        <v>9</v>
      </c>
      <c r="F177" s="997">
        <f t="shared" si="86"/>
        <v>16</v>
      </c>
      <c r="G177" s="997">
        <f t="shared" si="86"/>
        <v>25</v>
      </c>
      <c r="H177" s="997">
        <f t="shared" si="86"/>
        <v>36</v>
      </c>
      <c r="I177" s="997">
        <f t="shared" si="86"/>
        <v>49</v>
      </c>
      <c r="J177" s="997">
        <f t="shared" si="86"/>
        <v>64</v>
      </c>
      <c r="K177" s="997">
        <f t="shared" si="86"/>
        <v>81</v>
      </c>
      <c r="L177" s="1010"/>
      <c r="M177" s="1127"/>
    </row>
    <row r="178" ht="12.75" customHeight="1">
      <c r="B178" s="1004" t="s">
        <v>2034</v>
      </c>
      <c r="C178" s="998">
        <f t="shared" ref="C178:K178" si="87">C169*$M175</f>
        <v>1</v>
      </c>
      <c r="D178" s="998">
        <f t="shared" si="87"/>
        <v>2</v>
      </c>
      <c r="E178" s="998">
        <f t="shared" si="87"/>
        <v>3</v>
      </c>
      <c r="F178" s="998">
        <f t="shared" si="87"/>
        <v>4</v>
      </c>
      <c r="G178" s="998">
        <f t="shared" si="87"/>
        <v>5</v>
      </c>
      <c r="H178" s="998">
        <f t="shared" si="87"/>
        <v>6</v>
      </c>
      <c r="I178" s="998">
        <f t="shared" si="87"/>
        <v>7</v>
      </c>
      <c r="J178" s="998">
        <f t="shared" si="87"/>
        <v>8</v>
      </c>
      <c r="K178" s="998">
        <f t="shared" si="87"/>
        <v>9</v>
      </c>
      <c r="L178" s="1010"/>
      <c r="M178" s="1010"/>
    </row>
    <row r="179" ht="12.75" customHeight="1">
      <c r="B179" s="1004" t="s">
        <v>1372</v>
      </c>
      <c r="C179" s="997">
        <f t="shared" ref="C179:K179" si="88">(0.02*C180)*C180</f>
        <v>0.08</v>
      </c>
      <c r="D179" s="997">
        <f t="shared" si="88"/>
        <v>0.18</v>
      </c>
      <c r="E179" s="997">
        <f t="shared" si="88"/>
        <v>0.32</v>
      </c>
      <c r="F179" s="1463">
        <f t="shared" si="88"/>
        <v>0.5</v>
      </c>
      <c r="G179" s="997">
        <f t="shared" si="88"/>
        <v>0.72</v>
      </c>
      <c r="H179" s="997">
        <f t="shared" si="88"/>
        <v>0.98</v>
      </c>
      <c r="I179" s="997">
        <f t="shared" si="88"/>
        <v>1.28</v>
      </c>
      <c r="J179" s="997">
        <f t="shared" si="88"/>
        <v>1.62</v>
      </c>
      <c r="K179" s="997">
        <f t="shared" si="88"/>
        <v>2</v>
      </c>
      <c r="L179" s="1010"/>
      <c r="M179" s="1127"/>
    </row>
    <row r="180" ht="12.75" customHeight="1">
      <c r="B180" s="1004" t="s">
        <v>2035</v>
      </c>
      <c r="C180" s="997">
        <f t="shared" ref="C180:K180" si="89">C171+1</f>
        <v>2</v>
      </c>
      <c r="D180" s="997">
        <f t="shared" si="89"/>
        <v>3</v>
      </c>
      <c r="E180" s="997">
        <f t="shared" si="89"/>
        <v>4</v>
      </c>
      <c r="F180" s="997">
        <f t="shared" si="89"/>
        <v>5</v>
      </c>
      <c r="G180" s="997">
        <f t="shared" si="89"/>
        <v>6</v>
      </c>
      <c r="H180" s="997">
        <f t="shared" si="89"/>
        <v>7</v>
      </c>
      <c r="I180" s="997">
        <f t="shared" si="89"/>
        <v>8</v>
      </c>
      <c r="J180" s="997">
        <f t="shared" si="89"/>
        <v>9</v>
      </c>
      <c r="K180" s="997">
        <f t="shared" si="89"/>
        <v>10</v>
      </c>
      <c r="L180" s="1010"/>
      <c r="M180" s="1127"/>
    </row>
    <row r="181" ht="12.75" customHeight="1">
      <c r="B181" s="1004" t="s">
        <v>2124</v>
      </c>
      <c r="C181" s="998">
        <v>24.0</v>
      </c>
      <c r="D181" s="998">
        <f t="shared" ref="D181:K181" si="90">C181+4</f>
        <v>28</v>
      </c>
      <c r="E181" s="998">
        <f t="shared" si="90"/>
        <v>32</v>
      </c>
      <c r="F181" s="998">
        <f t="shared" si="90"/>
        <v>36</v>
      </c>
      <c r="G181" s="998">
        <f t="shared" si="90"/>
        <v>40</v>
      </c>
      <c r="H181" s="998">
        <f t="shared" si="90"/>
        <v>44</v>
      </c>
      <c r="I181" s="998">
        <f t="shared" si="90"/>
        <v>48</v>
      </c>
      <c r="J181" s="998">
        <f t="shared" si="90"/>
        <v>52</v>
      </c>
      <c r="K181" s="998">
        <f t="shared" si="90"/>
        <v>56</v>
      </c>
      <c r="L181" s="1010"/>
      <c r="M181" s="1127"/>
    </row>
    <row r="182" ht="12.75" customHeight="1">
      <c r="B182" s="1004" t="s">
        <v>2038</v>
      </c>
      <c r="C182" s="953" t="s">
        <v>1237</v>
      </c>
      <c r="D182" s="953" t="s">
        <v>1237</v>
      </c>
      <c r="E182" s="953" t="s">
        <v>1250</v>
      </c>
      <c r="F182" s="953" t="s">
        <v>1250</v>
      </c>
      <c r="G182" s="953" t="s">
        <v>1250</v>
      </c>
      <c r="H182" s="953" t="s">
        <v>1263</v>
      </c>
      <c r="I182" s="953" t="s">
        <v>1263</v>
      </c>
      <c r="J182" s="953" t="s">
        <v>1263</v>
      </c>
      <c r="K182" s="953" t="s">
        <v>1263</v>
      </c>
    </row>
    <row r="183" ht="12.75" customHeight="1">
      <c r="B183" s="1004" t="s">
        <v>1675</v>
      </c>
      <c r="C183" s="953" t="s">
        <v>1237</v>
      </c>
      <c r="D183" s="953" t="s">
        <v>1237</v>
      </c>
      <c r="E183" s="953" t="s">
        <v>1250</v>
      </c>
      <c r="F183" s="953" t="s">
        <v>1250</v>
      </c>
      <c r="G183" s="953" t="s">
        <v>1250</v>
      </c>
      <c r="H183" s="953" t="s">
        <v>1263</v>
      </c>
      <c r="I183" s="953" t="s">
        <v>1263</v>
      </c>
      <c r="J183" s="953" t="s">
        <v>1263</v>
      </c>
      <c r="K183" s="953" t="s">
        <v>1263</v>
      </c>
    </row>
    <row r="184" ht="12.75" customHeight="1">
      <c r="B184" s="1111" t="s">
        <v>2127</v>
      </c>
      <c r="C184" s="1318">
        <f t="shared" ref="C184:K184" si="91">C186*C188+C$167*$C$8+C185</f>
        <v>2.96</v>
      </c>
      <c r="D184" s="1318">
        <f t="shared" si="91"/>
        <v>11.63</v>
      </c>
      <c r="E184" s="1318">
        <f t="shared" si="91"/>
        <v>34.82</v>
      </c>
      <c r="F184" s="1318">
        <f t="shared" si="91"/>
        <v>83.78</v>
      </c>
      <c r="G184" s="1318">
        <f t="shared" si="91"/>
        <v>170.75</v>
      </c>
      <c r="H184" s="1318">
        <f t="shared" si="91"/>
        <v>312.74</v>
      </c>
      <c r="I184" s="1318">
        <f t="shared" si="91"/>
        <v>530.765</v>
      </c>
      <c r="J184" s="1318">
        <f t="shared" si="91"/>
        <v>843.455</v>
      </c>
      <c r="K184" s="1318">
        <f t="shared" si="91"/>
        <v>1277.585</v>
      </c>
      <c r="L184" s="1010"/>
      <c r="M184" s="1127">
        <v>3.0</v>
      </c>
    </row>
    <row r="185" ht="12.75" customHeight="1">
      <c r="B185" s="1565" t="s">
        <v>2128</v>
      </c>
      <c r="C185" s="1566">
        <f>'Писарь'!D29</f>
        <v>1.89</v>
      </c>
      <c r="D185" s="1566">
        <f>'Писарь'!E29</f>
        <v>8.91</v>
      </c>
      <c r="E185" s="1566">
        <f>'Писарь'!F29</f>
        <v>27.27</v>
      </c>
      <c r="F185" s="1566">
        <f>'Писарь'!G29</f>
        <v>65.7</v>
      </c>
      <c r="G185" s="1566">
        <f>'Писарь'!H29</f>
        <v>133.2</v>
      </c>
      <c r="H185" s="1566">
        <f>'Писарь'!I29</f>
        <v>242.82</v>
      </c>
      <c r="I185" s="1566">
        <f>'Писарь'!J29</f>
        <v>410.895</v>
      </c>
      <c r="J185" s="1566">
        <f>'Писарь'!K29</f>
        <v>650.655</v>
      </c>
      <c r="K185" s="1566">
        <f>'Писарь'!L29</f>
        <v>982.755</v>
      </c>
      <c r="L185" s="1010"/>
      <c r="M185" s="1127"/>
    </row>
    <row r="186" ht="12.75" customHeight="1">
      <c r="B186" s="1004" t="s">
        <v>2033</v>
      </c>
      <c r="C186" s="997">
        <f t="shared" ref="C186:K186" si="92">C$164*C187</f>
        <v>1.5</v>
      </c>
      <c r="D186" s="997">
        <f t="shared" si="92"/>
        <v>6</v>
      </c>
      <c r="E186" s="997">
        <f t="shared" si="92"/>
        <v>13.5</v>
      </c>
      <c r="F186" s="997">
        <f t="shared" si="92"/>
        <v>24</v>
      </c>
      <c r="G186" s="997">
        <f t="shared" si="92"/>
        <v>37.5</v>
      </c>
      <c r="H186" s="997">
        <f t="shared" si="92"/>
        <v>54</v>
      </c>
      <c r="I186" s="997">
        <f t="shared" si="92"/>
        <v>73.5</v>
      </c>
      <c r="J186" s="997">
        <f t="shared" si="92"/>
        <v>96</v>
      </c>
      <c r="K186" s="997">
        <f t="shared" si="92"/>
        <v>121.5</v>
      </c>
      <c r="L186" s="1010"/>
      <c r="M186" s="1127"/>
    </row>
    <row r="187" ht="12.75" customHeight="1">
      <c r="B187" s="1004" t="s">
        <v>2034</v>
      </c>
      <c r="C187" s="998">
        <f t="shared" ref="C187:K187" si="93">C169*$M184</f>
        <v>1.5</v>
      </c>
      <c r="D187" s="998">
        <f t="shared" si="93"/>
        <v>3</v>
      </c>
      <c r="E187" s="998">
        <f t="shared" si="93"/>
        <v>4.5</v>
      </c>
      <c r="F187" s="998">
        <f t="shared" si="93"/>
        <v>6</v>
      </c>
      <c r="G187" s="998">
        <f t="shared" si="93"/>
        <v>7.5</v>
      </c>
      <c r="H187" s="998">
        <f t="shared" si="93"/>
        <v>9</v>
      </c>
      <c r="I187" s="998">
        <f t="shared" si="93"/>
        <v>10.5</v>
      </c>
      <c r="J187" s="998">
        <f t="shared" si="93"/>
        <v>12</v>
      </c>
      <c r="K187" s="998">
        <f t="shared" si="93"/>
        <v>13.5</v>
      </c>
      <c r="L187" s="1010"/>
      <c r="M187" s="1010"/>
    </row>
    <row r="188" ht="12.75" customHeight="1">
      <c r="B188" s="1004" t="s">
        <v>1372</v>
      </c>
      <c r="C188" s="997">
        <f t="shared" ref="C188:K188" si="94">(0.02*C189)*C189</f>
        <v>0.18</v>
      </c>
      <c r="D188" s="997">
        <f t="shared" si="94"/>
        <v>0.32</v>
      </c>
      <c r="E188" s="1463">
        <f t="shared" si="94"/>
        <v>0.5</v>
      </c>
      <c r="F188" s="997">
        <f t="shared" si="94"/>
        <v>0.72</v>
      </c>
      <c r="G188" s="997">
        <f t="shared" si="94"/>
        <v>0.98</v>
      </c>
      <c r="H188" s="997">
        <f t="shared" si="94"/>
        <v>1.28</v>
      </c>
      <c r="I188" s="997">
        <f t="shared" si="94"/>
        <v>1.62</v>
      </c>
      <c r="J188" s="997">
        <f t="shared" si="94"/>
        <v>2</v>
      </c>
      <c r="K188" s="997">
        <f t="shared" si="94"/>
        <v>2.42</v>
      </c>
      <c r="L188" s="1010"/>
      <c r="M188" s="1127"/>
    </row>
    <row r="189" ht="12.75" customHeight="1">
      <c r="B189" s="1004" t="s">
        <v>2035</v>
      </c>
      <c r="C189" s="997">
        <f t="shared" ref="C189:K189" si="95">C180+1</f>
        <v>3</v>
      </c>
      <c r="D189" s="997">
        <f t="shared" si="95"/>
        <v>4</v>
      </c>
      <c r="E189" s="997">
        <f t="shared" si="95"/>
        <v>5</v>
      </c>
      <c r="F189" s="997">
        <f t="shared" si="95"/>
        <v>6</v>
      </c>
      <c r="G189" s="997">
        <f t="shared" si="95"/>
        <v>7</v>
      </c>
      <c r="H189" s="997">
        <f t="shared" si="95"/>
        <v>8</v>
      </c>
      <c r="I189" s="997">
        <f t="shared" si="95"/>
        <v>9</v>
      </c>
      <c r="J189" s="997">
        <f t="shared" si="95"/>
        <v>10</v>
      </c>
      <c r="K189" s="997">
        <f t="shared" si="95"/>
        <v>11</v>
      </c>
      <c r="L189" s="1010"/>
      <c r="M189" s="1127"/>
    </row>
    <row r="190" ht="12.75" customHeight="1">
      <c r="B190" s="1004" t="s">
        <v>2124</v>
      </c>
      <c r="C190" s="998">
        <v>28.0</v>
      </c>
      <c r="D190" s="998">
        <f t="shared" ref="D190:K190" si="96">C190+4</f>
        <v>32</v>
      </c>
      <c r="E190" s="998">
        <f t="shared" si="96"/>
        <v>36</v>
      </c>
      <c r="F190" s="998">
        <f t="shared" si="96"/>
        <v>40</v>
      </c>
      <c r="G190" s="998">
        <f t="shared" si="96"/>
        <v>44</v>
      </c>
      <c r="H190" s="998">
        <f t="shared" si="96"/>
        <v>48</v>
      </c>
      <c r="I190" s="998">
        <f t="shared" si="96"/>
        <v>52</v>
      </c>
      <c r="J190" s="998">
        <f t="shared" si="96"/>
        <v>56</v>
      </c>
      <c r="K190" s="998">
        <f t="shared" si="96"/>
        <v>60</v>
      </c>
      <c r="L190" s="1010"/>
      <c r="M190" s="1010"/>
    </row>
    <row r="191" ht="12.75" customHeight="1">
      <c r="B191" s="1004" t="s">
        <v>2038</v>
      </c>
      <c r="C191" s="953" t="s">
        <v>1237</v>
      </c>
      <c r="D191" s="953" t="s">
        <v>1250</v>
      </c>
      <c r="E191" s="953" t="s">
        <v>1250</v>
      </c>
      <c r="F191" s="953" t="s">
        <v>1250</v>
      </c>
      <c r="G191" s="953" t="s">
        <v>1263</v>
      </c>
      <c r="H191" s="953" t="s">
        <v>1263</v>
      </c>
      <c r="I191" s="953" t="s">
        <v>1263</v>
      </c>
      <c r="J191" s="953" t="s">
        <v>1263</v>
      </c>
      <c r="K191" s="953" t="s">
        <v>1263</v>
      </c>
    </row>
    <row r="192" ht="12.75" customHeight="1">
      <c r="B192" s="1004" t="s">
        <v>1675</v>
      </c>
      <c r="C192" s="953" t="s">
        <v>1237</v>
      </c>
      <c r="D192" s="953" t="s">
        <v>1250</v>
      </c>
      <c r="E192" s="953" t="s">
        <v>1250</v>
      </c>
      <c r="F192" s="953" t="s">
        <v>1250</v>
      </c>
      <c r="G192" s="953" t="s">
        <v>1263</v>
      </c>
      <c r="H192" s="953" t="s">
        <v>1263</v>
      </c>
      <c r="I192" s="953" t="s">
        <v>1263</v>
      </c>
      <c r="J192" s="953" t="s">
        <v>1263</v>
      </c>
      <c r="K192" s="953" t="s">
        <v>1263</v>
      </c>
    </row>
    <row r="193" ht="12.75" customHeight="1">
      <c r="B193" s="1286"/>
    </row>
    <row r="194" ht="12.75" customHeight="1">
      <c r="B194" s="1286" t="s">
        <v>2129</v>
      </c>
    </row>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sheetData>
  <mergeCells count="6">
    <mergeCell ref="R10:V10"/>
    <mergeCell ref="P12:P14"/>
    <mergeCell ref="R16:V16"/>
    <mergeCell ref="P18:P22"/>
    <mergeCell ref="R24:V24"/>
    <mergeCell ref="P26:P32"/>
  </mergeCells>
  <dataValidations>
    <dataValidation type="list" allowBlank="1" sqref="C162">
      <formula1>"1,2,3,4,5,6,7,8,9,10"</formula1>
    </dataValidation>
  </dataValidations>
  <printOptions/>
  <pageMargins bottom="0.75" footer="0.0" header="0.0" left="0.7" right="0.7" top="0.75"/>
  <pageSetup orientation="portrait"/>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2" width="7.63"/>
    <col customWidth="1" min="3" max="3" width="26.88"/>
    <col customWidth="1" min="4" max="6" width="12.0"/>
    <col customWidth="1" min="7" max="7" width="11.5"/>
    <col customWidth="1" min="8" max="8" width="15.75"/>
    <col customWidth="1" min="9" max="12" width="7.63"/>
    <col customWidth="1" min="13" max="13" width="17.38"/>
    <col customWidth="1" min="14" max="14" width="10.88"/>
    <col customWidth="1" min="15" max="15" width="11.13"/>
    <col customWidth="1" min="16" max="16" width="10.88"/>
    <col customWidth="1" min="17" max="17" width="10.13"/>
    <col customWidth="1" min="18" max="26" width="7.63"/>
  </cols>
  <sheetData>
    <row r="1" ht="12.75" customHeight="1"/>
    <row r="2" ht="12.75" customHeight="1">
      <c r="C2" s="406" t="s">
        <v>2130</v>
      </c>
    </row>
    <row r="3" ht="12.75" customHeight="1">
      <c r="C3" s="410" t="s">
        <v>2131</v>
      </c>
    </row>
    <row r="4" ht="12.75" customHeight="1">
      <c r="C4" s="1568"/>
      <c r="M4" s="986"/>
    </row>
    <row r="5" ht="12.75" customHeight="1">
      <c r="C5" s="1568"/>
      <c r="M5" s="986" t="s">
        <v>2132</v>
      </c>
    </row>
    <row r="6" ht="12.75" customHeight="1">
      <c r="C6" s="1557"/>
    </row>
    <row r="7" ht="12.75" customHeight="1">
      <c r="C7" s="985" t="s">
        <v>2133</v>
      </c>
      <c r="M7" s="985" t="s">
        <v>2133</v>
      </c>
    </row>
    <row r="8" ht="12.75" customHeight="1">
      <c r="C8" s="1569" t="s">
        <v>130</v>
      </c>
      <c r="D8" s="1570" t="str">
        <f>'Материалы и инструменты'!D32</f>
        <v>Медь</v>
      </c>
      <c r="E8" s="1570" t="str">
        <f>'Материалы и инструменты'!E32</f>
        <v>Серебро</v>
      </c>
      <c r="F8" s="1570" t="str">
        <f>'Материалы и инструменты'!F32</f>
        <v>Золото</v>
      </c>
      <c r="G8" s="1570" t="str">
        <f>'Материалы и инструменты'!G32</f>
        <v>Платина</v>
      </c>
      <c r="H8" s="1070" t="s">
        <v>1434</v>
      </c>
      <c r="M8" s="1569" t="s">
        <v>130</v>
      </c>
      <c r="N8" s="1571" t="s">
        <v>86</v>
      </c>
      <c r="O8" s="1571" t="s">
        <v>85</v>
      </c>
      <c r="P8" s="1571" t="s">
        <v>84</v>
      </c>
      <c r="Q8" s="1571" t="s">
        <v>2065</v>
      </c>
    </row>
    <row r="9">
      <c r="C9" s="1572" t="s">
        <v>2134</v>
      </c>
      <c r="D9" s="1573">
        <f t="shared" ref="D9:G9" si="1">D10*D11+D16*D18+D14*D15</f>
        <v>0.067</v>
      </c>
      <c r="E9" s="1573">
        <f t="shared" si="1"/>
        <v>1.163</v>
      </c>
      <c r="F9" s="1573">
        <f t="shared" si="1"/>
        <v>100.416</v>
      </c>
      <c r="G9" s="1573">
        <f t="shared" si="1"/>
        <v>1000.969</v>
      </c>
      <c r="H9" s="1127">
        <v>1.0</v>
      </c>
      <c r="M9" s="1572" t="s">
        <v>1442</v>
      </c>
      <c r="N9" s="1574" t="s">
        <v>30</v>
      </c>
      <c r="O9" s="1574" t="s">
        <v>30</v>
      </c>
      <c r="P9" s="1575" t="s">
        <v>1464</v>
      </c>
      <c r="Q9" s="1575" t="s">
        <v>1464</v>
      </c>
    </row>
    <row r="10" ht="12.75" customHeight="1">
      <c r="C10" s="995" t="s">
        <v>1363</v>
      </c>
      <c r="D10" s="1485">
        <f>'Материалы и инструменты'!D33</f>
        <v>0.33</v>
      </c>
      <c r="E10" s="1485">
        <f>'Материалы и инструменты'!E33</f>
        <v>10.22</v>
      </c>
      <c r="F10" s="1485">
        <f>'Материалы и инструменты'!F33</f>
        <v>1000.35</v>
      </c>
      <c r="G10" s="1485">
        <f>'Материалы и инструменты'!G33</f>
        <v>10000.85</v>
      </c>
      <c r="H10" s="1127"/>
      <c r="M10" s="1572" t="s">
        <v>1443</v>
      </c>
      <c r="N10" s="1574" t="s">
        <v>30</v>
      </c>
      <c r="O10" s="1575" t="s">
        <v>1464</v>
      </c>
      <c r="P10" s="1576" t="s">
        <v>1464</v>
      </c>
      <c r="Q10" s="1575" t="s">
        <v>1762</v>
      </c>
    </row>
    <row r="11" ht="12.75" customHeight="1">
      <c r="C11" s="995" t="s">
        <v>1365</v>
      </c>
      <c r="D11" s="997">
        <v>0.1</v>
      </c>
      <c r="E11" s="997">
        <v>0.1</v>
      </c>
      <c r="F11" s="997">
        <v>0.1</v>
      </c>
      <c r="G11" s="997">
        <v>0.1</v>
      </c>
      <c r="H11" s="1127"/>
      <c r="M11" s="1572" t="s">
        <v>2036</v>
      </c>
      <c r="N11" s="1575" t="s">
        <v>1464</v>
      </c>
      <c r="O11" s="1576" t="s">
        <v>1464</v>
      </c>
      <c r="P11" s="1575" t="s">
        <v>1762</v>
      </c>
      <c r="Q11" s="1575" t="s">
        <v>1762</v>
      </c>
    </row>
    <row r="12" ht="12.75" customHeight="1">
      <c r="C12" s="999" t="s">
        <v>1400</v>
      </c>
      <c r="D12" s="1000" t="s">
        <v>1489</v>
      </c>
      <c r="E12" s="1000" t="s">
        <v>1490</v>
      </c>
      <c r="F12" s="1000" t="s">
        <v>1490</v>
      </c>
      <c r="G12" s="1000" t="s">
        <v>1490</v>
      </c>
      <c r="M12" s="1572" t="s">
        <v>2040</v>
      </c>
      <c r="N12" s="1575" t="s">
        <v>1464</v>
      </c>
      <c r="O12" s="1575" t="s">
        <v>1762</v>
      </c>
      <c r="P12" s="1575" t="s">
        <v>1762</v>
      </c>
      <c r="Q12" s="1575" t="s">
        <v>1468</v>
      </c>
    </row>
    <row r="13" ht="12.75" customHeight="1">
      <c r="C13" s="1001" t="s">
        <v>1369</v>
      </c>
      <c r="D13" s="1120" t="str">
        <f>'Материалы и инструменты'!E148</f>
        <v>Древесный уголь</v>
      </c>
      <c r="E13" s="1120" t="str">
        <f>'Материалы и инструменты'!E148</f>
        <v>Древесный уголь</v>
      </c>
      <c r="F13" s="1120" t="str">
        <f>'Материалы и инструменты'!E148</f>
        <v>Древесный уголь</v>
      </c>
      <c r="G13" s="1120" t="str">
        <f>'Материалы и инструменты'!F148</f>
        <v>Каменный уголь</v>
      </c>
    </row>
    <row r="14" ht="12.75" customHeight="1">
      <c r="C14" s="1002" t="s">
        <v>1370</v>
      </c>
      <c r="D14" s="1121">
        <f>'Материалы и инструменты'!$E$149</f>
        <v>0.07</v>
      </c>
      <c r="E14" s="1121">
        <f>'Материалы и инструменты'!$E$149</f>
        <v>0.07</v>
      </c>
      <c r="F14" s="1121">
        <f>'Материалы и инструменты'!$E$149</f>
        <v>0.07</v>
      </c>
      <c r="G14" s="1120">
        <f>'Материалы и инструменты'!$F$149</f>
        <v>0.14</v>
      </c>
    </row>
    <row r="15" ht="12.75" customHeight="1">
      <c r="C15" s="1002" t="s">
        <v>1231</v>
      </c>
      <c r="D15" s="1120">
        <f>'Рудокоп'!$G$63*D11</f>
        <v>0.2</v>
      </c>
      <c r="E15" s="1120">
        <f>'Рудокоп'!$J$63*E11</f>
        <v>0.3</v>
      </c>
      <c r="F15" s="1120">
        <f>'Рудокоп'!$K$63*F11</f>
        <v>0.3</v>
      </c>
      <c r="G15" s="1120">
        <f>'Рудокоп'!$O$63*G11</f>
        <v>0.6</v>
      </c>
    </row>
    <row r="16" ht="12.75" customHeight="1">
      <c r="C16" s="1004" t="s">
        <v>1371</v>
      </c>
      <c r="D16" s="981">
        <f t="shared" ref="D16:G16" si="2">D11*D17</f>
        <v>1</v>
      </c>
      <c r="E16" s="981">
        <f t="shared" si="2"/>
        <v>1.5</v>
      </c>
      <c r="F16" s="981">
        <f t="shared" si="2"/>
        <v>2</v>
      </c>
      <c r="G16" s="981">
        <f t="shared" si="2"/>
        <v>2.5</v>
      </c>
      <c r="H16" s="1127"/>
    </row>
    <row r="17" ht="12.75" customHeight="1">
      <c r="C17" s="1004" t="s">
        <v>1385</v>
      </c>
      <c r="D17" s="981">
        <v>10.0</v>
      </c>
      <c r="E17" s="981">
        <f t="shared" ref="E17:G17" si="3">D17+5</f>
        <v>15</v>
      </c>
      <c r="F17" s="981">
        <f t="shared" si="3"/>
        <v>20</v>
      </c>
      <c r="G17" s="981">
        <f t="shared" si="3"/>
        <v>25</v>
      </c>
      <c r="H17" s="1127"/>
    </row>
    <row r="18" ht="12.75" customHeight="1">
      <c r="C18" s="1004" t="s">
        <v>1372</v>
      </c>
      <c r="D18" s="981">
        <f t="shared" ref="D18:G18" si="4">(0.02*D19)*D19</f>
        <v>0.02</v>
      </c>
      <c r="E18" s="981">
        <f t="shared" si="4"/>
        <v>0.08</v>
      </c>
      <c r="F18" s="981">
        <f t="shared" si="4"/>
        <v>0.18</v>
      </c>
      <c r="G18" s="981">
        <f t="shared" si="4"/>
        <v>0.32</v>
      </c>
      <c r="H18" s="1127"/>
    </row>
    <row r="19" ht="12.75" customHeight="1">
      <c r="C19" s="1004" t="s">
        <v>2135</v>
      </c>
      <c r="D19" s="981">
        <v>1.0</v>
      </c>
      <c r="E19" s="981">
        <v>2.0</v>
      </c>
      <c r="F19" s="981">
        <v>3.0</v>
      </c>
      <c r="G19" s="981">
        <v>4.0</v>
      </c>
      <c r="H19" s="1127"/>
    </row>
    <row r="20" ht="12.75" customHeight="1">
      <c r="C20" s="1006" t="s">
        <v>2136</v>
      </c>
      <c r="D20" s="1007">
        <v>10.0</v>
      </c>
      <c r="E20" s="1577">
        <f t="shared" ref="E20:G20" si="5">D20+2</f>
        <v>12</v>
      </c>
      <c r="F20" s="1577">
        <f t="shared" si="5"/>
        <v>14</v>
      </c>
      <c r="G20" s="1577">
        <f t="shared" si="5"/>
        <v>16</v>
      </c>
      <c r="H20" s="1127"/>
    </row>
    <row r="21" ht="12.75" customHeight="1">
      <c r="C21" s="1004" t="s">
        <v>2137</v>
      </c>
      <c r="D21" s="953" t="s">
        <v>1237</v>
      </c>
      <c r="E21" s="953" t="s">
        <v>1237</v>
      </c>
      <c r="F21" s="953" t="s">
        <v>1237</v>
      </c>
      <c r="G21" s="953" t="s">
        <v>1250</v>
      </c>
    </row>
    <row r="22" ht="12.75" customHeight="1">
      <c r="C22" s="1572" t="s">
        <v>2075</v>
      </c>
      <c r="D22" s="1578">
        <f t="shared" ref="D22:G22" si="6">D$10*D$11+D23*D25+D14*D15</f>
        <v>0.207</v>
      </c>
      <c r="E22" s="1578">
        <f t="shared" si="6"/>
        <v>1.583</v>
      </c>
      <c r="F22" s="1578">
        <f t="shared" si="6"/>
        <v>101.336</v>
      </c>
      <c r="G22" s="1573">
        <f t="shared" si="6"/>
        <v>1002.669</v>
      </c>
      <c r="H22" s="1127">
        <v>2.0</v>
      </c>
    </row>
    <row r="23" ht="12.75" customHeight="1">
      <c r="C23" s="1004" t="s">
        <v>1371</v>
      </c>
      <c r="D23" s="997">
        <f t="shared" ref="D23:G23" si="7">D$11*D24</f>
        <v>2</v>
      </c>
      <c r="E23" s="997">
        <f t="shared" si="7"/>
        <v>3</v>
      </c>
      <c r="F23" s="997">
        <f t="shared" si="7"/>
        <v>4</v>
      </c>
      <c r="G23" s="997">
        <f t="shared" si="7"/>
        <v>5</v>
      </c>
      <c r="H23" s="1127"/>
    </row>
    <row r="24" ht="12.75" customHeight="1">
      <c r="C24" s="1004" t="s">
        <v>1385</v>
      </c>
      <c r="D24" s="997">
        <f t="shared" ref="D24:G24" si="8">D$17*$H22</f>
        <v>20</v>
      </c>
      <c r="E24" s="997">
        <f t="shared" si="8"/>
        <v>30</v>
      </c>
      <c r="F24" s="997">
        <f t="shared" si="8"/>
        <v>40</v>
      </c>
      <c r="G24" s="997">
        <f t="shared" si="8"/>
        <v>50</v>
      </c>
      <c r="H24" s="1127"/>
    </row>
    <row r="25" ht="12.75" customHeight="1">
      <c r="C25" s="1004" t="s">
        <v>1372</v>
      </c>
      <c r="D25" s="997">
        <f t="shared" ref="D25:G25" si="9">(0.02*D26)*D26</f>
        <v>0.08</v>
      </c>
      <c r="E25" s="997">
        <f t="shared" si="9"/>
        <v>0.18</v>
      </c>
      <c r="F25" s="997">
        <f t="shared" si="9"/>
        <v>0.32</v>
      </c>
      <c r="G25" s="1463">
        <f t="shared" si="9"/>
        <v>0.5</v>
      </c>
      <c r="H25" s="1127"/>
    </row>
    <row r="26" ht="12.75" customHeight="1">
      <c r="C26" s="1004" t="s">
        <v>2135</v>
      </c>
      <c r="D26" s="997">
        <v>2.0</v>
      </c>
      <c r="E26" s="997">
        <v>3.0</v>
      </c>
      <c r="F26" s="997">
        <v>4.0</v>
      </c>
      <c r="G26" s="997">
        <v>5.0</v>
      </c>
      <c r="H26" s="1127"/>
    </row>
    <row r="27" ht="12.75" customHeight="1">
      <c r="C27" s="1006" t="s">
        <v>2136</v>
      </c>
      <c r="D27" s="1007">
        <v>12.0</v>
      </c>
      <c r="E27" s="1577">
        <f t="shared" ref="E27:G27" si="10">D27+2</f>
        <v>14</v>
      </c>
      <c r="F27" s="1577">
        <f t="shared" si="10"/>
        <v>16</v>
      </c>
      <c r="G27" s="1577">
        <f t="shared" si="10"/>
        <v>18</v>
      </c>
      <c r="H27" s="1127"/>
    </row>
    <row r="28" ht="12.75" customHeight="1">
      <c r="C28" s="1004" t="s">
        <v>2137</v>
      </c>
      <c r="D28" s="953" t="s">
        <v>1237</v>
      </c>
      <c r="E28" s="953" t="s">
        <v>1237</v>
      </c>
      <c r="F28" s="953" t="s">
        <v>1250</v>
      </c>
      <c r="G28" s="953" t="s">
        <v>1250</v>
      </c>
    </row>
    <row r="29" ht="12.75" customHeight="1">
      <c r="C29" s="1572" t="s">
        <v>2085</v>
      </c>
      <c r="D29" s="1578">
        <f t="shared" ref="D29:G29" si="11">D$10*D$11+D31*D33+D30+D14*D15</f>
        <v>0.987</v>
      </c>
      <c r="E29" s="1578">
        <f t="shared" si="11"/>
        <v>3.683</v>
      </c>
      <c r="F29" s="1578">
        <f t="shared" si="11"/>
        <v>106.656</v>
      </c>
      <c r="G29" s="1573">
        <f t="shared" si="11"/>
        <v>1037.969</v>
      </c>
      <c r="H29" s="1127">
        <v>3.0</v>
      </c>
    </row>
    <row r="30" ht="12.75" customHeight="1">
      <c r="C30" s="1006" t="s">
        <v>2138</v>
      </c>
      <c r="D30" s="1438">
        <f>'Материалы и инструменты'!D36</f>
        <v>0.4</v>
      </c>
      <c r="E30" s="1438">
        <f>'Материалы и инструменты'!E36</f>
        <v>1.2</v>
      </c>
      <c r="F30" s="1438">
        <f>'Материалы и инструменты'!F36</f>
        <v>3.6</v>
      </c>
      <c r="G30" s="1438">
        <f>'Материалы и инструменты'!G36</f>
        <v>32.4</v>
      </c>
      <c r="H30" s="1127"/>
    </row>
    <row r="31" ht="12.75" customHeight="1">
      <c r="C31" s="1004" t="s">
        <v>1371</v>
      </c>
      <c r="D31" s="997">
        <f t="shared" ref="D31:G31" si="12">D$11*D32</f>
        <v>3</v>
      </c>
      <c r="E31" s="997">
        <f t="shared" si="12"/>
        <v>4.5</v>
      </c>
      <c r="F31" s="997">
        <f t="shared" si="12"/>
        <v>6</v>
      </c>
      <c r="G31" s="997">
        <f t="shared" si="12"/>
        <v>7.5</v>
      </c>
      <c r="H31" s="1127"/>
    </row>
    <row r="32" ht="12.75" customHeight="1">
      <c r="C32" s="1004" t="s">
        <v>1385</v>
      </c>
      <c r="D32" s="997">
        <f t="shared" ref="D32:G32" si="13">D$17*$H29</f>
        <v>30</v>
      </c>
      <c r="E32" s="997">
        <f t="shared" si="13"/>
        <v>45</v>
      </c>
      <c r="F32" s="997">
        <f t="shared" si="13"/>
        <v>60</v>
      </c>
      <c r="G32" s="997">
        <f t="shared" si="13"/>
        <v>75</v>
      </c>
      <c r="H32" s="1127"/>
    </row>
    <row r="33" ht="12.75" customHeight="1">
      <c r="C33" s="1004" t="s">
        <v>1372</v>
      </c>
      <c r="D33" s="997">
        <f t="shared" ref="D33:G33" si="14">(0.02*D34)*D34</f>
        <v>0.18</v>
      </c>
      <c r="E33" s="997">
        <f t="shared" si="14"/>
        <v>0.32</v>
      </c>
      <c r="F33" s="997">
        <f t="shared" si="14"/>
        <v>0.5</v>
      </c>
      <c r="G33" s="997">
        <f t="shared" si="14"/>
        <v>0.72</v>
      </c>
      <c r="H33" s="1127"/>
    </row>
    <row r="34" ht="12.75" customHeight="1">
      <c r="C34" s="1004" t="s">
        <v>2135</v>
      </c>
      <c r="D34" s="1437">
        <v>3.0</v>
      </c>
      <c r="E34" s="1437">
        <v>4.0</v>
      </c>
      <c r="F34" s="1437">
        <v>5.0</v>
      </c>
      <c r="G34" s="1437">
        <v>6.0</v>
      </c>
      <c r="H34" s="1127"/>
    </row>
    <row r="35" ht="12.75" customHeight="1">
      <c r="C35" s="1006" t="s">
        <v>2136</v>
      </c>
      <c r="D35" s="1007">
        <v>14.0</v>
      </c>
      <c r="E35" s="1577">
        <f t="shared" ref="E35:G35" si="15">D35+2</f>
        <v>16</v>
      </c>
      <c r="F35" s="1577">
        <f t="shared" si="15"/>
        <v>18</v>
      </c>
      <c r="G35" s="1577">
        <f t="shared" si="15"/>
        <v>20</v>
      </c>
      <c r="H35" s="1127"/>
    </row>
    <row r="36" ht="12.75" customHeight="1">
      <c r="C36" s="1004" t="s">
        <v>2137</v>
      </c>
      <c r="D36" s="953" t="s">
        <v>1237</v>
      </c>
      <c r="E36" s="953" t="s">
        <v>1250</v>
      </c>
      <c r="F36" s="953" t="s">
        <v>1250</v>
      </c>
      <c r="G36" s="953" t="s">
        <v>1250</v>
      </c>
    </row>
    <row r="37" ht="12.75" customHeight="1">
      <c r="C37" s="1572" t="s">
        <v>2094</v>
      </c>
      <c r="D37" s="1578">
        <f t="shared" ref="D37:G37" si="16">D$10*D$11+D39*D41+D38+D14*D15</f>
        <v>2.527</v>
      </c>
      <c r="E37" s="1578">
        <f t="shared" si="16"/>
        <v>7.643</v>
      </c>
      <c r="F37" s="1578">
        <f t="shared" si="16"/>
        <v>138.216</v>
      </c>
      <c r="G37" s="1573">
        <f t="shared" si="16"/>
        <v>1301.569</v>
      </c>
      <c r="H37" s="1127">
        <v>4.0</v>
      </c>
    </row>
    <row r="38" ht="12.75" customHeight="1">
      <c r="C38" s="1006" t="s">
        <v>2138</v>
      </c>
      <c r="D38" s="1438">
        <f>'Материалы и инструменты'!E36</f>
        <v>1.2</v>
      </c>
      <c r="E38" s="1438">
        <f>'Материалы и инструменты'!F36</f>
        <v>3.6</v>
      </c>
      <c r="F38" s="1438">
        <f>'Материалы и инструменты'!G36</f>
        <v>32.4</v>
      </c>
      <c r="G38" s="1438">
        <f>'Материалы и инструменты'!H36</f>
        <v>291.6</v>
      </c>
      <c r="H38" s="1127"/>
    </row>
    <row r="39" ht="12.75" customHeight="1">
      <c r="C39" s="1004" t="s">
        <v>1371</v>
      </c>
      <c r="D39" s="997">
        <f t="shared" ref="D39:G39" si="17">D$11*D40</f>
        <v>4</v>
      </c>
      <c r="E39" s="997">
        <f t="shared" si="17"/>
        <v>6</v>
      </c>
      <c r="F39" s="997">
        <f t="shared" si="17"/>
        <v>8</v>
      </c>
      <c r="G39" s="997">
        <f t="shared" si="17"/>
        <v>10</v>
      </c>
      <c r="H39" s="1127"/>
    </row>
    <row r="40" ht="12.75" customHeight="1">
      <c r="C40" s="1004" t="s">
        <v>1385</v>
      </c>
      <c r="D40" s="997">
        <f t="shared" ref="D40:G40" si="18">D$17*$H37</f>
        <v>40</v>
      </c>
      <c r="E40" s="997">
        <f t="shared" si="18"/>
        <v>60</v>
      </c>
      <c r="F40" s="997">
        <f t="shared" si="18"/>
        <v>80</v>
      </c>
      <c r="G40" s="997">
        <f t="shared" si="18"/>
        <v>100</v>
      </c>
      <c r="H40" s="1127"/>
    </row>
    <row r="41" ht="12.75" customHeight="1">
      <c r="C41" s="1004" t="s">
        <v>1372</v>
      </c>
      <c r="D41" s="997">
        <f t="shared" ref="D41:G41" si="19">(0.02*D42)*D42</f>
        <v>0.32</v>
      </c>
      <c r="E41" s="997">
        <f t="shared" si="19"/>
        <v>0.5</v>
      </c>
      <c r="F41" s="997">
        <f t="shared" si="19"/>
        <v>0.72</v>
      </c>
      <c r="G41" s="997">
        <f t="shared" si="19"/>
        <v>0.98</v>
      </c>
      <c r="H41" s="1127"/>
      <c r="M41" s="985"/>
    </row>
    <row r="42" ht="12.75" customHeight="1">
      <c r="C42" s="1004" t="s">
        <v>2135</v>
      </c>
      <c r="D42" s="1437">
        <v>4.0</v>
      </c>
      <c r="E42" s="1437">
        <v>5.0</v>
      </c>
      <c r="F42" s="1437">
        <v>6.0</v>
      </c>
      <c r="G42" s="1437">
        <v>7.0</v>
      </c>
      <c r="H42" s="1127"/>
    </row>
    <row r="43" ht="12.75" customHeight="1">
      <c r="C43" s="1006" t="s">
        <v>2136</v>
      </c>
      <c r="D43" s="1007">
        <v>16.0</v>
      </c>
      <c r="E43" s="1577">
        <f t="shared" ref="E43:G43" si="20">D43+2</f>
        <v>18</v>
      </c>
      <c r="F43" s="1577">
        <f t="shared" si="20"/>
        <v>20</v>
      </c>
      <c r="G43" s="1577">
        <f t="shared" si="20"/>
        <v>22</v>
      </c>
      <c r="H43" s="1010"/>
    </row>
    <row r="44" ht="12.75" customHeight="1">
      <c r="C44" s="1004" t="s">
        <v>2137</v>
      </c>
      <c r="D44" s="953" t="s">
        <v>1250</v>
      </c>
      <c r="E44" s="953" t="s">
        <v>1250</v>
      </c>
      <c r="F44" s="953" t="s">
        <v>1250</v>
      </c>
      <c r="G44" s="953" t="s">
        <v>1263</v>
      </c>
      <c r="H44" s="1010"/>
    </row>
    <row r="45" ht="12.75" customHeight="1"/>
    <row r="46" ht="12.75" customHeight="1">
      <c r="C46" s="985" t="s">
        <v>2139</v>
      </c>
      <c r="H46" s="1010"/>
      <c r="M46" s="985" t="s">
        <v>2139</v>
      </c>
    </row>
    <row r="47" ht="12.75" customHeight="1">
      <c r="C47" s="1569" t="s">
        <v>130</v>
      </c>
      <c r="D47" s="1570" t="str">
        <f>'Материалы и инструменты'!D32</f>
        <v>Медь</v>
      </c>
      <c r="E47" s="1570" t="str">
        <f>'Материалы и инструменты'!E32</f>
        <v>Серебро</v>
      </c>
      <c r="F47" s="1570" t="str">
        <f>'Материалы и инструменты'!F32</f>
        <v>Золото</v>
      </c>
      <c r="G47" s="1570" t="str">
        <f>'Материалы и инструменты'!G32</f>
        <v>Платина</v>
      </c>
      <c r="H47" s="1070" t="s">
        <v>1434</v>
      </c>
      <c r="M47" s="1569" t="s">
        <v>130</v>
      </c>
      <c r="N47" s="1571" t="s">
        <v>86</v>
      </c>
      <c r="O47" s="1571" t="s">
        <v>85</v>
      </c>
      <c r="P47" s="1571" t="s">
        <v>84</v>
      </c>
      <c r="Q47" s="1571" t="s">
        <v>2065</v>
      </c>
    </row>
    <row r="48" ht="12.75" customHeight="1">
      <c r="C48" s="1572" t="s">
        <v>2140</v>
      </c>
      <c r="D48" s="1573">
        <f t="shared" ref="D48:G48" si="21">D49*D50+D55*D57+D53*D54</f>
        <v>0.201</v>
      </c>
      <c r="E48" s="1573">
        <f t="shared" si="21"/>
        <v>3.489</v>
      </c>
      <c r="F48" s="1573">
        <f t="shared" si="21"/>
        <v>301.248</v>
      </c>
      <c r="G48" s="1573">
        <f t="shared" si="21"/>
        <v>3002.907</v>
      </c>
      <c r="H48" s="1127">
        <v>1.0</v>
      </c>
      <c r="M48" s="1572" t="s">
        <v>1442</v>
      </c>
      <c r="N48" s="1574" t="s">
        <v>30</v>
      </c>
      <c r="O48" s="1574" t="s">
        <v>30</v>
      </c>
      <c r="P48" s="1575" t="s">
        <v>1464</v>
      </c>
      <c r="Q48" s="1575" t="s">
        <v>1464</v>
      </c>
    </row>
    <row r="49" ht="12.75" customHeight="1">
      <c r="C49" s="995" t="s">
        <v>1363</v>
      </c>
      <c r="D49" s="1485">
        <f>'Материалы и инструменты'!D33</f>
        <v>0.33</v>
      </c>
      <c r="E49" s="1485">
        <f>'Материалы и инструменты'!E33</f>
        <v>10.22</v>
      </c>
      <c r="F49" s="1485">
        <f>'Материалы и инструменты'!F33</f>
        <v>1000.35</v>
      </c>
      <c r="G49" s="1485">
        <f>'Материалы и инструменты'!G33</f>
        <v>10000.85</v>
      </c>
      <c r="H49" s="1127"/>
      <c r="M49" s="1572" t="s">
        <v>1443</v>
      </c>
      <c r="N49" s="1574" t="s">
        <v>30</v>
      </c>
      <c r="O49" s="1575" t="s">
        <v>1464</v>
      </c>
      <c r="P49" s="1576" t="s">
        <v>1464</v>
      </c>
      <c r="Q49" s="1575" t="s">
        <v>1762</v>
      </c>
    </row>
    <row r="50" ht="12.75" customHeight="1">
      <c r="C50" s="995" t="s">
        <v>1365</v>
      </c>
      <c r="D50" s="997">
        <v>0.3</v>
      </c>
      <c r="E50" s="997">
        <v>0.3</v>
      </c>
      <c r="F50" s="997">
        <v>0.3</v>
      </c>
      <c r="G50" s="997">
        <v>0.3</v>
      </c>
      <c r="H50" s="1127"/>
      <c r="M50" s="1572" t="s">
        <v>2036</v>
      </c>
      <c r="N50" s="1575" t="s">
        <v>1464</v>
      </c>
      <c r="O50" s="1576" t="s">
        <v>1464</v>
      </c>
      <c r="P50" s="1575" t="s">
        <v>1762</v>
      </c>
      <c r="Q50" s="1575" t="s">
        <v>1762</v>
      </c>
    </row>
    <row r="51" ht="12.75" customHeight="1">
      <c r="C51" s="999" t="s">
        <v>1400</v>
      </c>
      <c r="D51" s="1000" t="s">
        <v>1489</v>
      </c>
      <c r="E51" s="1000" t="s">
        <v>1490</v>
      </c>
      <c r="F51" s="1000" t="s">
        <v>1490</v>
      </c>
      <c r="G51" s="1000" t="s">
        <v>1490</v>
      </c>
      <c r="H51" s="1127"/>
      <c r="M51" s="1572" t="s">
        <v>2040</v>
      </c>
      <c r="N51" s="1575" t="s">
        <v>1464</v>
      </c>
      <c r="O51" s="1575" t="s">
        <v>1762</v>
      </c>
      <c r="P51" s="1575" t="s">
        <v>1762</v>
      </c>
      <c r="Q51" s="1575" t="s">
        <v>1468</v>
      </c>
    </row>
    <row r="52" ht="12.75" customHeight="1">
      <c r="C52" s="1001" t="s">
        <v>1369</v>
      </c>
      <c r="D52" s="1120" t="str">
        <f t="shared" ref="D52:G52" si="22">D13</f>
        <v>Древесный уголь</v>
      </c>
      <c r="E52" s="1120" t="str">
        <f t="shared" si="22"/>
        <v>Древесный уголь</v>
      </c>
      <c r="F52" s="1120" t="str">
        <f t="shared" si="22"/>
        <v>Древесный уголь</v>
      </c>
      <c r="G52" s="1120" t="str">
        <f t="shared" si="22"/>
        <v>Каменный уголь</v>
      </c>
      <c r="H52" s="1127"/>
    </row>
    <row r="53" ht="12.75" customHeight="1">
      <c r="C53" s="1002" t="s">
        <v>1370</v>
      </c>
      <c r="D53" s="1121">
        <f>'Материалы и инструменты'!$E$149</f>
        <v>0.07</v>
      </c>
      <c r="E53" s="1121">
        <f>'Материалы и инструменты'!$E$149</f>
        <v>0.07</v>
      </c>
      <c r="F53" s="1121">
        <f>'Материалы и инструменты'!$E$149</f>
        <v>0.07</v>
      </c>
      <c r="G53" s="1120">
        <f>'Материалы и инструменты'!$F$149</f>
        <v>0.14</v>
      </c>
      <c r="H53" s="1127"/>
    </row>
    <row r="54" ht="12.75" customHeight="1">
      <c r="C54" s="1002" t="s">
        <v>1231</v>
      </c>
      <c r="D54" s="1120">
        <f>'Рудокоп'!$G$63*D50</f>
        <v>0.6</v>
      </c>
      <c r="E54" s="1120">
        <f>'Рудокоп'!$J$63*E50</f>
        <v>0.9</v>
      </c>
      <c r="F54" s="1120">
        <f>'Рудокоп'!$K$63*F50</f>
        <v>0.9</v>
      </c>
      <c r="G54" s="1120">
        <f>'Рудокоп'!$O$63*G50</f>
        <v>1.8</v>
      </c>
      <c r="H54" s="1127"/>
    </row>
    <row r="55" ht="12.75" customHeight="1">
      <c r="C55" s="1004" t="s">
        <v>1371</v>
      </c>
      <c r="D55" s="981">
        <f t="shared" ref="D55:G55" si="23">D50*D56</f>
        <v>3</v>
      </c>
      <c r="E55" s="981">
        <f t="shared" si="23"/>
        <v>4.5</v>
      </c>
      <c r="F55" s="981">
        <f t="shared" si="23"/>
        <v>6</v>
      </c>
      <c r="G55" s="981">
        <f t="shared" si="23"/>
        <v>7.5</v>
      </c>
      <c r="H55" s="1127"/>
    </row>
    <row r="56" ht="12.75" customHeight="1">
      <c r="C56" s="1004" t="s">
        <v>1385</v>
      </c>
      <c r="D56" s="981">
        <v>10.0</v>
      </c>
      <c r="E56" s="981">
        <f t="shared" ref="E56:G56" si="24">D56+5</f>
        <v>15</v>
      </c>
      <c r="F56" s="981">
        <f t="shared" si="24"/>
        <v>20</v>
      </c>
      <c r="G56" s="981">
        <f t="shared" si="24"/>
        <v>25</v>
      </c>
      <c r="H56" s="1127"/>
    </row>
    <row r="57" ht="12.75" customHeight="1">
      <c r="C57" s="1004" t="s">
        <v>1372</v>
      </c>
      <c r="D57" s="981">
        <f t="shared" ref="D57:G57" si="25">(0.02*D58)*D58</f>
        <v>0.02</v>
      </c>
      <c r="E57" s="981">
        <f t="shared" si="25"/>
        <v>0.08</v>
      </c>
      <c r="F57" s="981">
        <f t="shared" si="25"/>
        <v>0.18</v>
      </c>
      <c r="G57" s="981">
        <f t="shared" si="25"/>
        <v>0.32</v>
      </c>
      <c r="H57" s="1127"/>
    </row>
    <row r="58" ht="12.75" customHeight="1">
      <c r="C58" s="1004" t="s">
        <v>2135</v>
      </c>
      <c r="D58" s="981">
        <v>1.0</v>
      </c>
      <c r="E58" s="981">
        <v>2.0</v>
      </c>
      <c r="F58" s="981">
        <v>3.0</v>
      </c>
      <c r="G58" s="981">
        <v>4.0</v>
      </c>
      <c r="H58" s="1127"/>
    </row>
    <row r="59" ht="12.75" customHeight="1">
      <c r="C59" s="1006" t="s">
        <v>2136</v>
      </c>
      <c r="D59" s="1007">
        <v>10.0</v>
      </c>
      <c r="E59" s="1577">
        <f t="shared" ref="E59:G59" si="26">D59+2</f>
        <v>12</v>
      </c>
      <c r="F59" s="1577">
        <f t="shared" si="26"/>
        <v>14</v>
      </c>
      <c r="G59" s="1577">
        <f t="shared" si="26"/>
        <v>16</v>
      </c>
      <c r="H59" s="1127"/>
    </row>
    <row r="60" ht="12.75" customHeight="1">
      <c r="C60" s="1004" t="s">
        <v>2137</v>
      </c>
      <c r="D60" s="953" t="s">
        <v>1237</v>
      </c>
      <c r="E60" s="953" t="s">
        <v>1237</v>
      </c>
      <c r="F60" s="953" t="s">
        <v>1237</v>
      </c>
      <c r="G60" s="953" t="s">
        <v>1250</v>
      </c>
    </row>
    <row r="61" ht="12.75" customHeight="1">
      <c r="C61" s="1572" t="s">
        <v>2097</v>
      </c>
      <c r="D61" s="1573">
        <f t="shared" ref="D61:G61" si="27">D$49*D$50+D62*D64+D53*D54</f>
        <v>0.621</v>
      </c>
      <c r="E61" s="1573">
        <f t="shared" si="27"/>
        <v>4.749</v>
      </c>
      <c r="F61" s="1573">
        <f t="shared" si="27"/>
        <v>304.008</v>
      </c>
      <c r="G61" s="1573">
        <f t="shared" si="27"/>
        <v>3008.007</v>
      </c>
      <c r="H61" s="1127">
        <v>2.0</v>
      </c>
    </row>
    <row r="62" ht="12.75" customHeight="1">
      <c r="C62" s="1004" t="s">
        <v>1371</v>
      </c>
      <c r="D62" s="997">
        <f t="shared" ref="D62:G62" si="28">D$50*D63</f>
        <v>6</v>
      </c>
      <c r="E62" s="997">
        <f t="shared" si="28"/>
        <v>9</v>
      </c>
      <c r="F62" s="997">
        <f t="shared" si="28"/>
        <v>12</v>
      </c>
      <c r="G62" s="997">
        <f t="shared" si="28"/>
        <v>15</v>
      </c>
      <c r="H62" s="1127"/>
    </row>
    <row r="63" ht="12.75" customHeight="1">
      <c r="C63" s="1004" t="s">
        <v>1385</v>
      </c>
      <c r="D63" s="997">
        <f t="shared" ref="D63:G63" si="29">D$17*$H61</f>
        <v>20</v>
      </c>
      <c r="E63" s="997">
        <f t="shared" si="29"/>
        <v>30</v>
      </c>
      <c r="F63" s="997">
        <f t="shared" si="29"/>
        <v>40</v>
      </c>
      <c r="G63" s="997">
        <f t="shared" si="29"/>
        <v>50</v>
      </c>
      <c r="H63" s="1127"/>
    </row>
    <row r="64" ht="12.75" customHeight="1">
      <c r="C64" s="1004" t="s">
        <v>1372</v>
      </c>
      <c r="D64" s="997">
        <f t="shared" ref="D64:G64" si="30">(0.02*D65)*D65</f>
        <v>0.08</v>
      </c>
      <c r="E64" s="997">
        <f t="shared" si="30"/>
        <v>0.18</v>
      </c>
      <c r="F64" s="997">
        <f t="shared" si="30"/>
        <v>0.32</v>
      </c>
      <c r="G64" s="1463">
        <f t="shared" si="30"/>
        <v>0.5</v>
      </c>
      <c r="H64" s="1127"/>
    </row>
    <row r="65" ht="12.75" customHeight="1">
      <c r="C65" s="1004" t="s">
        <v>2135</v>
      </c>
      <c r="D65" s="997">
        <v>2.0</v>
      </c>
      <c r="E65" s="997">
        <v>3.0</v>
      </c>
      <c r="F65" s="997">
        <v>4.0</v>
      </c>
      <c r="G65" s="997">
        <v>5.0</v>
      </c>
      <c r="H65" s="1127"/>
    </row>
    <row r="66" ht="12.75" customHeight="1">
      <c r="C66" s="1006" t="s">
        <v>2136</v>
      </c>
      <c r="D66" s="1007">
        <v>12.0</v>
      </c>
      <c r="E66" s="1577">
        <f t="shared" ref="E66:G66" si="31">D66+2</f>
        <v>14</v>
      </c>
      <c r="F66" s="1577">
        <f t="shared" si="31"/>
        <v>16</v>
      </c>
      <c r="G66" s="1577">
        <f t="shared" si="31"/>
        <v>18</v>
      </c>
      <c r="H66" s="1127"/>
    </row>
    <row r="67" ht="12.75" customHeight="1">
      <c r="C67" s="1004" t="s">
        <v>2137</v>
      </c>
      <c r="D67" s="953" t="s">
        <v>1237</v>
      </c>
      <c r="E67" s="953" t="s">
        <v>1237</v>
      </c>
      <c r="F67" s="953" t="s">
        <v>1250</v>
      </c>
      <c r="G67" s="953" t="s">
        <v>1250</v>
      </c>
    </row>
    <row r="68" ht="12.75" customHeight="1">
      <c r="C68" s="1572" t="s">
        <v>2099</v>
      </c>
      <c r="D68" s="1573">
        <f t="shared" ref="D68:G68" si="32">D$49*D$50+D70*D72+D69+D53*D54</f>
        <v>2.161</v>
      </c>
      <c r="E68" s="1573">
        <f t="shared" si="32"/>
        <v>8.649</v>
      </c>
      <c r="F68" s="1573">
        <f t="shared" si="32"/>
        <v>312.768</v>
      </c>
      <c r="G68" s="1573">
        <f t="shared" si="32"/>
        <v>3049.107</v>
      </c>
      <c r="H68" s="1127">
        <v>3.0</v>
      </c>
    </row>
    <row r="69" ht="12.75" customHeight="1">
      <c r="C69" s="1006" t="s">
        <v>2138</v>
      </c>
      <c r="D69" s="1485">
        <f>'Материалы и инструменты'!D36</f>
        <v>0.4</v>
      </c>
      <c r="E69" s="1485">
        <f>'Материалы и инструменты'!E36</f>
        <v>1.2</v>
      </c>
      <c r="F69" s="1485">
        <f>'Материалы и инструменты'!F36</f>
        <v>3.6</v>
      </c>
      <c r="G69" s="1485">
        <f>'Материалы и инструменты'!G36</f>
        <v>32.4</v>
      </c>
      <c r="H69" s="1127"/>
    </row>
    <row r="70" ht="12.75" customHeight="1">
      <c r="C70" s="1004" t="s">
        <v>1371</v>
      </c>
      <c r="D70" s="997">
        <f t="shared" ref="D70:G70" si="33">D$50*D71</f>
        <v>9</v>
      </c>
      <c r="E70" s="997">
        <f t="shared" si="33"/>
        <v>13.5</v>
      </c>
      <c r="F70" s="997">
        <f t="shared" si="33"/>
        <v>18</v>
      </c>
      <c r="G70" s="997">
        <f t="shared" si="33"/>
        <v>22.5</v>
      </c>
      <c r="H70" s="1127"/>
    </row>
    <row r="71" ht="12.75" customHeight="1">
      <c r="C71" s="1004" t="s">
        <v>1385</v>
      </c>
      <c r="D71" s="997">
        <f t="shared" ref="D71:G71" si="34">D$17*$H68</f>
        <v>30</v>
      </c>
      <c r="E71" s="997">
        <f t="shared" si="34"/>
        <v>45</v>
      </c>
      <c r="F71" s="997">
        <f t="shared" si="34"/>
        <v>60</v>
      </c>
      <c r="G71" s="997">
        <f t="shared" si="34"/>
        <v>75</v>
      </c>
      <c r="H71" s="1127"/>
    </row>
    <row r="72" ht="12.75" customHeight="1">
      <c r="C72" s="1004" t="s">
        <v>1372</v>
      </c>
      <c r="D72" s="997">
        <f t="shared" ref="D72:G72" si="35">(0.02*D73)*D73</f>
        <v>0.18</v>
      </c>
      <c r="E72" s="997">
        <f t="shared" si="35"/>
        <v>0.32</v>
      </c>
      <c r="F72" s="997">
        <f t="shared" si="35"/>
        <v>0.5</v>
      </c>
      <c r="G72" s="997">
        <f t="shared" si="35"/>
        <v>0.72</v>
      </c>
      <c r="H72" s="1127"/>
    </row>
    <row r="73" ht="12.75" customHeight="1">
      <c r="C73" s="1004" t="s">
        <v>2135</v>
      </c>
      <c r="D73" s="1437">
        <v>3.0</v>
      </c>
      <c r="E73" s="1437">
        <v>4.0</v>
      </c>
      <c r="F73" s="1437">
        <v>5.0</v>
      </c>
      <c r="G73" s="1437">
        <v>6.0</v>
      </c>
      <c r="H73" s="1127"/>
    </row>
    <row r="74" ht="12.75" customHeight="1">
      <c r="C74" s="1006" t="s">
        <v>2136</v>
      </c>
      <c r="D74" s="1007">
        <v>14.0</v>
      </c>
      <c r="E74" s="1577">
        <f t="shared" ref="E74:G74" si="36">D74+2</f>
        <v>16</v>
      </c>
      <c r="F74" s="1577">
        <f t="shared" si="36"/>
        <v>18</v>
      </c>
      <c r="G74" s="1577">
        <f t="shared" si="36"/>
        <v>20</v>
      </c>
      <c r="H74" s="1127"/>
    </row>
    <row r="75" ht="12.75" customHeight="1">
      <c r="C75" s="1004" t="s">
        <v>2137</v>
      </c>
      <c r="D75" s="953" t="s">
        <v>1237</v>
      </c>
      <c r="E75" s="953" t="s">
        <v>1250</v>
      </c>
      <c r="F75" s="953" t="s">
        <v>1250</v>
      </c>
      <c r="G75" s="953" t="s">
        <v>1250</v>
      </c>
    </row>
    <row r="76" ht="12.75" customHeight="1">
      <c r="C76" s="1572" t="s">
        <v>2101</v>
      </c>
      <c r="D76" s="1573">
        <f t="shared" ref="D76:G76" si="37">D$49*D$50+D78*D80+D77+D53*D54</f>
        <v>5.181</v>
      </c>
      <c r="E76" s="1573">
        <f t="shared" si="37"/>
        <v>15.729</v>
      </c>
      <c r="F76" s="1573">
        <f t="shared" si="37"/>
        <v>349.848</v>
      </c>
      <c r="G76" s="1573">
        <f t="shared" si="37"/>
        <v>3321.507</v>
      </c>
      <c r="H76" s="1127">
        <v>4.0</v>
      </c>
    </row>
    <row r="77" ht="12.75" customHeight="1">
      <c r="C77" s="1006" t="s">
        <v>2138</v>
      </c>
      <c r="D77" s="1485">
        <f>'Материалы и инструменты'!E36</f>
        <v>1.2</v>
      </c>
      <c r="E77" s="1485">
        <f>'Материалы и инструменты'!F36</f>
        <v>3.6</v>
      </c>
      <c r="F77" s="1485">
        <f>'Материалы и инструменты'!G36</f>
        <v>32.4</v>
      </c>
      <c r="G77" s="1485">
        <f>'Материалы и инструменты'!H36</f>
        <v>291.6</v>
      </c>
      <c r="H77" s="1127"/>
    </row>
    <row r="78" ht="12.75" customHeight="1">
      <c r="C78" s="1004" t="s">
        <v>1371</v>
      </c>
      <c r="D78" s="997">
        <f t="shared" ref="D78:G78" si="38">D$50*D79</f>
        <v>12</v>
      </c>
      <c r="E78" s="997">
        <f t="shared" si="38"/>
        <v>18</v>
      </c>
      <c r="F78" s="997">
        <f t="shared" si="38"/>
        <v>24</v>
      </c>
      <c r="G78" s="997">
        <f t="shared" si="38"/>
        <v>30</v>
      </c>
      <c r="H78" s="1127"/>
    </row>
    <row r="79" ht="12.75" customHeight="1">
      <c r="C79" s="1004" t="s">
        <v>1385</v>
      </c>
      <c r="D79" s="997">
        <f t="shared" ref="D79:G79" si="39">D$17*$H76</f>
        <v>40</v>
      </c>
      <c r="E79" s="997">
        <f t="shared" si="39"/>
        <v>60</v>
      </c>
      <c r="F79" s="997">
        <f t="shared" si="39"/>
        <v>80</v>
      </c>
      <c r="G79" s="997">
        <f t="shared" si="39"/>
        <v>100</v>
      </c>
      <c r="H79" s="1127"/>
    </row>
    <row r="80" ht="12.75" customHeight="1">
      <c r="C80" s="1004" t="s">
        <v>1372</v>
      </c>
      <c r="D80" s="997">
        <f t="shared" ref="D80:G80" si="40">(0.02*D81)*D81</f>
        <v>0.32</v>
      </c>
      <c r="E80" s="997">
        <f t="shared" si="40"/>
        <v>0.5</v>
      </c>
      <c r="F80" s="997">
        <f t="shared" si="40"/>
        <v>0.72</v>
      </c>
      <c r="G80" s="997">
        <f t="shared" si="40"/>
        <v>0.98</v>
      </c>
      <c r="H80" s="1127"/>
      <c r="M80" s="985"/>
    </row>
    <row r="81" ht="12.75" customHeight="1">
      <c r="C81" s="1004" t="s">
        <v>2135</v>
      </c>
      <c r="D81" s="1437">
        <v>4.0</v>
      </c>
      <c r="E81" s="1437">
        <v>5.0</v>
      </c>
      <c r="F81" s="1437">
        <v>6.0</v>
      </c>
      <c r="G81" s="1437">
        <v>7.0</v>
      </c>
      <c r="H81" s="1127"/>
    </row>
    <row r="82" ht="12.75" customHeight="1">
      <c r="C82" s="1006" t="s">
        <v>2136</v>
      </c>
      <c r="D82" s="1007">
        <v>16.0</v>
      </c>
      <c r="E82" s="1577">
        <f t="shared" ref="E82:G82" si="41">D82+2</f>
        <v>18</v>
      </c>
      <c r="F82" s="1577">
        <f t="shared" si="41"/>
        <v>20</v>
      </c>
      <c r="G82" s="1577">
        <f t="shared" si="41"/>
        <v>22</v>
      </c>
      <c r="H82" s="1010"/>
    </row>
    <row r="83" ht="12.75" customHeight="1">
      <c r="C83" s="1004" t="s">
        <v>2137</v>
      </c>
      <c r="D83" s="953" t="s">
        <v>1250</v>
      </c>
      <c r="E83" s="953" t="s">
        <v>1250</v>
      </c>
      <c r="F83" s="953" t="s">
        <v>1250</v>
      </c>
      <c r="G83" s="953" t="s">
        <v>1263</v>
      </c>
      <c r="H83" s="1010"/>
    </row>
    <row r="84" ht="12.75" customHeight="1"/>
    <row r="85" ht="12.75" customHeight="1">
      <c r="C85" s="985" t="s">
        <v>2141</v>
      </c>
      <c r="H85" s="1010"/>
      <c r="M85" s="985" t="s">
        <v>2141</v>
      </c>
    </row>
    <row r="86" ht="12.75" customHeight="1">
      <c r="C86" s="1569" t="s">
        <v>130</v>
      </c>
      <c r="D86" s="1570" t="str">
        <f>'Материалы и инструменты'!D32</f>
        <v>Медь</v>
      </c>
      <c r="E86" s="1570" t="str">
        <f>'Материалы и инструменты'!E32</f>
        <v>Серебро</v>
      </c>
      <c r="F86" s="1570" t="str">
        <f>'Материалы и инструменты'!F32</f>
        <v>Золото</v>
      </c>
      <c r="G86" s="1570" t="str">
        <f>'Материалы и инструменты'!G32</f>
        <v>Платина</v>
      </c>
      <c r="H86" s="1070" t="s">
        <v>1434</v>
      </c>
      <c r="M86" s="1569" t="s">
        <v>130</v>
      </c>
      <c r="N86" s="1571" t="s">
        <v>86</v>
      </c>
      <c r="O86" s="1571" t="s">
        <v>85</v>
      </c>
      <c r="P86" s="1571" t="s">
        <v>84</v>
      </c>
      <c r="Q86" s="1571" t="s">
        <v>2065</v>
      </c>
    </row>
    <row r="87" ht="12.75" customHeight="1">
      <c r="C87" s="1572" t="s">
        <v>2142</v>
      </c>
      <c r="D87" s="1573">
        <f t="shared" ref="D87:G87" si="42">D88*D89+D94*D96+D92*D93</f>
        <v>0.134</v>
      </c>
      <c r="E87" s="1573">
        <f t="shared" si="42"/>
        <v>2.326</v>
      </c>
      <c r="F87" s="1573">
        <f t="shared" si="42"/>
        <v>200.832</v>
      </c>
      <c r="G87" s="1573">
        <f t="shared" si="42"/>
        <v>2001.938</v>
      </c>
      <c r="H87" s="1127">
        <v>1.0</v>
      </c>
      <c r="M87" s="1572" t="s">
        <v>1442</v>
      </c>
      <c r="N87" s="1574" t="s">
        <v>30</v>
      </c>
      <c r="O87" s="1574" t="s">
        <v>30</v>
      </c>
      <c r="P87" s="1575" t="s">
        <v>1464</v>
      </c>
      <c r="Q87" s="1575" t="s">
        <v>1464</v>
      </c>
    </row>
    <row r="88" ht="12.75" customHeight="1">
      <c r="C88" s="995" t="s">
        <v>1363</v>
      </c>
      <c r="D88" s="1485">
        <f>'Материалы и инструменты'!D33</f>
        <v>0.33</v>
      </c>
      <c r="E88" s="1485">
        <f>'Материалы и инструменты'!E33</f>
        <v>10.22</v>
      </c>
      <c r="F88" s="1485">
        <f>'Материалы и инструменты'!F33</f>
        <v>1000.35</v>
      </c>
      <c r="G88" s="1485">
        <f>'Материалы и инструменты'!G33</f>
        <v>10000.85</v>
      </c>
      <c r="H88" s="1127"/>
      <c r="M88" s="1572" t="s">
        <v>1443</v>
      </c>
      <c r="N88" s="1574" t="s">
        <v>30</v>
      </c>
      <c r="O88" s="1575" t="s">
        <v>1464</v>
      </c>
      <c r="P88" s="1576" t="s">
        <v>1464</v>
      </c>
      <c r="Q88" s="1575" t="s">
        <v>1762</v>
      </c>
    </row>
    <row r="89" ht="12.75" customHeight="1">
      <c r="C89" s="995" t="s">
        <v>1365</v>
      </c>
      <c r="D89" s="998">
        <v>0.2</v>
      </c>
      <c r="E89" s="998">
        <v>0.2</v>
      </c>
      <c r="F89" s="998">
        <v>0.2</v>
      </c>
      <c r="G89" s="998">
        <v>0.2</v>
      </c>
      <c r="H89" s="1127"/>
      <c r="M89" s="1572" t="s">
        <v>2036</v>
      </c>
      <c r="N89" s="1575" t="s">
        <v>1464</v>
      </c>
      <c r="O89" s="1576" t="s">
        <v>1464</v>
      </c>
      <c r="P89" s="1575" t="s">
        <v>1762</v>
      </c>
      <c r="Q89" s="1575" t="s">
        <v>1762</v>
      </c>
    </row>
    <row r="90" ht="12.75" customHeight="1">
      <c r="C90" s="999" t="s">
        <v>1400</v>
      </c>
      <c r="D90" s="1000" t="s">
        <v>1489</v>
      </c>
      <c r="E90" s="1000" t="s">
        <v>1490</v>
      </c>
      <c r="F90" s="1000" t="s">
        <v>1490</v>
      </c>
      <c r="G90" s="1000" t="s">
        <v>1490</v>
      </c>
      <c r="H90" s="1127"/>
      <c r="M90" s="1572" t="s">
        <v>2040</v>
      </c>
      <c r="N90" s="1575" t="s">
        <v>1464</v>
      </c>
      <c r="O90" s="1575" t="s">
        <v>1762</v>
      </c>
      <c r="P90" s="1575" t="s">
        <v>1762</v>
      </c>
      <c r="Q90" s="1575" t="s">
        <v>1468</v>
      </c>
    </row>
    <row r="91" ht="12.75" customHeight="1">
      <c r="C91" s="1001" t="s">
        <v>1369</v>
      </c>
      <c r="D91" s="1120" t="str">
        <f t="shared" ref="D91:G91" si="43">D52</f>
        <v>Древесный уголь</v>
      </c>
      <c r="E91" s="1120" t="str">
        <f t="shared" si="43"/>
        <v>Древесный уголь</v>
      </c>
      <c r="F91" s="1120" t="str">
        <f t="shared" si="43"/>
        <v>Древесный уголь</v>
      </c>
      <c r="G91" s="1120" t="str">
        <f t="shared" si="43"/>
        <v>Каменный уголь</v>
      </c>
      <c r="H91" s="1127"/>
    </row>
    <row r="92" ht="12.75" customHeight="1">
      <c r="C92" s="1002" t="s">
        <v>1370</v>
      </c>
      <c r="D92" s="1121">
        <f>'Материалы и инструменты'!$E$149</f>
        <v>0.07</v>
      </c>
      <c r="E92" s="1121">
        <f>'Материалы и инструменты'!$E$149</f>
        <v>0.07</v>
      </c>
      <c r="F92" s="1121">
        <f>'Материалы и инструменты'!$E$149</f>
        <v>0.07</v>
      </c>
      <c r="G92" s="1120">
        <f>'Материалы и инструменты'!$F$149</f>
        <v>0.14</v>
      </c>
      <c r="H92" s="1127"/>
    </row>
    <row r="93" ht="12.75" customHeight="1">
      <c r="C93" s="1002" t="s">
        <v>1231</v>
      </c>
      <c r="D93" s="1120">
        <f>'Рудокоп'!$G$63*D89</f>
        <v>0.4</v>
      </c>
      <c r="E93" s="1120">
        <f>'Рудокоп'!$J$63*E89</f>
        <v>0.6</v>
      </c>
      <c r="F93" s="1120">
        <f>'Рудокоп'!$K$63*F89</f>
        <v>0.6</v>
      </c>
      <c r="G93" s="1120">
        <f>'Рудокоп'!$O$63*G89</f>
        <v>1.2</v>
      </c>
      <c r="H93" s="1127"/>
    </row>
    <row r="94" ht="12.75" customHeight="1">
      <c r="C94" s="1004" t="s">
        <v>1371</v>
      </c>
      <c r="D94" s="981">
        <f t="shared" ref="D94:G94" si="44">D89*D95</f>
        <v>2</v>
      </c>
      <c r="E94" s="981">
        <f t="shared" si="44"/>
        <v>3</v>
      </c>
      <c r="F94" s="981">
        <f t="shared" si="44"/>
        <v>4</v>
      </c>
      <c r="G94" s="981">
        <f t="shared" si="44"/>
        <v>5</v>
      </c>
      <c r="H94" s="1127"/>
    </row>
    <row r="95" ht="12.75" customHeight="1">
      <c r="C95" s="1004" t="s">
        <v>1385</v>
      </c>
      <c r="D95" s="981">
        <v>10.0</v>
      </c>
      <c r="E95" s="981">
        <f t="shared" ref="E95:G95" si="45">D95+5</f>
        <v>15</v>
      </c>
      <c r="F95" s="981">
        <f t="shared" si="45"/>
        <v>20</v>
      </c>
      <c r="G95" s="981">
        <f t="shared" si="45"/>
        <v>25</v>
      </c>
      <c r="H95" s="1127"/>
    </row>
    <row r="96" ht="12.75" customHeight="1">
      <c r="C96" s="1004" t="s">
        <v>1372</v>
      </c>
      <c r="D96" s="981">
        <f t="shared" ref="D96:G96" si="46">(0.02*D97)*D97</f>
        <v>0.02</v>
      </c>
      <c r="E96" s="981">
        <f t="shared" si="46"/>
        <v>0.08</v>
      </c>
      <c r="F96" s="981">
        <f t="shared" si="46"/>
        <v>0.18</v>
      </c>
      <c r="G96" s="981">
        <f t="shared" si="46"/>
        <v>0.32</v>
      </c>
      <c r="H96" s="1127"/>
    </row>
    <row r="97" ht="12.75" customHeight="1">
      <c r="C97" s="1004" t="s">
        <v>2135</v>
      </c>
      <c r="D97" s="981">
        <v>1.0</v>
      </c>
      <c r="E97" s="981">
        <v>2.0</v>
      </c>
      <c r="F97" s="981">
        <v>3.0</v>
      </c>
      <c r="G97" s="981">
        <v>4.0</v>
      </c>
      <c r="H97" s="1127"/>
    </row>
    <row r="98" ht="12.75" customHeight="1">
      <c r="C98" s="1006" t="s">
        <v>2136</v>
      </c>
      <c r="D98" s="1007">
        <v>10.0</v>
      </c>
      <c r="E98" s="1577">
        <f t="shared" ref="E98:G98" si="47">D98+2</f>
        <v>12</v>
      </c>
      <c r="F98" s="1577">
        <f t="shared" si="47"/>
        <v>14</v>
      </c>
      <c r="G98" s="1577">
        <f t="shared" si="47"/>
        <v>16</v>
      </c>
      <c r="H98" s="1127"/>
    </row>
    <row r="99" ht="12.75" customHeight="1">
      <c r="C99" s="1004" t="s">
        <v>2137</v>
      </c>
      <c r="D99" s="953" t="s">
        <v>1237</v>
      </c>
      <c r="E99" s="953" t="s">
        <v>1237</v>
      </c>
      <c r="F99" s="953" t="s">
        <v>1237</v>
      </c>
      <c r="G99" s="953" t="s">
        <v>1250</v>
      </c>
    </row>
    <row r="100" ht="12.75" customHeight="1">
      <c r="C100" s="1572" t="s">
        <v>2104</v>
      </c>
      <c r="D100" s="1573">
        <f t="shared" ref="D100:G100" si="48">D$88*D$89+D101*D103+D92*D93</f>
        <v>0.414</v>
      </c>
      <c r="E100" s="1573">
        <f t="shared" si="48"/>
        <v>3.166</v>
      </c>
      <c r="F100" s="1573">
        <f t="shared" si="48"/>
        <v>202.672</v>
      </c>
      <c r="G100" s="1573">
        <f t="shared" si="48"/>
        <v>2005.338</v>
      </c>
      <c r="H100" s="1127">
        <v>2.0</v>
      </c>
    </row>
    <row r="101" ht="12.75" customHeight="1">
      <c r="C101" s="1004" t="s">
        <v>1371</v>
      </c>
      <c r="D101" s="997">
        <f t="shared" ref="D101:G101" si="49">D$89*D102</f>
        <v>4</v>
      </c>
      <c r="E101" s="997">
        <f t="shared" si="49"/>
        <v>6</v>
      </c>
      <c r="F101" s="997">
        <f t="shared" si="49"/>
        <v>8</v>
      </c>
      <c r="G101" s="997">
        <f t="shared" si="49"/>
        <v>10</v>
      </c>
      <c r="H101" s="1127"/>
    </row>
    <row r="102" ht="12.75" customHeight="1">
      <c r="C102" s="1004" t="s">
        <v>1385</v>
      </c>
      <c r="D102" s="997">
        <f t="shared" ref="D102:G102" si="50">D$17*$H100</f>
        <v>20</v>
      </c>
      <c r="E102" s="997">
        <f t="shared" si="50"/>
        <v>30</v>
      </c>
      <c r="F102" s="997">
        <f t="shared" si="50"/>
        <v>40</v>
      </c>
      <c r="G102" s="997">
        <f t="shared" si="50"/>
        <v>50</v>
      </c>
      <c r="H102" s="1127"/>
    </row>
    <row r="103" ht="12.75" customHeight="1">
      <c r="C103" s="1004" t="s">
        <v>1372</v>
      </c>
      <c r="D103" s="997">
        <f t="shared" ref="D103:G103" si="51">(0.02*D104)*D104</f>
        <v>0.08</v>
      </c>
      <c r="E103" s="997">
        <f t="shared" si="51"/>
        <v>0.18</v>
      </c>
      <c r="F103" s="997">
        <f t="shared" si="51"/>
        <v>0.32</v>
      </c>
      <c r="G103" s="1463">
        <f t="shared" si="51"/>
        <v>0.5</v>
      </c>
      <c r="H103" s="1127"/>
    </row>
    <row r="104" ht="12.75" customHeight="1">
      <c r="C104" s="1004" t="s">
        <v>2135</v>
      </c>
      <c r="D104" s="997">
        <v>2.0</v>
      </c>
      <c r="E104" s="997">
        <v>3.0</v>
      </c>
      <c r="F104" s="997">
        <v>4.0</v>
      </c>
      <c r="G104" s="997">
        <v>5.0</v>
      </c>
      <c r="H104" s="1127"/>
    </row>
    <row r="105" ht="12.75" customHeight="1">
      <c r="C105" s="1006" t="s">
        <v>2136</v>
      </c>
      <c r="D105" s="1007">
        <v>12.0</v>
      </c>
      <c r="E105" s="1577">
        <f t="shared" ref="E105:G105" si="52">D105+2</f>
        <v>14</v>
      </c>
      <c r="F105" s="1577">
        <f t="shared" si="52"/>
        <v>16</v>
      </c>
      <c r="G105" s="1577">
        <f t="shared" si="52"/>
        <v>18</v>
      </c>
      <c r="H105" s="1127"/>
    </row>
    <row r="106" ht="12.75" customHeight="1">
      <c r="C106" s="1004" t="s">
        <v>2137</v>
      </c>
      <c r="D106" s="953" t="s">
        <v>1237</v>
      </c>
      <c r="E106" s="953" t="s">
        <v>1237</v>
      </c>
      <c r="F106" s="953" t="s">
        <v>1250</v>
      </c>
      <c r="G106" s="953" t="s">
        <v>1250</v>
      </c>
    </row>
    <row r="107" ht="12.75" customHeight="1">
      <c r="C107" s="1572" t="s">
        <v>2106</v>
      </c>
      <c r="D107" s="1573">
        <f t="shared" ref="D107:G107" si="53">D$88*D$89+D109*D111+D108+D92*D93</f>
        <v>1.974</v>
      </c>
      <c r="E107" s="1573">
        <f t="shared" si="53"/>
        <v>7.366</v>
      </c>
      <c r="F107" s="1573">
        <f t="shared" si="53"/>
        <v>213.312</v>
      </c>
      <c r="G107" s="1573">
        <f t="shared" si="53"/>
        <v>2075.938</v>
      </c>
      <c r="H107" s="1127">
        <v>3.0</v>
      </c>
    </row>
    <row r="108" ht="12.75" customHeight="1">
      <c r="C108" s="1006" t="s">
        <v>2143</v>
      </c>
      <c r="D108" s="1485">
        <f>'Материалы и инструменты'!D36*2</f>
        <v>0.8</v>
      </c>
      <c r="E108" s="1485">
        <f>'Материалы и инструменты'!E36*2</f>
        <v>2.4</v>
      </c>
      <c r="F108" s="1485">
        <f>'Материалы и инструменты'!F36*2</f>
        <v>7.2</v>
      </c>
      <c r="G108" s="1485">
        <f>'Материалы и инструменты'!G36*2</f>
        <v>64.8</v>
      </c>
      <c r="H108" s="1127"/>
    </row>
    <row r="109" ht="12.75" customHeight="1">
      <c r="C109" s="1004" t="s">
        <v>1371</v>
      </c>
      <c r="D109" s="997">
        <f t="shared" ref="D109:G109" si="54">D$89*D110</f>
        <v>6</v>
      </c>
      <c r="E109" s="997">
        <f t="shared" si="54"/>
        <v>9</v>
      </c>
      <c r="F109" s="997">
        <f t="shared" si="54"/>
        <v>12</v>
      </c>
      <c r="G109" s="997">
        <f t="shared" si="54"/>
        <v>15</v>
      </c>
      <c r="H109" s="1127"/>
    </row>
    <row r="110" ht="12.75" customHeight="1">
      <c r="C110" s="1004" t="s">
        <v>1385</v>
      </c>
      <c r="D110" s="997">
        <f t="shared" ref="D110:G110" si="55">D$17*$H107</f>
        <v>30</v>
      </c>
      <c r="E110" s="997">
        <f t="shared" si="55"/>
        <v>45</v>
      </c>
      <c r="F110" s="997">
        <f t="shared" si="55"/>
        <v>60</v>
      </c>
      <c r="G110" s="997">
        <f t="shared" si="55"/>
        <v>75</v>
      </c>
      <c r="H110" s="1127"/>
    </row>
    <row r="111" ht="12.75" customHeight="1">
      <c r="C111" s="1004" t="s">
        <v>1372</v>
      </c>
      <c r="D111" s="997">
        <f t="shared" ref="D111:G111" si="56">(0.02*D112)*D112</f>
        <v>0.18</v>
      </c>
      <c r="E111" s="997">
        <f t="shared" si="56"/>
        <v>0.32</v>
      </c>
      <c r="F111" s="997">
        <f t="shared" si="56"/>
        <v>0.5</v>
      </c>
      <c r="G111" s="997">
        <f t="shared" si="56"/>
        <v>0.72</v>
      </c>
      <c r="H111" s="1127"/>
    </row>
    <row r="112" ht="12.75" customHeight="1">
      <c r="C112" s="1004" t="s">
        <v>2135</v>
      </c>
      <c r="D112" s="1437">
        <v>3.0</v>
      </c>
      <c r="E112" s="1437">
        <v>4.0</v>
      </c>
      <c r="F112" s="1437">
        <v>5.0</v>
      </c>
      <c r="G112" s="1437">
        <v>6.0</v>
      </c>
      <c r="H112" s="1127"/>
    </row>
    <row r="113" ht="12.75" customHeight="1">
      <c r="C113" s="1006" t="s">
        <v>2136</v>
      </c>
      <c r="D113" s="1007">
        <v>14.0</v>
      </c>
      <c r="E113" s="1577">
        <f t="shared" ref="E113:G113" si="57">D113+2</f>
        <v>16</v>
      </c>
      <c r="F113" s="1577">
        <f t="shared" si="57"/>
        <v>18</v>
      </c>
      <c r="G113" s="1577">
        <f t="shared" si="57"/>
        <v>20</v>
      </c>
      <c r="H113" s="1127"/>
    </row>
    <row r="114" ht="12.75" customHeight="1">
      <c r="C114" s="1004" t="s">
        <v>2137</v>
      </c>
      <c r="D114" s="953" t="s">
        <v>1237</v>
      </c>
      <c r="E114" s="953" t="s">
        <v>1250</v>
      </c>
      <c r="F114" s="953" t="s">
        <v>1250</v>
      </c>
      <c r="G114" s="953" t="s">
        <v>1250</v>
      </c>
    </row>
    <row r="115" ht="12.75" customHeight="1">
      <c r="C115" s="1572" t="s">
        <v>2108</v>
      </c>
      <c r="D115" s="1573">
        <f t="shared" ref="D115:G115" si="58">D$88*D$89+D117*D119+D116+D92*D93</f>
        <v>5.054</v>
      </c>
      <c r="E115" s="1573">
        <f t="shared" si="58"/>
        <v>15.286</v>
      </c>
      <c r="F115" s="1573">
        <f t="shared" si="58"/>
        <v>276.432</v>
      </c>
      <c r="G115" s="1573">
        <f t="shared" si="58"/>
        <v>2603.138</v>
      </c>
      <c r="H115" s="1127">
        <v>4.0</v>
      </c>
    </row>
    <row r="116" ht="12.75" customHeight="1">
      <c r="C116" s="1006" t="s">
        <v>2143</v>
      </c>
      <c r="D116" s="1485">
        <f>'Материалы и инструменты'!E36*2</f>
        <v>2.4</v>
      </c>
      <c r="E116" s="1485">
        <f>'Материалы и инструменты'!F36*2</f>
        <v>7.2</v>
      </c>
      <c r="F116" s="1485">
        <f>'Материалы и инструменты'!G36*2</f>
        <v>64.8</v>
      </c>
      <c r="G116" s="1485">
        <f>'Материалы и инструменты'!H36*2</f>
        <v>583.2</v>
      </c>
      <c r="H116" s="1127"/>
    </row>
    <row r="117" ht="12.75" customHeight="1">
      <c r="C117" s="1004" t="s">
        <v>1371</v>
      </c>
      <c r="D117" s="997">
        <f t="shared" ref="D117:G117" si="59">D$89*D118</f>
        <v>8</v>
      </c>
      <c r="E117" s="997">
        <f t="shared" si="59"/>
        <v>12</v>
      </c>
      <c r="F117" s="997">
        <f t="shared" si="59"/>
        <v>16</v>
      </c>
      <c r="G117" s="997">
        <f t="shared" si="59"/>
        <v>20</v>
      </c>
      <c r="H117" s="1127"/>
    </row>
    <row r="118" ht="12.75" customHeight="1">
      <c r="C118" s="1004" t="s">
        <v>1385</v>
      </c>
      <c r="D118" s="997">
        <f t="shared" ref="D118:G118" si="60">D$17*$H115</f>
        <v>40</v>
      </c>
      <c r="E118" s="997">
        <f t="shared" si="60"/>
        <v>60</v>
      </c>
      <c r="F118" s="997">
        <f t="shared" si="60"/>
        <v>80</v>
      </c>
      <c r="G118" s="997">
        <f t="shared" si="60"/>
        <v>100</v>
      </c>
      <c r="H118" s="1127"/>
    </row>
    <row r="119" ht="12.75" customHeight="1">
      <c r="C119" s="1004" t="s">
        <v>1372</v>
      </c>
      <c r="D119" s="997">
        <f t="shared" ref="D119:G119" si="61">(0.02*D120)*D120</f>
        <v>0.32</v>
      </c>
      <c r="E119" s="997">
        <f t="shared" si="61"/>
        <v>0.5</v>
      </c>
      <c r="F119" s="997">
        <f t="shared" si="61"/>
        <v>0.72</v>
      </c>
      <c r="G119" s="997">
        <f t="shared" si="61"/>
        <v>0.98</v>
      </c>
      <c r="H119" s="1127"/>
    </row>
    <row r="120" ht="12.75" customHeight="1">
      <c r="C120" s="1004" t="s">
        <v>2135</v>
      </c>
      <c r="D120" s="1437">
        <v>4.0</v>
      </c>
      <c r="E120" s="1437">
        <v>5.0</v>
      </c>
      <c r="F120" s="1437">
        <v>6.0</v>
      </c>
      <c r="G120" s="1437">
        <v>7.0</v>
      </c>
      <c r="H120" s="1127"/>
    </row>
    <row r="121" ht="12.75" customHeight="1">
      <c r="C121" s="1006" t="s">
        <v>2136</v>
      </c>
      <c r="D121" s="1007">
        <v>16.0</v>
      </c>
      <c r="E121" s="1577">
        <f t="shared" ref="E121:G121" si="62">D121+2</f>
        <v>18</v>
      </c>
      <c r="F121" s="1577">
        <f t="shared" si="62"/>
        <v>20</v>
      </c>
      <c r="G121" s="1577">
        <f t="shared" si="62"/>
        <v>22</v>
      </c>
      <c r="H121" s="1010"/>
    </row>
    <row r="122" ht="12.75" customHeight="1">
      <c r="C122" s="1004" t="s">
        <v>2137</v>
      </c>
      <c r="D122" s="953" t="s">
        <v>1250</v>
      </c>
      <c r="E122" s="953" t="s">
        <v>1250</v>
      </c>
      <c r="F122" s="953" t="s">
        <v>1250</v>
      </c>
      <c r="G122" s="953" t="s">
        <v>1263</v>
      </c>
    </row>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sheetData>
  <printOptions/>
  <pageMargins bottom="0.75" footer="0.0" header="0.0" left="0.7" right="0.7" top="0.75"/>
  <pageSetup orientation="portrait"/>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2.63" defaultRowHeight="15.75" outlineLevelCol="1"/>
  <cols>
    <col customWidth="1" min="1" max="1" width="7.63"/>
    <col customWidth="1" min="2" max="2" width="37.75"/>
    <col customWidth="1" min="3" max="3" width="16.0"/>
    <col customWidth="1" min="4" max="6" width="12.88"/>
    <col customWidth="1" min="7" max="7" width="15.5"/>
    <col customWidth="1" min="8" max="8" width="16.25" outlineLevel="1"/>
    <col customWidth="1" min="9" max="9" width="13.13" outlineLevel="1"/>
    <col customWidth="1" min="10" max="10" width="21.88"/>
    <col customWidth="1" min="11" max="11" width="15.88"/>
    <col customWidth="1" min="12" max="12" width="17.5"/>
    <col customWidth="1" min="13" max="13" width="17.25"/>
    <col customWidth="1" min="14" max="14" width="12.75"/>
    <col customWidth="1" min="15" max="15" width="13.63"/>
    <col customWidth="1" min="16" max="16" width="15.13"/>
    <col customWidth="1" min="17" max="17" width="25.63"/>
    <col customWidth="1" min="18" max="18" width="15.0"/>
    <col customWidth="1" min="19" max="19" width="16.0"/>
    <col customWidth="1" min="20" max="20" width="13.75"/>
    <col customWidth="1" min="21" max="21" width="15.88"/>
    <col customWidth="1" min="22" max="22" width="15.0"/>
    <col customWidth="1" min="23" max="23" width="29.0"/>
    <col customWidth="1" min="24" max="24" width="17.13"/>
    <col customWidth="1" min="25" max="25" width="27.5"/>
    <col customWidth="1" min="26" max="26" width="14.0"/>
    <col customWidth="1" min="27" max="27" width="25.63"/>
    <col customWidth="1" min="28" max="28" width="22.88"/>
    <col customWidth="1" min="29" max="29" width="24.63"/>
    <col customWidth="1" min="30" max="30" width="22.13"/>
    <col customWidth="1" min="31" max="31" width="25.38"/>
    <col customWidth="1" min="32" max="32" width="22.63"/>
    <col customWidth="1" min="33" max="33" width="13.88"/>
    <col customWidth="1" min="34" max="34" width="15.25"/>
    <col customWidth="1" min="35" max="35" width="12.25"/>
    <col customWidth="1" min="36" max="36" width="27.0"/>
    <col customWidth="1" min="37" max="37" width="13.75"/>
    <col customWidth="1" min="38" max="38" width="16.75"/>
    <col customWidth="1" min="39" max="40" width="7.63"/>
    <col customWidth="1" min="41" max="41" width="10.13"/>
    <col customWidth="1" min="42" max="42" width="17.5"/>
    <col customWidth="1" min="43" max="43" width="11.25"/>
    <col customWidth="1" min="44" max="44" width="12.38"/>
    <col customWidth="1" min="45" max="45" width="17.5"/>
    <col customWidth="1" min="46" max="46" width="22.75"/>
    <col customWidth="1" min="47" max="53" width="7.63"/>
  </cols>
  <sheetData>
    <row r="1" ht="30.0" customHeight="1">
      <c r="A1" s="441"/>
      <c r="B1" s="406" t="s">
        <v>2144</v>
      </c>
      <c r="C1" s="1579"/>
      <c r="D1" s="1579"/>
      <c r="E1" s="1579"/>
      <c r="F1" s="1579"/>
      <c r="G1" s="1579"/>
      <c r="H1" s="1579"/>
      <c r="I1" s="1580"/>
      <c r="J1" s="890"/>
      <c r="K1" s="890"/>
      <c r="L1" s="890"/>
      <c r="M1" s="890"/>
      <c r="N1" s="890"/>
      <c r="O1" s="890"/>
      <c r="P1" s="441"/>
      <c r="Q1" s="441"/>
      <c r="R1" s="441"/>
      <c r="S1" s="441"/>
      <c r="T1" s="441"/>
      <c r="U1" s="441"/>
      <c r="V1" s="441"/>
      <c r="W1" s="1581"/>
      <c r="X1" s="441"/>
      <c r="Y1" s="441"/>
      <c r="Z1" s="441"/>
      <c r="AA1" s="441"/>
      <c r="AB1" s="441"/>
      <c r="AC1" s="441"/>
      <c r="AD1" s="441"/>
      <c r="AE1" s="441"/>
      <c r="AF1" s="441"/>
      <c r="AG1" s="441"/>
      <c r="AH1" s="441"/>
      <c r="AI1" s="441"/>
      <c r="AJ1" s="441"/>
      <c r="AK1" s="441"/>
      <c r="AL1" s="441"/>
      <c r="AM1" s="441"/>
      <c r="AN1" s="441"/>
      <c r="AO1" s="441"/>
      <c r="AP1" s="441"/>
      <c r="AR1" s="1582"/>
      <c r="AS1" s="441"/>
      <c r="AT1" s="441"/>
      <c r="AU1" s="441"/>
      <c r="AV1" s="441"/>
      <c r="AW1" s="441"/>
      <c r="AX1" s="441"/>
      <c r="AY1" s="441"/>
      <c r="AZ1" s="441"/>
      <c r="BA1" s="441"/>
    </row>
    <row r="2">
      <c r="A2" s="441"/>
      <c r="C2" s="1579"/>
      <c r="D2" s="1579"/>
      <c r="E2" s="1579"/>
      <c r="F2" s="1579"/>
      <c r="G2" s="1579"/>
      <c r="H2" s="1579"/>
      <c r="I2" s="1580"/>
      <c r="J2" s="890"/>
      <c r="K2" s="890"/>
      <c r="L2" s="890"/>
      <c r="M2" s="890"/>
      <c r="N2" s="890"/>
      <c r="O2" s="890"/>
      <c r="P2" s="441"/>
      <c r="Q2" s="441"/>
      <c r="R2" s="441"/>
      <c r="S2" s="441"/>
      <c r="T2" s="441"/>
      <c r="U2" s="441"/>
      <c r="V2" s="441"/>
      <c r="W2" s="1581"/>
      <c r="X2" s="441"/>
      <c r="Y2" s="441"/>
      <c r="Z2" s="441"/>
      <c r="AA2" s="441"/>
      <c r="AB2" s="441"/>
      <c r="AC2" s="441"/>
      <c r="AD2" s="441"/>
      <c r="AE2" s="441"/>
      <c r="AF2" s="441"/>
      <c r="AG2" s="441"/>
      <c r="AH2" s="441"/>
      <c r="AI2" s="441"/>
      <c r="AJ2" s="441"/>
      <c r="AK2" s="441"/>
      <c r="AL2" s="441"/>
      <c r="AM2" s="441"/>
      <c r="AN2" s="441"/>
      <c r="AO2" s="441"/>
      <c r="AP2" s="441"/>
      <c r="AR2" s="1582"/>
      <c r="AS2" s="441"/>
      <c r="AT2" s="441"/>
      <c r="AU2" s="441"/>
      <c r="AV2" s="441"/>
      <c r="AW2" s="441"/>
      <c r="AX2" s="441"/>
      <c r="AY2" s="441"/>
      <c r="AZ2" s="441"/>
      <c r="BA2" s="441"/>
    </row>
    <row r="3" ht="30.0" customHeight="1">
      <c r="A3" s="441"/>
      <c r="B3" s="1579"/>
      <c r="C3" s="1579"/>
      <c r="D3" s="1579"/>
      <c r="E3" s="1579"/>
      <c r="F3" s="1579"/>
      <c r="G3" s="1579"/>
      <c r="H3" s="1579"/>
      <c r="I3" s="1580"/>
      <c r="J3" s="890"/>
      <c r="K3" s="890"/>
      <c r="L3" s="890"/>
      <c r="M3" s="890"/>
      <c r="N3" s="890"/>
      <c r="O3" s="890"/>
      <c r="P3" s="441"/>
      <c r="Q3" s="441"/>
      <c r="R3" s="441"/>
      <c r="S3" s="441"/>
      <c r="T3" s="441"/>
      <c r="U3" s="441"/>
      <c r="V3" s="441"/>
      <c r="W3" s="1581"/>
      <c r="X3" s="441"/>
      <c r="Y3" s="441"/>
      <c r="Z3" s="441"/>
      <c r="AA3" s="441"/>
      <c r="AB3" s="441"/>
      <c r="AC3" s="441"/>
      <c r="AD3" s="441"/>
      <c r="AE3" s="441"/>
      <c r="AF3" s="441"/>
      <c r="AG3" s="441"/>
      <c r="AH3" s="441"/>
      <c r="AI3" s="441"/>
      <c r="AJ3" s="441"/>
      <c r="AK3" s="441"/>
      <c r="AL3" s="441"/>
      <c r="AM3" s="441"/>
      <c r="AN3" s="441"/>
      <c r="AO3" s="441"/>
      <c r="AP3" s="441"/>
      <c r="AR3" s="1582"/>
      <c r="AS3" s="441"/>
      <c r="AT3" s="441"/>
      <c r="AU3" s="441"/>
      <c r="AV3" s="441"/>
      <c r="AW3" s="441"/>
      <c r="AX3" s="441"/>
      <c r="AY3" s="441"/>
      <c r="AZ3" s="441"/>
      <c r="BA3" s="441"/>
    </row>
    <row r="4">
      <c r="A4" s="441"/>
      <c r="B4" s="1583" t="s">
        <v>1754</v>
      </c>
      <c r="C4" s="228"/>
      <c r="D4" s="228"/>
      <c r="E4" s="228"/>
      <c r="F4" s="228"/>
      <c r="G4" s="228"/>
      <c r="H4" s="665"/>
      <c r="I4" s="1584"/>
      <c r="J4" s="427" t="s">
        <v>176</v>
      </c>
      <c r="K4" s="427" t="s">
        <v>1447</v>
      </c>
      <c r="L4" s="427" t="s">
        <v>326</v>
      </c>
      <c r="M4" s="427" t="s">
        <v>1449</v>
      </c>
      <c r="N4" s="427" t="s">
        <v>1450</v>
      </c>
      <c r="P4" s="441"/>
      <c r="Q4" s="441"/>
      <c r="R4" s="441"/>
      <c r="S4" s="441"/>
      <c r="T4" s="441"/>
      <c r="U4" s="441"/>
      <c r="V4" s="441"/>
      <c r="W4" s="1581"/>
      <c r="X4" s="441"/>
      <c r="Y4" s="441"/>
      <c r="Z4" s="441"/>
      <c r="AA4" s="441"/>
      <c r="AB4" s="441"/>
      <c r="AC4" s="441"/>
      <c r="AD4" s="441"/>
      <c r="AE4" s="441"/>
      <c r="AF4" s="441"/>
      <c r="AG4" s="441"/>
      <c r="AH4" s="441"/>
      <c r="AI4" s="441"/>
      <c r="AJ4" s="441"/>
      <c r="AK4" s="441"/>
      <c r="AL4" s="441"/>
      <c r="AM4" s="441"/>
      <c r="AN4" s="441"/>
      <c r="AO4" s="441"/>
      <c r="AP4" s="441"/>
      <c r="AR4" s="1582"/>
      <c r="AS4" s="441"/>
      <c r="AT4" s="441"/>
      <c r="AU4" s="441"/>
      <c r="AV4" s="441"/>
      <c r="AW4" s="441"/>
      <c r="AX4" s="441"/>
      <c r="AY4" s="441"/>
      <c r="AZ4" s="441"/>
      <c r="BA4" s="441"/>
    </row>
    <row r="5">
      <c r="A5" s="441"/>
      <c r="B5" s="1585"/>
      <c r="C5" s="1430"/>
      <c r="D5" s="1430"/>
      <c r="E5" s="1430"/>
      <c r="F5" s="1430"/>
      <c r="G5" s="1430"/>
      <c r="H5" s="1586" t="s">
        <v>229</v>
      </c>
      <c r="I5" s="1430"/>
      <c r="J5" s="1430"/>
      <c r="K5" s="1430"/>
      <c r="L5" s="1430"/>
      <c r="M5" s="1430"/>
      <c r="N5" s="1431"/>
      <c r="P5" s="441"/>
      <c r="Q5" s="762"/>
      <c r="R5" s="441"/>
      <c r="T5" s="441"/>
      <c r="U5" s="441"/>
      <c r="V5" s="441"/>
      <c r="W5" s="1581"/>
      <c r="X5" s="441"/>
      <c r="Y5" s="441"/>
      <c r="Z5" s="441"/>
      <c r="AA5" s="516"/>
      <c r="AB5" s="516"/>
      <c r="AC5" s="516"/>
      <c r="AD5" s="441"/>
      <c r="AE5" s="441"/>
      <c r="AF5" s="441"/>
      <c r="AG5" s="441"/>
      <c r="AH5" s="441"/>
      <c r="AI5" s="441"/>
      <c r="AK5" s="410" t="s">
        <v>2145</v>
      </c>
      <c r="AT5" s="441"/>
      <c r="AU5" s="441"/>
      <c r="AV5" s="441"/>
      <c r="AW5" s="441"/>
      <c r="AX5" s="441"/>
      <c r="AY5" s="441"/>
      <c r="AZ5" s="441"/>
      <c r="BA5" s="441"/>
    </row>
    <row r="6">
      <c r="A6" s="441"/>
      <c r="B6" s="1434" t="s">
        <v>1759</v>
      </c>
      <c r="C6" s="1435" t="s">
        <v>131</v>
      </c>
      <c r="D6" s="1435" t="s">
        <v>1755</v>
      </c>
      <c r="E6" s="1435" t="s">
        <v>1756</v>
      </c>
      <c r="F6" s="1435" t="s">
        <v>1804</v>
      </c>
      <c r="G6" s="1435" t="s">
        <v>1760</v>
      </c>
      <c r="H6" s="1587"/>
      <c r="I6" s="1588"/>
      <c r="J6" s="1436"/>
      <c r="K6" s="1436"/>
      <c r="L6" s="1436"/>
      <c r="M6" s="1436"/>
      <c r="N6" s="1436"/>
      <c r="P6" s="441"/>
      <c r="Q6" s="692" t="s">
        <v>128</v>
      </c>
      <c r="R6" s="692" t="s">
        <v>2146</v>
      </c>
      <c r="S6" s="692" t="s">
        <v>2147</v>
      </c>
      <c r="T6" s="692" t="s">
        <v>327</v>
      </c>
      <c r="U6" s="692" t="s">
        <v>328</v>
      </c>
      <c r="V6" s="692" t="s">
        <v>329</v>
      </c>
      <c r="W6" s="1589" t="s">
        <v>2148</v>
      </c>
      <c r="X6" s="441" t="str">
        <f>'Персонаж'!L2</f>
        <v>&lt; Имя персонажа &gt;</v>
      </c>
      <c r="Y6" s="441"/>
      <c r="Z6" s="441"/>
      <c r="AA6" s="692" t="s">
        <v>1192</v>
      </c>
      <c r="AB6" s="410" t="s">
        <v>1202</v>
      </c>
      <c r="AC6" s="692" t="s">
        <v>1195</v>
      </c>
      <c r="AD6" s="410" t="s">
        <v>1203</v>
      </c>
      <c r="AE6" s="692" t="s">
        <v>1198</v>
      </c>
      <c r="AF6" s="410" t="s">
        <v>1204</v>
      </c>
      <c r="AG6" s="516" t="s">
        <v>227</v>
      </c>
      <c r="AH6" s="441" t="str">
        <f>'Персонаж'!L2</f>
        <v>&lt; Имя персонажа &gt;</v>
      </c>
      <c r="AI6" s="441"/>
      <c r="AJ6" s="1590"/>
      <c r="AK6" s="410">
        <v>0.0</v>
      </c>
      <c r="AL6" s="410">
        <v>1.0</v>
      </c>
      <c r="AM6" s="410">
        <v>2.0</v>
      </c>
      <c r="AN6" s="410">
        <v>3.0</v>
      </c>
      <c r="AO6" s="410">
        <v>4.0</v>
      </c>
      <c r="AP6" s="410">
        <v>5.0</v>
      </c>
      <c r="AQ6" s="410">
        <v>6.0</v>
      </c>
      <c r="AR6" s="1591" t="s">
        <v>2149</v>
      </c>
      <c r="AS6" s="1592" t="s">
        <v>1449</v>
      </c>
      <c r="AT6" s="1592" t="s">
        <v>2150</v>
      </c>
      <c r="AU6" s="1592" t="s">
        <v>263</v>
      </c>
      <c r="AV6" s="1593" t="s">
        <v>130</v>
      </c>
      <c r="AW6" s="1593" t="s">
        <v>256</v>
      </c>
      <c r="AX6" s="441"/>
      <c r="AY6" s="441"/>
      <c r="AZ6" s="441"/>
      <c r="BA6" s="441"/>
    </row>
    <row r="7">
      <c r="A7" s="441"/>
      <c r="B7" s="1439" t="s">
        <v>1761</v>
      </c>
      <c r="C7" s="1440"/>
      <c r="D7" s="1440"/>
      <c r="E7" s="1440"/>
      <c r="F7" s="1440"/>
      <c r="G7" s="1440"/>
      <c r="H7" s="1440"/>
      <c r="I7" s="1594"/>
      <c r="J7" s="1441"/>
      <c r="K7" s="1441"/>
      <c r="L7" s="1441"/>
      <c r="M7" s="1441"/>
      <c r="N7" s="1442"/>
      <c r="P7" s="441"/>
      <c r="Q7" s="1595" t="s">
        <v>131</v>
      </c>
      <c r="R7" s="1595" t="s">
        <v>131</v>
      </c>
      <c r="S7" s="1595" t="s">
        <v>131</v>
      </c>
      <c r="T7" s="1180" t="s">
        <v>1431</v>
      </c>
      <c r="U7" s="1595" t="s">
        <v>172</v>
      </c>
      <c r="V7" s="1595" t="s">
        <v>172</v>
      </c>
      <c r="W7" s="1595" t="s">
        <v>30</v>
      </c>
      <c r="X7" s="441" t="str">
        <f>INDIRECT('Персонаж'!D34)</f>
        <v>Лён</v>
      </c>
      <c r="Y7" s="441"/>
      <c r="Z7" s="441"/>
      <c r="AA7" s="1173" t="s">
        <v>172</v>
      </c>
      <c r="AB7" s="1173" t="s">
        <v>1148</v>
      </c>
      <c r="AC7" s="1173" t="s">
        <v>172</v>
      </c>
      <c r="AD7" s="1173" t="s">
        <v>1148</v>
      </c>
      <c r="AE7" s="1173" t="s">
        <v>172</v>
      </c>
      <c r="AF7" s="1173" t="s">
        <v>1148</v>
      </c>
      <c r="AG7" s="1138" t="s">
        <v>30</v>
      </c>
      <c r="AH7" s="441" t="str">
        <f>INDIRECT('Персонаж'!D56)</f>
        <v>_</v>
      </c>
      <c r="AI7" s="692"/>
      <c r="AJ7" s="1596" t="s">
        <v>1192</v>
      </c>
      <c r="AK7" s="1597">
        <v>-3.0</v>
      </c>
      <c r="AL7" s="1597">
        <v>-2.0</v>
      </c>
      <c r="AM7" s="1597">
        <v>-1.0</v>
      </c>
      <c r="AN7" s="1597">
        <v>0.0</v>
      </c>
      <c r="AO7" s="1597">
        <v>0.0</v>
      </c>
      <c r="AP7" s="1597">
        <v>0.0</v>
      </c>
      <c r="AQ7" s="1597">
        <v>0.0</v>
      </c>
      <c r="AR7" s="1598">
        <v>0.0</v>
      </c>
      <c r="AS7" s="1598" t="s">
        <v>30</v>
      </c>
      <c r="AT7" s="1598">
        <v>4.0</v>
      </c>
      <c r="AU7" s="1598">
        <v>7.0</v>
      </c>
      <c r="AV7" s="1599" t="s">
        <v>2151</v>
      </c>
      <c r="AW7" s="1599" t="str">
        <f t="shared" ref="AW7:AW12" si="1">#REF!</f>
        <v>#REF!</v>
      </c>
      <c r="AX7" s="441"/>
      <c r="AY7" s="441"/>
      <c r="AZ7" s="441"/>
      <c r="BA7" s="441"/>
    </row>
    <row r="8">
      <c r="A8" s="441"/>
      <c r="B8" s="1443" t="s">
        <v>133</v>
      </c>
      <c r="C8" s="1444" t="s">
        <v>1459</v>
      </c>
      <c r="D8" s="1444" t="s">
        <v>1464</v>
      </c>
      <c r="E8" s="1444" t="s">
        <v>1762</v>
      </c>
      <c r="F8" s="1444" t="s">
        <v>1763</v>
      </c>
      <c r="G8" s="1445"/>
      <c r="H8" s="1445"/>
      <c r="I8" s="1448"/>
      <c r="J8" s="1446" t="s">
        <v>1460</v>
      </c>
      <c r="K8" s="1446" t="s">
        <v>1764</v>
      </c>
      <c r="L8" s="1446" t="s">
        <v>1764</v>
      </c>
      <c r="M8" s="1448" t="s">
        <v>30</v>
      </c>
      <c r="N8" s="1448" t="s">
        <v>30</v>
      </c>
      <c r="P8" s="441"/>
      <c r="Q8" s="1595" t="s">
        <v>1755</v>
      </c>
      <c r="R8" s="1595" t="s">
        <v>1755</v>
      </c>
      <c r="S8" s="1595" t="s">
        <v>1755</v>
      </c>
      <c r="T8" s="1180" t="s">
        <v>1418</v>
      </c>
      <c r="U8" s="1595" t="s">
        <v>738</v>
      </c>
      <c r="V8" s="1595" t="s">
        <v>738</v>
      </c>
      <c r="W8" s="1581"/>
      <c r="X8" s="441" t="s">
        <v>1755</v>
      </c>
      <c r="Y8" s="441"/>
      <c r="Z8" s="441"/>
      <c r="AA8" s="1173" t="s">
        <v>738</v>
      </c>
      <c r="AB8" s="1173" t="s">
        <v>1149</v>
      </c>
      <c r="AC8" s="1173" t="s">
        <v>738</v>
      </c>
      <c r="AD8" s="1173" t="s">
        <v>1149</v>
      </c>
      <c r="AE8" s="1173" t="s">
        <v>738</v>
      </c>
      <c r="AF8" s="1173" t="s">
        <v>1149</v>
      </c>
      <c r="AG8" s="441"/>
      <c r="AH8" s="441"/>
      <c r="AI8" s="692"/>
      <c r="AJ8" s="1596" t="s">
        <v>1202</v>
      </c>
      <c r="AK8" s="1597">
        <v>-3.0</v>
      </c>
      <c r="AL8" s="1597">
        <v>-2.0</v>
      </c>
      <c r="AM8" s="1597">
        <v>-1.0</v>
      </c>
      <c r="AN8" s="1597">
        <v>0.0</v>
      </c>
      <c r="AO8" s="1597">
        <v>0.0</v>
      </c>
      <c r="AP8" s="1597">
        <v>0.0</v>
      </c>
      <c r="AQ8" s="1597">
        <v>0.0</v>
      </c>
      <c r="AR8" s="1598">
        <v>0.0</v>
      </c>
      <c r="AS8" s="1598" t="s">
        <v>30</v>
      </c>
      <c r="AT8" s="1598">
        <v>4.0</v>
      </c>
      <c r="AU8" s="1598">
        <v>7.0</v>
      </c>
      <c r="AV8" s="1599" t="s">
        <v>2152</v>
      </c>
      <c r="AW8" s="1599" t="str">
        <f t="shared" si="1"/>
        <v>#REF!</v>
      </c>
      <c r="AX8" s="441"/>
      <c r="AY8" s="441"/>
      <c r="AZ8" s="441"/>
      <c r="BA8" s="441"/>
    </row>
    <row r="9">
      <c r="A9" s="441"/>
      <c r="B9" s="1449" t="s">
        <v>1463</v>
      </c>
      <c r="C9" s="1149">
        <f>'Портной'!C11</f>
        <v>0.6</v>
      </c>
      <c r="D9" s="1149">
        <f>'Портной'!D11</f>
        <v>2</v>
      </c>
      <c r="E9" s="1149">
        <f>'Портной'!E11</f>
        <v>5.2</v>
      </c>
      <c r="F9" s="1149">
        <f>'Портной'!F11</f>
        <v>75.2</v>
      </c>
      <c r="G9" s="1450"/>
      <c r="H9" s="1450"/>
      <c r="I9" s="428"/>
      <c r="J9" s="428"/>
      <c r="K9" s="428"/>
      <c r="L9" s="428"/>
      <c r="M9" s="428"/>
      <c r="N9" s="428"/>
      <c r="P9" s="441"/>
      <c r="Q9" s="1595" t="s">
        <v>1756</v>
      </c>
      <c r="R9" s="1595" t="s">
        <v>1756</v>
      </c>
      <c r="S9" s="1595" t="s">
        <v>1756</v>
      </c>
      <c r="T9" s="1180" t="s">
        <v>1432</v>
      </c>
      <c r="U9" s="1595" t="s">
        <v>739</v>
      </c>
      <c r="V9" s="1595" t="s">
        <v>739</v>
      </c>
      <c r="W9" s="1581"/>
      <c r="X9" s="441" t="s">
        <v>1756</v>
      </c>
      <c r="Y9" s="441"/>
      <c r="Z9" s="441"/>
      <c r="AA9" s="1173" t="s">
        <v>739</v>
      </c>
      <c r="AB9" s="1173" t="s">
        <v>1150</v>
      </c>
      <c r="AC9" s="1173" t="s">
        <v>739</v>
      </c>
      <c r="AD9" s="1173" t="s">
        <v>1150</v>
      </c>
      <c r="AE9" s="1173" t="s">
        <v>739</v>
      </c>
      <c r="AF9" s="1173" t="s">
        <v>1150</v>
      </c>
      <c r="AG9" s="441"/>
      <c r="AH9" s="441"/>
      <c r="AI9" s="692"/>
      <c r="AJ9" s="1600" t="s">
        <v>1195</v>
      </c>
      <c r="AK9" s="1601">
        <v>-4.0</v>
      </c>
      <c r="AL9" s="1601">
        <v>-3.0</v>
      </c>
      <c r="AM9" s="1601">
        <v>-2.0</v>
      </c>
      <c r="AN9" s="1601">
        <v>-1.0</v>
      </c>
      <c r="AO9" s="1601">
        <v>-1.0</v>
      </c>
      <c r="AP9" s="1601">
        <v>-1.0</v>
      </c>
      <c r="AQ9" s="1601">
        <v>-1.0</v>
      </c>
      <c r="AR9" s="1602">
        <v>0.0</v>
      </c>
      <c r="AS9" s="1602" t="s">
        <v>1196</v>
      </c>
      <c r="AT9" s="1602">
        <v>5.0</v>
      </c>
      <c r="AU9" s="1602">
        <v>6.0</v>
      </c>
      <c r="AV9" s="1603" t="s">
        <v>2151</v>
      </c>
      <c r="AW9" s="1603" t="str">
        <f t="shared" si="1"/>
        <v>#REF!</v>
      </c>
      <c r="AX9" s="441"/>
      <c r="AY9" s="441"/>
      <c r="AZ9" s="441"/>
      <c r="BA9" s="441"/>
    </row>
    <row r="10">
      <c r="A10" s="441"/>
      <c r="B10" s="1443" t="s">
        <v>1211</v>
      </c>
      <c r="C10" s="1444" t="s">
        <v>1464</v>
      </c>
      <c r="D10" s="1444" t="s">
        <v>1762</v>
      </c>
      <c r="E10" s="1444" t="s">
        <v>1468</v>
      </c>
      <c r="F10" s="1444" t="s">
        <v>1475</v>
      </c>
      <c r="G10" s="1445"/>
      <c r="H10" s="1604"/>
      <c r="I10" s="1448"/>
      <c r="J10" s="1446" t="s">
        <v>1465</v>
      </c>
      <c r="K10" s="1446" t="s">
        <v>1764</v>
      </c>
      <c r="L10" s="1446" t="s">
        <v>1764</v>
      </c>
      <c r="M10" s="1448" t="s">
        <v>30</v>
      </c>
      <c r="N10" s="1448" t="s">
        <v>30</v>
      </c>
      <c r="P10" s="441"/>
      <c r="Q10" s="1595" t="s">
        <v>1804</v>
      </c>
      <c r="R10" s="441"/>
      <c r="S10" s="1595" t="s">
        <v>1804</v>
      </c>
      <c r="T10" s="1180" t="s">
        <v>1419</v>
      </c>
      <c r="U10" s="1595" t="s">
        <v>741</v>
      </c>
      <c r="V10" s="1595" t="s">
        <v>741</v>
      </c>
      <c r="W10" s="1581"/>
      <c r="X10" s="441" t="s">
        <v>1804</v>
      </c>
      <c r="Y10" s="441"/>
      <c r="Z10" s="441"/>
      <c r="AA10" s="1173" t="s">
        <v>741</v>
      </c>
      <c r="AB10" s="1173" t="s">
        <v>1151</v>
      </c>
      <c r="AC10" s="1173" t="s">
        <v>741</v>
      </c>
      <c r="AD10" s="1173" t="s">
        <v>1151</v>
      </c>
      <c r="AE10" s="1173" t="s">
        <v>741</v>
      </c>
      <c r="AF10" s="1173" t="s">
        <v>1151</v>
      </c>
      <c r="AG10" s="441"/>
      <c r="AH10" s="441"/>
      <c r="AI10" s="692"/>
      <c r="AJ10" s="1600" t="s">
        <v>1203</v>
      </c>
      <c r="AK10" s="1601">
        <v>-4.0</v>
      </c>
      <c r="AL10" s="1601">
        <v>-3.0</v>
      </c>
      <c r="AM10" s="1601">
        <v>-2.0</v>
      </c>
      <c r="AN10" s="1601">
        <v>-1.0</v>
      </c>
      <c r="AO10" s="1601">
        <v>-1.0</v>
      </c>
      <c r="AP10" s="1601">
        <v>-1.0</v>
      </c>
      <c r="AQ10" s="1601">
        <v>-1.0</v>
      </c>
      <c r="AR10" s="1602">
        <v>0.0</v>
      </c>
      <c r="AS10" s="1602" t="s">
        <v>1114</v>
      </c>
      <c r="AT10" s="1602">
        <v>5.0</v>
      </c>
      <c r="AU10" s="1602">
        <v>6.0</v>
      </c>
      <c r="AV10" s="1603" t="s">
        <v>2152</v>
      </c>
      <c r="AW10" s="1603" t="str">
        <f t="shared" si="1"/>
        <v>#REF!</v>
      </c>
      <c r="AX10" s="441"/>
      <c r="AY10" s="441"/>
      <c r="AZ10" s="441"/>
      <c r="BA10" s="441"/>
    </row>
    <row r="11">
      <c r="A11" s="441"/>
      <c r="B11" s="1094" t="s">
        <v>1463</v>
      </c>
      <c r="C11" s="1150">
        <f>'Портной'!C20</f>
        <v>2</v>
      </c>
      <c r="D11" s="1150">
        <f>'Портной'!D20</f>
        <v>6.2</v>
      </c>
      <c r="E11" s="1150">
        <f>'Портной'!E20</f>
        <v>14.4</v>
      </c>
      <c r="F11" s="1150">
        <f>'Портной'!F20</f>
        <v>92.2</v>
      </c>
      <c r="G11" s="1450"/>
      <c r="H11" s="1450"/>
      <c r="I11" s="428"/>
      <c r="J11" s="428"/>
      <c r="K11" s="428"/>
      <c r="L11" s="428"/>
      <c r="M11" s="428"/>
      <c r="N11" s="428"/>
      <c r="P11" s="441"/>
      <c r="Q11" s="441"/>
      <c r="R11" s="441"/>
      <c r="S11" s="1595" t="s">
        <v>1760</v>
      </c>
      <c r="T11" s="1180" t="s">
        <v>1433</v>
      </c>
      <c r="U11" s="1595" t="s">
        <v>742</v>
      </c>
      <c r="V11" s="1595" t="s">
        <v>742</v>
      </c>
      <c r="W11" s="1581"/>
      <c r="X11" s="441"/>
      <c r="Y11" s="441"/>
      <c r="Z11" s="441"/>
      <c r="AA11" s="1173" t="s">
        <v>742</v>
      </c>
      <c r="AB11" s="1173" t="s">
        <v>1152</v>
      </c>
      <c r="AC11" s="1173" t="s">
        <v>742</v>
      </c>
      <c r="AD11" s="1173" t="s">
        <v>1152</v>
      </c>
      <c r="AE11" s="1173" t="s">
        <v>742</v>
      </c>
      <c r="AF11" s="1173" t="s">
        <v>1152</v>
      </c>
      <c r="AG11" s="441"/>
      <c r="AH11" s="441"/>
      <c r="AI11" s="692"/>
      <c r="AJ11" s="1605" t="s">
        <v>1198</v>
      </c>
      <c r="AK11" s="1606">
        <v>-5.0</v>
      </c>
      <c r="AL11" s="1606">
        <v>-4.0</v>
      </c>
      <c r="AM11" s="1606">
        <v>-3.0</v>
      </c>
      <c r="AN11" s="1606">
        <v>-2.0</v>
      </c>
      <c r="AO11" s="1606">
        <v>-2.0</v>
      </c>
      <c r="AP11" s="1606">
        <v>-2.0</v>
      </c>
      <c r="AQ11" s="1606">
        <v>-2.0</v>
      </c>
      <c r="AR11" s="1607">
        <v>-1.0</v>
      </c>
      <c r="AS11" s="1607" t="s">
        <v>1199</v>
      </c>
      <c r="AT11" s="1607">
        <v>7.0</v>
      </c>
      <c r="AU11" s="1607">
        <v>5.0</v>
      </c>
      <c r="AV11" s="1608" t="s">
        <v>2151</v>
      </c>
      <c r="AW11" s="1608" t="str">
        <f t="shared" si="1"/>
        <v>#REF!</v>
      </c>
      <c r="AX11" s="441"/>
      <c r="AY11" s="441"/>
      <c r="AZ11" s="441"/>
      <c r="BA11" s="441"/>
    </row>
    <row r="12" ht="18.75" customHeight="1">
      <c r="A12" s="441"/>
      <c r="B12" s="1443" t="s">
        <v>1212</v>
      </c>
      <c r="C12" s="1444" t="s">
        <v>1762</v>
      </c>
      <c r="D12" s="1444" t="s">
        <v>1468</v>
      </c>
      <c r="E12" s="1444" t="s">
        <v>1763</v>
      </c>
      <c r="F12" s="1444" t="s">
        <v>1766</v>
      </c>
      <c r="G12" s="1445"/>
      <c r="H12" s="1604"/>
      <c r="I12" s="1448"/>
      <c r="J12" s="1446" t="s">
        <v>1465</v>
      </c>
      <c r="K12" s="1446" t="s">
        <v>1764</v>
      </c>
      <c r="L12" s="1446" t="s">
        <v>1764</v>
      </c>
      <c r="M12" s="1448" t="s">
        <v>30</v>
      </c>
      <c r="N12" s="1448" t="s">
        <v>30</v>
      </c>
      <c r="P12" s="441"/>
      <c r="Q12" s="441"/>
      <c r="R12" s="441"/>
      <c r="S12" s="441"/>
      <c r="T12" s="1181" t="s">
        <v>1420</v>
      </c>
      <c r="U12" s="1609" t="s">
        <v>743</v>
      </c>
      <c r="V12" s="1595" t="s">
        <v>743</v>
      </c>
      <c r="W12" s="1581"/>
      <c r="X12" s="441"/>
      <c r="Y12" s="441"/>
      <c r="Z12" s="441"/>
      <c r="AA12" s="1173" t="s">
        <v>743</v>
      </c>
      <c r="AB12" s="1173" t="s">
        <v>1153</v>
      </c>
      <c r="AC12" s="1173" t="s">
        <v>743</v>
      </c>
      <c r="AD12" s="1173" t="s">
        <v>1153</v>
      </c>
      <c r="AE12" s="1173" t="s">
        <v>743</v>
      </c>
      <c r="AF12" s="1173" t="s">
        <v>1153</v>
      </c>
      <c r="AG12" s="441"/>
      <c r="AH12" s="441"/>
      <c r="AI12" s="692"/>
      <c r="AJ12" s="1605" t="s">
        <v>1204</v>
      </c>
      <c r="AK12" s="1606">
        <v>-5.0</v>
      </c>
      <c r="AL12" s="1606">
        <v>-4.0</v>
      </c>
      <c r="AM12" s="1606">
        <v>-3.0</v>
      </c>
      <c r="AN12" s="1606">
        <v>-2.0</v>
      </c>
      <c r="AO12" s="1606">
        <v>-2.0</v>
      </c>
      <c r="AP12" s="1606">
        <v>-2.0</v>
      </c>
      <c r="AQ12" s="1606">
        <v>-2.0</v>
      </c>
      <c r="AR12" s="1607">
        <v>-1.0</v>
      </c>
      <c r="AS12" s="1607" t="s">
        <v>1711</v>
      </c>
      <c r="AT12" s="1607">
        <v>7.0</v>
      </c>
      <c r="AU12" s="1607">
        <v>5.0</v>
      </c>
      <c r="AV12" s="1608" t="s">
        <v>2152</v>
      </c>
      <c r="AW12" s="1608" t="str">
        <f t="shared" si="1"/>
        <v>#REF!</v>
      </c>
      <c r="AX12" s="441"/>
      <c r="AY12" s="441"/>
      <c r="AZ12" s="441"/>
      <c r="BA12" s="441"/>
    </row>
    <row r="13" ht="18.75" customHeight="1">
      <c r="A13" s="441"/>
      <c r="B13" s="1094" t="s">
        <v>1463</v>
      </c>
      <c r="C13" s="1150">
        <f>'Портной'!C27</f>
        <v>5.8</v>
      </c>
      <c r="D13" s="1150">
        <f>'Портной'!D27</f>
        <v>15.2</v>
      </c>
      <c r="E13" s="1150">
        <f>'Портной'!E27</f>
        <v>31.6</v>
      </c>
      <c r="F13" s="1150">
        <f>'Портной'!F27</f>
        <v>121.2</v>
      </c>
      <c r="G13" s="1450"/>
      <c r="H13" s="1450"/>
      <c r="I13" s="428"/>
      <c r="J13" s="428"/>
      <c r="K13" s="428"/>
      <c r="L13" s="428"/>
      <c r="M13" s="428"/>
      <c r="N13" s="428"/>
      <c r="P13" s="441"/>
      <c r="Q13" s="441"/>
      <c r="R13" s="441"/>
      <c r="S13" s="441"/>
      <c r="T13" s="441"/>
      <c r="U13" s="441"/>
      <c r="V13" s="441"/>
      <c r="W13" s="1581"/>
      <c r="X13" s="441"/>
      <c r="Y13" s="441"/>
      <c r="Z13" s="441"/>
      <c r="AB13" s="1173" t="s">
        <v>1154</v>
      </c>
      <c r="AD13" s="1173" t="s">
        <v>1154</v>
      </c>
      <c r="AF13" s="1173" t="s">
        <v>1154</v>
      </c>
      <c r="AG13" s="441"/>
      <c r="AH13" s="441"/>
      <c r="AI13" s="692"/>
      <c r="AJ13" s="692" t="s">
        <v>227</v>
      </c>
      <c r="AK13" s="516">
        <v>0.0</v>
      </c>
      <c r="AL13" s="516">
        <v>0.0</v>
      </c>
      <c r="AM13" s="516">
        <v>0.0</v>
      </c>
      <c r="AN13" s="516">
        <v>0.0</v>
      </c>
      <c r="AO13" s="516">
        <v>0.0</v>
      </c>
      <c r="AP13" s="516">
        <v>0.0</v>
      </c>
      <c r="AQ13" s="516">
        <v>0.0</v>
      </c>
      <c r="AR13" s="516">
        <v>0.0</v>
      </c>
      <c r="AS13" s="516" t="s">
        <v>30</v>
      </c>
      <c r="AT13" s="517"/>
      <c r="AU13" s="517"/>
      <c r="AV13" s="441"/>
      <c r="AW13" s="692" t="s">
        <v>1764</v>
      </c>
      <c r="AX13" s="441"/>
      <c r="AY13" s="441"/>
      <c r="AZ13" s="441"/>
      <c r="BA13" s="441"/>
    </row>
    <row r="14" ht="20.25" customHeight="1">
      <c r="A14" s="441"/>
      <c r="B14" s="1443" t="s">
        <v>1213</v>
      </c>
      <c r="C14" s="1444" t="s">
        <v>1468</v>
      </c>
      <c r="D14" s="1444" t="s">
        <v>1763</v>
      </c>
      <c r="E14" s="1444" t="s">
        <v>1475</v>
      </c>
      <c r="F14" s="1444" t="s">
        <v>1769</v>
      </c>
      <c r="G14" s="1445"/>
      <c r="H14" s="1604"/>
      <c r="I14" s="1448"/>
      <c r="J14" s="1446" t="s">
        <v>1465</v>
      </c>
      <c r="K14" s="1446" t="s">
        <v>1764</v>
      </c>
      <c r="L14" s="1446" t="s">
        <v>1764</v>
      </c>
      <c r="M14" s="1448" t="s">
        <v>30</v>
      </c>
      <c r="N14" s="1448" t="s">
        <v>30</v>
      </c>
      <c r="P14" s="441"/>
      <c r="Q14" s="692"/>
      <c r="R14" s="441"/>
      <c r="S14" s="441"/>
      <c r="T14" s="441"/>
      <c r="U14" s="441"/>
      <c r="V14" s="441"/>
      <c r="W14" s="1581"/>
      <c r="X14" s="441"/>
      <c r="Y14" s="441"/>
      <c r="Z14" s="441"/>
      <c r="AA14" s="441"/>
      <c r="AB14" s="441"/>
      <c r="AC14" s="441"/>
      <c r="AD14" s="441"/>
      <c r="AE14" s="441"/>
      <c r="AF14" s="441"/>
      <c r="AG14" s="441"/>
      <c r="AH14" s="441"/>
      <c r="AI14" s="441"/>
      <c r="AT14" s="441"/>
      <c r="AU14" s="441"/>
      <c r="AV14" s="441"/>
      <c r="AW14" s="441"/>
      <c r="AX14" s="441"/>
      <c r="AY14" s="441"/>
      <c r="AZ14" s="441"/>
      <c r="BA14" s="441"/>
    </row>
    <row r="15" ht="20.25" customHeight="1">
      <c r="A15" s="441"/>
      <c r="B15" s="1094" t="s">
        <v>1463</v>
      </c>
      <c r="C15" s="1150">
        <f>'Портной'!C34</f>
        <v>13.2</v>
      </c>
      <c r="D15" s="1150">
        <f>'Портной'!D34</f>
        <v>30.8</v>
      </c>
      <c r="E15" s="1150">
        <f>'Портной'!E34</f>
        <v>59.2</v>
      </c>
      <c r="F15" s="1150">
        <f>'Портной'!F34</f>
        <v>165.2</v>
      </c>
      <c r="G15" s="1450"/>
      <c r="H15" s="1450"/>
      <c r="I15" s="428"/>
      <c r="J15" s="428"/>
      <c r="K15" s="428"/>
      <c r="L15" s="428"/>
      <c r="M15" s="428"/>
      <c r="N15" s="428"/>
      <c r="P15" s="441"/>
      <c r="Q15" s="441"/>
      <c r="R15" s="441"/>
      <c r="S15" s="441"/>
      <c r="T15" s="441"/>
      <c r="U15" s="441"/>
      <c r="V15" s="441"/>
      <c r="W15" s="1581"/>
      <c r="X15" s="441"/>
      <c r="Y15" s="441"/>
      <c r="Z15" s="441"/>
      <c r="AA15" s="441"/>
      <c r="AB15" s="441"/>
      <c r="AC15" s="441"/>
      <c r="AD15" s="441"/>
      <c r="AE15" s="441"/>
      <c r="AF15" s="441"/>
      <c r="AG15" s="441"/>
      <c r="AH15" s="441"/>
      <c r="AI15" s="441"/>
      <c r="AJ15" s="410" t="s">
        <v>2153</v>
      </c>
      <c r="AU15" s="441"/>
      <c r="AV15" s="441"/>
      <c r="AW15" s="441"/>
      <c r="AX15" s="441"/>
      <c r="AY15" s="441"/>
      <c r="AZ15" s="441"/>
      <c r="BA15" s="441"/>
    </row>
    <row r="16">
      <c r="A16" s="441"/>
      <c r="B16" s="1453" t="s">
        <v>1771</v>
      </c>
      <c r="C16" s="1454"/>
      <c r="D16" s="1454"/>
      <c r="E16" s="1454"/>
      <c r="F16" s="1454"/>
      <c r="G16" s="1454"/>
      <c r="H16" s="1610"/>
      <c r="I16" s="1611"/>
      <c r="J16" s="1455"/>
      <c r="K16" s="1455"/>
      <c r="L16" s="1455"/>
      <c r="M16" s="1455"/>
      <c r="N16" s="1456"/>
      <c r="P16" s="441"/>
      <c r="Q16" s="441"/>
      <c r="R16" s="441"/>
      <c r="S16" s="441"/>
      <c r="T16" s="441"/>
      <c r="U16" s="441"/>
      <c r="V16" s="441"/>
      <c r="W16" s="1581"/>
      <c r="X16" s="441"/>
      <c r="Y16" s="441"/>
      <c r="Z16" s="441"/>
      <c r="AA16" s="441"/>
      <c r="AB16" s="441"/>
      <c r="AC16" s="441"/>
      <c r="AD16" s="441"/>
      <c r="AE16" s="441"/>
      <c r="AF16" s="441"/>
      <c r="AG16" s="441"/>
      <c r="AH16" s="441"/>
      <c r="AI16" s="441"/>
      <c r="AU16" s="441"/>
      <c r="AV16" s="441"/>
      <c r="AW16" s="441"/>
      <c r="AX16" s="441"/>
      <c r="AY16" s="441"/>
      <c r="AZ16" s="441"/>
      <c r="BA16" s="441"/>
    </row>
    <row r="17">
      <c r="A17" s="441"/>
      <c r="B17" s="1457" t="s">
        <v>133</v>
      </c>
      <c r="C17" s="1458" t="s">
        <v>1459</v>
      </c>
      <c r="D17" s="1458" t="s">
        <v>1464</v>
      </c>
      <c r="E17" s="1458" t="s">
        <v>1762</v>
      </c>
      <c r="F17" s="1459"/>
      <c r="G17" s="1459"/>
      <c r="H17" s="1459"/>
      <c r="I17" s="1462"/>
      <c r="J17" s="1460" t="s">
        <v>1460</v>
      </c>
      <c r="K17" s="1460" t="s">
        <v>1764</v>
      </c>
      <c r="L17" s="1460" t="s">
        <v>1764</v>
      </c>
      <c r="M17" s="1462" t="s">
        <v>30</v>
      </c>
      <c r="N17" s="1462" t="s">
        <v>30</v>
      </c>
      <c r="P17" s="441"/>
      <c r="Q17" s="441"/>
      <c r="R17" s="441"/>
      <c r="S17" s="441"/>
      <c r="T17" s="441"/>
      <c r="U17" s="441"/>
      <c r="V17" s="441"/>
      <c r="W17" s="1581"/>
      <c r="X17" s="692" t="s">
        <v>2154</v>
      </c>
      <c r="Y17" s="441"/>
      <c r="Z17" s="441"/>
      <c r="AA17" s="441"/>
      <c r="AB17" s="441"/>
      <c r="AC17" s="441"/>
      <c r="AD17" s="441"/>
      <c r="AE17" s="441"/>
      <c r="AF17" s="441"/>
      <c r="AG17" s="1612" t="s">
        <v>2155</v>
      </c>
      <c r="AH17" s="1612" t="s">
        <v>2156</v>
      </c>
      <c r="AI17" s="441"/>
      <c r="AJ17" s="692" t="s">
        <v>2157</v>
      </c>
      <c r="AK17" s="692" t="s">
        <v>134</v>
      </c>
      <c r="AL17" s="516" t="s">
        <v>172</v>
      </c>
      <c r="AM17" s="516" t="s">
        <v>738</v>
      </c>
      <c r="AN17" s="516" t="s">
        <v>739</v>
      </c>
      <c r="AO17" s="516" t="s">
        <v>741</v>
      </c>
      <c r="AP17" s="516" t="s">
        <v>742</v>
      </c>
      <c r="AQ17" s="516" t="s">
        <v>743</v>
      </c>
      <c r="AR17" s="404" t="s">
        <v>110</v>
      </c>
      <c r="AT17" s="441"/>
      <c r="AU17" s="441"/>
      <c r="AV17" s="441"/>
      <c r="AW17" s="441"/>
      <c r="AX17" s="441"/>
      <c r="AY17" s="441"/>
      <c r="AZ17" s="441"/>
      <c r="BA17" s="441"/>
    </row>
    <row r="18">
      <c r="A18" s="441"/>
      <c r="B18" s="1449" t="s">
        <v>1463</v>
      </c>
      <c r="C18" s="1149">
        <f>'Портной'!C44</f>
        <v>2.88</v>
      </c>
      <c r="D18" s="1149">
        <f>'Портной'!D44</f>
        <v>7.92</v>
      </c>
      <c r="E18" s="1149">
        <f>'Портной'!E44</f>
        <v>17.28</v>
      </c>
      <c r="F18" s="1450"/>
      <c r="G18" s="1450"/>
      <c r="H18" s="1450"/>
      <c r="I18" s="428"/>
      <c r="J18" s="428"/>
      <c r="K18" s="428"/>
      <c r="L18" s="428"/>
      <c r="M18" s="428"/>
      <c r="N18" s="428"/>
      <c r="P18" s="441"/>
      <c r="Q18" s="441"/>
      <c r="R18" s="441"/>
      <c r="S18" s="441"/>
      <c r="T18" s="441"/>
      <c r="U18" s="441"/>
      <c r="V18" s="441"/>
      <c r="W18" s="1581"/>
      <c r="X18" s="692" t="s">
        <v>133</v>
      </c>
      <c r="Y18" s="441"/>
      <c r="Z18" s="441"/>
      <c r="AA18" s="441"/>
      <c r="AB18" s="441"/>
      <c r="AC18" s="441"/>
      <c r="AD18" s="441"/>
      <c r="AE18" s="441"/>
      <c r="AF18" s="692" t="s">
        <v>130</v>
      </c>
      <c r="AG18" s="1613" t="str">
        <f>VLOOKUP('Персонаж'!L32,'Списки'!B4:D89,3,FALSE)</f>
        <v>_</v>
      </c>
      <c r="AH18" s="1614" t="str">
        <f>IF('Персонаж'!D56="No_Shield",0,VLOOKUP('Персонаж'!D56,'Одежда, доспехи и щиты'!AJ7:AW12,13,FALSE))</f>
        <v>#N/A</v>
      </c>
      <c r="AI18" s="441"/>
      <c r="AJ18" s="1596" t="s">
        <v>1192</v>
      </c>
      <c r="AK18" s="1596" t="s">
        <v>133</v>
      </c>
      <c r="AL18" s="1615">
        <f>'Кузнец'!N101</f>
        <v>10</v>
      </c>
      <c r="AM18" s="1615">
        <f>'Кузнец'!O101</f>
        <v>15</v>
      </c>
      <c r="AN18" s="1615">
        <f>'Кузнец'!P101</f>
        <v>20</v>
      </c>
      <c r="AO18" s="1615">
        <f>'Кузнец'!Q101</f>
        <v>26</v>
      </c>
      <c r="AP18" s="1615">
        <f>'Кузнец'!R101</f>
        <v>32</v>
      </c>
      <c r="AQ18" s="1615">
        <f>'Кузнец'!S101</f>
        <v>39</v>
      </c>
      <c r="AR18" s="1479">
        <v>40.0</v>
      </c>
      <c r="AT18" s="441"/>
      <c r="AU18" s="441"/>
      <c r="AV18" s="441"/>
      <c r="AW18" s="441"/>
      <c r="AX18" s="441"/>
      <c r="AY18" s="441"/>
      <c r="AZ18" s="441"/>
      <c r="BA18" s="441"/>
    </row>
    <row r="19">
      <c r="A19" s="441"/>
      <c r="B19" s="1457" t="s">
        <v>1211</v>
      </c>
      <c r="C19" s="1458" t="s">
        <v>1464</v>
      </c>
      <c r="D19" s="1458" t="s">
        <v>1762</v>
      </c>
      <c r="E19" s="1458" t="s">
        <v>1468</v>
      </c>
      <c r="F19" s="1459"/>
      <c r="G19" s="1464"/>
      <c r="H19" s="1464"/>
      <c r="I19" s="1462"/>
      <c r="J19" s="1460" t="s">
        <v>1465</v>
      </c>
      <c r="K19" s="1460" t="s">
        <v>1764</v>
      </c>
      <c r="L19" s="1460" t="s">
        <v>1764</v>
      </c>
      <c r="M19" s="1462" t="s">
        <v>30</v>
      </c>
      <c r="N19" s="1462" t="s">
        <v>30</v>
      </c>
      <c r="P19" s="441"/>
      <c r="Q19" s="441"/>
      <c r="R19" s="441"/>
      <c r="S19" s="441"/>
      <c r="T19" s="441"/>
      <c r="U19" s="441"/>
      <c r="V19" s="441"/>
      <c r="W19" s="1581"/>
      <c r="X19" s="692" t="s">
        <v>1211</v>
      </c>
      <c r="Y19" s="441"/>
      <c r="Z19" s="441"/>
      <c r="AA19" s="441"/>
      <c r="AB19" s="441"/>
      <c r="AC19" s="441"/>
      <c r="AD19" s="441"/>
      <c r="AE19" s="441"/>
      <c r="AF19" s="441"/>
      <c r="AG19" s="441"/>
      <c r="AH19" s="441"/>
      <c r="AI19" s="441"/>
      <c r="AJ19" s="1596" t="s">
        <v>1192</v>
      </c>
      <c r="AK19" s="1596" t="s">
        <v>1211</v>
      </c>
      <c r="AL19" s="1615">
        <f>'Кузнец'!N103</f>
        <v>10</v>
      </c>
      <c r="AM19" s="1615">
        <f>'Кузнец'!O103</f>
        <v>15</v>
      </c>
      <c r="AN19" s="1615">
        <f>'Кузнец'!P103</f>
        <v>20</v>
      </c>
      <c r="AO19" s="1615">
        <f>'Кузнец'!Q103</f>
        <v>26</v>
      </c>
      <c r="AP19" s="1615">
        <f>'Кузнец'!R103</f>
        <v>32</v>
      </c>
      <c r="AQ19" s="1615">
        <f>'Кузнец'!S103</f>
        <v>39</v>
      </c>
      <c r="AR19" s="1479">
        <v>42.0</v>
      </c>
      <c r="AT19" s="441"/>
      <c r="AU19" s="441"/>
      <c r="AV19" s="441"/>
      <c r="AW19" s="441"/>
      <c r="AX19" s="441"/>
      <c r="AY19" s="441"/>
      <c r="AZ19" s="441"/>
      <c r="BA19" s="441"/>
    </row>
    <row r="20">
      <c r="A20" s="441"/>
      <c r="B20" s="1094" t="s">
        <v>1463</v>
      </c>
      <c r="C20" s="1150">
        <f>'Портной'!C53</f>
        <v>10.44</v>
      </c>
      <c r="D20" s="1150">
        <f>'Портной'!D53</f>
        <v>24.48</v>
      </c>
      <c r="E20" s="1150">
        <f>'Портной'!E53</f>
        <v>47.88</v>
      </c>
      <c r="F20" s="1150"/>
      <c r="G20" s="1450"/>
      <c r="H20" s="1450"/>
      <c r="I20" s="428"/>
      <c r="J20" s="428"/>
      <c r="K20" s="428"/>
      <c r="L20" s="428"/>
      <c r="M20" s="428"/>
      <c r="N20" s="428"/>
      <c r="P20" s="441"/>
      <c r="Q20" s="441"/>
      <c r="R20" s="441"/>
      <c r="S20" s="441"/>
      <c r="T20" s="441"/>
      <c r="U20" s="441"/>
      <c r="V20" s="441"/>
      <c r="W20" s="1581"/>
      <c r="X20" s="692" t="s">
        <v>1212</v>
      </c>
      <c r="Y20" s="441"/>
      <c r="Z20" s="441"/>
      <c r="AA20" s="441"/>
      <c r="AB20" s="441"/>
      <c r="AC20" s="441"/>
      <c r="AD20" s="441"/>
      <c r="AE20" s="441"/>
      <c r="AF20" s="441"/>
      <c r="AG20" s="441"/>
      <c r="AH20" s="441"/>
      <c r="AI20" s="441"/>
      <c r="AJ20" s="1596" t="s">
        <v>1192</v>
      </c>
      <c r="AK20" s="1596" t="s">
        <v>1212</v>
      </c>
      <c r="AL20" s="1615">
        <f>'Кузнец'!N105</f>
        <v>11</v>
      </c>
      <c r="AM20" s="1615">
        <f>'Кузнец'!O105</f>
        <v>16</v>
      </c>
      <c r="AN20" s="1615">
        <f>'Кузнец'!P105</f>
        <v>21</v>
      </c>
      <c r="AO20" s="1615">
        <f>'Кузнец'!Q105</f>
        <v>27</v>
      </c>
      <c r="AP20" s="1615">
        <f>'Кузнец'!R105</f>
        <v>33</v>
      </c>
      <c r="AQ20" s="1615">
        <f>'Кузнец'!S105</f>
        <v>40</v>
      </c>
      <c r="AR20" s="1479">
        <v>44.0</v>
      </c>
      <c r="AT20" s="441"/>
      <c r="AU20" s="441"/>
      <c r="AV20" s="441"/>
      <c r="AW20" s="441"/>
      <c r="AX20" s="441"/>
      <c r="AY20" s="441"/>
      <c r="AZ20" s="441"/>
      <c r="BA20" s="441"/>
    </row>
    <row r="21" ht="21.0" customHeight="1">
      <c r="A21" s="441"/>
      <c r="B21" s="1457" t="s">
        <v>1212</v>
      </c>
      <c r="C21" s="1458" t="s">
        <v>1762</v>
      </c>
      <c r="D21" s="1458" t="s">
        <v>1468</v>
      </c>
      <c r="E21" s="1458" t="s">
        <v>1763</v>
      </c>
      <c r="F21" s="1459"/>
      <c r="G21" s="1464"/>
      <c r="H21" s="1464"/>
      <c r="I21" s="1462"/>
      <c r="J21" s="1460" t="s">
        <v>1465</v>
      </c>
      <c r="K21" s="1460" t="s">
        <v>1764</v>
      </c>
      <c r="L21" s="1460" t="s">
        <v>1764</v>
      </c>
      <c r="M21" s="1462" t="s">
        <v>30</v>
      </c>
      <c r="N21" s="1462" t="s">
        <v>30</v>
      </c>
      <c r="P21" s="441"/>
      <c r="Q21" s="441"/>
      <c r="R21" s="441"/>
      <c r="S21" s="441"/>
      <c r="T21" s="441"/>
      <c r="U21" s="441"/>
      <c r="V21" s="441"/>
      <c r="W21" s="1581"/>
      <c r="X21" s="692" t="s">
        <v>1213</v>
      </c>
      <c r="Y21" s="441"/>
      <c r="Z21" s="441"/>
      <c r="AA21" s="441"/>
      <c r="AB21" s="441"/>
      <c r="AC21" s="441"/>
      <c r="AD21" s="441"/>
      <c r="AE21" s="441"/>
      <c r="AF21" s="441"/>
      <c r="AG21" s="441"/>
      <c r="AH21" s="441"/>
      <c r="AI21" s="441"/>
      <c r="AJ21" s="1596" t="s">
        <v>1192</v>
      </c>
      <c r="AK21" s="1596" t="s">
        <v>1213</v>
      </c>
      <c r="AL21" s="1615">
        <f>'Кузнец'!N107</f>
        <v>12</v>
      </c>
      <c r="AM21" s="1615">
        <f>'Кузнец'!O107</f>
        <v>17</v>
      </c>
      <c r="AN21" s="1615">
        <f>'Кузнец'!P107</f>
        <v>22</v>
      </c>
      <c r="AO21" s="1615">
        <f>'Кузнец'!Q107</f>
        <v>28</v>
      </c>
      <c r="AP21" s="1615">
        <f>'Кузнец'!R107</f>
        <v>34</v>
      </c>
      <c r="AQ21" s="1615">
        <f>'Кузнец'!S107</f>
        <v>41</v>
      </c>
      <c r="AR21" s="1479">
        <v>46.0</v>
      </c>
      <c r="AT21" s="441"/>
      <c r="AU21" s="441"/>
      <c r="AV21" s="441"/>
      <c r="AW21" s="441"/>
      <c r="AX21" s="441"/>
      <c r="AY21" s="441"/>
      <c r="AZ21" s="441"/>
      <c r="BA21" s="441"/>
    </row>
    <row r="22" ht="21.0" customHeight="1">
      <c r="A22" s="441"/>
      <c r="B22" s="1094" t="s">
        <v>1463</v>
      </c>
      <c r="C22" s="1150">
        <f>'Портной'!C60</f>
        <v>26.64</v>
      </c>
      <c r="D22" s="1150">
        <f>'Портной'!D60</f>
        <v>55.44</v>
      </c>
      <c r="E22" s="1150">
        <f>'Портной'!E60</f>
        <v>100.08</v>
      </c>
      <c r="F22" s="1450"/>
      <c r="G22" s="1450"/>
      <c r="H22" s="1450"/>
      <c r="I22" s="428"/>
      <c r="J22" s="428"/>
      <c r="K22" s="428"/>
      <c r="L22" s="428"/>
      <c r="M22" s="428"/>
      <c r="N22" s="428"/>
      <c r="P22" s="441"/>
      <c r="Q22" s="441"/>
      <c r="R22" s="441"/>
      <c r="S22" s="441"/>
      <c r="T22" s="441"/>
      <c r="U22" s="441"/>
      <c r="V22" s="441"/>
      <c r="W22" s="1581"/>
      <c r="X22" s="692" t="s">
        <v>30</v>
      </c>
      <c r="Y22" s="441"/>
      <c r="Z22" s="441"/>
      <c r="AA22" s="441"/>
      <c r="AB22" s="441"/>
      <c r="AC22" s="441"/>
      <c r="AD22" s="441"/>
      <c r="AE22" s="441"/>
      <c r="AF22" s="441"/>
      <c r="AG22" s="441"/>
      <c r="AH22" s="441"/>
      <c r="AI22" s="441"/>
      <c r="AJ22" s="1600" t="s">
        <v>1195</v>
      </c>
      <c r="AK22" s="1196" t="s">
        <v>133</v>
      </c>
      <c r="AL22" s="1616">
        <f>'Кузнец'!N110</f>
        <v>14</v>
      </c>
      <c r="AM22" s="1616">
        <f>'Кузнец'!O110</f>
        <v>20</v>
      </c>
      <c r="AN22" s="1616">
        <f>'Кузнец'!P110</f>
        <v>26</v>
      </c>
      <c r="AO22" s="1616">
        <f>'Кузнец'!Q110</f>
        <v>33</v>
      </c>
      <c r="AP22" s="1616">
        <f>'Кузнец'!R110</f>
        <v>40</v>
      </c>
      <c r="AQ22" s="1616">
        <f>'Кузнец'!S110</f>
        <v>48</v>
      </c>
      <c r="AR22" s="1479">
        <v>52.0</v>
      </c>
      <c r="AT22" s="441"/>
      <c r="AU22" s="441"/>
      <c r="AV22" s="441"/>
      <c r="AW22" s="441"/>
      <c r="AX22" s="441"/>
      <c r="AY22" s="441"/>
      <c r="AZ22" s="441"/>
      <c r="BA22" s="441"/>
    </row>
    <row r="23" ht="21.75" customHeight="1">
      <c r="A23" s="441"/>
      <c r="B23" s="1457" t="s">
        <v>1213</v>
      </c>
      <c r="C23" s="1458" t="s">
        <v>1468</v>
      </c>
      <c r="D23" s="1458" t="s">
        <v>1763</v>
      </c>
      <c r="E23" s="1458" t="s">
        <v>1475</v>
      </c>
      <c r="F23" s="1459"/>
      <c r="G23" s="1464"/>
      <c r="H23" s="1464"/>
      <c r="I23" s="1462"/>
      <c r="J23" s="1460" t="s">
        <v>1465</v>
      </c>
      <c r="K23" s="1460" t="s">
        <v>1764</v>
      </c>
      <c r="L23" s="1460" t="s">
        <v>1764</v>
      </c>
      <c r="M23" s="1462" t="s">
        <v>30</v>
      </c>
      <c r="N23" s="1462" t="s">
        <v>30</v>
      </c>
      <c r="P23" s="441"/>
      <c r="Q23" s="441"/>
      <c r="R23" s="441"/>
      <c r="S23" s="441"/>
      <c r="T23" s="441"/>
      <c r="U23" s="441"/>
      <c r="V23" s="441"/>
      <c r="W23" s="1581"/>
      <c r="X23" s="692"/>
      <c r="Y23" s="441"/>
      <c r="Z23" s="441"/>
      <c r="AA23" s="441"/>
      <c r="AB23" s="441"/>
      <c r="AC23" s="441"/>
      <c r="AD23" s="441"/>
      <c r="AE23" s="441"/>
      <c r="AF23" s="441"/>
      <c r="AG23" s="441"/>
      <c r="AH23" s="441"/>
      <c r="AI23" s="441"/>
      <c r="AJ23" s="1600" t="s">
        <v>1195</v>
      </c>
      <c r="AK23" s="1196" t="s">
        <v>1211</v>
      </c>
      <c r="AL23" s="1616">
        <f>'Кузнец'!N112</f>
        <v>15</v>
      </c>
      <c r="AM23" s="1616">
        <f>'Кузнец'!O112</f>
        <v>21</v>
      </c>
      <c r="AN23" s="1616">
        <f>'Кузнец'!P112</f>
        <v>27</v>
      </c>
      <c r="AO23" s="1616">
        <f>'Кузнец'!Q112</f>
        <v>34</v>
      </c>
      <c r="AP23" s="1616">
        <f>'Кузнец'!R112</f>
        <v>41</v>
      </c>
      <c r="AQ23" s="1616">
        <f>'Кузнец'!S112</f>
        <v>49</v>
      </c>
      <c r="AR23" s="1479">
        <v>55.0</v>
      </c>
      <c r="AT23" s="441"/>
      <c r="AU23" s="441"/>
      <c r="AV23" s="441"/>
      <c r="AW23" s="441"/>
      <c r="AX23" s="441"/>
      <c r="AY23" s="441"/>
      <c r="AZ23" s="441"/>
      <c r="BA23" s="441"/>
    </row>
    <row r="24" ht="21.75" customHeight="1">
      <c r="A24" s="441"/>
      <c r="B24" s="1094" t="s">
        <v>1463</v>
      </c>
      <c r="C24" s="1150">
        <f>'Портной'!C67</f>
        <v>54.72</v>
      </c>
      <c r="D24" s="1150">
        <f>'Портной'!D67</f>
        <v>105.12</v>
      </c>
      <c r="E24" s="1150">
        <f>'Портной'!E67</f>
        <v>179.28</v>
      </c>
      <c r="F24" s="1450"/>
      <c r="G24" s="1450"/>
      <c r="H24" s="1450"/>
      <c r="I24" s="428"/>
      <c r="J24" s="428"/>
      <c r="K24" s="428"/>
      <c r="L24" s="428"/>
      <c r="M24" s="428"/>
      <c r="N24" s="428"/>
      <c r="P24" s="441"/>
      <c r="Q24" s="441"/>
      <c r="R24" s="441"/>
      <c r="S24" s="441"/>
      <c r="T24" s="441"/>
      <c r="U24" s="441"/>
      <c r="V24" s="441"/>
      <c r="W24" s="1581"/>
      <c r="X24" s="692"/>
      <c r="Y24" s="441"/>
      <c r="Z24" s="441"/>
      <c r="AA24" s="441"/>
      <c r="AB24" s="441"/>
      <c r="AC24" s="441"/>
      <c r="AD24" s="441"/>
      <c r="AE24" s="441"/>
      <c r="AF24" s="441"/>
      <c r="AG24" s="441"/>
      <c r="AH24" s="441"/>
      <c r="AI24" s="441"/>
      <c r="AJ24" s="1600" t="s">
        <v>1195</v>
      </c>
      <c r="AK24" s="1196" t="s">
        <v>1212</v>
      </c>
      <c r="AL24" s="1616">
        <f>'Кузнец'!N114</f>
        <v>16</v>
      </c>
      <c r="AM24" s="1616">
        <f>'Кузнец'!O114</f>
        <v>22</v>
      </c>
      <c r="AN24" s="1616">
        <f>'Кузнец'!P114</f>
        <v>28</v>
      </c>
      <c r="AO24" s="1616">
        <f>'Кузнец'!Q114</f>
        <v>35</v>
      </c>
      <c r="AP24" s="1616">
        <f>'Кузнец'!R114</f>
        <v>42</v>
      </c>
      <c r="AQ24" s="1616">
        <f>'Кузнец'!S114</f>
        <v>50</v>
      </c>
      <c r="AR24" s="1479">
        <v>58.0</v>
      </c>
      <c r="AT24" s="441"/>
      <c r="AU24" s="441"/>
      <c r="AV24" s="441"/>
      <c r="AW24" s="441"/>
      <c r="AX24" s="441"/>
      <c r="AY24" s="441"/>
      <c r="AZ24" s="441"/>
      <c r="BA24" s="441"/>
    </row>
    <row r="25">
      <c r="A25" s="441"/>
      <c r="B25" s="1465" t="s">
        <v>1773</v>
      </c>
      <c r="C25" s="1466"/>
      <c r="D25" s="1466"/>
      <c r="E25" s="1466"/>
      <c r="F25" s="1466"/>
      <c r="G25" s="1466"/>
      <c r="H25" s="1466"/>
      <c r="I25" s="1617"/>
      <c r="J25" s="1467"/>
      <c r="K25" s="1467"/>
      <c r="L25" s="1467"/>
      <c r="M25" s="1467"/>
      <c r="N25" s="1468"/>
      <c r="P25" s="441"/>
      <c r="Q25" s="441"/>
      <c r="R25" s="441"/>
      <c r="S25" s="441"/>
      <c r="T25" s="441"/>
      <c r="U25" s="441"/>
      <c r="V25" s="441"/>
      <c r="W25" s="1581"/>
      <c r="X25" s="441"/>
      <c r="Y25" s="441"/>
      <c r="Z25" s="441"/>
      <c r="AA25" s="441"/>
      <c r="AB25" s="441"/>
      <c r="AC25" s="441"/>
      <c r="AD25" s="441"/>
      <c r="AE25" s="441"/>
      <c r="AF25" s="441"/>
      <c r="AG25" s="441"/>
      <c r="AH25" s="441"/>
      <c r="AI25" s="441"/>
      <c r="AJ25" s="1600" t="s">
        <v>1195</v>
      </c>
      <c r="AK25" s="1196" t="s">
        <v>1213</v>
      </c>
      <c r="AL25" s="1616">
        <f>'Кузнец'!N116</f>
        <v>17</v>
      </c>
      <c r="AM25" s="1616">
        <f>'Кузнец'!O116</f>
        <v>23</v>
      </c>
      <c r="AN25" s="1616">
        <f>'Кузнец'!P116</f>
        <v>29</v>
      </c>
      <c r="AO25" s="1616">
        <f>'Кузнец'!Q116</f>
        <v>36</v>
      </c>
      <c r="AP25" s="1616">
        <f>'Кузнец'!R116</f>
        <v>43</v>
      </c>
      <c r="AQ25" s="1616">
        <f>'Кузнец'!S116</f>
        <v>51</v>
      </c>
      <c r="AR25" s="1479">
        <v>61.0</v>
      </c>
      <c r="AT25" s="441"/>
      <c r="AU25" s="441"/>
      <c r="AV25" s="441"/>
      <c r="AW25" s="441"/>
      <c r="AX25" s="441"/>
      <c r="AY25" s="441"/>
      <c r="AZ25" s="441"/>
      <c r="BA25" s="441"/>
    </row>
    <row r="26">
      <c r="A26" s="441"/>
      <c r="B26" s="1469" t="s">
        <v>133</v>
      </c>
      <c r="C26" s="1470" t="s">
        <v>1468</v>
      </c>
      <c r="D26" s="1470" t="s">
        <v>1475</v>
      </c>
      <c r="E26" s="1470" t="s">
        <v>1769</v>
      </c>
      <c r="F26" s="1470" t="s">
        <v>1774</v>
      </c>
      <c r="G26" s="1470" t="s">
        <v>1775</v>
      </c>
      <c r="H26" s="1618"/>
      <c r="I26" s="1473"/>
      <c r="J26" s="1471" t="s">
        <v>1460</v>
      </c>
      <c r="K26" s="1471" t="s">
        <v>1764</v>
      </c>
      <c r="L26" s="1471" t="s">
        <v>1764</v>
      </c>
      <c r="M26" s="1473" t="s">
        <v>30</v>
      </c>
      <c r="N26" s="1473" t="s">
        <v>30</v>
      </c>
      <c r="P26" s="441"/>
      <c r="Q26" s="441"/>
      <c r="R26" s="441"/>
      <c r="S26" s="441"/>
      <c r="T26" s="441"/>
      <c r="U26" s="441"/>
      <c r="V26" s="441"/>
      <c r="W26" s="1581"/>
      <c r="X26" s="441"/>
      <c r="Y26" s="441"/>
      <c r="Z26" s="441"/>
      <c r="AA26" s="441"/>
      <c r="AB26" s="441"/>
      <c r="AC26" s="441"/>
      <c r="AD26" s="441"/>
      <c r="AE26" s="441"/>
      <c r="AF26" s="441"/>
      <c r="AG26" s="441"/>
      <c r="AH26" s="441"/>
      <c r="AI26" s="441"/>
      <c r="AJ26" s="1605" t="s">
        <v>1198</v>
      </c>
      <c r="AK26" s="1605" t="s">
        <v>133</v>
      </c>
      <c r="AL26" s="1619">
        <f>'Кузнец'!N119</f>
        <v>18</v>
      </c>
      <c r="AM26" s="1619">
        <f>'Кузнец'!O119</f>
        <v>25</v>
      </c>
      <c r="AN26" s="1619">
        <f>'Кузнец'!P119</f>
        <v>32</v>
      </c>
      <c r="AO26" s="1619">
        <f>'Кузнец'!Q119</f>
        <v>40</v>
      </c>
      <c r="AP26" s="1619">
        <f>'Кузнец'!R119</f>
        <v>48</v>
      </c>
      <c r="AQ26" s="1619">
        <f>'Кузнец'!S119</f>
        <v>57</v>
      </c>
      <c r="AR26" s="1479">
        <v>70.0</v>
      </c>
      <c r="AT26" s="441"/>
      <c r="AU26" s="441"/>
      <c r="AV26" s="441"/>
      <c r="AW26" s="441"/>
      <c r="AX26" s="441"/>
      <c r="AY26" s="441"/>
      <c r="AZ26" s="441"/>
      <c r="BA26" s="441"/>
    </row>
    <row r="27">
      <c r="A27" s="441"/>
      <c r="B27" s="1449" t="s">
        <v>1463</v>
      </c>
      <c r="C27" s="1149">
        <f>'Портной'!C77</f>
        <v>6.4</v>
      </c>
      <c r="D27" s="1149">
        <f>'Портной'!D77</f>
        <v>14.08</v>
      </c>
      <c r="E27" s="1149">
        <f>'Портной'!E77</f>
        <v>26.56</v>
      </c>
      <c r="F27" s="1149">
        <f>'Портной'!F77</f>
        <v>147.84</v>
      </c>
      <c r="G27" s="1149">
        <f>'Портной'!G77</f>
        <v>492.8</v>
      </c>
      <c r="H27" s="1450"/>
      <c r="I27" s="428"/>
      <c r="J27" s="428"/>
      <c r="K27" s="428"/>
      <c r="L27" s="428"/>
      <c r="M27" s="428"/>
      <c r="N27" s="428"/>
      <c r="P27" s="441"/>
      <c r="Q27" s="441"/>
      <c r="R27" s="441"/>
      <c r="S27" s="441"/>
      <c r="T27" s="441"/>
      <c r="U27" s="441"/>
      <c r="V27" s="441"/>
      <c r="W27" s="1581"/>
      <c r="X27" s="441"/>
      <c r="Y27" s="441"/>
      <c r="Z27" s="441"/>
      <c r="AA27" s="441"/>
      <c r="AB27" s="441"/>
      <c r="AC27" s="441"/>
      <c r="AD27" s="441"/>
      <c r="AE27" s="441"/>
      <c r="AF27" s="441"/>
      <c r="AG27" s="441"/>
      <c r="AH27" s="441"/>
      <c r="AI27" s="441"/>
      <c r="AJ27" s="1605" t="s">
        <v>1198</v>
      </c>
      <c r="AK27" s="1605" t="s">
        <v>1211</v>
      </c>
      <c r="AL27" s="1619">
        <f>'Кузнец'!N121</f>
        <v>20</v>
      </c>
      <c r="AM27" s="1619">
        <f>'Кузнец'!O121</f>
        <v>27</v>
      </c>
      <c r="AN27" s="1619">
        <f>'Кузнец'!P121</f>
        <v>34</v>
      </c>
      <c r="AO27" s="1619">
        <f>'Кузнец'!Q121</f>
        <v>42</v>
      </c>
      <c r="AP27" s="1619">
        <f>'Кузнец'!R121</f>
        <v>50</v>
      </c>
      <c r="AQ27" s="1619">
        <f>'Кузнец'!S121</f>
        <v>59</v>
      </c>
      <c r="AR27" s="1479">
        <v>74.0</v>
      </c>
      <c r="AT27" s="441"/>
      <c r="AU27" s="441"/>
      <c r="AV27" s="441"/>
      <c r="AW27" s="441"/>
      <c r="AX27" s="441"/>
      <c r="AY27" s="441"/>
      <c r="AZ27" s="441"/>
      <c r="BA27" s="441"/>
    </row>
    <row r="28">
      <c r="A28" s="441"/>
      <c r="B28" s="1469" t="s">
        <v>1211</v>
      </c>
      <c r="C28" s="1470" t="s">
        <v>1763</v>
      </c>
      <c r="D28" s="1470" t="s">
        <v>1766</v>
      </c>
      <c r="E28" s="1470" t="s">
        <v>1776</v>
      </c>
      <c r="F28" s="1470" t="s">
        <v>1777</v>
      </c>
      <c r="G28" s="1470" t="s">
        <v>1778</v>
      </c>
      <c r="H28" s="1620"/>
      <c r="I28" s="1473"/>
      <c r="J28" s="1471" t="s">
        <v>1465</v>
      </c>
      <c r="K28" s="1471" t="s">
        <v>1764</v>
      </c>
      <c r="L28" s="1471" t="s">
        <v>1764</v>
      </c>
      <c r="M28" s="1473" t="s">
        <v>30</v>
      </c>
      <c r="N28" s="1473" t="s">
        <v>30</v>
      </c>
      <c r="P28" s="441"/>
      <c r="Q28" s="441"/>
      <c r="R28" s="441"/>
      <c r="S28" s="441"/>
      <c r="T28" s="441"/>
      <c r="U28" s="441"/>
      <c r="V28" s="441"/>
      <c r="W28" s="1581"/>
      <c r="X28" s="441"/>
      <c r="Y28" s="441"/>
      <c r="Z28" s="441"/>
      <c r="AA28" s="441"/>
      <c r="AB28" s="441"/>
      <c r="AC28" s="441"/>
      <c r="AD28" s="441"/>
      <c r="AE28" s="441"/>
      <c r="AF28" s="441"/>
      <c r="AG28" s="441"/>
      <c r="AH28" s="441"/>
      <c r="AI28" s="441"/>
      <c r="AJ28" s="1605" t="s">
        <v>1198</v>
      </c>
      <c r="AK28" s="1605" t="s">
        <v>1212</v>
      </c>
      <c r="AL28" s="1619">
        <f>'Кузнец'!N123</f>
        <v>22</v>
      </c>
      <c r="AM28" s="1619">
        <f>'Кузнец'!O123</f>
        <v>29</v>
      </c>
      <c r="AN28" s="1619">
        <f>'Кузнец'!P123</f>
        <v>36</v>
      </c>
      <c r="AO28" s="1619">
        <f>'Кузнец'!Q123</f>
        <v>44</v>
      </c>
      <c r="AP28" s="1619">
        <f>'Кузнец'!R123</f>
        <v>52</v>
      </c>
      <c r="AQ28" s="1619">
        <f>'Кузнец'!S123</f>
        <v>61</v>
      </c>
      <c r="AR28" s="1479">
        <v>78.0</v>
      </c>
      <c r="AT28" s="441"/>
      <c r="AU28" s="441"/>
      <c r="AV28" s="441"/>
      <c r="AW28" s="441"/>
      <c r="AX28" s="441"/>
      <c r="AY28" s="441"/>
      <c r="AZ28" s="441"/>
      <c r="BA28" s="441"/>
    </row>
    <row r="29">
      <c r="A29" s="441"/>
      <c r="B29" s="1094" t="s">
        <v>1463</v>
      </c>
      <c r="C29" s="1150">
        <f>'Портной'!C86</f>
        <v>21.12</v>
      </c>
      <c r="D29" s="1150">
        <f>'Портной'!D86</f>
        <v>41.28</v>
      </c>
      <c r="E29" s="1150">
        <f>'Портной'!E86</f>
        <v>71.68</v>
      </c>
      <c r="F29" s="1150">
        <f>'Портной'!F86</f>
        <v>217.28</v>
      </c>
      <c r="G29" s="1150">
        <f>'Портной'!G86</f>
        <v>593.92</v>
      </c>
      <c r="H29" s="1450"/>
      <c r="I29" s="428"/>
      <c r="J29" s="428"/>
      <c r="K29" s="428"/>
      <c r="L29" s="428"/>
      <c r="M29" s="428"/>
      <c r="N29" s="428"/>
      <c r="P29" s="441"/>
      <c r="Q29" s="441"/>
      <c r="R29" s="441"/>
      <c r="S29" s="441"/>
      <c r="T29" s="441"/>
      <c r="U29" s="441"/>
      <c r="V29" s="441"/>
      <c r="W29" s="1581"/>
      <c r="X29" s="441"/>
      <c r="Y29" s="441"/>
      <c r="Z29" s="441"/>
      <c r="AA29" s="441"/>
      <c r="AB29" s="441"/>
      <c r="AC29" s="441"/>
      <c r="AD29" s="441"/>
      <c r="AE29" s="441"/>
      <c r="AF29" s="441"/>
      <c r="AG29" s="441"/>
      <c r="AH29" s="441"/>
      <c r="AI29" s="441"/>
      <c r="AJ29" s="1605" t="s">
        <v>1198</v>
      </c>
      <c r="AK29" s="1605" t="s">
        <v>1213</v>
      </c>
      <c r="AL29" s="1621">
        <f>'Кузнец'!N125</f>
        <v>24</v>
      </c>
      <c r="AM29" s="1621">
        <f>'Кузнец'!O125</f>
        <v>31</v>
      </c>
      <c r="AN29" s="1621">
        <f>'Кузнец'!P125</f>
        <v>38</v>
      </c>
      <c r="AO29" s="1621">
        <f>'Кузнец'!Q125</f>
        <v>46</v>
      </c>
      <c r="AP29" s="1621">
        <f>'Кузнец'!R125</f>
        <v>54</v>
      </c>
      <c r="AQ29" s="1621">
        <f>'Кузнец'!S125</f>
        <v>63</v>
      </c>
      <c r="AR29" s="1479">
        <v>82.0</v>
      </c>
      <c r="AT29" s="441"/>
      <c r="AU29" s="441"/>
      <c r="AV29" s="441"/>
      <c r="AW29" s="441"/>
      <c r="AX29" s="441"/>
      <c r="AY29" s="441"/>
      <c r="AZ29" s="441"/>
      <c r="BA29" s="441"/>
    </row>
    <row r="30" ht="21.0" customHeight="1">
      <c r="A30" s="441"/>
      <c r="B30" s="1469" t="s">
        <v>1212</v>
      </c>
      <c r="C30" s="1470" t="s">
        <v>1475</v>
      </c>
      <c r="D30" s="1470" t="s">
        <v>1769</v>
      </c>
      <c r="E30" s="1470" t="s">
        <v>1780</v>
      </c>
      <c r="F30" s="1470" t="s">
        <v>1775</v>
      </c>
      <c r="G30" s="1470" t="s">
        <v>1781</v>
      </c>
      <c r="H30" s="1620"/>
      <c r="I30" s="1473"/>
      <c r="J30" s="1471" t="s">
        <v>1465</v>
      </c>
      <c r="K30" s="1471" t="s">
        <v>1764</v>
      </c>
      <c r="L30" s="1471" t="s">
        <v>1764</v>
      </c>
      <c r="M30" s="1473" t="s">
        <v>30</v>
      </c>
      <c r="N30" s="1473" t="s">
        <v>30</v>
      </c>
      <c r="P30" s="441"/>
      <c r="Q30" s="441"/>
      <c r="R30" s="441"/>
      <c r="S30" s="441"/>
      <c r="T30" s="441"/>
      <c r="U30" s="441"/>
      <c r="V30" s="441"/>
      <c r="W30" s="1581"/>
      <c r="X30" s="441"/>
      <c r="Y30" s="441"/>
      <c r="Z30" s="441"/>
      <c r="AA30" s="441"/>
      <c r="AB30" s="441"/>
      <c r="AC30" s="441"/>
      <c r="AD30" s="441"/>
      <c r="AE30" s="441"/>
      <c r="AF30" s="441"/>
      <c r="AG30" s="441"/>
      <c r="AH30" s="441"/>
      <c r="AI30" s="441"/>
      <c r="AJ30" s="441"/>
      <c r="AK30" s="441"/>
      <c r="AL30" s="517"/>
      <c r="AM30" s="517"/>
      <c r="AN30" s="517"/>
      <c r="AO30" s="517"/>
      <c r="AP30" s="517"/>
      <c r="AQ30" s="517"/>
      <c r="AR30" s="517"/>
      <c r="AS30" s="441"/>
      <c r="AT30" s="441"/>
      <c r="AU30" s="441"/>
      <c r="AV30" s="441"/>
      <c r="AW30" s="441"/>
      <c r="AX30" s="441"/>
      <c r="AY30" s="441"/>
      <c r="AZ30" s="441"/>
      <c r="BA30" s="441"/>
    </row>
    <row r="31" ht="21.0" customHeight="1">
      <c r="A31" s="441"/>
      <c r="B31" s="1094" t="s">
        <v>1463</v>
      </c>
      <c r="C31" s="1150">
        <f>'Портной'!C93</f>
        <v>48.64</v>
      </c>
      <c r="D31" s="1150">
        <f>'Портной'!D93</f>
        <v>87.68</v>
      </c>
      <c r="E31" s="1150">
        <f>'Портной'!E93</f>
        <v>143.68</v>
      </c>
      <c r="F31" s="1150">
        <f>'Портной'!F93</f>
        <v>322.56</v>
      </c>
      <c r="G31" s="1150">
        <f>'Портной'!G93</f>
        <v>741.12</v>
      </c>
      <c r="H31" s="1450"/>
      <c r="I31" s="428"/>
      <c r="J31" s="428"/>
      <c r="K31" s="428"/>
      <c r="L31" s="428"/>
      <c r="M31" s="428"/>
      <c r="N31" s="428"/>
      <c r="P31" s="441"/>
      <c r="Q31" s="441"/>
      <c r="R31" s="441"/>
      <c r="S31" s="441"/>
      <c r="T31" s="441"/>
      <c r="U31" s="441"/>
      <c r="V31" s="441"/>
      <c r="W31" s="1581"/>
      <c r="X31" s="441"/>
      <c r="Y31" s="441"/>
      <c r="Z31" s="441"/>
      <c r="AA31" s="441"/>
      <c r="AB31" s="441"/>
      <c r="AC31" s="441"/>
      <c r="AD31" s="441"/>
      <c r="AE31" s="441"/>
      <c r="AF31" s="441"/>
      <c r="AG31" s="441"/>
      <c r="AH31" s="441"/>
      <c r="AI31" s="441"/>
      <c r="AJ31" s="692" t="s">
        <v>227</v>
      </c>
      <c r="AK31" s="692" t="s">
        <v>134</v>
      </c>
      <c r="AL31" s="516" t="str">
        <f>'Материалы и инструменты'!E62</f>
        <v>Орешник</v>
      </c>
      <c r="AM31" s="516" t="str">
        <f>'Материалы и инструменты'!F62</f>
        <v>Клён</v>
      </c>
      <c r="AN31" s="516" t="str">
        <f>'Материалы и инструменты'!G62</f>
        <v>Ясень</v>
      </c>
      <c r="AO31" s="516" t="str">
        <f>'Материалы и инструменты'!H62</f>
        <v>Вяз</v>
      </c>
      <c r="AP31" s="516" t="str">
        <f>'Материалы и инструменты'!I62</f>
        <v>Кедр</v>
      </c>
      <c r="AQ31" s="516" t="str">
        <f>'Материалы и инструменты'!J62</f>
        <v>Бальза</v>
      </c>
      <c r="AR31" s="516" t="str">
        <f>'Материалы и инструменты'!K62</f>
        <v>Тис</v>
      </c>
      <c r="AS31" s="404" t="s">
        <v>110</v>
      </c>
      <c r="AT31" s="441"/>
      <c r="AU31" s="441"/>
      <c r="AV31" s="441"/>
      <c r="AW31" s="441"/>
      <c r="AX31" s="441"/>
      <c r="AY31" s="441"/>
      <c r="AZ31" s="441"/>
      <c r="BA31" s="441"/>
    </row>
    <row r="32" ht="19.5" customHeight="1">
      <c r="A32" s="441"/>
      <c r="B32" s="1469" t="s">
        <v>1213</v>
      </c>
      <c r="C32" s="1470" t="s">
        <v>1766</v>
      </c>
      <c r="D32" s="1470" t="s">
        <v>1776</v>
      </c>
      <c r="E32" s="1470" t="s">
        <v>1782</v>
      </c>
      <c r="F32" s="1470" t="s">
        <v>1778</v>
      </c>
      <c r="G32" s="1470" t="s">
        <v>1783</v>
      </c>
      <c r="H32" s="1620"/>
      <c r="I32" s="1473"/>
      <c r="J32" s="1471" t="s">
        <v>1465</v>
      </c>
      <c r="K32" s="1471" t="s">
        <v>1764</v>
      </c>
      <c r="L32" s="1471" t="s">
        <v>1764</v>
      </c>
      <c r="M32" s="1473" t="s">
        <v>30</v>
      </c>
      <c r="N32" s="1473" t="s">
        <v>30</v>
      </c>
      <c r="P32" s="441"/>
      <c r="Q32" s="441"/>
      <c r="R32" s="441"/>
      <c r="S32" s="441"/>
      <c r="T32" s="441"/>
      <c r="U32" s="441"/>
      <c r="V32" s="441"/>
      <c r="W32" s="1581"/>
      <c r="X32" s="441"/>
      <c r="Y32" s="441"/>
      <c r="Z32" s="441"/>
      <c r="AA32" s="441"/>
      <c r="AB32" s="441"/>
      <c r="AC32" s="441"/>
      <c r="AD32" s="441"/>
      <c r="AE32" s="441"/>
      <c r="AF32" s="441"/>
      <c r="AG32" s="441"/>
      <c r="AH32" s="441"/>
      <c r="AI32" s="441"/>
      <c r="AJ32" s="1596" t="s">
        <v>1202</v>
      </c>
      <c r="AK32" s="1596" t="s">
        <v>133</v>
      </c>
      <c r="AL32" s="1615">
        <f>'Плотник'!N57</f>
        <v>5</v>
      </c>
      <c r="AM32" s="1615">
        <f>'Плотник'!O57</f>
        <v>7</v>
      </c>
      <c r="AN32" s="1615">
        <f>'Плотник'!P57</f>
        <v>10</v>
      </c>
      <c r="AO32" s="1615">
        <f>'Плотник'!Q57</f>
        <v>13</v>
      </c>
      <c r="AP32" s="1615">
        <f>'Плотник'!R57</f>
        <v>16</v>
      </c>
      <c r="AQ32" s="1615">
        <f>'Плотник'!S57</f>
        <v>19</v>
      </c>
      <c r="AR32" s="1615">
        <f>'Плотник'!T57</f>
        <v>20</v>
      </c>
      <c r="AS32" s="1479">
        <v>40.0</v>
      </c>
      <c r="AT32" s="441"/>
      <c r="AU32" s="441"/>
      <c r="AV32" s="441"/>
      <c r="AW32" s="441"/>
      <c r="AX32" s="441"/>
      <c r="AY32" s="441"/>
      <c r="AZ32" s="441"/>
      <c r="BA32" s="441"/>
    </row>
    <row r="33" ht="19.5" customHeight="1">
      <c r="A33" s="441"/>
      <c r="B33" s="1094" t="s">
        <v>1463</v>
      </c>
      <c r="C33" s="1150">
        <f>'Портной'!C100</f>
        <v>92.8</v>
      </c>
      <c r="D33" s="1150">
        <f>'Портной'!D100</f>
        <v>158.08</v>
      </c>
      <c r="E33" s="1150">
        <f>'Портной'!E100</f>
        <v>248.32</v>
      </c>
      <c r="F33" s="1150">
        <f>'Портной'!F100</f>
        <v>470.4</v>
      </c>
      <c r="G33" s="1150">
        <f>'Портной'!G100</f>
        <v>942.08</v>
      </c>
      <c r="H33" s="1450"/>
      <c r="I33" s="428"/>
      <c r="J33" s="428"/>
      <c r="K33" s="428"/>
      <c r="L33" s="428"/>
      <c r="M33" s="428"/>
      <c r="N33" s="428"/>
      <c r="P33" s="441"/>
      <c r="Q33" s="441"/>
      <c r="R33" s="441"/>
      <c r="S33" s="441"/>
      <c r="T33" s="441"/>
      <c r="U33" s="441"/>
      <c r="V33" s="441"/>
      <c r="W33" s="1581"/>
      <c r="X33" s="441"/>
      <c r="Y33" s="441"/>
      <c r="Z33" s="441"/>
      <c r="AA33" s="441"/>
      <c r="AB33" s="441"/>
      <c r="AC33" s="441"/>
      <c r="AD33" s="441"/>
      <c r="AE33" s="441"/>
      <c r="AF33" s="441"/>
      <c r="AG33" s="441"/>
      <c r="AH33" s="441"/>
      <c r="AI33" s="441"/>
      <c r="AJ33" s="1596" t="s">
        <v>1202</v>
      </c>
      <c r="AK33" s="1596" t="s">
        <v>1211</v>
      </c>
      <c r="AL33" s="1615">
        <f>'Плотник'!N59</f>
        <v>5</v>
      </c>
      <c r="AM33" s="1615">
        <f>'Плотник'!O59</f>
        <v>7</v>
      </c>
      <c r="AN33" s="1615">
        <f>'Плотник'!P59</f>
        <v>10</v>
      </c>
      <c r="AO33" s="1615">
        <f>'Плотник'!Q59</f>
        <v>13</v>
      </c>
      <c r="AP33" s="1615">
        <f>'Плотник'!R59</f>
        <v>16</v>
      </c>
      <c r="AQ33" s="1615">
        <f>'Плотник'!S59</f>
        <v>19</v>
      </c>
      <c r="AR33" s="1615">
        <f>'Плотник'!T59</f>
        <v>21</v>
      </c>
      <c r="AS33" s="1479">
        <v>42.0</v>
      </c>
      <c r="AT33" s="441"/>
      <c r="AU33" s="441"/>
      <c r="AV33" s="441"/>
      <c r="AW33" s="441"/>
      <c r="AX33" s="441"/>
      <c r="AY33" s="441"/>
      <c r="AZ33" s="441"/>
      <c r="BA33" s="441"/>
    </row>
    <row r="34">
      <c r="A34" s="441"/>
      <c r="B34" s="441"/>
      <c r="C34" s="441"/>
      <c r="D34" s="441"/>
      <c r="E34" s="441"/>
      <c r="F34" s="441"/>
      <c r="G34" s="441"/>
      <c r="H34" s="441"/>
      <c r="I34" s="441"/>
      <c r="J34" s="441"/>
      <c r="K34" s="441"/>
      <c r="L34" s="441"/>
      <c r="M34" s="441"/>
      <c r="N34" s="441"/>
      <c r="P34" s="441"/>
      <c r="Q34" s="441"/>
      <c r="R34" s="441"/>
      <c r="S34" s="441"/>
      <c r="T34" s="441"/>
      <c r="U34" s="441"/>
      <c r="V34" s="441"/>
      <c r="W34" s="1581"/>
      <c r="X34" s="441"/>
      <c r="Y34" s="441"/>
      <c r="Z34" s="441"/>
      <c r="AA34" s="441"/>
      <c r="AB34" s="441"/>
      <c r="AC34" s="441"/>
      <c r="AD34" s="441"/>
      <c r="AE34" s="441"/>
      <c r="AF34" s="441"/>
      <c r="AG34" s="441"/>
      <c r="AH34" s="441"/>
      <c r="AI34" s="441"/>
      <c r="AJ34" s="1596" t="s">
        <v>1202</v>
      </c>
      <c r="AK34" s="1596" t="s">
        <v>1212</v>
      </c>
      <c r="AL34" s="1615">
        <f>'Плотник'!N61</f>
        <v>5</v>
      </c>
      <c r="AM34" s="1615">
        <f>'Плотник'!O61</f>
        <v>8</v>
      </c>
      <c r="AN34" s="1615">
        <f>'Плотник'!P61</f>
        <v>10</v>
      </c>
      <c r="AO34" s="1615">
        <f>'Плотник'!Q61</f>
        <v>13</v>
      </c>
      <c r="AP34" s="1615">
        <f>'Плотник'!R61</f>
        <v>16</v>
      </c>
      <c r="AQ34" s="1615">
        <f>'Плотник'!S61</f>
        <v>20</v>
      </c>
      <c r="AR34" s="1615">
        <f>'Плотник'!T61</f>
        <v>22</v>
      </c>
      <c r="AS34" s="1479">
        <v>44.0</v>
      </c>
      <c r="AT34" s="441"/>
      <c r="AU34" s="441"/>
      <c r="AV34" s="441"/>
      <c r="AW34" s="441"/>
      <c r="AX34" s="441"/>
      <c r="AY34" s="441"/>
      <c r="AZ34" s="441"/>
      <c r="BA34" s="441"/>
    </row>
    <row r="35">
      <c r="A35" s="441"/>
      <c r="B35" s="1583" t="s">
        <v>1446</v>
      </c>
      <c r="C35" s="228"/>
      <c r="D35" s="228"/>
      <c r="E35" s="228"/>
      <c r="F35" s="228"/>
      <c r="G35" s="228"/>
      <c r="H35" s="665"/>
      <c r="I35" s="1079" t="s">
        <v>79</v>
      </c>
      <c r="J35" s="427" t="s">
        <v>176</v>
      </c>
      <c r="K35" s="427" t="s">
        <v>1447</v>
      </c>
      <c r="L35" s="427" t="s">
        <v>326</v>
      </c>
      <c r="M35" s="427" t="s">
        <v>1449</v>
      </c>
      <c r="N35" s="427" t="s">
        <v>1450</v>
      </c>
      <c r="P35" s="441"/>
      <c r="Q35" s="1622" t="s">
        <v>2158</v>
      </c>
      <c r="R35" s="1623"/>
      <c r="S35" s="1623"/>
      <c r="T35" s="1623"/>
      <c r="U35" s="1623"/>
      <c r="V35" s="1624"/>
      <c r="W35" s="1581"/>
      <c r="X35" s="441"/>
      <c r="Y35" s="441"/>
      <c r="Z35" s="441"/>
      <c r="AA35" s="441"/>
      <c r="AB35" s="441"/>
      <c r="AC35" s="441"/>
      <c r="AD35" s="441"/>
      <c r="AE35" s="441"/>
      <c r="AF35" s="441"/>
      <c r="AG35" s="441"/>
      <c r="AH35" s="441"/>
      <c r="AI35" s="441"/>
      <c r="AJ35" s="1596" t="s">
        <v>1202</v>
      </c>
      <c r="AK35" s="1596" t="s">
        <v>1213</v>
      </c>
      <c r="AL35" s="1615">
        <f>'Плотник'!N63</f>
        <v>6</v>
      </c>
      <c r="AM35" s="1615">
        <f>'Плотник'!O63</f>
        <v>8</v>
      </c>
      <c r="AN35" s="1615">
        <f>'Плотник'!P63</f>
        <v>11</v>
      </c>
      <c r="AO35" s="1615">
        <f>'Плотник'!Q63</f>
        <v>14</v>
      </c>
      <c r="AP35" s="1615">
        <f>'Плотник'!R63</f>
        <v>17</v>
      </c>
      <c r="AQ35" s="1615">
        <f>'Плотник'!S63</f>
        <v>20</v>
      </c>
      <c r="AR35" s="1615">
        <f>'Плотник'!T63</f>
        <v>23</v>
      </c>
      <c r="AS35" s="1479">
        <v>46.0</v>
      </c>
      <c r="AT35" s="441"/>
      <c r="AU35" s="441"/>
      <c r="AV35" s="441"/>
      <c r="AW35" s="441"/>
      <c r="AX35" s="441"/>
      <c r="AY35" s="441"/>
      <c r="AZ35" s="441"/>
      <c r="BA35" s="441"/>
    </row>
    <row r="36">
      <c r="A36" s="441"/>
      <c r="B36" s="1080" t="s">
        <v>1428</v>
      </c>
      <c r="C36" s="1081"/>
      <c r="D36" s="1081"/>
      <c r="E36" s="1081"/>
      <c r="F36" s="1081"/>
      <c r="G36" s="1081"/>
      <c r="H36" s="1081"/>
      <c r="I36" s="1081"/>
      <c r="J36" s="1081"/>
      <c r="K36" s="1081"/>
      <c r="L36" s="1081"/>
      <c r="M36" s="1081"/>
      <c r="N36" s="1082"/>
      <c r="P36" s="441"/>
      <c r="Q36" s="1625"/>
      <c r="R36" s="1625"/>
      <c r="S36" s="1625"/>
      <c r="T36" s="1625"/>
      <c r="U36" s="1625"/>
      <c r="V36" s="1625"/>
      <c r="W36" s="1581"/>
      <c r="X36" s="441"/>
      <c r="Y36" s="441"/>
      <c r="Z36" s="441"/>
      <c r="AA36" s="441"/>
      <c r="AB36" s="441"/>
      <c r="AC36" s="441"/>
      <c r="AD36" s="441"/>
      <c r="AE36" s="441"/>
      <c r="AF36" s="441"/>
      <c r="AG36" s="441"/>
      <c r="AH36" s="441"/>
      <c r="AI36" s="441"/>
      <c r="AJ36" s="1600" t="s">
        <v>1203</v>
      </c>
      <c r="AK36" s="1196" t="s">
        <v>133</v>
      </c>
      <c r="AL36" s="1616">
        <f>'Плотник'!N67</f>
        <v>7</v>
      </c>
      <c r="AM36" s="1616">
        <f>'Плотник'!O67</f>
        <v>10</v>
      </c>
      <c r="AN36" s="1616">
        <f>'Плотник'!P67</f>
        <v>13</v>
      </c>
      <c r="AO36" s="1616">
        <f>'Плотник'!Q67</f>
        <v>16</v>
      </c>
      <c r="AP36" s="1616">
        <f>'Плотник'!R67</f>
        <v>20</v>
      </c>
      <c r="AQ36" s="1616">
        <f>'Плотник'!S67</f>
        <v>24</v>
      </c>
      <c r="AR36" s="1616">
        <f>'Плотник'!T67</f>
        <v>26</v>
      </c>
      <c r="AS36" s="1479">
        <v>52.0</v>
      </c>
      <c r="AT36" s="441"/>
      <c r="AU36" s="441"/>
      <c r="AV36" s="441"/>
      <c r="AW36" s="441"/>
      <c r="AX36" s="441"/>
      <c r="AY36" s="441"/>
      <c r="AZ36" s="441"/>
      <c r="BA36" s="441"/>
    </row>
    <row r="37" ht="15.0" customHeight="1">
      <c r="A37" s="1626"/>
      <c r="B37" s="1083" t="s">
        <v>1451</v>
      </c>
      <c r="C37" s="1084" t="s">
        <v>1431</v>
      </c>
      <c r="D37" s="1084" t="s">
        <v>1418</v>
      </c>
      <c r="E37" s="1084" t="s">
        <v>1432</v>
      </c>
      <c r="F37" s="1084" t="s">
        <v>1419</v>
      </c>
      <c r="G37" s="1084" t="s">
        <v>1433</v>
      </c>
      <c r="H37" s="1085" t="s">
        <v>1420</v>
      </c>
      <c r="I37" s="1086"/>
      <c r="J37" s="1086"/>
      <c r="K37" s="1086"/>
      <c r="L37" s="1086"/>
      <c r="M37" s="1086"/>
      <c r="N37" s="1086"/>
      <c r="P37" s="1426"/>
      <c r="Q37" s="1627"/>
      <c r="R37" s="1628" t="s">
        <v>1384</v>
      </c>
      <c r="S37" s="1628" t="s">
        <v>2159</v>
      </c>
      <c r="T37" s="1628" t="s">
        <v>2160</v>
      </c>
      <c r="U37" s="1628" t="s">
        <v>37</v>
      </c>
      <c r="V37" s="1629" t="s">
        <v>2161</v>
      </c>
      <c r="W37" s="1581"/>
      <c r="X37" s="441"/>
      <c r="Y37" s="441"/>
      <c r="Z37" s="441"/>
      <c r="AJ37" s="1600" t="s">
        <v>1203</v>
      </c>
      <c r="AK37" s="1196" t="s">
        <v>1211</v>
      </c>
      <c r="AL37" s="1616">
        <f>'Плотник'!N69</f>
        <v>7</v>
      </c>
      <c r="AM37" s="1616">
        <f>'Плотник'!O69</f>
        <v>10</v>
      </c>
      <c r="AN37" s="1616">
        <f>'Плотник'!P69</f>
        <v>13</v>
      </c>
      <c r="AO37" s="1616">
        <f>'Плотник'!Q69</f>
        <v>17</v>
      </c>
      <c r="AP37" s="1616">
        <f>'Плотник'!R69</f>
        <v>20</v>
      </c>
      <c r="AQ37" s="1616">
        <f>'Плотник'!S69</f>
        <v>24</v>
      </c>
      <c r="AR37" s="1616">
        <f>'Плотник'!T69</f>
        <v>27</v>
      </c>
      <c r="AS37" s="1479">
        <v>55.0</v>
      </c>
      <c r="AT37" s="441"/>
      <c r="AU37" s="441"/>
      <c r="AV37" s="441"/>
      <c r="AW37" s="441"/>
      <c r="AX37" s="441"/>
      <c r="AY37" s="441"/>
      <c r="AZ37" s="441"/>
      <c r="BA37" s="441"/>
    </row>
    <row r="38" ht="15.0" customHeight="1">
      <c r="A38" s="441"/>
      <c r="B38" s="1087" t="s">
        <v>133</v>
      </c>
      <c r="C38" s="1088" t="s">
        <v>1453</v>
      </c>
      <c r="D38" s="1088" t="s">
        <v>1454</v>
      </c>
      <c r="E38" s="1088" t="s">
        <v>1455</v>
      </c>
      <c r="F38" s="1088" t="s">
        <v>1456</v>
      </c>
      <c r="G38" s="1088" t="s">
        <v>1457</v>
      </c>
      <c r="H38" s="1089" t="s">
        <v>1458</v>
      </c>
      <c r="I38" s="1090" t="s">
        <v>1459</v>
      </c>
      <c r="J38" s="1091" t="s">
        <v>1460</v>
      </c>
      <c r="K38" s="1092">
        <v>11.0</v>
      </c>
      <c r="L38" s="1090" t="s">
        <v>1657</v>
      </c>
      <c r="M38" s="1093" t="s">
        <v>30</v>
      </c>
      <c r="N38" s="1093" t="s">
        <v>30</v>
      </c>
      <c r="P38" s="1426"/>
      <c r="Q38" s="1630" t="s">
        <v>2162</v>
      </c>
      <c r="R38" s="1631">
        <v>0.43749999999999994</v>
      </c>
      <c r="S38" s="1631">
        <v>0.18749999999999997</v>
      </c>
      <c r="T38" s="1631">
        <v>0.18749999999999997</v>
      </c>
      <c r="U38" s="1631">
        <v>0.18749999999999997</v>
      </c>
      <c r="V38" s="1632"/>
      <c r="W38" s="1581"/>
      <c r="X38" s="441"/>
      <c r="Y38" s="441"/>
      <c r="Z38" s="441"/>
      <c r="AJ38" s="1600" t="s">
        <v>1203</v>
      </c>
      <c r="AK38" s="1196" t="s">
        <v>1212</v>
      </c>
      <c r="AL38" s="1616">
        <f>'Плотник'!N71</f>
        <v>8</v>
      </c>
      <c r="AM38" s="1616">
        <f>'Плотник'!O71</f>
        <v>11</v>
      </c>
      <c r="AN38" s="1616">
        <f>'Плотник'!P71</f>
        <v>14</v>
      </c>
      <c r="AO38" s="1616">
        <f>'Плотник'!Q71</f>
        <v>17</v>
      </c>
      <c r="AP38" s="1616">
        <f>'Плотник'!R71</f>
        <v>21</v>
      </c>
      <c r="AQ38" s="1616">
        <f>'Плотник'!S71</f>
        <v>25</v>
      </c>
      <c r="AR38" s="1616">
        <f>'Плотник'!T71</f>
        <v>29</v>
      </c>
      <c r="AS38" s="1479">
        <v>58.0</v>
      </c>
      <c r="AT38" s="441"/>
      <c r="AU38" s="441"/>
      <c r="AV38" s="441"/>
      <c r="AW38" s="441"/>
      <c r="AX38" s="441"/>
      <c r="AY38" s="441"/>
      <c r="AZ38" s="441"/>
      <c r="BA38" s="441"/>
    </row>
    <row r="39" ht="15.0" customHeight="1">
      <c r="A39" s="441"/>
      <c r="B39" s="1094" t="s">
        <v>1463</v>
      </c>
      <c r="C39" s="1095">
        <f>'Кожевник'!C19</f>
        <v>1.1</v>
      </c>
      <c r="D39" s="1095">
        <f>'Кожевник'!D19</f>
        <v>6.4</v>
      </c>
      <c r="E39" s="1095">
        <f>'Кожевник'!E19</f>
        <v>11.7</v>
      </c>
      <c r="F39" s="1095">
        <f>'Кожевник'!F19</f>
        <v>75.2</v>
      </c>
      <c r="G39" s="1095">
        <f>'Кожевник'!G19</f>
        <v>211.9</v>
      </c>
      <c r="H39" s="1095">
        <f>'Кожевник'!H19</f>
        <v>612</v>
      </c>
      <c r="I39" s="428"/>
      <c r="J39" s="428"/>
      <c r="K39" s="428"/>
      <c r="L39" s="428"/>
      <c r="M39" s="428"/>
      <c r="N39" s="428"/>
      <c r="P39" s="1426"/>
      <c r="Q39" s="1427" t="s">
        <v>2163</v>
      </c>
      <c r="R39" s="1633">
        <f t="shared" ref="R39:U39" si="2">$V$39*R38</f>
        <v>0.2625</v>
      </c>
      <c r="S39" s="1633">
        <f t="shared" si="2"/>
        <v>0.1125</v>
      </c>
      <c r="T39" s="1633">
        <f t="shared" si="2"/>
        <v>0.1125</v>
      </c>
      <c r="U39" s="1633">
        <f t="shared" si="2"/>
        <v>0.1125</v>
      </c>
      <c r="V39" s="1634">
        <f>C9</f>
        <v>0.6</v>
      </c>
      <c r="W39" s="1581"/>
      <c r="X39" s="441"/>
      <c r="Y39" s="441"/>
      <c r="Z39" s="441"/>
      <c r="AA39" s="441"/>
      <c r="AB39" s="441"/>
      <c r="AC39" s="441"/>
      <c r="AD39" s="441"/>
      <c r="AE39" s="441"/>
      <c r="AF39" s="441"/>
      <c r="AG39" s="441"/>
      <c r="AH39" s="441"/>
      <c r="AI39" s="441"/>
      <c r="AJ39" s="1600" t="s">
        <v>1203</v>
      </c>
      <c r="AK39" s="1196" t="s">
        <v>1213</v>
      </c>
      <c r="AL39" s="1616">
        <f>'Плотник'!N73</f>
        <v>8</v>
      </c>
      <c r="AM39" s="1616">
        <f>'Плотник'!O73</f>
        <v>11</v>
      </c>
      <c r="AN39" s="1616">
        <f>'Плотник'!P73</f>
        <v>14</v>
      </c>
      <c r="AO39" s="1616">
        <f>'Плотник'!Q73</f>
        <v>18</v>
      </c>
      <c r="AP39" s="1616">
        <f>'Плотник'!R73</f>
        <v>21</v>
      </c>
      <c r="AQ39" s="1616">
        <f>'Плотник'!S73</f>
        <v>25</v>
      </c>
      <c r="AR39" s="1616">
        <f>'Плотник'!T73</f>
        <v>30</v>
      </c>
      <c r="AS39" s="1479">
        <v>61.0</v>
      </c>
      <c r="AT39" s="441"/>
      <c r="AU39" s="441"/>
      <c r="AV39" s="441"/>
      <c r="AW39" s="441"/>
      <c r="AX39" s="441"/>
      <c r="AY39" s="441"/>
      <c r="AZ39" s="441"/>
      <c r="BA39" s="441"/>
    </row>
    <row r="40" ht="15.0" customHeight="1">
      <c r="A40" s="441"/>
      <c r="B40" s="1087" t="s">
        <v>1211</v>
      </c>
      <c r="C40" s="1088" t="s">
        <v>1453</v>
      </c>
      <c r="D40" s="1088" t="s">
        <v>1454</v>
      </c>
      <c r="E40" s="1088" t="s">
        <v>1455</v>
      </c>
      <c r="F40" s="1088" t="s">
        <v>1456</v>
      </c>
      <c r="G40" s="1088" t="s">
        <v>1457</v>
      </c>
      <c r="H40" s="1089" t="s">
        <v>1458</v>
      </c>
      <c r="I40" s="1090" t="s">
        <v>1464</v>
      </c>
      <c r="J40" s="1091" t="s">
        <v>1465</v>
      </c>
      <c r="K40" s="1092">
        <v>12.0</v>
      </c>
      <c r="L40" s="1090" t="s">
        <v>1657</v>
      </c>
      <c r="M40" s="1093" t="s">
        <v>30</v>
      </c>
      <c r="N40" s="1093" t="s">
        <v>30</v>
      </c>
      <c r="P40" s="1426"/>
      <c r="Q40" s="1006" t="s">
        <v>1484</v>
      </c>
      <c r="R40" s="1635">
        <v>4.0</v>
      </c>
      <c r="S40" s="1635">
        <v>2.0</v>
      </c>
      <c r="T40" s="1635">
        <v>2.0</v>
      </c>
      <c r="U40" s="1635">
        <v>2.0</v>
      </c>
      <c r="V40" s="1636" t="str">
        <f>#REF!</f>
        <v>#REF!</v>
      </c>
      <c r="W40" s="1581"/>
      <c r="X40" s="441"/>
      <c r="Y40" s="441"/>
      <c r="Z40" s="441"/>
      <c r="AA40" s="441"/>
      <c r="AB40" s="441"/>
      <c r="AC40" s="441"/>
      <c r="AD40" s="441"/>
      <c r="AE40" s="441"/>
      <c r="AF40" s="441"/>
      <c r="AG40" s="441"/>
      <c r="AH40" s="441"/>
      <c r="AI40" s="441"/>
      <c r="AJ40" s="1605" t="s">
        <v>1204</v>
      </c>
      <c r="AK40" s="1605" t="s">
        <v>133</v>
      </c>
      <c r="AL40" s="1619">
        <f>'Плотник'!N77</f>
        <v>9</v>
      </c>
      <c r="AM40" s="1619">
        <f>'Плотник'!O77</f>
        <v>12</v>
      </c>
      <c r="AN40" s="1619">
        <f>'Плотник'!P77</f>
        <v>16</v>
      </c>
      <c r="AO40" s="1619">
        <f>'Плотник'!Q77</f>
        <v>20</v>
      </c>
      <c r="AP40" s="1619">
        <f>'Плотник'!R77</f>
        <v>24</v>
      </c>
      <c r="AQ40" s="1619">
        <f>'Плотник'!S77</f>
        <v>28</v>
      </c>
      <c r="AR40" s="1619">
        <f>'Плотник'!T77</f>
        <v>35</v>
      </c>
      <c r="AS40" s="1479">
        <v>70.0</v>
      </c>
      <c r="AT40" s="692"/>
      <c r="AU40" s="441"/>
      <c r="AV40" s="441"/>
      <c r="AW40" s="441"/>
      <c r="AX40" s="441"/>
      <c r="AY40" s="441"/>
      <c r="AZ40" s="441"/>
      <c r="BA40" s="441"/>
    </row>
    <row r="41" ht="15.0" customHeight="1">
      <c r="A41" s="441"/>
      <c r="B41" s="1094" t="s">
        <v>1463</v>
      </c>
      <c r="C41" s="1096">
        <f>'Кожевник'!C28</f>
        <v>3.2</v>
      </c>
      <c r="D41" s="1096">
        <f>'Кожевник'!D28</f>
        <v>12</v>
      </c>
      <c r="E41" s="1096">
        <f>'Кожевник'!E28</f>
        <v>23.2</v>
      </c>
      <c r="F41" s="1096">
        <f>'Кожевник'!F28</f>
        <v>95.6</v>
      </c>
      <c r="G41" s="1096">
        <f>'Кожевник'!G28</f>
        <v>244.8</v>
      </c>
      <c r="H41" s="1096">
        <f>'Кожевник'!H28</f>
        <v>661.6</v>
      </c>
      <c r="I41" s="428"/>
      <c r="J41" s="428"/>
      <c r="K41" s="428"/>
      <c r="L41" s="428"/>
      <c r="M41" s="428"/>
      <c r="N41" s="428"/>
      <c r="P41" s="1426"/>
      <c r="Q41" s="1637" t="s">
        <v>2164</v>
      </c>
      <c r="R41" s="1638">
        <f t="shared" ref="R41:U41" si="3">$V$41*R38</f>
        <v>0.48125</v>
      </c>
      <c r="S41" s="1638">
        <f t="shared" si="3"/>
        <v>0.20625</v>
      </c>
      <c r="T41" s="1638">
        <f t="shared" si="3"/>
        <v>0.20625</v>
      </c>
      <c r="U41" s="1638">
        <f t="shared" si="3"/>
        <v>0.20625</v>
      </c>
      <c r="V41" s="1639">
        <f>C39</f>
        <v>1.1</v>
      </c>
      <c r="W41" s="1581"/>
      <c r="X41" s="441"/>
      <c r="Y41" s="441"/>
      <c r="Z41" s="441"/>
      <c r="AA41" s="441"/>
      <c r="AB41" s="441"/>
      <c r="AC41" s="441"/>
      <c r="AD41" s="441"/>
      <c r="AE41" s="441"/>
      <c r="AF41" s="441"/>
      <c r="AG41" s="441"/>
      <c r="AH41" s="441"/>
      <c r="AI41" s="441"/>
      <c r="AJ41" s="1605" t="s">
        <v>1204</v>
      </c>
      <c r="AK41" s="1605" t="s">
        <v>1211</v>
      </c>
      <c r="AL41" s="1619">
        <f>'Плотник'!N79</f>
        <v>10</v>
      </c>
      <c r="AM41" s="1619">
        <f>'Плотник'!O79</f>
        <v>13</v>
      </c>
      <c r="AN41" s="1619">
        <f>'Плотник'!P79</f>
        <v>17</v>
      </c>
      <c r="AO41" s="1619">
        <f>'Плотник'!Q79</f>
        <v>21</v>
      </c>
      <c r="AP41" s="1619">
        <f>'Плотник'!R79</f>
        <v>25</v>
      </c>
      <c r="AQ41" s="1619">
        <f>'Плотник'!S79</f>
        <v>29</v>
      </c>
      <c r="AR41" s="1619">
        <f>'Плотник'!T79</f>
        <v>37</v>
      </c>
      <c r="AS41" s="1479">
        <v>74.0</v>
      </c>
      <c r="AT41" s="441"/>
      <c r="AU41" s="441"/>
      <c r="AV41" s="441"/>
      <c r="AW41" s="441"/>
      <c r="AX41" s="441"/>
      <c r="AY41" s="441"/>
      <c r="AZ41" s="441"/>
      <c r="BA41" s="441"/>
    </row>
    <row r="42" ht="20.25" customHeight="1">
      <c r="A42" s="441"/>
      <c r="B42" s="1087" t="s">
        <v>1212</v>
      </c>
      <c r="C42" s="1088" t="s">
        <v>1453</v>
      </c>
      <c r="D42" s="1088" t="s">
        <v>1454</v>
      </c>
      <c r="E42" s="1088" t="s">
        <v>1455</v>
      </c>
      <c r="F42" s="1088" t="s">
        <v>1456</v>
      </c>
      <c r="G42" s="1088" t="s">
        <v>1457</v>
      </c>
      <c r="H42" s="1089" t="s">
        <v>1458</v>
      </c>
      <c r="I42" s="1090" t="s">
        <v>1468</v>
      </c>
      <c r="J42" s="1091" t="s">
        <v>1465</v>
      </c>
      <c r="K42" s="1092">
        <v>13.0</v>
      </c>
      <c r="L42" s="1090" t="s">
        <v>1657</v>
      </c>
      <c r="M42" s="1093" t="s">
        <v>30</v>
      </c>
      <c r="N42" s="1093" t="s">
        <v>30</v>
      </c>
      <c r="P42" s="1426"/>
      <c r="Q42" s="1006" t="s">
        <v>1484</v>
      </c>
      <c r="R42" s="1635">
        <v>4.0</v>
      </c>
      <c r="S42" s="1635">
        <v>2.0</v>
      </c>
      <c r="T42" s="1635">
        <v>2.0</v>
      </c>
      <c r="U42" s="1635">
        <v>2.0</v>
      </c>
      <c r="V42" s="1636">
        <f>SUM(R42:U42)</f>
        <v>10</v>
      </c>
      <c r="W42" s="1581"/>
      <c r="X42" s="441"/>
      <c r="Y42" s="441"/>
      <c r="Z42" s="441"/>
      <c r="AA42" s="441"/>
      <c r="AB42" s="441"/>
      <c r="AC42" s="441"/>
      <c r="AD42" s="441"/>
      <c r="AE42" s="441"/>
      <c r="AF42" s="441"/>
      <c r="AG42" s="441"/>
      <c r="AH42" s="441"/>
      <c r="AI42" s="441"/>
      <c r="AJ42" s="1605" t="s">
        <v>1204</v>
      </c>
      <c r="AK42" s="1605" t="s">
        <v>1212</v>
      </c>
      <c r="AL42" s="1619">
        <f>'Плотник'!N81</f>
        <v>11</v>
      </c>
      <c r="AM42" s="1619">
        <f>'Плотник'!O81</f>
        <v>14</v>
      </c>
      <c r="AN42" s="1619">
        <f>'Плотник'!P81</f>
        <v>18</v>
      </c>
      <c r="AO42" s="1619">
        <f>'Плотник'!Q81</f>
        <v>22</v>
      </c>
      <c r="AP42" s="1619">
        <f>'Плотник'!R81</f>
        <v>26</v>
      </c>
      <c r="AQ42" s="1619">
        <f>'Плотник'!S81</f>
        <v>30</v>
      </c>
      <c r="AR42" s="1619">
        <f>'Плотник'!T81</f>
        <v>39</v>
      </c>
      <c r="AS42" s="1479">
        <v>78.0</v>
      </c>
      <c r="AT42" s="441"/>
      <c r="AU42" s="441"/>
      <c r="AV42" s="441"/>
      <c r="AW42" s="441"/>
      <c r="AX42" s="441"/>
      <c r="AY42" s="441"/>
      <c r="AZ42" s="441"/>
      <c r="BA42" s="441"/>
    </row>
    <row r="43" ht="20.25" customHeight="1">
      <c r="A43" s="441"/>
      <c r="B43" s="1094" t="s">
        <v>1463</v>
      </c>
      <c r="C43" s="1096">
        <f>'Кожевник'!C35</f>
        <v>8.9</v>
      </c>
      <c r="D43" s="1096">
        <f>'Кожевник'!D35</f>
        <v>24</v>
      </c>
      <c r="E43" s="1096">
        <f>'Кожевник'!E35</f>
        <v>44.7</v>
      </c>
      <c r="F43" s="1096">
        <f>'Кожевник'!F35</f>
        <v>130.4</v>
      </c>
      <c r="G43" s="1096">
        <f>'Кожевник'!G35</f>
        <v>297.3</v>
      </c>
      <c r="H43" s="1096">
        <f>'Кожевник'!H35</f>
        <v>736.8</v>
      </c>
      <c r="I43" s="428"/>
      <c r="J43" s="428"/>
      <c r="K43" s="428"/>
      <c r="L43" s="428"/>
      <c r="M43" s="428"/>
      <c r="N43" s="428"/>
      <c r="P43" s="1426"/>
      <c r="Q43" s="1640" t="s">
        <v>2165</v>
      </c>
      <c r="R43" s="1641">
        <f t="shared" ref="R43:U43" si="4">$V$43*R38</f>
        <v>4.4625</v>
      </c>
      <c r="S43" s="1641">
        <f t="shared" si="4"/>
        <v>1.9125</v>
      </c>
      <c r="T43" s="1641">
        <f t="shared" si="4"/>
        <v>1.9125</v>
      </c>
      <c r="U43" s="1641">
        <f t="shared" si="4"/>
        <v>1.9125</v>
      </c>
      <c r="V43" s="1642">
        <f>C49</f>
        <v>10.2</v>
      </c>
      <c r="W43" s="1581"/>
      <c r="X43" s="441"/>
      <c r="Y43" s="441"/>
      <c r="Z43" s="441"/>
      <c r="AA43" s="441"/>
      <c r="AB43" s="441"/>
      <c r="AC43" s="441"/>
      <c r="AD43" s="441"/>
      <c r="AE43" s="441"/>
      <c r="AF43" s="441"/>
      <c r="AG43" s="441"/>
      <c r="AH43" s="441"/>
      <c r="AI43" s="441"/>
      <c r="AJ43" s="1605" t="s">
        <v>1204</v>
      </c>
      <c r="AK43" s="1605" t="s">
        <v>1213</v>
      </c>
      <c r="AL43" s="1621">
        <f>'Плотник'!N83</f>
        <v>12</v>
      </c>
      <c r="AM43" s="1621">
        <f>'Плотник'!O83</f>
        <v>15</v>
      </c>
      <c r="AN43" s="1621">
        <f>'Плотник'!P83</f>
        <v>19</v>
      </c>
      <c r="AO43" s="1621">
        <f>'Плотник'!Q83</f>
        <v>23</v>
      </c>
      <c r="AP43" s="1621">
        <f>'Плотник'!R83</f>
        <v>27</v>
      </c>
      <c r="AQ43" s="1621">
        <f>'Плотник'!S83</f>
        <v>31</v>
      </c>
      <c r="AR43" s="1621">
        <f>'Плотник'!T83</f>
        <v>41</v>
      </c>
      <c r="AS43" s="1479">
        <v>82.0</v>
      </c>
      <c r="AT43" s="441"/>
      <c r="AU43" s="441"/>
      <c r="AV43" s="441"/>
      <c r="AW43" s="441"/>
      <c r="AX43" s="441"/>
      <c r="AY43" s="441"/>
      <c r="AZ43" s="441"/>
      <c r="BA43" s="441"/>
    </row>
    <row r="44" ht="18.75" customHeight="1">
      <c r="A44" s="441"/>
      <c r="B44" s="1087" t="s">
        <v>1213</v>
      </c>
      <c r="C44" s="1088" t="s">
        <v>1454</v>
      </c>
      <c r="D44" s="1088" t="s">
        <v>1455</v>
      </c>
      <c r="E44" s="1088" t="s">
        <v>1471</v>
      </c>
      <c r="F44" s="1088" t="s">
        <v>1472</v>
      </c>
      <c r="G44" s="1088" t="s">
        <v>1473</v>
      </c>
      <c r="H44" s="1089" t="s">
        <v>1474</v>
      </c>
      <c r="I44" s="1090" t="s">
        <v>1475</v>
      </c>
      <c r="J44" s="1091" t="s">
        <v>1465</v>
      </c>
      <c r="K44" s="1092">
        <v>14.0</v>
      </c>
      <c r="L44" s="1090" t="s">
        <v>2166</v>
      </c>
      <c r="M44" s="1093" t="s">
        <v>30</v>
      </c>
      <c r="N44" s="1093" t="s">
        <v>30</v>
      </c>
      <c r="P44" s="1426"/>
      <c r="Q44" s="1006" t="s">
        <v>1484</v>
      </c>
      <c r="R44" s="1635">
        <v>6.0</v>
      </c>
      <c r="S44" s="1635">
        <v>3.0</v>
      </c>
      <c r="T44" s="1635">
        <v>3.0</v>
      </c>
      <c r="U44" s="1635">
        <v>3.0</v>
      </c>
      <c r="V44" s="1636">
        <f>SUM(R44:U44)</f>
        <v>15</v>
      </c>
      <c r="W44" s="1581"/>
      <c r="X44" s="441"/>
      <c r="Y44" s="441"/>
      <c r="Z44" s="441"/>
      <c r="AA44" s="441"/>
      <c r="AB44" s="441"/>
      <c r="AC44" s="441"/>
      <c r="AD44" s="441"/>
      <c r="AE44" s="441"/>
      <c r="AF44" s="441"/>
      <c r="AG44" s="441"/>
      <c r="AH44" s="441"/>
      <c r="AI44" s="441"/>
      <c r="AT44" s="441"/>
      <c r="AU44" s="441"/>
      <c r="AV44" s="441"/>
      <c r="AW44" s="441"/>
      <c r="AX44" s="441"/>
      <c r="AY44" s="441"/>
      <c r="AZ44" s="441"/>
      <c r="BA44" s="441"/>
    </row>
    <row r="45" ht="18.75" customHeight="1">
      <c r="A45" s="441"/>
      <c r="B45" s="1094" t="s">
        <v>1463</v>
      </c>
      <c r="C45" s="1096">
        <f>'Кожевник'!C42</f>
        <v>20</v>
      </c>
      <c r="D45" s="1096">
        <f>'Кожевник'!D42</f>
        <v>44.8</v>
      </c>
      <c r="E45" s="1096">
        <f>'Кожевник'!E42</f>
        <v>79.2</v>
      </c>
      <c r="F45" s="1096">
        <f>'Кожевник'!F42</f>
        <v>183.2</v>
      </c>
      <c r="G45" s="1096">
        <f>'Кожевник'!G42</f>
        <v>373.6</v>
      </c>
      <c r="H45" s="1096">
        <f>'Кожевник'!H42</f>
        <v>842.4</v>
      </c>
      <c r="I45" s="428"/>
      <c r="J45" s="428"/>
      <c r="K45" s="428"/>
      <c r="L45" s="428"/>
      <c r="M45" s="428"/>
      <c r="N45" s="428"/>
      <c r="P45" s="1426"/>
      <c r="Q45" s="1643" t="s">
        <v>2167</v>
      </c>
      <c r="R45" s="1644">
        <f t="shared" ref="R45:U45" si="5">R38*$V$45</f>
        <v>9.1875</v>
      </c>
      <c r="S45" s="1644">
        <f t="shared" si="5"/>
        <v>3.9375</v>
      </c>
      <c r="T45" s="1644">
        <f t="shared" si="5"/>
        <v>3.9375</v>
      </c>
      <c r="U45" s="1644">
        <f t="shared" si="5"/>
        <v>3.9375</v>
      </c>
      <c r="V45" s="1645">
        <f>C59</f>
        <v>21</v>
      </c>
      <c r="W45" s="1581"/>
      <c r="X45" s="441"/>
      <c r="Y45" s="410" t="s">
        <v>2155</v>
      </c>
      <c r="Z45" s="441"/>
      <c r="AA45" s="441"/>
      <c r="AB45" s="441"/>
      <c r="AC45" s="441"/>
      <c r="AD45" s="441"/>
      <c r="AE45" s="441"/>
      <c r="AF45" s="441"/>
      <c r="AG45" s="441"/>
      <c r="AH45" s="441"/>
      <c r="AI45" s="441"/>
      <c r="AJ45" s="410" t="s">
        <v>2156</v>
      </c>
      <c r="AT45" s="441"/>
      <c r="AU45" s="441"/>
      <c r="AV45" s="441"/>
      <c r="AW45" s="441"/>
      <c r="AX45" s="441"/>
      <c r="AY45" s="441"/>
      <c r="AZ45" s="441"/>
      <c r="BA45" s="441"/>
    </row>
    <row r="46" ht="15.0" customHeight="1">
      <c r="A46" s="441"/>
      <c r="B46" s="1132" t="s">
        <v>1498</v>
      </c>
      <c r="C46" s="1133"/>
      <c r="D46" s="1133"/>
      <c r="E46" s="1133"/>
      <c r="F46" s="1133"/>
      <c r="G46" s="1133"/>
      <c r="H46" s="1133"/>
      <c r="I46" s="1133"/>
      <c r="J46" s="1133"/>
      <c r="K46" s="1133"/>
      <c r="L46" s="1133"/>
      <c r="M46" s="1133"/>
      <c r="N46" s="1134"/>
      <c r="P46" s="1646"/>
      <c r="Q46" s="1006" t="s">
        <v>1484</v>
      </c>
      <c r="R46" s="1635">
        <v>10.0</v>
      </c>
      <c r="S46" s="1635">
        <v>5.0</v>
      </c>
      <c r="T46" s="1635">
        <v>5.0</v>
      </c>
      <c r="U46" s="1635">
        <v>5.0</v>
      </c>
      <c r="V46" s="1636">
        <f>SUM(R46:U46)</f>
        <v>25</v>
      </c>
      <c r="W46" s="1581"/>
      <c r="X46" s="441"/>
      <c r="Y46" s="441"/>
      <c r="Z46" s="441"/>
      <c r="AA46" s="441"/>
      <c r="AB46" s="441"/>
      <c r="AC46" s="441"/>
      <c r="AD46" s="441"/>
      <c r="AE46" s="441"/>
      <c r="AF46" s="441"/>
      <c r="AG46" s="441"/>
      <c r="AH46" s="441"/>
      <c r="AI46" s="441"/>
      <c r="AT46" s="441"/>
      <c r="AU46" s="441"/>
      <c r="AV46" s="441"/>
      <c r="AW46" s="441"/>
      <c r="AX46" s="441"/>
      <c r="AY46" s="441"/>
      <c r="AZ46" s="441"/>
      <c r="BA46" s="441"/>
    </row>
    <row r="47" ht="15.0" customHeight="1">
      <c r="A47" s="441"/>
      <c r="B47" s="1137" t="s">
        <v>1451</v>
      </c>
      <c r="C47" s="1138" t="s">
        <v>172</v>
      </c>
      <c r="D47" s="1138" t="s">
        <v>738</v>
      </c>
      <c r="E47" s="1138" t="s">
        <v>739</v>
      </c>
      <c r="F47" s="1138" t="s">
        <v>741</v>
      </c>
      <c r="G47" s="1138" t="s">
        <v>742</v>
      </c>
      <c r="H47" s="1139" t="s">
        <v>743</v>
      </c>
      <c r="I47" s="1140"/>
      <c r="J47" s="1140"/>
      <c r="K47" s="1140"/>
      <c r="L47" s="1647"/>
      <c r="M47" s="1140"/>
      <c r="N47" s="1140"/>
      <c r="P47" s="1426"/>
      <c r="Q47" s="1648"/>
      <c r="R47" s="1649"/>
      <c r="S47" s="1649"/>
      <c r="T47" s="1649"/>
      <c r="U47" s="1649"/>
      <c r="V47" s="1426"/>
      <c r="W47" s="1581"/>
      <c r="X47" s="441"/>
      <c r="Y47" s="1650" t="s">
        <v>2157</v>
      </c>
      <c r="Z47" s="1650" t="s">
        <v>134</v>
      </c>
      <c r="AA47" s="1651" t="s">
        <v>172</v>
      </c>
      <c r="AB47" s="1651" t="s">
        <v>738</v>
      </c>
      <c r="AC47" s="1651" t="s">
        <v>739</v>
      </c>
      <c r="AD47" s="1651" t="s">
        <v>741</v>
      </c>
      <c r="AE47" s="1651" t="s">
        <v>742</v>
      </c>
      <c r="AF47" s="1651" t="s">
        <v>743</v>
      </c>
      <c r="AG47" s="1652" t="s">
        <v>110</v>
      </c>
      <c r="AH47" s="505"/>
      <c r="AI47" s="441"/>
      <c r="AJ47" s="692" t="s">
        <v>2157</v>
      </c>
      <c r="AK47" s="692" t="s">
        <v>134</v>
      </c>
      <c r="AL47" s="516" t="s">
        <v>172</v>
      </c>
      <c r="AM47" s="516" t="s">
        <v>738</v>
      </c>
      <c r="AN47" s="516" t="s">
        <v>739</v>
      </c>
      <c r="AO47" s="516" t="s">
        <v>741</v>
      </c>
      <c r="AP47" s="516" t="s">
        <v>742</v>
      </c>
      <c r="AQ47" s="516" t="s">
        <v>743</v>
      </c>
      <c r="AR47" s="404" t="s">
        <v>110</v>
      </c>
      <c r="AS47" s="404"/>
      <c r="AT47" s="441"/>
      <c r="AU47" s="441"/>
      <c r="AV47" s="441"/>
      <c r="AW47" s="441"/>
      <c r="AX47" s="441"/>
      <c r="AY47" s="441"/>
      <c r="AZ47" s="441"/>
      <c r="BA47" s="441"/>
    </row>
    <row r="48" ht="15.0" customHeight="1">
      <c r="A48" s="441"/>
      <c r="B48" s="1141" t="s">
        <v>133</v>
      </c>
      <c r="C48" s="1142" t="s">
        <v>1455</v>
      </c>
      <c r="D48" s="1142" t="s">
        <v>1456</v>
      </c>
      <c r="E48" s="1142" t="s">
        <v>1457</v>
      </c>
      <c r="F48" s="1142" t="s">
        <v>1474</v>
      </c>
      <c r="G48" s="1142" t="s">
        <v>1502</v>
      </c>
      <c r="H48" s="1653" t="s">
        <v>1503</v>
      </c>
      <c r="I48" s="1144" t="s">
        <v>1459</v>
      </c>
      <c r="J48" s="1145" t="s">
        <v>1460</v>
      </c>
      <c r="K48" s="1146">
        <v>7.0</v>
      </c>
      <c r="L48" s="1144" t="s">
        <v>779</v>
      </c>
      <c r="M48" s="1144" t="s">
        <v>1196</v>
      </c>
      <c r="N48" s="1148" t="s">
        <v>2168</v>
      </c>
      <c r="P48" s="1426"/>
      <c r="Q48" s="1654" t="s">
        <v>2169</v>
      </c>
      <c r="R48" s="1655"/>
      <c r="S48" s="1655"/>
      <c r="T48" s="1655"/>
      <c r="U48" s="1655"/>
      <c r="V48" s="1655"/>
      <c r="W48" s="1656"/>
      <c r="X48" s="441"/>
      <c r="Y48" s="1657" t="str">
        <f>IFERROR(__xludf.DUMMYFUNCTION("FILTER(AJ18:AR29,AK18:AK29='Персонаж'!L35)"),"Металлический_кулачный_щит")</f>
        <v>Металлический_кулачный_щит</v>
      </c>
      <c r="Z48" s="1658" t="str">
        <f>IFERROR(__xludf.DUMMYFUNCTION("""COMPUTED_VALUE"""),"Стандартное")</f>
        <v>Стандартное</v>
      </c>
      <c r="AA48" s="1658">
        <f>IFERROR(__xludf.DUMMYFUNCTION("""COMPUTED_VALUE"""),10.0)</f>
        <v>10</v>
      </c>
      <c r="AB48" s="1658">
        <f>IFERROR(__xludf.DUMMYFUNCTION("""COMPUTED_VALUE"""),15.0)</f>
        <v>15</v>
      </c>
      <c r="AC48" s="1658">
        <f>IFERROR(__xludf.DUMMYFUNCTION("""COMPUTED_VALUE"""),20.0)</f>
        <v>20</v>
      </c>
      <c r="AD48" s="1658">
        <f>IFERROR(__xludf.DUMMYFUNCTION("""COMPUTED_VALUE"""),26.0)</f>
        <v>26</v>
      </c>
      <c r="AE48" s="1658">
        <f>IFERROR(__xludf.DUMMYFUNCTION("""COMPUTED_VALUE"""),32.0)</f>
        <v>32</v>
      </c>
      <c r="AF48" s="1658">
        <f>IFERROR(__xludf.DUMMYFUNCTION("""COMPUTED_VALUE"""),39.0)</f>
        <v>39</v>
      </c>
      <c r="AG48" s="1659">
        <f>IFERROR(__xludf.DUMMYFUNCTION("""COMPUTED_VALUE"""),40.0)</f>
        <v>40</v>
      </c>
      <c r="AH48" s="505"/>
      <c r="AI48" s="441"/>
      <c r="AJ48" s="1660" t="str">
        <f>IFERROR(__xludf.DUMMYFUNCTION("FILTER(AJ18:AR29,AK18:AK29='Персонаж'!D59)"),"#N/A")</f>
        <v>#N/A</v>
      </c>
      <c r="AK48" s="1660"/>
      <c r="AL48" s="1661"/>
      <c r="AM48" s="1661"/>
      <c r="AN48" s="1661"/>
      <c r="AO48" s="1661"/>
      <c r="AP48" s="1661"/>
      <c r="AQ48" s="1661"/>
      <c r="AR48" s="921"/>
      <c r="AT48" s="441"/>
      <c r="AU48" s="441"/>
      <c r="AV48" s="441"/>
      <c r="AW48" s="441"/>
      <c r="AX48" s="441"/>
      <c r="AY48" s="441"/>
      <c r="AZ48" s="441"/>
      <c r="BA48" s="441"/>
    </row>
    <row r="49" ht="15.0" customHeight="1">
      <c r="A49" s="441"/>
      <c r="B49" s="1094" t="s">
        <v>1463</v>
      </c>
      <c r="C49" s="1149">
        <f>'Кузнец'!C54</f>
        <v>10.2</v>
      </c>
      <c r="D49" s="1149">
        <f>'Кузнец'!D54</f>
        <v>28.8</v>
      </c>
      <c r="E49" s="1149">
        <f>'Кузнец'!E54</f>
        <v>82.95</v>
      </c>
      <c r="F49" s="1149">
        <f>'Кузнец'!F54</f>
        <v>660</v>
      </c>
      <c r="G49" s="1149">
        <f>'Кузнец'!G54</f>
        <v>1924.5</v>
      </c>
      <c r="H49" s="1149">
        <f>'Кузнец'!H54</f>
        <v>5699.4</v>
      </c>
      <c r="I49" s="428"/>
      <c r="J49" s="428"/>
      <c r="K49" s="428"/>
      <c r="L49" s="428"/>
      <c r="M49" s="428"/>
      <c r="N49" s="428"/>
      <c r="P49" s="1426"/>
      <c r="Q49" s="1625"/>
      <c r="R49" s="1625"/>
      <c r="S49" s="1625"/>
      <c r="T49" s="1625"/>
      <c r="U49" s="1625"/>
      <c r="V49" s="1625"/>
      <c r="W49" s="1581"/>
      <c r="X49" s="441"/>
      <c r="Y49" s="1662" t="str">
        <f>IFERROR(__xludf.DUMMYFUNCTION("""COMPUTED_VALUE"""),"Средний_металлический_щит")</f>
        <v>Средний_металлический_щит</v>
      </c>
      <c r="Z49" s="1658" t="str">
        <f>IFERROR(__xludf.DUMMYFUNCTION("""COMPUTED_VALUE"""),"Стандартное")</f>
        <v>Стандартное</v>
      </c>
      <c r="AA49" s="1658">
        <f>IFERROR(__xludf.DUMMYFUNCTION("""COMPUTED_VALUE"""),14.0)</f>
        <v>14</v>
      </c>
      <c r="AB49" s="1658">
        <f>IFERROR(__xludf.DUMMYFUNCTION("""COMPUTED_VALUE"""),20.0)</f>
        <v>20</v>
      </c>
      <c r="AC49" s="1658">
        <f>IFERROR(__xludf.DUMMYFUNCTION("""COMPUTED_VALUE"""),26.0)</f>
        <v>26</v>
      </c>
      <c r="AD49" s="1658">
        <f>IFERROR(__xludf.DUMMYFUNCTION("""COMPUTED_VALUE"""),33.0)</f>
        <v>33</v>
      </c>
      <c r="AE49" s="1658">
        <f>IFERROR(__xludf.DUMMYFUNCTION("""COMPUTED_VALUE"""),40.0)</f>
        <v>40</v>
      </c>
      <c r="AF49" s="1658">
        <f>IFERROR(__xludf.DUMMYFUNCTION("""COMPUTED_VALUE"""),48.0)</f>
        <v>48</v>
      </c>
      <c r="AG49" s="1659">
        <f>IFERROR(__xludf.DUMMYFUNCTION("""COMPUTED_VALUE"""),52.0)</f>
        <v>52</v>
      </c>
      <c r="AH49" s="505"/>
      <c r="AI49" s="441"/>
      <c r="AJ49" s="1660"/>
      <c r="AK49" s="1660"/>
      <c r="AL49" s="1661"/>
      <c r="AM49" s="1661"/>
      <c r="AN49" s="1661"/>
      <c r="AO49" s="1661"/>
      <c r="AP49" s="1661"/>
      <c r="AQ49" s="1661"/>
      <c r="AR49" s="921"/>
      <c r="AT49" s="441"/>
      <c r="AU49" s="441"/>
      <c r="AV49" s="441"/>
      <c r="AW49" s="441"/>
      <c r="AX49" s="441"/>
      <c r="AY49" s="441"/>
      <c r="AZ49" s="441"/>
      <c r="BA49" s="441"/>
    </row>
    <row r="50" ht="15.0" customHeight="1">
      <c r="A50" s="441"/>
      <c r="B50" s="1141" t="s">
        <v>1211</v>
      </c>
      <c r="C50" s="1142" t="s">
        <v>1455</v>
      </c>
      <c r="D50" s="1142" t="s">
        <v>1456</v>
      </c>
      <c r="E50" s="1142" t="s">
        <v>1457</v>
      </c>
      <c r="F50" s="1142" t="s">
        <v>1474</v>
      </c>
      <c r="G50" s="1142" t="s">
        <v>1502</v>
      </c>
      <c r="H50" s="1653" t="s">
        <v>1503</v>
      </c>
      <c r="I50" s="1144" t="s">
        <v>1464</v>
      </c>
      <c r="J50" s="1145" t="s">
        <v>1465</v>
      </c>
      <c r="K50" s="1146">
        <v>8.0</v>
      </c>
      <c r="L50" s="1144" t="s">
        <v>779</v>
      </c>
      <c r="M50" s="1144" t="s">
        <v>1196</v>
      </c>
      <c r="N50" s="1148" t="s">
        <v>2168</v>
      </c>
      <c r="P50" s="1426"/>
      <c r="Q50" s="1628" t="s">
        <v>2170</v>
      </c>
      <c r="R50" s="1663"/>
      <c r="S50" s="1664"/>
      <c r="T50" s="1627">
        <v>1.0</v>
      </c>
      <c r="U50" s="1627">
        <v>2.0</v>
      </c>
      <c r="V50" s="1627">
        <v>3.0</v>
      </c>
      <c r="W50" s="1628" t="s">
        <v>2171</v>
      </c>
      <c r="X50" s="441"/>
      <c r="Y50" s="1662" t="str">
        <f>IFERROR(__xludf.DUMMYFUNCTION("""COMPUTED_VALUE"""),"Металлический_ростовой_щит")</f>
        <v>Металлический_ростовой_щит</v>
      </c>
      <c r="Z50" s="1658" t="str">
        <f>IFERROR(__xludf.DUMMYFUNCTION("""COMPUTED_VALUE"""),"Стандартное")</f>
        <v>Стандартное</v>
      </c>
      <c r="AA50" s="1658">
        <f>IFERROR(__xludf.DUMMYFUNCTION("""COMPUTED_VALUE"""),18.0)</f>
        <v>18</v>
      </c>
      <c r="AB50" s="1658">
        <f>IFERROR(__xludf.DUMMYFUNCTION("""COMPUTED_VALUE"""),25.0)</f>
        <v>25</v>
      </c>
      <c r="AC50" s="1658">
        <f>IFERROR(__xludf.DUMMYFUNCTION("""COMPUTED_VALUE"""),32.0)</f>
        <v>32</v>
      </c>
      <c r="AD50" s="1658">
        <f>IFERROR(__xludf.DUMMYFUNCTION("""COMPUTED_VALUE"""),40.0)</f>
        <v>40</v>
      </c>
      <c r="AE50" s="1658">
        <f>IFERROR(__xludf.DUMMYFUNCTION("""COMPUTED_VALUE"""),48.0)</f>
        <v>48</v>
      </c>
      <c r="AF50" s="1658">
        <f>IFERROR(__xludf.DUMMYFUNCTION("""COMPUTED_VALUE"""),57.0)</f>
        <v>57</v>
      </c>
      <c r="AG50" s="1659">
        <f>IFERROR(__xludf.DUMMYFUNCTION("""COMPUTED_VALUE"""),70.0)</f>
        <v>70</v>
      </c>
      <c r="AH50" s="505"/>
      <c r="AI50" s="441"/>
      <c r="AJ50" s="1660"/>
      <c r="AK50" s="1660"/>
      <c r="AL50" s="1661"/>
      <c r="AM50" s="1661"/>
      <c r="AN50" s="1661"/>
      <c r="AO50" s="1661"/>
      <c r="AP50" s="1661"/>
      <c r="AQ50" s="1661"/>
      <c r="AR50" s="921"/>
      <c r="AT50" s="441"/>
      <c r="AU50" s="441"/>
      <c r="AV50" s="441"/>
      <c r="AW50" s="441"/>
      <c r="AX50" s="441"/>
      <c r="AY50" s="441"/>
      <c r="AZ50" s="441"/>
      <c r="BA50" s="441"/>
    </row>
    <row r="51" ht="15.0" customHeight="1">
      <c r="A51" s="441"/>
      <c r="B51" s="1094" t="s">
        <v>1463</v>
      </c>
      <c r="C51" s="1150">
        <f>'Кузнец'!C67</f>
        <v>14.4</v>
      </c>
      <c r="D51" s="1150">
        <f>'Кузнец'!D67</f>
        <v>39.3</v>
      </c>
      <c r="E51" s="1150">
        <f>'Кузнец'!E67</f>
        <v>103.65</v>
      </c>
      <c r="F51" s="1150">
        <f>'Кузнец'!F67</f>
        <v>709.35</v>
      </c>
      <c r="G51" s="1150">
        <f>'Кузнец'!G67</f>
        <v>1998.9</v>
      </c>
      <c r="H51" s="1149">
        <f>'Кузнец'!H67</f>
        <v>5806.05</v>
      </c>
      <c r="I51" s="428"/>
      <c r="J51" s="428"/>
      <c r="K51" s="428"/>
      <c r="L51" s="428"/>
      <c r="M51" s="428"/>
      <c r="N51" s="428"/>
      <c r="P51" s="1426"/>
      <c r="Q51" s="1665" t="s">
        <v>2172</v>
      </c>
      <c r="R51" s="1666" t="s">
        <v>30</v>
      </c>
      <c r="S51" s="1667"/>
      <c r="T51" s="1633" t="s">
        <v>30</v>
      </c>
      <c r="U51" s="1633" t="s">
        <v>30</v>
      </c>
      <c r="V51" s="1633" t="s">
        <v>30</v>
      </c>
      <c r="W51" s="1633" t="s">
        <v>30</v>
      </c>
      <c r="X51" s="441"/>
      <c r="Y51" s="505"/>
      <c r="Z51" s="505"/>
      <c r="AA51" s="505"/>
      <c r="AB51" s="505"/>
      <c r="AC51" s="505"/>
      <c r="AD51" s="505"/>
      <c r="AE51" s="505"/>
      <c r="AF51" s="505"/>
      <c r="AG51" s="505"/>
      <c r="AH51" s="505"/>
      <c r="AI51" s="441"/>
      <c r="AJ51" s="441"/>
      <c r="AK51" s="441"/>
      <c r="AL51" s="441"/>
      <c r="AM51" s="441"/>
      <c r="AN51" s="441"/>
      <c r="AO51" s="441"/>
      <c r="AP51" s="441"/>
      <c r="AQ51" s="441"/>
      <c r="AR51" s="441"/>
      <c r="AS51" s="441"/>
      <c r="AT51" s="441"/>
      <c r="AU51" s="441"/>
      <c r="AV51" s="441"/>
      <c r="AW51" s="441"/>
      <c r="AX51" s="441"/>
      <c r="AY51" s="441"/>
      <c r="AZ51" s="441"/>
      <c r="BA51" s="441"/>
    </row>
    <row r="52">
      <c r="A52" s="441"/>
      <c r="B52" s="1141" t="s">
        <v>1212</v>
      </c>
      <c r="C52" s="1142" t="s">
        <v>1471</v>
      </c>
      <c r="D52" s="1142" t="s">
        <v>1472</v>
      </c>
      <c r="E52" s="1142" t="s">
        <v>1473</v>
      </c>
      <c r="F52" s="1142" t="s">
        <v>1509</v>
      </c>
      <c r="G52" s="1142" t="s">
        <v>1510</v>
      </c>
      <c r="H52" s="1653" t="s">
        <v>1511</v>
      </c>
      <c r="I52" s="1144" t="s">
        <v>1468</v>
      </c>
      <c r="J52" s="1145" t="s">
        <v>1465</v>
      </c>
      <c r="K52" s="1146">
        <v>9.0</v>
      </c>
      <c r="L52" s="1144" t="s">
        <v>779</v>
      </c>
      <c r="M52" s="1144" t="s">
        <v>1196</v>
      </c>
      <c r="N52" s="1148" t="s">
        <v>2168</v>
      </c>
      <c r="P52" s="1668"/>
      <c r="Q52" s="1669" t="s">
        <v>2173</v>
      </c>
      <c r="R52" s="1670" t="s">
        <v>326</v>
      </c>
      <c r="S52" s="1671"/>
      <c r="T52" s="1672">
        <f>W52+1</f>
        <v>3</v>
      </c>
      <c r="U52" s="1673" t="str">
        <f>W52</f>
        <v>2</v>
      </c>
      <c r="V52" s="1673" t="str">
        <f>W52</f>
        <v>2</v>
      </c>
      <c r="W52" s="1674" t="str">
        <f>L38</f>
        <v>2</v>
      </c>
      <c r="X52" s="441"/>
      <c r="Y52" s="1650" t="s">
        <v>2157</v>
      </c>
      <c r="Z52" s="1650" t="s">
        <v>134</v>
      </c>
      <c r="AA52" s="1651" t="s">
        <v>1616</v>
      </c>
      <c r="AB52" s="1651" t="s">
        <v>172</v>
      </c>
      <c r="AC52" s="1651" t="s">
        <v>738</v>
      </c>
      <c r="AD52" s="1651" t="s">
        <v>739</v>
      </c>
      <c r="AE52" s="1651" t="s">
        <v>741</v>
      </c>
      <c r="AF52" s="1651" t="s">
        <v>742</v>
      </c>
      <c r="AG52" s="1651" t="s">
        <v>743</v>
      </c>
      <c r="AH52" s="1652" t="s">
        <v>110</v>
      </c>
      <c r="AI52" s="441"/>
      <c r="AJ52" s="692" t="s">
        <v>2157</v>
      </c>
      <c r="AK52" s="692" t="s">
        <v>134</v>
      </c>
      <c r="AL52" s="516" t="s">
        <v>1616</v>
      </c>
      <c r="AM52" s="516" t="s">
        <v>172</v>
      </c>
      <c r="AN52" s="516" t="s">
        <v>738</v>
      </c>
      <c r="AO52" s="516" t="s">
        <v>739</v>
      </c>
      <c r="AP52" s="516" t="s">
        <v>741</v>
      </c>
      <c r="AQ52" s="516" t="s">
        <v>742</v>
      </c>
      <c r="AR52" s="516" t="s">
        <v>743</v>
      </c>
      <c r="AS52" s="404" t="s">
        <v>110</v>
      </c>
      <c r="AT52" s="441"/>
      <c r="AU52" s="441"/>
      <c r="AV52" s="441"/>
      <c r="AW52" s="441"/>
      <c r="AX52" s="441"/>
      <c r="AY52" s="441"/>
      <c r="AZ52" s="441"/>
      <c r="BA52" s="441"/>
    </row>
    <row r="53">
      <c r="A53" s="441"/>
      <c r="B53" s="1094" t="s">
        <v>1463</v>
      </c>
      <c r="C53" s="1150">
        <f>'Кузнец'!C74</f>
        <v>25.8</v>
      </c>
      <c r="D53" s="1150">
        <f>'Кузнец'!D74</f>
        <v>61.8</v>
      </c>
      <c r="E53" s="1150">
        <f>'Кузнец'!E74</f>
        <v>142.35</v>
      </c>
      <c r="F53" s="1150">
        <f>'Кузнец'!F74</f>
        <v>788.1</v>
      </c>
      <c r="G53" s="1150">
        <f>'Кузнец'!G74</f>
        <v>2111.7</v>
      </c>
      <c r="H53" s="1149">
        <f>'Кузнец'!H74</f>
        <v>5961.3</v>
      </c>
      <c r="I53" s="428"/>
      <c r="J53" s="428"/>
      <c r="K53" s="428"/>
      <c r="L53" s="428"/>
      <c r="M53" s="428"/>
      <c r="N53" s="428"/>
      <c r="P53" s="1668"/>
      <c r="Q53" s="976"/>
      <c r="R53" s="1670" t="s">
        <v>2174</v>
      </c>
      <c r="S53" s="1671"/>
      <c r="T53" s="1674" t="s">
        <v>30</v>
      </c>
      <c r="U53" s="1674" t="s">
        <v>30</v>
      </c>
      <c r="V53" s="1674" t="s">
        <v>30</v>
      </c>
      <c r="W53" s="1674" t="str">
        <f>N38</f>
        <v>_</v>
      </c>
      <c r="X53" s="441"/>
      <c r="Y53" s="1657" t="str">
        <f>IFERROR(__xludf.DUMMYFUNCTION("FILTER(AJ32:AS43,AK32:AK43='Персонаж'!L35)"),"Деревянный_кулачный_щит")</f>
        <v>Деревянный_кулачный_щит</v>
      </c>
      <c r="Z53" s="1658" t="str">
        <f>IFERROR(__xludf.DUMMYFUNCTION("""COMPUTED_VALUE"""),"Стандартное")</f>
        <v>Стандартное</v>
      </c>
      <c r="AA53" s="1658">
        <f>IFERROR(__xludf.DUMMYFUNCTION("""COMPUTED_VALUE"""),5.0)</f>
        <v>5</v>
      </c>
      <c r="AB53" s="1658">
        <f>IFERROR(__xludf.DUMMYFUNCTION("""COMPUTED_VALUE"""),7.0)</f>
        <v>7</v>
      </c>
      <c r="AC53" s="1658">
        <f>IFERROR(__xludf.DUMMYFUNCTION("""COMPUTED_VALUE"""),10.0)</f>
        <v>10</v>
      </c>
      <c r="AD53" s="1658">
        <f>IFERROR(__xludf.DUMMYFUNCTION("""COMPUTED_VALUE"""),13.0)</f>
        <v>13</v>
      </c>
      <c r="AE53" s="1658">
        <f>IFERROR(__xludf.DUMMYFUNCTION("""COMPUTED_VALUE"""),16.0)</f>
        <v>16</v>
      </c>
      <c r="AF53" s="1658">
        <f>IFERROR(__xludf.DUMMYFUNCTION("""COMPUTED_VALUE"""),19.0)</f>
        <v>19</v>
      </c>
      <c r="AG53" s="1658">
        <f>IFERROR(__xludf.DUMMYFUNCTION("""COMPUTED_VALUE"""),20.0)</f>
        <v>20</v>
      </c>
      <c r="AH53" s="1659">
        <f>IFERROR(__xludf.DUMMYFUNCTION("""COMPUTED_VALUE"""),40.0)</f>
        <v>40</v>
      </c>
      <c r="AI53" s="441"/>
      <c r="AJ53" s="1660" t="str">
        <f>IFERROR(__xludf.DUMMYFUNCTION("FILTER(AJ32:AS43,AK32:AK43='Персонаж'!D59)"),"#N/A")</f>
        <v>#N/A</v>
      </c>
      <c r="AK53" s="1660"/>
      <c r="AL53" s="1661"/>
      <c r="AM53" s="1661"/>
      <c r="AN53" s="1661"/>
      <c r="AO53" s="1661"/>
      <c r="AP53" s="1661"/>
      <c r="AQ53" s="1661"/>
      <c r="AR53" s="1661"/>
      <c r="AS53" s="921"/>
      <c r="AT53" s="441"/>
      <c r="AU53" s="441"/>
      <c r="AV53" s="441"/>
      <c r="AW53" s="441"/>
      <c r="AX53" s="441"/>
      <c r="AY53" s="441"/>
      <c r="AZ53" s="441"/>
      <c r="BA53" s="441"/>
    </row>
    <row r="54">
      <c r="A54" s="441"/>
      <c r="B54" s="1141" t="s">
        <v>1213</v>
      </c>
      <c r="C54" s="1142" t="s">
        <v>1471</v>
      </c>
      <c r="D54" s="1142" t="s">
        <v>1472</v>
      </c>
      <c r="E54" s="1142" t="s">
        <v>1473</v>
      </c>
      <c r="F54" s="1142" t="s">
        <v>1509</v>
      </c>
      <c r="G54" s="1142" t="s">
        <v>1510</v>
      </c>
      <c r="H54" s="1653" t="s">
        <v>1511</v>
      </c>
      <c r="I54" s="1144" t="s">
        <v>1475</v>
      </c>
      <c r="J54" s="1145" t="s">
        <v>1465</v>
      </c>
      <c r="K54" s="1146">
        <v>10.0</v>
      </c>
      <c r="L54" s="1144" t="s">
        <v>1657</v>
      </c>
      <c r="M54" s="1144" t="s">
        <v>1196</v>
      </c>
      <c r="N54" s="1148" t="s">
        <v>2168</v>
      </c>
      <c r="P54" s="1668"/>
      <c r="Q54" s="1675" t="s">
        <v>2175</v>
      </c>
      <c r="R54" s="1676" t="s">
        <v>326</v>
      </c>
      <c r="S54" s="1677"/>
      <c r="T54" s="1678">
        <f>W54+1</f>
        <v>2</v>
      </c>
      <c r="U54" s="1679" t="str">
        <f>W54</f>
        <v>1</v>
      </c>
      <c r="V54" s="1679" t="str">
        <f>W54</f>
        <v>1</v>
      </c>
      <c r="W54" s="1678" t="str">
        <f>L48</f>
        <v>1</v>
      </c>
      <c r="X54" s="441"/>
      <c r="Y54" s="1662" t="str">
        <f>IFERROR(__xludf.DUMMYFUNCTION("""COMPUTED_VALUE"""),"Средний_деревянный_щит")</f>
        <v>Средний_деревянный_щит</v>
      </c>
      <c r="Z54" s="1658" t="str">
        <f>IFERROR(__xludf.DUMMYFUNCTION("""COMPUTED_VALUE"""),"Стандартное")</f>
        <v>Стандартное</v>
      </c>
      <c r="AA54" s="1658">
        <f>IFERROR(__xludf.DUMMYFUNCTION("""COMPUTED_VALUE"""),7.0)</f>
        <v>7</v>
      </c>
      <c r="AB54" s="1658">
        <f>IFERROR(__xludf.DUMMYFUNCTION("""COMPUTED_VALUE"""),10.0)</f>
        <v>10</v>
      </c>
      <c r="AC54" s="1658">
        <f>IFERROR(__xludf.DUMMYFUNCTION("""COMPUTED_VALUE"""),13.0)</f>
        <v>13</v>
      </c>
      <c r="AD54" s="1658">
        <f>IFERROR(__xludf.DUMMYFUNCTION("""COMPUTED_VALUE"""),16.0)</f>
        <v>16</v>
      </c>
      <c r="AE54" s="1658">
        <f>IFERROR(__xludf.DUMMYFUNCTION("""COMPUTED_VALUE"""),20.0)</f>
        <v>20</v>
      </c>
      <c r="AF54" s="1658">
        <f>IFERROR(__xludf.DUMMYFUNCTION("""COMPUTED_VALUE"""),24.0)</f>
        <v>24</v>
      </c>
      <c r="AG54" s="1658">
        <f>IFERROR(__xludf.DUMMYFUNCTION("""COMPUTED_VALUE"""),26.0)</f>
        <v>26</v>
      </c>
      <c r="AH54" s="1659">
        <f>IFERROR(__xludf.DUMMYFUNCTION("""COMPUTED_VALUE"""),52.0)</f>
        <v>52</v>
      </c>
      <c r="AI54" s="441"/>
      <c r="AJ54" s="1660"/>
      <c r="AK54" s="1660"/>
      <c r="AL54" s="1661"/>
      <c r="AM54" s="1661"/>
      <c r="AN54" s="1661"/>
      <c r="AO54" s="1661"/>
      <c r="AP54" s="1661"/>
      <c r="AQ54" s="1661"/>
      <c r="AR54" s="1661"/>
      <c r="AS54" s="921"/>
      <c r="AT54" s="441"/>
      <c r="AU54" s="441"/>
      <c r="AV54" s="441"/>
      <c r="AW54" s="441"/>
      <c r="AX54" s="441"/>
      <c r="AY54" s="441"/>
      <c r="AZ54" s="441"/>
      <c r="BA54" s="441"/>
    </row>
    <row r="55">
      <c r="A55" s="441"/>
      <c r="B55" s="1094" t="s">
        <v>1463</v>
      </c>
      <c r="C55" s="1150">
        <f>'Кузнец'!C81</f>
        <v>48</v>
      </c>
      <c r="D55" s="1150">
        <f>'Кузнец'!D81</f>
        <v>100.8</v>
      </c>
      <c r="E55" s="1150">
        <f>'Кузнец'!E81</f>
        <v>204.45</v>
      </c>
      <c r="F55" s="1150">
        <f>'Кузнец'!F81</f>
        <v>902.55</v>
      </c>
      <c r="G55" s="1150">
        <f>'Кузнец'!G81</f>
        <v>2270.1</v>
      </c>
      <c r="H55" s="1149">
        <f>'Кузнец'!H81</f>
        <v>6173.25</v>
      </c>
      <c r="I55" s="428"/>
      <c r="J55" s="428"/>
      <c r="K55" s="428"/>
      <c r="L55" s="428"/>
      <c r="M55" s="428"/>
      <c r="N55" s="428"/>
      <c r="P55" s="1668"/>
      <c r="Q55" s="976"/>
      <c r="R55" s="1676" t="s">
        <v>2174</v>
      </c>
      <c r="S55" s="1677"/>
      <c r="T55" s="1680" t="s">
        <v>2176</v>
      </c>
      <c r="U55" s="228"/>
      <c r="V55" s="665"/>
      <c r="W55" s="1678" t="str">
        <f>N48</f>
        <v>-1 МСБ, -5% СД</v>
      </c>
      <c r="X55" s="441"/>
      <c r="Y55" s="1662" t="str">
        <f>IFERROR(__xludf.DUMMYFUNCTION("""COMPUTED_VALUE"""),"Деревянный_ростовой_щит")</f>
        <v>Деревянный_ростовой_щит</v>
      </c>
      <c r="Z55" s="1658" t="str">
        <f>IFERROR(__xludf.DUMMYFUNCTION("""COMPUTED_VALUE"""),"Стандартное")</f>
        <v>Стандартное</v>
      </c>
      <c r="AA55" s="1658">
        <f>IFERROR(__xludf.DUMMYFUNCTION("""COMPUTED_VALUE"""),9.0)</f>
        <v>9</v>
      </c>
      <c r="AB55" s="1658">
        <f>IFERROR(__xludf.DUMMYFUNCTION("""COMPUTED_VALUE"""),12.0)</f>
        <v>12</v>
      </c>
      <c r="AC55" s="1658">
        <f>IFERROR(__xludf.DUMMYFUNCTION("""COMPUTED_VALUE"""),16.0)</f>
        <v>16</v>
      </c>
      <c r="AD55" s="1658">
        <f>IFERROR(__xludf.DUMMYFUNCTION("""COMPUTED_VALUE"""),20.0)</f>
        <v>20</v>
      </c>
      <c r="AE55" s="1658">
        <f>IFERROR(__xludf.DUMMYFUNCTION("""COMPUTED_VALUE"""),24.0)</f>
        <v>24</v>
      </c>
      <c r="AF55" s="1658">
        <f>IFERROR(__xludf.DUMMYFUNCTION("""COMPUTED_VALUE"""),28.0)</f>
        <v>28</v>
      </c>
      <c r="AG55" s="1658">
        <f>IFERROR(__xludf.DUMMYFUNCTION("""COMPUTED_VALUE"""),35.0)</f>
        <v>35</v>
      </c>
      <c r="AH55" s="1659">
        <f>IFERROR(__xludf.DUMMYFUNCTION("""COMPUTED_VALUE"""),70.0)</f>
        <v>70</v>
      </c>
      <c r="AI55" s="441"/>
      <c r="AJ55" s="1660"/>
      <c r="AK55" s="1660"/>
      <c r="AL55" s="1661"/>
      <c r="AM55" s="1661"/>
      <c r="AN55" s="1661"/>
      <c r="AO55" s="1661"/>
      <c r="AP55" s="1661"/>
      <c r="AQ55" s="1661"/>
      <c r="AR55" s="1661"/>
      <c r="AS55" s="921"/>
      <c r="AT55" s="441"/>
      <c r="AU55" s="441"/>
      <c r="AV55" s="441"/>
      <c r="AW55" s="441"/>
      <c r="AX55" s="441"/>
      <c r="AY55" s="441"/>
      <c r="AZ55" s="441"/>
      <c r="BA55" s="441"/>
    </row>
    <row r="56" ht="15.0" customHeight="1">
      <c r="A56" s="441"/>
      <c r="B56" s="1151" t="s">
        <v>1499</v>
      </c>
      <c r="C56" s="1152"/>
      <c r="D56" s="1152"/>
      <c r="E56" s="1152"/>
      <c r="F56" s="1152"/>
      <c r="G56" s="1152"/>
      <c r="H56" s="1152"/>
      <c r="I56" s="1152"/>
      <c r="J56" s="1152"/>
      <c r="K56" s="1152"/>
      <c r="L56" s="1152"/>
      <c r="M56" s="1152"/>
      <c r="N56" s="1153"/>
      <c r="P56" s="1681"/>
      <c r="Q56" s="1682" t="s">
        <v>2177</v>
      </c>
      <c r="R56" s="1683" t="s">
        <v>326</v>
      </c>
      <c r="S56" s="1684"/>
      <c r="T56" s="1685">
        <f>W56+1</f>
        <v>1</v>
      </c>
      <c r="U56" s="1686" t="str">
        <f>W56</f>
        <v>0</v>
      </c>
      <c r="V56" s="1686" t="str">
        <f>W56</f>
        <v>0</v>
      </c>
      <c r="W56" s="1687" t="str">
        <f>L58</f>
        <v>0</v>
      </c>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row>
    <row r="57" ht="15.0" customHeight="1">
      <c r="A57" s="441"/>
      <c r="B57" s="1154" t="s">
        <v>1451</v>
      </c>
      <c r="C57" s="1155" t="s">
        <v>172</v>
      </c>
      <c r="D57" s="1155" t="s">
        <v>738</v>
      </c>
      <c r="E57" s="1155" t="s">
        <v>739</v>
      </c>
      <c r="F57" s="1155" t="s">
        <v>741</v>
      </c>
      <c r="G57" s="1155" t="s">
        <v>742</v>
      </c>
      <c r="H57" s="1156" t="s">
        <v>743</v>
      </c>
      <c r="I57" s="1157"/>
      <c r="J57" s="1157"/>
      <c r="K57" s="1157"/>
      <c r="L57" s="1157"/>
      <c r="M57" s="1157"/>
      <c r="N57" s="1158"/>
      <c r="P57" s="1668"/>
      <c r="Q57" s="428"/>
      <c r="R57" s="1683" t="s">
        <v>2174</v>
      </c>
      <c r="S57" s="1684"/>
      <c r="T57" s="1688" t="s">
        <v>2178</v>
      </c>
      <c r="U57" s="228"/>
      <c r="V57" s="665"/>
      <c r="W57" s="1687" t="str">
        <f>N58</f>
        <v>-2 МСБ, -10% СД</v>
      </c>
      <c r="X57" s="441"/>
      <c r="Y57" s="441"/>
      <c r="Z57" s="441"/>
      <c r="AA57" s="441"/>
      <c r="AB57" s="441"/>
      <c r="AC57" s="441"/>
      <c r="AD57" s="441"/>
      <c r="AE57" s="441"/>
      <c r="AF57" s="441"/>
      <c r="AG57" s="441"/>
      <c r="AH57" s="441"/>
      <c r="AI57" s="441"/>
      <c r="AJ57" s="441"/>
      <c r="AK57" s="441"/>
      <c r="AL57" s="441"/>
      <c r="AM57" s="441"/>
      <c r="AN57" s="441"/>
      <c r="AO57" s="441"/>
      <c r="AP57" s="441"/>
      <c r="AQ57" s="441"/>
      <c r="AR57" s="517"/>
      <c r="AS57" s="441"/>
      <c r="AT57" s="441"/>
      <c r="AU57" s="441"/>
      <c r="AV57" s="441"/>
      <c r="AW57" s="441"/>
      <c r="AX57" s="441"/>
      <c r="AY57" s="441"/>
      <c r="AZ57" s="441"/>
      <c r="BA57" s="441"/>
    </row>
    <row r="58" ht="15.0" customHeight="1">
      <c r="A58" s="441"/>
      <c r="B58" s="1159" t="s">
        <v>133</v>
      </c>
      <c r="C58" s="1160" t="s">
        <v>1456</v>
      </c>
      <c r="D58" s="1160" t="s">
        <v>1473</v>
      </c>
      <c r="E58" s="1160" t="s">
        <v>1509</v>
      </c>
      <c r="F58" s="1160" t="s">
        <v>1517</v>
      </c>
      <c r="G58" s="1160" t="s">
        <v>1518</v>
      </c>
      <c r="H58" s="1689" t="s">
        <v>1519</v>
      </c>
      <c r="I58" s="1162" t="s">
        <v>1459</v>
      </c>
      <c r="J58" s="1163" t="s">
        <v>1460</v>
      </c>
      <c r="K58" s="1164">
        <v>3.0</v>
      </c>
      <c r="L58" s="1162" t="s">
        <v>2179</v>
      </c>
      <c r="M58" s="1162" t="s">
        <v>1199</v>
      </c>
      <c r="N58" s="1166" t="s">
        <v>2180</v>
      </c>
      <c r="P58" s="1668"/>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row>
    <row r="59" ht="15.0" customHeight="1">
      <c r="A59" s="441"/>
      <c r="B59" s="1094" t="s">
        <v>1463</v>
      </c>
      <c r="C59" s="1149">
        <f>'Кузнец'!N54</f>
        <v>21</v>
      </c>
      <c r="D59" s="1149">
        <f>'Кузнец'!O54</f>
        <v>56.5</v>
      </c>
      <c r="E59" s="1149">
        <f>'Кузнец'!P54</f>
        <v>152.75</v>
      </c>
      <c r="F59" s="1149">
        <f>'Кузнец'!Q54</f>
        <v>1128.25</v>
      </c>
      <c r="G59" s="1149">
        <f>'Кузнец'!R54</f>
        <v>3245.75</v>
      </c>
      <c r="H59" s="1149">
        <f>'Кузнец'!S54</f>
        <v>9548.75</v>
      </c>
      <c r="I59" s="428"/>
      <c r="J59" s="428"/>
      <c r="K59" s="428"/>
      <c r="L59" s="428"/>
      <c r="M59" s="428"/>
      <c r="N59" s="428"/>
      <c r="P59" s="1668"/>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row>
    <row r="60" ht="15.0" customHeight="1">
      <c r="A60" s="441"/>
      <c r="B60" s="1159" t="s">
        <v>1211</v>
      </c>
      <c r="C60" s="1160" t="s">
        <v>1472</v>
      </c>
      <c r="D60" s="1160" t="s">
        <v>1458</v>
      </c>
      <c r="E60" s="1160" t="s">
        <v>1525</v>
      </c>
      <c r="F60" s="1160" t="s">
        <v>1503</v>
      </c>
      <c r="G60" s="1160" t="s">
        <v>1526</v>
      </c>
      <c r="H60" s="1689" t="s">
        <v>1527</v>
      </c>
      <c r="I60" s="1162" t="s">
        <v>1464</v>
      </c>
      <c r="J60" s="1163" t="s">
        <v>1465</v>
      </c>
      <c r="K60" s="1164">
        <v>4.0</v>
      </c>
      <c r="L60" s="1162" t="s">
        <v>2179</v>
      </c>
      <c r="M60" s="1162" t="s">
        <v>1199</v>
      </c>
      <c r="N60" s="1166" t="s">
        <v>2180</v>
      </c>
      <c r="P60" s="1668"/>
      <c r="X60" s="441"/>
      <c r="Y60" s="441"/>
      <c r="Z60" s="441"/>
      <c r="AA60" s="441"/>
      <c r="AB60" s="441"/>
      <c r="AC60" s="441"/>
      <c r="AD60" s="1690"/>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row>
    <row r="61" ht="15.0" customHeight="1">
      <c r="A61" s="441"/>
      <c r="B61" s="1094" t="s">
        <v>1463</v>
      </c>
      <c r="C61" s="1150">
        <f>'Кузнец'!N67</f>
        <v>38.5</v>
      </c>
      <c r="D61" s="1150">
        <f>'Кузнец'!O67</f>
        <v>91</v>
      </c>
      <c r="E61" s="1150">
        <f>'Кузнец'!P67</f>
        <v>212.25</v>
      </c>
      <c r="F61" s="1150">
        <f>'Кузнец'!Q67</f>
        <v>1252.25</v>
      </c>
      <c r="G61" s="1150">
        <f>'Кузнец'!R67</f>
        <v>3423.5</v>
      </c>
      <c r="H61" s="1149">
        <f>'Кузнец'!S67</f>
        <v>9793.75</v>
      </c>
      <c r="I61" s="428"/>
      <c r="J61" s="428"/>
      <c r="K61" s="428"/>
      <c r="L61" s="428"/>
      <c r="M61" s="428"/>
      <c r="N61" s="428"/>
      <c r="P61" s="1426"/>
      <c r="Y61" s="441"/>
      <c r="Z61" s="441"/>
      <c r="AA61" s="441"/>
      <c r="AB61" s="441"/>
      <c r="AC61" s="441"/>
      <c r="AD61" s="1690"/>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row>
    <row r="62" ht="18.75" customHeight="1">
      <c r="A62" s="441"/>
      <c r="B62" s="1159" t="s">
        <v>1212</v>
      </c>
      <c r="C62" s="1160" t="s">
        <v>1472</v>
      </c>
      <c r="D62" s="1160" t="s">
        <v>1458</v>
      </c>
      <c r="E62" s="1160" t="s">
        <v>1525</v>
      </c>
      <c r="F62" s="1160" t="s">
        <v>1503</v>
      </c>
      <c r="G62" s="1160" t="s">
        <v>1526</v>
      </c>
      <c r="H62" s="1689" t="s">
        <v>1527</v>
      </c>
      <c r="I62" s="1162" t="s">
        <v>1468</v>
      </c>
      <c r="J62" s="1163" t="s">
        <v>1465</v>
      </c>
      <c r="K62" s="1164">
        <v>5.0</v>
      </c>
      <c r="L62" s="1162" t="s">
        <v>2179</v>
      </c>
      <c r="M62" s="1162" t="s">
        <v>1199</v>
      </c>
      <c r="N62" s="1166" t="s">
        <v>2180</v>
      </c>
      <c r="P62" s="1426"/>
      <c r="Y62" s="441"/>
      <c r="Z62" s="441"/>
      <c r="AA62" s="441"/>
      <c r="AB62" s="441"/>
      <c r="AC62" s="441"/>
      <c r="AD62" s="1426"/>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row>
    <row r="63" ht="18.75" customHeight="1">
      <c r="A63" s="441"/>
      <c r="B63" s="1094" t="s">
        <v>1463</v>
      </c>
      <c r="C63" s="1150">
        <f>'Кузнец'!N74</f>
        <v>76</v>
      </c>
      <c r="D63" s="1150">
        <f>'Кузнец'!O74</f>
        <v>155.5</v>
      </c>
      <c r="E63" s="1150">
        <f>'Кузнец'!P74</f>
        <v>313.75</v>
      </c>
      <c r="F63" s="1150">
        <f>'Кузнец'!Q74</f>
        <v>1440.25</v>
      </c>
      <c r="G63" s="1149">
        <f>'Кузнец'!R74</f>
        <v>3682.25</v>
      </c>
      <c r="H63" s="1149">
        <f>'Кузнец'!S74</f>
        <v>10138.75</v>
      </c>
      <c r="I63" s="428"/>
      <c r="J63" s="428"/>
      <c r="K63" s="428"/>
      <c r="L63" s="428"/>
      <c r="M63" s="428"/>
      <c r="N63" s="428"/>
      <c r="P63" s="1426"/>
      <c r="Y63" s="441"/>
      <c r="Z63" s="441"/>
      <c r="AA63" s="441"/>
      <c r="AB63" s="441"/>
      <c r="AC63" s="441"/>
      <c r="AD63" s="1426"/>
      <c r="AE63" s="441"/>
      <c r="AF63" s="441"/>
      <c r="AG63" s="441"/>
      <c r="AH63" s="441"/>
      <c r="AI63" s="441"/>
      <c r="AJ63" s="14" t="s">
        <v>295</v>
      </c>
      <c r="AK63" s="14" t="s">
        <v>297</v>
      </c>
      <c r="AL63" s="14" t="s">
        <v>299</v>
      </c>
      <c r="AM63" s="14" t="s">
        <v>302</v>
      </c>
      <c r="AN63" s="14" t="s">
        <v>304</v>
      </c>
      <c r="AO63" s="14" t="s">
        <v>306</v>
      </c>
      <c r="AP63" s="441"/>
      <c r="AQ63" s="441"/>
      <c r="AR63" s="441"/>
      <c r="AS63" s="441"/>
      <c r="AT63" s="441"/>
      <c r="AU63" s="441"/>
      <c r="AV63" s="441"/>
      <c r="AW63" s="441"/>
      <c r="AX63" s="441"/>
      <c r="AY63" s="441"/>
      <c r="AZ63" s="441"/>
      <c r="BA63" s="441"/>
    </row>
    <row r="64" ht="19.5" customHeight="1">
      <c r="A64" s="441"/>
      <c r="B64" s="1159" t="s">
        <v>1213</v>
      </c>
      <c r="C64" s="1160" t="s">
        <v>1457</v>
      </c>
      <c r="D64" s="1160" t="s">
        <v>1474</v>
      </c>
      <c r="E64" s="1160" t="s">
        <v>1502</v>
      </c>
      <c r="F64" s="1160" t="s">
        <v>1511</v>
      </c>
      <c r="G64" s="1160" t="s">
        <v>1532</v>
      </c>
      <c r="H64" s="1689" t="s">
        <v>1533</v>
      </c>
      <c r="I64" s="1162" t="s">
        <v>1475</v>
      </c>
      <c r="J64" s="1163" t="s">
        <v>1465</v>
      </c>
      <c r="K64" s="1164">
        <v>6.0</v>
      </c>
      <c r="L64" s="1162" t="s">
        <v>779</v>
      </c>
      <c r="M64" s="1162" t="s">
        <v>1199</v>
      </c>
      <c r="N64" s="1166" t="s">
        <v>2180</v>
      </c>
      <c r="P64" s="1426"/>
      <c r="Q64" s="441"/>
      <c r="R64" s="441"/>
      <c r="S64" s="441"/>
      <c r="T64" s="441"/>
      <c r="U64" s="441"/>
      <c r="V64" s="441"/>
      <c r="W64" s="441"/>
      <c r="X64" s="441"/>
      <c r="Y64" s="441"/>
      <c r="Z64" s="441"/>
      <c r="AA64" s="441"/>
      <c r="AB64" s="441"/>
      <c r="AC64" s="441"/>
      <c r="AD64" s="441"/>
      <c r="AE64" s="441"/>
      <c r="AF64" s="441"/>
      <c r="AG64" s="441"/>
      <c r="AH64" s="441"/>
      <c r="AI64" s="441"/>
      <c r="AJ64" s="441" t="str">
        <f>INDIRECT('Персонаж'!K127)</f>
        <v>Лён</v>
      </c>
      <c r="AK64" s="441" t="str">
        <f>INDIRECT('Персонаж'!K128)</f>
        <v>Лён</v>
      </c>
      <c r="AL64" s="441" t="str">
        <f>INDIRECT('Персонаж'!K129)</f>
        <v>Лён</v>
      </c>
      <c r="AM64" s="441" t="str">
        <f>INDIRECT('Персонаж'!K130)</f>
        <v>Лён</v>
      </c>
      <c r="AN64" s="441" t="str">
        <f>INDIRECT('Персонаж'!K131)</f>
        <v>Лён</v>
      </c>
      <c r="AO64" s="441" t="str">
        <f>INDIRECT('Персонаж'!K132)</f>
        <v>Лён</v>
      </c>
      <c r="AP64" s="441"/>
      <c r="AQ64" s="441"/>
      <c r="AR64" s="441"/>
      <c r="AS64" s="441"/>
      <c r="AT64" s="441"/>
      <c r="AU64" s="441"/>
      <c r="AV64" s="441"/>
      <c r="AW64" s="441"/>
      <c r="AX64" s="441"/>
      <c r="AY64" s="441"/>
      <c r="AZ64" s="441"/>
      <c r="BA64" s="441"/>
    </row>
    <row r="65" ht="19.5" customHeight="1">
      <c r="A65" s="441"/>
      <c r="B65" s="1094" t="s">
        <v>1463</v>
      </c>
      <c r="C65" s="1150">
        <f>'Кузнец'!N81</f>
        <v>141</v>
      </c>
      <c r="D65" s="1150">
        <f>'Кузнец'!O81</f>
        <v>259</v>
      </c>
      <c r="E65" s="1150">
        <f>'Кузнец'!P81</f>
        <v>467.75</v>
      </c>
      <c r="F65" s="1150">
        <f>'Кузнец'!Q81</f>
        <v>1704.25</v>
      </c>
      <c r="G65" s="1149">
        <f>'Кузнец'!R81</f>
        <v>4035.5</v>
      </c>
      <c r="H65" s="1149">
        <f>'Кузнец'!S81</f>
        <v>10598.75</v>
      </c>
      <c r="I65" s="428"/>
      <c r="J65" s="428"/>
      <c r="K65" s="428"/>
      <c r="L65" s="428"/>
      <c r="M65" s="428"/>
      <c r="N65" s="428"/>
      <c r="P65" s="1426"/>
      <c r="Q65" s="441"/>
      <c r="R65" s="441"/>
      <c r="S65" s="441"/>
      <c r="T65" s="441"/>
      <c r="U65" s="441"/>
      <c r="V65" s="441"/>
      <c r="W65" s="441"/>
      <c r="X65" s="441"/>
      <c r="Y65" s="441"/>
      <c r="Z65" s="441"/>
      <c r="AA65" s="441"/>
      <c r="AB65" s="441"/>
      <c r="AC65" s="441"/>
      <c r="AD65" s="441"/>
      <c r="AE65" s="441"/>
      <c r="AF65" s="441"/>
      <c r="AG65" s="441"/>
      <c r="AH65" s="441"/>
      <c r="AI65" s="441"/>
      <c r="AJ65" s="36" t="s">
        <v>1755</v>
      </c>
      <c r="AK65" s="36" t="s">
        <v>1755</v>
      </c>
      <c r="AL65" s="36" t="s">
        <v>1755</v>
      </c>
      <c r="AM65" s="36" t="s">
        <v>1755</v>
      </c>
      <c r="AN65" s="36" t="s">
        <v>1755</v>
      </c>
      <c r="AO65" s="36" t="s">
        <v>1755</v>
      </c>
      <c r="AT65" s="441"/>
      <c r="AU65" s="441"/>
      <c r="AV65" s="441"/>
      <c r="AW65" s="441"/>
      <c r="AX65" s="441"/>
      <c r="AY65" s="441"/>
      <c r="AZ65" s="441"/>
      <c r="BA65" s="441"/>
    </row>
    <row r="66">
      <c r="A66" s="441"/>
      <c r="B66" s="441"/>
      <c r="C66" s="441"/>
      <c r="D66" s="441"/>
      <c r="E66" s="441"/>
      <c r="F66" s="441"/>
      <c r="G66" s="441"/>
      <c r="H66" s="441"/>
      <c r="I66" s="441"/>
      <c r="J66" s="441"/>
      <c r="K66" s="441"/>
      <c r="L66" s="441"/>
      <c r="M66" s="1691"/>
      <c r="N66" s="1691"/>
      <c r="O66" s="1426"/>
      <c r="P66" s="1426"/>
      <c r="Q66" s="441"/>
      <c r="R66" s="441"/>
      <c r="S66" s="441"/>
      <c r="T66" s="441"/>
      <c r="U66" s="441"/>
      <c r="V66" s="441"/>
      <c r="W66" s="441"/>
      <c r="X66" s="441"/>
      <c r="Y66" s="441"/>
      <c r="Z66" s="441"/>
      <c r="AA66" s="441"/>
      <c r="AB66" s="441"/>
      <c r="AC66" s="441"/>
      <c r="AD66" s="441"/>
      <c r="AE66" s="441"/>
      <c r="AF66" s="441"/>
      <c r="AG66" s="441"/>
      <c r="AH66" s="441"/>
      <c r="AI66" s="441"/>
      <c r="AJ66" s="441" t="s">
        <v>1756</v>
      </c>
      <c r="AK66" s="441" t="s">
        <v>1756</v>
      </c>
      <c r="AL66" s="441" t="s">
        <v>1756</v>
      </c>
      <c r="AM66" s="441" t="s">
        <v>1756</v>
      </c>
      <c r="AN66" s="441" t="s">
        <v>1756</v>
      </c>
      <c r="AO66" s="441" t="s">
        <v>1756</v>
      </c>
      <c r="AP66" s="441"/>
      <c r="AQ66" s="441"/>
      <c r="AR66" s="441"/>
      <c r="AS66" s="441"/>
      <c r="AT66" s="441"/>
      <c r="AU66" s="441"/>
      <c r="AV66" s="441"/>
      <c r="AW66" s="441"/>
      <c r="AX66" s="441"/>
      <c r="AY66" s="441"/>
      <c r="AZ66" s="441"/>
      <c r="BA66" s="441"/>
    </row>
    <row r="67">
      <c r="A67" s="441"/>
      <c r="B67" s="1583" t="s">
        <v>2181</v>
      </c>
      <c r="C67" s="228"/>
      <c r="D67" s="228"/>
      <c r="E67" s="228"/>
      <c r="F67" s="228"/>
      <c r="G67" s="228"/>
      <c r="H67" s="228"/>
      <c r="I67" s="26"/>
      <c r="J67" s="1079" t="s">
        <v>1543</v>
      </c>
      <c r="K67" s="427" t="s">
        <v>176</v>
      </c>
      <c r="L67" s="427" t="s">
        <v>1447</v>
      </c>
      <c r="M67" s="427" t="s">
        <v>326</v>
      </c>
      <c r="N67" s="427" t="s">
        <v>1449</v>
      </c>
      <c r="O67" s="427" t="s">
        <v>1450</v>
      </c>
      <c r="Q67" s="1648"/>
      <c r="R67" s="1690"/>
      <c r="S67" s="1690"/>
      <c r="T67" s="1690"/>
      <c r="U67" s="1426"/>
      <c r="V67" s="1426"/>
      <c r="W67" s="1692"/>
      <c r="X67" s="441"/>
      <c r="Y67" s="441"/>
      <c r="Z67" s="441"/>
      <c r="AA67" s="441"/>
      <c r="AB67" s="441"/>
      <c r="AC67" s="441"/>
      <c r="AD67" s="441"/>
      <c r="AE67" s="441"/>
      <c r="AF67" s="441"/>
      <c r="AG67" s="441"/>
      <c r="AH67" s="441"/>
      <c r="AI67" s="441"/>
      <c r="AJ67" s="441" t="s">
        <v>1804</v>
      </c>
      <c r="AK67" s="441" t="s">
        <v>1804</v>
      </c>
      <c r="AL67" s="441" t="s">
        <v>1804</v>
      </c>
      <c r="AM67" s="441" t="s">
        <v>1804</v>
      </c>
      <c r="AN67" s="441" t="s">
        <v>1804</v>
      </c>
      <c r="AO67" s="441" t="s">
        <v>1804</v>
      </c>
      <c r="AP67" s="441"/>
      <c r="AQ67" s="441"/>
      <c r="AR67" s="441"/>
      <c r="AS67" s="441"/>
      <c r="AT67" s="441"/>
      <c r="AU67" s="441"/>
      <c r="AV67" s="441"/>
      <c r="AW67" s="441"/>
      <c r="AX67" s="441"/>
      <c r="AY67" s="441"/>
      <c r="AZ67" s="441"/>
      <c r="BA67" s="441"/>
    </row>
    <row r="68">
      <c r="A68" s="441"/>
      <c r="B68" s="1176" t="s">
        <v>1541</v>
      </c>
      <c r="C68" s="1177"/>
      <c r="D68" s="1177"/>
      <c r="E68" s="1177"/>
      <c r="F68" s="1177"/>
      <c r="G68" s="1177"/>
      <c r="H68" s="1177"/>
      <c r="I68" s="1177"/>
      <c r="J68" s="1177"/>
      <c r="K68" s="1177"/>
      <c r="L68" s="1177"/>
      <c r="M68" s="1177"/>
      <c r="N68" s="1177"/>
      <c r="O68" s="1178"/>
      <c r="Q68" s="1648"/>
      <c r="R68" s="1690"/>
      <c r="S68" s="1690"/>
      <c r="T68" s="1690"/>
      <c r="U68" s="1426"/>
      <c r="V68" s="1426"/>
      <c r="W68" s="158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row>
    <row r="69">
      <c r="A69" s="441"/>
      <c r="B69" s="1179" t="s">
        <v>1451</v>
      </c>
      <c r="C69" s="1180" t="s">
        <v>172</v>
      </c>
      <c r="D69" s="1180" t="s">
        <v>738</v>
      </c>
      <c r="E69" s="1180" t="s">
        <v>739</v>
      </c>
      <c r="F69" s="1180" t="s">
        <v>30</v>
      </c>
      <c r="G69" s="1180" t="s">
        <v>741</v>
      </c>
      <c r="H69" s="1180" t="s">
        <v>742</v>
      </c>
      <c r="I69" s="1181" t="s">
        <v>743</v>
      </c>
      <c r="J69" s="1182"/>
      <c r="K69" s="1182"/>
      <c r="L69" s="1182"/>
      <c r="M69" s="1182"/>
      <c r="N69" s="1182"/>
      <c r="O69" s="1182"/>
      <c r="Q69" s="1648"/>
      <c r="R69" s="1690"/>
      <c r="S69" s="1690"/>
      <c r="T69" s="1690"/>
      <c r="U69" s="1426"/>
      <c r="V69" s="1426"/>
      <c r="W69" s="158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row>
    <row r="70">
      <c r="A70" s="441"/>
      <c r="B70" s="1693" t="s">
        <v>1545</v>
      </c>
      <c r="C70" s="1694">
        <v>10.0</v>
      </c>
      <c r="D70" s="1695">
        <f t="shared" ref="D70:E70" si="6">C70+5</f>
        <v>15</v>
      </c>
      <c r="E70" s="1695">
        <f t="shared" si="6"/>
        <v>20</v>
      </c>
      <c r="F70" s="1696" t="s">
        <v>30</v>
      </c>
      <c r="G70" s="1695">
        <f>E70+6</f>
        <v>26</v>
      </c>
      <c r="H70" s="1695">
        <f>G70+6</f>
        <v>32</v>
      </c>
      <c r="I70" s="1695">
        <f>H70+7</f>
        <v>39</v>
      </c>
      <c r="J70" s="1186" t="s">
        <v>1182</v>
      </c>
      <c r="K70" s="1187" t="s">
        <v>1460</v>
      </c>
      <c r="L70" s="1188">
        <v>14.0</v>
      </c>
      <c r="M70" s="1697" t="s">
        <v>1657</v>
      </c>
      <c r="N70" s="1186" t="s">
        <v>30</v>
      </c>
      <c r="O70" s="1190" t="s">
        <v>1546</v>
      </c>
      <c r="Q70" s="1648"/>
      <c r="R70" s="1690"/>
      <c r="S70" s="1690"/>
      <c r="T70" s="1690"/>
      <c r="U70" s="1426"/>
      <c r="V70" s="1426"/>
      <c r="W70" s="158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row>
    <row r="71" ht="21.75" customHeight="1">
      <c r="A71" s="441"/>
      <c r="B71" s="1094" t="s">
        <v>731</v>
      </c>
      <c r="C71" s="1095">
        <f>'Кузнец'!N102</f>
        <v>2.64</v>
      </c>
      <c r="D71" s="1095">
        <f>'Кузнец'!O102</f>
        <v>7.36</v>
      </c>
      <c r="E71" s="1095">
        <f>'Кузнец'!P102</f>
        <v>21.4</v>
      </c>
      <c r="F71" s="1698" t="s">
        <v>30</v>
      </c>
      <c r="G71" s="1095">
        <f>'Кузнец'!Q102</f>
        <v>174</v>
      </c>
      <c r="H71" s="1095">
        <f>'Кузнец'!R102</f>
        <v>510.32</v>
      </c>
      <c r="I71" s="1095">
        <f>'Кузнец'!S102</f>
        <v>1515.92</v>
      </c>
      <c r="J71" s="428"/>
      <c r="K71" s="428"/>
      <c r="L71" s="428"/>
      <c r="M71" s="428"/>
      <c r="N71" s="428"/>
      <c r="O71" s="428"/>
      <c r="Q71" s="1648"/>
      <c r="R71" s="1690"/>
      <c r="S71" s="1690"/>
      <c r="T71" s="1690"/>
      <c r="U71" s="1426"/>
      <c r="V71" s="1426"/>
      <c r="W71" s="158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row>
    <row r="72" ht="21.75" customHeight="1">
      <c r="A72" s="441"/>
      <c r="B72" s="1693" t="s">
        <v>1548</v>
      </c>
      <c r="C72" s="1694">
        <f>'Кузнец'!N103</f>
        <v>10</v>
      </c>
      <c r="D72" s="1695">
        <f>'Кузнец'!O103</f>
        <v>15</v>
      </c>
      <c r="E72" s="1695">
        <f>'Кузнец'!P103</f>
        <v>20</v>
      </c>
      <c r="F72" s="1696" t="s">
        <v>30</v>
      </c>
      <c r="G72" s="1695">
        <f>'Кузнец'!Q103</f>
        <v>26</v>
      </c>
      <c r="H72" s="1695">
        <f>'Кузнец'!R103</f>
        <v>32</v>
      </c>
      <c r="I72" s="1695">
        <f>'Кузнец'!S103</f>
        <v>39</v>
      </c>
      <c r="J72" s="1186" t="s">
        <v>1549</v>
      </c>
      <c r="K72" s="1187" t="s">
        <v>1465</v>
      </c>
      <c r="L72" s="1188">
        <v>14.0</v>
      </c>
      <c r="M72" s="1697" t="s">
        <v>1657</v>
      </c>
      <c r="N72" s="1186" t="s">
        <v>30</v>
      </c>
      <c r="O72" s="1190" t="s">
        <v>1546</v>
      </c>
      <c r="Q72" s="1648"/>
      <c r="R72" s="1690"/>
      <c r="S72" s="1690"/>
      <c r="T72" s="1690"/>
      <c r="U72" s="1426"/>
      <c r="V72" s="1426"/>
      <c r="W72" s="158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1"/>
      <c r="AZ72" s="441"/>
      <c r="BA72" s="441"/>
    </row>
    <row r="73" ht="21.75" customHeight="1">
      <c r="A73" s="441"/>
      <c r="B73" s="1094" t="s">
        <v>731</v>
      </c>
      <c r="C73" s="1095">
        <f>'Кузнец'!N104</f>
        <v>3.2</v>
      </c>
      <c r="D73" s="1095">
        <f>'Кузнец'!O104</f>
        <v>9.04</v>
      </c>
      <c r="E73" s="1095">
        <f>'Кузнец'!P104</f>
        <v>25.08</v>
      </c>
      <c r="F73" s="1698" t="s">
        <v>30</v>
      </c>
      <c r="G73" s="1095">
        <f>'Кузнец'!Q104</f>
        <v>183.4</v>
      </c>
      <c r="H73" s="1095">
        <f>'Кузнец'!R104</f>
        <v>525.2</v>
      </c>
      <c r="I73" s="1095">
        <f>'Кузнец'!S104</f>
        <v>1538.04</v>
      </c>
      <c r="J73" s="428"/>
      <c r="K73" s="428"/>
      <c r="L73" s="428"/>
      <c r="M73" s="428"/>
      <c r="N73" s="428"/>
      <c r="O73" s="428"/>
      <c r="Q73" s="1648"/>
      <c r="R73" s="1690"/>
      <c r="S73" s="1690"/>
      <c r="T73" s="1690"/>
      <c r="U73" s="1426"/>
      <c r="V73" s="1426"/>
      <c r="W73" s="158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row>
    <row r="74" ht="21.75" customHeight="1">
      <c r="A74" s="441"/>
      <c r="B74" s="1693" t="s">
        <v>1550</v>
      </c>
      <c r="C74" s="1694">
        <f>'Кузнец'!N105</f>
        <v>11</v>
      </c>
      <c r="D74" s="1695">
        <f>'Кузнец'!O105</f>
        <v>16</v>
      </c>
      <c r="E74" s="1695">
        <f>'Кузнец'!P105</f>
        <v>21</v>
      </c>
      <c r="F74" s="1696" t="s">
        <v>30</v>
      </c>
      <c r="G74" s="1695">
        <f>'Кузнец'!Q105</f>
        <v>27</v>
      </c>
      <c r="H74" s="1695">
        <f>'Кузнец'!R105</f>
        <v>33</v>
      </c>
      <c r="I74" s="1695">
        <f>'Кузнец'!S105</f>
        <v>40</v>
      </c>
      <c r="J74" s="1186" t="s">
        <v>1551</v>
      </c>
      <c r="K74" s="1187" t="s">
        <v>1465</v>
      </c>
      <c r="L74" s="1188">
        <v>14.0</v>
      </c>
      <c r="M74" s="1697" t="s">
        <v>1657</v>
      </c>
      <c r="N74" s="1186" t="s">
        <v>30</v>
      </c>
      <c r="O74" s="1190" t="s">
        <v>1546</v>
      </c>
      <c r="Q74" s="1648"/>
      <c r="R74" s="1690"/>
      <c r="S74" s="1690"/>
      <c r="T74" s="1690"/>
      <c r="U74" s="1426"/>
      <c r="V74" s="1426"/>
      <c r="W74" s="158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row>
    <row r="75">
      <c r="A75" s="441"/>
      <c r="B75" s="1094" t="s">
        <v>731</v>
      </c>
      <c r="C75" s="1095">
        <f>'Кузнец'!N106</f>
        <v>4.72</v>
      </c>
      <c r="D75" s="1095">
        <f>'Кузнец'!O106</f>
        <v>12.64</v>
      </c>
      <c r="E75" s="1095">
        <f>'Кузнец'!P106</f>
        <v>31.96</v>
      </c>
      <c r="F75" s="1698" t="s">
        <v>30</v>
      </c>
      <c r="G75" s="1095">
        <f>'Кузнец'!Q106</f>
        <v>198.4</v>
      </c>
      <c r="H75" s="1095">
        <f>'Кузнец'!R106</f>
        <v>547.76</v>
      </c>
      <c r="I75" s="1095">
        <f>'Кузнец'!S106</f>
        <v>1570.24</v>
      </c>
      <c r="J75" s="428"/>
      <c r="K75" s="428"/>
      <c r="L75" s="428"/>
      <c r="M75" s="428"/>
      <c r="N75" s="428"/>
      <c r="O75" s="428"/>
      <c r="Q75" s="1648"/>
      <c r="R75" s="1690"/>
      <c r="S75" s="1690"/>
      <c r="T75" s="1690"/>
      <c r="U75" s="1426"/>
      <c r="V75" s="1426"/>
      <c r="W75" s="158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row>
    <row r="76">
      <c r="A76" s="441"/>
      <c r="B76" s="1693" t="s">
        <v>1552</v>
      </c>
      <c r="C76" s="1694">
        <f>'Кузнец'!N107</f>
        <v>12</v>
      </c>
      <c r="D76" s="1695">
        <f>'Кузнец'!O107</f>
        <v>17</v>
      </c>
      <c r="E76" s="1695">
        <f>'Кузнец'!P107</f>
        <v>22</v>
      </c>
      <c r="F76" s="1696" t="s">
        <v>30</v>
      </c>
      <c r="G76" s="1695">
        <f>'Кузнец'!Q107</f>
        <v>28</v>
      </c>
      <c r="H76" s="1695">
        <f>'Кузнец'!R107</f>
        <v>34</v>
      </c>
      <c r="I76" s="1695">
        <f>'Кузнец'!S107</f>
        <v>41</v>
      </c>
      <c r="J76" s="1186" t="s">
        <v>1553</v>
      </c>
      <c r="K76" s="1187" t="s">
        <v>1465</v>
      </c>
      <c r="L76" s="1188">
        <v>14.0</v>
      </c>
      <c r="M76" s="1697" t="s">
        <v>2166</v>
      </c>
      <c r="N76" s="1186" t="s">
        <v>30</v>
      </c>
      <c r="O76" s="1190" t="s">
        <v>1546</v>
      </c>
      <c r="Q76" s="1648"/>
      <c r="R76" s="1690"/>
      <c r="S76" s="1690"/>
      <c r="T76" s="1690"/>
      <c r="U76" s="1426"/>
      <c r="V76" s="1426"/>
      <c r="W76" s="158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row>
    <row r="77">
      <c r="A77" s="441"/>
      <c r="B77" s="1094" t="s">
        <v>731</v>
      </c>
      <c r="C77" s="1095">
        <f>'Кузнец'!N108</f>
        <v>7.68</v>
      </c>
      <c r="D77" s="1095">
        <f>'Кузнец'!O108</f>
        <v>18.88</v>
      </c>
      <c r="E77" s="1095">
        <f>'Кузнец'!P108</f>
        <v>43</v>
      </c>
      <c r="F77" s="1698" t="s">
        <v>30</v>
      </c>
      <c r="G77" s="1095">
        <f>'Кузнец'!Q108</f>
        <v>220.2</v>
      </c>
      <c r="H77" s="1095">
        <f>'Кузнец'!R108</f>
        <v>579.44</v>
      </c>
      <c r="I77" s="1095">
        <f>'Кузнец'!S108</f>
        <v>1614.2</v>
      </c>
      <c r="J77" s="428"/>
      <c r="K77" s="428"/>
      <c r="L77" s="428"/>
      <c r="M77" s="428"/>
      <c r="N77" s="428"/>
      <c r="O77" s="428"/>
      <c r="Q77" s="1648"/>
      <c r="R77" s="1690"/>
      <c r="S77" s="1690"/>
      <c r="T77" s="1690"/>
      <c r="U77" s="1426"/>
      <c r="V77" s="1426"/>
      <c r="W77" s="158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row>
    <row r="78">
      <c r="A78" s="441"/>
      <c r="B78" s="1699" t="s">
        <v>1556</v>
      </c>
      <c r="C78" s="1193"/>
      <c r="D78" s="1193"/>
      <c r="E78" s="1193"/>
      <c r="F78" s="1193"/>
      <c r="G78" s="1193"/>
      <c r="H78" s="1193"/>
      <c r="I78" s="1193"/>
      <c r="J78" s="1193"/>
      <c r="K78" s="1193"/>
      <c r="L78" s="1193"/>
      <c r="M78" s="1193"/>
      <c r="N78" s="1193"/>
      <c r="O78" s="1195"/>
      <c r="Q78" s="1648"/>
      <c r="R78" s="1690"/>
      <c r="S78" s="1690"/>
      <c r="T78" s="1690"/>
      <c r="U78" s="1426"/>
      <c r="V78" s="1426"/>
      <c r="W78" s="158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row>
    <row r="79">
      <c r="A79" s="441"/>
      <c r="B79" s="1700" t="s">
        <v>1558</v>
      </c>
      <c r="C79" s="1701">
        <v>14.0</v>
      </c>
      <c r="D79" s="1702">
        <f t="shared" ref="D79:E79" si="7">C79+6</f>
        <v>20</v>
      </c>
      <c r="E79" s="1702">
        <f t="shared" si="7"/>
        <v>26</v>
      </c>
      <c r="F79" s="1703" t="s">
        <v>30</v>
      </c>
      <c r="G79" s="1702">
        <f>E79+7</f>
        <v>33</v>
      </c>
      <c r="H79" s="1702">
        <f>G79+7</f>
        <v>40</v>
      </c>
      <c r="I79" s="1702">
        <f>H79+8</f>
        <v>48</v>
      </c>
      <c r="J79" s="1199" t="s">
        <v>1559</v>
      </c>
      <c r="K79" s="1200" t="s">
        <v>1460</v>
      </c>
      <c r="L79" s="1201">
        <v>10.0</v>
      </c>
      <c r="M79" s="1203" t="s">
        <v>779</v>
      </c>
      <c r="N79" s="1203" t="s">
        <v>1196</v>
      </c>
      <c r="O79" s="1204" t="s">
        <v>1560</v>
      </c>
      <c r="Q79" s="1648"/>
      <c r="R79" s="1690"/>
      <c r="S79" s="1690"/>
      <c r="T79" s="1690"/>
      <c r="U79" s="1426"/>
      <c r="V79" s="1426"/>
      <c r="W79" s="158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row>
    <row r="80">
      <c r="A80" s="441"/>
      <c r="B80" s="1094" t="s">
        <v>731</v>
      </c>
      <c r="C80" s="1095">
        <f>'Кузнец'!N111</f>
        <v>4.69</v>
      </c>
      <c r="D80" s="1095">
        <f>'Кузнец'!O111</f>
        <v>13.16</v>
      </c>
      <c r="E80" s="1095">
        <f>'Кузнец'!P111</f>
        <v>38.08</v>
      </c>
      <c r="F80" s="1698" t="s">
        <v>30</v>
      </c>
      <c r="G80" s="1095">
        <f>'Кузнец'!Q111</f>
        <v>306.25</v>
      </c>
      <c r="H80" s="1095">
        <f>'Кузнец'!R111</f>
        <v>895.58</v>
      </c>
      <c r="I80" s="1095">
        <f>'Кузнец'!S111</f>
        <v>2656.29</v>
      </c>
      <c r="J80" s="428"/>
      <c r="K80" s="428"/>
      <c r="L80" s="428"/>
      <c r="M80" s="428"/>
      <c r="N80" s="428"/>
      <c r="O80" s="428"/>
      <c r="Q80" s="1648"/>
      <c r="R80" s="1690"/>
      <c r="S80" s="1690"/>
      <c r="T80" s="1690"/>
      <c r="U80" s="1426"/>
      <c r="V80" s="1426"/>
      <c r="W80" s="158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row>
    <row r="81" ht="21.75" customHeight="1">
      <c r="A81" s="441"/>
      <c r="B81" s="1700" t="s">
        <v>1562</v>
      </c>
      <c r="C81" s="1701">
        <f>'Кузнец'!N112</f>
        <v>15</v>
      </c>
      <c r="D81" s="1702">
        <f>'Кузнец'!O112</f>
        <v>21</v>
      </c>
      <c r="E81" s="1702">
        <f>'Кузнец'!P112</f>
        <v>27</v>
      </c>
      <c r="F81" s="1703" t="s">
        <v>30</v>
      </c>
      <c r="G81" s="1702">
        <f>'Кузнец'!Q112</f>
        <v>34</v>
      </c>
      <c r="H81" s="1702">
        <f>'Кузнец'!R112</f>
        <v>41</v>
      </c>
      <c r="I81" s="1702">
        <f>'Кузнец'!S112</f>
        <v>49</v>
      </c>
      <c r="J81" s="1199" t="s">
        <v>1563</v>
      </c>
      <c r="K81" s="1200" t="s">
        <v>1465</v>
      </c>
      <c r="L81" s="1201">
        <v>10.0</v>
      </c>
      <c r="M81" s="1203" t="s">
        <v>779</v>
      </c>
      <c r="N81" s="1203" t="s">
        <v>1196</v>
      </c>
      <c r="O81" s="1204" t="s">
        <v>1560</v>
      </c>
      <c r="Q81" s="1648"/>
      <c r="R81" s="1690"/>
      <c r="S81" s="1690"/>
      <c r="T81" s="1690"/>
      <c r="U81" s="1426"/>
      <c r="V81" s="1426"/>
      <c r="W81" s="158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row>
    <row r="82" ht="21.75" customHeight="1">
      <c r="A82" s="441"/>
      <c r="B82" s="1094" t="s">
        <v>731</v>
      </c>
      <c r="C82" s="1095">
        <f>'Кузнец'!N113</f>
        <v>6.16</v>
      </c>
      <c r="D82" s="1095">
        <f>'Кузнец'!O113</f>
        <v>17.08</v>
      </c>
      <c r="E82" s="1095">
        <f>'Кузнец'!P113</f>
        <v>46.13</v>
      </c>
      <c r="F82" s="1698" t="s">
        <v>30</v>
      </c>
      <c r="G82" s="1095">
        <f>'Кузнец'!Q113</f>
        <v>325.99</v>
      </c>
      <c r="H82" s="1095">
        <f>'Кузнец'!R113</f>
        <v>925.96</v>
      </c>
      <c r="I82" s="1095">
        <f>'Кузнец'!S113</f>
        <v>2700.53</v>
      </c>
      <c r="J82" s="428"/>
      <c r="K82" s="428"/>
      <c r="L82" s="428"/>
      <c r="M82" s="428"/>
      <c r="N82" s="428"/>
      <c r="O82" s="428"/>
      <c r="Q82" s="1648"/>
      <c r="R82" s="1690"/>
      <c r="S82" s="1690"/>
      <c r="T82" s="1690"/>
      <c r="U82" s="1426"/>
      <c r="V82" s="1426"/>
      <c r="W82" s="158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row>
    <row r="83" ht="21.75" customHeight="1">
      <c r="A83" s="441"/>
      <c r="B83" s="1700" t="s">
        <v>1565</v>
      </c>
      <c r="C83" s="1701">
        <f>'Кузнец'!N114</f>
        <v>16</v>
      </c>
      <c r="D83" s="1702">
        <f>'Кузнец'!O114</f>
        <v>22</v>
      </c>
      <c r="E83" s="1702">
        <f>'Кузнец'!P114</f>
        <v>28</v>
      </c>
      <c r="F83" s="1703" t="s">
        <v>30</v>
      </c>
      <c r="G83" s="1702">
        <f>'Кузнец'!Q114</f>
        <v>35</v>
      </c>
      <c r="H83" s="1702">
        <f>'Кузнец'!R114</f>
        <v>42</v>
      </c>
      <c r="I83" s="1702">
        <f>'Кузнец'!S114</f>
        <v>50</v>
      </c>
      <c r="J83" s="1199" t="s">
        <v>1566</v>
      </c>
      <c r="K83" s="1200" t="s">
        <v>1465</v>
      </c>
      <c r="L83" s="1201">
        <v>10.0</v>
      </c>
      <c r="M83" s="1203" t="s">
        <v>779</v>
      </c>
      <c r="N83" s="1203" t="s">
        <v>1196</v>
      </c>
      <c r="O83" s="1204" t="s">
        <v>1560</v>
      </c>
      <c r="Q83" s="1648"/>
      <c r="R83" s="1690"/>
      <c r="S83" s="1690"/>
      <c r="T83" s="1690"/>
      <c r="U83" s="1426"/>
      <c r="V83" s="1426"/>
      <c r="W83" s="158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row>
    <row r="84" ht="21.75" customHeight="1">
      <c r="A84" s="441"/>
      <c r="B84" s="1094" t="s">
        <v>731</v>
      </c>
      <c r="C84" s="1095">
        <f>'Кузнец'!N115</f>
        <v>10.15</v>
      </c>
      <c r="D84" s="1095">
        <f>'Кузнец'!O115</f>
        <v>25.48</v>
      </c>
      <c r="E84" s="1095">
        <f>'Кузнец'!P115</f>
        <v>61.18</v>
      </c>
      <c r="F84" s="1698" t="s">
        <v>30</v>
      </c>
      <c r="G84" s="1095">
        <f>'Кузнец'!Q115</f>
        <v>357.49</v>
      </c>
      <c r="H84" s="1095">
        <f>'Кузнец'!R115</f>
        <v>972.02</v>
      </c>
      <c r="I84" s="1095">
        <f>'Кузнец'!S115</f>
        <v>2764.93</v>
      </c>
      <c r="J84" s="428"/>
      <c r="K84" s="428"/>
      <c r="L84" s="428"/>
      <c r="M84" s="428"/>
      <c r="N84" s="428"/>
      <c r="O84" s="428"/>
      <c r="Q84" s="1648"/>
      <c r="R84" s="1690"/>
      <c r="S84" s="1690"/>
      <c r="T84" s="1690"/>
      <c r="U84" s="1426"/>
      <c r="V84" s="1426"/>
      <c r="W84" s="158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row>
    <row r="85">
      <c r="A85" s="441"/>
      <c r="B85" s="1700" t="s">
        <v>1567</v>
      </c>
      <c r="C85" s="1701">
        <f>'Кузнец'!N116</f>
        <v>17</v>
      </c>
      <c r="D85" s="1702">
        <f>'Кузнец'!O116</f>
        <v>23</v>
      </c>
      <c r="E85" s="1702">
        <f>'Кузнец'!P116</f>
        <v>29</v>
      </c>
      <c r="F85" s="1703" t="s">
        <v>30</v>
      </c>
      <c r="G85" s="1702">
        <f>'Кузнец'!Q116</f>
        <v>36</v>
      </c>
      <c r="H85" s="1702">
        <f>'Кузнец'!R116</f>
        <v>43</v>
      </c>
      <c r="I85" s="1702">
        <f>'Кузнец'!S116</f>
        <v>51</v>
      </c>
      <c r="J85" s="1199" t="s">
        <v>1568</v>
      </c>
      <c r="K85" s="1200" t="s">
        <v>1465</v>
      </c>
      <c r="L85" s="1201">
        <v>10.0</v>
      </c>
      <c r="M85" s="1203" t="s">
        <v>1657</v>
      </c>
      <c r="N85" s="1203" t="s">
        <v>1196</v>
      </c>
      <c r="O85" s="1204" t="s">
        <v>1560</v>
      </c>
      <c r="Q85" s="1648"/>
      <c r="R85" s="1690"/>
      <c r="S85" s="1690"/>
      <c r="T85" s="1690"/>
      <c r="U85" s="1426"/>
      <c r="V85" s="1426"/>
      <c r="W85" s="158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row>
    <row r="86">
      <c r="A86" s="441"/>
      <c r="B86" s="1094" t="s">
        <v>731</v>
      </c>
      <c r="C86" s="1095">
        <f>'Кузнец'!N117</f>
        <v>17.92</v>
      </c>
      <c r="D86" s="1095">
        <f>'Кузнец'!O117</f>
        <v>40.04</v>
      </c>
      <c r="E86" s="1095">
        <f>'Кузнец'!P117</f>
        <v>85.33</v>
      </c>
      <c r="F86" s="1698" t="s">
        <v>30</v>
      </c>
      <c r="G86" s="1095">
        <f>'Кузнец'!Q117</f>
        <v>403.27</v>
      </c>
      <c r="H86" s="1095">
        <f>'Кузнец'!R117</f>
        <v>1036.7</v>
      </c>
      <c r="I86" s="1095">
        <f>'Кузнец'!S117</f>
        <v>2852.85</v>
      </c>
      <c r="J86" s="428"/>
      <c r="K86" s="428"/>
      <c r="L86" s="428"/>
      <c r="M86" s="428"/>
      <c r="N86" s="428"/>
      <c r="O86" s="428"/>
      <c r="Q86" s="1648"/>
      <c r="R86" s="1690"/>
      <c r="S86" s="1690"/>
      <c r="T86" s="1690"/>
      <c r="U86" s="1426"/>
      <c r="V86" s="1426"/>
      <c r="W86" s="158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row>
    <row r="87">
      <c r="A87" s="441"/>
      <c r="B87" s="1704" t="s">
        <v>1569</v>
      </c>
      <c r="C87" s="1207"/>
      <c r="D87" s="1207"/>
      <c r="E87" s="1207"/>
      <c r="F87" s="1207"/>
      <c r="G87" s="1207"/>
      <c r="H87" s="1207"/>
      <c r="I87" s="1207"/>
      <c r="J87" s="1207"/>
      <c r="K87" s="1207"/>
      <c r="L87" s="1207"/>
      <c r="M87" s="1207"/>
      <c r="N87" s="1207"/>
      <c r="O87" s="1209"/>
      <c r="Q87" s="1648"/>
      <c r="R87" s="1690"/>
      <c r="S87" s="1690"/>
      <c r="T87" s="1690"/>
      <c r="U87" s="1426"/>
      <c r="V87" s="1426"/>
      <c r="W87" s="158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row>
    <row r="88">
      <c r="A88" s="441"/>
      <c r="B88" s="1705" t="s">
        <v>1570</v>
      </c>
      <c r="C88" s="1706">
        <v>18.0</v>
      </c>
      <c r="D88" s="1707">
        <f t="shared" ref="D88:E88" si="8">C88+7</f>
        <v>25</v>
      </c>
      <c r="E88" s="1707">
        <f t="shared" si="8"/>
        <v>32</v>
      </c>
      <c r="F88" s="1708" t="s">
        <v>30</v>
      </c>
      <c r="G88" s="1707">
        <f>E88+8</f>
        <v>40</v>
      </c>
      <c r="H88" s="1707">
        <f>G88+8</f>
        <v>48</v>
      </c>
      <c r="I88" s="1707">
        <f>H88+9</f>
        <v>57</v>
      </c>
      <c r="J88" s="1213" t="s">
        <v>1530</v>
      </c>
      <c r="K88" s="1214" t="s">
        <v>1460</v>
      </c>
      <c r="L88" s="1215">
        <v>6.0</v>
      </c>
      <c r="M88" s="1217" t="s">
        <v>2179</v>
      </c>
      <c r="N88" s="1217" t="s">
        <v>1199</v>
      </c>
      <c r="O88" s="1218" t="s">
        <v>1571</v>
      </c>
      <c r="Q88" s="1648"/>
      <c r="R88" s="1690"/>
      <c r="S88" s="1690"/>
      <c r="T88" s="1690"/>
      <c r="U88" s="1426"/>
      <c r="V88" s="1426"/>
      <c r="W88" s="158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row>
    <row r="89" ht="15.0" customHeight="1">
      <c r="A89" s="441"/>
      <c r="B89" s="1094" t="s">
        <v>731</v>
      </c>
      <c r="C89" s="1095">
        <f>'Кузнец'!N120</f>
        <v>7.48</v>
      </c>
      <c r="D89" s="1095">
        <f>'Кузнец'!O120</f>
        <v>21.12</v>
      </c>
      <c r="E89" s="1095">
        <f>'Кузнец'!P120</f>
        <v>60.83</v>
      </c>
      <c r="F89" s="1698" t="s">
        <v>30</v>
      </c>
      <c r="G89" s="1095">
        <f>'Кузнец'!Q120</f>
        <v>484</v>
      </c>
      <c r="H89" s="1095">
        <f>'Кузнец'!R120</f>
        <v>1411.3</v>
      </c>
      <c r="I89" s="1095">
        <f>'Кузнец'!S120</f>
        <v>4179.56</v>
      </c>
      <c r="J89" s="428"/>
      <c r="K89" s="428"/>
      <c r="L89" s="428"/>
      <c r="M89" s="428"/>
      <c r="N89" s="428"/>
      <c r="O89" s="428"/>
      <c r="Q89" s="1648"/>
      <c r="R89" s="1690"/>
      <c r="S89" s="1690"/>
      <c r="T89" s="1690"/>
      <c r="U89" s="1426"/>
      <c r="V89" s="1426"/>
      <c r="W89" s="158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row>
    <row r="90">
      <c r="A90" s="441"/>
      <c r="B90" s="1705" t="s">
        <v>1573</v>
      </c>
      <c r="C90" s="1706">
        <f>'Кузнец'!N121</f>
        <v>20</v>
      </c>
      <c r="D90" s="1707">
        <f>'Кузнец'!O121</f>
        <v>27</v>
      </c>
      <c r="E90" s="1707">
        <f>'Кузнец'!P121</f>
        <v>34</v>
      </c>
      <c r="F90" s="1708" t="s">
        <v>30</v>
      </c>
      <c r="G90" s="1707">
        <f>'Кузнец'!Q121</f>
        <v>42</v>
      </c>
      <c r="H90" s="1707">
        <f>'Кузнец'!R121</f>
        <v>50</v>
      </c>
      <c r="I90" s="1707">
        <f>'Кузнец'!S121</f>
        <v>59</v>
      </c>
      <c r="J90" s="1213" t="s">
        <v>1574</v>
      </c>
      <c r="K90" s="1214" t="s">
        <v>1465</v>
      </c>
      <c r="L90" s="1215">
        <v>6.0</v>
      </c>
      <c r="M90" s="1217" t="s">
        <v>2179</v>
      </c>
      <c r="N90" s="1217" t="s">
        <v>1199</v>
      </c>
      <c r="O90" s="1218" t="s">
        <v>1571</v>
      </c>
      <c r="Q90" s="1648"/>
      <c r="R90" s="1690"/>
      <c r="S90" s="1690"/>
      <c r="T90" s="1690"/>
      <c r="U90" s="1426"/>
      <c r="V90" s="1426"/>
      <c r="W90" s="158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row>
    <row r="91" ht="21.75" customHeight="1">
      <c r="A91" s="441"/>
      <c r="B91" s="1094" t="s">
        <v>731</v>
      </c>
      <c r="C91" s="1095">
        <f>'Кузнец'!N122</f>
        <v>10.56</v>
      </c>
      <c r="D91" s="1095">
        <f>'Кузнец'!O122</f>
        <v>28.82</v>
      </c>
      <c r="E91" s="1095">
        <f>'Кузнец'!P122</f>
        <v>76.01</v>
      </c>
      <c r="F91" s="1698" t="s">
        <v>30</v>
      </c>
      <c r="G91" s="1095">
        <f>'Кузнец'!Q122</f>
        <v>520.19</v>
      </c>
      <c r="H91" s="1095">
        <f>'Кузнец'!R122</f>
        <v>1465.86</v>
      </c>
      <c r="I91" s="1095">
        <f>'Кузнец'!S122</f>
        <v>4257.77</v>
      </c>
      <c r="J91" s="428"/>
      <c r="K91" s="428"/>
      <c r="L91" s="428"/>
      <c r="M91" s="428"/>
      <c r="N91" s="428"/>
      <c r="O91" s="428"/>
      <c r="Q91" s="1648"/>
      <c r="R91" s="1690"/>
      <c r="S91" s="1690"/>
      <c r="T91" s="1690"/>
      <c r="U91" s="1426"/>
      <c r="V91" s="1426"/>
      <c r="W91" s="158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row>
    <row r="92" ht="21.75" customHeight="1">
      <c r="A92" s="441"/>
      <c r="B92" s="1705" t="s">
        <v>1575</v>
      </c>
      <c r="C92" s="1706">
        <f>'Кузнец'!N123</f>
        <v>22</v>
      </c>
      <c r="D92" s="1707">
        <f>'Кузнец'!O123</f>
        <v>29</v>
      </c>
      <c r="E92" s="1707">
        <f>'Кузнец'!P123</f>
        <v>36</v>
      </c>
      <c r="F92" s="1708" t="s">
        <v>30</v>
      </c>
      <c r="G92" s="1707">
        <f>'Кузнец'!Q123</f>
        <v>44</v>
      </c>
      <c r="H92" s="1707">
        <f>'Кузнец'!R123</f>
        <v>52</v>
      </c>
      <c r="I92" s="1707">
        <f>'Кузнец'!S123</f>
        <v>61</v>
      </c>
      <c r="J92" s="1213" t="s">
        <v>1576</v>
      </c>
      <c r="K92" s="1214" t="s">
        <v>1465</v>
      </c>
      <c r="L92" s="1215">
        <v>6.0</v>
      </c>
      <c r="M92" s="1217" t="s">
        <v>2179</v>
      </c>
      <c r="N92" s="1217" t="s">
        <v>1199</v>
      </c>
      <c r="O92" s="1218" t="s">
        <v>1571</v>
      </c>
      <c r="Q92" s="1648"/>
      <c r="R92" s="1690"/>
      <c r="S92" s="1690"/>
      <c r="T92" s="1690"/>
      <c r="U92" s="1426"/>
      <c r="V92" s="1426"/>
      <c r="W92" s="158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row>
    <row r="93" ht="21.75" customHeight="1">
      <c r="A93" s="441"/>
      <c r="B93" s="1094" t="s">
        <v>731</v>
      </c>
      <c r="C93" s="1095">
        <f>'Кузнец'!N124</f>
        <v>18.92</v>
      </c>
      <c r="D93" s="1095">
        <f>'Кузнец'!O124</f>
        <v>45.32</v>
      </c>
      <c r="E93" s="1095">
        <f>'Кузнец'!P124</f>
        <v>104.39</v>
      </c>
      <c r="F93" s="1698" t="s">
        <v>30</v>
      </c>
      <c r="G93" s="1095">
        <f>'Кузнец'!Q124</f>
        <v>577.94</v>
      </c>
      <c r="H93" s="1095">
        <f>'Кузнец'!R124</f>
        <v>1548.58</v>
      </c>
      <c r="I93" s="1095">
        <f>'Кузнец'!S124</f>
        <v>4371.62</v>
      </c>
      <c r="J93" s="428"/>
      <c r="K93" s="428"/>
      <c r="L93" s="428"/>
      <c r="M93" s="428"/>
      <c r="N93" s="428"/>
      <c r="O93" s="428"/>
      <c r="Q93" s="1648"/>
      <c r="R93" s="1690"/>
      <c r="S93" s="1690"/>
      <c r="T93" s="1690"/>
      <c r="U93" s="1426"/>
      <c r="V93" s="1426"/>
      <c r="W93" s="158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441"/>
      <c r="BA93" s="441"/>
    </row>
    <row r="94" ht="21.75" customHeight="1">
      <c r="A94" s="441"/>
      <c r="B94" s="1705" t="s">
        <v>1577</v>
      </c>
      <c r="C94" s="1706">
        <f>'Кузнец'!N125</f>
        <v>24</v>
      </c>
      <c r="D94" s="1707">
        <f>'Кузнец'!O125</f>
        <v>31</v>
      </c>
      <c r="E94" s="1707">
        <f>'Кузнец'!P125</f>
        <v>38</v>
      </c>
      <c r="F94" s="1708" t="s">
        <v>30</v>
      </c>
      <c r="G94" s="1707">
        <f>'Кузнец'!Q125</f>
        <v>46</v>
      </c>
      <c r="H94" s="1707">
        <f>'Кузнец'!R125</f>
        <v>54</v>
      </c>
      <c r="I94" s="1707">
        <f>'Кузнец'!S125</f>
        <v>63</v>
      </c>
      <c r="J94" s="1213" t="s">
        <v>1578</v>
      </c>
      <c r="K94" s="1214" t="s">
        <v>1465</v>
      </c>
      <c r="L94" s="1215">
        <v>6.0</v>
      </c>
      <c r="M94" s="1217" t="s">
        <v>779</v>
      </c>
      <c r="N94" s="1217" t="s">
        <v>1199</v>
      </c>
      <c r="O94" s="1218" t="s">
        <v>1571</v>
      </c>
      <c r="Q94" s="1648"/>
      <c r="R94" s="1690"/>
      <c r="S94" s="1690"/>
      <c r="T94" s="1690"/>
      <c r="U94" s="1426"/>
      <c r="V94" s="1426"/>
      <c r="W94" s="158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row>
    <row r="95">
      <c r="A95" s="441"/>
      <c r="B95" s="1094" t="s">
        <v>731</v>
      </c>
      <c r="C95" s="1095">
        <f>'Кузнец'!N126</f>
        <v>35.2</v>
      </c>
      <c r="D95" s="1095">
        <f>'Кузнец'!O126</f>
        <v>73.92</v>
      </c>
      <c r="E95" s="1095">
        <f>'Кузнец'!P126</f>
        <v>149.93</v>
      </c>
      <c r="F95" s="1698" t="s">
        <v>30</v>
      </c>
      <c r="G95" s="1095">
        <f>'Кузнец'!Q126</f>
        <v>661.87</v>
      </c>
      <c r="H95" s="1095">
        <f>'Кузнец'!R126</f>
        <v>1664.74</v>
      </c>
      <c r="I95" s="1095">
        <f>'Кузнец'!S126</f>
        <v>4527.05</v>
      </c>
      <c r="J95" s="428"/>
      <c r="K95" s="428"/>
      <c r="L95" s="428"/>
      <c r="M95" s="428"/>
      <c r="N95" s="428"/>
      <c r="O95" s="428"/>
      <c r="Q95" s="1648"/>
      <c r="R95" s="1690"/>
      <c r="S95" s="1690"/>
      <c r="T95" s="1690"/>
      <c r="U95" s="1426"/>
      <c r="V95" s="1426"/>
      <c r="W95" s="158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row>
    <row r="96">
      <c r="A96" s="441"/>
      <c r="B96" s="441"/>
      <c r="C96" s="441"/>
      <c r="D96" s="441"/>
      <c r="E96" s="441"/>
      <c r="F96" s="441"/>
      <c r="G96" s="441"/>
      <c r="H96" s="441"/>
      <c r="I96" s="441"/>
      <c r="J96" s="441"/>
      <c r="K96" s="441"/>
      <c r="L96" s="441"/>
      <c r="M96" s="1709"/>
      <c r="N96" s="1709"/>
      <c r="O96" s="1710"/>
      <c r="Q96" s="1648"/>
      <c r="R96" s="1690"/>
      <c r="S96" s="1690"/>
      <c r="T96" s="1690"/>
      <c r="U96" s="1426"/>
      <c r="V96" s="1426"/>
      <c r="W96" s="158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row>
    <row r="97">
      <c r="A97" s="441"/>
      <c r="B97" s="1711" t="s">
        <v>1696</v>
      </c>
      <c r="C97" s="228"/>
      <c r="D97" s="228"/>
      <c r="E97" s="228"/>
      <c r="F97" s="228"/>
      <c r="G97" s="228"/>
      <c r="H97" s="228"/>
      <c r="I97" s="665"/>
      <c r="J97" s="1712" t="s">
        <v>1543</v>
      </c>
      <c r="K97" s="1713" t="s">
        <v>176</v>
      </c>
      <c r="L97" s="1713" t="s">
        <v>181</v>
      </c>
      <c r="M97" s="427" t="s">
        <v>326</v>
      </c>
      <c r="N97" s="1713" t="s">
        <v>25</v>
      </c>
      <c r="O97" s="1713" t="s">
        <v>1450</v>
      </c>
      <c r="Q97" s="441"/>
      <c r="R97" s="441"/>
      <c r="S97" s="441"/>
      <c r="T97" s="441"/>
      <c r="U97" s="441"/>
      <c r="V97" s="441"/>
      <c r="W97" s="158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row>
    <row r="98">
      <c r="A98" s="441"/>
      <c r="B98" s="1714" t="s">
        <v>1689</v>
      </c>
      <c r="C98" s="1351"/>
      <c r="D98" s="1351"/>
      <c r="E98" s="1351"/>
      <c r="F98" s="1351"/>
      <c r="G98" s="1351"/>
      <c r="H98" s="1351"/>
      <c r="I98" s="1351"/>
      <c r="J98" s="1351"/>
      <c r="K98" s="1351"/>
      <c r="L98" s="1351"/>
      <c r="M98" s="1351"/>
      <c r="N98" s="1351"/>
      <c r="O98" s="1352"/>
      <c r="Q98" s="441"/>
      <c r="R98" s="441"/>
      <c r="S98" s="441"/>
      <c r="T98" s="441"/>
      <c r="U98" s="441"/>
      <c r="V98" s="441"/>
      <c r="W98" s="158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row>
    <row r="99">
      <c r="A99" s="441"/>
      <c r="B99" s="1715" t="s">
        <v>1451</v>
      </c>
      <c r="C99" s="1355" t="str">
        <f>'Плотник'!N56</f>
        <v>Орешник</v>
      </c>
      <c r="D99" s="1355" t="str">
        <f>'Плотник'!O56</f>
        <v>Клён</v>
      </c>
      <c r="E99" s="1355" t="str">
        <f>'Плотник'!P56</f>
        <v>Ясень</v>
      </c>
      <c r="F99" s="1355" t="str">
        <f>'Плотник'!Q56</f>
        <v>Вяз</v>
      </c>
      <c r="G99" s="1355" t="str">
        <f>'Плотник'!R56</f>
        <v>Кедр</v>
      </c>
      <c r="H99" s="1355" t="str">
        <f>'Плотник'!S56</f>
        <v>Бальза</v>
      </c>
      <c r="I99" s="1355" t="str">
        <f>'Плотник'!T56</f>
        <v>Тис</v>
      </c>
      <c r="J99" s="1356"/>
      <c r="K99" s="1356"/>
      <c r="L99" s="1356"/>
      <c r="M99" s="1356"/>
      <c r="N99" s="1356"/>
      <c r="O99" s="1356"/>
      <c r="Q99" s="441"/>
      <c r="R99" s="441"/>
      <c r="S99" s="441"/>
      <c r="T99" s="441"/>
      <c r="U99" s="441"/>
      <c r="V99" s="441"/>
      <c r="W99" s="158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row>
    <row r="100">
      <c r="A100" s="441"/>
      <c r="B100" s="1716" t="s">
        <v>1545</v>
      </c>
      <c r="C100" s="1359">
        <f>'Плотник'!N57</f>
        <v>5</v>
      </c>
      <c r="D100" s="1359">
        <f>'Плотник'!O57</f>
        <v>7</v>
      </c>
      <c r="E100" s="1359">
        <f>'Плотник'!P57</f>
        <v>10</v>
      </c>
      <c r="F100" s="1359">
        <f>'Плотник'!Q57</f>
        <v>13</v>
      </c>
      <c r="G100" s="1359">
        <f>'Плотник'!R57</f>
        <v>16</v>
      </c>
      <c r="H100" s="1359">
        <f>'Плотник'!S57</f>
        <v>19</v>
      </c>
      <c r="I100" s="1359">
        <f>'Плотник'!T57</f>
        <v>20</v>
      </c>
      <c r="J100" s="1360" t="s">
        <v>1182</v>
      </c>
      <c r="K100" s="1361" t="s">
        <v>1698</v>
      </c>
      <c r="L100" s="1362">
        <v>14.0</v>
      </c>
      <c r="M100" s="1717" t="s">
        <v>1657</v>
      </c>
      <c r="N100" s="1360" t="s">
        <v>30</v>
      </c>
      <c r="O100" s="1364" t="s">
        <v>1546</v>
      </c>
      <c r="Q100" s="441"/>
      <c r="R100" s="441"/>
      <c r="S100" s="441"/>
      <c r="T100" s="441"/>
      <c r="U100" s="441"/>
      <c r="V100" s="441"/>
      <c r="W100" s="158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row>
    <row r="101">
      <c r="A101" s="441"/>
      <c r="B101" s="1718" t="s">
        <v>1699</v>
      </c>
      <c r="C101" s="1367">
        <f>'Плотник'!N58</f>
        <v>0.56</v>
      </c>
      <c r="D101" s="1367">
        <f>'Плотник'!O58</f>
        <v>1.76</v>
      </c>
      <c r="E101" s="1367">
        <f>'Плотник'!P58</f>
        <v>5.04</v>
      </c>
      <c r="F101" s="1367">
        <f>'Плотник'!Q58</f>
        <v>14.24</v>
      </c>
      <c r="G101" s="1367">
        <f>'Плотник'!R58</f>
        <v>40.88</v>
      </c>
      <c r="H101" s="1367">
        <f>'Плотник'!S58</f>
        <v>119.52</v>
      </c>
      <c r="I101" s="1367">
        <f>'Плотник'!T58</f>
        <v>353.84</v>
      </c>
      <c r="J101" s="672"/>
      <c r="K101" s="672"/>
      <c r="L101" s="672"/>
      <c r="M101" s="672"/>
      <c r="N101" s="672"/>
      <c r="O101" s="672"/>
      <c r="Q101" s="441"/>
      <c r="R101" s="441"/>
      <c r="S101" s="441"/>
      <c r="T101" s="441"/>
      <c r="U101" s="441"/>
      <c r="V101" s="441"/>
      <c r="W101" s="158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row>
    <row r="102">
      <c r="A102" s="441"/>
      <c r="B102" s="1716" t="s">
        <v>1548</v>
      </c>
      <c r="C102" s="1359">
        <f>'Плотник'!N59</f>
        <v>5</v>
      </c>
      <c r="D102" s="1359">
        <f>'Плотник'!O59</f>
        <v>7</v>
      </c>
      <c r="E102" s="1359">
        <f>'Плотник'!P59</f>
        <v>10</v>
      </c>
      <c r="F102" s="1359">
        <f>'Плотник'!Q59</f>
        <v>13</v>
      </c>
      <c r="G102" s="1359">
        <f>'Плотник'!R59</f>
        <v>16</v>
      </c>
      <c r="H102" s="1359">
        <f>'Плотник'!S59</f>
        <v>19</v>
      </c>
      <c r="I102" s="1359">
        <f>'Плотник'!T59</f>
        <v>21</v>
      </c>
      <c r="J102" s="1360" t="s">
        <v>1549</v>
      </c>
      <c r="K102" s="1361" t="s">
        <v>1465</v>
      </c>
      <c r="L102" s="1362">
        <v>14.0</v>
      </c>
      <c r="M102" s="1717" t="s">
        <v>1657</v>
      </c>
      <c r="N102" s="1360" t="s">
        <v>30</v>
      </c>
      <c r="O102" s="1364" t="s">
        <v>1546</v>
      </c>
      <c r="Q102" s="441"/>
      <c r="R102" s="441"/>
      <c r="S102" s="441"/>
      <c r="T102" s="441"/>
      <c r="U102" s="441"/>
      <c r="V102" s="441"/>
      <c r="W102" s="158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row>
    <row r="103">
      <c r="A103" s="441"/>
      <c r="B103" s="1718" t="s">
        <v>1700</v>
      </c>
      <c r="C103" s="1367">
        <f>'Плотник'!N60</f>
        <v>1.12</v>
      </c>
      <c r="D103" s="1367">
        <f>'Плотник'!O60</f>
        <v>2.88</v>
      </c>
      <c r="E103" s="1367">
        <f>'Плотник'!P60</f>
        <v>6.88</v>
      </c>
      <c r="F103" s="1367">
        <f>'Плотник'!Q60</f>
        <v>16.96</v>
      </c>
      <c r="G103" s="1367">
        <f>'Плотник'!R60</f>
        <v>44.64</v>
      </c>
      <c r="H103" s="1367">
        <f>'Плотник'!S60</f>
        <v>124.48</v>
      </c>
      <c r="I103" s="1367">
        <f>'Плотник'!T60</f>
        <v>360.16</v>
      </c>
      <c r="J103" s="672"/>
      <c r="K103" s="672"/>
      <c r="L103" s="672"/>
      <c r="M103" s="672"/>
      <c r="N103" s="672"/>
      <c r="O103" s="672"/>
      <c r="Q103" s="441"/>
      <c r="R103" s="441"/>
      <c r="S103" s="441"/>
      <c r="T103" s="441"/>
      <c r="U103" s="441"/>
      <c r="V103" s="441"/>
      <c r="W103" s="158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row>
    <row r="104">
      <c r="A104" s="441"/>
      <c r="B104" s="1716" t="s">
        <v>1550</v>
      </c>
      <c r="C104" s="1359">
        <f>'Плотник'!N61</f>
        <v>5</v>
      </c>
      <c r="D104" s="1359">
        <f>'Плотник'!O61</f>
        <v>8</v>
      </c>
      <c r="E104" s="1359">
        <f>'Плотник'!P61</f>
        <v>10</v>
      </c>
      <c r="F104" s="1359">
        <f>'Плотник'!Q61</f>
        <v>13</v>
      </c>
      <c r="G104" s="1359">
        <f>'Плотник'!R61</f>
        <v>16</v>
      </c>
      <c r="H104" s="1359">
        <f>'Плотник'!S61</f>
        <v>20</v>
      </c>
      <c r="I104" s="1359">
        <f>'Плотник'!T61</f>
        <v>22</v>
      </c>
      <c r="J104" s="1360" t="s">
        <v>1551</v>
      </c>
      <c r="K104" s="1361" t="s">
        <v>1465</v>
      </c>
      <c r="L104" s="1362">
        <v>14.0</v>
      </c>
      <c r="M104" s="1717" t="s">
        <v>1657</v>
      </c>
      <c r="N104" s="1360" t="s">
        <v>30</v>
      </c>
      <c r="O104" s="1364" t="s">
        <v>1546</v>
      </c>
      <c r="Q104" s="441"/>
      <c r="R104" s="441"/>
      <c r="S104" s="441"/>
      <c r="T104" s="441"/>
      <c r="U104" s="441"/>
      <c r="V104" s="441"/>
      <c r="W104" s="158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row>
    <row r="105">
      <c r="A105" s="441"/>
      <c r="B105" s="1718" t="s">
        <v>1701</v>
      </c>
      <c r="C105" s="1367">
        <f>'Плотник'!N62</f>
        <v>2.64</v>
      </c>
      <c r="D105" s="1367">
        <f>'Плотник'!O62</f>
        <v>5.28</v>
      </c>
      <c r="E105" s="1367">
        <f>'Плотник'!P62</f>
        <v>10.32</v>
      </c>
      <c r="F105" s="1367">
        <f>'Плотник'!Q62</f>
        <v>21.6</v>
      </c>
      <c r="G105" s="1367">
        <f>'Плотник'!R62</f>
        <v>50.64</v>
      </c>
      <c r="H105" s="1367">
        <f>'Плотник'!S62</f>
        <v>132</v>
      </c>
      <c r="I105" s="1367">
        <f>'Плотник'!T62</f>
        <v>369.36</v>
      </c>
      <c r="J105" s="672"/>
      <c r="K105" s="672"/>
      <c r="L105" s="672"/>
      <c r="M105" s="672"/>
      <c r="N105" s="672"/>
      <c r="O105" s="672"/>
      <c r="Q105" s="441"/>
      <c r="R105" s="441"/>
      <c r="S105" s="441"/>
      <c r="T105" s="441"/>
      <c r="U105" s="441"/>
      <c r="V105" s="441"/>
      <c r="W105" s="158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row>
    <row r="106">
      <c r="A106" s="441"/>
      <c r="B106" s="1716" t="s">
        <v>1552</v>
      </c>
      <c r="C106" s="1359">
        <f>'Плотник'!N63</f>
        <v>6</v>
      </c>
      <c r="D106" s="1359">
        <f>'Плотник'!O63</f>
        <v>8</v>
      </c>
      <c r="E106" s="1359">
        <f>'Плотник'!P63</f>
        <v>11</v>
      </c>
      <c r="F106" s="1359">
        <f>'Плотник'!Q63</f>
        <v>14</v>
      </c>
      <c r="G106" s="1359">
        <f>'Плотник'!R63</f>
        <v>17</v>
      </c>
      <c r="H106" s="1359">
        <f>'Плотник'!S63</f>
        <v>20</v>
      </c>
      <c r="I106" s="1359">
        <f>'Плотник'!T63</f>
        <v>23</v>
      </c>
      <c r="J106" s="1360" t="s">
        <v>1553</v>
      </c>
      <c r="K106" s="1361" t="s">
        <v>1465</v>
      </c>
      <c r="L106" s="1362">
        <v>14.0</v>
      </c>
      <c r="M106" s="1717" t="s">
        <v>2166</v>
      </c>
      <c r="N106" s="1360" t="s">
        <v>30</v>
      </c>
      <c r="O106" s="1364" t="s">
        <v>1546</v>
      </c>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row>
    <row r="107">
      <c r="A107" s="441"/>
      <c r="B107" s="1718" t="s">
        <v>1703</v>
      </c>
      <c r="C107" s="1367">
        <f>'Плотник'!N64</f>
        <v>5.6</v>
      </c>
      <c r="D107" s="1367">
        <f>'Плотник'!O64</f>
        <v>9.44</v>
      </c>
      <c r="E107" s="1367">
        <f>'Плотник'!P64</f>
        <v>15.84</v>
      </c>
      <c r="F107" s="1367">
        <f>'Плотник'!Q64</f>
        <v>28.64</v>
      </c>
      <c r="G107" s="1367">
        <f>'Плотник'!R64</f>
        <v>59.36</v>
      </c>
      <c r="H107" s="1367">
        <f>'Плотник'!S64</f>
        <v>142.56</v>
      </c>
      <c r="I107" s="1367">
        <f>'Плотник'!T64</f>
        <v>381.92</v>
      </c>
      <c r="J107" s="672"/>
      <c r="K107" s="672"/>
      <c r="L107" s="672"/>
      <c r="M107" s="672"/>
      <c r="N107" s="672"/>
      <c r="O107" s="672"/>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row>
    <row r="108">
      <c r="A108" s="441"/>
      <c r="B108" s="1719" t="s">
        <v>1704</v>
      </c>
      <c r="C108" s="1372"/>
      <c r="D108" s="1372"/>
      <c r="E108" s="1372"/>
      <c r="F108" s="1372"/>
      <c r="G108" s="1372"/>
      <c r="H108" s="1372"/>
      <c r="I108" s="1372"/>
      <c r="J108" s="1372"/>
      <c r="K108" s="1372"/>
      <c r="L108" s="1372"/>
      <c r="M108" s="1372"/>
      <c r="N108" s="1372"/>
      <c r="O108" s="1374"/>
      <c r="Q108" s="441"/>
      <c r="R108" s="441"/>
      <c r="S108" s="441"/>
      <c r="T108" s="441"/>
      <c r="U108" s="441"/>
      <c r="V108" s="441"/>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row>
    <row r="109">
      <c r="A109" s="441"/>
      <c r="B109" s="1720" t="s">
        <v>1451</v>
      </c>
      <c r="C109" s="1376" t="str">
        <f>'Плотник'!N66</f>
        <v>Орешник</v>
      </c>
      <c r="D109" s="1376" t="str">
        <f>'Плотник'!O66</f>
        <v>Клён</v>
      </c>
      <c r="E109" s="1376" t="str">
        <f>'Плотник'!P66</f>
        <v>Ясень</v>
      </c>
      <c r="F109" s="1376" t="str">
        <f>'Плотник'!Q66</f>
        <v>Вяз</v>
      </c>
      <c r="G109" s="1376" t="str">
        <f>'Плотник'!R66</f>
        <v>Кедр</v>
      </c>
      <c r="H109" s="1376" t="str">
        <f>'Плотник'!S66</f>
        <v>Бальза</v>
      </c>
      <c r="I109" s="1376" t="str">
        <f>'Плотник'!T66</f>
        <v>Тис</v>
      </c>
      <c r="J109" s="1377"/>
      <c r="K109" s="1377"/>
      <c r="L109" s="1377"/>
      <c r="M109" s="1377"/>
      <c r="N109" s="1377"/>
      <c r="O109" s="1377"/>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row>
    <row r="110">
      <c r="A110" s="441"/>
      <c r="B110" s="1721" t="s">
        <v>1558</v>
      </c>
      <c r="C110" s="1380">
        <f>'Плотник'!N67</f>
        <v>7</v>
      </c>
      <c r="D110" s="1380">
        <f>'Плотник'!O67</f>
        <v>10</v>
      </c>
      <c r="E110" s="1380">
        <f>'Плотник'!P67</f>
        <v>13</v>
      </c>
      <c r="F110" s="1380">
        <f>'Плотник'!Q67</f>
        <v>16</v>
      </c>
      <c r="G110" s="1380">
        <f>'Плотник'!R67</f>
        <v>20</v>
      </c>
      <c r="H110" s="1380">
        <f>'Плотник'!S67</f>
        <v>24</v>
      </c>
      <c r="I110" s="1380">
        <f>'Плотник'!T67</f>
        <v>26</v>
      </c>
      <c r="J110" s="1381" t="s">
        <v>1559</v>
      </c>
      <c r="K110" s="1382" t="s">
        <v>1698</v>
      </c>
      <c r="L110" s="1383">
        <v>10.0</v>
      </c>
      <c r="M110" s="1385" t="s">
        <v>779</v>
      </c>
      <c r="N110" s="1385" t="s">
        <v>1114</v>
      </c>
      <c r="O110" s="1386" t="s">
        <v>1560</v>
      </c>
      <c r="Q110" s="441"/>
      <c r="R110" s="441"/>
      <c r="S110" s="441"/>
      <c r="T110" s="441"/>
      <c r="U110" s="441"/>
      <c r="V110" s="441"/>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row>
    <row r="111">
      <c r="A111" s="441"/>
      <c r="B111" s="1718" t="s">
        <v>1705</v>
      </c>
      <c r="C111" s="1367">
        <f>'Плотник'!N68</f>
        <v>1.2</v>
      </c>
      <c r="D111" s="1367">
        <f>'Плотник'!O68</f>
        <v>3.84</v>
      </c>
      <c r="E111" s="1367">
        <f>'Плотник'!P68</f>
        <v>10.8</v>
      </c>
      <c r="F111" s="1367">
        <f>'Плотник'!Q68</f>
        <v>29.76</v>
      </c>
      <c r="G111" s="1367">
        <f>'Плотник'!R68</f>
        <v>83.76</v>
      </c>
      <c r="H111" s="1367">
        <f>'Плотник'!S68</f>
        <v>241.92</v>
      </c>
      <c r="I111" s="1367">
        <f>'Плотник'!T68</f>
        <v>711.6</v>
      </c>
      <c r="J111" s="672"/>
      <c r="K111" s="672"/>
      <c r="L111" s="672"/>
      <c r="M111" s="672"/>
      <c r="N111" s="672"/>
      <c r="O111" s="672"/>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row>
    <row r="112">
      <c r="A112" s="441"/>
      <c r="B112" s="1721" t="s">
        <v>1562</v>
      </c>
      <c r="C112" s="1380">
        <f>'Плотник'!N69</f>
        <v>7</v>
      </c>
      <c r="D112" s="1380">
        <f>'Плотник'!O69</f>
        <v>10</v>
      </c>
      <c r="E112" s="1380">
        <f>'Плотник'!P69</f>
        <v>13</v>
      </c>
      <c r="F112" s="1380">
        <f>'Плотник'!Q69</f>
        <v>17</v>
      </c>
      <c r="G112" s="1380">
        <f>'Плотник'!R69</f>
        <v>20</v>
      </c>
      <c r="H112" s="1380">
        <f>'Плотник'!S69</f>
        <v>24</v>
      </c>
      <c r="I112" s="1380">
        <f>'Плотник'!T69</f>
        <v>27</v>
      </c>
      <c r="J112" s="1381" t="s">
        <v>1563</v>
      </c>
      <c r="K112" s="1382" t="s">
        <v>1465</v>
      </c>
      <c r="L112" s="1383">
        <v>10.0</v>
      </c>
      <c r="M112" s="1385" t="s">
        <v>779</v>
      </c>
      <c r="N112" s="1385" t="s">
        <v>1114</v>
      </c>
      <c r="O112" s="1386" t="s">
        <v>1560</v>
      </c>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row>
    <row r="113">
      <c r="A113" s="441"/>
      <c r="B113" s="1718" t="s">
        <v>1706</v>
      </c>
      <c r="C113" s="1367">
        <f>'Плотник'!N70</f>
        <v>2.88</v>
      </c>
      <c r="D113" s="1367">
        <f>'Плотник'!O70</f>
        <v>7.2</v>
      </c>
      <c r="E113" s="1367">
        <f>'Плотник'!P70</f>
        <v>16.32</v>
      </c>
      <c r="F113" s="1367">
        <f>'Плотник'!Q70</f>
        <v>37.92</v>
      </c>
      <c r="G113" s="1367">
        <f>'Плотник'!R70</f>
        <v>95.04</v>
      </c>
      <c r="H113" s="1367">
        <f>'Плотник'!S70</f>
        <v>256.8</v>
      </c>
      <c r="I113" s="1367">
        <f>'Плотник'!T70</f>
        <v>730.56</v>
      </c>
      <c r="J113" s="672"/>
      <c r="K113" s="672"/>
      <c r="L113" s="672"/>
      <c r="M113" s="672"/>
      <c r="N113" s="672"/>
      <c r="O113" s="672"/>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row>
    <row r="114">
      <c r="A114" s="441"/>
      <c r="B114" s="1721" t="s">
        <v>1565</v>
      </c>
      <c r="C114" s="1380">
        <f>'Плотник'!N71</f>
        <v>8</v>
      </c>
      <c r="D114" s="1380">
        <f>'Плотник'!O71</f>
        <v>11</v>
      </c>
      <c r="E114" s="1380">
        <f>'Плотник'!P71</f>
        <v>14</v>
      </c>
      <c r="F114" s="1380">
        <f>'Плотник'!Q71</f>
        <v>17</v>
      </c>
      <c r="G114" s="1380">
        <f>'Плотник'!R71</f>
        <v>21</v>
      </c>
      <c r="H114" s="1380">
        <f>'Плотник'!S71</f>
        <v>25</v>
      </c>
      <c r="I114" s="1380">
        <f>'Плотник'!T71</f>
        <v>29</v>
      </c>
      <c r="J114" s="1381" t="s">
        <v>1566</v>
      </c>
      <c r="K114" s="1382" t="s">
        <v>1465</v>
      </c>
      <c r="L114" s="1383">
        <v>10.0</v>
      </c>
      <c r="M114" s="1385" t="s">
        <v>779</v>
      </c>
      <c r="N114" s="1385" t="s">
        <v>1114</v>
      </c>
      <c r="O114" s="1386" t="s">
        <v>1560</v>
      </c>
      <c r="Q114" s="441"/>
      <c r="R114" s="441"/>
      <c r="S114" s="441"/>
      <c r="T114" s="441"/>
      <c r="U114" s="441"/>
      <c r="V114" s="441"/>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row>
    <row r="115">
      <c r="A115" s="441"/>
      <c r="B115" s="1718" t="s">
        <v>1708</v>
      </c>
      <c r="C115" s="1367">
        <f>'Плотник'!N72</f>
        <v>7.44</v>
      </c>
      <c r="D115" s="1367">
        <f>'Плотник'!O72</f>
        <v>14.4</v>
      </c>
      <c r="E115" s="1367">
        <f>'Плотник'!P72</f>
        <v>26.64</v>
      </c>
      <c r="F115" s="1367">
        <f>'Плотник'!Q72</f>
        <v>51.84</v>
      </c>
      <c r="G115" s="1367">
        <f>'Плотник'!R72</f>
        <v>113.04</v>
      </c>
      <c r="H115" s="1367">
        <f>'Плотник'!S72</f>
        <v>279.36</v>
      </c>
      <c r="I115" s="1367">
        <f>'Плотник'!T72</f>
        <v>758.16</v>
      </c>
      <c r="J115" s="672"/>
      <c r="K115" s="672"/>
      <c r="L115" s="672"/>
      <c r="M115" s="672"/>
      <c r="N115" s="672"/>
      <c r="O115" s="672"/>
      <c r="Q115" s="441"/>
      <c r="R115" s="441"/>
      <c r="S115" s="441"/>
      <c r="T115" s="441"/>
      <c r="U115" s="441"/>
      <c r="V115" s="441"/>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row>
    <row r="116">
      <c r="A116" s="441"/>
      <c r="B116" s="1721" t="s">
        <v>1567</v>
      </c>
      <c r="C116" s="1380">
        <f>'Плотник'!N73</f>
        <v>8</v>
      </c>
      <c r="D116" s="1380">
        <f>'Плотник'!O73</f>
        <v>11</v>
      </c>
      <c r="E116" s="1380">
        <f>'Плотник'!P73</f>
        <v>14</v>
      </c>
      <c r="F116" s="1380">
        <f>'Плотник'!Q73</f>
        <v>18</v>
      </c>
      <c r="G116" s="1380">
        <f>'Плотник'!R73</f>
        <v>21</v>
      </c>
      <c r="H116" s="1380">
        <f>'Плотник'!S73</f>
        <v>25</v>
      </c>
      <c r="I116" s="1380">
        <f>'Плотник'!T73</f>
        <v>30</v>
      </c>
      <c r="J116" s="1381" t="s">
        <v>1568</v>
      </c>
      <c r="K116" s="1382" t="s">
        <v>1465</v>
      </c>
      <c r="L116" s="1383">
        <v>10.0</v>
      </c>
      <c r="M116" s="1385" t="s">
        <v>1657</v>
      </c>
      <c r="N116" s="1385" t="s">
        <v>1114</v>
      </c>
      <c r="O116" s="1386" t="s">
        <v>1560</v>
      </c>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row>
    <row r="117">
      <c r="A117" s="441"/>
      <c r="B117" s="1718" t="s">
        <v>1709</v>
      </c>
      <c r="C117" s="1367">
        <f>'Плотник'!N74</f>
        <v>16.32</v>
      </c>
      <c r="D117" s="1367">
        <f>'Плотник'!O74</f>
        <v>26.88</v>
      </c>
      <c r="E117" s="1367">
        <f>'Плотник'!P74</f>
        <v>43.2</v>
      </c>
      <c r="F117" s="1367">
        <f>'Плотник'!Q74</f>
        <v>72.96</v>
      </c>
      <c r="G117" s="1367">
        <f>'Плотник'!R74</f>
        <v>139.2</v>
      </c>
      <c r="H117" s="1367">
        <f>'Плотник'!S74</f>
        <v>311.04</v>
      </c>
      <c r="I117" s="1367">
        <f>'Плотник'!T74</f>
        <v>795.84</v>
      </c>
      <c r="J117" s="672"/>
      <c r="K117" s="672"/>
      <c r="L117" s="672"/>
      <c r="M117" s="672"/>
      <c r="N117" s="672"/>
      <c r="O117" s="672"/>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row>
    <row r="118">
      <c r="A118" s="441"/>
      <c r="B118" s="1722" t="s">
        <v>1710</v>
      </c>
      <c r="C118" s="1388"/>
      <c r="D118" s="1388"/>
      <c r="E118" s="1388"/>
      <c r="F118" s="1388"/>
      <c r="G118" s="1388"/>
      <c r="H118" s="1388"/>
      <c r="I118" s="1388"/>
      <c r="J118" s="1388"/>
      <c r="K118" s="1388"/>
      <c r="L118" s="1388"/>
      <c r="M118" s="1388"/>
      <c r="N118" s="1388"/>
      <c r="O118" s="1390"/>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row>
    <row r="119">
      <c r="A119" s="441"/>
      <c r="B119" s="1723" t="s">
        <v>1451</v>
      </c>
      <c r="C119" s="1392" t="str">
        <f>'Плотник'!N76</f>
        <v>Орешник</v>
      </c>
      <c r="D119" s="1392" t="str">
        <f>'Плотник'!O76</f>
        <v>Клён</v>
      </c>
      <c r="E119" s="1392" t="str">
        <f>'Плотник'!P76</f>
        <v>Ясень</v>
      </c>
      <c r="F119" s="1392" t="str">
        <f>'Плотник'!Q76</f>
        <v>Вяз</v>
      </c>
      <c r="G119" s="1392" t="str">
        <f>'Плотник'!R76</f>
        <v>Кедр</v>
      </c>
      <c r="H119" s="1392" t="str">
        <f>'Плотник'!S76</f>
        <v>Бальза</v>
      </c>
      <c r="I119" s="1392" t="str">
        <f>'Плотник'!T76</f>
        <v>Тис</v>
      </c>
      <c r="J119" s="1393"/>
      <c r="K119" s="1393"/>
      <c r="L119" s="1393"/>
      <c r="M119" s="1393"/>
      <c r="N119" s="1393"/>
      <c r="O119" s="1393"/>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row>
    <row r="120">
      <c r="A120" s="441"/>
      <c r="B120" s="1724" t="s">
        <v>1570</v>
      </c>
      <c r="C120" s="1396">
        <f>'Плотник'!N77</f>
        <v>9</v>
      </c>
      <c r="D120" s="1396">
        <f>'Плотник'!O77</f>
        <v>12</v>
      </c>
      <c r="E120" s="1396">
        <f>'Плотник'!P77</f>
        <v>16</v>
      </c>
      <c r="F120" s="1396">
        <f>'Плотник'!Q77</f>
        <v>20</v>
      </c>
      <c r="G120" s="1396">
        <f>'Плотник'!R77</f>
        <v>24</v>
      </c>
      <c r="H120" s="1396">
        <f>'Плотник'!S77</f>
        <v>28</v>
      </c>
      <c r="I120" s="1396">
        <f>'Плотник'!T77</f>
        <v>35</v>
      </c>
      <c r="J120" s="1397" t="s">
        <v>1530</v>
      </c>
      <c r="K120" s="1398" t="s">
        <v>1698</v>
      </c>
      <c r="L120" s="1399">
        <v>6.0</v>
      </c>
      <c r="M120" s="1401" t="s">
        <v>2179</v>
      </c>
      <c r="N120" s="1401" t="s">
        <v>1711</v>
      </c>
      <c r="O120" s="1402" t="s">
        <v>1712</v>
      </c>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row>
    <row r="121">
      <c r="A121" s="441"/>
      <c r="B121" s="1718" t="s">
        <v>1714</v>
      </c>
      <c r="C121" s="1367">
        <f>'Плотник'!N78</f>
        <v>2.56</v>
      </c>
      <c r="D121" s="1367">
        <f>'Плотник'!O78</f>
        <v>8.32</v>
      </c>
      <c r="E121" s="1367">
        <f>'Плотник'!P78</f>
        <v>23.04</v>
      </c>
      <c r="F121" s="1367">
        <f>'Плотник'!Q78</f>
        <v>62.08</v>
      </c>
      <c r="G121" s="1367">
        <f>'Плотник'!R78</f>
        <v>171.52</v>
      </c>
      <c r="H121" s="1367">
        <f>'Плотник'!S78</f>
        <v>489.6</v>
      </c>
      <c r="I121" s="1367">
        <f>'Плотник'!T78</f>
        <v>1431.04</v>
      </c>
      <c r="J121" s="672"/>
      <c r="K121" s="672"/>
      <c r="L121" s="672"/>
      <c r="M121" s="672"/>
      <c r="N121" s="672"/>
      <c r="O121" s="672"/>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row>
    <row r="122">
      <c r="A122" s="441"/>
      <c r="B122" s="1724" t="s">
        <v>1573</v>
      </c>
      <c r="C122" s="1396">
        <f>'Плотник'!N79</f>
        <v>10</v>
      </c>
      <c r="D122" s="1396">
        <f>'Плотник'!O79</f>
        <v>13</v>
      </c>
      <c r="E122" s="1396">
        <f>'Плотник'!P79</f>
        <v>17</v>
      </c>
      <c r="F122" s="1396">
        <f>'Плотник'!Q79</f>
        <v>21</v>
      </c>
      <c r="G122" s="1396">
        <f>'Плотник'!R79</f>
        <v>25</v>
      </c>
      <c r="H122" s="1396">
        <f>'Плотник'!S79</f>
        <v>29</v>
      </c>
      <c r="I122" s="1396">
        <f>'Плотник'!T79</f>
        <v>37</v>
      </c>
      <c r="J122" s="1397" t="s">
        <v>1574</v>
      </c>
      <c r="K122" s="1398" t="s">
        <v>1465</v>
      </c>
      <c r="L122" s="1399">
        <v>6.0</v>
      </c>
      <c r="M122" s="1401" t="s">
        <v>2179</v>
      </c>
      <c r="N122" s="1401" t="s">
        <v>1711</v>
      </c>
      <c r="O122" s="1402" t="s">
        <v>1712</v>
      </c>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row>
    <row r="123">
      <c r="A123" s="441"/>
      <c r="B123" s="1718" t="s">
        <v>1715</v>
      </c>
      <c r="C123" s="1367">
        <f>'Плотник'!N80</f>
        <v>7.04</v>
      </c>
      <c r="D123" s="1367">
        <f>'Плотник'!O80</f>
        <v>17.28</v>
      </c>
      <c r="E123" s="1367">
        <f>'Плотник'!P80</f>
        <v>37.76</v>
      </c>
      <c r="F123" s="1367">
        <f>'Плотник'!Q80</f>
        <v>83.84</v>
      </c>
      <c r="G123" s="1367">
        <f>'Плотник'!R80</f>
        <v>201.6</v>
      </c>
      <c r="H123" s="1367">
        <f>'Плотник'!S80</f>
        <v>529.28</v>
      </c>
      <c r="I123" s="1367">
        <f>'Плотник'!T80</f>
        <v>1481.6</v>
      </c>
      <c r="J123" s="672"/>
      <c r="K123" s="672"/>
      <c r="L123" s="672"/>
      <c r="M123" s="672"/>
      <c r="N123" s="672"/>
      <c r="O123" s="672"/>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row>
    <row r="124">
      <c r="A124" s="441"/>
      <c r="B124" s="1724" t="s">
        <v>1575</v>
      </c>
      <c r="C124" s="1396">
        <f>'Плотник'!N81</f>
        <v>11</v>
      </c>
      <c r="D124" s="1396">
        <f>'Плотник'!O81</f>
        <v>14</v>
      </c>
      <c r="E124" s="1396">
        <f>'Плотник'!P81</f>
        <v>18</v>
      </c>
      <c r="F124" s="1396">
        <f>'Плотник'!Q81</f>
        <v>22</v>
      </c>
      <c r="G124" s="1396">
        <f>'Плотник'!R81</f>
        <v>26</v>
      </c>
      <c r="H124" s="1396">
        <f>'Плотник'!S81</f>
        <v>30</v>
      </c>
      <c r="I124" s="1396">
        <f>'Плотник'!T81</f>
        <v>39</v>
      </c>
      <c r="J124" s="1397" t="s">
        <v>1576</v>
      </c>
      <c r="K124" s="1398" t="s">
        <v>1465</v>
      </c>
      <c r="L124" s="1399">
        <v>6.0</v>
      </c>
      <c r="M124" s="1401" t="s">
        <v>2179</v>
      </c>
      <c r="N124" s="1401" t="s">
        <v>1711</v>
      </c>
      <c r="O124" s="1402" t="s">
        <v>1712</v>
      </c>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row>
    <row r="125">
      <c r="A125" s="441"/>
      <c r="B125" s="1718" t="s">
        <v>1716</v>
      </c>
      <c r="C125" s="1367">
        <f>'Плотник'!N82</f>
        <v>19.2</v>
      </c>
      <c r="D125" s="1367">
        <f>'Плотник'!O82</f>
        <v>36.48</v>
      </c>
      <c r="E125" s="1367">
        <f>'Плотник'!P82</f>
        <v>65.28</v>
      </c>
      <c r="F125" s="1367">
        <f>'Плотник'!Q82</f>
        <v>120.96</v>
      </c>
      <c r="G125" s="1367">
        <f>'Плотник'!R82</f>
        <v>249.6</v>
      </c>
      <c r="H125" s="1367">
        <f>'Плотник'!S82</f>
        <v>589.44</v>
      </c>
      <c r="I125" s="1367">
        <f>'Плотник'!T82</f>
        <v>1555.2</v>
      </c>
      <c r="J125" s="672"/>
      <c r="K125" s="672"/>
      <c r="L125" s="672"/>
      <c r="M125" s="672"/>
      <c r="N125" s="672"/>
      <c r="O125" s="672"/>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row>
    <row r="126">
      <c r="A126" s="441"/>
      <c r="B126" s="1724" t="s">
        <v>1577</v>
      </c>
      <c r="C126" s="1396">
        <f>'Плотник'!N83</f>
        <v>12</v>
      </c>
      <c r="D126" s="1396">
        <f>'Плотник'!O83</f>
        <v>15</v>
      </c>
      <c r="E126" s="1396">
        <f>'Плотник'!P83</f>
        <v>19</v>
      </c>
      <c r="F126" s="1396">
        <f>'Плотник'!Q83</f>
        <v>23</v>
      </c>
      <c r="G126" s="1396">
        <f>'Плотник'!R83</f>
        <v>27</v>
      </c>
      <c r="H126" s="1396">
        <f>'Плотник'!S83</f>
        <v>31</v>
      </c>
      <c r="I126" s="1396">
        <f>'Плотник'!T83</f>
        <v>41</v>
      </c>
      <c r="J126" s="1397" t="s">
        <v>1578</v>
      </c>
      <c r="K126" s="1398" t="s">
        <v>1465</v>
      </c>
      <c r="L126" s="1399">
        <v>6.0</v>
      </c>
      <c r="M126" s="1401" t="s">
        <v>779</v>
      </c>
      <c r="N126" s="1401" t="s">
        <v>1711</v>
      </c>
      <c r="O126" s="1402" t="s">
        <v>1712</v>
      </c>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row>
    <row r="127">
      <c r="A127" s="441"/>
      <c r="B127" s="1718" t="s">
        <v>1717</v>
      </c>
      <c r="C127" s="1367">
        <f>'Плотник'!N84</f>
        <v>42.88</v>
      </c>
      <c r="D127" s="1367">
        <f>'Плотник'!O84</f>
        <v>69.76</v>
      </c>
      <c r="E127" s="1367">
        <f>'Плотник'!P84</f>
        <v>109.44</v>
      </c>
      <c r="F127" s="1367">
        <f>'Плотник'!Q84</f>
        <v>177.28</v>
      </c>
      <c r="G127" s="1367">
        <f>'Плотник'!R84</f>
        <v>319.36</v>
      </c>
      <c r="H127" s="1367">
        <f>'Плотник'!S84</f>
        <v>673.92</v>
      </c>
      <c r="I127" s="1367">
        <f>'Плотник'!T84</f>
        <v>1655.68</v>
      </c>
      <c r="J127" s="672"/>
      <c r="K127" s="672"/>
      <c r="L127" s="672"/>
      <c r="M127" s="672"/>
      <c r="N127" s="672"/>
      <c r="O127" s="672"/>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row>
    <row r="128">
      <c r="A128" s="441"/>
      <c r="L128" s="1068"/>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row>
    <row r="129">
      <c r="A129" s="441"/>
      <c r="L129" s="1068"/>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row>
    <row r="130">
      <c r="A130" s="441"/>
      <c r="L130" s="1068"/>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row>
    <row r="131">
      <c r="A131" s="441"/>
      <c r="L131" s="1068"/>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row>
    <row r="132">
      <c r="A132" s="441"/>
      <c r="L132" s="1068"/>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row>
    <row r="133">
      <c r="A133" s="441"/>
      <c r="L133" s="1068"/>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row>
    <row r="134">
      <c r="A134" s="441"/>
      <c r="L134" s="1068"/>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row>
    <row r="135">
      <c r="A135" s="441"/>
      <c r="L135" s="1068"/>
      <c r="M135" s="441"/>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row>
    <row r="136">
      <c r="A136" s="441"/>
      <c r="L136" s="1068"/>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row>
    <row r="137">
      <c r="A137" s="441"/>
      <c r="L137" s="1068"/>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row>
    <row r="138">
      <c r="A138" s="441"/>
      <c r="L138" s="1068"/>
      <c r="M138" s="441"/>
      <c r="N138" s="441"/>
      <c r="O138" s="441"/>
      <c r="P138" s="441"/>
      <c r="Q138" s="441"/>
      <c r="R138" s="441"/>
      <c r="S138" s="441"/>
      <c r="T138" s="441"/>
      <c r="U138" s="441"/>
      <c r="V138" s="441"/>
      <c r="W138" s="441"/>
      <c r="X138" s="441"/>
      <c r="Y138" s="441"/>
      <c r="Z138" s="441"/>
      <c r="AA138" s="441"/>
      <c r="AB138" s="441"/>
      <c r="AC138" s="441"/>
      <c r="AD138" s="441"/>
      <c r="AE138" s="441"/>
      <c r="AF138" s="441"/>
      <c r="AG138" s="441"/>
      <c r="AH138" s="441"/>
      <c r="AI138" s="441"/>
      <c r="AJ138" s="441"/>
      <c r="AK138" s="441"/>
      <c r="AL138" s="441"/>
      <c r="AM138" s="441"/>
      <c r="AN138" s="441"/>
      <c r="AO138" s="441"/>
      <c r="AP138" s="441"/>
      <c r="AQ138" s="441"/>
      <c r="AR138" s="441"/>
      <c r="AS138" s="441"/>
      <c r="AT138" s="441"/>
      <c r="AU138" s="441"/>
      <c r="AV138" s="441"/>
      <c r="AW138" s="441"/>
      <c r="AX138" s="441"/>
      <c r="AY138" s="441"/>
      <c r="AZ138" s="441"/>
      <c r="BA138" s="441"/>
    </row>
    <row r="139">
      <c r="A139" s="441"/>
      <c r="L139" s="1068"/>
      <c r="M139" s="441"/>
      <c r="N139" s="441"/>
      <c r="O139" s="441"/>
      <c r="P139" s="441"/>
      <c r="Q139" s="441"/>
      <c r="R139" s="441"/>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row>
    <row r="140">
      <c r="A140" s="441"/>
      <c r="L140" s="1068"/>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row>
    <row r="141">
      <c r="A141" s="441"/>
      <c r="L141" s="1068"/>
      <c r="M141" s="441"/>
      <c r="N141" s="441"/>
      <c r="O141" s="441"/>
      <c r="P141" s="441"/>
      <c r="Q141" s="441"/>
      <c r="R141" s="441"/>
      <c r="S141" s="441"/>
      <c r="T141" s="441"/>
      <c r="U141" s="441"/>
      <c r="V141" s="441"/>
      <c r="W141" s="441"/>
      <c r="X141" s="441"/>
      <c r="Y141" s="441"/>
      <c r="Z141" s="441"/>
      <c r="AA141" s="441"/>
      <c r="AB141" s="441"/>
      <c r="AC141" s="441"/>
      <c r="AD141" s="441"/>
      <c r="AE141" s="441"/>
      <c r="AF141" s="441"/>
      <c r="AG141" s="441"/>
      <c r="AH141" s="441"/>
      <c r="AI141" s="441"/>
      <c r="AJ141" s="441"/>
      <c r="AK141" s="441"/>
      <c r="AL141" s="441"/>
      <c r="AM141" s="441"/>
      <c r="AN141" s="441"/>
      <c r="AO141" s="441"/>
      <c r="AP141" s="441"/>
      <c r="AQ141" s="441"/>
      <c r="AR141" s="441"/>
      <c r="AS141" s="441"/>
      <c r="AT141" s="441"/>
      <c r="AU141" s="441"/>
      <c r="AV141" s="441"/>
      <c r="AW141" s="441"/>
      <c r="AX141" s="441"/>
      <c r="AY141" s="441"/>
      <c r="AZ141" s="441"/>
      <c r="BA141" s="441"/>
    </row>
    <row r="142">
      <c r="A142" s="441"/>
      <c r="L142" s="1068"/>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row>
    <row r="143">
      <c r="A143" s="441"/>
      <c r="L143" s="1068"/>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row>
    <row r="144">
      <c r="A144" s="441"/>
      <c r="L144" s="1068"/>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row>
    <row r="145">
      <c r="A145" s="441"/>
      <c r="L145" s="1068"/>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row>
    <row r="146">
      <c r="A146" s="441"/>
      <c r="L146" s="1068"/>
      <c r="M146" s="441"/>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1"/>
      <c r="AY146" s="441"/>
      <c r="AZ146" s="441"/>
      <c r="BA146" s="441"/>
    </row>
    <row r="147">
      <c r="A147" s="441"/>
      <c r="L147" s="1068"/>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row>
    <row r="148">
      <c r="A148" s="441"/>
      <c r="L148" s="1068"/>
      <c r="M148" s="441"/>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row>
    <row r="149">
      <c r="A149" s="441"/>
      <c r="L149" s="1068"/>
      <c r="M149" s="441"/>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1"/>
      <c r="AY149" s="441"/>
      <c r="AZ149" s="441"/>
      <c r="BA149" s="441"/>
    </row>
    <row r="150">
      <c r="A150" s="441"/>
      <c r="L150" s="1068"/>
      <c r="M150" s="441"/>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1"/>
      <c r="AY150" s="441"/>
      <c r="AZ150" s="441"/>
      <c r="BA150" s="441"/>
    </row>
    <row r="151">
      <c r="A151" s="441"/>
      <c r="L151" s="1068"/>
      <c r="M151" s="441"/>
      <c r="N151" s="441"/>
      <c r="O151" s="441"/>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row>
    <row r="152">
      <c r="A152" s="441"/>
      <c r="L152" s="1068"/>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1"/>
      <c r="AL152" s="441"/>
      <c r="AM152" s="441"/>
      <c r="AN152" s="441"/>
      <c r="AO152" s="441"/>
      <c r="AP152" s="441"/>
      <c r="AQ152" s="441"/>
      <c r="AR152" s="441"/>
      <c r="AS152" s="441"/>
      <c r="AT152" s="441"/>
      <c r="AU152" s="441"/>
      <c r="AV152" s="441"/>
      <c r="AW152" s="441"/>
      <c r="AX152" s="441"/>
      <c r="AY152" s="441"/>
      <c r="AZ152" s="441"/>
      <c r="BA152" s="441"/>
    </row>
    <row r="153">
      <c r="A153" s="441"/>
      <c r="L153" s="1068"/>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1"/>
      <c r="AL153" s="441"/>
      <c r="AM153" s="441"/>
      <c r="AN153" s="441"/>
      <c r="AO153" s="441"/>
      <c r="AP153" s="441"/>
      <c r="AQ153" s="441"/>
      <c r="AR153" s="441"/>
      <c r="AS153" s="441"/>
      <c r="AT153" s="441"/>
      <c r="AU153" s="441"/>
      <c r="AV153" s="441"/>
      <c r="AW153" s="441"/>
      <c r="AX153" s="441"/>
      <c r="AY153" s="441"/>
      <c r="AZ153" s="441"/>
      <c r="BA153" s="441"/>
    </row>
    <row r="154">
      <c r="A154" s="441"/>
      <c r="L154" s="1068"/>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row>
    <row r="155">
      <c r="A155" s="441"/>
      <c r="L155" s="1068"/>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row>
    <row r="156">
      <c r="A156" s="441"/>
      <c r="L156" s="1068"/>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row>
    <row r="157">
      <c r="A157" s="441"/>
      <c r="L157" s="1068"/>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row>
    <row r="158">
      <c r="A158" s="441"/>
      <c r="L158" s="1068"/>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441"/>
      <c r="AR158" s="441"/>
      <c r="AS158" s="441"/>
      <c r="AT158" s="441"/>
      <c r="AU158" s="441"/>
      <c r="AV158" s="441"/>
      <c r="AW158" s="441"/>
      <c r="AX158" s="441"/>
      <c r="AY158" s="441"/>
      <c r="AZ158" s="441"/>
      <c r="BA158" s="441"/>
    </row>
    <row r="159">
      <c r="A159" s="441"/>
      <c r="L159" s="1068"/>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row>
    <row r="160">
      <c r="A160" s="441"/>
      <c r="L160" s="1068"/>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row>
    <row r="161">
      <c r="A161" s="441"/>
      <c r="L161" s="1068"/>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row>
    <row r="162">
      <c r="A162" s="441"/>
      <c r="L162" s="1068"/>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row>
    <row r="163">
      <c r="A163" s="441"/>
      <c r="L163" s="1068"/>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row>
    <row r="164">
      <c r="A164" s="441"/>
      <c r="L164" s="1068"/>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row>
    <row r="165">
      <c r="A165" s="441"/>
      <c r="L165" s="1068"/>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row>
    <row r="166">
      <c r="A166" s="441"/>
      <c r="L166" s="1068"/>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row>
    <row r="167">
      <c r="A167" s="441"/>
      <c r="L167" s="1068"/>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row>
    <row r="168">
      <c r="A168" s="441"/>
      <c r="L168" s="1068"/>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1"/>
      <c r="AL168" s="441"/>
      <c r="AM168" s="441"/>
      <c r="AN168" s="441"/>
      <c r="AO168" s="441"/>
      <c r="AP168" s="441"/>
      <c r="AQ168" s="441"/>
      <c r="AR168" s="441"/>
      <c r="AS168" s="441"/>
      <c r="AT168" s="441"/>
      <c r="AU168" s="441"/>
      <c r="AV168" s="441"/>
      <c r="AW168" s="441"/>
      <c r="AX168" s="441"/>
      <c r="AY168" s="441"/>
      <c r="AZ168" s="441"/>
      <c r="BA168" s="441"/>
    </row>
    <row r="169">
      <c r="A169" s="441"/>
      <c r="L169" s="1068"/>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441"/>
      <c r="AM169" s="441"/>
      <c r="AN169" s="441"/>
      <c r="AO169" s="441"/>
      <c r="AP169" s="441"/>
      <c r="AQ169" s="441"/>
      <c r="AR169" s="441"/>
      <c r="AS169" s="441"/>
      <c r="AT169" s="441"/>
      <c r="AU169" s="441"/>
      <c r="AV169" s="441"/>
      <c r="AW169" s="441"/>
      <c r="AX169" s="441"/>
      <c r="AY169" s="441"/>
      <c r="AZ169" s="441"/>
      <c r="BA169" s="441"/>
    </row>
    <row r="170">
      <c r="A170" s="441"/>
      <c r="L170" s="1068"/>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441"/>
      <c r="AM170" s="441"/>
      <c r="AN170" s="441"/>
      <c r="AO170" s="441"/>
      <c r="AP170" s="441"/>
      <c r="AQ170" s="441"/>
      <c r="AR170" s="441"/>
      <c r="AS170" s="441"/>
      <c r="AT170" s="441"/>
      <c r="AU170" s="441"/>
      <c r="AV170" s="441"/>
      <c r="AW170" s="441"/>
      <c r="AX170" s="441"/>
      <c r="AY170" s="441"/>
      <c r="AZ170" s="441"/>
      <c r="BA170" s="441"/>
    </row>
    <row r="171">
      <c r="A171" s="441"/>
      <c r="L171" s="1068"/>
      <c r="M171" s="441"/>
      <c r="N171" s="441"/>
      <c r="O171" s="441"/>
      <c r="P171" s="441"/>
      <c r="Q171" s="441"/>
      <c r="R171" s="441"/>
      <c r="S171" s="441"/>
      <c r="T171" s="441"/>
      <c r="U171" s="441"/>
      <c r="V171" s="441"/>
      <c r="W171" s="441"/>
      <c r="X171" s="441"/>
      <c r="Y171" s="441"/>
      <c r="Z171" s="441"/>
      <c r="AA171" s="441"/>
      <c r="AB171" s="441"/>
      <c r="AC171" s="441"/>
      <c r="AD171" s="441"/>
      <c r="AE171" s="441"/>
      <c r="AF171" s="441"/>
      <c r="AG171" s="441"/>
      <c r="AH171" s="441"/>
      <c r="AI171" s="441"/>
      <c r="AJ171" s="441"/>
      <c r="AK171" s="441"/>
      <c r="AL171" s="441"/>
      <c r="AM171" s="441"/>
      <c r="AN171" s="441"/>
      <c r="AO171" s="441"/>
      <c r="AP171" s="441"/>
      <c r="AQ171" s="441"/>
      <c r="AR171" s="441"/>
      <c r="AS171" s="441"/>
      <c r="AT171" s="441"/>
      <c r="AU171" s="441"/>
      <c r="AV171" s="441"/>
      <c r="AW171" s="441"/>
      <c r="AX171" s="441"/>
      <c r="AY171" s="441"/>
      <c r="AZ171" s="441"/>
      <c r="BA171" s="441"/>
    </row>
    <row r="172">
      <c r="A172" s="441"/>
      <c r="L172" s="1068"/>
      <c r="M172" s="441"/>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1"/>
      <c r="AL172" s="441"/>
      <c r="AM172" s="441"/>
      <c r="AN172" s="441"/>
      <c r="AO172" s="441"/>
      <c r="AP172" s="441"/>
      <c r="AQ172" s="441"/>
      <c r="AR172" s="441"/>
      <c r="AS172" s="441"/>
      <c r="AT172" s="441"/>
      <c r="AU172" s="441"/>
      <c r="AV172" s="441"/>
      <c r="AW172" s="441"/>
      <c r="AX172" s="441"/>
      <c r="AY172" s="441"/>
      <c r="AZ172" s="441"/>
      <c r="BA172" s="441"/>
    </row>
    <row r="173">
      <c r="A173" s="441"/>
      <c r="L173" s="1068"/>
      <c r="M173" s="441"/>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441"/>
      <c r="AP173" s="441"/>
      <c r="AQ173" s="441"/>
      <c r="AR173" s="441"/>
      <c r="AS173" s="441"/>
      <c r="AT173" s="441"/>
      <c r="AU173" s="441"/>
      <c r="AV173" s="441"/>
      <c r="AW173" s="441"/>
      <c r="AX173" s="441"/>
      <c r="AY173" s="441"/>
      <c r="AZ173" s="441"/>
      <c r="BA173" s="441"/>
    </row>
    <row r="174">
      <c r="A174" s="441"/>
      <c r="L174" s="1068"/>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1"/>
      <c r="AY174" s="441"/>
      <c r="AZ174" s="441"/>
      <c r="BA174" s="441"/>
    </row>
    <row r="175">
      <c r="A175" s="441"/>
      <c r="L175" s="1068"/>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41"/>
      <c r="AR175" s="441"/>
      <c r="AS175" s="441"/>
      <c r="AT175" s="441"/>
      <c r="AU175" s="441"/>
      <c r="AV175" s="441"/>
      <c r="AW175" s="441"/>
      <c r="AX175" s="441"/>
      <c r="AY175" s="441"/>
      <c r="AZ175" s="441"/>
      <c r="BA175" s="441"/>
    </row>
    <row r="176">
      <c r="A176" s="441"/>
      <c r="L176" s="1068"/>
      <c r="M176" s="441"/>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441"/>
      <c r="AM176" s="441"/>
      <c r="AN176" s="441"/>
      <c r="AO176" s="441"/>
      <c r="AP176" s="441"/>
      <c r="AQ176" s="441"/>
      <c r="AR176" s="441"/>
      <c r="AS176" s="441"/>
      <c r="AT176" s="441"/>
      <c r="AU176" s="441"/>
      <c r="AV176" s="441"/>
      <c r="AW176" s="441"/>
      <c r="AX176" s="441"/>
      <c r="AY176" s="441"/>
      <c r="AZ176" s="441"/>
      <c r="BA176" s="441"/>
    </row>
    <row r="177">
      <c r="A177" s="441"/>
      <c r="L177" s="1068"/>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1"/>
      <c r="AL177" s="441"/>
      <c r="AM177" s="441"/>
      <c r="AN177" s="441"/>
      <c r="AO177" s="441"/>
      <c r="AP177" s="441"/>
      <c r="AQ177" s="441"/>
      <c r="AR177" s="441"/>
      <c r="AS177" s="441"/>
      <c r="AT177" s="441"/>
      <c r="AU177" s="441"/>
      <c r="AV177" s="441"/>
      <c r="AW177" s="441"/>
      <c r="AX177" s="441"/>
      <c r="AY177" s="441"/>
      <c r="AZ177" s="441"/>
      <c r="BA177" s="441"/>
    </row>
    <row r="178">
      <c r="A178" s="441"/>
      <c r="L178" s="1068"/>
      <c r="M178" s="441"/>
      <c r="N178" s="441"/>
      <c r="O178" s="441"/>
      <c r="P178" s="441"/>
      <c r="Q178" s="441"/>
      <c r="R178" s="441"/>
      <c r="S178" s="441"/>
      <c r="T178" s="441"/>
      <c r="U178" s="441"/>
      <c r="V178" s="441"/>
      <c r="W178" s="441"/>
      <c r="X178" s="441"/>
      <c r="Y178" s="441"/>
      <c r="Z178" s="441"/>
      <c r="AA178" s="441"/>
      <c r="AB178" s="441"/>
      <c r="AC178" s="441"/>
      <c r="AD178" s="441"/>
      <c r="AE178" s="441"/>
      <c r="AF178" s="441"/>
      <c r="AG178" s="441"/>
      <c r="AH178" s="441"/>
      <c r="AI178" s="441"/>
      <c r="AJ178" s="441"/>
      <c r="AK178" s="441"/>
      <c r="AL178" s="441"/>
      <c r="AM178" s="441"/>
      <c r="AN178" s="441"/>
      <c r="AO178" s="441"/>
      <c r="AP178" s="441"/>
      <c r="AQ178" s="441"/>
      <c r="AR178" s="441"/>
      <c r="AS178" s="441"/>
      <c r="AT178" s="441"/>
      <c r="AU178" s="441"/>
      <c r="AV178" s="441"/>
      <c r="AW178" s="441"/>
      <c r="AX178" s="441"/>
      <c r="AY178" s="441"/>
      <c r="AZ178" s="441"/>
      <c r="BA178" s="441"/>
    </row>
    <row r="179">
      <c r="A179" s="441"/>
      <c r="L179" s="1068"/>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1"/>
      <c r="AY179" s="441"/>
      <c r="AZ179" s="441"/>
      <c r="BA179" s="441"/>
    </row>
    <row r="180">
      <c r="A180" s="441"/>
      <c r="L180" s="1068"/>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1"/>
      <c r="AL180" s="441"/>
      <c r="AM180" s="441"/>
      <c r="AN180" s="441"/>
      <c r="AO180" s="441"/>
      <c r="AP180" s="441"/>
      <c r="AQ180" s="441"/>
      <c r="AR180" s="441"/>
      <c r="AS180" s="441"/>
      <c r="AT180" s="441"/>
      <c r="AU180" s="441"/>
      <c r="AV180" s="441"/>
      <c r="AW180" s="441"/>
      <c r="AX180" s="441"/>
      <c r="AY180" s="441"/>
      <c r="AZ180" s="441"/>
      <c r="BA180" s="441"/>
    </row>
    <row r="181">
      <c r="A181" s="441"/>
      <c r="L181" s="1068"/>
      <c r="M181" s="441"/>
      <c r="N181" s="441"/>
      <c r="O181" s="441"/>
      <c r="P181" s="441"/>
      <c r="Q181" s="441"/>
      <c r="R181" s="441"/>
      <c r="S181" s="441"/>
      <c r="T181" s="441"/>
      <c r="U181" s="441"/>
      <c r="V181" s="441"/>
      <c r="W181" s="441"/>
      <c r="X181" s="441"/>
      <c r="Y181" s="441"/>
      <c r="Z181" s="441"/>
      <c r="AA181" s="441"/>
      <c r="AB181" s="441"/>
      <c r="AC181" s="441"/>
      <c r="AD181" s="441"/>
      <c r="AE181" s="441"/>
      <c r="AF181" s="441"/>
      <c r="AG181" s="441"/>
      <c r="AH181" s="441"/>
      <c r="AI181" s="441"/>
      <c r="AJ181" s="441"/>
      <c r="AK181" s="441"/>
      <c r="AL181" s="441"/>
      <c r="AM181" s="441"/>
      <c r="AN181" s="441"/>
      <c r="AO181" s="441"/>
      <c r="AP181" s="441"/>
      <c r="AQ181" s="441"/>
      <c r="AR181" s="441"/>
      <c r="AS181" s="441"/>
      <c r="AT181" s="441"/>
      <c r="AU181" s="441"/>
      <c r="AV181" s="441"/>
      <c r="AW181" s="441"/>
      <c r="AX181" s="441"/>
      <c r="AY181" s="441"/>
      <c r="AZ181" s="441"/>
      <c r="BA181" s="441"/>
    </row>
    <row r="182">
      <c r="A182" s="441"/>
      <c r="L182" s="1068"/>
      <c r="M182" s="441"/>
      <c r="N182" s="441"/>
      <c r="O182" s="441"/>
      <c r="P182" s="441"/>
      <c r="Q182" s="441"/>
      <c r="R182" s="441"/>
      <c r="S182" s="441"/>
      <c r="T182" s="441"/>
      <c r="U182" s="441"/>
      <c r="V182" s="441"/>
      <c r="W182" s="441"/>
      <c r="X182" s="441"/>
      <c r="Y182" s="441"/>
      <c r="Z182" s="441"/>
      <c r="AA182" s="441"/>
      <c r="AB182" s="441"/>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441"/>
      <c r="AY182" s="441"/>
      <c r="AZ182" s="441"/>
      <c r="BA182" s="441"/>
    </row>
    <row r="183">
      <c r="A183" s="441"/>
      <c r="L183" s="1068"/>
      <c r="M183" s="441"/>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1"/>
      <c r="AY183" s="441"/>
      <c r="AZ183" s="441"/>
      <c r="BA183" s="441"/>
    </row>
    <row r="184">
      <c r="A184" s="441"/>
      <c r="L184" s="1068"/>
      <c r="M184" s="441"/>
      <c r="N184" s="441"/>
      <c r="O184" s="441"/>
      <c r="P184" s="441"/>
      <c r="Q184" s="441"/>
      <c r="R184" s="441"/>
      <c r="S184" s="441"/>
      <c r="T184" s="441"/>
      <c r="U184" s="441"/>
      <c r="V184" s="441"/>
      <c r="W184" s="441"/>
      <c r="X184" s="441"/>
      <c r="Y184" s="441"/>
      <c r="Z184" s="441"/>
      <c r="AA184" s="441"/>
      <c r="AB184" s="441"/>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1"/>
      <c r="AY184" s="441"/>
      <c r="AZ184" s="441"/>
      <c r="BA184" s="441"/>
    </row>
    <row r="185">
      <c r="A185" s="441"/>
      <c r="L185" s="1068"/>
      <c r="M185" s="441"/>
      <c r="N185" s="441"/>
      <c r="O185" s="441"/>
      <c r="P185" s="441"/>
      <c r="Q185" s="441"/>
      <c r="R185" s="441"/>
      <c r="S185" s="441"/>
      <c r="T185" s="441"/>
      <c r="U185" s="441"/>
      <c r="V185" s="441"/>
      <c r="W185" s="441"/>
      <c r="X185" s="441"/>
      <c r="Y185" s="441"/>
      <c r="Z185" s="441"/>
      <c r="AA185" s="441"/>
      <c r="AB185" s="441"/>
      <c r="AC185" s="441"/>
      <c r="AD185" s="441"/>
      <c r="AE185" s="441"/>
      <c r="AF185" s="441"/>
      <c r="AG185" s="441"/>
      <c r="AH185" s="441"/>
      <c r="AI185" s="441"/>
      <c r="AJ185" s="441"/>
      <c r="AK185" s="441"/>
      <c r="AL185" s="441"/>
      <c r="AM185" s="441"/>
      <c r="AN185" s="441"/>
      <c r="AO185" s="441"/>
      <c r="AP185" s="441"/>
      <c r="AQ185" s="441"/>
      <c r="AR185" s="441"/>
      <c r="AS185" s="441"/>
      <c r="AT185" s="441"/>
      <c r="AU185" s="441"/>
      <c r="AV185" s="441"/>
      <c r="AW185" s="441"/>
      <c r="AX185" s="441"/>
      <c r="AY185" s="441"/>
      <c r="AZ185" s="441"/>
      <c r="BA185" s="441"/>
    </row>
    <row r="186">
      <c r="A186" s="441"/>
      <c r="L186" s="1068"/>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41"/>
      <c r="AN186" s="441"/>
      <c r="AO186" s="441"/>
      <c r="AP186" s="441"/>
      <c r="AQ186" s="441"/>
      <c r="AR186" s="441"/>
      <c r="AS186" s="441"/>
      <c r="AT186" s="441"/>
      <c r="AU186" s="441"/>
      <c r="AV186" s="441"/>
      <c r="AW186" s="441"/>
      <c r="AX186" s="441"/>
      <c r="AY186" s="441"/>
      <c r="AZ186" s="441"/>
      <c r="BA186" s="441"/>
    </row>
    <row r="187">
      <c r="A187" s="441"/>
      <c r="L187" s="1068"/>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1"/>
      <c r="AY187" s="441"/>
      <c r="AZ187" s="441"/>
      <c r="BA187" s="441"/>
    </row>
    <row r="188">
      <c r="A188" s="441"/>
      <c r="L188" s="1068"/>
      <c r="M188" s="441"/>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441"/>
      <c r="AM188" s="441"/>
      <c r="AN188" s="441"/>
      <c r="AO188" s="441"/>
      <c r="AP188" s="441"/>
      <c r="AQ188" s="441"/>
      <c r="AR188" s="441"/>
      <c r="AS188" s="441"/>
      <c r="AT188" s="441"/>
      <c r="AU188" s="441"/>
      <c r="AV188" s="441"/>
      <c r="AW188" s="441"/>
      <c r="AX188" s="441"/>
      <c r="AY188" s="441"/>
      <c r="AZ188" s="441"/>
      <c r="BA188" s="441"/>
    </row>
    <row r="189">
      <c r="A189" s="441"/>
      <c r="L189" s="1068"/>
      <c r="M189" s="441"/>
      <c r="N189" s="441"/>
      <c r="O189" s="441"/>
      <c r="P189" s="441"/>
      <c r="Q189" s="441"/>
      <c r="R189" s="441"/>
      <c r="S189" s="441"/>
      <c r="T189" s="441"/>
      <c r="U189" s="441"/>
      <c r="V189" s="441"/>
      <c r="W189" s="441"/>
      <c r="X189" s="441"/>
      <c r="Y189" s="441"/>
      <c r="Z189" s="441"/>
      <c r="AA189" s="441"/>
      <c r="AB189" s="441"/>
      <c r="AC189" s="441"/>
      <c r="AD189" s="441"/>
      <c r="AE189" s="441"/>
      <c r="AF189" s="441"/>
      <c r="AG189" s="441"/>
      <c r="AH189" s="441"/>
      <c r="AI189" s="441"/>
      <c r="AJ189" s="441"/>
      <c r="AK189" s="441"/>
      <c r="AL189" s="441"/>
      <c r="AM189" s="441"/>
      <c r="AN189" s="441"/>
      <c r="AO189" s="441"/>
      <c r="AP189" s="441"/>
      <c r="AQ189" s="441"/>
      <c r="AR189" s="441"/>
      <c r="AS189" s="441"/>
      <c r="AT189" s="441"/>
      <c r="AU189" s="441"/>
      <c r="AV189" s="441"/>
      <c r="AW189" s="441"/>
      <c r="AX189" s="441"/>
      <c r="AY189" s="441"/>
      <c r="AZ189" s="441"/>
      <c r="BA189" s="441"/>
    </row>
    <row r="190">
      <c r="A190" s="441"/>
      <c r="L190" s="1068"/>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1"/>
      <c r="AY190" s="441"/>
      <c r="AZ190" s="441"/>
      <c r="BA190" s="441"/>
    </row>
    <row r="191">
      <c r="A191" s="441"/>
      <c r="L191" s="1068"/>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1"/>
      <c r="AY191" s="441"/>
      <c r="AZ191" s="441"/>
      <c r="BA191" s="441"/>
    </row>
    <row r="192">
      <c r="A192" s="441"/>
      <c r="L192" s="1068"/>
      <c r="M192" s="441"/>
      <c r="N192" s="441"/>
      <c r="O192" s="441"/>
      <c r="P192" s="441"/>
      <c r="Q192" s="441"/>
      <c r="R192" s="441"/>
      <c r="S192" s="441"/>
      <c r="T192" s="441"/>
      <c r="U192" s="441"/>
      <c r="V192" s="441"/>
      <c r="W192" s="441"/>
      <c r="X192" s="441"/>
      <c r="Y192" s="441"/>
      <c r="Z192" s="441"/>
      <c r="AA192" s="441"/>
      <c r="AB192" s="441"/>
      <c r="AC192" s="441"/>
      <c r="AD192" s="441"/>
      <c r="AE192" s="441"/>
      <c r="AF192" s="441"/>
      <c r="AG192" s="441"/>
      <c r="AH192" s="441"/>
      <c r="AI192" s="441"/>
      <c r="AJ192" s="441"/>
      <c r="AK192" s="441"/>
      <c r="AL192" s="441"/>
      <c r="AM192" s="441"/>
      <c r="AN192" s="441"/>
      <c r="AO192" s="441"/>
      <c r="AP192" s="441"/>
      <c r="AQ192" s="441"/>
      <c r="AR192" s="441"/>
      <c r="AS192" s="441"/>
      <c r="AT192" s="441"/>
      <c r="AU192" s="441"/>
      <c r="AV192" s="441"/>
      <c r="AW192" s="441"/>
      <c r="AX192" s="441"/>
      <c r="AY192" s="441"/>
      <c r="AZ192" s="441"/>
      <c r="BA192" s="441"/>
    </row>
    <row r="193">
      <c r="A193" s="441"/>
      <c r="L193" s="1068"/>
      <c r="M193" s="441"/>
      <c r="N193" s="441"/>
      <c r="O193" s="441"/>
      <c r="P193" s="441"/>
      <c r="Q193" s="441"/>
      <c r="R193" s="441"/>
      <c r="S193" s="441"/>
      <c r="T193" s="441"/>
      <c r="U193" s="441"/>
      <c r="V193" s="441"/>
      <c r="W193" s="441"/>
      <c r="X193" s="441"/>
      <c r="Y193" s="441"/>
      <c r="Z193" s="441"/>
      <c r="AA193" s="441"/>
      <c r="AB193" s="441"/>
      <c r="AC193" s="441"/>
      <c r="AD193" s="441"/>
      <c r="AE193" s="441"/>
      <c r="AF193" s="441"/>
      <c r="AG193" s="441"/>
      <c r="AH193" s="441"/>
      <c r="AI193" s="441"/>
      <c r="AJ193" s="441"/>
      <c r="AK193" s="441"/>
      <c r="AL193" s="441"/>
      <c r="AM193" s="441"/>
      <c r="AN193" s="441"/>
      <c r="AO193" s="441"/>
      <c r="AP193" s="441"/>
      <c r="AQ193" s="441"/>
      <c r="AR193" s="441"/>
      <c r="AS193" s="441"/>
      <c r="AT193" s="441"/>
      <c r="AU193" s="441"/>
      <c r="AV193" s="441"/>
      <c r="AW193" s="441"/>
      <c r="AX193" s="441"/>
      <c r="AY193" s="441"/>
      <c r="AZ193" s="441"/>
      <c r="BA193" s="441"/>
    </row>
    <row r="194">
      <c r="A194" s="441"/>
      <c r="L194" s="1068"/>
      <c r="M194" s="441"/>
      <c r="N194" s="441"/>
      <c r="O194" s="441"/>
      <c r="P194" s="441"/>
      <c r="Q194" s="441"/>
      <c r="R194" s="441"/>
      <c r="S194" s="441"/>
      <c r="T194" s="441"/>
      <c r="U194" s="441"/>
      <c r="V194" s="441"/>
      <c r="W194" s="441"/>
      <c r="X194" s="441"/>
      <c r="Y194" s="441"/>
      <c r="Z194" s="441"/>
      <c r="AA194" s="441"/>
      <c r="AB194" s="441"/>
      <c r="AC194" s="441"/>
      <c r="AD194" s="441"/>
      <c r="AE194" s="441"/>
      <c r="AF194" s="441"/>
      <c r="AG194" s="441"/>
      <c r="AH194" s="441"/>
      <c r="AI194" s="441"/>
      <c r="AJ194" s="441"/>
      <c r="AK194" s="441"/>
      <c r="AL194" s="441"/>
      <c r="AM194" s="441"/>
      <c r="AN194" s="441"/>
      <c r="AO194" s="441"/>
      <c r="AP194" s="441"/>
      <c r="AQ194" s="441"/>
      <c r="AR194" s="441"/>
      <c r="AS194" s="441"/>
      <c r="AT194" s="441"/>
      <c r="AU194" s="441"/>
      <c r="AV194" s="441"/>
      <c r="AW194" s="441"/>
      <c r="AX194" s="441"/>
      <c r="AY194" s="441"/>
      <c r="AZ194" s="441"/>
      <c r="BA194" s="441"/>
    </row>
    <row r="195">
      <c r="A195" s="441"/>
      <c r="L195" s="1068"/>
      <c r="M195" s="441"/>
      <c r="N195" s="441"/>
      <c r="O195" s="441"/>
      <c r="P195" s="441"/>
      <c r="Q195" s="441"/>
      <c r="R195" s="441"/>
      <c r="S195" s="441"/>
      <c r="T195" s="441"/>
      <c r="U195" s="441"/>
      <c r="V195" s="441"/>
      <c r="W195" s="441"/>
      <c r="X195" s="441"/>
      <c r="Y195" s="441"/>
      <c r="Z195" s="441"/>
      <c r="AA195" s="441"/>
      <c r="AB195" s="441"/>
      <c r="AC195" s="441"/>
      <c r="AD195" s="441"/>
      <c r="AE195" s="441"/>
      <c r="AF195" s="441"/>
      <c r="AG195" s="441"/>
      <c r="AH195" s="441"/>
      <c r="AI195" s="441"/>
      <c r="AJ195" s="441"/>
      <c r="AK195" s="441"/>
      <c r="AL195" s="441"/>
      <c r="AM195" s="441"/>
      <c r="AN195" s="441"/>
      <c r="AO195" s="441"/>
      <c r="AP195" s="441"/>
      <c r="AQ195" s="441"/>
      <c r="AR195" s="441"/>
      <c r="AS195" s="441"/>
      <c r="AT195" s="441"/>
      <c r="AU195" s="441"/>
      <c r="AV195" s="441"/>
      <c r="AW195" s="441"/>
      <c r="AX195" s="441"/>
      <c r="AY195" s="441"/>
      <c r="AZ195" s="441"/>
      <c r="BA195" s="441"/>
    </row>
    <row r="196">
      <c r="A196" s="441"/>
      <c r="L196" s="1068"/>
      <c r="M196" s="441"/>
      <c r="N196" s="441"/>
      <c r="O196" s="441"/>
      <c r="P196" s="441"/>
      <c r="Q196" s="441"/>
      <c r="R196" s="441"/>
      <c r="S196" s="441"/>
      <c r="T196" s="441"/>
      <c r="U196" s="441"/>
      <c r="V196" s="441"/>
      <c r="W196" s="441"/>
      <c r="X196" s="441"/>
      <c r="Y196" s="441"/>
      <c r="Z196" s="441"/>
      <c r="AA196" s="441"/>
      <c r="AB196" s="441"/>
      <c r="AC196" s="441"/>
      <c r="AD196" s="441"/>
      <c r="AE196" s="441"/>
      <c r="AF196" s="441"/>
      <c r="AG196" s="441"/>
      <c r="AH196" s="441"/>
      <c r="AI196" s="441"/>
      <c r="AJ196" s="441"/>
      <c r="AK196" s="441"/>
      <c r="AL196" s="441"/>
      <c r="AM196" s="441"/>
      <c r="AN196" s="441"/>
      <c r="AO196" s="441"/>
      <c r="AP196" s="441"/>
      <c r="AQ196" s="441"/>
      <c r="AR196" s="441"/>
      <c r="AS196" s="441"/>
      <c r="AT196" s="441"/>
      <c r="AU196" s="441"/>
      <c r="AV196" s="441"/>
      <c r="AW196" s="441"/>
      <c r="AX196" s="441"/>
      <c r="AY196" s="441"/>
      <c r="AZ196" s="441"/>
      <c r="BA196" s="441"/>
    </row>
    <row r="197">
      <c r="A197" s="441"/>
      <c r="L197" s="1068"/>
      <c r="M197" s="441"/>
      <c r="N197" s="441"/>
      <c r="O197" s="441"/>
      <c r="P197" s="441"/>
      <c r="Q197" s="441"/>
      <c r="R197" s="441"/>
      <c r="S197" s="441"/>
      <c r="T197" s="441"/>
      <c r="U197" s="441"/>
      <c r="V197" s="441"/>
      <c r="W197" s="441"/>
      <c r="X197" s="441"/>
      <c r="Y197" s="441"/>
      <c r="Z197" s="441"/>
      <c r="AA197" s="441"/>
      <c r="AB197" s="441"/>
      <c r="AC197" s="441"/>
      <c r="AD197" s="441"/>
      <c r="AE197" s="441"/>
      <c r="AF197" s="441"/>
      <c r="AG197" s="441"/>
      <c r="AH197" s="441"/>
      <c r="AI197" s="441"/>
      <c r="AJ197" s="441"/>
      <c r="AK197" s="441"/>
      <c r="AL197" s="441"/>
      <c r="AM197" s="441"/>
      <c r="AN197" s="441"/>
      <c r="AO197" s="441"/>
      <c r="AP197" s="441"/>
      <c r="AQ197" s="441"/>
      <c r="AR197" s="441"/>
      <c r="AS197" s="441"/>
      <c r="AT197" s="441"/>
      <c r="AU197" s="441"/>
      <c r="AV197" s="441"/>
      <c r="AW197" s="441"/>
      <c r="AX197" s="441"/>
      <c r="AY197" s="441"/>
      <c r="AZ197" s="441"/>
      <c r="BA197" s="441"/>
    </row>
    <row r="198">
      <c r="A198" s="441"/>
      <c r="L198" s="1068"/>
      <c r="M198" s="441"/>
      <c r="N198" s="441"/>
      <c r="O198" s="441"/>
      <c r="P198" s="441"/>
      <c r="Q198" s="441"/>
      <c r="R198" s="441"/>
      <c r="S198" s="441"/>
      <c r="T198" s="441"/>
      <c r="U198" s="441"/>
      <c r="V198" s="441"/>
      <c r="W198" s="441"/>
      <c r="X198" s="441"/>
      <c r="Y198" s="441"/>
      <c r="Z198" s="441"/>
      <c r="AA198" s="441"/>
      <c r="AB198" s="441"/>
      <c r="AC198" s="441"/>
      <c r="AD198" s="441"/>
      <c r="AE198" s="441"/>
      <c r="AF198" s="441"/>
      <c r="AG198" s="441"/>
      <c r="AH198" s="441"/>
      <c r="AI198" s="441"/>
      <c r="AJ198" s="441"/>
      <c r="AK198" s="441"/>
      <c r="AL198" s="441"/>
      <c r="AM198" s="441"/>
      <c r="AN198" s="441"/>
      <c r="AO198" s="441"/>
      <c r="AP198" s="441"/>
      <c r="AQ198" s="441"/>
      <c r="AR198" s="441"/>
      <c r="AS198" s="441"/>
      <c r="AT198" s="441"/>
      <c r="AU198" s="441"/>
      <c r="AV198" s="441"/>
      <c r="AW198" s="441"/>
      <c r="AX198" s="441"/>
      <c r="AY198" s="441"/>
      <c r="AZ198" s="441"/>
      <c r="BA198" s="441"/>
    </row>
    <row r="199">
      <c r="A199" s="441"/>
      <c r="L199" s="1068"/>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441"/>
      <c r="AN199" s="441"/>
      <c r="AO199" s="441"/>
      <c r="AP199" s="441"/>
      <c r="AQ199" s="441"/>
      <c r="AR199" s="441"/>
      <c r="AS199" s="441"/>
      <c r="AT199" s="441"/>
      <c r="AU199" s="441"/>
      <c r="AV199" s="441"/>
      <c r="AW199" s="441"/>
      <c r="AX199" s="441"/>
      <c r="AY199" s="441"/>
      <c r="AZ199" s="441"/>
      <c r="BA199" s="441"/>
    </row>
    <row r="200">
      <c r="A200" s="441"/>
      <c r="L200" s="1068"/>
      <c r="M200" s="441"/>
      <c r="N200" s="441"/>
      <c r="O200" s="441"/>
      <c r="P200" s="441"/>
      <c r="Q200" s="441"/>
      <c r="R200" s="441"/>
      <c r="S200" s="441"/>
      <c r="T200" s="441"/>
      <c r="U200" s="441"/>
      <c r="V200" s="441"/>
      <c r="W200" s="441"/>
      <c r="X200" s="441"/>
      <c r="Y200" s="441"/>
      <c r="Z200" s="441"/>
      <c r="AA200" s="441"/>
      <c r="AB200" s="441"/>
      <c r="AC200" s="441"/>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1"/>
      <c r="AY200" s="441"/>
      <c r="AZ200" s="441"/>
      <c r="BA200" s="441"/>
    </row>
    <row r="201">
      <c r="A201" s="441"/>
      <c r="L201" s="1068"/>
      <c r="M201" s="441"/>
      <c r="N201" s="441"/>
      <c r="O201" s="441"/>
      <c r="P201" s="441"/>
      <c r="Q201" s="441"/>
      <c r="R201" s="441"/>
      <c r="S201" s="441"/>
      <c r="T201" s="441"/>
      <c r="U201" s="441"/>
      <c r="V201" s="441"/>
      <c r="W201" s="441"/>
      <c r="X201" s="441"/>
      <c r="Y201" s="441"/>
      <c r="Z201" s="441"/>
      <c r="AA201" s="441"/>
      <c r="AB201" s="441"/>
      <c r="AC201" s="441"/>
      <c r="AD201" s="441"/>
      <c r="AE201" s="441"/>
      <c r="AF201" s="441"/>
      <c r="AG201" s="441"/>
      <c r="AH201" s="441"/>
      <c r="AI201" s="441"/>
      <c r="AJ201" s="441"/>
      <c r="AK201" s="441"/>
      <c r="AL201" s="441"/>
      <c r="AM201" s="441"/>
      <c r="AN201" s="441"/>
      <c r="AO201" s="441"/>
      <c r="AP201" s="441"/>
      <c r="AQ201" s="441"/>
      <c r="AR201" s="441"/>
      <c r="AS201" s="441"/>
      <c r="AT201" s="441"/>
      <c r="AU201" s="441"/>
      <c r="AV201" s="441"/>
      <c r="AW201" s="441"/>
      <c r="AX201" s="441"/>
      <c r="AY201" s="441"/>
      <c r="AZ201" s="441"/>
      <c r="BA201" s="441"/>
    </row>
    <row r="202">
      <c r="A202" s="441"/>
      <c r="L202" s="1068"/>
      <c r="M202" s="441"/>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441"/>
      <c r="AM202" s="441"/>
      <c r="AN202" s="441"/>
      <c r="AO202" s="441"/>
      <c r="AP202" s="441"/>
      <c r="AQ202" s="441"/>
      <c r="AR202" s="441"/>
      <c r="AS202" s="441"/>
      <c r="AT202" s="441"/>
      <c r="AU202" s="441"/>
      <c r="AV202" s="441"/>
      <c r="AW202" s="441"/>
      <c r="AX202" s="441"/>
      <c r="AY202" s="441"/>
      <c r="AZ202" s="441"/>
      <c r="BA202" s="441"/>
    </row>
    <row r="203">
      <c r="A203" s="441"/>
      <c r="L203" s="1068"/>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1"/>
      <c r="AN203" s="441"/>
      <c r="AO203" s="441"/>
      <c r="AP203" s="441"/>
      <c r="AQ203" s="441"/>
      <c r="AR203" s="441"/>
      <c r="AS203" s="441"/>
      <c r="AT203" s="441"/>
      <c r="AU203" s="441"/>
      <c r="AV203" s="441"/>
      <c r="AW203" s="441"/>
      <c r="AX203" s="441"/>
      <c r="AY203" s="441"/>
      <c r="AZ203" s="441"/>
      <c r="BA203" s="441"/>
    </row>
    <row r="204">
      <c r="A204" s="441"/>
      <c r="L204" s="1068"/>
      <c r="M204" s="441"/>
      <c r="N204" s="441"/>
      <c r="O204" s="441"/>
      <c r="P204" s="441"/>
      <c r="Q204" s="441"/>
      <c r="R204" s="441"/>
      <c r="S204" s="441"/>
      <c r="T204" s="441"/>
      <c r="U204" s="441"/>
      <c r="V204" s="441"/>
      <c r="W204" s="441"/>
      <c r="X204" s="441"/>
      <c r="Y204" s="441"/>
      <c r="Z204" s="441"/>
      <c r="AA204" s="441"/>
      <c r="AB204" s="441"/>
      <c r="AC204" s="441"/>
      <c r="AD204" s="441"/>
      <c r="AE204" s="441"/>
      <c r="AF204" s="441"/>
      <c r="AG204" s="441"/>
      <c r="AH204" s="441"/>
      <c r="AI204" s="441"/>
      <c r="AJ204" s="441"/>
      <c r="AK204" s="441"/>
      <c r="AL204" s="441"/>
      <c r="AM204" s="441"/>
      <c r="AN204" s="441"/>
      <c r="AO204" s="441"/>
      <c r="AP204" s="441"/>
      <c r="AQ204" s="441"/>
      <c r="AR204" s="441"/>
      <c r="AS204" s="441"/>
      <c r="AT204" s="441"/>
      <c r="AU204" s="441"/>
      <c r="AV204" s="441"/>
      <c r="AW204" s="441"/>
      <c r="AX204" s="441"/>
      <c r="AY204" s="441"/>
      <c r="AZ204" s="441"/>
      <c r="BA204" s="441"/>
    </row>
    <row r="205">
      <c r="A205" s="441"/>
      <c r="L205" s="1068"/>
      <c r="M205" s="441"/>
      <c r="N205" s="441"/>
      <c r="O205" s="441"/>
      <c r="P205" s="441"/>
      <c r="Q205" s="441"/>
      <c r="R205" s="441"/>
      <c r="S205" s="441"/>
      <c r="T205" s="441"/>
      <c r="U205" s="441"/>
      <c r="V205" s="441"/>
      <c r="W205" s="441"/>
      <c r="X205" s="441"/>
      <c r="Y205" s="441"/>
      <c r="Z205" s="441"/>
      <c r="AA205" s="441"/>
      <c r="AB205" s="441"/>
      <c r="AC205" s="441"/>
      <c r="AD205" s="441"/>
      <c r="AE205" s="441"/>
      <c r="AF205" s="441"/>
      <c r="AG205" s="441"/>
      <c r="AH205" s="441"/>
      <c r="AI205" s="441"/>
      <c r="AJ205" s="441"/>
      <c r="AK205" s="441"/>
      <c r="AL205" s="441"/>
      <c r="AM205" s="441"/>
      <c r="AN205" s="441"/>
      <c r="AO205" s="441"/>
      <c r="AP205" s="441"/>
      <c r="AQ205" s="441"/>
      <c r="AR205" s="441"/>
      <c r="AS205" s="441"/>
      <c r="AT205" s="441"/>
      <c r="AU205" s="441"/>
      <c r="AV205" s="441"/>
      <c r="AW205" s="441"/>
      <c r="AX205" s="441"/>
      <c r="AY205" s="441"/>
      <c r="AZ205" s="441"/>
      <c r="BA205" s="441"/>
    </row>
    <row r="206">
      <c r="A206" s="441"/>
      <c r="L206" s="1068"/>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1"/>
      <c r="AN206" s="441"/>
      <c r="AO206" s="441"/>
      <c r="AP206" s="441"/>
      <c r="AQ206" s="441"/>
      <c r="AR206" s="441"/>
      <c r="AS206" s="441"/>
      <c r="AT206" s="441"/>
      <c r="AU206" s="441"/>
      <c r="AV206" s="441"/>
      <c r="AW206" s="441"/>
      <c r="AX206" s="441"/>
      <c r="AY206" s="441"/>
      <c r="AZ206" s="441"/>
      <c r="BA206" s="441"/>
    </row>
    <row r="207">
      <c r="A207" s="441"/>
      <c r="L207" s="1068"/>
      <c r="M207" s="441"/>
      <c r="N207" s="441"/>
      <c r="O207" s="441"/>
      <c r="P207" s="441"/>
      <c r="Q207" s="441"/>
      <c r="R207" s="441"/>
      <c r="S207" s="441"/>
      <c r="T207" s="441"/>
      <c r="U207" s="441"/>
      <c r="V207" s="441"/>
      <c r="W207" s="441"/>
      <c r="X207" s="441"/>
      <c r="Y207" s="441"/>
      <c r="Z207" s="441"/>
      <c r="AA207" s="441"/>
      <c r="AB207" s="441"/>
      <c r="AC207" s="441"/>
      <c r="AD207" s="441"/>
      <c r="AE207" s="441"/>
      <c r="AF207" s="441"/>
      <c r="AG207" s="441"/>
      <c r="AH207" s="441"/>
      <c r="AI207" s="441"/>
      <c r="AJ207" s="441"/>
      <c r="AK207" s="441"/>
      <c r="AL207" s="441"/>
      <c r="AM207" s="441"/>
      <c r="AN207" s="441"/>
      <c r="AO207" s="441"/>
      <c r="AP207" s="441"/>
      <c r="AQ207" s="441"/>
      <c r="AR207" s="441"/>
      <c r="AS207" s="441"/>
      <c r="AT207" s="441"/>
      <c r="AU207" s="441"/>
      <c r="AV207" s="441"/>
      <c r="AW207" s="441"/>
      <c r="AX207" s="441"/>
      <c r="AY207" s="441"/>
      <c r="AZ207" s="441"/>
      <c r="BA207" s="441"/>
    </row>
    <row r="208">
      <c r="A208" s="441"/>
      <c r="L208" s="1068"/>
      <c r="M208" s="441"/>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441"/>
      <c r="AM208" s="441"/>
      <c r="AN208" s="441"/>
      <c r="AO208" s="441"/>
      <c r="AP208" s="441"/>
      <c r="AQ208" s="441"/>
      <c r="AR208" s="441"/>
      <c r="AS208" s="441"/>
      <c r="AT208" s="441"/>
      <c r="AU208" s="441"/>
      <c r="AV208" s="441"/>
      <c r="AW208" s="441"/>
      <c r="AX208" s="441"/>
      <c r="AY208" s="441"/>
      <c r="AZ208" s="441"/>
      <c r="BA208" s="441"/>
    </row>
    <row r="209">
      <c r="A209" s="441"/>
      <c r="L209" s="1068"/>
      <c r="M209" s="441"/>
      <c r="N209" s="441"/>
      <c r="O209" s="441"/>
      <c r="P209" s="441"/>
      <c r="Q209" s="441"/>
      <c r="R209" s="441"/>
      <c r="S209" s="441"/>
      <c r="T209" s="441"/>
      <c r="U209" s="441"/>
      <c r="V209" s="441"/>
      <c r="W209" s="441"/>
      <c r="X209" s="441"/>
      <c r="Y209" s="441"/>
      <c r="Z209" s="441"/>
      <c r="AA209" s="441"/>
      <c r="AB209" s="441"/>
      <c r="AC209" s="441"/>
      <c r="AD209" s="441"/>
      <c r="AE209" s="441"/>
      <c r="AF209" s="441"/>
      <c r="AG209" s="441"/>
      <c r="AH209" s="441"/>
      <c r="AI209" s="441"/>
      <c r="AJ209" s="441"/>
      <c r="AK209" s="441"/>
      <c r="AL209" s="441"/>
      <c r="AM209" s="441"/>
      <c r="AN209" s="441"/>
      <c r="AO209" s="441"/>
      <c r="AP209" s="441"/>
      <c r="AQ209" s="441"/>
      <c r="AR209" s="441"/>
      <c r="AS209" s="441"/>
      <c r="AT209" s="441"/>
      <c r="AU209" s="441"/>
      <c r="AV209" s="441"/>
      <c r="AW209" s="441"/>
      <c r="AX209" s="441"/>
      <c r="AY209" s="441"/>
      <c r="AZ209" s="441"/>
      <c r="BA209" s="441"/>
    </row>
    <row r="210">
      <c r="A210" s="441"/>
      <c r="L210" s="1068"/>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441"/>
      <c r="AZ210" s="441"/>
      <c r="BA210" s="441"/>
    </row>
    <row r="211">
      <c r="A211" s="441"/>
      <c r="L211" s="1068"/>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1"/>
      <c r="AK211" s="441"/>
      <c r="AL211" s="441"/>
      <c r="AM211" s="441"/>
      <c r="AN211" s="441"/>
      <c r="AO211" s="441"/>
      <c r="AP211" s="441"/>
      <c r="AQ211" s="441"/>
      <c r="AR211" s="441"/>
      <c r="AS211" s="441"/>
      <c r="AT211" s="441"/>
      <c r="AU211" s="441"/>
      <c r="AV211" s="441"/>
      <c r="AW211" s="441"/>
      <c r="AX211" s="441"/>
      <c r="AY211" s="441"/>
      <c r="AZ211" s="441"/>
      <c r="BA211" s="441"/>
    </row>
    <row r="212">
      <c r="A212" s="441"/>
      <c r="L212" s="1068"/>
      <c r="M212" s="441"/>
      <c r="N212" s="441"/>
      <c r="O212" s="441"/>
      <c r="P212" s="441"/>
      <c r="Q212" s="441"/>
      <c r="R212" s="441"/>
      <c r="S212" s="441"/>
      <c r="T212" s="441"/>
      <c r="U212" s="441"/>
      <c r="V212" s="441"/>
      <c r="W212" s="441"/>
      <c r="X212" s="441"/>
      <c r="Y212" s="441"/>
      <c r="Z212" s="441"/>
      <c r="AA212" s="441"/>
      <c r="AB212" s="441"/>
      <c r="AC212" s="441"/>
      <c r="AD212" s="441"/>
      <c r="AE212" s="441"/>
      <c r="AF212" s="441"/>
      <c r="AG212" s="441"/>
      <c r="AH212" s="441"/>
      <c r="AI212" s="441"/>
      <c r="AJ212" s="441"/>
      <c r="AK212" s="441"/>
      <c r="AL212" s="441"/>
      <c r="AM212" s="441"/>
      <c r="AN212" s="441"/>
      <c r="AO212" s="441"/>
      <c r="AP212" s="441"/>
      <c r="AQ212" s="441"/>
      <c r="AR212" s="441"/>
      <c r="AS212" s="441"/>
      <c r="AT212" s="441"/>
      <c r="AU212" s="441"/>
      <c r="AV212" s="441"/>
      <c r="AW212" s="441"/>
      <c r="AX212" s="441"/>
      <c r="AY212" s="441"/>
      <c r="AZ212" s="441"/>
      <c r="BA212" s="441"/>
    </row>
    <row r="213">
      <c r="A213" s="441"/>
      <c r="L213" s="1068"/>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1"/>
      <c r="AK213" s="441"/>
      <c r="AL213" s="441"/>
      <c r="AM213" s="441"/>
      <c r="AN213" s="441"/>
      <c r="AO213" s="441"/>
      <c r="AP213" s="441"/>
      <c r="AQ213" s="441"/>
      <c r="AR213" s="441"/>
      <c r="AS213" s="441"/>
      <c r="AT213" s="441"/>
      <c r="AU213" s="441"/>
      <c r="AV213" s="441"/>
      <c r="AW213" s="441"/>
      <c r="AX213" s="441"/>
      <c r="AY213" s="441"/>
      <c r="AZ213" s="441"/>
      <c r="BA213" s="441"/>
    </row>
    <row r="214">
      <c r="A214" s="441"/>
      <c r="L214" s="1068"/>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1"/>
      <c r="AY214" s="441"/>
      <c r="AZ214" s="441"/>
      <c r="BA214" s="441"/>
    </row>
    <row r="215">
      <c r="A215" s="441"/>
      <c r="L215" s="1068"/>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1"/>
      <c r="AY215" s="441"/>
      <c r="AZ215" s="441"/>
      <c r="BA215" s="441"/>
    </row>
    <row r="216">
      <c r="A216" s="441"/>
      <c r="L216" s="1068"/>
      <c r="M216" s="441"/>
      <c r="N216" s="441"/>
      <c r="O216" s="441"/>
      <c r="P216" s="441"/>
      <c r="Q216" s="441"/>
      <c r="R216" s="441"/>
      <c r="S216" s="441"/>
      <c r="T216" s="441"/>
      <c r="U216" s="441"/>
      <c r="V216" s="441"/>
      <c r="W216" s="441"/>
      <c r="X216" s="441"/>
      <c r="Y216" s="441"/>
      <c r="Z216" s="441"/>
      <c r="AA216" s="441"/>
      <c r="AB216" s="441"/>
      <c r="AC216" s="441"/>
      <c r="AD216" s="441"/>
      <c r="AE216" s="441"/>
      <c r="AF216" s="441"/>
      <c r="AG216" s="441"/>
      <c r="AH216" s="441"/>
      <c r="AI216" s="441"/>
      <c r="AJ216" s="441"/>
      <c r="AK216" s="441"/>
      <c r="AL216" s="441"/>
      <c r="AM216" s="441"/>
      <c r="AN216" s="441"/>
      <c r="AO216" s="441"/>
      <c r="AP216" s="441"/>
      <c r="AQ216" s="441"/>
      <c r="AR216" s="441"/>
      <c r="AS216" s="441"/>
      <c r="AT216" s="441"/>
      <c r="AU216" s="441"/>
      <c r="AV216" s="441"/>
      <c r="AW216" s="441"/>
      <c r="AX216" s="441"/>
      <c r="AY216" s="441"/>
      <c r="AZ216" s="441"/>
      <c r="BA216" s="441"/>
    </row>
    <row r="217">
      <c r="A217" s="441"/>
      <c r="L217" s="1068"/>
      <c r="M217" s="441"/>
      <c r="N217" s="441"/>
      <c r="O217" s="441"/>
      <c r="P217" s="441"/>
      <c r="Q217" s="441"/>
      <c r="R217" s="441"/>
      <c r="S217" s="441"/>
      <c r="T217" s="441"/>
      <c r="U217" s="441"/>
      <c r="V217" s="441"/>
      <c r="W217" s="441"/>
      <c r="X217" s="441"/>
      <c r="Y217" s="441"/>
      <c r="Z217" s="441"/>
      <c r="AA217" s="441"/>
      <c r="AB217" s="441"/>
      <c r="AC217" s="441"/>
      <c r="AD217" s="441"/>
      <c r="AE217" s="441"/>
      <c r="AF217" s="441"/>
      <c r="AG217" s="441"/>
      <c r="AH217" s="441"/>
      <c r="AI217" s="441"/>
      <c r="AJ217" s="441"/>
      <c r="AK217" s="441"/>
      <c r="AL217" s="441"/>
      <c r="AM217" s="441"/>
      <c r="AN217" s="441"/>
      <c r="AO217" s="441"/>
      <c r="AP217" s="441"/>
      <c r="AQ217" s="441"/>
      <c r="AR217" s="441"/>
      <c r="AS217" s="441"/>
      <c r="AT217" s="441"/>
      <c r="AU217" s="441"/>
      <c r="AV217" s="441"/>
      <c r="AW217" s="441"/>
      <c r="AX217" s="441"/>
      <c r="AY217" s="441"/>
      <c r="AZ217" s="441"/>
      <c r="BA217" s="441"/>
    </row>
    <row r="218">
      <c r="A218" s="441"/>
      <c r="L218" s="1068"/>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1"/>
      <c r="AY218" s="441"/>
      <c r="AZ218" s="441"/>
      <c r="BA218" s="441"/>
    </row>
    <row r="219">
      <c r="A219" s="441"/>
      <c r="L219" s="1068"/>
      <c r="M219" s="441"/>
      <c r="N219" s="441"/>
      <c r="O219" s="441"/>
      <c r="P219" s="441"/>
      <c r="Q219" s="441"/>
      <c r="R219" s="441"/>
      <c r="S219" s="441"/>
      <c r="T219" s="441"/>
      <c r="U219" s="441"/>
      <c r="V219" s="441"/>
      <c r="W219" s="441"/>
      <c r="X219" s="441"/>
      <c r="Y219" s="441"/>
      <c r="Z219" s="441"/>
      <c r="AA219" s="441"/>
      <c r="AB219" s="441"/>
      <c r="AC219" s="441"/>
      <c r="AD219" s="441"/>
      <c r="AE219" s="441"/>
      <c r="AF219" s="441"/>
      <c r="AG219" s="441"/>
      <c r="AH219" s="441"/>
      <c r="AI219" s="441"/>
      <c r="AJ219" s="441"/>
      <c r="AK219" s="441"/>
      <c r="AL219" s="441"/>
      <c r="AM219" s="441"/>
      <c r="AN219" s="441"/>
      <c r="AO219" s="441"/>
      <c r="AP219" s="441"/>
      <c r="AQ219" s="441"/>
      <c r="AR219" s="441"/>
      <c r="AS219" s="441"/>
      <c r="AT219" s="441"/>
      <c r="AU219" s="441"/>
      <c r="AV219" s="441"/>
      <c r="AW219" s="441"/>
      <c r="AX219" s="441"/>
      <c r="AY219" s="441"/>
      <c r="AZ219" s="441"/>
      <c r="BA219" s="441"/>
    </row>
    <row r="220">
      <c r="A220" s="441"/>
      <c r="L220" s="1068"/>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1"/>
      <c r="AJ220" s="441"/>
      <c r="AK220" s="441"/>
      <c r="AL220" s="441"/>
      <c r="AM220" s="441"/>
      <c r="AN220" s="441"/>
      <c r="AO220" s="441"/>
      <c r="AP220" s="441"/>
      <c r="AQ220" s="441"/>
      <c r="AR220" s="441"/>
      <c r="AS220" s="441"/>
      <c r="AT220" s="441"/>
      <c r="AU220" s="441"/>
      <c r="AV220" s="441"/>
      <c r="AW220" s="441"/>
      <c r="AX220" s="441"/>
      <c r="AY220" s="441"/>
      <c r="AZ220" s="441"/>
      <c r="BA220" s="441"/>
    </row>
    <row r="221">
      <c r="A221" s="441"/>
      <c r="L221" s="1068"/>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41"/>
      <c r="AY221" s="441"/>
      <c r="AZ221" s="441"/>
      <c r="BA221" s="441"/>
    </row>
    <row r="222">
      <c r="A222" s="441"/>
      <c r="L222" s="1068"/>
      <c r="M222" s="441"/>
      <c r="N222" s="441"/>
      <c r="O222" s="441"/>
      <c r="P222" s="441"/>
      <c r="Q222" s="441"/>
      <c r="R222" s="441"/>
      <c r="S222" s="441"/>
      <c r="T222" s="441"/>
      <c r="U222" s="441"/>
      <c r="V222" s="441"/>
      <c r="W222" s="441"/>
      <c r="X222" s="441"/>
      <c r="Y222" s="441"/>
      <c r="Z222" s="441"/>
      <c r="AA222" s="441"/>
      <c r="AB222" s="441"/>
      <c r="AC222" s="441"/>
      <c r="AD222" s="441"/>
      <c r="AE222" s="441"/>
      <c r="AF222" s="441"/>
      <c r="AG222" s="441"/>
      <c r="AH222" s="441"/>
      <c r="AI222" s="441"/>
      <c r="AJ222" s="441"/>
      <c r="AK222" s="441"/>
      <c r="AL222" s="441"/>
      <c r="AM222" s="441"/>
      <c r="AN222" s="441"/>
      <c r="AO222" s="441"/>
      <c r="AP222" s="441"/>
      <c r="AQ222" s="441"/>
      <c r="AR222" s="441"/>
      <c r="AS222" s="441"/>
      <c r="AT222" s="441"/>
      <c r="AU222" s="441"/>
      <c r="AV222" s="441"/>
      <c r="AW222" s="441"/>
      <c r="AX222" s="441"/>
      <c r="AY222" s="441"/>
      <c r="AZ222" s="441"/>
      <c r="BA222" s="441"/>
    </row>
    <row r="223">
      <c r="A223" s="441"/>
      <c r="L223" s="1068"/>
      <c r="M223" s="441"/>
      <c r="N223" s="441"/>
      <c r="O223" s="441"/>
      <c r="P223" s="441"/>
      <c r="Q223" s="441"/>
      <c r="R223" s="441"/>
      <c r="S223" s="441"/>
      <c r="T223" s="441"/>
      <c r="U223" s="441"/>
      <c r="V223" s="441"/>
      <c r="W223" s="441"/>
      <c r="X223" s="441"/>
      <c r="Y223" s="441"/>
      <c r="Z223" s="441"/>
      <c r="AA223" s="441"/>
      <c r="AB223" s="441"/>
      <c r="AC223" s="441"/>
      <c r="AD223" s="441"/>
      <c r="AE223" s="441"/>
      <c r="AF223" s="441"/>
      <c r="AG223" s="441"/>
      <c r="AH223" s="441"/>
      <c r="AI223" s="441"/>
      <c r="AJ223" s="441"/>
      <c r="AK223" s="441"/>
      <c r="AL223" s="441"/>
      <c r="AM223" s="441"/>
      <c r="AN223" s="441"/>
      <c r="AO223" s="441"/>
      <c r="AP223" s="441"/>
      <c r="AQ223" s="441"/>
      <c r="AR223" s="441"/>
      <c r="AS223" s="441"/>
      <c r="AT223" s="441"/>
      <c r="AU223" s="441"/>
      <c r="AV223" s="441"/>
      <c r="AW223" s="441"/>
      <c r="AX223" s="441"/>
      <c r="AY223" s="441"/>
      <c r="AZ223" s="441"/>
      <c r="BA223" s="441"/>
    </row>
    <row r="224">
      <c r="A224" s="441"/>
      <c r="L224" s="1068"/>
      <c r="M224" s="441"/>
      <c r="N224" s="441"/>
      <c r="O224" s="441"/>
      <c r="P224" s="441"/>
      <c r="Q224" s="441"/>
      <c r="R224" s="441"/>
      <c r="S224" s="441"/>
      <c r="T224" s="441"/>
      <c r="U224" s="441"/>
      <c r="V224" s="441"/>
      <c r="W224" s="441"/>
      <c r="X224" s="441"/>
      <c r="Y224" s="441"/>
      <c r="Z224" s="441"/>
      <c r="AA224" s="441"/>
      <c r="AB224" s="441"/>
      <c r="AC224" s="441"/>
      <c r="AD224" s="441"/>
      <c r="AE224" s="441"/>
      <c r="AF224" s="441"/>
      <c r="AG224" s="441"/>
      <c r="AH224" s="441"/>
      <c r="AI224" s="441"/>
      <c r="AJ224" s="441"/>
      <c r="AK224" s="441"/>
      <c r="AL224" s="441"/>
      <c r="AM224" s="441"/>
      <c r="AN224" s="441"/>
      <c r="AO224" s="441"/>
      <c r="AP224" s="441"/>
      <c r="AQ224" s="441"/>
      <c r="AR224" s="441"/>
      <c r="AS224" s="441"/>
      <c r="AT224" s="441"/>
      <c r="AU224" s="441"/>
      <c r="AV224" s="441"/>
      <c r="AW224" s="441"/>
      <c r="AX224" s="441"/>
      <c r="AY224" s="441"/>
      <c r="AZ224" s="441"/>
      <c r="BA224" s="441"/>
    </row>
    <row r="225">
      <c r="A225" s="441"/>
      <c r="L225" s="1068"/>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1"/>
      <c r="AP225" s="441"/>
      <c r="AQ225" s="441"/>
      <c r="AR225" s="441"/>
      <c r="AS225" s="441"/>
      <c r="AT225" s="441"/>
      <c r="AU225" s="441"/>
      <c r="AV225" s="441"/>
      <c r="AW225" s="441"/>
      <c r="AX225" s="441"/>
      <c r="AY225" s="441"/>
      <c r="AZ225" s="441"/>
      <c r="BA225" s="441"/>
    </row>
    <row r="226">
      <c r="A226" s="441"/>
      <c r="L226" s="1068"/>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41"/>
      <c r="AK226" s="441"/>
      <c r="AL226" s="441"/>
      <c r="AM226" s="441"/>
      <c r="AN226" s="441"/>
      <c r="AO226" s="441"/>
      <c r="AP226" s="441"/>
      <c r="AQ226" s="441"/>
      <c r="AR226" s="441"/>
      <c r="AS226" s="441"/>
      <c r="AT226" s="441"/>
      <c r="AU226" s="441"/>
      <c r="AV226" s="441"/>
      <c r="AW226" s="441"/>
      <c r="AX226" s="441"/>
      <c r="AY226" s="441"/>
      <c r="AZ226" s="441"/>
      <c r="BA226" s="441"/>
    </row>
    <row r="227">
      <c r="A227" s="441"/>
      <c r="L227" s="1068"/>
      <c r="M227" s="441"/>
      <c r="N227" s="441"/>
      <c r="O227" s="441"/>
      <c r="P227" s="441"/>
      <c r="Q227" s="441"/>
      <c r="R227" s="441"/>
      <c r="S227" s="441"/>
      <c r="T227" s="441"/>
      <c r="U227" s="441"/>
      <c r="V227" s="441"/>
      <c r="W227" s="441"/>
      <c r="X227" s="441"/>
      <c r="Y227" s="441"/>
      <c r="Z227" s="441"/>
      <c r="AA227" s="441"/>
      <c r="AB227" s="441"/>
      <c r="AC227" s="441"/>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1"/>
      <c r="AY227" s="441"/>
      <c r="AZ227" s="441"/>
      <c r="BA227" s="441"/>
    </row>
    <row r="228">
      <c r="A228" s="441"/>
      <c r="L228" s="1068"/>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441"/>
      <c r="AL228" s="441"/>
      <c r="AM228" s="441"/>
      <c r="AN228" s="441"/>
      <c r="AO228" s="441"/>
      <c r="AP228" s="441"/>
      <c r="AQ228" s="441"/>
      <c r="AR228" s="441"/>
      <c r="AS228" s="441"/>
      <c r="AT228" s="441"/>
      <c r="AU228" s="441"/>
      <c r="AV228" s="441"/>
      <c r="AW228" s="441"/>
      <c r="AX228" s="441"/>
      <c r="AY228" s="441"/>
      <c r="AZ228" s="441"/>
      <c r="BA228" s="441"/>
    </row>
    <row r="229">
      <c r="A229" s="441"/>
      <c r="L229" s="1068"/>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441"/>
      <c r="AL229" s="441"/>
      <c r="AM229" s="441"/>
      <c r="AN229" s="441"/>
      <c r="AO229" s="441"/>
      <c r="AP229" s="441"/>
      <c r="AQ229" s="441"/>
      <c r="AR229" s="441"/>
      <c r="AS229" s="441"/>
      <c r="AT229" s="441"/>
      <c r="AU229" s="441"/>
      <c r="AV229" s="441"/>
      <c r="AW229" s="441"/>
      <c r="AX229" s="441"/>
      <c r="AY229" s="441"/>
      <c r="AZ229" s="441"/>
      <c r="BA229" s="441"/>
    </row>
    <row r="230">
      <c r="A230" s="441"/>
      <c r="L230" s="1068"/>
      <c r="M230" s="441"/>
      <c r="N230" s="441"/>
      <c r="O230" s="441"/>
      <c r="P230" s="441"/>
      <c r="Q230" s="441"/>
      <c r="R230" s="441"/>
      <c r="S230" s="441"/>
      <c r="T230" s="441"/>
      <c r="U230" s="441"/>
      <c r="V230" s="441"/>
      <c r="W230" s="441"/>
      <c r="X230" s="441"/>
      <c r="Y230" s="441"/>
      <c r="Z230" s="441"/>
      <c r="AA230" s="441"/>
      <c r="AB230" s="441"/>
      <c r="AC230" s="441"/>
      <c r="AD230" s="441"/>
      <c r="AE230" s="441"/>
      <c r="AF230" s="441"/>
      <c r="AG230" s="441"/>
      <c r="AH230" s="441"/>
      <c r="AI230" s="441"/>
      <c r="AJ230" s="441"/>
      <c r="AK230" s="441"/>
      <c r="AL230" s="441"/>
      <c r="AM230" s="441"/>
      <c r="AN230" s="441"/>
      <c r="AO230" s="441"/>
      <c r="AP230" s="441"/>
      <c r="AQ230" s="441"/>
      <c r="AR230" s="441"/>
      <c r="AS230" s="441"/>
      <c r="AT230" s="441"/>
      <c r="AU230" s="441"/>
      <c r="AV230" s="441"/>
      <c r="AW230" s="441"/>
      <c r="AX230" s="441"/>
      <c r="AY230" s="441"/>
      <c r="AZ230" s="441"/>
      <c r="BA230" s="441"/>
    </row>
    <row r="231">
      <c r="A231" s="441"/>
      <c r="L231" s="1068"/>
      <c r="M231" s="441"/>
      <c r="N231" s="441"/>
      <c r="O231" s="441"/>
      <c r="P231" s="441"/>
      <c r="Q231" s="441"/>
      <c r="R231" s="441"/>
      <c r="S231" s="441"/>
      <c r="T231" s="441"/>
      <c r="U231" s="441"/>
      <c r="V231" s="441"/>
      <c r="W231" s="441"/>
      <c r="X231" s="441"/>
      <c r="Y231" s="441"/>
      <c r="Z231" s="441"/>
      <c r="AA231" s="441"/>
      <c r="AB231" s="441"/>
      <c r="AC231" s="441"/>
      <c r="AD231" s="441"/>
      <c r="AE231" s="441"/>
      <c r="AF231" s="441"/>
      <c r="AG231" s="441"/>
      <c r="AH231" s="441"/>
      <c r="AI231" s="441"/>
      <c r="AJ231" s="441"/>
      <c r="AK231" s="441"/>
      <c r="AL231" s="441"/>
      <c r="AM231" s="441"/>
      <c r="AN231" s="441"/>
      <c r="AO231" s="441"/>
      <c r="AP231" s="441"/>
      <c r="AQ231" s="441"/>
      <c r="AR231" s="441"/>
      <c r="AS231" s="441"/>
      <c r="AT231" s="441"/>
      <c r="AU231" s="441"/>
      <c r="AV231" s="441"/>
      <c r="AW231" s="441"/>
      <c r="AX231" s="441"/>
      <c r="AY231" s="441"/>
      <c r="AZ231" s="441"/>
      <c r="BA231" s="441"/>
    </row>
    <row r="232">
      <c r="A232" s="441"/>
      <c r="L232" s="1068"/>
      <c r="M232" s="441"/>
      <c r="N232" s="441"/>
      <c r="O232" s="441"/>
      <c r="P232" s="441"/>
      <c r="Q232" s="441"/>
      <c r="R232" s="441"/>
      <c r="S232" s="441"/>
      <c r="T232" s="441"/>
      <c r="U232" s="441"/>
      <c r="V232" s="441"/>
      <c r="W232" s="441"/>
      <c r="X232" s="441"/>
      <c r="Y232" s="441"/>
      <c r="Z232" s="441"/>
      <c r="AA232" s="441"/>
      <c r="AB232" s="441"/>
      <c r="AC232" s="441"/>
      <c r="AD232" s="441"/>
      <c r="AE232" s="441"/>
      <c r="AF232" s="441"/>
      <c r="AG232" s="441"/>
      <c r="AH232" s="441"/>
      <c r="AI232" s="441"/>
      <c r="AJ232" s="441"/>
      <c r="AK232" s="441"/>
      <c r="AL232" s="441"/>
      <c r="AM232" s="441"/>
      <c r="AN232" s="441"/>
      <c r="AO232" s="441"/>
      <c r="AP232" s="441"/>
      <c r="AQ232" s="441"/>
      <c r="AR232" s="441"/>
      <c r="AS232" s="441"/>
      <c r="AT232" s="441"/>
      <c r="AU232" s="441"/>
      <c r="AV232" s="441"/>
      <c r="AW232" s="441"/>
      <c r="AX232" s="441"/>
      <c r="AY232" s="441"/>
      <c r="AZ232" s="441"/>
      <c r="BA232" s="441"/>
    </row>
    <row r="233">
      <c r="A233" s="441"/>
      <c r="L233" s="1068"/>
      <c r="M233" s="441"/>
      <c r="N233" s="441"/>
      <c r="O233" s="441"/>
      <c r="P233" s="441"/>
      <c r="Q233" s="441"/>
      <c r="R233" s="441"/>
      <c r="S233" s="441"/>
      <c r="T233" s="441"/>
      <c r="U233" s="441"/>
      <c r="V233" s="441"/>
      <c r="W233" s="441"/>
      <c r="X233" s="441"/>
      <c r="Y233" s="441"/>
      <c r="Z233" s="441"/>
      <c r="AA233" s="441"/>
      <c r="AB233" s="441"/>
      <c r="AC233" s="441"/>
      <c r="AD233" s="441"/>
      <c r="AE233" s="441"/>
      <c r="AF233" s="441"/>
      <c r="AG233" s="441"/>
      <c r="AH233" s="441"/>
      <c r="AI233" s="441"/>
      <c r="AJ233" s="441"/>
      <c r="AK233" s="441"/>
      <c r="AL233" s="441"/>
      <c r="AM233" s="441"/>
      <c r="AN233" s="441"/>
      <c r="AO233" s="441"/>
      <c r="AP233" s="441"/>
      <c r="AQ233" s="441"/>
      <c r="AR233" s="441"/>
      <c r="AS233" s="441"/>
      <c r="AT233" s="441"/>
      <c r="AU233" s="441"/>
      <c r="AV233" s="441"/>
      <c r="AW233" s="441"/>
      <c r="AX233" s="441"/>
      <c r="AY233" s="441"/>
      <c r="AZ233" s="441"/>
      <c r="BA233" s="441"/>
    </row>
    <row r="234">
      <c r="A234" s="441"/>
      <c r="L234" s="1068"/>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1"/>
      <c r="AY234" s="441"/>
      <c r="AZ234" s="441"/>
      <c r="BA234" s="441"/>
    </row>
    <row r="235">
      <c r="A235" s="441"/>
      <c r="L235" s="1068"/>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1"/>
      <c r="AZ235" s="441"/>
      <c r="BA235" s="441"/>
    </row>
    <row r="236">
      <c r="A236" s="441"/>
      <c r="L236" s="1068"/>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c r="AK236" s="441"/>
      <c r="AL236" s="441"/>
      <c r="AM236" s="441"/>
      <c r="AN236" s="441"/>
      <c r="AO236" s="441"/>
      <c r="AP236" s="441"/>
      <c r="AQ236" s="441"/>
      <c r="AR236" s="441"/>
      <c r="AS236" s="441"/>
      <c r="AT236" s="441"/>
      <c r="AU236" s="441"/>
      <c r="AV236" s="441"/>
      <c r="AW236" s="441"/>
      <c r="AX236" s="441"/>
      <c r="AY236" s="441"/>
      <c r="AZ236" s="441"/>
      <c r="BA236" s="441"/>
    </row>
    <row r="237">
      <c r="A237" s="441"/>
      <c r="L237" s="1068"/>
      <c r="M237" s="441"/>
      <c r="N237" s="441"/>
      <c r="O237" s="441"/>
      <c r="P237" s="441"/>
      <c r="Q237" s="441"/>
      <c r="R237" s="441"/>
      <c r="S237" s="441"/>
      <c r="T237" s="441"/>
      <c r="U237" s="441"/>
      <c r="V237" s="441"/>
      <c r="W237" s="441"/>
      <c r="X237" s="441"/>
      <c r="Y237" s="441"/>
      <c r="Z237" s="441"/>
      <c r="AA237" s="441"/>
      <c r="AB237" s="441"/>
      <c r="AC237" s="441"/>
      <c r="AD237" s="441"/>
      <c r="AE237" s="441"/>
      <c r="AF237" s="441"/>
      <c r="AG237" s="441"/>
      <c r="AH237" s="441"/>
      <c r="AI237" s="441"/>
      <c r="AJ237" s="441"/>
      <c r="AK237" s="441"/>
      <c r="AL237" s="441"/>
      <c r="AM237" s="441"/>
      <c r="AN237" s="441"/>
      <c r="AO237" s="441"/>
      <c r="AP237" s="441"/>
      <c r="AQ237" s="441"/>
      <c r="AR237" s="441"/>
      <c r="AS237" s="441"/>
      <c r="AT237" s="441"/>
      <c r="AU237" s="441"/>
      <c r="AV237" s="441"/>
      <c r="AW237" s="441"/>
      <c r="AX237" s="441"/>
      <c r="AY237" s="441"/>
      <c r="AZ237" s="441"/>
      <c r="BA237" s="441"/>
    </row>
    <row r="238">
      <c r="A238" s="441"/>
      <c r="L238" s="1068"/>
      <c r="M238" s="441"/>
      <c r="N238" s="441"/>
      <c r="O238" s="441"/>
      <c r="P238" s="441"/>
      <c r="Q238" s="441"/>
      <c r="R238" s="441"/>
      <c r="S238" s="441"/>
      <c r="T238" s="441"/>
      <c r="U238" s="441"/>
      <c r="V238" s="441"/>
      <c r="W238" s="441"/>
      <c r="X238" s="441"/>
      <c r="Y238" s="441"/>
      <c r="Z238" s="441"/>
      <c r="AA238" s="441"/>
      <c r="AB238" s="441"/>
      <c r="AC238" s="441"/>
      <c r="AD238" s="441"/>
      <c r="AE238" s="441"/>
      <c r="AF238" s="441"/>
      <c r="AG238" s="441"/>
      <c r="AH238" s="441"/>
      <c r="AI238" s="441"/>
      <c r="AJ238" s="441"/>
      <c r="AK238" s="441"/>
      <c r="AL238" s="441"/>
      <c r="AM238" s="441"/>
      <c r="AN238" s="441"/>
      <c r="AO238" s="441"/>
      <c r="AP238" s="441"/>
      <c r="AQ238" s="441"/>
      <c r="AR238" s="441"/>
      <c r="AS238" s="441"/>
      <c r="AT238" s="441"/>
      <c r="AU238" s="441"/>
      <c r="AV238" s="441"/>
      <c r="AW238" s="441"/>
      <c r="AX238" s="441"/>
      <c r="AY238" s="441"/>
      <c r="AZ238" s="441"/>
      <c r="BA238" s="441"/>
    </row>
    <row r="239">
      <c r="A239" s="441"/>
      <c r="L239" s="1068"/>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row>
    <row r="240">
      <c r="A240" s="441"/>
      <c r="L240" s="1068"/>
      <c r="M240" s="441"/>
      <c r="N240" s="441"/>
      <c r="O240" s="441"/>
      <c r="P240" s="441"/>
      <c r="Q240" s="441"/>
      <c r="R240" s="441"/>
      <c r="S240" s="441"/>
      <c r="T240" s="441"/>
      <c r="U240" s="441"/>
      <c r="V240" s="441"/>
      <c r="W240" s="441"/>
      <c r="X240" s="441"/>
      <c r="Y240" s="441"/>
      <c r="Z240" s="441"/>
      <c r="AA240" s="441"/>
      <c r="AB240" s="441"/>
      <c r="AC240" s="441"/>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1"/>
      <c r="AY240" s="441"/>
      <c r="AZ240" s="441"/>
      <c r="BA240" s="441"/>
    </row>
    <row r="241">
      <c r="A241" s="441"/>
      <c r="L241" s="1068"/>
      <c r="M241" s="441"/>
      <c r="N241" s="441"/>
      <c r="O241" s="441"/>
      <c r="P241" s="441"/>
      <c r="Q241" s="441"/>
      <c r="R241" s="441"/>
      <c r="S241" s="441"/>
      <c r="T241" s="441"/>
      <c r="U241" s="441"/>
      <c r="V241" s="441"/>
      <c r="W241" s="441"/>
      <c r="X241" s="441"/>
      <c r="Y241" s="441"/>
      <c r="Z241" s="441"/>
      <c r="AA241" s="441"/>
      <c r="AB241" s="441"/>
      <c r="AC241" s="441"/>
      <c r="AD241" s="441"/>
      <c r="AE241" s="441"/>
      <c r="AF241" s="441"/>
      <c r="AG241" s="441"/>
      <c r="AH241" s="441"/>
      <c r="AI241" s="441"/>
      <c r="AJ241" s="441"/>
      <c r="AK241" s="441"/>
      <c r="AL241" s="441"/>
      <c r="AM241" s="441"/>
      <c r="AN241" s="441"/>
      <c r="AO241" s="441"/>
      <c r="AP241" s="441"/>
      <c r="AQ241" s="441"/>
      <c r="AR241" s="441"/>
      <c r="AS241" s="441"/>
      <c r="AT241" s="441"/>
      <c r="AU241" s="441"/>
      <c r="AV241" s="441"/>
      <c r="AW241" s="441"/>
      <c r="AX241" s="441"/>
      <c r="AY241" s="441"/>
      <c r="AZ241" s="441"/>
      <c r="BA241" s="441"/>
    </row>
    <row r="242">
      <c r="A242" s="441"/>
      <c r="L242" s="1068"/>
      <c r="M242" s="441"/>
      <c r="N242" s="441"/>
      <c r="O242" s="441"/>
      <c r="P242" s="441"/>
      <c r="Q242" s="441"/>
      <c r="R242" s="441"/>
      <c r="S242" s="441"/>
      <c r="T242" s="441"/>
      <c r="U242" s="441"/>
      <c r="V242" s="441"/>
      <c r="W242" s="441"/>
      <c r="X242" s="441"/>
      <c r="Y242" s="441"/>
      <c r="Z242" s="441"/>
      <c r="AA242" s="441"/>
      <c r="AB242" s="441"/>
      <c r="AC242" s="441"/>
      <c r="AD242" s="441"/>
      <c r="AE242" s="441"/>
      <c r="AF242" s="441"/>
      <c r="AG242" s="441"/>
      <c r="AH242" s="441"/>
      <c r="AI242" s="441"/>
      <c r="AJ242" s="441"/>
      <c r="AK242" s="441"/>
      <c r="AL242" s="441"/>
      <c r="AM242" s="441"/>
      <c r="AN242" s="441"/>
      <c r="AO242" s="441"/>
      <c r="AP242" s="441"/>
      <c r="AQ242" s="441"/>
      <c r="AR242" s="441"/>
      <c r="AS242" s="441"/>
      <c r="AT242" s="441"/>
      <c r="AU242" s="441"/>
      <c r="AV242" s="441"/>
      <c r="AW242" s="441"/>
      <c r="AX242" s="441"/>
      <c r="AY242" s="441"/>
      <c r="AZ242" s="441"/>
      <c r="BA242" s="441"/>
    </row>
    <row r="243">
      <c r="A243" s="441"/>
      <c r="L243" s="1068"/>
      <c r="M243" s="441"/>
      <c r="N243" s="441"/>
      <c r="O243" s="441"/>
      <c r="P243" s="441"/>
      <c r="Q243" s="441"/>
      <c r="R243" s="441"/>
      <c r="S243" s="441"/>
      <c r="T243" s="441"/>
      <c r="U243" s="441"/>
      <c r="V243" s="441"/>
      <c r="W243" s="441"/>
      <c r="X243" s="441"/>
      <c r="Y243" s="441"/>
      <c r="Z243" s="441"/>
      <c r="AA243" s="441"/>
      <c r="AB243" s="441"/>
      <c r="AC243" s="441"/>
      <c r="AD243" s="441"/>
      <c r="AE243" s="441"/>
      <c r="AF243" s="441"/>
      <c r="AG243" s="441"/>
      <c r="AH243" s="441"/>
      <c r="AI243" s="441"/>
      <c r="AJ243" s="441"/>
      <c r="AK243" s="441"/>
      <c r="AL243" s="441"/>
      <c r="AM243" s="441"/>
      <c r="AN243" s="441"/>
      <c r="AO243" s="441"/>
      <c r="AP243" s="441"/>
      <c r="AQ243" s="441"/>
      <c r="AR243" s="441"/>
      <c r="AS243" s="441"/>
      <c r="AT243" s="441"/>
      <c r="AU243" s="441"/>
      <c r="AV243" s="441"/>
      <c r="AW243" s="441"/>
      <c r="AX243" s="441"/>
      <c r="AY243" s="441"/>
      <c r="AZ243" s="441"/>
      <c r="BA243" s="441"/>
    </row>
    <row r="244">
      <c r="A244" s="441"/>
      <c r="L244" s="692"/>
      <c r="M244" s="441"/>
      <c r="N244" s="441"/>
      <c r="O244" s="441"/>
      <c r="P244" s="441"/>
      <c r="Q244" s="441"/>
      <c r="R244" s="441"/>
      <c r="S244" s="441"/>
      <c r="T244" s="441"/>
      <c r="U244" s="441"/>
      <c r="V244" s="441"/>
      <c r="W244" s="441"/>
      <c r="X244" s="441"/>
      <c r="Y244" s="441"/>
      <c r="Z244" s="441"/>
      <c r="AA244" s="441"/>
      <c r="AB244" s="441"/>
      <c r="AC244" s="441"/>
      <c r="AD244" s="441"/>
      <c r="AE244" s="441"/>
      <c r="AF244" s="441"/>
      <c r="AG244" s="441"/>
      <c r="AH244" s="441"/>
      <c r="AI244" s="441"/>
      <c r="AJ244" s="441"/>
      <c r="AK244" s="441"/>
      <c r="AL244" s="441"/>
      <c r="AM244" s="441"/>
      <c r="AN244" s="441"/>
      <c r="AO244" s="441"/>
      <c r="AP244" s="441"/>
      <c r="AQ244" s="441"/>
      <c r="AR244" s="441"/>
      <c r="AS244" s="441"/>
      <c r="AT244" s="441"/>
      <c r="AU244" s="441"/>
      <c r="AV244" s="441"/>
      <c r="AW244" s="441"/>
      <c r="AX244" s="441"/>
      <c r="AY244" s="441"/>
      <c r="AZ244" s="441"/>
      <c r="BA244" s="441"/>
    </row>
    <row r="245">
      <c r="A245" s="441"/>
      <c r="L245" s="1068"/>
      <c r="M245" s="441"/>
      <c r="N245" s="441"/>
      <c r="O245" s="441"/>
      <c r="P245" s="441"/>
      <c r="Q245" s="441"/>
      <c r="R245" s="441"/>
      <c r="S245" s="441"/>
      <c r="T245" s="441"/>
      <c r="U245" s="441"/>
      <c r="V245" s="441"/>
      <c r="W245" s="441"/>
      <c r="X245" s="441"/>
      <c r="Y245" s="441"/>
      <c r="Z245" s="441"/>
      <c r="AA245" s="441"/>
      <c r="AB245" s="441"/>
      <c r="AC245" s="441"/>
      <c r="AD245" s="441"/>
      <c r="AE245" s="441"/>
      <c r="AF245" s="441"/>
      <c r="AG245" s="441"/>
      <c r="AH245" s="441"/>
      <c r="AI245" s="441"/>
      <c r="AJ245" s="441"/>
      <c r="AK245" s="441"/>
      <c r="AL245" s="441"/>
      <c r="AM245" s="441"/>
      <c r="AN245" s="441"/>
      <c r="AO245" s="441"/>
      <c r="AP245" s="441"/>
      <c r="AQ245" s="441"/>
      <c r="AR245" s="441"/>
      <c r="AS245" s="441"/>
      <c r="AT245" s="441"/>
      <c r="AU245" s="441"/>
      <c r="AV245" s="441"/>
      <c r="AW245" s="441"/>
      <c r="AX245" s="441"/>
      <c r="AY245" s="441"/>
      <c r="AZ245" s="441"/>
      <c r="BA245" s="441"/>
    </row>
    <row r="246">
      <c r="A246" s="441"/>
      <c r="L246" s="1068"/>
      <c r="M246" s="441"/>
      <c r="N246" s="441"/>
      <c r="O246" s="441"/>
      <c r="P246" s="441"/>
      <c r="Q246" s="441"/>
      <c r="R246" s="441"/>
      <c r="S246" s="441"/>
      <c r="T246" s="441"/>
      <c r="U246" s="441"/>
      <c r="V246" s="441"/>
      <c r="W246" s="441"/>
      <c r="X246" s="441"/>
      <c r="Y246" s="441"/>
      <c r="Z246" s="441"/>
      <c r="AA246" s="441"/>
      <c r="AB246" s="441"/>
      <c r="AC246" s="441"/>
      <c r="AD246" s="441"/>
      <c r="AE246" s="441"/>
      <c r="AF246" s="441"/>
      <c r="AG246" s="441"/>
      <c r="AH246" s="441"/>
      <c r="AI246" s="441"/>
      <c r="AJ246" s="441"/>
      <c r="AK246" s="441"/>
      <c r="AL246" s="441"/>
      <c r="AM246" s="441"/>
      <c r="AN246" s="441"/>
      <c r="AO246" s="441"/>
      <c r="AP246" s="441"/>
      <c r="AQ246" s="441"/>
      <c r="AR246" s="441"/>
      <c r="AS246" s="441"/>
      <c r="AT246" s="441"/>
      <c r="AU246" s="441"/>
      <c r="AV246" s="441"/>
      <c r="AW246" s="441"/>
      <c r="AX246" s="441"/>
      <c r="AY246" s="441"/>
      <c r="AZ246" s="441"/>
      <c r="BA246" s="441"/>
    </row>
    <row r="247">
      <c r="A247" s="441"/>
      <c r="L247" s="1068"/>
      <c r="M247" s="441"/>
      <c r="N247" s="441"/>
      <c r="O247" s="441"/>
      <c r="P247" s="441"/>
      <c r="Q247" s="441"/>
      <c r="R247" s="441"/>
      <c r="S247" s="441"/>
      <c r="T247" s="441"/>
      <c r="U247" s="441"/>
      <c r="V247" s="441"/>
      <c r="W247" s="441"/>
      <c r="X247" s="441"/>
      <c r="Y247" s="441"/>
      <c r="Z247" s="441"/>
      <c r="AA247" s="441"/>
      <c r="AB247" s="441"/>
      <c r="AC247" s="441"/>
      <c r="AD247" s="441"/>
      <c r="AE247" s="441"/>
      <c r="AF247" s="441"/>
      <c r="AG247" s="441"/>
      <c r="AH247" s="441"/>
      <c r="AI247" s="441"/>
      <c r="AJ247" s="441"/>
      <c r="AK247" s="441"/>
      <c r="AL247" s="441"/>
      <c r="AM247" s="441"/>
      <c r="AN247" s="441"/>
      <c r="AO247" s="441"/>
      <c r="AP247" s="441"/>
      <c r="AQ247" s="441"/>
      <c r="AR247" s="441"/>
      <c r="AS247" s="441"/>
      <c r="AT247" s="441"/>
      <c r="AU247" s="441"/>
      <c r="AV247" s="441"/>
      <c r="AW247" s="441"/>
      <c r="AX247" s="441"/>
      <c r="AY247" s="441"/>
      <c r="AZ247" s="441"/>
      <c r="BA247" s="441"/>
    </row>
    <row r="248">
      <c r="A248" s="441"/>
      <c r="L248" s="1068"/>
      <c r="M248" s="441"/>
      <c r="N248" s="441"/>
      <c r="O248" s="441"/>
      <c r="P248" s="441"/>
      <c r="Q248" s="441"/>
      <c r="R248" s="441"/>
      <c r="S248" s="441"/>
      <c r="T248" s="441"/>
      <c r="U248" s="441"/>
      <c r="V248" s="441"/>
      <c r="W248" s="441"/>
      <c r="X248" s="441"/>
      <c r="Y248" s="441"/>
      <c r="Z248" s="441"/>
      <c r="AA248" s="441"/>
      <c r="AB248" s="441"/>
      <c r="AC248" s="441"/>
      <c r="AD248" s="441"/>
      <c r="AE248" s="441"/>
      <c r="AF248" s="441"/>
      <c r="AG248" s="441"/>
      <c r="AH248" s="441"/>
      <c r="AI248" s="441"/>
      <c r="AJ248" s="441"/>
      <c r="AK248" s="441"/>
      <c r="AL248" s="441"/>
      <c r="AM248" s="441"/>
      <c r="AN248" s="441"/>
      <c r="AO248" s="441"/>
      <c r="AP248" s="441"/>
      <c r="AQ248" s="441"/>
      <c r="AR248" s="441"/>
      <c r="AS248" s="441"/>
      <c r="AT248" s="441"/>
      <c r="AU248" s="441"/>
      <c r="AV248" s="441"/>
      <c r="AW248" s="441"/>
      <c r="AX248" s="441"/>
      <c r="AY248" s="441"/>
      <c r="AZ248" s="441"/>
      <c r="BA248" s="441"/>
    </row>
    <row r="249">
      <c r="A249" s="441"/>
      <c r="L249" s="1068"/>
      <c r="M249" s="441"/>
      <c r="N249" s="441"/>
      <c r="O249" s="441"/>
      <c r="P249" s="441"/>
      <c r="Q249" s="441"/>
      <c r="R249" s="441"/>
      <c r="S249" s="441"/>
      <c r="T249" s="441"/>
      <c r="U249" s="441"/>
      <c r="V249" s="441"/>
      <c r="W249" s="441"/>
      <c r="X249" s="441"/>
      <c r="Y249" s="441"/>
      <c r="Z249" s="441"/>
      <c r="AA249" s="441"/>
      <c r="AB249" s="441"/>
      <c r="AC249" s="441"/>
      <c r="AD249" s="441"/>
      <c r="AE249" s="441"/>
      <c r="AF249" s="441"/>
      <c r="AG249" s="441"/>
      <c r="AH249" s="441"/>
      <c r="AI249" s="441"/>
      <c r="AJ249" s="441"/>
      <c r="AK249" s="441"/>
      <c r="AL249" s="441"/>
      <c r="AM249" s="441"/>
      <c r="AN249" s="441"/>
      <c r="AO249" s="441"/>
      <c r="AP249" s="441"/>
      <c r="AQ249" s="441"/>
      <c r="AR249" s="441"/>
      <c r="AS249" s="441"/>
      <c r="AT249" s="441"/>
      <c r="AU249" s="441"/>
      <c r="AV249" s="441"/>
      <c r="AW249" s="441"/>
      <c r="AX249" s="441"/>
      <c r="AY249" s="441"/>
      <c r="AZ249" s="441"/>
      <c r="BA249" s="441"/>
    </row>
    <row r="250">
      <c r="A250" s="441"/>
      <c r="L250" s="1068"/>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1"/>
      <c r="AY250" s="441"/>
      <c r="AZ250" s="441"/>
      <c r="BA250" s="441"/>
    </row>
    <row r="251">
      <c r="A251" s="441"/>
      <c r="L251" s="1068"/>
      <c r="M251" s="441"/>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1"/>
      <c r="AY251" s="441"/>
      <c r="AZ251" s="441"/>
      <c r="BA251" s="441"/>
    </row>
    <row r="252">
      <c r="A252" s="441"/>
      <c r="L252" s="1068"/>
      <c r="M252" s="441"/>
      <c r="N252" s="441"/>
      <c r="O252" s="441"/>
      <c r="P252" s="441"/>
      <c r="Q252" s="441"/>
      <c r="R252" s="441"/>
      <c r="S252" s="441"/>
      <c r="T252" s="441"/>
      <c r="U252" s="441"/>
      <c r="V252" s="441"/>
      <c r="W252" s="441"/>
      <c r="X252" s="441"/>
      <c r="Y252" s="441"/>
      <c r="Z252" s="441"/>
      <c r="AA252" s="441"/>
      <c r="AB252" s="441"/>
      <c r="AC252" s="441"/>
      <c r="AD252" s="441"/>
      <c r="AE252" s="441"/>
      <c r="AF252" s="441"/>
      <c r="AG252" s="441"/>
      <c r="AH252" s="441"/>
      <c r="AI252" s="441"/>
      <c r="AJ252" s="441"/>
      <c r="AK252" s="441"/>
      <c r="AL252" s="441"/>
      <c r="AM252" s="441"/>
      <c r="AN252" s="441"/>
      <c r="AO252" s="441"/>
      <c r="AP252" s="441"/>
      <c r="AQ252" s="441"/>
      <c r="AR252" s="441"/>
      <c r="AS252" s="441"/>
      <c r="AT252" s="441"/>
      <c r="AU252" s="441"/>
      <c r="AV252" s="441"/>
      <c r="AW252" s="441"/>
      <c r="AX252" s="441"/>
      <c r="AY252" s="441"/>
      <c r="AZ252" s="441"/>
      <c r="BA252" s="441"/>
    </row>
    <row r="253">
      <c r="A253" s="441"/>
      <c r="L253" s="1068"/>
      <c r="M253" s="441"/>
      <c r="N253" s="441"/>
      <c r="O253" s="441"/>
      <c r="P253" s="441"/>
      <c r="Q253" s="441"/>
      <c r="R253" s="441"/>
      <c r="S253" s="441"/>
      <c r="T253" s="441"/>
      <c r="U253" s="441"/>
      <c r="V253" s="441"/>
      <c r="W253" s="441"/>
      <c r="X253" s="441"/>
      <c r="Y253" s="441"/>
      <c r="Z253" s="441"/>
      <c r="AA253" s="441"/>
      <c r="AB253" s="441"/>
      <c r="AC253" s="441"/>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1"/>
      <c r="AY253" s="441"/>
      <c r="AZ253" s="441"/>
      <c r="BA253" s="441"/>
    </row>
    <row r="254">
      <c r="A254" s="441"/>
      <c r="L254" s="1068"/>
      <c r="M254" s="441"/>
      <c r="N254" s="441"/>
      <c r="O254" s="441"/>
      <c r="P254" s="441"/>
      <c r="Q254" s="441"/>
      <c r="R254" s="441"/>
      <c r="S254" s="441"/>
      <c r="T254" s="441"/>
      <c r="U254" s="441"/>
      <c r="V254" s="441"/>
      <c r="W254" s="441"/>
      <c r="X254" s="441"/>
      <c r="Y254" s="441"/>
      <c r="Z254" s="441"/>
      <c r="AA254" s="441"/>
      <c r="AB254" s="441"/>
      <c r="AC254" s="441"/>
      <c r="AD254" s="441"/>
      <c r="AE254" s="441"/>
      <c r="AF254" s="441"/>
      <c r="AG254" s="441"/>
      <c r="AH254" s="441"/>
      <c r="AI254" s="441"/>
      <c r="AJ254" s="441"/>
      <c r="AK254" s="441"/>
      <c r="AL254" s="441"/>
      <c r="AM254" s="441"/>
      <c r="AN254" s="441"/>
      <c r="AO254" s="441"/>
      <c r="AP254" s="441"/>
      <c r="AQ254" s="441"/>
      <c r="AR254" s="441"/>
      <c r="AS254" s="441"/>
      <c r="AT254" s="441"/>
      <c r="AU254" s="441"/>
      <c r="AV254" s="441"/>
      <c r="AW254" s="441"/>
      <c r="AX254" s="441"/>
      <c r="AY254" s="441"/>
      <c r="AZ254" s="441"/>
      <c r="BA254" s="441"/>
    </row>
    <row r="255">
      <c r="A255" s="441"/>
      <c r="L255" s="1068"/>
      <c r="M255" s="441"/>
      <c r="N255" s="441"/>
      <c r="O255" s="441"/>
      <c r="P255" s="441"/>
      <c r="Q255" s="441"/>
      <c r="R255" s="441"/>
      <c r="S255" s="441"/>
      <c r="T255" s="441"/>
      <c r="U255" s="441"/>
      <c r="V255" s="441"/>
      <c r="W255" s="441"/>
      <c r="X255" s="441"/>
      <c r="Y255" s="441"/>
      <c r="Z255" s="441"/>
      <c r="AA255" s="441"/>
      <c r="AB255" s="441"/>
      <c r="AC255" s="441"/>
      <c r="AD255" s="441"/>
      <c r="AE255" s="441"/>
      <c r="AF255" s="441"/>
      <c r="AG255" s="441"/>
      <c r="AH255" s="441"/>
      <c r="AI255" s="441"/>
      <c r="AJ255" s="441"/>
      <c r="AK255" s="441"/>
      <c r="AL255" s="441"/>
      <c r="AM255" s="441"/>
      <c r="AN255" s="441"/>
      <c r="AO255" s="441"/>
      <c r="AP255" s="441"/>
      <c r="AQ255" s="441"/>
      <c r="AR255" s="441"/>
      <c r="AS255" s="441"/>
      <c r="AT255" s="441"/>
      <c r="AU255" s="441"/>
      <c r="AV255" s="441"/>
      <c r="AW255" s="441"/>
      <c r="AX255" s="441"/>
      <c r="AY255" s="441"/>
      <c r="AZ255" s="441"/>
      <c r="BA255" s="441"/>
    </row>
    <row r="256">
      <c r="A256" s="441"/>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c r="AA256" s="441"/>
      <c r="AB256" s="441"/>
      <c r="AC256" s="441"/>
      <c r="AD256" s="441"/>
      <c r="AE256" s="441"/>
      <c r="AF256" s="441"/>
      <c r="AG256" s="441"/>
      <c r="AH256" s="441"/>
      <c r="AI256" s="441"/>
      <c r="AJ256" s="441"/>
      <c r="AK256" s="441"/>
      <c r="AL256" s="441"/>
      <c r="AM256" s="441"/>
      <c r="AN256" s="441"/>
      <c r="AO256" s="441"/>
      <c r="AP256" s="441"/>
      <c r="AQ256" s="441"/>
      <c r="AR256" s="441"/>
      <c r="AS256" s="441"/>
      <c r="AT256" s="441"/>
      <c r="AU256" s="441"/>
      <c r="AV256" s="441"/>
      <c r="AW256" s="441"/>
      <c r="AX256" s="441"/>
      <c r="AY256" s="441"/>
      <c r="AZ256" s="441"/>
      <c r="BA256" s="441"/>
    </row>
    <row r="257">
      <c r="A257" s="441"/>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1"/>
      <c r="Z257" s="441"/>
      <c r="AA257" s="441"/>
      <c r="AB257" s="441"/>
      <c r="AC257" s="441"/>
      <c r="AD257" s="441"/>
      <c r="AE257" s="441"/>
      <c r="AF257" s="441"/>
      <c r="AG257" s="441"/>
      <c r="AH257" s="441"/>
      <c r="AI257" s="441"/>
      <c r="AJ257" s="441"/>
      <c r="AK257" s="441"/>
      <c r="AL257" s="441"/>
      <c r="AM257" s="441"/>
      <c r="AN257" s="441"/>
      <c r="AO257" s="441"/>
      <c r="AP257" s="441"/>
      <c r="AQ257" s="441"/>
      <c r="AR257" s="441"/>
      <c r="AS257" s="441"/>
      <c r="AT257" s="441"/>
      <c r="AU257" s="441"/>
      <c r="AV257" s="441"/>
      <c r="AW257" s="441"/>
      <c r="AX257" s="441"/>
      <c r="AY257" s="441"/>
      <c r="AZ257" s="441"/>
      <c r="BA257" s="441"/>
    </row>
    <row r="258">
      <c r="A258" s="441"/>
      <c r="B258" s="441"/>
      <c r="C258" s="441"/>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1"/>
      <c r="AA258" s="441"/>
      <c r="AB258" s="441"/>
      <c r="AC258" s="441"/>
      <c r="AD258" s="441"/>
      <c r="AE258" s="441"/>
      <c r="AF258" s="441"/>
      <c r="AG258" s="441"/>
      <c r="AH258" s="441"/>
      <c r="AI258" s="441"/>
      <c r="AJ258" s="441"/>
      <c r="AK258" s="441"/>
      <c r="AL258" s="441"/>
      <c r="AM258" s="441"/>
      <c r="AN258" s="441"/>
      <c r="AO258" s="441"/>
      <c r="AP258" s="441"/>
      <c r="AQ258" s="441"/>
      <c r="AR258" s="441"/>
      <c r="AS258" s="441"/>
      <c r="AT258" s="441"/>
      <c r="AU258" s="441"/>
      <c r="AV258" s="441"/>
      <c r="AW258" s="441"/>
      <c r="AX258" s="441"/>
      <c r="AY258" s="441"/>
      <c r="AZ258" s="441"/>
      <c r="BA258" s="441"/>
    </row>
    <row r="259">
      <c r="A259" s="441"/>
      <c r="B259" s="441"/>
      <c r="C259" s="441"/>
      <c r="D259" s="441"/>
      <c r="E259" s="441"/>
      <c r="F259" s="441"/>
      <c r="G259" s="441"/>
      <c r="H259" s="441"/>
      <c r="I259" s="441"/>
      <c r="J259" s="441"/>
      <c r="K259" s="441"/>
      <c r="L259" s="441"/>
      <c r="M259" s="441"/>
      <c r="N259" s="441"/>
      <c r="O259" s="441"/>
      <c r="P259" s="441"/>
      <c r="Q259" s="441"/>
      <c r="R259" s="441"/>
      <c r="S259" s="441"/>
      <c r="T259" s="441"/>
      <c r="U259" s="441"/>
      <c r="V259" s="441"/>
      <c r="W259" s="441"/>
      <c r="X259" s="441"/>
      <c r="Y259" s="441"/>
      <c r="Z259" s="441"/>
      <c r="AA259" s="441"/>
      <c r="AB259" s="441"/>
      <c r="AC259" s="441"/>
      <c r="AD259" s="441"/>
      <c r="AE259" s="441"/>
      <c r="AF259" s="441"/>
      <c r="AG259" s="441"/>
      <c r="AH259" s="441"/>
      <c r="AI259" s="441"/>
      <c r="AJ259" s="441"/>
      <c r="AK259" s="441"/>
      <c r="AL259" s="441"/>
      <c r="AM259" s="441"/>
      <c r="AN259" s="441"/>
      <c r="AO259" s="441"/>
      <c r="AP259" s="441"/>
      <c r="AQ259" s="441"/>
      <c r="AR259" s="441"/>
      <c r="AS259" s="441"/>
      <c r="AT259" s="441"/>
      <c r="AU259" s="441"/>
      <c r="AV259" s="441"/>
      <c r="AW259" s="441"/>
      <c r="AX259" s="441"/>
      <c r="AY259" s="441"/>
      <c r="AZ259" s="441"/>
      <c r="BA259" s="441"/>
    </row>
    <row r="260">
      <c r="A260" s="441"/>
      <c r="B260" s="441"/>
      <c r="C260" s="441"/>
      <c r="D260" s="441"/>
      <c r="E260" s="441"/>
      <c r="F260" s="441"/>
      <c r="G260" s="441"/>
      <c r="H260" s="441"/>
      <c r="I260" s="441"/>
      <c r="J260" s="441"/>
      <c r="K260" s="441"/>
      <c r="L260" s="441"/>
      <c r="M260" s="441"/>
      <c r="N260" s="441"/>
      <c r="O260" s="441"/>
      <c r="P260" s="441"/>
      <c r="Q260" s="441"/>
      <c r="R260" s="441"/>
      <c r="S260" s="441"/>
      <c r="T260" s="441"/>
      <c r="U260" s="441"/>
      <c r="V260" s="441"/>
      <c r="W260" s="441"/>
      <c r="X260" s="441"/>
      <c r="Y260" s="441"/>
      <c r="Z260" s="441"/>
      <c r="AA260" s="441"/>
      <c r="AB260" s="441"/>
      <c r="AC260" s="441"/>
      <c r="AD260" s="441"/>
      <c r="AE260" s="441"/>
      <c r="AF260" s="441"/>
      <c r="AG260" s="441"/>
      <c r="AH260" s="441"/>
      <c r="AI260" s="441"/>
      <c r="AJ260" s="441"/>
      <c r="AK260" s="441"/>
      <c r="AL260" s="441"/>
      <c r="AM260" s="441"/>
      <c r="AN260" s="441"/>
      <c r="AO260" s="441"/>
      <c r="AP260" s="441"/>
      <c r="AQ260" s="441"/>
      <c r="AR260" s="441"/>
      <c r="AS260" s="441"/>
      <c r="AT260" s="441"/>
      <c r="AU260" s="441"/>
      <c r="AV260" s="441"/>
      <c r="AW260" s="441"/>
      <c r="AX260" s="441"/>
      <c r="AY260" s="441"/>
      <c r="AZ260" s="441"/>
      <c r="BA260" s="441"/>
    </row>
    <row r="261">
      <c r="A261" s="441"/>
      <c r="B261" s="441"/>
      <c r="C261" s="441"/>
      <c r="D261" s="441"/>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1"/>
      <c r="AF261" s="441"/>
      <c r="AG261" s="441"/>
      <c r="AH261" s="441"/>
      <c r="AI261" s="441"/>
      <c r="AJ261" s="441"/>
      <c r="AK261" s="441"/>
      <c r="AL261" s="441"/>
      <c r="AM261" s="441"/>
      <c r="AN261" s="441"/>
      <c r="AO261" s="441"/>
      <c r="AP261" s="441"/>
      <c r="AQ261" s="441"/>
      <c r="AR261" s="441"/>
      <c r="AS261" s="441"/>
      <c r="AT261" s="441"/>
      <c r="AU261" s="441"/>
      <c r="AV261" s="441"/>
      <c r="AW261" s="441"/>
      <c r="AX261" s="441"/>
      <c r="AY261" s="441"/>
      <c r="AZ261" s="441"/>
      <c r="BA261" s="441"/>
    </row>
    <row r="262">
      <c r="A262" s="441"/>
      <c r="B262" s="441"/>
      <c r="C262" s="441"/>
      <c r="D262" s="441"/>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1"/>
      <c r="AA262" s="441"/>
      <c r="AB262" s="441"/>
      <c r="AC262" s="441"/>
      <c r="AD262" s="441"/>
      <c r="AE262" s="441"/>
      <c r="AF262" s="441"/>
      <c r="AG262" s="441"/>
      <c r="AH262" s="441"/>
      <c r="AI262" s="441"/>
      <c r="AJ262" s="441"/>
      <c r="AK262" s="441"/>
      <c r="AL262" s="441"/>
      <c r="AM262" s="441"/>
      <c r="AN262" s="441"/>
      <c r="AO262" s="441"/>
      <c r="AP262" s="441"/>
      <c r="AQ262" s="441"/>
      <c r="AR262" s="441"/>
      <c r="AS262" s="441"/>
      <c r="AT262" s="441"/>
      <c r="AU262" s="441"/>
      <c r="AV262" s="441"/>
      <c r="AW262" s="441"/>
      <c r="AX262" s="441"/>
      <c r="AY262" s="441"/>
      <c r="AZ262" s="441"/>
      <c r="BA262" s="441"/>
    </row>
    <row r="263">
      <c r="A263" s="441"/>
      <c r="B263" s="441"/>
      <c r="C263" s="441"/>
      <c r="D263" s="441"/>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1"/>
      <c r="AA263" s="441"/>
      <c r="AB263" s="441"/>
      <c r="AC263" s="441"/>
      <c r="AD263" s="441"/>
      <c r="AE263" s="441"/>
      <c r="AF263" s="441"/>
      <c r="AG263" s="441"/>
      <c r="AH263" s="441"/>
      <c r="AI263" s="441"/>
      <c r="AJ263" s="441"/>
      <c r="AK263" s="441"/>
      <c r="AL263" s="441"/>
      <c r="AM263" s="441"/>
      <c r="AN263" s="441"/>
      <c r="AO263" s="441"/>
      <c r="AP263" s="441"/>
      <c r="AQ263" s="441"/>
      <c r="AR263" s="441"/>
      <c r="AS263" s="441"/>
      <c r="AT263" s="441"/>
      <c r="AU263" s="441"/>
      <c r="AV263" s="441"/>
      <c r="AW263" s="441"/>
      <c r="AX263" s="441"/>
      <c r="AY263" s="441"/>
      <c r="AZ263" s="441"/>
      <c r="BA263" s="441"/>
    </row>
    <row r="264">
      <c r="A264" s="441"/>
      <c r="B264" s="441"/>
      <c r="C264" s="441"/>
      <c r="D264" s="441"/>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1"/>
      <c r="AA264" s="441"/>
      <c r="AB264" s="441"/>
      <c r="AC264" s="441"/>
      <c r="AD264" s="441"/>
      <c r="AE264" s="441"/>
      <c r="AF264" s="441"/>
      <c r="AG264" s="441"/>
      <c r="AH264" s="441"/>
      <c r="AI264" s="441"/>
      <c r="AJ264" s="441"/>
      <c r="AK264" s="441"/>
      <c r="AL264" s="441"/>
      <c r="AM264" s="441"/>
      <c r="AN264" s="441"/>
      <c r="AO264" s="441"/>
      <c r="AP264" s="441"/>
      <c r="AQ264" s="441"/>
      <c r="AR264" s="441"/>
      <c r="AS264" s="441"/>
      <c r="AT264" s="441"/>
      <c r="AU264" s="441"/>
      <c r="AV264" s="441"/>
      <c r="AW264" s="441"/>
      <c r="AX264" s="441"/>
      <c r="AY264" s="441"/>
      <c r="AZ264" s="441"/>
      <c r="BA264" s="441"/>
    </row>
    <row r="265">
      <c r="A265" s="441"/>
      <c r="B265" s="441"/>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c r="AA265" s="441"/>
      <c r="AB265" s="441"/>
      <c r="AC265" s="441"/>
      <c r="AD265" s="441"/>
      <c r="AE265" s="441"/>
      <c r="AF265" s="441"/>
      <c r="AG265" s="441"/>
      <c r="AH265" s="441"/>
      <c r="AI265" s="441"/>
      <c r="AJ265" s="441"/>
      <c r="AK265" s="441"/>
      <c r="AL265" s="441"/>
      <c r="AM265" s="441"/>
      <c r="AN265" s="441"/>
      <c r="AO265" s="441"/>
      <c r="AP265" s="441"/>
      <c r="AQ265" s="441"/>
      <c r="AR265" s="441"/>
      <c r="AS265" s="441"/>
      <c r="AT265" s="441"/>
      <c r="AU265" s="441"/>
      <c r="AV265" s="441"/>
      <c r="AW265" s="441"/>
      <c r="AX265" s="441"/>
      <c r="AY265" s="441"/>
      <c r="AZ265" s="441"/>
      <c r="BA265" s="441"/>
    </row>
    <row r="266">
      <c r="A266" s="441"/>
      <c r="B266" s="441"/>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row>
    <row r="267">
      <c r="A267" s="441"/>
      <c r="B267" s="441"/>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c r="AA267" s="441"/>
      <c r="AB267" s="441"/>
      <c r="AC267" s="441"/>
      <c r="AD267" s="441"/>
      <c r="AE267" s="441"/>
      <c r="AF267" s="441"/>
      <c r="AG267" s="441"/>
      <c r="AH267" s="441"/>
      <c r="AI267" s="441"/>
      <c r="AJ267" s="441"/>
      <c r="AK267" s="441"/>
      <c r="AL267" s="441"/>
      <c r="AM267" s="441"/>
      <c r="AN267" s="441"/>
      <c r="AO267" s="441"/>
      <c r="AP267" s="441"/>
      <c r="AQ267" s="441"/>
      <c r="AR267" s="441"/>
      <c r="AS267" s="441"/>
      <c r="AT267" s="441"/>
      <c r="AU267" s="441"/>
      <c r="AV267" s="441"/>
      <c r="AW267" s="441"/>
      <c r="AX267" s="441"/>
      <c r="AY267" s="441"/>
      <c r="AZ267" s="441"/>
      <c r="BA267" s="441"/>
    </row>
    <row r="268">
      <c r="A268" s="441"/>
      <c r="B268" s="441"/>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c r="AA268" s="441"/>
      <c r="AB268" s="441"/>
      <c r="AC268" s="441"/>
      <c r="AD268" s="441"/>
      <c r="AE268" s="441"/>
      <c r="AF268" s="441"/>
      <c r="AG268" s="441"/>
      <c r="AH268" s="441"/>
      <c r="AI268" s="441"/>
      <c r="AJ268" s="441"/>
      <c r="AK268" s="441"/>
      <c r="AL268" s="441"/>
      <c r="AM268" s="441"/>
      <c r="AN268" s="441"/>
      <c r="AO268" s="441"/>
      <c r="AP268" s="441"/>
      <c r="AQ268" s="441"/>
      <c r="AR268" s="441"/>
      <c r="AS268" s="441"/>
      <c r="AT268" s="441"/>
      <c r="AU268" s="441"/>
      <c r="AV268" s="441"/>
      <c r="AW268" s="441"/>
      <c r="AX268" s="441"/>
      <c r="AY268" s="441"/>
      <c r="AZ268" s="441"/>
      <c r="BA268" s="441"/>
    </row>
    <row r="269">
      <c r="A269" s="441"/>
      <c r="B269" s="441"/>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1"/>
      <c r="AA269" s="441"/>
      <c r="AB269" s="441"/>
      <c r="AC269" s="441"/>
      <c r="AD269" s="441"/>
      <c r="AE269" s="441"/>
      <c r="AF269" s="441"/>
      <c r="AG269" s="441"/>
      <c r="AH269" s="441"/>
      <c r="AI269" s="441"/>
      <c r="AJ269" s="441"/>
      <c r="AK269" s="441"/>
      <c r="AL269" s="441"/>
      <c r="AM269" s="441"/>
      <c r="AN269" s="441"/>
      <c r="AO269" s="441"/>
      <c r="AP269" s="441"/>
      <c r="AQ269" s="441"/>
      <c r="AR269" s="441"/>
      <c r="AS269" s="441"/>
      <c r="AT269" s="441"/>
      <c r="AU269" s="441"/>
      <c r="AV269" s="441"/>
      <c r="AW269" s="441"/>
      <c r="AX269" s="441"/>
      <c r="AY269" s="441"/>
      <c r="AZ269" s="441"/>
      <c r="BA269" s="441"/>
    </row>
    <row r="270">
      <c r="A270" s="441"/>
      <c r="B270" s="441"/>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1"/>
      <c r="AA270" s="441"/>
      <c r="AB270" s="441"/>
      <c r="AC270" s="441"/>
      <c r="AD270" s="441"/>
      <c r="AE270" s="441"/>
      <c r="AF270" s="441"/>
      <c r="AG270" s="441"/>
      <c r="AH270" s="441"/>
      <c r="AI270" s="441"/>
      <c r="AJ270" s="441"/>
      <c r="AK270" s="441"/>
      <c r="AL270" s="441"/>
      <c r="AM270" s="441"/>
      <c r="AN270" s="441"/>
      <c r="AO270" s="441"/>
      <c r="AP270" s="441"/>
      <c r="AQ270" s="441"/>
      <c r="AR270" s="441"/>
      <c r="AS270" s="441"/>
      <c r="AT270" s="441"/>
      <c r="AU270" s="441"/>
      <c r="AV270" s="441"/>
      <c r="AW270" s="441"/>
      <c r="AX270" s="441"/>
      <c r="AY270" s="441"/>
      <c r="AZ270" s="441"/>
      <c r="BA270" s="441"/>
    </row>
    <row r="271">
      <c r="A271" s="441"/>
      <c r="B271" s="441"/>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c r="AF271" s="441"/>
      <c r="AG271" s="441"/>
      <c r="AH271" s="441"/>
      <c r="AI271" s="441"/>
      <c r="AJ271" s="441"/>
      <c r="AK271" s="441"/>
      <c r="AL271" s="441"/>
      <c r="AM271" s="441"/>
      <c r="AN271" s="441"/>
      <c r="AO271" s="441"/>
      <c r="AP271" s="441"/>
      <c r="AQ271" s="441"/>
      <c r="AR271" s="441"/>
      <c r="AS271" s="441"/>
      <c r="AT271" s="441"/>
      <c r="AU271" s="441"/>
      <c r="AV271" s="441"/>
      <c r="AW271" s="441"/>
      <c r="AX271" s="441"/>
      <c r="AY271" s="441"/>
      <c r="AZ271" s="441"/>
      <c r="BA271" s="441"/>
    </row>
    <row r="272">
      <c r="A272" s="441"/>
      <c r="B272" s="441"/>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1"/>
      <c r="AA272" s="441"/>
      <c r="AB272" s="441"/>
      <c r="AC272" s="441"/>
      <c r="AD272" s="441"/>
      <c r="AE272" s="441"/>
      <c r="AF272" s="441"/>
      <c r="AG272" s="441"/>
      <c r="AH272" s="441"/>
      <c r="AI272" s="441"/>
      <c r="AJ272" s="441"/>
      <c r="AK272" s="441"/>
      <c r="AL272" s="441"/>
      <c r="AM272" s="441"/>
      <c r="AN272" s="441"/>
      <c r="AO272" s="441"/>
      <c r="AP272" s="441"/>
      <c r="AQ272" s="441"/>
      <c r="AR272" s="441"/>
      <c r="AS272" s="441"/>
      <c r="AT272" s="441"/>
      <c r="AU272" s="441"/>
      <c r="AV272" s="441"/>
      <c r="AW272" s="441"/>
      <c r="AX272" s="441"/>
      <c r="AY272" s="441"/>
      <c r="AZ272" s="441"/>
      <c r="BA272" s="441"/>
    </row>
    <row r="273">
      <c r="A273" s="441"/>
      <c r="B273" s="441"/>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c r="AG273" s="441"/>
      <c r="AH273" s="441"/>
      <c r="AI273" s="441"/>
      <c r="AJ273" s="441"/>
      <c r="AK273" s="441"/>
      <c r="AL273" s="441"/>
      <c r="AM273" s="441"/>
      <c r="AN273" s="441"/>
      <c r="AO273" s="441"/>
      <c r="AP273" s="441"/>
      <c r="AQ273" s="441"/>
      <c r="AR273" s="441"/>
      <c r="AS273" s="441"/>
      <c r="AT273" s="441"/>
      <c r="AU273" s="441"/>
      <c r="AV273" s="441"/>
      <c r="AW273" s="441"/>
      <c r="AX273" s="441"/>
      <c r="AY273" s="441"/>
      <c r="AZ273" s="441"/>
      <c r="BA273" s="441"/>
    </row>
    <row r="274">
      <c r="A274" s="441"/>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row>
    <row r="275">
      <c r="A275" s="441"/>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c r="AG275" s="441"/>
      <c r="AH275" s="441"/>
      <c r="AI275" s="441"/>
      <c r="AJ275" s="441"/>
      <c r="AK275" s="441"/>
      <c r="AL275" s="441"/>
      <c r="AM275" s="441"/>
      <c r="AN275" s="441"/>
      <c r="AO275" s="441"/>
      <c r="AP275" s="441"/>
      <c r="AQ275" s="441"/>
      <c r="AR275" s="441"/>
      <c r="AS275" s="441"/>
      <c r="AT275" s="441"/>
      <c r="AU275" s="441"/>
      <c r="AV275" s="441"/>
      <c r="AW275" s="441"/>
      <c r="AX275" s="441"/>
      <c r="AY275" s="441"/>
      <c r="AZ275" s="441"/>
      <c r="BA275" s="441"/>
    </row>
    <row r="276">
      <c r="A276" s="441"/>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c r="AG276" s="441"/>
      <c r="AH276" s="441"/>
      <c r="AI276" s="441"/>
      <c r="AJ276" s="441"/>
      <c r="AK276" s="441"/>
      <c r="AL276" s="441"/>
      <c r="AM276" s="441"/>
      <c r="AN276" s="441"/>
      <c r="AO276" s="441"/>
      <c r="AP276" s="441"/>
      <c r="AQ276" s="441"/>
      <c r="AR276" s="441"/>
      <c r="AS276" s="441"/>
      <c r="AT276" s="441"/>
      <c r="AU276" s="441"/>
      <c r="AV276" s="441"/>
      <c r="AW276" s="441"/>
      <c r="AX276" s="441"/>
      <c r="AY276" s="441"/>
      <c r="AZ276" s="441"/>
      <c r="BA276" s="441"/>
    </row>
    <row r="277">
      <c r="A277" s="441"/>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c r="AG277" s="441"/>
      <c r="AH277" s="441"/>
      <c r="AI277" s="441"/>
      <c r="AJ277" s="441"/>
      <c r="AK277" s="441"/>
      <c r="AL277" s="441"/>
      <c r="AM277" s="441"/>
      <c r="AN277" s="441"/>
      <c r="AO277" s="441"/>
      <c r="AP277" s="441"/>
      <c r="AQ277" s="441"/>
      <c r="AR277" s="441"/>
      <c r="AS277" s="441"/>
      <c r="AT277" s="441"/>
      <c r="AU277" s="441"/>
      <c r="AV277" s="441"/>
      <c r="AW277" s="441"/>
      <c r="AX277" s="441"/>
      <c r="AY277" s="441"/>
      <c r="AZ277" s="441"/>
      <c r="BA277" s="441"/>
    </row>
    <row r="278">
      <c r="A278" s="441"/>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c r="AG278" s="441"/>
      <c r="AH278" s="441"/>
      <c r="AI278" s="441"/>
      <c r="AJ278" s="441"/>
      <c r="AK278" s="441"/>
      <c r="AL278" s="441"/>
      <c r="AM278" s="441"/>
      <c r="AN278" s="441"/>
      <c r="AO278" s="441"/>
      <c r="AP278" s="441"/>
      <c r="AQ278" s="441"/>
      <c r="AR278" s="441"/>
      <c r="AS278" s="441"/>
      <c r="AT278" s="441"/>
      <c r="AU278" s="441"/>
      <c r="AV278" s="441"/>
      <c r="AW278" s="441"/>
      <c r="AX278" s="441"/>
      <c r="AY278" s="441"/>
      <c r="AZ278" s="441"/>
      <c r="BA278" s="441"/>
    </row>
    <row r="279">
      <c r="A279" s="441"/>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c r="AG279" s="441"/>
      <c r="AH279" s="441"/>
      <c r="AI279" s="441"/>
      <c r="AJ279" s="441"/>
      <c r="AK279" s="441"/>
      <c r="AL279" s="441"/>
      <c r="AM279" s="441"/>
      <c r="AN279" s="441"/>
      <c r="AO279" s="441"/>
      <c r="AP279" s="441"/>
      <c r="AQ279" s="441"/>
      <c r="AR279" s="441"/>
      <c r="AS279" s="441"/>
      <c r="AT279" s="441"/>
      <c r="AU279" s="441"/>
      <c r="AV279" s="441"/>
      <c r="AW279" s="441"/>
      <c r="AX279" s="441"/>
      <c r="AY279" s="441"/>
      <c r="AZ279" s="441"/>
      <c r="BA279" s="441"/>
    </row>
    <row r="280">
      <c r="A280" s="441"/>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1"/>
      <c r="AY280" s="441"/>
      <c r="AZ280" s="441"/>
      <c r="BA280" s="441"/>
    </row>
    <row r="281">
      <c r="A281" s="441"/>
      <c r="B281" s="441"/>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c r="AA281" s="441"/>
      <c r="AB281" s="441"/>
      <c r="AC281" s="441"/>
      <c r="AD281" s="441"/>
      <c r="AE281" s="441"/>
      <c r="AF281" s="441"/>
      <c r="AG281" s="441"/>
      <c r="AH281" s="441"/>
      <c r="AI281" s="441"/>
      <c r="AJ281" s="441"/>
      <c r="AK281" s="441"/>
      <c r="AL281" s="441"/>
      <c r="AM281" s="441"/>
      <c r="AN281" s="441"/>
      <c r="AO281" s="441"/>
      <c r="AP281" s="441"/>
      <c r="AQ281" s="441"/>
      <c r="AR281" s="441"/>
      <c r="AS281" s="441"/>
      <c r="AT281" s="441"/>
      <c r="AU281" s="441"/>
      <c r="AV281" s="441"/>
      <c r="AW281" s="441"/>
      <c r="AX281" s="441"/>
      <c r="AY281" s="441"/>
      <c r="AZ281" s="441"/>
      <c r="BA281" s="441"/>
    </row>
    <row r="282">
      <c r="A282" s="441"/>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c r="AG282" s="441"/>
      <c r="AH282" s="441"/>
      <c r="AI282" s="441"/>
      <c r="AJ282" s="441"/>
      <c r="AK282" s="441"/>
      <c r="AL282" s="441"/>
      <c r="AM282" s="441"/>
      <c r="AN282" s="441"/>
      <c r="AO282" s="441"/>
      <c r="AP282" s="441"/>
      <c r="AQ282" s="441"/>
      <c r="AR282" s="441"/>
      <c r="AS282" s="441"/>
      <c r="AT282" s="441"/>
      <c r="AU282" s="441"/>
      <c r="AV282" s="441"/>
      <c r="AW282" s="441"/>
      <c r="AX282" s="441"/>
      <c r="AY282" s="441"/>
      <c r="AZ282" s="441"/>
      <c r="BA282" s="441"/>
    </row>
    <row r="283">
      <c r="A283" s="441"/>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c r="AG283" s="441"/>
      <c r="AH283" s="441"/>
      <c r="AI283" s="441"/>
      <c r="AJ283" s="441"/>
      <c r="AK283" s="441"/>
      <c r="AL283" s="441"/>
      <c r="AM283" s="441"/>
      <c r="AN283" s="441"/>
      <c r="AO283" s="441"/>
      <c r="AP283" s="441"/>
      <c r="AQ283" s="441"/>
      <c r="AR283" s="441"/>
      <c r="AS283" s="441"/>
      <c r="AT283" s="441"/>
      <c r="AU283" s="441"/>
      <c r="AV283" s="441"/>
      <c r="AW283" s="441"/>
      <c r="AX283" s="441"/>
      <c r="AY283" s="441"/>
      <c r="AZ283" s="441"/>
      <c r="BA283" s="441"/>
    </row>
    <row r="284">
      <c r="A284" s="441"/>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c r="AG284" s="441"/>
      <c r="AH284" s="441"/>
      <c r="AI284" s="441"/>
      <c r="AJ284" s="441"/>
      <c r="AK284" s="441"/>
      <c r="AL284" s="441"/>
      <c r="AM284" s="441"/>
      <c r="AN284" s="441"/>
      <c r="AO284" s="441"/>
      <c r="AP284" s="441"/>
      <c r="AQ284" s="441"/>
      <c r="AR284" s="441"/>
      <c r="AS284" s="441"/>
      <c r="AT284" s="441"/>
      <c r="AU284" s="441"/>
      <c r="AV284" s="441"/>
      <c r="AW284" s="441"/>
      <c r="AX284" s="441"/>
      <c r="AY284" s="441"/>
      <c r="AZ284" s="441"/>
      <c r="BA284" s="441"/>
    </row>
    <row r="285">
      <c r="A285" s="441"/>
      <c r="B285" s="441"/>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1"/>
      <c r="Z285" s="441"/>
      <c r="AA285" s="441"/>
      <c r="AB285" s="441"/>
      <c r="AC285" s="441"/>
      <c r="AD285" s="441"/>
      <c r="AE285" s="441"/>
      <c r="AF285" s="441"/>
      <c r="AG285" s="441"/>
      <c r="AH285" s="441"/>
      <c r="AI285" s="441"/>
      <c r="AJ285" s="441"/>
      <c r="AK285" s="441"/>
      <c r="AL285" s="441"/>
      <c r="AM285" s="441"/>
      <c r="AN285" s="441"/>
      <c r="AO285" s="441"/>
      <c r="AP285" s="441"/>
      <c r="AQ285" s="441"/>
      <c r="AR285" s="441"/>
      <c r="AS285" s="441"/>
      <c r="AT285" s="441"/>
      <c r="AU285" s="441"/>
      <c r="AV285" s="441"/>
      <c r="AW285" s="441"/>
      <c r="AX285" s="441"/>
      <c r="AY285" s="441"/>
      <c r="AZ285" s="441"/>
      <c r="BA285" s="441"/>
    </row>
    <row r="286">
      <c r="A286" s="441"/>
      <c r="B286" s="441"/>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row>
    <row r="287">
      <c r="A287" s="441"/>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1"/>
      <c r="AI287" s="441"/>
      <c r="AJ287" s="441"/>
      <c r="AK287" s="441"/>
      <c r="AL287" s="441"/>
      <c r="AM287" s="441"/>
      <c r="AN287" s="441"/>
      <c r="AO287" s="441"/>
      <c r="AP287" s="441"/>
      <c r="AQ287" s="441"/>
      <c r="AR287" s="441"/>
      <c r="AS287" s="441"/>
      <c r="AT287" s="441"/>
      <c r="AU287" s="441"/>
      <c r="AV287" s="441"/>
      <c r="AW287" s="441"/>
      <c r="AX287" s="441"/>
      <c r="AY287" s="441"/>
      <c r="AZ287" s="441"/>
      <c r="BA287" s="441"/>
    </row>
    <row r="288">
      <c r="A288" s="441"/>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441"/>
      <c r="AH288" s="441"/>
      <c r="AI288" s="441"/>
      <c r="AJ288" s="441"/>
      <c r="AK288" s="441"/>
      <c r="AL288" s="441"/>
      <c r="AM288" s="441"/>
      <c r="AN288" s="441"/>
      <c r="AO288" s="441"/>
      <c r="AP288" s="441"/>
      <c r="AQ288" s="441"/>
      <c r="AR288" s="441"/>
      <c r="AS288" s="441"/>
      <c r="AT288" s="441"/>
      <c r="AU288" s="441"/>
      <c r="AV288" s="441"/>
      <c r="AW288" s="441"/>
      <c r="AX288" s="441"/>
      <c r="AY288" s="441"/>
      <c r="AZ288" s="441"/>
      <c r="BA288" s="441"/>
    </row>
    <row r="289">
      <c r="A289" s="441"/>
      <c r="B289" s="441"/>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c r="AG289" s="441"/>
      <c r="AH289" s="441"/>
      <c r="AI289" s="441"/>
      <c r="AJ289" s="441"/>
      <c r="AK289" s="441"/>
      <c r="AL289" s="441"/>
      <c r="AM289" s="441"/>
      <c r="AN289" s="441"/>
      <c r="AO289" s="441"/>
      <c r="AP289" s="441"/>
      <c r="AQ289" s="441"/>
      <c r="AR289" s="441"/>
      <c r="AS289" s="441"/>
      <c r="AT289" s="441"/>
      <c r="AU289" s="441"/>
      <c r="AV289" s="441"/>
      <c r="AW289" s="441"/>
      <c r="AX289" s="441"/>
      <c r="AY289" s="441"/>
      <c r="AZ289" s="441"/>
      <c r="BA289" s="441"/>
    </row>
    <row r="290">
      <c r="A290" s="441"/>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c r="AG290" s="441"/>
      <c r="AH290" s="441"/>
      <c r="AI290" s="441"/>
      <c r="AJ290" s="441"/>
      <c r="AK290" s="441"/>
      <c r="AL290" s="441"/>
      <c r="AM290" s="441"/>
      <c r="AN290" s="441"/>
      <c r="AO290" s="441"/>
      <c r="AP290" s="441"/>
      <c r="AQ290" s="441"/>
      <c r="AR290" s="441"/>
      <c r="AS290" s="441"/>
      <c r="AT290" s="441"/>
      <c r="AU290" s="441"/>
      <c r="AV290" s="441"/>
      <c r="AW290" s="441"/>
      <c r="AX290" s="441"/>
      <c r="AY290" s="441"/>
      <c r="AZ290" s="441"/>
      <c r="BA290" s="441"/>
    </row>
    <row r="291">
      <c r="A291" s="441"/>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c r="AG291" s="441"/>
      <c r="AH291" s="441"/>
      <c r="AI291" s="441"/>
      <c r="AJ291" s="441"/>
      <c r="AK291" s="441"/>
      <c r="AL291" s="441"/>
      <c r="AM291" s="441"/>
      <c r="AN291" s="441"/>
      <c r="AO291" s="441"/>
      <c r="AP291" s="441"/>
      <c r="AQ291" s="441"/>
      <c r="AR291" s="441"/>
      <c r="AS291" s="441"/>
      <c r="AT291" s="441"/>
      <c r="AU291" s="441"/>
      <c r="AV291" s="441"/>
      <c r="AW291" s="441"/>
      <c r="AX291" s="441"/>
      <c r="AY291" s="441"/>
      <c r="AZ291" s="441"/>
      <c r="BA291" s="441"/>
    </row>
    <row r="292">
      <c r="A292" s="441"/>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c r="AG292" s="441"/>
      <c r="AH292" s="441"/>
      <c r="AI292" s="441"/>
      <c r="AJ292" s="441"/>
      <c r="AK292" s="441"/>
      <c r="AL292" s="441"/>
      <c r="AM292" s="441"/>
      <c r="AN292" s="441"/>
      <c r="AO292" s="441"/>
      <c r="AP292" s="441"/>
      <c r="AQ292" s="441"/>
      <c r="AR292" s="441"/>
      <c r="AS292" s="441"/>
      <c r="AT292" s="441"/>
      <c r="AU292" s="441"/>
      <c r="AV292" s="441"/>
      <c r="AW292" s="441"/>
      <c r="AX292" s="441"/>
      <c r="AY292" s="441"/>
      <c r="AZ292" s="441"/>
      <c r="BA292" s="441"/>
    </row>
    <row r="293">
      <c r="A293" s="441"/>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1"/>
      <c r="AY293" s="441"/>
      <c r="AZ293" s="441"/>
      <c r="BA293" s="441"/>
    </row>
    <row r="294">
      <c r="A294" s="441"/>
      <c r="B294" s="4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1"/>
      <c r="AA294" s="441"/>
      <c r="AB294" s="441"/>
      <c r="AC294" s="441"/>
      <c r="AD294" s="441"/>
      <c r="AE294" s="441"/>
      <c r="AF294" s="441"/>
      <c r="AG294" s="441"/>
      <c r="AH294" s="441"/>
      <c r="AI294" s="441"/>
      <c r="AJ294" s="441"/>
      <c r="AK294" s="441"/>
      <c r="AL294" s="441"/>
      <c r="AM294" s="441"/>
      <c r="AN294" s="441"/>
      <c r="AO294" s="441"/>
      <c r="AP294" s="441"/>
      <c r="AQ294" s="441"/>
      <c r="AR294" s="441"/>
      <c r="AS294" s="441"/>
      <c r="AT294" s="441"/>
      <c r="AU294" s="441"/>
      <c r="AV294" s="441"/>
      <c r="AW294" s="441"/>
      <c r="AX294" s="441"/>
      <c r="AY294" s="441"/>
      <c r="AZ294" s="441"/>
      <c r="BA294" s="441"/>
    </row>
    <row r="295">
      <c r="A295" s="441"/>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1"/>
      <c r="AA295" s="441"/>
      <c r="AB295" s="441"/>
      <c r="AC295" s="441"/>
      <c r="AD295" s="441"/>
      <c r="AE295" s="441"/>
      <c r="AF295" s="441"/>
      <c r="AG295" s="441"/>
      <c r="AH295" s="441"/>
      <c r="AI295" s="441"/>
      <c r="AJ295" s="441"/>
      <c r="AK295" s="441"/>
      <c r="AL295" s="441"/>
      <c r="AM295" s="441"/>
      <c r="AN295" s="441"/>
      <c r="AO295" s="441"/>
      <c r="AP295" s="441"/>
      <c r="AQ295" s="441"/>
      <c r="AR295" s="441"/>
      <c r="AS295" s="441"/>
      <c r="AT295" s="441"/>
      <c r="AU295" s="441"/>
      <c r="AV295" s="441"/>
      <c r="AW295" s="441"/>
      <c r="AX295" s="441"/>
      <c r="AY295" s="441"/>
      <c r="AZ295" s="441"/>
      <c r="BA295" s="441"/>
    </row>
    <row r="296">
      <c r="A296" s="441"/>
      <c r="B296" s="441"/>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1"/>
      <c r="Z296" s="441"/>
      <c r="AA296" s="441"/>
      <c r="AB296" s="441"/>
      <c r="AC296" s="441"/>
      <c r="AD296" s="441"/>
      <c r="AE296" s="441"/>
      <c r="AF296" s="441"/>
      <c r="AG296" s="441"/>
      <c r="AH296" s="441"/>
      <c r="AI296" s="441"/>
      <c r="AJ296" s="441"/>
      <c r="AK296" s="441"/>
      <c r="AL296" s="441"/>
      <c r="AM296" s="441"/>
      <c r="AN296" s="441"/>
      <c r="AO296" s="441"/>
      <c r="AP296" s="441"/>
      <c r="AQ296" s="441"/>
      <c r="AR296" s="441"/>
      <c r="AS296" s="441"/>
      <c r="AT296" s="441"/>
      <c r="AU296" s="441"/>
      <c r="AV296" s="441"/>
      <c r="AW296" s="441"/>
      <c r="AX296" s="441"/>
      <c r="AY296" s="441"/>
      <c r="AZ296" s="441"/>
      <c r="BA296" s="441"/>
    </row>
    <row r="297">
      <c r="A297" s="441"/>
      <c r="B297" s="441"/>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1"/>
      <c r="AA297" s="441"/>
      <c r="AB297" s="441"/>
      <c r="AC297" s="441"/>
      <c r="AD297" s="441"/>
      <c r="AE297" s="441"/>
      <c r="AF297" s="441"/>
      <c r="AG297" s="441"/>
      <c r="AH297" s="441"/>
      <c r="AI297" s="441"/>
      <c r="AJ297" s="441"/>
      <c r="AK297" s="441"/>
      <c r="AL297" s="441"/>
      <c r="AM297" s="441"/>
      <c r="AN297" s="441"/>
      <c r="AO297" s="441"/>
      <c r="AP297" s="441"/>
      <c r="AQ297" s="441"/>
      <c r="AR297" s="441"/>
      <c r="AS297" s="441"/>
      <c r="AT297" s="441"/>
      <c r="AU297" s="441"/>
      <c r="AV297" s="441"/>
      <c r="AW297" s="441"/>
      <c r="AX297" s="441"/>
      <c r="AY297" s="441"/>
      <c r="AZ297" s="441"/>
      <c r="BA297" s="441"/>
    </row>
    <row r="298">
      <c r="A298" s="441"/>
      <c r="B298" s="441"/>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1"/>
      <c r="Z298" s="441"/>
      <c r="AA298" s="441"/>
      <c r="AB298" s="441"/>
      <c r="AC298" s="441"/>
      <c r="AD298" s="441"/>
      <c r="AE298" s="441"/>
      <c r="AF298" s="441"/>
      <c r="AG298" s="441"/>
      <c r="AH298" s="441"/>
      <c r="AI298" s="441"/>
      <c r="AJ298" s="441"/>
      <c r="AK298" s="441"/>
      <c r="AL298" s="441"/>
      <c r="AM298" s="441"/>
      <c r="AN298" s="441"/>
      <c r="AO298" s="441"/>
      <c r="AP298" s="441"/>
      <c r="AQ298" s="441"/>
      <c r="AR298" s="441"/>
      <c r="AS298" s="441"/>
      <c r="AT298" s="441"/>
      <c r="AU298" s="441"/>
      <c r="AV298" s="441"/>
      <c r="AW298" s="441"/>
      <c r="AX298" s="441"/>
      <c r="AY298" s="441"/>
      <c r="AZ298" s="441"/>
      <c r="BA298" s="441"/>
    </row>
    <row r="299">
      <c r="A299" s="441"/>
      <c r="B299" s="441"/>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1"/>
      <c r="Z299" s="441"/>
      <c r="AA299" s="441"/>
      <c r="AB299" s="441"/>
      <c r="AC299" s="441"/>
      <c r="AD299" s="441"/>
      <c r="AE299" s="441"/>
      <c r="AF299" s="441"/>
      <c r="AG299" s="441"/>
      <c r="AH299" s="441"/>
      <c r="AI299" s="441"/>
      <c r="AJ299" s="441"/>
      <c r="AK299" s="441"/>
      <c r="AL299" s="441"/>
      <c r="AM299" s="441"/>
      <c r="AN299" s="441"/>
      <c r="AO299" s="441"/>
      <c r="AP299" s="441"/>
      <c r="AQ299" s="441"/>
      <c r="AR299" s="441"/>
      <c r="AS299" s="441"/>
      <c r="AT299" s="441"/>
      <c r="AU299" s="441"/>
      <c r="AV299" s="441"/>
      <c r="AW299" s="441"/>
      <c r="AX299" s="441"/>
      <c r="AY299" s="441"/>
      <c r="AZ299" s="441"/>
      <c r="BA299" s="441"/>
    </row>
    <row r="300">
      <c r="A300" s="441"/>
      <c r="B300" s="441"/>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1"/>
      <c r="Z300" s="441"/>
      <c r="AA300" s="441"/>
      <c r="AB300" s="441"/>
      <c r="AC300" s="441"/>
      <c r="AD300" s="441"/>
      <c r="AE300" s="441"/>
      <c r="AF300" s="441"/>
      <c r="AG300" s="441"/>
      <c r="AH300" s="441"/>
      <c r="AI300" s="441"/>
      <c r="AJ300" s="441"/>
      <c r="AK300" s="441"/>
      <c r="AL300" s="441"/>
      <c r="AM300" s="441"/>
      <c r="AN300" s="441"/>
      <c r="AO300" s="441"/>
      <c r="AP300" s="441"/>
      <c r="AQ300" s="441"/>
      <c r="AR300" s="441"/>
      <c r="AS300" s="441"/>
      <c r="AT300" s="441"/>
      <c r="AU300" s="441"/>
      <c r="AV300" s="441"/>
      <c r="AW300" s="441"/>
      <c r="AX300" s="441"/>
      <c r="AY300" s="441"/>
      <c r="AZ300" s="441"/>
      <c r="BA300" s="441"/>
    </row>
    <row r="301">
      <c r="A301" s="441"/>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1"/>
      <c r="AA301" s="441"/>
      <c r="AB301" s="441"/>
      <c r="AC301" s="441"/>
      <c r="AD301" s="441"/>
      <c r="AE301" s="441"/>
      <c r="AF301" s="441"/>
      <c r="AG301" s="441"/>
      <c r="AH301" s="441"/>
      <c r="AI301" s="441"/>
      <c r="AJ301" s="441"/>
      <c r="AK301" s="441"/>
      <c r="AL301" s="441"/>
      <c r="AM301" s="441"/>
      <c r="AN301" s="441"/>
      <c r="AO301" s="441"/>
      <c r="AP301" s="441"/>
      <c r="AQ301" s="441"/>
      <c r="AR301" s="441"/>
      <c r="AS301" s="441"/>
      <c r="AT301" s="441"/>
      <c r="AU301" s="441"/>
      <c r="AV301" s="441"/>
      <c r="AW301" s="441"/>
      <c r="AX301" s="441"/>
      <c r="AY301" s="441"/>
      <c r="AZ301" s="441"/>
      <c r="BA301" s="441"/>
    </row>
    <row r="302">
      <c r="A302" s="441"/>
      <c r="B302" s="441"/>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1"/>
      <c r="Z302" s="441"/>
      <c r="AA302" s="441"/>
      <c r="AB302" s="441"/>
      <c r="AC302" s="441"/>
      <c r="AD302" s="441"/>
      <c r="AE302" s="441"/>
      <c r="AF302" s="441"/>
      <c r="AG302" s="441"/>
      <c r="AH302" s="441"/>
      <c r="AI302" s="441"/>
      <c r="AJ302" s="441"/>
      <c r="AK302" s="441"/>
      <c r="AL302" s="441"/>
      <c r="AM302" s="441"/>
      <c r="AN302" s="441"/>
      <c r="AO302" s="441"/>
      <c r="AP302" s="441"/>
      <c r="AQ302" s="441"/>
      <c r="AR302" s="441"/>
      <c r="AS302" s="441"/>
      <c r="AT302" s="441"/>
      <c r="AU302" s="441"/>
      <c r="AV302" s="441"/>
      <c r="AW302" s="441"/>
      <c r="AX302" s="441"/>
      <c r="AY302" s="441"/>
      <c r="AZ302" s="441"/>
      <c r="BA302" s="441"/>
    </row>
    <row r="303">
      <c r="A303" s="441"/>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1"/>
      <c r="AA303" s="441"/>
      <c r="AB303" s="441"/>
      <c r="AC303" s="441"/>
      <c r="AD303" s="441"/>
      <c r="AE303" s="441"/>
      <c r="AF303" s="441"/>
      <c r="AG303" s="441"/>
      <c r="AH303" s="441"/>
      <c r="AI303" s="441"/>
      <c r="AJ303" s="441"/>
      <c r="AK303" s="441"/>
      <c r="AL303" s="441"/>
      <c r="AM303" s="441"/>
      <c r="AN303" s="441"/>
      <c r="AO303" s="441"/>
      <c r="AP303" s="441"/>
      <c r="AQ303" s="441"/>
      <c r="AR303" s="441"/>
      <c r="AS303" s="441"/>
      <c r="AT303" s="441"/>
      <c r="AU303" s="441"/>
      <c r="AV303" s="441"/>
      <c r="AW303" s="441"/>
      <c r="AX303" s="441"/>
      <c r="AY303" s="441"/>
      <c r="AZ303" s="441"/>
      <c r="BA303" s="441"/>
    </row>
    <row r="304">
      <c r="A304" s="441"/>
      <c r="B304" s="441"/>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1"/>
      <c r="Z304" s="441"/>
      <c r="AA304" s="441"/>
      <c r="AB304" s="441"/>
      <c r="AC304" s="441"/>
      <c r="AD304" s="441"/>
      <c r="AE304" s="441"/>
      <c r="AF304" s="441"/>
      <c r="AG304" s="441"/>
      <c r="AH304" s="441"/>
      <c r="AI304" s="441"/>
      <c r="AJ304" s="441"/>
      <c r="AK304" s="441"/>
      <c r="AL304" s="441"/>
      <c r="AM304" s="441"/>
      <c r="AN304" s="441"/>
      <c r="AO304" s="441"/>
      <c r="AP304" s="441"/>
      <c r="AQ304" s="441"/>
      <c r="AR304" s="441"/>
      <c r="AS304" s="441"/>
      <c r="AT304" s="441"/>
      <c r="AU304" s="441"/>
      <c r="AV304" s="441"/>
      <c r="AW304" s="441"/>
      <c r="AX304" s="441"/>
      <c r="AY304" s="441"/>
      <c r="AZ304" s="441"/>
      <c r="BA304" s="441"/>
    </row>
    <row r="305">
      <c r="A305" s="441"/>
      <c r="B305" s="441"/>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441"/>
      <c r="AZ305" s="441"/>
      <c r="BA305" s="441"/>
    </row>
    <row r="306">
      <c r="A306" s="441"/>
      <c r="B306" s="441"/>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441"/>
      <c r="AZ306" s="441"/>
      <c r="BA306" s="441"/>
    </row>
    <row r="307">
      <c r="A307" s="441"/>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41"/>
      <c r="AG307" s="441"/>
      <c r="AH307" s="441"/>
      <c r="AI307" s="441"/>
      <c r="AJ307" s="441"/>
      <c r="AK307" s="441"/>
      <c r="AL307" s="441"/>
      <c r="AM307" s="441"/>
      <c r="AN307" s="441"/>
      <c r="AO307" s="441"/>
      <c r="AP307" s="441"/>
      <c r="AQ307" s="441"/>
      <c r="AR307" s="441"/>
      <c r="AS307" s="441"/>
      <c r="AT307" s="441"/>
      <c r="AU307" s="441"/>
      <c r="AV307" s="441"/>
      <c r="AW307" s="441"/>
      <c r="AX307" s="441"/>
      <c r="AY307" s="441"/>
      <c r="AZ307" s="441"/>
      <c r="BA307" s="441"/>
    </row>
    <row r="308">
      <c r="A308" s="441"/>
      <c r="B308" s="441"/>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1"/>
      <c r="AY308" s="441"/>
      <c r="AZ308" s="441"/>
      <c r="BA308" s="441"/>
    </row>
    <row r="309">
      <c r="A309" s="441"/>
      <c r="B309" s="441"/>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1"/>
      <c r="AI309" s="441"/>
      <c r="AJ309" s="441"/>
      <c r="AK309" s="441"/>
      <c r="AL309" s="441"/>
      <c r="AM309" s="441"/>
      <c r="AN309" s="441"/>
      <c r="AO309" s="441"/>
      <c r="AP309" s="441"/>
      <c r="AQ309" s="441"/>
      <c r="AR309" s="441"/>
      <c r="AS309" s="441"/>
      <c r="AT309" s="441"/>
      <c r="AU309" s="441"/>
      <c r="AV309" s="441"/>
      <c r="AW309" s="441"/>
      <c r="AX309" s="441"/>
      <c r="AY309" s="441"/>
      <c r="AZ309" s="441"/>
      <c r="BA309" s="441"/>
    </row>
    <row r="310">
      <c r="A310" s="441"/>
      <c r="B310" s="441"/>
      <c r="C310" s="441"/>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1"/>
      <c r="AY310" s="441"/>
      <c r="AZ310" s="441"/>
      <c r="BA310" s="441"/>
    </row>
    <row r="311">
      <c r="A311" s="441"/>
      <c r="B311" s="441"/>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1"/>
      <c r="AY311" s="441"/>
      <c r="AZ311" s="441"/>
      <c r="BA311" s="441"/>
    </row>
    <row r="312">
      <c r="A312" s="441"/>
      <c r="B312" s="441"/>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1"/>
      <c r="Z312" s="441"/>
      <c r="AA312" s="441"/>
      <c r="AB312" s="441"/>
      <c r="AC312" s="441"/>
      <c r="AD312" s="441"/>
      <c r="AE312" s="441"/>
      <c r="AF312" s="441"/>
      <c r="AG312" s="441"/>
      <c r="AH312" s="441"/>
      <c r="AI312" s="441"/>
      <c r="AJ312" s="441"/>
      <c r="AK312" s="441"/>
      <c r="AL312" s="441"/>
      <c r="AM312" s="441"/>
      <c r="AN312" s="441"/>
      <c r="AO312" s="441"/>
      <c r="AP312" s="441"/>
      <c r="AQ312" s="441"/>
      <c r="AR312" s="441"/>
      <c r="AS312" s="441"/>
      <c r="AT312" s="441"/>
      <c r="AU312" s="441"/>
      <c r="AV312" s="441"/>
      <c r="AW312" s="441"/>
      <c r="AX312" s="441"/>
      <c r="AY312" s="441"/>
      <c r="AZ312" s="441"/>
      <c r="BA312" s="441"/>
    </row>
    <row r="313">
      <c r="A313" s="441"/>
      <c r="B313" s="441"/>
      <c r="C313" s="441"/>
      <c r="D313" s="441"/>
      <c r="E313" s="441"/>
      <c r="F313" s="441"/>
      <c r="G313" s="441"/>
      <c r="H313" s="441"/>
      <c r="I313" s="441"/>
      <c r="J313" s="441"/>
      <c r="K313" s="441"/>
      <c r="L313" s="441"/>
      <c r="M313" s="441"/>
      <c r="N313" s="441"/>
      <c r="O313" s="441"/>
      <c r="P313" s="441"/>
      <c r="Q313" s="441"/>
      <c r="R313" s="441"/>
      <c r="S313" s="441"/>
      <c r="T313" s="441"/>
      <c r="U313" s="441"/>
      <c r="V313" s="441"/>
      <c r="W313" s="441"/>
      <c r="X313" s="441"/>
      <c r="Y313" s="441"/>
      <c r="Z313" s="441"/>
      <c r="AA313" s="441"/>
      <c r="AB313" s="441"/>
      <c r="AC313" s="441"/>
      <c r="AD313" s="441"/>
      <c r="AE313" s="441"/>
      <c r="AF313" s="441"/>
      <c r="AG313" s="441"/>
      <c r="AH313" s="441"/>
      <c r="AI313" s="441"/>
      <c r="AJ313" s="441"/>
      <c r="AK313" s="441"/>
      <c r="AL313" s="441"/>
      <c r="AM313" s="441"/>
      <c r="AN313" s="441"/>
      <c r="AO313" s="441"/>
      <c r="AP313" s="441"/>
      <c r="AQ313" s="441"/>
      <c r="AR313" s="441"/>
      <c r="AS313" s="441"/>
      <c r="AT313" s="441"/>
      <c r="AU313" s="441"/>
      <c r="AV313" s="441"/>
      <c r="AW313" s="441"/>
      <c r="AX313" s="441"/>
      <c r="AY313" s="441"/>
      <c r="AZ313" s="441"/>
      <c r="BA313" s="441"/>
    </row>
    <row r="314">
      <c r="A314" s="441"/>
      <c r="B314" s="441"/>
      <c r="C314" s="441"/>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1"/>
      <c r="Z314" s="441"/>
      <c r="AA314" s="441"/>
      <c r="AB314" s="441"/>
      <c r="AC314" s="441"/>
      <c r="AD314" s="441"/>
      <c r="AE314" s="441"/>
      <c r="AF314" s="441"/>
      <c r="AG314" s="441"/>
      <c r="AH314" s="441"/>
      <c r="AI314" s="441"/>
      <c r="AJ314" s="441"/>
      <c r="AK314" s="441"/>
      <c r="AL314" s="441"/>
      <c r="AM314" s="441"/>
      <c r="AN314" s="441"/>
      <c r="AO314" s="441"/>
      <c r="AP314" s="441"/>
      <c r="AQ314" s="441"/>
      <c r="AR314" s="441"/>
      <c r="AS314" s="441"/>
      <c r="AT314" s="441"/>
      <c r="AU314" s="441"/>
      <c r="AV314" s="441"/>
      <c r="AW314" s="441"/>
      <c r="AX314" s="441"/>
      <c r="AY314" s="441"/>
      <c r="AZ314" s="441"/>
      <c r="BA314" s="441"/>
    </row>
    <row r="315">
      <c r="A315" s="441"/>
      <c r="B315" s="441"/>
      <c r="C315" s="441"/>
      <c r="D315" s="441"/>
      <c r="E315" s="441"/>
      <c r="F315" s="441"/>
      <c r="G315" s="441"/>
      <c r="H315" s="441"/>
      <c r="I315" s="441"/>
      <c r="J315" s="441"/>
      <c r="K315" s="441"/>
      <c r="L315" s="441"/>
      <c r="M315" s="441"/>
      <c r="N315" s="441"/>
      <c r="O315" s="441"/>
      <c r="P315" s="441"/>
      <c r="Q315" s="441"/>
      <c r="R315" s="441"/>
      <c r="S315" s="441"/>
      <c r="T315" s="441"/>
      <c r="U315" s="441"/>
      <c r="V315" s="441"/>
      <c r="W315" s="441"/>
      <c r="X315" s="441"/>
      <c r="Y315" s="441"/>
      <c r="Z315" s="441"/>
      <c r="AA315" s="441"/>
      <c r="AB315" s="441"/>
      <c r="AC315" s="441"/>
      <c r="AD315" s="441"/>
      <c r="AE315" s="441"/>
      <c r="AF315" s="441"/>
      <c r="AG315" s="441"/>
      <c r="AH315" s="441"/>
      <c r="AI315" s="441"/>
      <c r="AJ315" s="441"/>
      <c r="AK315" s="441"/>
      <c r="AL315" s="441"/>
      <c r="AM315" s="441"/>
      <c r="AN315" s="441"/>
      <c r="AO315" s="441"/>
      <c r="AP315" s="441"/>
      <c r="AQ315" s="441"/>
      <c r="AR315" s="441"/>
      <c r="AS315" s="441"/>
      <c r="AT315" s="441"/>
      <c r="AU315" s="441"/>
      <c r="AV315" s="441"/>
      <c r="AW315" s="441"/>
      <c r="AX315" s="441"/>
      <c r="AY315" s="441"/>
      <c r="AZ315" s="441"/>
      <c r="BA315" s="441"/>
    </row>
    <row r="316">
      <c r="A316" s="441"/>
      <c r="B316" s="441"/>
      <c r="C316" s="441"/>
      <c r="D316" s="441"/>
      <c r="E316" s="441"/>
      <c r="F316" s="441"/>
      <c r="G316" s="441"/>
      <c r="H316" s="441"/>
      <c r="I316" s="441"/>
      <c r="J316" s="441"/>
      <c r="K316" s="441"/>
      <c r="L316" s="441"/>
      <c r="M316" s="441"/>
      <c r="N316" s="441"/>
      <c r="O316" s="441"/>
      <c r="P316" s="441"/>
      <c r="Q316" s="441"/>
      <c r="R316" s="441"/>
      <c r="S316" s="441"/>
      <c r="T316" s="441"/>
      <c r="U316" s="441"/>
      <c r="V316" s="441"/>
      <c r="W316" s="441"/>
      <c r="X316" s="441"/>
      <c r="Y316" s="441"/>
      <c r="Z316" s="441"/>
      <c r="AA316" s="441"/>
      <c r="AB316" s="441"/>
      <c r="AC316" s="441"/>
      <c r="AD316" s="441"/>
      <c r="AE316" s="441"/>
      <c r="AF316" s="441"/>
      <c r="AG316" s="441"/>
      <c r="AH316" s="441"/>
      <c r="AI316" s="441"/>
      <c r="AJ316" s="441"/>
      <c r="AK316" s="441"/>
      <c r="AL316" s="441"/>
      <c r="AM316" s="441"/>
      <c r="AN316" s="441"/>
      <c r="AO316" s="441"/>
      <c r="AP316" s="441"/>
      <c r="AQ316" s="441"/>
      <c r="AR316" s="441"/>
      <c r="AS316" s="441"/>
      <c r="AT316" s="441"/>
      <c r="AU316" s="441"/>
      <c r="AV316" s="441"/>
      <c r="AW316" s="441"/>
      <c r="AX316" s="441"/>
      <c r="AY316" s="441"/>
      <c r="AZ316" s="441"/>
      <c r="BA316" s="441"/>
    </row>
    <row r="317">
      <c r="A317" s="441"/>
      <c r="B317" s="441"/>
      <c r="C317" s="441"/>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1"/>
      <c r="AA317" s="441"/>
      <c r="AB317" s="441"/>
      <c r="AC317" s="441"/>
      <c r="AD317" s="441"/>
      <c r="AE317" s="441"/>
      <c r="AF317" s="441"/>
      <c r="AG317" s="441"/>
      <c r="AH317" s="441"/>
      <c r="AI317" s="441"/>
      <c r="AJ317" s="441"/>
      <c r="AK317" s="441"/>
      <c r="AL317" s="441"/>
      <c r="AM317" s="441"/>
      <c r="AN317" s="441"/>
      <c r="AO317" s="441"/>
      <c r="AP317" s="441"/>
      <c r="AQ317" s="441"/>
      <c r="AR317" s="441"/>
      <c r="AS317" s="441"/>
      <c r="AT317" s="441"/>
      <c r="AU317" s="441"/>
      <c r="AV317" s="441"/>
      <c r="AW317" s="441"/>
      <c r="AX317" s="441"/>
      <c r="AY317" s="441"/>
      <c r="AZ317" s="441"/>
      <c r="BA317" s="441"/>
    </row>
    <row r="318">
      <c r="A318" s="441"/>
      <c r="B318" s="441"/>
      <c r="C318" s="441"/>
      <c r="D318" s="441"/>
      <c r="E318" s="441"/>
      <c r="F318" s="441"/>
      <c r="G318" s="441"/>
      <c r="H318" s="441"/>
      <c r="I318" s="441"/>
      <c r="J318" s="441"/>
      <c r="K318" s="441"/>
      <c r="L318" s="441"/>
      <c r="M318" s="441"/>
      <c r="N318" s="441"/>
      <c r="O318" s="441"/>
      <c r="P318" s="441"/>
      <c r="Q318" s="441"/>
      <c r="R318" s="441"/>
      <c r="S318" s="441"/>
      <c r="T318" s="441"/>
      <c r="U318" s="441"/>
      <c r="V318" s="441"/>
      <c r="W318" s="441"/>
      <c r="X318" s="441"/>
      <c r="Y318" s="441"/>
      <c r="Z318" s="441"/>
      <c r="AA318" s="441"/>
      <c r="AB318" s="441"/>
      <c r="AC318" s="441"/>
      <c r="AD318" s="441"/>
      <c r="AE318" s="441"/>
      <c r="AF318" s="441"/>
      <c r="AG318" s="441"/>
      <c r="AH318" s="441"/>
      <c r="AI318" s="441"/>
      <c r="AJ318" s="441"/>
      <c r="AK318" s="441"/>
      <c r="AL318" s="441"/>
      <c r="AM318" s="441"/>
      <c r="AN318" s="441"/>
      <c r="AO318" s="441"/>
      <c r="AP318" s="441"/>
      <c r="AQ318" s="441"/>
      <c r="AR318" s="441"/>
      <c r="AS318" s="441"/>
      <c r="AT318" s="441"/>
      <c r="AU318" s="441"/>
      <c r="AV318" s="441"/>
      <c r="AW318" s="441"/>
      <c r="AX318" s="441"/>
      <c r="AY318" s="441"/>
      <c r="AZ318" s="441"/>
      <c r="BA318" s="441"/>
    </row>
    <row r="319">
      <c r="A319" s="441"/>
      <c r="B319" s="441"/>
      <c r="C319" s="441"/>
      <c r="D319" s="441"/>
      <c r="E319" s="441"/>
      <c r="F319" s="441"/>
      <c r="G319" s="441"/>
      <c r="H319" s="441"/>
      <c r="I319" s="441"/>
      <c r="J319" s="441"/>
      <c r="K319" s="441"/>
      <c r="L319" s="441"/>
      <c r="M319" s="441"/>
      <c r="N319" s="441"/>
      <c r="O319" s="441"/>
      <c r="P319" s="441"/>
      <c r="Q319" s="441"/>
      <c r="R319" s="441"/>
      <c r="S319" s="441"/>
      <c r="T319" s="441"/>
      <c r="U319" s="441"/>
      <c r="V319" s="441"/>
      <c r="W319" s="441"/>
      <c r="X319" s="441"/>
      <c r="Y319" s="441"/>
      <c r="Z319" s="441"/>
      <c r="AA319" s="441"/>
      <c r="AB319" s="441"/>
      <c r="AC319" s="441"/>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1"/>
      <c r="AY319" s="441"/>
      <c r="AZ319" s="441"/>
      <c r="BA319" s="441"/>
    </row>
    <row r="320">
      <c r="A320" s="441"/>
      <c r="B320" s="441"/>
      <c r="C320" s="441"/>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1"/>
      <c r="AA320" s="441"/>
      <c r="AB320" s="441"/>
      <c r="AC320" s="441"/>
      <c r="AD320" s="441"/>
      <c r="AE320" s="441"/>
      <c r="AF320" s="441"/>
      <c r="AG320" s="441"/>
      <c r="AH320" s="441"/>
      <c r="AI320" s="441"/>
      <c r="AJ320" s="441"/>
      <c r="AK320" s="441"/>
      <c r="AL320" s="441"/>
      <c r="AM320" s="441"/>
      <c r="AN320" s="441"/>
      <c r="AO320" s="441"/>
      <c r="AP320" s="441"/>
      <c r="AQ320" s="441"/>
      <c r="AR320" s="441"/>
      <c r="AS320" s="441"/>
      <c r="AT320" s="441"/>
      <c r="AU320" s="441"/>
      <c r="AV320" s="441"/>
      <c r="AW320" s="441"/>
      <c r="AX320" s="441"/>
      <c r="AY320" s="441"/>
      <c r="AZ320" s="441"/>
      <c r="BA320" s="441"/>
    </row>
    <row r="321">
      <c r="A321" s="441"/>
      <c r="B321" s="441"/>
      <c r="C321" s="441"/>
      <c r="D321" s="441"/>
      <c r="E321" s="441"/>
      <c r="F321" s="441"/>
      <c r="G321" s="441"/>
      <c r="H321" s="441"/>
      <c r="I321" s="441"/>
      <c r="J321" s="441"/>
      <c r="K321" s="441"/>
      <c r="L321" s="441"/>
      <c r="M321" s="441"/>
      <c r="N321" s="441"/>
      <c r="O321" s="441"/>
      <c r="P321" s="441"/>
      <c r="Q321" s="441"/>
      <c r="R321" s="441"/>
      <c r="S321" s="441"/>
      <c r="T321" s="441"/>
      <c r="U321" s="441"/>
      <c r="V321" s="441"/>
      <c r="W321" s="441"/>
      <c r="X321" s="441"/>
      <c r="Y321" s="441"/>
      <c r="Z321" s="441"/>
      <c r="AA321" s="441"/>
      <c r="AB321" s="441"/>
      <c r="AC321" s="441"/>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1"/>
      <c r="AY321" s="441"/>
      <c r="AZ321" s="441"/>
      <c r="BA321" s="441"/>
    </row>
    <row r="322">
      <c r="A322" s="441"/>
      <c r="B322" s="441"/>
      <c r="C322" s="441"/>
      <c r="D322" s="441"/>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441"/>
      <c r="AZ322" s="441"/>
      <c r="BA322" s="441"/>
    </row>
    <row r="323">
      <c r="A323" s="441"/>
      <c r="B323" s="441"/>
      <c r="C323" s="441"/>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441"/>
      <c r="AZ323" s="441"/>
      <c r="BA323" s="441"/>
    </row>
    <row r="324">
      <c r="A324" s="441"/>
      <c r="B324" s="441"/>
      <c r="C324" s="441"/>
      <c r="D324" s="441"/>
      <c r="E324" s="441"/>
      <c r="F324" s="441"/>
      <c r="G324" s="441"/>
      <c r="H324" s="441"/>
      <c r="I324" s="441"/>
      <c r="J324" s="441"/>
      <c r="K324" s="441"/>
      <c r="L324" s="441"/>
      <c r="M324" s="441"/>
      <c r="N324" s="441"/>
      <c r="O324" s="441"/>
      <c r="P324" s="441"/>
      <c r="Q324" s="441"/>
      <c r="R324" s="441"/>
      <c r="S324" s="441"/>
      <c r="T324" s="441"/>
      <c r="U324" s="441"/>
      <c r="V324" s="441"/>
      <c r="W324" s="441"/>
      <c r="X324" s="441"/>
      <c r="Y324" s="441"/>
      <c r="Z324" s="441"/>
      <c r="AA324" s="441"/>
      <c r="AB324" s="441"/>
      <c r="AC324" s="441"/>
      <c r="AD324" s="441"/>
      <c r="AE324" s="441"/>
      <c r="AF324" s="441"/>
      <c r="AG324" s="441"/>
      <c r="AH324" s="441"/>
      <c r="AI324" s="441"/>
      <c r="AJ324" s="441"/>
      <c r="AK324" s="441"/>
      <c r="AL324" s="441"/>
      <c r="AM324" s="441"/>
      <c r="AN324" s="441"/>
      <c r="AO324" s="441"/>
      <c r="AP324" s="441"/>
      <c r="AQ324" s="441"/>
      <c r="AR324" s="441"/>
      <c r="AS324" s="441"/>
      <c r="AT324" s="441"/>
      <c r="AU324" s="441"/>
      <c r="AV324" s="441"/>
      <c r="AW324" s="441"/>
      <c r="AX324" s="441"/>
      <c r="AY324" s="441"/>
      <c r="AZ324" s="441"/>
      <c r="BA324" s="441"/>
    </row>
    <row r="325">
      <c r="A325" s="441"/>
      <c r="B325" s="441"/>
      <c r="C325" s="441"/>
      <c r="D325" s="441"/>
      <c r="E325" s="441"/>
      <c r="F325" s="441"/>
      <c r="G325" s="441"/>
      <c r="H325" s="441"/>
      <c r="I325" s="441"/>
      <c r="J325" s="441"/>
      <c r="K325" s="441"/>
      <c r="L325" s="441"/>
      <c r="M325" s="441"/>
      <c r="N325" s="441"/>
      <c r="O325" s="441"/>
      <c r="P325" s="441"/>
      <c r="Q325" s="441"/>
      <c r="R325" s="441"/>
      <c r="S325" s="441"/>
      <c r="T325" s="441"/>
      <c r="U325" s="441"/>
      <c r="V325" s="441"/>
      <c r="W325" s="441"/>
      <c r="X325" s="441"/>
      <c r="Y325" s="441"/>
      <c r="Z325" s="441"/>
      <c r="AA325" s="441"/>
      <c r="AB325" s="441"/>
      <c r="AC325" s="441"/>
      <c r="AD325" s="441"/>
      <c r="AE325" s="441"/>
      <c r="AF325" s="441"/>
      <c r="AG325" s="441"/>
      <c r="AH325" s="441"/>
      <c r="AI325" s="441"/>
      <c r="AJ325" s="441"/>
      <c r="AK325" s="441"/>
      <c r="AL325" s="441"/>
      <c r="AM325" s="441"/>
      <c r="AN325" s="441"/>
      <c r="AO325" s="441"/>
      <c r="AP325" s="441"/>
      <c r="AQ325" s="441"/>
      <c r="AR325" s="441"/>
      <c r="AS325" s="441"/>
      <c r="AT325" s="441"/>
      <c r="AU325" s="441"/>
      <c r="AV325" s="441"/>
      <c r="AW325" s="441"/>
      <c r="AX325" s="441"/>
      <c r="AY325" s="441"/>
      <c r="AZ325" s="441"/>
      <c r="BA325" s="441"/>
    </row>
    <row r="326">
      <c r="A326" s="441"/>
      <c r="B326" s="441"/>
      <c r="C326" s="441"/>
      <c r="D326" s="441"/>
      <c r="E326" s="441"/>
      <c r="F326" s="441"/>
      <c r="G326" s="441"/>
      <c r="H326" s="441"/>
      <c r="I326" s="441"/>
      <c r="J326" s="441"/>
      <c r="K326" s="441"/>
      <c r="L326" s="441"/>
      <c r="M326" s="441"/>
      <c r="N326" s="441"/>
      <c r="O326" s="441"/>
      <c r="P326" s="441"/>
      <c r="Q326" s="441"/>
      <c r="R326" s="441"/>
      <c r="S326" s="441"/>
      <c r="T326" s="441"/>
      <c r="U326" s="441"/>
      <c r="V326" s="441"/>
      <c r="W326" s="441"/>
      <c r="X326" s="441"/>
      <c r="Y326" s="441"/>
      <c r="Z326" s="441"/>
      <c r="AA326" s="441"/>
      <c r="AB326" s="441"/>
      <c r="AC326" s="441"/>
      <c r="AD326" s="441"/>
      <c r="AE326" s="441"/>
      <c r="AF326" s="441"/>
      <c r="AG326" s="441"/>
      <c r="AH326" s="441"/>
      <c r="AI326" s="441"/>
      <c r="AJ326" s="441"/>
      <c r="AK326" s="441"/>
      <c r="AL326" s="441"/>
      <c r="AM326" s="441"/>
      <c r="AN326" s="441"/>
      <c r="AO326" s="441"/>
      <c r="AP326" s="441"/>
      <c r="AQ326" s="441"/>
      <c r="AR326" s="441"/>
      <c r="AS326" s="441"/>
      <c r="AT326" s="441"/>
      <c r="AU326" s="441"/>
      <c r="AV326" s="441"/>
      <c r="AW326" s="441"/>
      <c r="AX326" s="441"/>
      <c r="AY326" s="441"/>
      <c r="AZ326" s="441"/>
      <c r="BA326" s="441"/>
    </row>
    <row r="327">
      <c r="A327" s="441"/>
      <c r="B327" s="441"/>
      <c r="C327" s="441"/>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1"/>
      <c r="AA327" s="441"/>
      <c r="AB327" s="441"/>
      <c r="AC327" s="441"/>
      <c r="AD327" s="441"/>
      <c r="AE327" s="441"/>
      <c r="AF327" s="441"/>
      <c r="AG327" s="441"/>
      <c r="AH327" s="441"/>
      <c r="AI327" s="441"/>
      <c r="AJ327" s="441"/>
      <c r="AK327" s="441"/>
      <c r="AL327" s="441"/>
      <c r="AM327" s="441"/>
      <c r="AN327" s="441"/>
      <c r="AO327" s="441"/>
      <c r="AP327" s="441"/>
      <c r="AQ327" s="441"/>
      <c r="AR327" s="441"/>
      <c r="AS327" s="441"/>
      <c r="AT327" s="441"/>
      <c r="AU327" s="441"/>
      <c r="AV327" s="441"/>
      <c r="AW327" s="441"/>
      <c r="AX327" s="441"/>
      <c r="AY327" s="441"/>
      <c r="AZ327" s="441"/>
      <c r="BA327" s="441"/>
    </row>
    <row r="328">
      <c r="A328" s="441"/>
      <c r="B328" s="441"/>
      <c r="C328" s="441"/>
      <c r="D328" s="441"/>
      <c r="E328" s="441"/>
      <c r="F328" s="441"/>
      <c r="G328" s="441"/>
      <c r="H328" s="441"/>
      <c r="I328" s="441"/>
      <c r="J328" s="441"/>
      <c r="K328" s="441"/>
      <c r="L328" s="441"/>
      <c r="M328" s="441"/>
      <c r="N328" s="441"/>
      <c r="O328" s="441"/>
      <c r="P328" s="441"/>
      <c r="Q328" s="441"/>
      <c r="R328" s="441"/>
      <c r="S328" s="441"/>
      <c r="T328" s="441"/>
      <c r="U328" s="441"/>
      <c r="V328" s="441"/>
      <c r="W328" s="441"/>
      <c r="X328" s="441"/>
      <c r="Y328" s="441"/>
      <c r="Z328" s="441"/>
      <c r="AA328" s="441"/>
      <c r="AB328" s="441"/>
      <c r="AC328" s="441"/>
      <c r="AD328" s="441"/>
      <c r="AE328" s="441"/>
      <c r="AF328" s="441"/>
      <c r="AG328" s="441"/>
      <c r="AH328" s="441"/>
      <c r="AI328" s="441"/>
      <c r="AJ328" s="441"/>
      <c r="AK328" s="441"/>
      <c r="AL328" s="441"/>
      <c r="AM328" s="441"/>
      <c r="AN328" s="441"/>
      <c r="AO328" s="441"/>
      <c r="AP328" s="441"/>
      <c r="AQ328" s="441"/>
      <c r="AR328" s="441"/>
      <c r="AS328" s="441"/>
      <c r="AT328" s="441"/>
      <c r="AU328" s="441"/>
      <c r="AV328" s="441"/>
      <c r="AW328" s="441"/>
      <c r="AX328" s="441"/>
      <c r="AY328" s="441"/>
      <c r="AZ328" s="441"/>
      <c r="BA328" s="441"/>
    </row>
    <row r="329">
      <c r="A329" s="441"/>
      <c r="B329" s="441"/>
      <c r="C329" s="441"/>
      <c r="D329" s="441"/>
      <c r="E329" s="441"/>
      <c r="F329" s="441"/>
      <c r="G329" s="441"/>
      <c r="H329" s="441"/>
      <c r="I329" s="441"/>
      <c r="J329" s="441"/>
      <c r="K329" s="441"/>
      <c r="L329" s="441"/>
      <c r="M329" s="441"/>
      <c r="N329" s="441"/>
      <c r="O329" s="441"/>
      <c r="P329" s="441"/>
      <c r="Q329" s="441"/>
      <c r="R329" s="441"/>
      <c r="S329" s="441"/>
      <c r="T329" s="441"/>
      <c r="U329" s="441"/>
      <c r="V329" s="441"/>
      <c r="W329" s="441"/>
      <c r="X329" s="441"/>
      <c r="Y329" s="441"/>
      <c r="Z329" s="441"/>
      <c r="AA329" s="441"/>
      <c r="AB329" s="441"/>
      <c r="AC329" s="441"/>
      <c r="AD329" s="441"/>
      <c r="AE329" s="441"/>
      <c r="AF329" s="441"/>
      <c r="AG329" s="441"/>
      <c r="AH329" s="441"/>
      <c r="AI329" s="441"/>
      <c r="AJ329" s="441"/>
      <c r="AK329" s="441"/>
      <c r="AL329" s="441"/>
      <c r="AM329" s="441"/>
      <c r="AN329" s="441"/>
      <c r="AO329" s="441"/>
      <c r="AP329" s="441"/>
      <c r="AQ329" s="441"/>
      <c r="AR329" s="441"/>
      <c r="AS329" s="441"/>
      <c r="AT329" s="441"/>
      <c r="AU329" s="441"/>
      <c r="AV329" s="441"/>
      <c r="AW329" s="441"/>
      <c r="AX329" s="441"/>
      <c r="AY329" s="441"/>
      <c r="AZ329" s="441"/>
      <c r="BA329" s="441"/>
    </row>
    <row r="330">
      <c r="A330" s="441"/>
      <c r="B330" s="441"/>
      <c r="C330" s="441"/>
      <c r="D330" s="441"/>
      <c r="E330" s="441"/>
      <c r="F330" s="441"/>
      <c r="G330" s="441"/>
      <c r="H330" s="441"/>
      <c r="I330" s="441"/>
      <c r="J330" s="441"/>
      <c r="K330" s="441"/>
      <c r="L330" s="441"/>
      <c r="M330" s="441"/>
      <c r="N330" s="441"/>
      <c r="O330" s="441"/>
      <c r="P330" s="441"/>
      <c r="Q330" s="441"/>
      <c r="R330" s="441"/>
      <c r="S330" s="441"/>
      <c r="T330" s="441"/>
      <c r="U330" s="441"/>
      <c r="V330" s="441"/>
      <c r="W330" s="441"/>
      <c r="X330" s="441"/>
      <c r="Y330" s="441"/>
      <c r="Z330" s="441"/>
      <c r="AA330" s="441"/>
      <c r="AB330" s="441"/>
      <c r="AC330" s="441"/>
      <c r="AD330" s="441"/>
      <c r="AE330" s="441"/>
      <c r="AF330" s="441"/>
      <c r="AG330" s="441"/>
      <c r="AH330" s="441"/>
      <c r="AI330" s="441"/>
      <c r="AJ330" s="441"/>
      <c r="AK330" s="441"/>
      <c r="AL330" s="441"/>
      <c r="AM330" s="441"/>
      <c r="AN330" s="441"/>
      <c r="AO330" s="441"/>
      <c r="AP330" s="441"/>
      <c r="AQ330" s="441"/>
      <c r="AR330" s="441"/>
      <c r="AS330" s="441"/>
      <c r="AT330" s="441"/>
      <c r="AU330" s="441"/>
      <c r="AV330" s="441"/>
      <c r="AW330" s="441"/>
      <c r="AX330" s="441"/>
      <c r="AY330" s="441"/>
      <c r="AZ330" s="441"/>
      <c r="BA330" s="441"/>
    </row>
    <row r="331">
      <c r="A331" s="441"/>
      <c r="B331" s="441"/>
      <c r="C331" s="441"/>
      <c r="D331" s="441"/>
      <c r="E331" s="441"/>
      <c r="F331" s="441"/>
      <c r="G331" s="441"/>
      <c r="H331" s="441"/>
      <c r="I331" s="441"/>
      <c r="J331" s="441"/>
      <c r="K331" s="441"/>
      <c r="L331" s="441"/>
      <c r="M331" s="441"/>
      <c r="N331" s="441"/>
      <c r="O331" s="441"/>
      <c r="P331" s="441"/>
      <c r="Q331" s="441"/>
      <c r="R331" s="441"/>
      <c r="S331" s="441"/>
      <c r="T331" s="441"/>
      <c r="U331" s="441"/>
      <c r="V331" s="441"/>
      <c r="W331" s="441"/>
      <c r="X331" s="441"/>
      <c r="Y331" s="441"/>
      <c r="Z331" s="441"/>
      <c r="AA331" s="441"/>
      <c r="AB331" s="441"/>
      <c r="AC331" s="441"/>
      <c r="AD331" s="441"/>
      <c r="AE331" s="441"/>
      <c r="AF331" s="441"/>
      <c r="AG331" s="441"/>
      <c r="AH331" s="441"/>
      <c r="AI331" s="441"/>
      <c r="AJ331" s="441"/>
      <c r="AK331" s="441"/>
      <c r="AL331" s="441"/>
      <c r="AM331" s="441"/>
      <c r="AN331" s="441"/>
      <c r="AO331" s="441"/>
      <c r="AP331" s="441"/>
      <c r="AQ331" s="441"/>
      <c r="AR331" s="441"/>
      <c r="AS331" s="441"/>
      <c r="AT331" s="441"/>
      <c r="AU331" s="441"/>
      <c r="AV331" s="441"/>
      <c r="AW331" s="441"/>
      <c r="AX331" s="441"/>
      <c r="AY331" s="441"/>
      <c r="AZ331" s="441"/>
      <c r="BA331" s="441"/>
    </row>
    <row r="332">
      <c r="A332" s="441"/>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1"/>
      <c r="AL332" s="441"/>
      <c r="AM332" s="441"/>
      <c r="AN332" s="441"/>
      <c r="AO332" s="441"/>
      <c r="AP332" s="441"/>
      <c r="AQ332" s="441"/>
      <c r="AR332" s="441"/>
      <c r="AS332" s="441"/>
      <c r="AT332" s="441"/>
      <c r="AU332" s="441"/>
      <c r="AV332" s="441"/>
      <c r="AW332" s="441"/>
      <c r="AX332" s="441"/>
      <c r="AY332" s="441"/>
      <c r="AZ332" s="441"/>
      <c r="BA332" s="441"/>
    </row>
    <row r="333">
      <c r="A333" s="441"/>
      <c r="B333" s="441"/>
      <c r="C333" s="441"/>
      <c r="D333" s="441"/>
      <c r="E333" s="441"/>
      <c r="F333" s="441"/>
      <c r="G333" s="441"/>
      <c r="H333" s="441"/>
      <c r="I333" s="441"/>
      <c r="J333" s="441"/>
      <c r="K333" s="441"/>
      <c r="L333" s="441"/>
      <c r="M333" s="441"/>
      <c r="N333" s="441"/>
      <c r="O333" s="441"/>
      <c r="P333" s="441"/>
      <c r="Q333" s="441"/>
      <c r="R333" s="441"/>
      <c r="S333" s="441"/>
      <c r="T333" s="441"/>
      <c r="U333" s="441"/>
      <c r="V333" s="441"/>
      <c r="W333" s="441"/>
      <c r="X333" s="441"/>
      <c r="Y333" s="441"/>
      <c r="Z333" s="441"/>
      <c r="AA333" s="441"/>
      <c r="AB333" s="441"/>
      <c r="AC333" s="441"/>
      <c r="AD333" s="441"/>
      <c r="AE333" s="441"/>
      <c r="AF333" s="441"/>
      <c r="AG333" s="441"/>
      <c r="AH333" s="441"/>
      <c r="AI333" s="441"/>
      <c r="AJ333" s="441"/>
      <c r="AK333" s="441"/>
      <c r="AL333" s="441"/>
      <c r="AM333" s="441"/>
      <c r="AN333" s="441"/>
      <c r="AO333" s="441"/>
      <c r="AP333" s="441"/>
      <c r="AQ333" s="441"/>
      <c r="AR333" s="441"/>
      <c r="AS333" s="441"/>
      <c r="AT333" s="441"/>
      <c r="AU333" s="441"/>
      <c r="AV333" s="441"/>
      <c r="AW333" s="441"/>
      <c r="AX333" s="441"/>
      <c r="AY333" s="441"/>
      <c r="AZ333" s="441"/>
      <c r="BA333" s="441"/>
    </row>
    <row r="334">
      <c r="A334" s="441"/>
      <c r="B334" s="441"/>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1"/>
      <c r="AA334" s="441"/>
      <c r="AB334" s="441"/>
      <c r="AC334" s="441"/>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1"/>
      <c r="AY334" s="441"/>
      <c r="AZ334" s="441"/>
      <c r="BA334" s="441"/>
    </row>
    <row r="335">
      <c r="A335" s="441"/>
      <c r="B335" s="441"/>
      <c r="C335" s="441"/>
      <c r="D335" s="441"/>
      <c r="E335" s="441"/>
      <c r="F335" s="441"/>
      <c r="G335" s="441"/>
      <c r="H335" s="441"/>
      <c r="I335" s="441"/>
      <c r="J335" s="441"/>
      <c r="K335" s="441"/>
      <c r="L335" s="441"/>
      <c r="M335" s="441"/>
      <c r="N335" s="441"/>
      <c r="O335" s="441"/>
      <c r="P335" s="441"/>
      <c r="Q335" s="441"/>
      <c r="R335" s="441"/>
      <c r="S335" s="441"/>
      <c r="T335" s="441"/>
      <c r="U335" s="441"/>
      <c r="V335" s="441"/>
      <c r="W335" s="441"/>
      <c r="X335" s="441"/>
      <c r="Y335" s="441"/>
      <c r="Z335" s="441"/>
      <c r="AA335" s="441"/>
      <c r="AB335" s="441"/>
      <c r="AC335" s="441"/>
      <c r="AD335" s="441"/>
      <c r="AE335" s="441"/>
      <c r="AF335" s="441"/>
      <c r="AG335" s="441"/>
      <c r="AH335" s="441"/>
      <c r="AI335" s="441"/>
      <c r="AJ335" s="441"/>
      <c r="AK335" s="441"/>
      <c r="AL335" s="441"/>
      <c r="AM335" s="441"/>
      <c r="AN335" s="441"/>
      <c r="AO335" s="441"/>
      <c r="AP335" s="441"/>
      <c r="AQ335" s="441"/>
      <c r="AR335" s="441"/>
      <c r="AS335" s="441"/>
      <c r="AT335" s="441"/>
      <c r="AU335" s="441"/>
      <c r="AV335" s="441"/>
      <c r="AW335" s="441"/>
      <c r="AX335" s="441"/>
      <c r="AY335" s="441"/>
      <c r="AZ335" s="441"/>
      <c r="BA335" s="441"/>
    </row>
    <row r="336">
      <c r="A336" s="441"/>
      <c r="B336" s="441"/>
      <c r="C336" s="441"/>
      <c r="D336" s="441"/>
      <c r="E336" s="441"/>
      <c r="F336" s="441"/>
      <c r="G336" s="441"/>
      <c r="H336" s="441"/>
      <c r="I336" s="441"/>
      <c r="J336" s="441"/>
      <c r="K336" s="441"/>
      <c r="L336" s="441"/>
      <c r="M336" s="441"/>
      <c r="N336" s="441"/>
      <c r="O336" s="441"/>
      <c r="P336" s="441"/>
      <c r="Q336" s="441"/>
      <c r="R336" s="441"/>
      <c r="S336" s="441"/>
      <c r="T336" s="441"/>
      <c r="U336" s="441"/>
      <c r="V336" s="441"/>
      <c r="W336" s="441"/>
      <c r="X336" s="441"/>
      <c r="Y336" s="441"/>
      <c r="Z336" s="441"/>
      <c r="AA336" s="441"/>
      <c r="AB336" s="441"/>
      <c r="AC336" s="441"/>
      <c r="AD336" s="441"/>
      <c r="AE336" s="441"/>
      <c r="AF336" s="441"/>
      <c r="AG336" s="441"/>
      <c r="AH336" s="441"/>
      <c r="AI336" s="441"/>
      <c r="AJ336" s="441"/>
      <c r="AK336" s="441"/>
      <c r="AL336" s="441"/>
      <c r="AM336" s="441"/>
      <c r="AN336" s="441"/>
      <c r="AO336" s="441"/>
      <c r="AP336" s="441"/>
      <c r="AQ336" s="441"/>
      <c r="AR336" s="441"/>
      <c r="AS336" s="441"/>
      <c r="AT336" s="441"/>
      <c r="AU336" s="441"/>
      <c r="AV336" s="441"/>
      <c r="AW336" s="441"/>
      <c r="AX336" s="441"/>
      <c r="AY336" s="441"/>
      <c r="AZ336" s="441"/>
      <c r="BA336" s="441"/>
    </row>
    <row r="337">
      <c r="A337" s="441"/>
      <c r="B337" s="441"/>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1"/>
      <c r="AA337" s="441"/>
      <c r="AB337" s="441"/>
      <c r="AC337" s="441"/>
      <c r="AD337" s="441"/>
      <c r="AE337" s="441"/>
      <c r="AF337" s="441"/>
      <c r="AG337" s="441"/>
      <c r="AH337" s="441"/>
      <c r="AI337" s="441"/>
      <c r="AJ337" s="441"/>
      <c r="AK337" s="441"/>
      <c r="AL337" s="441"/>
      <c r="AM337" s="441"/>
      <c r="AN337" s="441"/>
      <c r="AO337" s="441"/>
      <c r="AP337" s="441"/>
      <c r="AQ337" s="441"/>
      <c r="AR337" s="441"/>
      <c r="AS337" s="441"/>
      <c r="AT337" s="441"/>
      <c r="AU337" s="441"/>
      <c r="AV337" s="441"/>
      <c r="AW337" s="441"/>
      <c r="AX337" s="441"/>
      <c r="AY337" s="441"/>
      <c r="AZ337" s="441"/>
      <c r="BA337" s="441"/>
    </row>
    <row r="338">
      <c r="A338" s="441"/>
      <c r="B338" s="441"/>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c r="AA338" s="441"/>
      <c r="AB338" s="441"/>
      <c r="AC338" s="441"/>
      <c r="AD338" s="441"/>
      <c r="AE338" s="441"/>
      <c r="AF338" s="441"/>
      <c r="AG338" s="441"/>
      <c r="AH338" s="441"/>
      <c r="AI338" s="441"/>
      <c r="AJ338" s="441"/>
      <c r="AK338" s="441"/>
      <c r="AL338" s="441"/>
      <c r="AM338" s="441"/>
      <c r="AN338" s="441"/>
      <c r="AO338" s="441"/>
      <c r="AP338" s="441"/>
      <c r="AQ338" s="441"/>
      <c r="AR338" s="441"/>
      <c r="AS338" s="441"/>
      <c r="AT338" s="441"/>
      <c r="AU338" s="441"/>
      <c r="AV338" s="441"/>
      <c r="AW338" s="441"/>
      <c r="AX338" s="441"/>
      <c r="AY338" s="441"/>
      <c r="AZ338" s="441"/>
      <c r="BA338" s="441"/>
    </row>
    <row r="339">
      <c r="A339" s="441"/>
      <c r="B339" s="441"/>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441"/>
      <c r="AZ339" s="441"/>
      <c r="BA339" s="441"/>
    </row>
    <row r="340">
      <c r="A340" s="441"/>
      <c r="B340" s="441"/>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441"/>
      <c r="AZ340" s="441"/>
      <c r="BA340" s="441"/>
    </row>
    <row r="341">
      <c r="A341" s="441"/>
      <c r="B341" s="441"/>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c r="AA341" s="441"/>
      <c r="AB341" s="441"/>
      <c r="AC341" s="441"/>
      <c r="AD341" s="441"/>
      <c r="AE341" s="441"/>
      <c r="AF341" s="441"/>
      <c r="AG341" s="441"/>
      <c r="AH341" s="441"/>
      <c r="AI341" s="441"/>
      <c r="AJ341" s="441"/>
      <c r="AK341" s="441"/>
      <c r="AL341" s="441"/>
      <c r="AM341" s="441"/>
      <c r="AN341" s="441"/>
      <c r="AO341" s="441"/>
      <c r="AP341" s="441"/>
      <c r="AQ341" s="441"/>
      <c r="AR341" s="441"/>
      <c r="AS341" s="441"/>
      <c r="AT341" s="441"/>
      <c r="AU341" s="441"/>
      <c r="AV341" s="441"/>
      <c r="AW341" s="441"/>
      <c r="AX341" s="441"/>
      <c r="AY341" s="441"/>
      <c r="AZ341" s="441"/>
      <c r="BA341" s="441"/>
    </row>
    <row r="342">
      <c r="A342" s="441"/>
      <c r="B342" s="441"/>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c r="AA342" s="441"/>
      <c r="AB342" s="441"/>
      <c r="AC342" s="441"/>
      <c r="AD342" s="441"/>
      <c r="AE342" s="441"/>
      <c r="AF342" s="441"/>
      <c r="AG342" s="441"/>
      <c r="AH342" s="441"/>
      <c r="AI342" s="441"/>
      <c r="AJ342" s="441"/>
      <c r="AK342" s="441"/>
      <c r="AL342" s="441"/>
      <c r="AM342" s="441"/>
      <c r="AN342" s="441"/>
      <c r="AO342" s="441"/>
      <c r="AP342" s="441"/>
      <c r="AQ342" s="441"/>
      <c r="AR342" s="441"/>
      <c r="AS342" s="441"/>
      <c r="AT342" s="441"/>
      <c r="AU342" s="441"/>
      <c r="AV342" s="441"/>
      <c r="AW342" s="441"/>
      <c r="AX342" s="441"/>
      <c r="AY342" s="441"/>
      <c r="AZ342" s="441"/>
      <c r="BA342" s="441"/>
    </row>
    <row r="343">
      <c r="A343" s="441"/>
      <c r="B343" s="441"/>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c r="AA343" s="441"/>
      <c r="AB343" s="441"/>
      <c r="AC343" s="441"/>
      <c r="AD343" s="441"/>
      <c r="AE343" s="441"/>
      <c r="AF343" s="441"/>
      <c r="AG343" s="441"/>
      <c r="AH343" s="441"/>
      <c r="AI343" s="441"/>
      <c r="AJ343" s="441"/>
      <c r="AK343" s="441"/>
      <c r="AL343" s="441"/>
      <c r="AM343" s="441"/>
      <c r="AN343" s="441"/>
      <c r="AO343" s="441"/>
      <c r="AP343" s="441"/>
      <c r="AQ343" s="441"/>
      <c r="AR343" s="441"/>
      <c r="AS343" s="441"/>
      <c r="AT343" s="441"/>
      <c r="AU343" s="441"/>
      <c r="AV343" s="441"/>
      <c r="AW343" s="441"/>
      <c r="AX343" s="441"/>
      <c r="AY343" s="441"/>
      <c r="AZ343" s="441"/>
      <c r="BA343" s="441"/>
    </row>
    <row r="344">
      <c r="A344" s="441"/>
      <c r="B344" s="441"/>
      <c r="C344" s="441"/>
      <c r="D344" s="441"/>
      <c r="E344" s="441"/>
      <c r="F344" s="441"/>
      <c r="G344" s="441"/>
      <c r="H344" s="441"/>
      <c r="I344" s="441"/>
      <c r="J344" s="441"/>
      <c r="K344" s="441"/>
      <c r="L344" s="441"/>
      <c r="M344" s="441"/>
      <c r="N344" s="441"/>
      <c r="O344" s="441"/>
      <c r="P344" s="441"/>
      <c r="Q344" s="441"/>
      <c r="R344" s="441"/>
      <c r="S344" s="441"/>
      <c r="T344" s="441"/>
      <c r="U344" s="441"/>
      <c r="V344" s="441"/>
      <c r="W344" s="441"/>
      <c r="X344" s="441"/>
      <c r="Y344" s="441"/>
      <c r="Z344" s="441"/>
      <c r="AA344" s="441"/>
      <c r="AB344" s="441"/>
      <c r="AC344" s="441"/>
      <c r="AD344" s="441"/>
      <c r="AE344" s="441"/>
      <c r="AF344" s="441"/>
      <c r="AG344" s="441"/>
      <c r="AH344" s="441"/>
      <c r="AI344" s="441"/>
      <c r="AJ344" s="441"/>
      <c r="AK344" s="441"/>
      <c r="AL344" s="441"/>
      <c r="AM344" s="441"/>
      <c r="AN344" s="441"/>
      <c r="AO344" s="441"/>
      <c r="AP344" s="441"/>
      <c r="AQ344" s="441"/>
      <c r="AR344" s="441"/>
      <c r="AS344" s="441"/>
      <c r="AT344" s="441"/>
      <c r="AU344" s="441"/>
      <c r="AV344" s="441"/>
      <c r="AW344" s="441"/>
      <c r="AX344" s="441"/>
      <c r="AY344" s="441"/>
      <c r="AZ344" s="441"/>
      <c r="BA344" s="441"/>
    </row>
    <row r="345">
      <c r="A345" s="441"/>
      <c r="B345" s="441"/>
      <c r="C345" s="441"/>
      <c r="D345" s="441"/>
      <c r="E345" s="441"/>
      <c r="F345" s="441"/>
      <c r="G345" s="441"/>
      <c r="H345" s="441"/>
      <c r="I345" s="441"/>
      <c r="J345" s="441"/>
      <c r="K345" s="441"/>
      <c r="L345" s="441"/>
      <c r="M345" s="441"/>
      <c r="N345" s="441"/>
      <c r="O345" s="441"/>
      <c r="P345" s="441"/>
      <c r="Q345" s="441"/>
      <c r="R345" s="441"/>
      <c r="S345" s="441"/>
      <c r="T345" s="441"/>
      <c r="U345" s="441"/>
      <c r="V345" s="441"/>
      <c r="W345" s="441"/>
      <c r="X345" s="441"/>
      <c r="Y345" s="441"/>
      <c r="Z345" s="441"/>
      <c r="AA345" s="441"/>
      <c r="AB345" s="441"/>
      <c r="AC345" s="441"/>
      <c r="AD345" s="441"/>
      <c r="AE345" s="441"/>
      <c r="AF345" s="441"/>
      <c r="AG345" s="441"/>
      <c r="AH345" s="441"/>
      <c r="AI345" s="441"/>
      <c r="AJ345" s="441"/>
      <c r="AK345" s="441"/>
      <c r="AL345" s="441"/>
      <c r="AM345" s="441"/>
      <c r="AN345" s="441"/>
      <c r="AO345" s="441"/>
      <c r="AP345" s="441"/>
      <c r="AQ345" s="441"/>
      <c r="AR345" s="441"/>
      <c r="AS345" s="441"/>
      <c r="AT345" s="441"/>
      <c r="AU345" s="441"/>
      <c r="AV345" s="441"/>
      <c r="AW345" s="441"/>
      <c r="AX345" s="441"/>
      <c r="AY345" s="441"/>
      <c r="AZ345" s="441"/>
      <c r="BA345" s="441"/>
    </row>
    <row r="346">
      <c r="A346" s="441"/>
      <c r="B346" s="441"/>
      <c r="C346" s="441"/>
      <c r="D346" s="441"/>
      <c r="E346" s="441"/>
      <c r="F346" s="441"/>
      <c r="G346" s="441"/>
      <c r="H346" s="441"/>
      <c r="I346" s="441"/>
      <c r="J346" s="441"/>
      <c r="K346" s="441"/>
      <c r="L346" s="441"/>
      <c r="M346" s="441"/>
      <c r="N346" s="441"/>
      <c r="O346" s="441"/>
      <c r="P346" s="441"/>
      <c r="Q346" s="441"/>
      <c r="R346" s="441"/>
      <c r="S346" s="441"/>
      <c r="T346" s="441"/>
      <c r="U346" s="441"/>
      <c r="V346" s="441"/>
      <c r="W346" s="441"/>
      <c r="X346" s="441"/>
      <c r="Y346" s="441"/>
      <c r="Z346" s="441"/>
      <c r="AA346" s="441"/>
      <c r="AB346" s="441"/>
      <c r="AC346" s="441"/>
      <c r="AD346" s="441"/>
      <c r="AE346" s="441"/>
      <c r="AF346" s="441"/>
      <c r="AG346" s="441"/>
      <c r="AH346" s="441"/>
      <c r="AI346" s="441"/>
      <c r="AJ346" s="441"/>
      <c r="AK346" s="441"/>
      <c r="AL346" s="441"/>
      <c r="AM346" s="441"/>
      <c r="AN346" s="441"/>
      <c r="AO346" s="441"/>
      <c r="AP346" s="441"/>
      <c r="AQ346" s="441"/>
      <c r="AR346" s="441"/>
      <c r="AS346" s="441"/>
      <c r="AT346" s="441"/>
      <c r="AU346" s="441"/>
      <c r="AV346" s="441"/>
      <c r="AW346" s="441"/>
      <c r="AX346" s="441"/>
      <c r="AY346" s="441"/>
      <c r="AZ346" s="441"/>
      <c r="BA346" s="441"/>
    </row>
    <row r="347">
      <c r="A347" s="441"/>
      <c r="B347" s="441"/>
      <c r="C347" s="441"/>
      <c r="D347" s="441"/>
      <c r="E347" s="441"/>
      <c r="F347" s="441"/>
      <c r="G347" s="441"/>
      <c r="H347" s="441"/>
      <c r="I347" s="441"/>
      <c r="J347" s="441"/>
      <c r="K347" s="441"/>
      <c r="L347" s="441"/>
      <c r="M347" s="441"/>
      <c r="N347" s="441"/>
      <c r="O347" s="441"/>
      <c r="P347" s="441"/>
      <c r="Q347" s="441"/>
      <c r="R347" s="441"/>
      <c r="S347" s="441"/>
      <c r="T347" s="441"/>
      <c r="U347" s="441"/>
      <c r="V347" s="441"/>
      <c r="W347" s="441"/>
      <c r="X347" s="441"/>
      <c r="Y347" s="441"/>
      <c r="Z347" s="441"/>
      <c r="AA347" s="441"/>
      <c r="AB347" s="441"/>
      <c r="AC347" s="441"/>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1"/>
      <c r="AY347" s="441"/>
      <c r="AZ347" s="441"/>
      <c r="BA347" s="441"/>
    </row>
    <row r="348">
      <c r="A348" s="441"/>
      <c r="B348" s="441"/>
      <c r="C348" s="441"/>
      <c r="D348" s="441"/>
      <c r="E348" s="441"/>
      <c r="F348" s="441"/>
      <c r="G348" s="441"/>
      <c r="H348" s="441"/>
      <c r="I348" s="441"/>
      <c r="J348" s="441"/>
      <c r="K348" s="441"/>
      <c r="L348" s="441"/>
      <c r="M348" s="441"/>
      <c r="N348" s="441"/>
      <c r="O348" s="441"/>
      <c r="P348" s="441"/>
      <c r="Q348" s="441"/>
      <c r="R348" s="441"/>
      <c r="S348" s="441"/>
      <c r="T348" s="441"/>
      <c r="U348" s="441"/>
      <c r="V348" s="441"/>
      <c r="W348" s="441"/>
      <c r="X348" s="441"/>
      <c r="Y348" s="441"/>
      <c r="Z348" s="441"/>
      <c r="AA348" s="441"/>
      <c r="AB348" s="441"/>
      <c r="AC348" s="441"/>
      <c r="AD348" s="441"/>
      <c r="AE348" s="441"/>
      <c r="AF348" s="441"/>
      <c r="AG348" s="441"/>
      <c r="AH348" s="441"/>
      <c r="AI348" s="441"/>
      <c r="AJ348" s="441"/>
      <c r="AK348" s="441"/>
      <c r="AL348" s="441"/>
      <c r="AM348" s="441"/>
      <c r="AN348" s="441"/>
      <c r="AO348" s="441"/>
      <c r="AP348" s="441"/>
      <c r="AQ348" s="441"/>
      <c r="AR348" s="441"/>
      <c r="AS348" s="441"/>
      <c r="AT348" s="441"/>
      <c r="AU348" s="441"/>
      <c r="AV348" s="441"/>
      <c r="AW348" s="441"/>
      <c r="AX348" s="441"/>
      <c r="AY348" s="441"/>
      <c r="AZ348" s="441"/>
      <c r="BA348" s="441"/>
    </row>
    <row r="349">
      <c r="A349" s="441"/>
      <c r="B349" s="441"/>
      <c r="C349" s="441"/>
      <c r="D349" s="441"/>
      <c r="E349" s="441"/>
      <c r="F349" s="441"/>
      <c r="G349" s="441"/>
      <c r="H349" s="441"/>
      <c r="I349" s="441"/>
      <c r="J349" s="441"/>
      <c r="K349" s="441"/>
      <c r="L349" s="441"/>
      <c r="M349" s="441"/>
      <c r="N349" s="441"/>
      <c r="O349" s="441"/>
      <c r="P349" s="441"/>
      <c r="Q349" s="441"/>
      <c r="R349" s="441"/>
      <c r="S349" s="441"/>
      <c r="T349" s="441"/>
      <c r="U349" s="441"/>
      <c r="V349" s="441"/>
      <c r="W349" s="441"/>
      <c r="X349" s="441"/>
      <c r="Y349" s="441"/>
      <c r="Z349" s="441"/>
      <c r="AA349" s="441"/>
      <c r="AB349" s="441"/>
      <c r="AC349" s="441"/>
      <c r="AD349" s="441"/>
      <c r="AE349" s="441"/>
      <c r="AF349" s="441"/>
      <c r="AG349" s="441"/>
      <c r="AH349" s="441"/>
      <c r="AI349" s="441"/>
      <c r="AJ349" s="441"/>
      <c r="AK349" s="441"/>
      <c r="AL349" s="441"/>
      <c r="AM349" s="441"/>
      <c r="AN349" s="441"/>
      <c r="AO349" s="441"/>
      <c r="AP349" s="441"/>
      <c r="AQ349" s="441"/>
      <c r="AR349" s="441"/>
      <c r="AS349" s="441"/>
      <c r="AT349" s="441"/>
      <c r="AU349" s="441"/>
      <c r="AV349" s="441"/>
      <c r="AW349" s="441"/>
      <c r="AX349" s="441"/>
      <c r="AY349" s="441"/>
      <c r="AZ349" s="441"/>
      <c r="BA349" s="441"/>
    </row>
    <row r="350">
      <c r="A350" s="441"/>
      <c r="B350" s="441"/>
      <c r="C350" s="441"/>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1"/>
      <c r="AA350" s="441"/>
      <c r="AB350" s="441"/>
      <c r="AC350" s="441"/>
      <c r="AD350" s="441"/>
      <c r="AE350" s="441"/>
      <c r="AF350" s="441"/>
      <c r="AG350" s="441"/>
      <c r="AH350" s="441"/>
      <c r="AI350" s="441"/>
      <c r="AJ350" s="441"/>
      <c r="AK350" s="441"/>
      <c r="AL350" s="441"/>
      <c r="AM350" s="441"/>
      <c r="AN350" s="441"/>
      <c r="AO350" s="441"/>
      <c r="AP350" s="441"/>
      <c r="AQ350" s="441"/>
      <c r="AR350" s="441"/>
      <c r="AS350" s="441"/>
      <c r="AT350" s="441"/>
      <c r="AU350" s="441"/>
      <c r="AV350" s="441"/>
      <c r="AW350" s="441"/>
      <c r="AX350" s="441"/>
      <c r="AY350" s="441"/>
      <c r="AZ350" s="441"/>
      <c r="BA350" s="441"/>
    </row>
    <row r="351">
      <c r="A351" s="441"/>
      <c r="B351" s="441"/>
      <c r="C351" s="441"/>
      <c r="D351" s="441"/>
      <c r="E351" s="441"/>
      <c r="F351" s="441"/>
      <c r="G351" s="441"/>
      <c r="H351" s="441"/>
      <c r="I351" s="441"/>
      <c r="J351" s="441"/>
      <c r="K351" s="441"/>
      <c r="L351" s="441"/>
      <c r="M351" s="441"/>
      <c r="N351" s="441"/>
      <c r="O351" s="441"/>
      <c r="P351" s="441"/>
      <c r="Q351" s="441"/>
      <c r="R351" s="441"/>
      <c r="S351" s="441"/>
      <c r="T351" s="441"/>
      <c r="U351" s="441"/>
      <c r="V351" s="441"/>
      <c r="W351" s="441"/>
      <c r="X351" s="441"/>
      <c r="Y351" s="441"/>
      <c r="Z351" s="441"/>
      <c r="AA351" s="441"/>
      <c r="AB351" s="441"/>
      <c r="AC351" s="441"/>
      <c r="AD351" s="441"/>
      <c r="AE351" s="441"/>
      <c r="AF351" s="441"/>
      <c r="AG351" s="441"/>
      <c r="AH351" s="441"/>
      <c r="AI351" s="441"/>
      <c r="AJ351" s="441"/>
      <c r="AK351" s="441"/>
      <c r="AL351" s="441"/>
      <c r="AM351" s="441"/>
      <c r="AN351" s="441"/>
      <c r="AO351" s="441"/>
      <c r="AP351" s="441"/>
      <c r="AQ351" s="441"/>
      <c r="AR351" s="441"/>
      <c r="AS351" s="441"/>
      <c r="AT351" s="441"/>
      <c r="AU351" s="441"/>
      <c r="AV351" s="441"/>
      <c r="AW351" s="441"/>
      <c r="AX351" s="441"/>
      <c r="AY351" s="441"/>
      <c r="AZ351" s="441"/>
      <c r="BA351" s="441"/>
    </row>
    <row r="352">
      <c r="A352" s="441"/>
      <c r="B352" s="441"/>
      <c r="C352" s="441"/>
      <c r="D352" s="441"/>
      <c r="E352" s="441"/>
      <c r="F352" s="441"/>
      <c r="G352" s="441"/>
      <c r="H352" s="441"/>
      <c r="I352" s="441"/>
      <c r="J352" s="441"/>
      <c r="K352" s="441"/>
      <c r="L352" s="441"/>
      <c r="M352" s="441"/>
      <c r="N352" s="441"/>
      <c r="O352" s="441"/>
      <c r="P352" s="441"/>
      <c r="Q352" s="441"/>
      <c r="R352" s="441"/>
      <c r="S352" s="441"/>
      <c r="T352" s="441"/>
      <c r="U352" s="441"/>
      <c r="V352" s="441"/>
      <c r="W352" s="441"/>
      <c r="X352" s="441"/>
      <c r="Y352" s="441"/>
      <c r="Z352" s="441"/>
      <c r="AA352" s="441"/>
      <c r="AB352" s="441"/>
      <c r="AC352" s="441"/>
      <c r="AD352" s="441"/>
      <c r="AE352" s="441"/>
      <c r="AF352" s="441"/>
      <c r="AG352" s="441"/>
      <c r="AH352" s="441"/>
      <c r="AI352" s="441"/>
      <c r="AJ352" s="441"/>
      <c r="AK352" s="441"/>
      <c r="AL352" s="441"/>
      <c r="AM352" s="441"/>
      <c r="AN352" s="441"/>
      <c r="AO352" s="441"/>
      <c r="AP352" s="441"/>
      <c r="AQ352" s="441"/>
      <c r="AR352" s="441"/>
      <c r="AS352" s="441"/>
      <c r="AT352" s="441"/>
      <c r="AU352" s="441"/>
      <c r="AV352" s="441"/>
      <c r="AW352" s="441"/>
      <c r="AX352" s="441"/>
      <c r="AY352" s="441"/>
      <c r="AZ352" s="441"/>
      <c r="BA352" s="441"/>
    </row>
    <row r="353">
      <c r="A353" s="441"/>
      <c r="B353" s="441"/>
      <c r="C353" s="441"/>
      <c r="D353" s="441"/>
      <c r="E353" s="441"/>
      <c r="F353" s="441"/>
      <c r="G353" s="441"/>
      <c r="H353" s="441"/>
      <c r="I353" s="441"/>
      <c r="J353" s="441"/>
      <c r="K353" s="441"/>
      <c r="L353" s="441"/>
      <c r="M353" s="441"/>
      <c r="N353" s="441"/>
      <c r="O353" s="441"/>
      <c r="P353" s="441"/>
      <c r="Q353" s="441"/>
      <c r="R353" s="441"/>
      <c r="S353" s="441"/>
      <c r="T353" s="441"/>
      <c r="U353" s="441"/>
      <c r="V353" s="441"/>
      <c r="W353" s="441"/>
      <c r="X353" s="441"/>
      <c r="Y353" s="441"/>
      <c r="Z353" s="441"/>
      <c r="AA353" s="441"/>
      <c r="AB353" s="441"/>
      <c r="AC353" s="441"/>
      <c r="AD353" s="441"/>
      <c r="AE353" s="441"/>
      <c r="AF353" s="441"/>
      <c r="AG353" s="441"/>
      <c r="AH353" s="441"/>
      <c r="AI353" s="441"/>
      <c r="AJ353" s="441"/>
      <c r="AK353" s="441"/>
      <c r="AL353" s="441"/>
      <c r="AM353" s="441"/>
      <c r="AN353" s="441"/>
      <c r="AO353" s="441"/>
      <c r="AP353" s="441"/>
      <c r="AQ353" s="441"/>
      <c r="AR353" s="441"/>
      <c r="AS353" s="441"/>
      <c r="AT353" s="441"/>
      <c r="AU353" s="441"/>
      <c r="AV353" s="441"/>
      <c r="AW353" s="441"/>
      <c r="AX353" s="441"/>
      <c r="AY353" s="441"/>
      <c r="AZ353" s="441"/>
      <c r="BA353" s="441"/>
    </row>
    <row r="354">
      <c r="A354" s="441"/>
      <c r="B354" s="441"/>
      <c r="C354" s="441"/>
      <c r="D354" s="441"/>
      <c r="E354" s="441"/>
      <c r="F354" s="441"/>
      <c r="G354" s="441"/>
      <c r="H354" s="441"/>
      <c r="I354" s="441"/>
      <c r="J354" s="441"/>
      <c r="K354" s="441"/>
      <c r="L354" s="441"/>
      <c r="M354" s="441"/>
      <c r="N354" s="441"/>
      <c r="O354" s="441"/>
      <c r="P354" s="441"/>
      <c r="Q354" s="441"/>
      <c r="R354" s="441"/>
      <c r="S354" s="441"/>
      <c r="T354" s="441"/>
      <c r="U354" s="441"/>
      <c r="V354" s="441"/>
      <c r="W354" s="441"/>
      <c r="X354" s="441"/>
      <c r="Y354" s="441"/>
      <c r="Z354" s="441"/>
      <c r="AA354" s="441"/>
      <c r="AB354" s="441"/>
      <c r="AC354" s="441"/>
      <c r="AD354" s="441"/>
      <c r="AE354" s="441"/>
      <c r="AF354" s="441"/>
      <c r="AG354" s="441"/>
      <c r="AH354" s="441"/>
      <c r="AI354" s="441"/>
      <c r="AJ354" s="441"/>
      <c r="AK354" s="441"/>
      <c r="AL354" s="441"/>
      <c r="AM354" s="441"/>
      <c r="AN354" s="441"/>
      <c r="AO354" s="441"/>
      <c r="AP354" s="441"/>
      <c r="AQ354" s="441"/>
      <c r="AR354" s="441"/>
      <c r="AS354" s="441"/>
      <c r="AT354" s="441"/>
      <c r="AU354" s="441"/>
      <c r="AV354" s="441"/>
      <c r="AW354" s="441"/>
      <c r="AX354" s="441"/>
      <c r="AY354" s="441"/>
      <c r="AZ354" s="441"/>
      <c r="BA354" s="441"/>
    </row>
    <row r="355">
      <c r="A355" s="441"/>
      <c r="B355" s="441"/>
      <c r="C355" s="441"/>
      <c r="D355" s="441"/>
      <c r="E355" s="441"/>
      <c r="F355" s="441"/>
      <c r="G355" s="441"/>
      <c r="H355" s="441"/>
      <c r="I355" s="441"/>
      <c r="J355" s="441"/>
      <c r="K355" s="441"/>
      <c r="L355" s="441"/>
      <c r="M355" s="441"/>
      <c r="N355" s="441"/>
      <c r="O355" s="441"/>
      <c r="P355" s="441"/>
      <c r="Q355" s="441"/>
      <c r="R355" s="441"/>
      <c r="S355" s="441"/>
      <c r="T355" s="441"/>
      <c r="U355" s="441"/>
      <c r="V355" s="441"/>
      <c r="W355" s="441"/>
      <c r="X355" s="441"/>
      <c r="Y355" s="441"/>
      <c r="Z355" s="441"/>
      <c r="AA355" s="441"/>
      <c r="AB355" s="441"/>
      <c r="AC355" s="441"/>
      <c r="AD355" s="441"/>
      <c r="AE355" s="441"/>
      <c r="AF355" s="441"/>
      <c r="AG355" s="441"/>
      <c r="AH355" s="441"/>
      <c r="AI355" s="441"/>
      <c r="AJ355" s="441"/>
      <c r="AK355" s="441"/>
      <c r="AL355" s="441"/>
      <c r="AM355" s="441"/>
      <c r="AN355" s="441"/>
      <c r="AO355" s="441"/>
      <c r="AP355" s="441"/>
      <c r="AQ355" s="441"/>
      <c r="AR355" s="441"/>
      <c r="AS355" s="441"/>
      <c r="AT355" s="441"/>
      <c r="AU355" s="441"/>
      <c r="AV355" s="441"/>
      <c r="AW355" s="441"/>
      <c r="AX355" s="441"/>
      <c r="AY355" s="441"/>
      <c r="AZ355" s="441"/>
      <c r="BA355" s="441"/>
    </row>
    <row r="356">
      <c r="A356" s="441"/>
      <c r="B356" s="441"/>
      <c r="C356" s="441"/>
      <c r="D356" s="441"/>
      <c r="E356" s="441"/>
      <c r="F356" s="441"/>
      <c r="G356" s="441"/>
      <c r="H356" s="441"/>
      <c r="I356" s="441"/>
      <c r="J356" s="441"/>
      <c r="K356" s="441"/>
      <c r="L356" s="441"/>
      <c r="M356" s="441"/>
      <c r="N356" s="441"/>
      <c r="O356" s="441"/>
      <c r="P356" s="441"/>
      <c r="Q356" s="441"/>
      <c r="R356" s="441"/>
      <c r="S356" s="441"/>
      <c r="T356" s="441"/>
      <c r="U356" s="441"/>
      <c r="V356" s="441"/>
      <c r="W356" s="441"/>
      <c r="X356" s="441"/>
      <c r="Y356" s="441"/>
      <c r="Z356" s="441"/>
      <c r="AA356" s="441"/>
      <c r="AB356" s="441"/>
      <c r="AC356" s="441"/>
      <c r="AD356" s="441"/>
      <c r="AE356" s="441"/>
      <c r="AF356" s="441"/>
      <c r="AG356" s="441"/>
      <c r="AH356" s="441"/>
      <c r="AI356" s="441"/>
      <c r="AJ356" s="441"/>
      <c r="AK356" s="441"/>
      <c r="AL356" s="441"/>
      <c r="AM356" s="441"/>
      <c r="AN356" s="441"/>
      <c r="AO356" s="441"/>
      <c r="AP356" s="441"/>
      <c r="AQ356" s="441"/>
      <c r="AR356" s="441"/>
      <c r="AS356" s="441"/>
      <c r="AT356" s="441"/>
      <c r="AU356" s="441"/>
      <c r="AV356" s="441"/>
      <c r="AW356" s="441"/>
      <c r="AX356" s="441"/>
      <c r="AY356" s="441"/>
      <c r="AZ356" s="441"/>
      <c r="BA356" s="441"/>
    </row>
    <row r="357">
      <c r="A357" s="441"/>
      <c r="B357" s="441"/>
      <c r="C357" s="441"/>
      <c r="D357" s="441"/>
      <c r="E357" s="441"/>
      <c r="F357" s="441"/>
      <c r="G357" s="441"/>
      <c r="H357" s="441"/>
      <c r="I357" s="441"/>
      <c r="J357" s="441"/>
      <c r="K357" s="441"/>
      <c r="L357" s="441"/>
      <c r="M357" s="441"/>
      <c r="N357" s="441"/>
      <c r="O357" s="441"/>
      <c r="P357" s="441"/>
      <c r="Q357" s="441"/>
      <c r="R357" s="441"/>
      <c r="S357" s="441"/>
      <c r="T357" s="441"/>
      <c r="U357" s="441"/>
      <c r="V357" s="441"/>
      <c r="W357" s="441"/>
      <c r="X357" s="441"/>
      <c r="Y357" s="441"/>
      <c r="Z357" s="441"/>
      <c r="AA357" s="441"/>
      <c r="AB357" s="441"/>
      <c r="AC357" s="441"/>
      <c r="AD357" s="441"/>
      <c r="AE357" s="441"/>
      <c r="AF357" s="441"/>
      <c r="AG357" s="441"/>
      <c r="AH357" s="441"/>
      <c r="AI357" s="441"/>
      <c r="AJ357" s="441"/>
      <c r="AK357" s="441"/>
      <c r="AL357" s="441"/>
      <c r="AM357" s="441"/>
      <c r="AN357" s="441"/>
      <c r="AO357" s="441"/>
      <c r="AP357" s="441"/>
      <c r="AQ357" s="441"/>
      <c r="AR357" s="441"/>
      <c r="AS357" s="441"/>
      <c r="AT357" s="441"/>
      <c r="AU357" s="441"/>
      <c r="AV357" s="441"/>
      <c r="AW357" s="441"/>
      <c r="AX357" s="441"/>
      <c r="AY357" s="441"/>
      <c r="AZ357" s="441"/>
      <c r="BA357" s="441"/>
    </row>
    <row r="358">
      <c r="A358" s="441"/>
      <c r="B358" s="441"/>
      <c r="C358" s="441"/>
      <c r="D358" s="441"/>
      <c r="E358" s="441"/>
      <c r="F358" s="441"/>
      <c r="G358" s="441"/>
      <c r="H358" s="441"/>
      <c r="I358" s="441"/>
      <c r="J358" s="441"/>
      <c r="K358" s="441"/>
      <c r="L358" s="441"/>
      <c r="M358" s="441"/>
      <c r="N358" s="441"/>
      <c r="O358" s="441"/>
      <c r="P358" s="441"/>
      <c r="Q358" s="441"/>
      <c r="R358" s="441"/>
      <c r="S358" s="441"/>
      <c r="T358" s="441"/>
      <c r="U358" s="441"/>
      <c r="V358" s="441"/>
      <c r="W358" s="441"/>
      <c r="X358" s="441"/>
      <c r="Y358" s="441"/>
      <c r="Z358" s="441"/>
      <c r="AA358" s="441"/>
      <c r="AB358" s="441"/>
      <c r="AC358" s="441"/>
      <c r="AD358" s="441"/>
      <c r="AE358" s="441"/>
      <c r="AF358" s="441"/>
      <c r="AG358" s="441"/>
      <c r="AH358" s="441"/>
      <c r="AI358" s="441"/>
      <c r="AJ358" s="441"/>
      <c r="AK358" s="441"/>
      <c r="AL358" s="441"/>
      <c r="AM358" s="441"/>
      <c r="AN358" s="441"/>
      <c r="AO358" s="441"/>
      <c r="AP358" s="441"/>
      <c r="AQ358" s="441"/>
      <c r="AR358" s="441"/>
      <c r="AS358" s="441"/>
      <c r="AT358" s="441"/>
      <c r="AU358" s="441"/>
      <c r="AV358" s="441"/>
      <c r="AW358" s="441"/>
      <c r="AX358" s="441"/>
      <c r="AY358" s="441"/>
      <c r="AZ358" s="441"/>
      <c r="BA358" s="441"/>
    </row>
    <row r="359">
      <c r="A359" s="441"/>
      <c r="B359" s="441"/>
      <c r="C359" s="441"/>
      <c r="D359" s="441"/>
      <c r="E359" s="441"/>
      <c r="F359" s="441"/>
      <c r="G359" s="441"/>
      <c r="H359" s="441"/>
      <c r="I359" s="441"/>
      <c r="J359" s="441"/>
      <c r="K359" s="441"/>
      <c r="L359" s="441"/>
      <c r="M359" s="441"/>
      <c r="N359" s="441"/>
      <c r="O359" s="441"/>
      <c r="P359" s="441"/>
      <c r="Q359" s="441"/>
      <c r="R359" s="441"/>
      <c r="S359" s="441"/>
      <c r="T359" s="441"/>
      <c r="U359" s="441"/>
      <c r="V359" s="441"/>
      <c r="W359" s="441"/>
      <c r="X359" s="441"/>
      <c r="Y359" s="441"/>
      <c r="Z359" s="441"/>
      <c r="AA359" s="441"/>
      <c r="AB359" s="441"/>
      <c r="AC359" s="441"/>
      <c r="AD359" s="441"/>
      <c r="AE359" s="441"/>
      <c r="AF359" s="441"/>
      <c r="AG359" s="441"/>
      <c r="AH359" s="441"/>
      <c r="AI359" s="441"/>
      <c r="AJ359" s="441"/>
      <c r="AK359" s="441"/>
      <c r="AL359" s="441"/>
      <c r="AM359" s="441"/>
      <c r="AN359" s="441"/>
      <c r="AO359" s="441"/>
      <c r="AP359" s="441"/>
      <c r="AQ359" s="441"/>
      <c r="AR359" s="441"/>
      <c r="AS359" s="441"/>
      <c r="AT359" s="441"/>
      <c r="AU359" s="441"/>
      <c r="AV359" s="441"/>
      <c r="AW359" s="441"/>
      <c r="AX359" s="441"/>
      <c r="AY359" s="441"/>
      <c r="AZ359" s="441"/>
      <c r="BA359" s="441"/>
    </row>
    <row r="360">
      <c r="A360" s="441"/>
      <c r="B360" s="441"/>
      <c r="C360" s="441"/>
      <c r="D360" s="441"/>
      <c r="E360" s="441"/>
      <c r="F360" s="441"/>
      <c r="G360" s="441"/>
      <c r="H360" s="441"/>
      <c r="I360" s="441"/>
      <c r="J360" s="441"/>
      <c r="K360" s="441"/>
      <c r="L360" s="441"/>
      <c r="M360" s="441"/>
      <c r="N360" s="441"/>
      <c r="O360" s="441"/>
      <c r="P360" s="441"/>
      <c r="Q360" s="441"/>
      <c r="R360" s="441"/>
      <c r="S360" s="441"/>
      <c r="T360" s="441"/>
      <c r="U360" s="441"/>
      <c r="V360" s="441"/>
      <c r="W360" s="441"/>
      <c r="X360" s="441"/>
      <c r="Y360" s="441"/>
      <c r="Z360" s="441"/>
      <c r="AA360" s="441"/>
      <c r="AB360" s="441"/>
      <c r="AC360" s="441"/>
      <c r="AD360" s="441"/>
      <c r="AE360" s="441"/>
      <c r="AF360" s="441"/>
      <c r="AG360" s="441"/>
      <c r="AH360" s="441"/>
      <c r="AI360" s="441"/>
      <c r="AJ360" s="441"/>
      <c r="AK360" s="441"/>
      <c r="AL360" s="441"/>
      <c r="AM360" s="441"/>
      <c r="AN360" s="441"/>
      <c r="AO360" s="441"/>
      <c r="AP360" s="441"/>
      <c r="AQ360" s="441"/>
      <c r="AR360" s="441"/>
      <c r="AS360" s="441"/>
      <c r="AT360" s="441"/>
      <c r="AU360" s="441"/>
      <c r="AV360" s="441"/>
      <c r="AW360" s="441"/>
      <c r="AX360" s="441"/>
      <c r="AY360" s="441"/>
      <c r="AZ360" s="441"/>
      <c r="BA360" s="441"/>
    </row>
    <row r="361">
      <c r="A361" s="441"/>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1"/>
      <c r="AA361" s="441"/>
      <c r="AB361" s="441"/>
      <c r="AC361" s="441"/>
      <c r="AD361" s="441"/>
      <c r="AE361" s="441"/>
      <c r="AF361" s="441"/>
      <c r="AG361" s="441"/>
      <c r="AH361" s="441"/>
      <c r="AI361" s="441"/>
      <c r="AJ361" s="441"/>
      <c r="AK361" s="441"/>
      <c r="AL361" s="441"/>
      <c r="AM361" s="441"/>
      <c r="AN361" s="441"/>
      <c r="AO361" s="441"/>
      <c r="AP361" s="441"/>
      <c r="AQ361" s="441"/>
      <c r="AR361" s="441"/>
      <c r="AS361" s="441"/>
      <c r="AT361" s="441"/>
      <c r="AU361" s="441"/>
      <c r="AV361" s="441"/>
      <c r="AW361" s="441"/>
      <c r="AX361" s="441"/>
      <c r="AY361" s="441"/>
      <c r="AZ361" s="441"/>
      <c r="BA361" s="441"/>
    </row>
    <row r="362">
      <c r="A362" s="441"/>
      <c r="B362" s="441"/>
      <c r="C362" s="441"/>
      <c r="D362" s="441"/>
      <c r="E362" s="441"/>
      <c r="F362" s="441"/>
      <c r="G362" s="441"/>
      <c r="H362" s="441"/>
      <c r="I362" s="441"/>
      <c r="J362" s="441"/>
      <c r="K362" s="441"/>
      <c r="L362" s="441"/>
      <c r="M362" s="441"/>
      <c r="N362" s="441"/>
      <c r="O362" s="441"/>
      <c r="P362" s="441"/>
      <c r="Q362" s="441"/>
      <c r="R362" s="441"/>
      <c r="S362" s="441"/>
      <c r="T362" s="441"/>
      <c r="U362" s="441"/>
      <c r="V362" s="441"/>
      <c r="W362" s="441"/>
      <c r="X362" s="441"/>
      <c r="Y362" s="441"/>
      <c r="Z362" s="441"/>
      <c r="AA362" s="441"/>
      <c r="AB362" s="441"/>
      <c r="AC362" s="441"/>
      <c r="AD362" s="441"/>
      <c r="AE362" s="441"/>
      <c r="AF362" s="441"/>
      <c r="AG362" s="441"/>
      <c r="AH362" s="441"/>
      <c r="AI362" s="441"/>
      <c r="AJ362" s="441"/>
      <c r="AK362" s="441"/>
      <c r="AL362" s="441"/>
      <c r="AM362" s="441"/>
      <c r="AN362" s="441"/>
      <c r="AO362" s="441"/>
      <c r="AP362" s="441"/>
      <c r="AQ362" s="441"/>
      <c r="AR362" s="441"/>
      <c r="AS362" s="441"/>
      <c r="AT362" s="441"/>
      <c r="AU362" s="441"/>
      <c r="AV362" s="441"/>
      <c r="AW362" s="441"/>
      <c r="AX362" s="441"/>
      <c r="AY362" s="441"/>
      <c r="AZ362" s="441"/>
      <c r="BA362" s="441"/>
    </row>
    <row r="363">
      <c r="A363" s="441"/>
      <c r="B363" s="441"/>
      <c r="C363" s="441"/>
      <c r="D363" s="441"/>
      <c r="E363" s="441"/>
      <c r="F363" s="441"/>
      <c r="G363" s="441"/>
      <c r="H363" s="441"/>
      <c r="I363" s="441"/>
      <c r="J363" s="441"/>
      <c r="K363" s="441"/>
      <c r="L363" s="441"/>
      <c r="M363" s="441"/>
      <c r="N363" s="441"/>
      <c r="O363" s="441"/>
      <c r="P363" s="441"/>
      <c r="Q363" s="441"/>
      <c r="R363" s="441"/>
      <c r="S363" s="441"/>
      <c r="T363" s="441"/>
      <c r="U363" s="441"/>
      <c r="V363" s="441"/>
      <c r="W363" s="441"/>
      <c r="X363" s="441"/>
      <c r="Y363" s="441"/>
      <c r="Z363" s="441"/>
      <c r="AA363" s="441"/>
      <c r="AB363" s="441"/>
      <c r="AC363" s="441"/>
      <c r="AD363" s="441"/>
      <c r="AE363" s="441"/>
      <c r="AF363" s="441"/>
      <c r="AG363" s="441"/>
      <c r="AH363" s="441"/>
      <c r="AI363" s="441"/>
      <c r="AJ363" s="441"/>
      <c r="AK363" s="441"/>
      <c r="AL363" s="441"/>
      <c r="AM363" s="441"/>
      <c r="AN363" s="441"/>
      <c r="AO363" s="441"/>
      <c r="AP363" s="441"/>
      <c r="AQ363" s="441"/>
      <c r="AR363" s="441"/>
      <c r="AS363" s="441"/>
      <c r="AT363" s="441"/>
      <c r="AU363" s="441"/>
      <c r="AV363" s="441"/>
      <c r="AW363" s="441"/>
      <c r="AX363" s="441"/>
      <c r="AY363" s="441"/>
      <c r="AZ363" s="441"/>
      <c r="BA363" s="441"/>
    </row>
    <row r="364">
      <c r="A364" s="441"/>
      <c r="B364" s="441"/>
      <c r="C364" s="441"/>
      <c r="D364" s="441"/>
      <c r="E364" s="441"/>
      <c r="F364" s="441"/>
      <c r="G364" s="441"/>
      <c r="H364" s="441"/>
      <c r="I364" s="441"/>
      <c r="J364" s="441"/>
      <c r="K364" s="441"/>
      <c r="L364" s="441"/>
      <c r="M364" s="441"/>
      <c r="N364" s="441"/>
      <c r="O364" s="441"/>
      <c r="P364" s="441"/>
      <c r="Q364" s="441"/>
      <c r="R364" s="441"/>
      <c r="S364" s="441"/>
      <c r="T364" s="441"/>
      <c r="U364" s="441"/>
      <c r="V364" s="441"/>
      <c r="W364" s="441"/>
      <c r="X364" s="441"/>
      <c r="Y364" s="441"/>
      <c r="Z364" s="441"/>
      <c r="AA364" s="441"/>
      <c r="AB364" s="441"/>
      <c r="AC364" s="441"/>
      <c r="AD364" s="441"/>
      <c r="AE364" s="441"/>
      <c r="AF364" s="441"/>
      <c r="AG364" s="441"/>
      <c r="AH364" s="441"/>
      <c r="AI364" s="441"/>
      <c r="AJ364" s="441"/>
      <c r="AK364" s="441"/>
      <c r="AL364" s="441"/>
      <c r="AM364" s="441"/>
      <c r="AN364" s="441"/>
      <c r="AO364" s="441"/>
      <c r="AP364" s="441"/>
      <c r="AQ364" s="441"/>
      <c r="AR364" s="441"/>
      <c r="AS364" s="441"/>
      <c r="AT364" s="441"/>
      <c r="AU364" s="441"/>
      <c r="AV364" s="441"/>
      <c r="AW364" s="441"/>
      <c r="AX364" s="441"/>
      <c r="AY364" s="441"/>
      <c r="AZ364" s="441"/>
      <c r="BA364" s="441"/>
    </row>
    <row r="365">
      <c r="A365" s="441"/>
      <c r="B365" s="441"/>
      <c r="C365" s="441"/>
      <c r="D365" s="441"/>
      <c r="E365" s="441"/>
      <c r="F365" s="441"/>
      <c r="G365" s="441"/>
      <c r="H365" s="441"/>
      <c r="I365" s="441"/>
      <c r="J365" s="441"/>
      <c r="K365" s="441"/>
      <c r="L365" s="441"/>
      <c r="M365" s="441"/>
      <c r="N365" s="441"/>
      <c r="O365" s="441"/>
      <c r="P365" s="441"/>
      <c r="Q365" s="441"/>
      <c r="R365" s="441"/>
      <c r="S365" s="441"/>
      <c r="T365" s="441"/>
      <c r="U365" s="441"/>
      <c r="V365" s="441"/>
      <c r="W365" s="441"/>
      <c r="X365" s="441"/>
      <c r="Y365" s="441"/>
      <c r="Z365" s="441"/>
      <c r="AA365" s="441"/>
      <c r="AB365" s="441"/>
      <c r="AC365" s="441"/>
      <c r="AD365" s="441"/>
      <c r="AE365" s="441"/>
      <c r="AF365" s="441"/>
      <c r="AG365" s="441"/>
      <c r="AH365" s="441"/>
      <c r="AI365" s="441"/>
      <c r="AJ365" s="441"/>
      <c r="AK365" s="441"/>
      <c r="AL365" s="441"/>
      <c r="AM365" s="441"/>
      <c r="AN365" s="441"/>
      <c r="AO365" s="441"/>
      <c r="AP365" s="441"/>
      <c r="AQ365" s="441"/>
      <c r="AR365" s="441"/>
      <c r="AS365" s="441"/>
      <c r="AT365" s="441"/>
      <c r="AU365" s="441"/>
      <c r="AV365" s="441"/>
      <c r="AW365" s="441"/>
      <c r="AX365" s="441"/>
      <c r="AY365" s="441"/>
      <c r="AZ365" s="441"/>
      <c r="BA365" s="441"/>
    </row>
    <row r="366">
      <c r="A366" s="441"/>
      <c r="B366" s="441"/>
      <c r="C366" s="441"/>
      <c r="D366" s="441"/>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row>
    <row r="367">
      <c r="A367" s="441"/>
      <c r="B367" s="441"/>
      <c r="C367" s="441"/>
      <c r="D367" s="441"/>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row>
    <row r="368">
      <c r="A368" s="441"/>
      <c r="B368" s="441"/>
      <c r="C368" s="441"/>
      <c r="D368" s="441"/>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row>
    <row r="369">
      <c r="A369" s="441"/>
      <c r="B369" s="441"/>
      <c r="C369" s="441"/>
      <c r="D369" s="441"/>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row>
    <row r="370">
      <c r="A370" s="441"/>
      <c r="B370" s="441"/>
      <c r="C370" s="441"/>
      <c r="D370" s="441"/>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row>
    <row r="371">
      <c r="A371" s="441"/>
      <c r="B371" s="441"/>
      <c r="C371" s="441"/>
      <c r="D371" s="441"/>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row>
    <row r="372">
      <c r="A372" s="441"/>
      <c r="B372" s="441"/>
      <c r="C372" s="441"/>
      <c r="D372" s="441"/>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row>
    <row r="373">
      <c r="A373" s="441"/>
      <c r="B373" s="441"/>
      <c r="C373" s="441"/>
      <c r="D373" s="441"/>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row>
    <row r="374">
      <c r="A374" s="441"/>
      <c r="B374" s="441"/>
      <c r="C374" s="441"/>
      <c r="D374" s="441"/>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row>
    <row r="375">
      <c r="A375" s="441"/>
      <c r="B375" s="441"/>
      <c r="C375" s="441"/>
      <c r="D375" s="441"/>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row>
    <row r="376">
      <c r="A376" s="441"/>
      <c r="B376" s="441"/>
      <c r="C376" s="441"/>
      <c r="D376" s="441"/>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row>
    <row r="377">
      <c r="A377" s="441"/>
      <c r="B377" s="441"/>
      <c r="C377" s="441"/>
      <c r="D377" s="441"/>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row>
    <row r="378">
      <c r="A378" s="441"/>
      <c r="B378" s="441"/>
      <c r="C378" s="441"/>
      <c r="D378" s="441"/>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row>
    <row r="379">
      <c r="A379" s="441"/>
      <c r="B379" s="441"/>
      <c r="C379" s="441"/>
      <c r="D379" s="441"/>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row>
    <row r="380">
      <c r="A380" s="441"/>
      <c r="B380" s="441"/>
      <c r="C380" s="441"/>
      <c r="D380" s="441"/>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row>
    <row r="381">
      <c r="A381" s="441"/>
      <c r="B381" s="441"/>
      <c r="C381" s="441"/>
      <c r="D381" s="441"/>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row>
    <row r="382">
      <c r="A382" s="441"/>
      <c r="B382" s="441"/>
      <c r="C382" s="441"/>
      <c r="D382" s="441"/>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row>
    <row r="383">
      <c r="A383" s="441"/>
      <c r="B383" s="441"/>
      <c r="C383" s="441"/>
      <c r="D383" s="441"/>
      <c r="E383" s="441"/>
      <c r="F383" s="441"/>
      <c r="G383" s="441"/>
      <c r="H383" s="441"/>
      <c r="I383" s="441"/>
      <c r="J383" s="441"/>
      <c r="K383" s="441"/>
      <c r="L383" s="441"/>
      <c r="M383" s="441"/>
      <c r="N383" s="441"/>
      <c r="O383" s="441"/>
      <c r="P383" s="441"/>
      <c r="Q383" s="441"/>
      <c r="R383" s="441"/>
      <c r="S383" s="441"/>
      <c r="T383" s="441"/>
      <c r="U383" s="441"/>
      <c r="V383" s="441"/>
      <c r="W383" s="441"/>
      <c r="X383" s="441"/>
      <c r="Y383" s="441"/>
      <c r="Z383" s="441"/>
      <c r="AA383" s="441"/>
      <c r="AB383" s="441"/>
      <c r="AC383" s="441"/>
      <c r="AD383" s="441"/>
      <c r="AE383" s="441"/>
      <c r="AF383" s="441"/>
      <c r="AG383" s="441"/>
      <c r="AH383" s="441"/>
      <c r="AI383" s="441"/>
      <c r="AJ383" s="441"/>
      <c r="AK383" s="441"/>
      <c r="AL383" s="441"/>
      <c r="AM383" s="441"/>
      <c r="AN383" s="441"/>
      <c r="AO383" s="441"/>
      <c r="AP383" s="441"/>
      <c r="AQ383" s="441"/>
      <c r="AR383" s="441"/>
      <c r="AS383" s="441"/>
      <c r="AT383" s="441"/>
      <c r="AU383" s="441"/>
      <c r="AV383" s="441"/>
      <c r="AW383" s="441"/>
      <c r="AX383" s="441"/>
      <c r="AY383" s="441"/>
      <c r="AZ383" s="441"/>
      <c r="BA383" s="441"/>
    </row>
    <row r="384">
      <c r="A384" s="441"/>
      <c r="B384" s="441"/>
      <c r="C384" s="441"/>
      <c r="D384" s="441"/>
      <c r="E384" s="441"/>
      <c r="F384" s="441"/>
      <c r="G384" s="441"/>
      <c r="H384" s="441"/>
      <c r="I384" s="441"/>
      <c r="J384" s="441"/>
      <c r="K384" s="441"/>
      <c r="L384" s="441"/>
      <c r="M384" s="441"/>
      <c r="N384" s="441"/>
      <c r="O384" s="441"/>
      <c r="P384" s="441"/>
      <c r="Q384" s="441"/>
      <c r="R384" s="441"/>
      <c r="S384" s="441"/>
      <c r="T384" s="441"/>
      <c r="U384" s="441"/>
      <c r="V384" s="441"/>
      <c r="W384" s="441"/>
      <c r="X384" s="441"/>
      <c r="Y384" s="441"/>
      <c r="Z384" s="441"/>
      <c r="AA384" s="441"/>
      <c r="AB384" s="441"/>
      <c r="AC384" s="441"/>
      <c r="AD384" s="441"/>
      <c r="AE384" s="441"/>
      <c r="AF384" s="441"/>
      <c r="AG384" s="441"/>
      <c r="AH384" s="441"/>
      <c r="AI384" s="441"/>
      <c r="AJ384" s="441"/>
      <c r="AK384" s="441"/>
      <c r="AL384" s="441"/>
      <c r="AM384" s="441"/>
      <c r="AN384" s="441"/>
      <c r="AO384" s="441"/>
      <c r="AP384" s="441"/>
      <c r="AQ384" s="441"/>
      <c r="AR384" s="441"/>
      <c r="AS384" s="441"/>
      <c r="AT384" s="441"/>
      <c r="AU384" s="441"/>
      <c r="AV384" s="441"/>
      <c r="AW384" s="441"/>
      <c r="AX384" s="441"/>
      <c r="AY384" s="441"/>
      <c r="AZ384" s="441"/>
      <c r="BA384" s="441"/>
    </row>
    <row r="385">
      <c r="A385" s="441"/>
      <c r="B385" s="441"/>
      <c r="C385" s="441"/>
      <c r="D385" s="441"/>
      <c r="E385" s="441"/>
      <c r="F385" s="441"/>
      <c r="G385" s="441"/>
      <c r="H385" s="441"/>
      <c r="I385" s="441"/>
      <c r="J385" s="441"/>
      <c r="K385" s="441"/>
      <c r="L385" s="441"/>
      <c r="M385" s="441"/>
      <c r="N385" s="441"/>
      <c r="O385" s="441"/>
      <c r="P385" s="441"/>
      <c r="Q385" s="441"/>
      <c r="R385" s="441"/>
      <c r="S385" s="441"/>
      <c r="T385" s="441"/>
      <c r="U385" s="441"/>
      <c r="V385" s="441"/>
      <c r="W385" s="441"/>
      <c r="X385" s="441"/>
      <c r="Y385" s="441"/>
      <c r="Z385" s="441"/>
      <c r="AA385" s="441"/>
      <c r="AB385" s="441"/>
      <c r="AC385" s="441"/>
      <c r="AD385" s="441"/>
      <c r="AE385" s="441"/>
      <c r="AF385" s="441"/>
      <c r="AG385" s="441"/>
      <c r="AH385" s="441"/>
      <c r="AI385" s="441"/>
      <c r="AJ385" s="441"/>
      <c r="AK385" s="441"/>
      <c r="AL385" s="441"/>
      <c r="AM385" s="441"/>
      <c r="AN385" s="441"/>
      <c r="AO385" s="441"/>
      <c r="AP385" s="441"/>
      <c r="AQ385" s="441"/>
      <c r="AR385" s="441"/>
      <c r="AS385" s="441"/>
      <c r="AT385" s="441"/>
      <c r="AU385" s="441"/>
      <c r="AV385" s="441"/>
      <c r="AW385" s="441"/>
      <c r="AX385" s="441"/>
      <c r="AY385" s="441"/>
      <c r="AZ385" s="441"/>
      <c r="BA385" s="441"/>
    </row>
    <row r="386">
      <c r="A386" s="441"/>
      <c r="B386" s="441"/>
      <c r="C386" s="441"/>
      <c r="D386" s="441"/>
      <c r="E386" s="441"/>
      <c r="F386" s="441"/>
      <c r="G386" s="441"/>
      <c r="H386" s="441"/>
      <c r="I386" s="441"/>
      <c r="J386" s="441"/>
      <c r="K386" s="441"/>
      <c r="L386" s="441"/>
      <c r="M386" s="441"/>
      <c r="N386" s="441"/>
      <c r="O386" s="441"/>
      <c r="P386" s="441"/>
      <c r="Q386" s="441"/>
      <c r="R386" s="441"/>
      <c r="S386" s="441"/>
      <c r="T386" s="441"/>
      <c r="U386" s="441"/>
      <c r="V386" s="441"/>
      <c r="W386" s="441"/>
      <c r="X386" s="441"/>
      <c r="Y386" s="441"/>
      <c r="Z386" s="441"/>
      <c r="AA386" s="441"/>
      <c r="AB386" s="441"/>
      <c r="AC386" s="441"/>
      <c r="AD386" s="441"/>
      <c r="AE386" s="441"/>
      <c r="AF386" s="441"/>
      <c r="AG386" s="441"/>
      <c r="AH386" s="441"/>
      <c r="AI386" s="441"/>
      <c r="AJ386" s="441"/>
      <c r="AK386" s="441"/>
      <c r="AL386" s="441"/>
      <c r="AM386" s="441"/>
      <c r="AN386" s="441"/>
      <c r="AO386" s="441"/>
      <c r="AP386" s="441"/>
      <c r="AQ386" s="441"/>
      <c r="AR386" s="441"/>
      <c r="AS386" s="441"/>
      <c r="AT386" s="441"/>
      <c r="AU386" s="441"/>
      <c r="AV386" s="441"/>
      <c r="AW386" s="441"/>
      <c r="AX386" s="441"/>
      <c r="AY386" s="441"/>
      <c r="AZ386" s="441"/>
      <c r="BA386" s="441"/>
    </row>
    <row r="387">
      <c r="A387" s="441"/>
      <c r="B387" s="441"/>
      <c r="C387" s="441"/>
      <c r="D387" s="441"/>
      <c r="E387" s="441"/>
      <c r="F387" s="441"/>
      <c r="G387" s="441"/>
      <c r="H387" s="441"/>
      <c r="I387" s="441"/>
      <c r="J387" s="441"/>
      <c r="K387" s="441"/>
      <c r="L387" s="441"/>
      <c r="M387" s="441"/>
      <c r="N387" s="441"/>
      <c r="O387" s="441"/>
      <c r="P387" s="441"/>
      <c r="Q387" s="441"/>
      <c r="R387" s="441"/>
      <c r="S387" s="441"/>
      <c r="T387" s="441"/>
      <c r="U387" s="441"/>
      <c r="V387" s="441"/>
      <c r="W387" s="441"/>
      <c r="X387" s="441"/>
      <c r="Y387" s="441"/>
      <c r="Z387" s="441"/>
      <c r="AA387" s="441"/>
      <c r="AB387" s="441"/>
      <c r="AC387" s="441"/>
      <c r="AD387" s="441"/>
      <c r="AE387" s="441"/>
      <c r="AF387" s="441"/>
      <c r="AG387" s="441"/>
      <c r="AH387" s="441"/>
      <c r="AI387" s="441"/>
      <c r="AJ387" s="441"/>
      <c r="AK387" s="441"/>
      <c r="AL387" s="441"/>
      <c r="AM387" s="441"/>
      <c r="AN387" s="441"/>
      <c r="AO387" s="441"/>
      <c r="AP387" s="441"/>
      <c r="AQ387" s="441"/>
      <c r="AR387" s="441"/>
      <c r="AS387" s="441"/>
      <c r="AT387" s="441"/>
      <c r="AU387" s="441"/>
      <c r="AV387" s="441"/>
      <c r="AW387" s="441"/>
      <c r="AX387" s="441"/>
      <c r="AY387" s="441"/>
      <c r="AZ387" s="441"/>
      <c r="BA387" s="441"/>
    </row>
    <row r="388">
      <c r="A388" s="441"/>
      <c r="B388" s="441"/>
      <c r="C388" s="441"/>
      <c r="D388" s="441"/>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c r="AA388" s="441"/>
      <c r="AB388" s="441"/>
      <c r="AC388" s="441"/>
      <c r="AD388" s="441"/>
      <c r="AE388" s="441"/>
      <c r="AF388" s="441"/>
      <c r="AG388" s="441"/>
      <c r="AH388" s="441"/>
      <c r="AI388" s="441"/>
      <c r="AJ388" s="441"/>
      <c r="AK388" s="441"/>
      <c r="AL388" s="441"/>
      <c r="AM388" s="441"/>
      <c r="AN388" s="441"/>
      <c r="AO388" s="441"/>
      <c r="AP388" s="441"/>
      <c r="AQ388" s="441"/>
      <c r="AR388" s="441"/>
      <c r="AS388" s="441"/>
      <c r="AT388" s="441"/>
      <c r="AU388" s="441"/>
      <c r="AV388" s="441"/>
      <c r="AW388" s="441"/>
      <c r="AX388" s="441"/>
      <c r="AY388" s="441"/>
      <c r="AZ388" s="441"/>
      <c r="BA388" s="441"/>
    </row>
    <row r="389">
      <c r="A389" s="441"/>
      <c r="B389" s="441"/>
      <c r="C389" s="44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41"/>
      <c r="AM389" s="441"/>
      <c r="AN389" s="441"/>
      <c r="AO389" s="441"/>
      <c r="AP389" s="441"/>
      <c r="AQ389" s="441"/>
      <c r="AR389" s="441"/>
      <c r="AS389" s="441"/>
      <c r="AT389" s="441"/>
      <c r="AU389" s="441"/>
      <c r="AV389" s="441"/>
      <c r="AW389" s="441"/>
      <c r="AX389" s="441"/>
      <c r="AY389" s="441"/>
      <c r="AZ389" s="441"/>
      <c r="BA389" s="441"/>
    </row>
    <row r="390">
      <c r="A390" s="441"/>
      <c r="B390" s="441"/>
      <c r="C390" s="441"/>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c r="AA390" s="441"/>
      <c r="AB390" s="441"/>
      <c r="AC390" s="441"/>
      <c r="AD390" s="441"/>
      <c r="AE390" s="441"/>
      <c r="AF390" s="441"/>
      <c r="AG390" s="441"/>
      <c r="AH390" s="441"/>
      <c r="AI390" s="441"/>
      <c r="AJ390" s="441"/>
      <c r="AK390" s="441"/>
      <c r="AL390" s="441"/>
      <c r="AM390" s="441"/>
      <c r="AN390" s="441"/>
      <c r="AO390" s="441"/>
      <c r="AP390" s="441"/>
      <c r="AQ390" s="441"/>
      <c r="AR390" s="441"/>
      <c r="AS390" s="441"/>
      <c r="AT390" s="441"/>
      <c r="AU390" s="441"/>
      <c r="AV390" s="441"/>
      <c r="AW390" s="441"/>
      <c r="AX390" s="441"/>
      <c r="AY390" s="441"/>
      <c r="AZ390" s="441"/>
      <c r="BA390" s="441"/>
    </row>
    <row r="391">
      <c r="A391" s="441"/>
      <c r="B391" s="441"/>
      <c r="C391" s="441"/>
      <c r="D391" s="441"/>
      <c r="E391" s="441"/>
      <c r="F391" s="441"/>
      <c r="G391" s="441"/>
      <c r="H391" s="441"/>
      <c r="I391" s="441"/>
      <c r="J391" s="441"/>
      <c r="K391" s="441"/>
      <c r="L391" s="441"/>
      <c r="M391" s="441"/>
      <c r="N391" s="441"/>
      <c r="O391" s="441"/>
      <c r="P391" s="441"/>
      <c r="Q391" s="441"/>
      <c r="R391" s="441"/>
      <c r="S391" s="441"/>
      <c r="T391" s="441"/>
      <c r="U391" s="441"/>
      <c r="V391" s="441"/>
      <c r="W391" s="441"/>
      <c r="X391" s="441"/>
      <c r="Y391" s="441"/>
      <c r="Z391" s="441"/>
      <c r="AA391" s="441"/>
      <c r="AB391" s="441"/>
      <c r="AC391" s="441"/>
      <c r="AD391" s="441"/>
      <c r="AE391" s="441"/>
      <c r="AF391" s="441"/>
      <c r="AG391" s="441"/>
      <c r="AH391" s="441"/>
      <c r="AI391" s="441"/>
      <c r="AJ391" s="441"/>
      <c r="AK391" s="441"/>
      <c r="AL391" s="441"/>
      <c r="AM391" s="441"/>
      <c r="AN391" s="441"/>
      <c r="AO391" s="441"/>
      <c r="AP391" s="441"/>
      <c r="AQ391" s="441"/>
      <c r="AR391" s="441"/>
      <c r="AS391" s="441"/>
      <c r="AT391" s="441"/>
      <c r="AU391" s="441"/>
      <c r="AV391" s="441"/>
      <c r="AW391" s="441"/>
      <c r="AX391" s="441"/>
      <c r="AY391" s="441"/>
      <c r="AZ391" s="441"/>
      <c r="BA391" s="441"/>
    </row>
    <row r="392">
      <c r="A392" s="441"/>
      <c r="B392" s="441"/>
      <c r="C392" s="441"/>
      <c r="D392" s="441"/>
      <c r="E392" s="441"/>
      <c r="F392" s="441"/>
      <c r="G392" s="441"/>
      <c r="H392" s="441"/>
      <c r="I392" s="441"/>
      <c r="J392" s="441"/>
      <c r="K392" s="441"/>
      <c r="L392" s="441"/>
      <c r="M392" s="441"/>
      <c r="N392" s="441"/>
      <c r="O392" s="441"/>
      <c r="P392" s="441"/>
      <c r="Q392" s="441"/>
      <c r="R392" s="441"/>
      <c r="S392" s="441"/>
      <c r="T392" s="441"/>
      <c r="U392" s="441"/>
      <c r="V392" s="441"/>
      <c r="W392" s="441"/>
      <c r="X392" s="441"/>
      <c r="Y392" s="441"/>
      <c r="Z392" s="441"/>
      <c r="AA392" s="441"/>
      <c r="AB392" s="441"/>
      <c r="AC392" s="441"/>
      <c r="AD392" s="441"/>
      <c r="AE392" s="441"/>
      <c r="AF392" s="441"/>
      <c r="AG392" s="441"/>
      <c r="AH392" s="441"/>
      <c r="AI392" s="441"/>
      <c r="AJ392" s="441"/>
      <c r="AK392" s="441"/>
      <c r="AL392" s="441"/>
      <c r="AM392" s="441"/>
      <c r="AN392" s="441"/>
      <c r="AO392" s="441"/>
      <c r="AP392" s="441"/>
      <c r="AQ392" s="441"/>
      <c r="AR392" s="441"/>
      <c r="AS392" s="441"/>
      <c r="AT392" s="441"/>
      <c r="AU392" s="441"/>
      <c r="AV392" s="441"/>
      <c r="AW392" s="441"/>
      <c r="AX392" s="441"/>
      <c r="AY392" s="441"/>
      <c r="AZ392" s="441"/>
      <c r="BA392" s="441"/>
    </row>
    <row r="393">
      <c r="A393" s="441"/>
      <c r="B393" s="441"/>
      <c r="C393" s="441"/>
      <c r="D393" s="441"/>
      <c r="E393" s="441"/>
      <c r="F393" s="441"/>
      <c r="G393" s="441"/>
      <c r="H393" s="441"/>
      <c r="I393" s="441"/>
      <c r="J393" s="441"/>
      <c r="K393" s="441"/>
      <c r="L393" s="441"/>
      <c r="M393" s="441"/>
      <c r="N393" s="441"/>
      <c r="O393" s="441"/>
      <c r="P393" s="441"/>
      <c r="Q393" s="441"/>
      <c r="R393" s="441"/>
      <c r="S393" s="441"/>
      <c r="T393" s="441"/>
      <c r="U393" s="441"/>
      <c r="V393" s="441"/>
      <c r="W393" s="441"/>
      <c r="X393" s="441"/>
      <c r="Y393" s="441"/>
      <c r="Z393" s="441"/>
      <c r="AA393" s="441"/>
      <c r="AB393" s="441"/>
      <c r="AC393" s="441"/>
      <c r="AD393" s="441"/>
      <c r="AE393" s="441"/>
      <c r="AF393" s="441"/>
      <c r="AG393" s="441"/>
      <c r="AH393" s="441"/>
      <c r="AI393" s="441"/>
      <c r="AJ393" s="441"/>
      <c r="AK393" s="441"/>
      <c r="AL393" s="441"/>
      <c r="AM393" s="441"/>
      <c r="AN393" s="441"/>
      <c r="AO393" s="441"/>
      <c r="AP393" s="441"/>
      <c r="AQ393" s="441"/>
      <c r="AR393" s="441"/>
      <c r="AS393" s="441"/>
      <c r="AT393" s="441"/>
      <c r="AU393" s="441"/>
      <c r="AV393" s="441"/>
      <c r="AW393" s="441"/>
      <c r="AX393" s="441"/>
      <c r="AY393" s="441"/>
      <c r="AZ393" s="441"/>
      <c r="BA393" s="441"/>
    </row>
    <row r="394">
      <c r="A394" s="441"/>
      <c r="B394" s="441"/>
      <c r="C394" s="441"/>
      <c r="D394" s="441"/>
      <c r="E394" s="441"/>
      <c r="F394" s="441"/>
      <c r="G394" s="441"/>
      <c r="H394" s="441"/>
      <c r="I394" s="441"/>
      <c r="J394" s="441"/>
      <c r="K394" s="441"/>
      <c r="L394" s="441"/>
      <c r="M394" s="441"/>
      <c r="N394" s="441"/>
      <c r="O394" s="441"/>
      <c r="P394" s="441"/>
      <c r="Q394" s="441"/>
      <c r="R394" s="441"/>
      <c r="S394" s="441"/>
      <c r="T394" s="441"/>
      <c r="U394" s="441"/>
      <c r="V394" s="441"/>
      <c r="W394" s="441"/>
      <c r="X394" s="441"/>
      <c r="Y394" s="441"/>
      <c r="Z394" s="441"/>
      <c r="AA394" s="441"/>
      <c r="AB394" s="441"/>
      <c r="AC394" s="441"/>
      <c r="AD394" s="441"/>
      <c r="AE394" s="441"/>
      <c r="AF394" s="441"/>
      <c r="AG394" s="441"/>
      <c r="AH394" s="441"/>
      <c r="AI394" s="441"/>
      <c r="AJ394" s="441"/>
      <c r="AK394" s="441"/>
      <c r="AL394" s="441"/>
      <c r="AM394" s="441"/>
      <c r="AN394" s="441"/>
      <c r="AO394" s="441"/>
      <c r="AP394" s="441"/>
      <c r="AQ394" s="441"/>
      <c r="AR394" s="441"/>
      <c r="AS394" s="441"/>
      <c r="AT394" s="441"/>
      <c r="AU394" s="441"/>
      <c r="AV394" s="441"/>
      <c r="AW394" s="441"/>
      <c r="AX394" s="441"/>
      <c r="AY394" s="441"/>
      <c r="AZ394" s="441"/>
      <c r="BA394" s="441"/>
    </row>
    <row r="395">
      <c r="A395" s="441"/>
      <c r="B395" s="441"/>
      <c r="C395" s="441"/>
      <c r="D395" s="441"/>
      <c r="E395" s="441"/>
      <c r="F395" s="441"/>
      <c r="G395" s="441"/>
      <c r="H395" s="441"/>
      <c r="I395" s="441"/>
      <c r="J395" s="441"/>
      <c r="K395" s="441"/>
      <c r="L395" s="441"/>
      <c r="M395" s="441"/>
      <c r="N395" s="441"/>
      <c r="O395" s="441"/>
      <c r="P395" s="441"/>
      <c r="Q395" s="441"/>
      <c r="R395" s="441"/>
      <c r="S395" s="441"/>
      <c r="T395" s="441"/>
      <c r="U395" s="441"/>
      <c r="V395" s="441"/>
      <c r="W395" s="441"/>
      <c r="X395" s="441"/>
      <c r="Y395" s="441"/>
      <c r="Z395" s="441"/>
      <c r="AA395" s="441"/>
      <c r="AB395" s="441"/>
      <c r="AC395" s="441"/>
      <c r="AD395" s="441"/>
      <c r="AE395" s="441"/>
      <c r="AF395" s="441"/>
      <c r="AG395" s="441"/>
      <c r="AH395" s="441"/>
      <c r="AI395" s="441"/>
      <c r="AJ395" s="441"/>
      <c r="AK395" s="441"/>
      <c r="AL395" s="441"/>
      <c r="AM395" s="441"/>
      <c r="AN395" s="441"/>
      <c r="AO395" s="441"/>
      <c r="AP395" s="441"/>
      <c r="AQ395" s="441"/>
      <c r="AR395" s="441"/>
      <c r="AS395" s="441"/>
      <c r="AT395" s="441"/>
      <c r="AU395" s="441"/>
      <c r="AV395" s="441"/>
      <c r="AW395" s="441"/>
      <c r="AX395" s="441"/>
      <c r="AY395" s="441"/>
      <c r="AZ395" s="441"/>
      <c r="BA395" s="441"/>
    </row>
    <row r="396">
      <c r="A396" s="441"/>
      <c r="B396" s="441"/>
      <c r="C396" s="441"/>
      <c r="D396" s="441"/>
      <c r="E396" s="441"/>
      <c r="F396" s="441"/>
      <c r="G396" s="441"/>
      <c r="H396" s="441"/>
      <c r="I396" s="441"/>
      <c r="J396" s="441"/>
      <c r="K396" s="441"/>
      <c r="L396" s="441"/>
      <c r="M396" s="441"/>
      <c r="N396" s="441"/>
      <c r="O396" s="441"/>
      <c r="P396" s="441"/>
      <c r="Q396" s="441"/>
      <c r="R396" s="441"/>
      <c r="S396" s="441"/>
      <c r="T396" s="441"/>
      <c r="U396" s="441"/>
      <c r="V396" s="441"/>
      <c r="W396" s="441"/>
      <c r="X396" s="441"/>
      <c r="Y396" s="441"/>
      <c r="Z396" s="441"/>
      <c r="AA396" s="441"/>
      <c r="AB396" s="441"/>
      <c r="AC396" s="441"/>
      <c r="AD396" s="441"/>
      <c r="AE396" s="441"/>
      <c r="AF396" s="441"/>
      <c r="AG396" s="441"/>
      <c r="AH396" s="441"/>
      <c r="AI396" s="441"/>
      <c r="AJ396" s="441"/>
      <c r="AK396" s="441"/>
      <c r="AL396" s="441"/>
      <c r="AM396" s="441"/>
      <c r="AN396" s="441"/>
      <c r="AO396" s="441"/>
      <c r="AP396" s="441"/>
      <c r="AQ396" s="441"/>
      <c r="AR396" s="441"/>
      <c r="AS396" s="441"/>
      <c r="AT396" s="441"/>
      <c r="AU396" s="441"/>
      <c r="AV396" s="441"/>
      <c r="AW396" s="441"/>
      <c r="AX396" s="441"/>
      <c r="AY396" s="441"/>
      <c r="AZ396" s="441"/>
      <c r="BA396" s="441"/>
    </row>
    <row r="397">
      <c r="A397" s="441"/>
      <c r="B397" s="441"/>
      <c r="C397" s="441"/>
      <c r="D397" s="441"/>
      <c r="E397" s="441"/>
      <c r="F397" s="441"/>
      <c r="G397" s="441"/>
      <c r="H397" s="441"/>
      <c r="I397" s="441"/>
      <c r="J397" s="441"/>
      <c r="K397" s="441"/>
      <c r="L397" s="441"/>
      <c r="M397" s="441"/>
      <c r="N397" s="441"/>
      <c r="O397" s="441"/>
      <c r="P397" s="441"/>
      <c r="Q397" s="441"/>
      <c r="R397" s="441"/>
      <c r="S397" s="441"/>
      <c r="T397" s="441"/>
      <c r="U397" s="441"/>
      <c r="V397" s="441"/>
      <c r="W397" s="441"/>
      <c r="X397" s="441"/>
      <c r="Y397" s="441"/>
      <c r="Z397" s="441"/>
      <c r="AA397" s="441"/>
      <c r="AB397" s="441"/>
      <c r="AC397" s="441"/>
      <c r="AD397" s="441"/>
      <c r="AE397" s="441"/>
      <c r="AF397" s="441"/>
      <c r="AG397" s="441"/>
      <c r="AH397" s="441"/>
      <c r="AI397" s="441"/>
      <c r="AJ397" s="441"/>
      <c r="AK397" s="441"/>
      <c r="AL397" s="441"/>
      <c r="AM397" s="441"/>
      <c r="AN397" s="441"/>
      <c r="AO397" s="441"/>
      <c r="AP397" s="441"/>
      <c r="AQ397" s="441"/>
      <c r="AR397" s="441"/>
      <c r="AS397" s="441"/>
      <c r="AT397" s="441"/>
      <c r="AU397" s="441"/>
      <c r="AV397" s="441"/>
      <c r="AW397" s="441"/>
      <c r="AX397" s="441"/>
      <c r="AY397" s="441"/>
      <c r="AZ397" s="441"/>
      <c r="BA397" s="441"/>
    </row>
    <row r="398">
      <c r="A398" s="441"/>
      <c r="B398" s="441"/>
      <c r="C398" s="441"/>
      <c r="D398" s="441"/>
      <c r="E398" s="441"/>
      <c r="F398" s="441"/>
      <c r="G398" s="441"/>
      <c r="H398" s="441"/>
      <c r="I398" s="441"/>
      <c r="J398" s="441"/>
      <c r="K398" s="441"/>
      <c r="L398" s="441"/>
      <c r="M398" s="441"/>
      <c r="N398" s="441"/>
      <c r="O398" s="441"/>
      <c r="P398" s="441"/>
      <c r="Q398" s="441"/>
      <c r="R398" s="441"/>
      <c r="S398" s="441"/>
      <c r="T398" s="441"/>
      <c r="U398" s="441"/>
      <c r="V398" s="441"/>
      <c r="W398" s="441"/>
      <c r="X398" s="441"/>
      <c r="Y398" s="441"/>
      <c r="Z398" s="441"/>
      <c r="AA398" s="441"/>
      <c r="AB398" s="441"/>
      <c r="AC398" s="441"/>
      <c r="AD398" s="441"/>
      <c r="AE398" s="441"/>
      <c r="AF398" s="441"/>
      <c r="AG398" s="441"/>
      <c r="AH398" s="441"/>
      <c r="AI398" s="441"/>
      <c r="AJ398" s="441"/>
      <c r="AK398" s="441"/>
      <c r="AL398" s="441"/>
      <c r="AM398" s="441"/>
      <c r="AN398" s="441"/>
      <c r="AO398" s="441"/>
      <c r="AP398" s="441"/>
      <c r="AQ398" s="441"/>
      <c r="AR398" s="441"/>
      <c r="AS398" s="441"/>
      <c r="AT398" s="441"/>
      <c r="AU398" s="441"/>
      <c r="AV398" s="441"/>
      <c r="AW398" s="441"/>
      <c r="AX398" s="441"/>
      <c r="AY398" s="441"/>
      <c r="AZ398" s="441"/>
      <c r="BA398" s="441"/>
    </row>
    <row r="399">
      <c r="A399" s="441"/>
      <c r="B399" s="441"/>
      <c r="C399" s="441"/>
      <c r="D399" s="441"/>
      <c r="E399" s="441"/>
      <c r="F399" s="441"/>
      <c r="G399" s="441"/>
      <c r="H399" s="441"/>
      <c r="I399" s="441"/>
      <c r="J399" s="441"/>
      <c r="K399" s="441"/>
      <c r="L399" s="441"/>
      <c r="M399" s="441"/>
      <c r="N399" s="441"/>
      <c r="O399" s="441"/>
      <c r="P399" s="441"/>
      <c r="Q399" s="441"/>
      <c r="R399" s="441"/>
      <c r="S399" s="441"/>
      <c r="T399" s="441"/>
      <c r="U399" s="441"/>
      <c r="V399" s="441"/>
      <c r="W399" s="441"/>
      <c r="X399" s="441"/>
      <c r="Y399" s="441"/>
      <c r="Z399" s="441"/>
      <c r="AA399" s="441"/>
      <c r="AB399" s="441"/>
      <c r="AC399" s="441"/>
      <c r="AD399" s="441"/>
      <c r="AE399" s="441"/>
      <c r="AF399" s="441"/>
      <c r="AG399" s="441"/>
      <c r="AH399" s="441"/>
      <c r="AI399" s="441"/>
      <c r="AJ399" s="441"/>
      <c r="AK399" s="441"/>
      <c r="AL399" s="441"/>
      <c r="AM399" s="441"/>
      <c r="AN399" s="441"/>
      <c r="AO399" s="441"/>
      <c r="AP399" s="441"/>
      <c r="AQ399" s="441"/>
      <c r="AR399" s="441"/>
      <c r="AS399" s="441"/>
      <c r="AT399" s="441"/>
      <c r="AU399" s="441"/>
      <c r="AV399" s="441"/>
      <c r="AW399" s="441"/>
      <c r="AX399" s="441"/>
      <c r="AY399" s="441"/>
      <c r="AZ399" s="441"/>
      <c r="BA399" s="441"/>
    </row>
    <row r="400">
      <c r="A400" s="441"/>
      <c r="B400" s="441"/>
      <c r="C400" s="441"/>
      <c r="D400" s="441"/>
      <c r="E400" s="441"/>
      <c r="F400" s="441"/>
      <c r="G400" s="441"/>
      <c r="H400" s="441"/>
      <c r="I400" s="441"/>
      <c r="J400" s="441"/>
      <c r="K400" s="441"/>
      <c r="L400" s="441"/>
      <c r="M400" s="441"/>
      <c r="N400" s="441"/>
      <c r="O400" s="441"/>
      <c r="P400" s="441"/>
      <c r="Q400" s="441"/>
      <c r="R400" s="441"/>
      <c r="S400" s="441"/>
      <c r="T400" s="441"/>
      <c r="U400" s="441"/>
      <c r="V400" s="441"/>
      <c r="W400" s="441"/>
      <c r="X400" s="441"/>
      <c r="Y400" s="441"/>
      <c r="Z400" s="441"/>
      <c r="AA400" s="441"/>
      <c r="AB400" s="441"/>
      <c r="AC400" s="441"/>
      <c r="AD400" s="441"/>
      <c r="AE400" s="441"/>
      <c r="AF400" s="441"/>
      <c r="AG400" s="441"/>
      <c r="AH400" s="441"/>
      <c r="AI400" s="441"/>
      <c r="AJ400" s="441"/>
      <c r="AK400" s="441"/>
      <c r="AL400" s="441"/>
      <c r="AM400" s="441"/>
      <c r="AN400" s="441"/>
      <c r="AO400" s="441"/>
      <c r="AP400" s="441"/>
      <c r="AQ400" s="441"/>
      <c r="AR400" s="441"/>
      <c r="AS400" s="441"/>
      <c r="AT400" s="441"/>
      <c r="AU400" s="441"/>
      <c r="AV400" s="441"/>
      <c r="AW400" s="441"/>
      <c r="AX400" s="441"/>
      <c r="AY400" s="441"/>
      <c r="AZ400" s="441"/>
      <c r="BA400" s="441"/>
    </row>
    <row r="401">
      <c r="A401" s="441"/>
      <c r="B401" s="441"/>
      <c r="C401" s="441"/>
      <c r="D401" s="441"/>
      <c r="E401" s="441"/>
      <c r="F401" s="441"/>
      <c r="G401" s="441"/>
      <c r="H401" s="441"/>
      <c r="I401" s="441"/>
      <c r="J401" s="441"/>
      <c r="K401" s="441"/>
      <c r="L401" s="441"/>
      <c r="M401" s="441"/>
      <c r="N401" s="441"/>
      <c r="O401" s="441"/>
      <c r="P401" s="441"/>
      <c r="Q401" s="441"/>
      <c r="R401" s="441"/>
      <c r="S401" s="441"/>
      <c r="T401" s="441"/>
      <c r="U401" s="441"/>
      <c r="V401" s="441"/>
      <c r="W401" s="441"/>
      <c r="X401" s="441"/>
      <c r="Y401" s="441"/>
      <c r="Z401" s="441"/>
      <c r="AA401" s="441"/>
      <c r="AB401" s="441"/>
      <c r="AC401" s="441"/>
      <c r="AD401" s="441"/>
      <c r="AE401" s="441"/>
      <c r="AF401" s="441"/>
      <c r="AG401" s="441"/>
      <c r="AH401" s="441"/>
      <c r="AI401" s="441"/>
      <c r="AJ401" s="441"/>
      <c r="AK401" s="441"/>
      <c r="AL401" s="441"/>
      <c r="AM401" s="441"/>
      <c r="AN401" s="441"/>
      <c r="AO401" s="441"/>
      <c r="AP401" s="441"/>
      <c r="AQ401" s="441"/>
      <c r="AR401" s="441"/>
      <c r="AS401" s="441"/>
      <c r="AT401" s="441"/>
      <c r="AU401" s="441"/>
      <c r="AV401" s="441"/>
      <c r="AW401" s="441"/>
      <c r="AX401" s="441"/>
      <c r="AY401" s="441"/>
      <c r="AZ401" s="441"/>
      <c r="BA401" s="441"/>
    </row>
    <row r="402">
      <c r="A402" s="441"/>
      <c r="B402" s="441"/>
      <c r="C402" s="441"/>
      <c r="D402" s="441"/>
      <c r="E402" s="441"/>
      <c r="F402" s="441"/>
      <c r="G402" s="441"/>
      <c r="H402" s="441"/>
      <c r="I402" s="441"/>
      <c r="J402" s="441"/>
      <c r="K402" s="441"/>
      <c r="L402" s="441"/>
      <c r="M402" s="441"/>
      <c r="N402" s="441"/>
      <c r="O402" s="441"/>
      <c r="P402" s="441"/>
      <c r="Q402" s="441"/>
      <c r="R402" s="441"/>
      <c r="S402" s="441"/>
      <c r="T402" s="441"/>
      <c r="U402" s="441"/>
      <c r="V402" s="441"/>
      <c r="W402" s="441"/>
      <c r="X402" s="441"/>
      <c r="Y402" s="441"/>
      <c r="Z402" s="441"/>
      <c r="AA402" s="441"/>
      <c r="AB402" s="441"/>
      <c r="AC402" s="441"/>
      <c r="AD402" s="441"/>
      <c r="AE402" s="441"/>
      <c r="AF402" s="441"/>
      <c r="AG402" s="441"/>
      <c r="AH402" s="441"/>
      <c r="AI402" s="441"/>
      <c r="AJ402" s="441"/>
      <c r="AK402" s="441"/>
      <c r="AL402" s="441"/>
      <c r="AM402" s="441"/>
      <c r="AN402" s="441"/>
      <c r="AO402" s="441"/>
      <c r="AP402" s="441"/>
      <c r="AQ402" s="441"/>
      <c r="AR402" s="441"/>
      <c r="AS402" s="441"/>
      <c r="AT402" s="441"/>
      <c r="AU402" s="441"/>
      <c r="AV402" s="441"/>
      <c r="AW402" s="441"/>
      <c r="AX402" s="441"/>
      <c r="AY402" s="441"/>
      <c r="AZ402" s="441"/>
      <c r="BA402" s="441"/>
    </row>
    <row r="403">
      <c r="A403" s="441"/>
      <c r="B403" s="441"/>
      <c r="C403" s="441"/>
      <c r="D403" s="441"/>
      <c r="E403" s="441"/>
      <c r="F403" s="441"/>
      <c r="G403" s="441"/>
      <c r="H403" s="441"/>
      <c r="I403" s="441"/>
      <c r="J403" s="441"/>
      <c r="K403" s="441"/>
      <c r="L403" s="441"/>
      <c r="M403" s="441"/>
      <c r="N403" s="441"/>
      <c r="O403" s="441"/>
      <c r="P403" s="441"/>
      <c r="Q403" s="441"/>
      <c r="R403" s="441"/>
      <c r="S403" s="441"/>
      <c r="T403" s="441"/>
      <c r="U403" s="441"/>
      <c r="V403" s="441"/>
      <c r="W403" s="441"/>
      <c r="X403" s="441"/>
      <c r="Y403" s="441"/>
      <c r="Z403" s="441"/>
      <c r="AA403" s="441"/>
      <c r="AB403" s="441"/>
      <c r="AC403" s="441"/>
      <c r="AD403" s="441"/>
      <c r="AE403" s="441"/>
      <c r="AF403" s="441"/>
      <c r="AG403" s="441"/>
      <c r="AH403" s="441"/>
      <c r="AI403" s="441"/>
      <c r="AJ403" s="441"/>
      <c r="AK403" s="441"/>
      <c r="AL403" s="441"/>
      <c r="AM403" s="441"/>
      <c r="AN403" s="441"/>
      <c r="AO403" s="441"/>
      <c r="AP403" s="441"/>
      <c r="AQ403" s="441"/>
      <c r="AR403" s="441"/>
      <c r="AS403" s="441"/>
      <c r="AT403" s="441"/>
      <c r="AU403" s="441"/>
      <c r="AV403" s="441"/>
      <c r="AW403" s="441"/>
      <c r="AX403" s="441"/>
      <c r="AY403" s="441"/>
      <c r="AZ403" s="441"/>
      <c r="BA403" s="441"/>
    </row>
    <row r="404">
      <c r="A404" s="441"/>
      <c r="B404" s="441"/>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441"/>
      <c r="AZ404" s="441"/>
      <c r="BA404" s="441"/>
    </row>
    <row r="405">
      <c r="A405" s="441"/>
      <c r="B405" s="441"/>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441"/>
      <c r="AZ405" s="441"/>
      <c r="BA405" s="441"/>
    </row>
    <row r="406">
      <c r="A406" s="441"/>
      <c r="B406" s="441"/>
      <c r="C406" s="441"/>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1"/>
      <c r="AL406" s="441"/>
      <c r="AM406" s="441"/>
      <c r="AN406" s="441"/>
      <c r="AO406" s="441"/>
      <c r="AP406" s="441"/>
      <c r="AQ406" s="441"/>
      <c r="AR406" s="441"/>
      <c r="AS406" s="441"/>
      <c r="AT406" s="441"/>
      <c r="AU406" s="441"/>
      <c r="AV406" s="441"/>
      <c r="AW406" s="441"/>
      <c r="AX406" s="441"/>
      <c r="AY406" s="441"/>
      <c r="AZ406" s="441"/>
      <c r="BA406" s="441"/>
    </row>
    <row r="407">
      <c r="A407" s="441"/>
      <c r="B407" s="441"/>
      <c r="C407" s="441"/>
      <c r="D407" s="441"/>
      <c r="E407" s="441"/>
      <c r="F407" s="441"/>
      <c r="G407" s="441"/>
      <c r="H407" s="441"/>
      <c r="I407" s="441"/>
      <c r="J407" s="441"/>
      <c r="K407" s="441"/>
      <c r="L407" s="441"/>
      <c r="M407" s="441"/>
      <c r="N407" s="441"/>
      <c r="O407" s="441"/>
      <c r="P407" s="441"/>
      <c r="Q407" s="441"/>
      <c r="R407" s="441"/>
      <c r="S407" s="441"/>
      <c r="T407" s="441"/>
      <c r="U407" s="441"/>
      <c r="V407" s="441"/>
      <c r="W407" s="441"/>
      <c r="X407" s="441"/>
      <c r="Y407" s="441"/>
      <c r="Z407" s="441"/>
      <c r="AA407" s="441"/>
      <c r="AB407" s="441"/>
      <c r="AC407" s="441"/>
      <c r="AD407" s="441"/>
      <c r="AE407" s="441"/>
      <c r="AF407" s="441"/>
      <c r="AG407" s="441"/>
      <c r="AH407" s="441"/>
      <c r="AI407" s="441"/>
      <c r="AJ407" s="441"/>
      <c r="AK407" s="441"/>
      <c r="AL407" s="441"/>
      <c r="AM407" s="441"/>
      <c r="AN407" s="441"/>
      <c r="AO407" s="441"/>
      <c r="AP407" s="441"/>
      <c r="AQ407" s="441"/>
      <c r="AR407" s="441"/>
      <c r="AS407" s="441"/>
      <c r="AT407" s="441"/>
      <c r="AU407" s="441"/>
      <c r="AV407" s="441"/>
      <c r="AW407" s="441"/>
      <c r="AX407" s="441"/>
      <c r="AY407" s="441"/>
      <c r="AZ407" s="441"/>
      <c r="BA407" s="441"/>
    </row>
    <row r="408">
      <c r="A408" s="441"/>
      <c r="B408" s="441"/>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c r="AA408" s="441"/>
      <c r="AB408" s="441"/>
      <c r="AC408" s="441"/>
      <c r="AD408" s="441"/>
      <c r="AE408" s="441"/>
      <c r="AF408" s="441"/>
      <c r="AG408" s="441"/>
      <c r="AH408" s="441"/>
      <c r="AI408" s="441"/>
      <c r="AJ408" s="441"/>
      <c r="AK408" s="441"/>
      <c r="AL408" s="441"/>
      <c r="AM408" s="441"/>
      <c r="AN408" s="441"/>
      <c r="AO408" s="441"/>
      <c r="AP408" s="441"/>
      <c r="AQ408" s="441"/>
      <c r="AR408" s="441"/>
      <c r="AS408" s="441"/>
      <c r="AT408" s="441"/>
      <c r="AU408" s="441"/>
      <c r="AV408" s="441"/>
      <c r="AW408" s="441"/>
      <c r="AX408" s="441"/>
      <c r="AY408" s="441"/>
      <c r="AZ408" s="441"/>
      <c r="BA408" s="441"/>
    </row>
    <row r="409">
      <c r="A409" s="441"/>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c r="AF409" s="441"/>
      <c r="AG409" s="441"/>
      <c r="AH409" s="441"/>
      <c r="AI409" s="441"/>
      <c r="AJ409" s="441"/>
      <c r="AK409" s="441"/>
      <c r="AL409" s="441"/>
      <c r="AM409" s="441"/>
      <c r="AN409" s="441"/>
      <c r="AO409" s="441"/>
      <c r="AP409" s="441"/>
      <c r="AQ409" s="441"/>
      <c r="AR409" s="441"/>
      <c r="AS409" s="441"/>
      <c r="AT409" s="441"/>
      <c r="AU409" s="441"/>
      <c r="AV409" s="441"/>
      <c r="AW409" s="441"/>
      <c r="AX409" s="441"/>
      <c r="AY409" s="441"/>
      <c r="AZ409" s="441"/>
      <c r="BA409" s="441"/>
    </row>
    <row r="410">
      <c r="A410" s="441"/>
      <c r="B410" s="441"/>
      <c r="C410" s="441"/>
      <c r="D410" s="441"/>
      <c r="E410" s="441"/>
      <c r="F410" s="441"/>
      <c r="G410" s="441"/>
      <c r="H410" s="441"/>
      <c r="I410" s="441"/>
      <c r="J410" s="441"/>
      <c r="K410" s="441"/>
      <c r="L410" s="441"/>
      <c r="M410" s="441"/>
      <c r="N410" s="441"/>
      <c r="O410" s="441"/>
      <c r="P410" s="441"/>
      <c r="Q410" s="441"/>
      <c r="R410" s="441"/>
      <c r="S410" s="441"/>
      <c r="T410" s="441"/>
      <c r="U410" s="441"/>
      <c r="V410" s="441"/>
      <c r="W410" s="441"/>
      <c r="X410" s="441"/>
      <c r="Y410" s="441"/>
      <c r="Z410" s="441"/>
      <c r="AA410" s="441"/>
      <c r="AB410" s="441"/>
      <c r="AC410" s="441"/>
      <c r="AD410" s="441"/>
      <c r="AE410" s="441"/>
      <c r="AF410" s="441"/>
      <c r="AG410" s="441"/>
      <c r="AH410" s="441"/>
      <c r="AI410" s="441"/>
      <c r="AJ410" s="441"/>
      <c r="AK410" s="441"/>
      <c r="AL410" s="441"/>
      <c r="AM410" s="441"/>
      <c r="AN410" s="441"/>
      <c r="AO410" s="441"/>
      <c r="AP410" s="441"/>
      <c r="AQ410" s="441"/>
      <c r="AR410" s="441"/>
      <c r="AS410" s="441"/>
      <c r="AT410" s="441"/>
      <c r="AU410" s="441"/>
      <c r="AV410" s="441"/>
      <c r="AW410" s="441"/>
      <c r="AX410" s="441"/>
      <c r="AY410" s="441"/>
      <c r="AZ410" s="441"/>
      <c r="BA410" s="441"/>
    </row>
    <row r="411">
      <c r="A411" s="441"/>
      <c r="B411" s="441"/>
      <c r="C411" s="441"/>
      <c r="D411" s="441"/>
      <c r="E411" s="441"/>
      <c r="F411" s="441"/>
      <c r="G411" s="441"/>
      <c r="H411" s="441"/>
      <c r="I411" s="441"/>
      <c r="J411" s="441"/>
      <c r="K411" s="441"/>
      <c r="L411" s="441"/>
      <c r="M411" s="441"/>
      <c r="N411" s="441"/>
      <c r="O411" s="441"/>
      <c r="P411" s="441"/>
      <c r="Q411" s="441"/>
      <c r="R411" s="441"/>
      <c r="S411" s="441"/>
      <c r="T411" s="441"/>
      <c r="U411" s="441"/>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441"/>
      <c r="AY411" s="441"/>
      <c r="AZ411" s="441"/>
      <c r="BA411" s="441"/>
    </row>
    <row r="412">
      <c r="A412" s="441"/>
      <c r="B412" s="441"/>
      <c r="C412" s="441"/>
      <c r="D412" s="441"/>
      <c r="E412" s="441"/>
      <c r="F412" s="441"/>
      <c r="G412" s="441"/>
      <c r="H412" s="441"/>
      <c r="I412" s="441"/>
      <c r="J412" s="441"/>
      <c r="K412" s="441"/>
      <c r="L412" s="441"/>
      <c r="M412" s="441"/>
      <c r="N412" s="441"/>
      <c r="O412" s="441"/>
      <c r="P412" s="441"/>
      <c r="Q412" s="441"/>
      <c r="R412" s="441"/>
      <c r="S412" s="441"/>
      <c r="T412" s="441"/>
      <c r="U412" s="441"/>
      <c r="V412" s="441"/>
      <c r="W412" s="441"/>
      <c r="X412" s="441"/>
      <c r="Y412" s="441"/>
      <c r="Z412" s="441"/>
      <c r="AA412" s="441"/>
      <c r="AB412" s="441"/>
      <c r="AC412" s="441"/>
      <c r="AD412" s="441"/>
      <c r="AE412" s="441"/>
      <c r="AF412" s="441"/>
      <c r="AG412" s="441"/>
      <c r="AH412" s="441"/>
      <c r="AI412" s="441"/>
      <c r="AJ412" s="441"/>
      <c r="AK412" s="441"/>
      <c r="AL412" s="441"/>
      <c r="AM412" s="441"/>
      <c r="AN412" s="441"/>
      <c r="AO412" s="441"/>
      <c r="AP412" s="441"/>
      <c r="AQ412" s="441"/>
      <c r="AR412" s="441"/>
      <c r="AS412" s="441"/>
      <c r="AT412" s="441"/>
      <c r="AU412" s="441"/>
      <c r="AV412" s="441"/>
      <c r="AW412" s="441"/>
      <c r="AX412" s="441"/>
      <c r="AY412" s="441"/>
      <c r="AZ412" s="441"/>
      <c r="BA412" s="441"/>
    </row>
    <row r="413">
      <c r="A413" s="441"/>
      <c r="B413" s="441"/>
      <c r="C413" s="441"/>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c r="AA413" s="441"/>
      <c r="AB413" s="441"/>
      <c r="AC413" s="441"/>
      <c r="AD413" s="441"/>
      <c r="AE413" s="441"/>
      <c r="AF413" s="441"/>
      <c r="AG413" s="441"/>
      <c r="AH413" s="441"/>
      <c r="AI413" s="441"/>
      <c r="AJ413" s="441"/>
      <c r="AK413" s="441"/>
      <c r="AL413" s="441"/>
      <c r="AM413" s="441"/>
      <c r="AN413" s="441"/>
      <c r="AO413" s="441"/>
      <c r="AP413" s="441"/>
      <c r="AQ413" s="441"/>
      <c r="AR413" s="441"/>
      <c r="AS413" s="441"/>
      <c r="AT413" s="441"/>
      <c r="AU413" s="441"/>
      <c r="AV413" s="441"/>
      <c r="AW413" s="441"/>
      <c r="AX413" s="441"/>
      <c r="AY413" s="441"/>
      <c r="AZ413" s="441"/>
      <c r="BA413" s="441"/>
    </row>
    <row r="414">
      <c r="A414" s="441"/>
      <c r="B414" s="441"/>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c r="AA414" s="441"/>
      <c r="AB414" s="441"/>
      <c r="AC414" s="441"/>
      <c r="AD414" s="441"/>
      <c r="AE414" s="441"/>
      <c r="AF414" s="441"/>
      <c r="AG414" s="441"/>
      <c r="AH414" s="441"/>
      <c r="AI414" s="441"/>
      <c r="AJ414" s="441"/>
      <c r="AK414" s="441"/>
      <c r="AL414" s="441"/>
      <c r="AM414" s="441"/>
      <c r="AN414" s="441"/>
      <c r="AO414" s="441"/>
      <c r="AP414" s="441"/>
      <c r="AQ414" s="441"/>
      <c r="AR414" s="441"/>
      <c r="AS414" s="441"/>
      <c r="AT414" s="441"/>
      <c r="AU414" s="441"/>
      <c r="AV414" s="441"/>
      <c r="AW414" s="441"/>
      <c r="AX414" s="441"/>
      <c r="AY414" s="441"/>
      <c r="AZ414" s="441"/>
      <c r="BA414" s="441"/>
    </row>
    <row r="415">
      <c r="A415" s="441"/>
      <c r="B415" s="441"/>
      <c r="C415" s="441"/>
      <c r="D415" s="441"/>
      <c r="E415" s="441"/>
      <c r="F415" s="441"/>
      <c r="G415" s="441"/>
      <c r="H415" s="441"/>
      <c r="I415" s="441"/>
      <c r="J415" s="441"/>
      <c r="K415" s="441"/>
      <c r="L415" s="441"/>
      <c r="M415" s="441"/>
      <c r="N415" s="441"/>
      <c r="O415" s="441"/>
      <c r="P415" s="441"/>
      <c r="Q415" s="441"/>
      <c r="R415" s="441"/>
      <c r="S415" s="441"/>
      <c r="T415" s="441"/>
      <c r="U415" s="441"/>
      <c r="V415" s="441"/>
      <c r="W415" s="441"/>
      <c r="X415" s="441"/>
      <c r="Y415" s="441"/>
      <c r="Z415" s="441"/>
      <c r="AA415" s="441"/>
      <c r="AB415" s="441"/>
      <c r="AC415" s="441"/>
      <c r="AD415" s="441"/>
      <c r="AE415" s="441"/>
      <c r="AF415" s="441"/>
      <c r="AG415" s="441"/>
      <c r="AH415" s="441"/>
      <c r="AI415" s="441"/>
      <c r="AJ415" s="441"/>
      <c r="AK415" s="441"/>
      <c r="AL415" s="441"/>
      <c r="AM415" s="441"/>
      <c r="AN415" s="441"/>
      <c r="AO415" s="441"/>
      <c r="AP415" s="441"/>
      <c r="AQ415" s="441"/>
      <c r="AR415" s="441"/>
      <c r="AS415" s="441"/>
      <c r="AT415" s="441"/>
      <c r="AU415" s="441"/>
      <c r="AV415" s="441"/>
      <c r="AW415" s="441"/>
      <c r="AX415" s="441"/>
      <c r="AY415" s="441"/>
      <c r="AZ415" s="441"/>
      <c r="BA415" s="441"/>
    </row>
    <row r="416">
      <c r="A416" s="441"/>
      <c r="B416" s="441"/>
      <c r="C416" s="441"/>
      <c r="D416" s="441"/>
      <c r="E416" s="441"/>
      <c r="F416" s="441"/>
      <c r="G416" s="441"/>
      <c r="H416" s="441"/>
      <c r="I416" s="441"/>
      <c r="J416" s="441"/>
      <c r="K416" s="441"/>
      <c r="L416" s="441"/>
      <c r="M416" s="441"/>
      <c r="N416" s="441"/>
      <c r="O416" s="441"/>
      <c r="P416" s="441"/>
      <c r="Q416" s="441"/>
      <c r="R416" s="441"/>
      <c r="S416" s="441"/>
      <c r="T416" s="441"/>
      <c r="U416" s="441"/>
      <c r="V416" s="441"/>
      <c r="W416" s="441"/>
      <c r="X416" s="441"/>
      <c r="Y416" s="441"/>
      <c r="Z416" s="441"/>
      <c r="AA416" s="441"/>
      <c r="AB416" s="441"/>
      <c r="AC416" s="441"/>
      <c r="AD416" s="441"/>
      <c r="AE416" s="441"/>
      <c r="AF416" s="441"/>
      <c r="AG416" s="441"/>
      <c r="AH416" s="441"/>
      <c r="AI416" s="441"/>
      <c r="AJ416" s="441"/>
      <c r="AK416" s="441"/>
      <c r="AL416" s="441"/>
      <c r="AM416" s="441"/>
      <c r="AN416" s="441"/>
      <c r="AO416" s="441"/>
      <c r="AP416" s="441"/>
      <c r="AQ416" s="441"/>
      <c r="AR416" s="441"/>
      <c r="AS416" s="441"/>
      <c r="AT416" s="441"/>
      <c r="AU416" s="441"/>
      <c r="AV416" s="441"/>
      <c r="AW416" s="441"/>
      <c r="AX416" s="441"/>
      <c r="AY416" s="441"/>
      <c r="AZ416" s="441"/>
      <c r="BA416" s="441"/>
    </row>
    <row r="417">
      <c r="A417" s="441"/>
      <c r="B417" s="441"/>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c r="Z417" s="441"/>
      <c r="AA417" s="441"/>
      <c r="AB417" s="441"/>
      <c r="AC417" s="441"/>
      <c r="AD417" s="441"/>
      <c r="AE417" s="441"/>
      <c r="AF417" s="441"/>
      <c r="AG417" s="441"/>
      <c r="AH417" s="441"/>
      <c r="AI417" s="441"/>
      <c r="AJ417" s="441"/>
      <c r="AK417" s="441"/>
      <c r="AL417" s="441"/>
      <c r="AM417" s="441"/>
      <c r="AN417" s="441"/>
      <c r="AO417" s="441"/>
      <c r="AP417" s="441"/>
      <c r="AQ417" s="441"/>
      <c r="AR417" s="441"/>
      <c r="AS417" s="441"/>
      <c r="AT417" s="441"/>
      <c r="AU417" s="441"/>
      <c r="AV417" s="441"/>
      <c r="AW417" s="441"/>
      <c r="AX417" s="441"/>
      <c r="AY417" s="441"/>
      <c r="AZ417" s="441"/>
      <c r="BA417" s="441"/>
    </row>
    <row r="418">
      <c r="A418" s="441"/>
      <c r="B418" s="441"/>
      <c r="C418" s="441"/>
      <c r="D418" s="441"/>
      <c r="E418" s="441"/>
      <c r="F418" s="441"/>
      <c r="G418" s="441"/>
      <c r="H418" s="441"/>
      <c r="I418" s="441"/>
      <c r="J418" s="441"/>
      <c r="K418" s="441"/>
      <c r="L418" s="441"/>
      <c r="M418" s="441"/>
      <c r="N418" s="441"/>
      <c r="O418" s="441"/>
      <c r="P418" s="441"/>
      <c r="Q418" s="441"/>
      <c r="R418" s="441"/>
      <c r="S418" s="441"/>
      <c r="T418" s="441"/>
      <c r="U418" s="441"/>
      <c r="V418" s="441"/>
      <c r="W418" s="441"/>
      <c r="X418" s="441"/>
      <c r="Y418" s="441"/>
      <c r="Z418" s="441"/>
      <c r="AA418" s="441"/>
      <c r="AB418" s="441"/>
      <c r="AC418" s="441"/>
      <c r="AD418" s="441"/>
      <c r="AE418" s="441"/>
      <c r="AF418" s="441"/>
      <c r="AG418" s="441"/>
      <c r="AH418" s="441"/>
      <c r="AI418" s="441"/>
      <c r="AJ418" s="441"/>
      <c r="AK418" s="441"/>
      <c r="AL418" s="441"/>
      <c r="AM418" s="441"/>
      <c r="AN418" s="441"/>
      <c r="AO418" s="441"/>
      <c r="AP418" s="441"/>
      <c r="AQ418" s="441"/>
      <c r="AR418" s="441"/>
      <c r="AS418" s="441"/>
      <c r="AT418" s="441"/>
      <c r="AU418" s="441"/>
      <c r="AV418" s="441"/>
      <c r="AW418" s="441"/>
      <c r="AX418" s="441"/>
      <c r="AY418" s="441"/>
      <c r="AZ418" s="441"/>
      <c r="BA418" s="441"/>
    </row>
    <row r="419">
      <c r="A419" s="441"/>
      <c r="B419" s="441"/>
      <c r="C419" s="441"/>
      <c r="D419" s="441"/>
      <c r="E419" s="441"/>
      <c r="F419" s="441"/>
      <c r="G419" s="441"/>
      <c r="H419" s="441"/>
      <c r="I419" s="441"/>
      <c r="J419" s="441"/>
      <c r="K419" s="441"/>
      <c r="L419" s="441"/>
      <c r="M419" s="441"/>
      <c r="N419" s="441"/>
      <c r="O419" s="441"/>
      <c r="P419" s="441"/>
      <c r="Q419" s="441"/>
      <c r="R419" s="441"/>
      <c r="S419" s="441"/>
      <c r="T419" s="441"/>
      <c r="U419" s="441"/>
      <c r="V419" s="441"/>
      <c r="W419" s="441"/>
      <c r="X419" s="441"/>
      <c r="Y419" s="441"/>
      <c r="Z419" s="441"/>
      <c r="AA419" s="441"/>
      <c r="AB419" s="441"/>
      <c r="AC419" s="441"/>
      <c r="AD419" s="441"/>
      <c r="AE419" s="441"/>
      <c r="AF419" s="441"/>
      <c r="AG419" s="441"/>
      <c r="AH419" s="441"/>
      <c r="AI419" s="441"/>
      <c r="AJ419" s="441"/>
      <c r="AK419" s="441"/>
      <c r="AL419" s="441"/>
      <c r="AM419" s="441"/>
      <c r="AN419" s="441"/>
      <c r="AO419" s="441"/>
      <c r="AP419" s="441"/>
      <c r="AQ419" s="441"/>
      <c r="AR419" s="441"/>
      <c r="AS419" s="441"/>
      <c r="AT419" s="441"/>
      <c r="AU419" s="441"/>
      <c r="AV419" s="441"/>
      <c r="AW419" s="441"/>
      <c r="AX419" s="441"/>
      <c r="AY419" s="441"/>
      <c r="AZ419" s="441"/>
      <c r="BA419" s="441"/>
    </row>
    <row r="420">
      <c r="A420" s="441"/>
      <c r="B420" s="441"/>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1"/>
      <c r="AD420" s="441"/>
      <c r="AE420" s="441"/>
      <c r="AF420" s="441"/>
      <c r="AG420" s="441"/>
      <c r="AH420" s="441"/>
      <c r="AI420" s="441"/>
      <c r="AJ420" s="441"/>
      <c r="AK420" s="441"/>
      <c r="AL420" s="441"/>
      <c r="AM420" s="441"/>
      <c r="AN420" s="441"/>
      <c r="AO420" s="441"/>
      <c r="AP420" s="441"/>
      <c r="AQ420" s="441"/>
      <c r="AR420" s="441"/>
      <c r="AS420" s="441"/>
      <c r="AT420" s="441"/>
      <c r="AU420" s="441"/>
      <c r="AV420" s="441"/>
      <c r="AW420" s="441"/>
      <c r="AX420" s="441"/>
      <c r="AY420" s="441"/>
      <c r="AZ420" s="441"/>
      <c r="BA420" s="441"/>
    </row>
    <row r="421">
      <c r="A421" s="441"/>
      <c r="B421" s="441"/>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c r="AF421" s="441"/>
      <c r="AG421" s="441"/>
      <c r="AH421" s="441"/>
      <c r="AI421" s="441"/>
      <c r="AJ421" s="441"/>
      <c r="AK421" s="441"/>
      <c r="AL421" s="441"/>
      <c r="AM421" s="441"/>
      <c r="AN421" s="441"/>
      <c r="AO421" s="441"/>
      <c r="AP421" s="441"/>
      <c r="AQ421" s="441"/>
      <c r="AR421" s="441"/>
      <c r="AS421" s="441"/>
      <c r="AT421" s="441"/>
      <c r="AU421" s="441"/>
      <c r="AV421" s="441"/>
      <c r="AW421" s="441"/>
      <c r="AX421" s="441"/>
      <c r="AY421" s="441"/>
      <c r="AZ421" s="441"/>
      <c r="BA421" s="441"/>
    </row>
    <row r="422">
      <c r="A422" s="441"/>
      <c r="B422" s="441"/>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c r="AA422" s="441"/>
      <c r="AB422" s="441"/>
      <c r="AC422" s="441"/>
      <c r="AD422" s="441"/>
      <c r="AE422" s="441"/>
      <c r="AF422" s="441"/>
      <c r="AG422" s="441"/>
      <c r="AH422" s="441"/>
      <c r="AI422" s="441"/>
      <c r="AJ422" s="441"/>
      <c r="AK422" s="441"/>
      <c r="AL422" s="441"/>
      <c r="AM422" s="441"/>
      <c r="AN422" s="441"/>
      <c r="AO422" s="441"/>
      <c r="AP422" s="441"/>
      <c r="AQ422" s="441"/>
      <c r="AR422" s="441"/>
      <c r="AS422" s="441"/>
      <c r="AT422" s="441"/>
      <c r="AU422" s="441"/>
      <c r="AV422" s="441"/>
      <c r="AW422" s="441"/>
      <c r="AX422" s="441"/>
      <c r="AY422" s="441"/>
      <c r="AZ422" s="441"/>
      <c r="BA422" s="441"/>
    </row>
    <row r="423">
      <c r="A423" s="441"/>
      <c r="B423" s="441"/>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1"/>
      <c r="Z423" s="441"/>
      <c r="AA423" s="441"/>
      <c r="AB423" s="441"/>
      <c r="AC423" s="441"/>
      <c r="AD423" s="441"/>
      <c r="AE423" s="441"/>
      <c r="AF423" s="441"/>
      <c r="AG423" s="441"/>
      <c r="AH423" s="441"/>
      <c r="AI423" s="441"/>
      <c r="AJ423" s="441"/>
      <c r="AK423" s="441"/>
      <c r="AL423" s="441"/>
      <c r="AM423" s="441"/>
      <c r="AN423" s="441"/>
      <c r="AO423" s="441"/>
      <c r="AP423" s="441"/>
      <c r="AQ423" s="441"/>
      <c r="AR423" s="441"/>
      <c r="AS423" s="441"/>
      <c r="AT423" s="441"/>
      <c r="AU423" s="441"/>
      <c r="AV423" s="441"/>
      <c r="AW423" s="441"/>
      <c r="AX423" s="441"/>
      <c r="AY423" s="441"/>
      <c r="AZ423" s="441"/>
      <c r="BA423" s="441"/>
    </row>
    <row r="424">
      <c r="A424" s="441"/>
      <c r="B424" s="441"/>
      <c r="C424" s="441"/>
      <c r="D424" s="441"/>
      <c r="E424" s="441"/>
      <c r="F424" s="441"/>
      <c r="G424" s="441"/>
      <c r="H424" s="441"/>
      <c r="I424" s="441"/>
      <c r="J424" s="441"/>
      <c r="K424" s="441"/>
      <c r="L424" s="441"/>
      <c r="M424" s="441"/>
      <c r="N424" s="441"/>
      <c r="O424" s="441"/>
      <c r="P424" s="441"/>
      <c r="Q424" s="441"/>
      <c r="R424" s="441"/>
      <c r="S424" s="441"/>
      <c r="T424" s="441"/>
      <c r="U424" s="441"/>
      <c r="V424" s="441"/>
      <c r="W424" s="441"/>
      <c r="X424" s="441"/>
      <c r="Y424" s="441"/>
      <c r="Z424" s="441"/>
      <c r="AA424" s="441"/>
      <c r="AB424" s="441"/>
      <c r="AC424" s="441"/>
      <c r="AD424" s="441"/>
      <c r="AE424" s="441"/>
      <c r="AF424" s="441"/>
      <c r="AG424" s="441"/>
      <c r="AH424" s="441"/>
      <c r="AI424" s="441"/>
      <c r="AJ424" s="441"/>
      <c r="AK424" s="441"/>
      <c r="AL424" s="441"/>
      <c r="AM424" s="441"/>
      <c r="AN424" s="441"/>
      <c r="AO424" s="441"/>
      <c r="AP424" s="441"/>
      <c r="AQ424" s="441"/>
      <c r="AR424" s="441"/>
      <c r="AS424" s="441"/>
      <c r="AT424" s="441"/>
      <c r="AU424" s="441"/>
      <c r="AV424" s="441"/>
      <c r="AW424" s="441"/>
      <c r="AX424" s="441"/>
      <c r="AY424" s="441"/>
      <c r="AZ424" s="441"/>
      <c r="BA424" s="441"/>
    </row>
    <row r="425">
      <c r="A425" s="441"/>
      <c r="B425" s="441"/>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c r="AA425" s="441"/>
      <c r="AB425" s="441"/>
      <c r="AC425" s="441"/>
      <c r="AD425" s="441"/>
      <c r="AE425" s="441"/>
      <c r="AF425" s="441"/>
      <c r="AG425" s="441"/>
      <c r="AH425" s="441"/>
      <c r="AI425" s="441"/>
      <c r="AJ425" s="441"/>
      <c r="AK425" s="441"/>
      <c r="AL425" s="441"/>
      <c r="AM425" s="441"/>
      <c r="AN425" s="441"/>
      <c r="AO425" s="441"/>
      <c r="AP425" s="441"/>
      <c r="AQ425" s="441"/>
      <c r="AR425" s="441"/>
      <c r="AS425" s="441"/>
      <c r="AT425" s="441"/>
      <c r="AU425" s="441"/>
      <c r="AV425" s="441"/>
      <c r="AW425" s="441"/>
      <c r="AX425" s="441"/>
      <c r="AY425" s="441"/>
      <c r="AZ425" s="441"/>
      <c r="BA425" s="441"/>
    </row>
    <row r="426">
      <c r="A426" s="441"/>
      <c r="B426" s="441"/>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c r="AA426" s="441"/>
      <c r="AB426" s="441"/>
      <c r="AC426" s="441"/>
      <c r="AD426" s="441"/>
      <c r="AE426" s="441"/>
      <c r="AF426" s="441"/>
      <c r="AG426" s="441"/>
      <c r="AH426" s="441"/>
      <c r="AI426" s="441"/>
      <c r="AJ426" s="441"/>
      <c r="AK426" s="441"/>
      <c r="AL426" s="441"/>
      <c r="AM426" s="441"/>
      <c r="AN426" s="441"/>
      <c r="AO426" s="441"/>
      <c r="AP426" s="441"/>
      <c r="AQ426" s="441"/>
      <c r="AR426" s="441"/>
      <c r="AS426" s="441"/>
      <c r="AT426" s="441"/>
      <c r="AU426" s="441"/>
      <c r="AV426" s="441"/>
      <c r="AW426" s="441"/>
      <c r="AX426" s="441"/>
      <c r="AY426" s="441"/>
      <c r="AZ426" s="441"/>
      <c r="BA426" s="441"/>
    </row>
    <row r="427">
      <c r="A427" s="441"/>
      <c r="B427" s="441"/>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c r="AA427" s="441"/>
      <c r="AB427" s="441"/>
      <c r="AC427" s="441"/>
      <c r="AD427" s="441"/>
      <c r="AE427" s="441"/>
      <c r="AF427" s="441"/>
      <c r="AG427" s="441"/>
      <c r="AH427" s="441"/>
      <c r="AI427" s="441"/>
      <c r="AJ427" s="441"/>
      <c r="AK427" s="441"/>
      <c r="AL427" s="441"/>
      <c r="AM427" s="441"/>
      <c r="AN427" s="441"/>
      <c r="AO427" s="441"/>
      <c r="AP427" s="441"/>
      <c r="AQ427" s="441"/>
      <c r="AR427" s="441"/>
      <c r="AS427" s="441"/>
      <c r="AT427" s="441"/>
      <c r="AU427" s="441"/>
      <c r="AV427" s="441"/>
      <c r="AW427" s="441"/>
      <c r="AX427" s="441"/>
      <c r="AY427" s="441"/>
      <c r="AZ427" s="441"/>
      <c r="BA427" s="441"/>
    </row>
    <row r="428">
      <c r="A428" s="441"/>
      <c r="B428" s="441"/>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c r="AA428" s="441"/>
      <c r="AB428" s="441"/>
      <c r="AC428" s="441"/>
      <c r="AD428" s="441"/>
      <c r="AE428" s="441"/>
      <c r="AF428" s="441"/>
      <c r="AG428" s="441"/>
      <c r="AH428" s="441"/>
      <c r="AI428" s="441"/>
      <c r="AJ428" s="441"/>
      <c r="AK428" s="441"/>
      <c r="AL428" s="441"/>
      <c r="AM428" s="441"/>
      <c r="AN428" s="441"/>
      <c r="AO428" s="441"/>
      <c r="AP428" s="441"/>
      <c r="AQ428" s="441"/>
      <c r="AR428" s="441"/>
      <c r="AS428" s="441"/>
      <c r="AT428" s="441"/>
      <c r="AU428" s="441"/>
      <c r="AV428" s="441"/>
      <c r="AW428" s="441"/>
      <c r="AX428" s="441"/>
      <c r="AY428" s="441"/>
      <c r="AZ428" s="441"/>
      <c r="BA428" s="441"/>
    </row>
    <row r="429">
      <c r="A429" s="441"/>
      <c r="B429" s="441"/>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1"/>
      <c r="AJ429" s="441"/>
      <c r="AK429" s="441"/>
      <c r="AL429" s="441"/>
      <c r="AM429" s="441"/>
      <c r="AN429" s="441"/>
      <c r="AO429" s="441"/>
      <c r="AP429" s="441"/>
      <c r="AQ429" s="441"/>
      <c r="AR429" s="441"/>
      <c r="AS429" s="441"/>
      <c r="AT429" s="441"/>
      <c r="AU429" s="441"/>
      <c r="AV429" s="441"/>
      <c r="AW429" s="441"/>
      <c r="AX429" s="441"/>
      <c r="AY429" s="441"/>
      <c r="AZ429" s="441"/>
      <c r="BA429" s="441"/>
    </row>
    <row r="430">
      <c r="A430" s="441"/>
      <c r="B430" s="441"/>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c r="AA430" s="441"/>
      <c r="AB430" s="441"/>
      <c r="AC430" s="441"/>
      <c r="AD430" s="441"/>
      <c r="AE430" s="441"/>
      <c r="AF430" s="441"/>
      <c r="AG430" s="441"/>
      <c r="AH430" s="441"/>
      <c r="AI430" s="441"/>
      <c r="AJ430" s="441"/>
      <c r="AK430" s="441"/>
      <c r="AL430" s="441"/>
      <c r="AM430" s="441"/>
      <c r="AN430" s="441"/>
      <c r="AO430" s="441"/>
      <c r="AP430" s="441"/>
      <c r="AQ430" s="441"/>
      <c r="AR430" s="441"/>
      <c r="AS430" s="441"/>
      <c r="AT430" s="441"/>
      <c r="AU430" s="441"/>
      <c r="AV430" s="441"/>
      <c r="AW430" s="441"/>
      <c r="AX430" s="441"/>
      <c r="AY430" s="441"/>
      <c r="AZ430" s="441"/>
      <c r="BA430" s="441"/>
    </row>
    <row r="431">
      <c r="A431" s="441"/>
      <c r="B431" s="441"/>
      <c r="C431" s="441"/>
      <c r="D431" s="441"/>
      <c r="E431" s="441"/>
      <c r="F431" s="441"/>
      <c r="G431" s="441"/>
      <c r="H431" s="441"/>
      <c r="I431" s="441"/>
      <c r="J431" s="441"/>
      <c r="K431" s="441"/>
      <c r="L431" s="441"/>
      <c r="M431" s="441"/>
      <c r="N431" s="441"/>
      <c r="O431" s="441"/>
      <c r="P431" s="441"/>
      <c r="Q431" s="441"/>
      <c r="R431" s="441"/>
      <c r="S431" s="441"/>
      <c r="T431" s="441"/>
      <c r="U431" s="441"/>
      <c r="V431" s="441"/>
      <c r="W431" s="441"/>
      <c r="X431" s="441"/>
      <c r="Y431" s="441"/>
      <c r="Z431" s="441"/>
      <c r="AA431" s="441"/>
      <c r="AB431" s="441"/>
      <c r="AC431" s="441"/>
      <c r="AD431" s="441"/>
      <c r="AE431" s="441"/>
      <c r="AF431" s="441"/>
      <c r="AG431" s="441"/>
      <c r="AH431" s="441"/>
      <c r="AI431" s="441"/>
      <c r="AJ431" s="441"/>
      <c r="AK431" s="441"/>
      <c r="AL431" s="441"/>
      <c r="AM431" s="441"/>
      <c r="AN431" s="441"/>
      <c r="AO431" s="441"/>
      <c r="AP431" s="441"/>
      <c r="AQ431" s="441"/>
      <c r="AR431" s="441"/>
      <c r="AS431" s="441"/>
      <c r="AT431" s="441"/>
      <c r="AU431" s="441"/>
      <c r="AV431" s="441"/>
      <c r="AW431" s="441"/>
      <c r="AX431" s="441"/>
      <c r="AY431" s="441"/>
      <c r="AZ431" s="441"/>
      <c r="BA431" s="441"/>
    </row>
    <row r="432">
      <c r="A432" s="441"/>
      <c r="B432" s="441"/>
      <c r="C432" s="441"/>
      <c r="D432" s="441"/>
      <c r="E432" s="441"/>
      <c r="F432" s="441"/>
      <c r="G432" s="441"/>
      <c r="H432" s="441"/>
      <c r="I432" s="441"/>
      <c r="J432" s="441"/>
      <c r="K432" s="441"/>
      <c r="L432" s="441"/>
      <c r="M432" s="441"/>
      <c r="N432" s="441"/>
      <c r="O432" s="441"/>
      <c r="P432" s="441"/>
      <c r="Q432" s="441"/>
      <c r="R432" s="441"/>
      <c r="S432" s="441"/>
      <c r="T432" s="441"/>
      <c r="U432" s="441"/>
      <c r="V432" s="441"/>
      <c r="W432" s="441"/>
      <c r="X432" s="441"/>
      <c r="Y432" s="441"/>
      <c r="Z432" s="441"/>
      <c r="AA432" s="441"/>
      <c r="AB432" s="441"/>
      <c r="AC432" s="441"/>
      <c r="AD432" s="441"/>
      <c r="AE432" s="441"/>
      <c r="AF432" s="441"/>
      <c r="AG432" s="441"/>
      <c r="AH432" s="441"/>
      <c r="AI432" s="441"/>
      <c r="AJ432" s="441"/>
      <c r="AK432" s="441"/>
      <c r="AL432" s="441"/>
      <c r="AM432" s="441"/>
      <c r="AN432" s="441"/>
      <c r="AO432" s="441"/>
      <c r="AP432" s="441"/>
      <c r="AQ432" s="441"/>
      <c r="AR432" s="441"/>
      <c r="AS432" s="441"/>
      <c r="AT432" s="441"/>
      <c r="AU432" s="441"/>
      <c r="AV432" s="441"/>
      <c r="AW432" s="441"/>
      <c r="AX432" s="441"/>
      <c r="AY432" s="441"/>
      <c r="AZ432" s="441"/>
      <c r="BA432" s="441"/>
    </row>
    <row r="433">
      <c r="A433" s="441"/>
      <c r="B433" s="441"/>
      <c r="C433" s="441"/>
      <c r="D433" s="441"/>
      <c r="E433" s="441"/>
      <c r="F433" s="441"/>
      <c r="G433" s="441"/>
      <c r="H433" s="441"/>
      <c r="I433" s="441"/>
      <c r="J433" s="441"/>
      <c r="K433" s="441"/>
      <c r="L433" s="441"/>
      <c r="M433" s="441"/>
      <c r="N433" s="441"/>
      <c r="O433" s="441"/>
      <c r="P433" s="441"/>
      <c r="Q433" s="441"/>
      <c r="R433" s="441"/>
      <c r="S433" s="441"/>
      <c r="T433" s="441"/>
      <c r="U433" s="441"/>
      <c r="V433" s="441"/>
      <c r="W433" s="441"/>
      <c r="X433" s="441"/>
      <c r="Y433" s="441"/>
      <c r="Z433" s="441"/>
      <c r="AA433" s="441"/>
      <c r="AB433" s="441"/>
      <c r="AC433" s="441"/>
      <c r="AD433" s="441"/>
      <c r="AE433" s="441"/>
      <c r="AF433" s="441"/>
      <c r="AG433" s="441"/>
      <c r="AH433" s="441"/>
      <c r="AI433" s="441"/>
      <c r="AJ433" s="441"/>
      <c r="AK433" s="441"/>
      <c r="AL433" s="441"/>
      <c r="AM433" s="441"/>
      <c r="AN433" s="441"/>
      <c r="AO433" s="441"/>
      <c r="AP433" s="441"/>
      <c r="AQ433" s="441"/>
      <c r="AR433" s="441"/>
      <c r="AS433" s="441"/>
      <c r="AT433" s="441"/>
      <c r="AU433" s="441"/>
      <c r="AV433" s="441"/>
      <c r="AW433" s="441"/>
      <c r="AX433" s="441"/>
      <c r="AY433" s="441"/>
      <c r="AZ433" s="441"/>
      <c r="BA433" s="441"/>
    </row>
    <row r="434">
      <c r="A434" s="441"/>
      <c r="B434" s="441"/>
      <c r="C434" s="441"/>
      <c r="D434" s="441"/>
      <c r="E434" s="441"/>
      <c r="F434" s="441"/>
      <c r="G434" s="441"/>
      <c r="H434" s="441"/>
      <c r="I434" s="441"/>
      <c r="J434" s="441"/>
      <c r="K434" s="441"/>
      <c r="L434" s="441"/>
      <c r="M434" s="441"/>
      <c r="N434" s="441"/>
      <c r="O434" s="441"/>
      <c r="P434" s="441"/>
      <c r="Q434" s="441"/>
      <c r="R434" s="441"/>
      <c r="S434" s="441"/>
      <c r="T434" s="441"/>
      <c r="U434" s="441"/>
      <c r="V434" s="441"/>
      <c r="W434" s="441"/>
      <c r="X434" s="441"/>
      <c r="Y434" s="441"/>
      <c r="Z434" s="441"/>
      <c r="AA434" s="441"/>
      <c r="AB434" s="441"/>
      <c r="AC434" s="441"/>
      <c r="AD434" s="441"/>
      <c r="AE434" s="441"/>
      <c r="AF434" s="441"/>
      <c r="AG434" s="441"/>
      <c r="AH434" s="441"/>
      <c r="AI434" s="441"/>
      <c r="AJ434" s="441"/>
      <c r="AK434" s="441"/>
      <c r="AL434" s="441"/>
      <c r="AM434" s="441"/>
      <c r="AN434" s="441"/>
      <c r="AO434" s="441"/>
      <c r="AP434" s="441"/>
      <c r="AQ434" s="441"/>
      <c r="AR434" s="441"/>
      <c r="AS434" s="441"/>
      <c r="AT434" s="441"/>
      <c r="AU434" s="441"/>
      <c r="AV434" s="441"/>
      <c r="AW434" s="441"/>
      <c r="AX434" s="441"/>
      <c r="AY434" s="441"/>
      <c r="AZ434" s="441"/>
      <c r="BA434" s="441"/>
    </row>
    <row r="435">
      <c r="A435" s="441"/>
      <c r="B435" s="441"/>
      <c r="C435" s="441"/>
      <c r="D435" s="441"/>
      <c r="E435" s="441"/>
      <c r="F435" s="441"/>
      <c r="G435" s="441"/>
      <c r="H435" s="441"/>
      <c r="I435" s="441"/>
      <c r="J435" s="441"/>
      <c r="K435" s="441"/>
      <c r="L435" s="441"/>
      <c r="M435" s="441"/>
      <c r="N435" s="441"/>
      <c r="O435" s="441"/>
      <c r="P435" s="441"/>
      <c r="Q435" s="441"/>
      <c r="R435" s="441"/>
      <c r="S435" s="441"/>
      <c r="T435" s="441"/>
      <c r="U435" s="441"/>
      <c r="V435" s="441"/>
      <c r="W435" s="441"/>
      <c r="X435" s="441"/>
      <c r="Y435" s="441"/>
      <c r="Z435" s="441"/>
      <c r="AA435" s="441"/>
      <c r="AB435" s="441"/>
      <c r="AC435" s="441"/>
      <c r="AD435" s="441"/>
      <c r="AE435" s="441"/>
      <c r="AF435" s="441"/>
      <c r="AG435" s="441"/>
      <c r="AH435" s="441"/>
      <c r="AI435" s="441"/>
      <c r="AJ435" s="441"/>
      <c r="AK435" s="441"/>
      <c r="AL435" s="441"/>
      <c r="AM435" s="441"/>
      <c r="AN435" s="441"/>
      <c r="AO435" s="441"/>
      <c r="AP435" s="441"/>
      <c r="AQ435" s="441"/>
      <c r="AR435" s="441"/>
      <c r="AS435" s="441"/>
      <c r="AT435" s="441"/>
      <c r="AU435" s="441"/>
      <c r="AV435" s="441"/>
      <c r="AW435" s="441"/>
      <c r="AX435" s="441"/>
      <c r="AY435" s="441"/>
      <c r="AZ435" s="441"/>
      <c r="BA435" s="441"/>
    </row>
    <row r="436">
      <c r="A436" s="441"/>
      <c r="B436" s="441"/>
      <c r="C436" s="441"/>
      <c r="D436" s="441"/>
      <c r="E436" s="441"/>
      <c r="F436" s="441"/>
      <c r="G436" s="441"/>
      <c r="H436" s="441"/>
      <c r="I436" s="441"/>
      <c r="J436" s="441"/>
      <c r="K436" s="441"/>
      <c r="L436" s="441"/>
      <c r="M436" s="441"/>
      <c r="N436" s="441"/>
      <c r="O436" s="441"/>
      <c r="P436" s="441"/>
      <c r="Q436" s="441"/>
      <c r="R436" s="441"/>
      <c r="S436" s="441"/>
      <c r="T436" s="441"/>
      <c r="U436" s="441"/>
      <c r="V436" s="441"/>
      <c r="W436" s="441"/>
      <c r="X436" s="441"/>
      <c r="Y436" s="441"/>
      <c r="Z436" s="441"/>
      <c r="AA436" s="441"/>
      <c r="AB436" s="441"/>
      <c r="AC436" s="441"/>
      <c r="AD436" s="441"/>
      <c r="AE436" s="441"/>
      <c r="AF436" s="441"/>
      <c r="AG436" s="441"/>
      <c r="AH436" s="441"/>
      <c r="AI436" s="441"/>
      <c r="AJ436" s="441"/>
      <c r="AK436" s="441"/>
      <c r="AL436" s="441"/>
      <c r="AM436" s="441"/>
      <c r="AN436" s="441"/>
      <c r="AO436" s="441"/>
      <c r="AP436" s="441"/>
      <c r="AQ436" s="441"/>
      <c r="AR436" s="441"/>
      <c r="AS436" s="441"/>
      <c r="AT436" s="441"/>
      <c r="AU436" s="441"/>
      <c r="AV436" s="441"/>
      <c r="AW436" s="441"/>
      <c r="AX436" s="441"/>
      <c r="AY436" s="441"/>
      <c r="AZ436" s="441"/>
      <c r="BA436" s="441"/>
    </row>
    <row r="437">
      <c r="A437" s="441"/>
      <c r="B437" s="441"/>
      <c r="C437" s="441"/>
      <c r="D437" s="441"/>
      <c r="E437" s="441"/>
      <c r="F437" s="441"/>
      <c r="G437" s="441"/>
      <c r="H437" s="441"/>
      <c r="I437" s="441"/>
      <c r="J437" s="441"/>
      <c r="K437" s="441"/>
      <c r="L437" s="441"/>
      <c r="M437" s="441"/>
      <c r="N437" s="441"/>
      <c r="O437" s="441"/>
      <c r="P437" s="441"/>
      <c r="Q437" s="441"/>
      <c r="R437" s="441"/>
      <c r="S437" s="441"/>
      <c r="T437" s="441"/>
      <c r="U437" s="441"/>
      <c r="V437" s="441"/>
      <c r="W437" s="441"/>
      <c r="X437" s="441"/>
      <c r="Y437" s="441"/>
      <c r="Z437" s="441"/>
      <c r="AA437" s="441"/>
      <c r="AB437" s="441"/>
      <c r="AC437" s="441"/>
      <c r="AD437" s="441"/>
      <c r="AE437" s="441"/>
      <c r="AF437" s="441"/>
      <c r="AG437" s="441"/>
      <c r="AH437" s="441"/>
      <c r="AI437" s="441"/>
      <c r="AJ437" s="441"/>
      <c r="AK437" s="441"/>
      <c r="AL437" s="441"/>
      <c r="AM437" s="441"/>
      <c r="AN437" s="441"/>
      <c r="AO437" s="441"/>
      <c r="AP437" s="441"/>
      <c r="AQ437" s="441"/>
      <c r="AR437" s="441"/>
      <c r="AS437" s="441"/>
      <c r="AT437" s="441"/>
      <c r="AU437" s="441"/>
      <c r="AV437" s="441"/>
      <c r="AW437" s="441"/>
      <c r="AX437" s="441"/>
      <c r="AY437" s="441"/>
      <c r="AZ437" s="441"/>
      <c r="BA437" s="441"/>
    </row>
    <row r="438">
      <c r="A438" s="441"/>
      <c r="B438" s="441"/>
      <c r="C438" s="441"/>
      <c r="D438" s="441"/>
      <c r="E438" s="441"/>
      <c r="F438" s="441"/>
      <c r="G438" s="441"/>
      <c r="H438" s="441"/>
      <c r="I438" s="441"/>
      <c r="J438" s="441"/>
      <c r="K438" s="441"/>
      <c r="L438" s="441"/>
      <c r="M438" s="441"/>
      <c r="N438" s="441"/>
      <c r="O438" s="441"/>
      <c r="P438" s="441"/>
      <c r="Q438" s="441"/>
      <c r="R438" s="441"/>
      <c r="S438" s="441"/>
      <c r="T438" s="441"/>
      <c r="U438" s="441"/>
      <c r="V438" s="441"/>
      <c r="W438" s="441"/>
      <c r="X438" s="441"/>
      <c r="Y438" s="441"/>
      <c r="Z438" s="441"/>
      <c r="AA438" s="441"/>
      <c r="AB438" s="441"/>
      <c r="AC438" s="441"/>
      <c r="AD438" s="441"/>
      <c r="AE438" s="441"/>
      <c r="AF438" s="441"/>
      <c r="AG438" s="441"/>
      <c r="AH438" s="441"/>
      <c r="AI438" s="441"/>
      <c r="AJ438" s="441"/>
      <c r="AK438" s="441"/>
      <c r="AL438" s="441"/>
      <c r="AM438" s="441"/>
      <c r="AN438" s="441"/>
      <c r="AO438" s="441"/>
      <c r="AP438" s="441"/>
      <c r="AQ438" s="441"/>
      <c r="AR438" s="441"/>
      <c r="AS438" s="441"/>
      <c r="AT438" s="441"/>
      <c r="AU438" s="441"/>
      <c r="AV438" s="441"/>
      <c r="AW438" s="441"/>
      <c r="AX438" s="441"/>
      <c r="AY438" s="441"/>
      <c r="AZ438" s="441"/>
      <c r="BA438" s="441"/>
    </row>
    <row r="439">
      <c r="A439" s="441"/>
      <c r="B439" s="441"/>
      <c r="C439" s="441"/>
      <c r="D439" s="441"/>
      <c r="E439" s="441"/>
      <c r="F439" s="441"/>
      <c r="G439" s="441"/>
      <c r="H439" s="441"/>
      <c r="I439" s="441"/>
      <c r="J439" s="441"/>
      <c r="K439" s="441"/>
      <c r="L439" s="441"/>
      <c r="M439" s="441"/>
      <c r="N439" s="441"/>
      <c r="O439" s="441"/>
      <c r="P439" s="441"/>
      <c r="Q439" s="441"/>
      <c r="R439" s="441"/>
      <c r="S439" s="441"/>
      <c r="T439" s="441"/>
      <c r="U439" s="441"/>
      <c r="V439" s="441"/>
      <c r="W439" s="441"/>
      <c r="X439" s="441"/>
      <c r="Y439" s="441"/>
      <c r="Z439" s="441"/>
      <c r="AA439" s="441"/>
      <c r="AB439" s="441"/>
      <c r="AC439" s="441"/>
      <c r="AD439" s="441"/>
      <c r="AE439" s="441"/>
      <c r="AF439" s="441"/>
      <c r="AG439" s="441"/>
      <c r="AH439" s="441"/>
      <c r="AI439" s="441"/>
      <c r="AJ439" s="441"/>
      <c r="AK439" s="441"/>
      <c r="AL439" s="441"/>
      <c r="AM439" s="441"/>
      <c r="AN439" s="441"/>
      <c r="AO439" s="441"/>
      <c r="AP439" s="441"/>
      <c r="AQ439" s="441"/>
      <c r="AR439" s="441"/>
      <c r="AS439" s="441"/>
      <c r="AT439" s="441"/>
      <c r="AU439" s="441"/>
      <c r="AV439" s="441"/>
      <c r="AW439" s="441"/>
      <c r="AX439" s="441"/>
      <c r="AY439" s="441"/>
      <c r="AZ439" s="441"/>
      <c r="BA439" s="441"/>
    </row>
    <row r="440">
      <c r="A440" s="441"/>
      <c r="B440" s="441"/>
      <c r="C440" s="441"/>
      <c r="D440" s="441"/>
      <c r="E440" s="441"/>
      <c r="F440" s="441"/>
      <c r="G440" s="441"/>
      <c r="H440" s="441"/>
      <c r="I440" s="441"/>
      <c r="J440" s="441"/>
      <c r="K440" s="441"/>
      <c r="L440" s="441"/>
      <c r="M440" s="441"/>
      <c r="N440" s="441"/>
      <c r="O440" s="441"/>
      <c r="P440" s="441"/>
      <c r="Q440" s="441"/>
      <c r="R440" s="441"/>
      <c r="S440" s="441"/>
      <c r="T440" s="441"/>
      <c r="U440" s="441"/>
      <c r="V440" s="441"/>
      <c r="W440" s="441"/>
      <c r="X440" s="441"/>
      <c r="Y440" s="441"/>
      <c r="Z440" s="441"/>
      <c r="AA440" s="441"/>
      <c r="AB440" s="441"/>
      <c r="AC440" s="441"/>
      <c r="AD440" s="441"/>
      <c r="AE440" s="441"/>
      <c r="AF440" s="441"/>
      <c r="AG440" s="441"/>
      <c r="AH440" s="441"/>
      <c r="AI440" s="441"/>
      <c r="AJ440" s="441"/>
      <c r="AK440" s="441"/>
      <c r="AL440" s="441"/>
      <c r="AM440" s="441"/>
      <c r="AN440" s="441"/>
      <c r="AO440" s="441"/>
      <c r="AP440" s="441"/>
      <c r="AQ440" s="441"/>
      <c r="AR440" s="441"/>
      <c r="AS440" s="441"/>
      <c r="AT440" s="441"/>
      <c r="AU440" s="441"/>
      <c r="AV440" s="441"/>
      <c r="AW440" s="441"/>
      <c r="AX440" s="441"/>
      <c r="AY440" s="441"/>
      <c r="AZ440" s="441"/>
      <c r="BA440" s="441"/>
    </row>
    <row r="441">
      <c r="A441" s="441"/>
      <c r="B441" s="441"/>
      <c r="C441" s="441"/>
      <c r="D441" s="441"/>
      <c r="E441" s="441"/>
      <c r="F441" s="441"/>
      <c r="G441" s="441"/>
      <c r="H441" s="441"/>
      <c r="I441" s="441"/>
      <c r="J441" s="441"/>
      <c r="K441" s="441"/>
      <c r="L441" s="441"/>
      <c r="M441" s="441"/>
      <c r="N441" s="441"/>
      <c r="O441" s="441"/>
      <c r="P441" s="441"/>
      <c r="Q441" s="441"/>
      <c r="R441" s="441"/>
      <c r="S441" s="441"/>
      <c r="T441" s="441"/>
      <c r="U441" s="441"/>
      <c r="V441" s="441"/>
      <c r="W441" s="441"/>
      <c r="X441" s="441"/>
      <c r="Y441" s="441"/>
      <c r="Z441" s="441"/>
      <c r="AA441" s="441"/>
      <c r="AB441" s="441"/>
      <c r="AC441" s="441"/>
      <c r="AD441" s="441"/>
      <c r="AE441" s="441"/>
      <c r="AF441" s="441"/>
      <c r="AG441" s="441"/>
      <c r="AH441" s="441"/>
      <c r="AI441" s="441"/>
      <c r="AJ441" s="441"/>
      <c r="AK441" s="441"/>
      <c r="AL441" s="441"/>
      <c r="AM441" s="441"/>
      <c r="AN441" s="441"/>
      <c r="AO441" s="441"/>
      <c r="AP441" s="441"/>
      <c r="AQ441" s="441"/>
      <c r="AR441" s="441"/>
      <c r="AS441" s="441"/>
      <c r="AT441" s="441"/>
      <c r="AU441" s="441"/>
      <c r="AV441" s="441"/>
      <c r="AW441" s="441"/>
      <c r="AX441" s="441"/>
      <c r="AY441" s="441"/>
      <c r="AZ441" s="441"/>
      <c r="BA441" s="441"/>
    </row>
    <row r="442">
      <c r="A442" s="441"/>
      <c r="B442" s="441"/>
      <c r="C442" s="441"/>
      <c r="D442" s="441"/>
      <c r="E442" s="441"/>
      <c r="F442" s="441"/>
      <c r="G442" s="441"/>
      <c r="H442" s="441"/>
      <c r="I442" s="441"/>
      <c r="J442" s="441"/>
      <c r="K442" s="441"/>
      <c r="L442" s="441"/>
      <c r="M442" s="441"/>
      <c r="N442" s="441"/>
      <c r="O442" s="441"/>
      <c r="P442" s="441"/>
      <c r="Q442" s="441"/>
      <c r="R442" s="441"/>
      <c r="S442" s="441"/>
      <c r="T442" s="441"/>
      <c r="U442" s="441"/>
      <c r="V442" s="441"/>
      <c r="W442" s="441"/>
      <c r="X442" s="441"/>
      <c r="Y442" s="441"/>
      <c r="Z442" s="441"/>
      <c r="AA442" s="441"/>
      <c r="AB442" s="441"/>
      <c r="AC442" s="441"/>
      <c r="AD442" s="441"/>
      <c r="AE442" s="441"/>
      <c r="AF442" s="441"/>
      <c r="AG442" s="441"/>
      <c r="AH442" s="441"/>
      <c r="AI442" s="441"/>
      <c r="AJ442" s="441"/>
      <c r="AK442" s="441"/>
      <c r="AL442" s="441"/>
      <c r="AM442" s="441"/>
      <c r="AN442" s="441"/>
      <c r="AO442" s="441"/>
      <c r="AP442" s="441"/>
      <c r="AQ442" s="441"/>
      <c r="AR442" s="441"/>
      <c r="AS442" s="441"/>
      <c r="AT442" s="441"/>
      <c r="AU442" s="441"/>
      <c r="AV442" s="441"/>
      <c r="AW442" s="441"/>
      <c r="AX442" s="441"/>
      <c r="AY442" s="441"/>
      <c r="AZ442" s="441"/>
      <c r="BA442" s="441"/>
    </row>
    <row r="443">
      <c r="A443" s="441"/>
      <c r="B443" s="441"/>
      <c r="C443" s="441"/>
      <c r="D443" s="441"/>
      <c r="E443" s="441"/>
      <c r="F443" s="441"/>
      <c r="G443" s="441"/>
      <c r="H443" s="441"/>
      <c r="I443" s="441"/>
      <c r="J443" s="441"/>
      <c r="K443" s="441"/>
      <c r="L443" s="441"/>
      <c r="M443" s="441"/>
      <c r="N443" s="441"/>
      <c r="O443" s="441"/>
      <c r="P443" s="441"/>
      <c r="Q443" s="441"/>
      <c r="R443" s="441"/>
      <c r="S443" s="441"/>
      <c r="T443" s="441"/>
      <c r="U443" s="441"/>
      <c r="V443" s="441"/>
      <c r="W443" s="441"/>
      <c r="X443" s="441"/>
      <c r="Y443" s="441"/>
      <c r="Z443" s="441"/>
      <c r="AA443" s="441"/>
      <c r="AB443" s="441"/>
      <c r="AC443" s="441"/>
      <c r="AD443" s="441"/>
      <c r="AE443" s="441"/>
      <c r="AF443" s="441"/>
      <c r="AG443" s="441"/>
      <c r="AH443" s="441"/>
      <c r="AI443" s="441"/>
      <c r="AJ443" s="441"/>
      <c r="AK443" s="441"/>
      <c r="AL443" s="441"/>
      <c r="AM443" s="441"/>
      <c r="AN443" s="441"/>
      <c r="AO443" s="441"/>
      <c r="AP443" s="441"/>
      <c r="AQ443" s="441"/>
      <c r="AR443" s="441"/>
      <c r="AS443" s="441"/>
      <c r="AT443" s="441"/>
      <c r="AU443" s="441"/>
      <c r="AV443" s="441"/>
      <c r="AW443" s="441"/>
      <c r="AX443" s="441"/>
      <c r="AY443" s="441"/>
      <c r="AZ443" s="441"/>
      <c r="BA443" s="441"/>
    </row>
    <row r="444">
      <c r="A444" s="441"/>
      <c r="B444" s="441"/>
      <c r="C444" s="441"/>
      <c r="D444" s="441"/>
      <c r="E444" s="441"/>
      <c r="F444" s="441"/>
      <c r="G444" s="441"/>
      <c r="H444" s="441"/>
      <c r="I444" s="441"/>
      <c r="J444" s="441"/>
      <c r="K444" s="441"/>
      <c r="L444" s="441"/>
      <c r="M444" s="441"/>
      <c r="N444" s="441"/>
      <c r="O444" s="441"/>
      <c r="P444" s="441"/>
      <c r="Q444" s="441"/>
      <c r="R444" s="441"/>
      <c r="S444" s="441"/>
      <c r="T444" s="441"/>
      <c r="U444" s="441"/>
      <c r="V444" s="441"/>
      <c r="W444" s="441"/>
      <c r="X444" s="441"/>
      <c r="Y444" s="441"/>
      <c r="Z444" s="441"/>
      <c r="AA444" s="441"/>
      <c r="AB444" s="441"/>
      <c r="AC444" s="441"/>
      <c r="AD444" s="441"/>
      <c r="AE444" s="441"/>
      <c r="AF444" s="441"/>
      <c r="AG444" s="441"/>
      <c r="AH444" s="441"/>
      <c r="AI444" s="441"/>
      <c r="AJ444" s="441"/>
      <c r="AK444" s="441"/>
      <c r="AL444" s="441"/>
      <c r="AM444" s="441"/>
      <c r="AN444" s="441"/>
      <c r="AO444" s="441"/>
      <c r="AP444" s="441"/>
      <c r="AQ444" s="441"/>
      <c r="AR444" s="441"/>
      <c r="AS444" s="441"/>
      <c r="AT444" s="441"/>
      <c r="AU444" s="441"/>
      <c r="AV444" s="441"/>
      <c r="AW444" s="441"/>
      <c r="AX444" s="441"/>
      <c r="AY444" s="441"/>
      <c r="AZ444" s="441"/>
      <c r="BA444" s="441"/>
    </row>
    <row r="445">
      <c r="A445" s="441"/>
      <c r="B445" s="441"/>
      <c r="C445" s="441"/>
      <c r="D445" s="441"/>
      <c r="E445" s="441"/>
      <c r="F445" s="441"/>
      <c r="G445" s="441"/>
      <c r="H445" s="441"/>
      <c r="I445" s="441"/>
      <c r="J445" s="441"/>
      <c r="K445" s="441"/>
      <c r="L445" s="441"/>
      <c r="M445" s="441"/>
      <c r="N445" s="441"/>
      <c r="O445" s="441"/>
      <c r="P445" s="441"/>
      <c r="Q445" s="441"/>
      <c r="R445" s="441"/>
      <c r="S445" s="441"/>
      <c r="T445" s="441"/>
      <c r="U445" s="441"/>
      <c r="V445" s="441"/>
      <c r="W445" s="441"/>
      <c r="X445" s="441"/>
      <c r="Y445" s="441"/>
      <c r="Z445" s="441"/>
      <c r="AA445" s="441"/>
      <c r="AB445" s="441"/>
      <c r="AC445" s="441"/>
      <c r="AD445" s="441"/>
      <c r="AE445" s="441"/>
      <c r="AF445" s="441"/>
      <c r="AG445" s="441"/>
      <c r="AH445" s="441"/>
      <c r="AI445" s="441"/>
      <c r="AJ445" s="441"/>
      <c r="AK445" s="441"/>
      <c r="AL445" s="441"/>
      <c r="AM445" s="441"/>
      <c r="AN445" s="441"/>
      <c r="AO445" s="441"/>
      <c r="AP445" s="441"/>
      <c r="AQ445" s="441"/>
      <c r="AR445" s="441"/>
      <c r="AS445" s="441"/>
      <c r="AT445" s="441"/>
      <c r="AU445" s="441"/>
      <c r="AV445" s="441"/>
      <c r="AW445" s="441"/>
      <c r="AX445" s="441"/>
      <c r="AY445" s="441"/>
      <c r="AZ445" s="441"/>
      <c r="BA445" s="441"/>
    </row>
    <row r="446">
      <c r="A446" s="441"/>
      <c r="B446" s="441"/>
      <c r="C446" s="441"/>
      <c r="D446" s="441"/>
      <c r="E446" s="441"/>
      <c r="F446" s="441"/>
      <c r="G446" s="441"/>
      <c r="H446" s="441"/>
      <c r="I446" s="441"/>
      <c r="J446" s="441"/>
      <c r="K446" s="441"/>
      <c r="L446" s="441"/>
      <c r="M446" s="441"/>
      <c r="N446" s="441"/>
      <c r="O446" s="441"/>
      <c r="P446" s="441"/>
      <c r="Q446" s="441"/>
      <c r="R446" s="441"/>
      <c r="S446" s="441"/>
      <c r="T446" s="441"/>
      <c r="U446" s="441"/>
      <c r="V446" s="441"/>
      <c r="W446" s="441"/>
      <c r="X446" s="441"/>
      <c r="Y446" s="441"/>
      <c r="Z446" s="441"/>
      <c r="AA446" s="441"/>
      <c r="AB446" s="441"/>
      <c r="AC446" s="441"/>
      <c r="AD446" s="441"/>
      <c r="AE446" s="441"/>
      <c r="AF446" s="441"/>
      <c r="AG446" s="441"/>
      <c r="AH446" s="441"/>
      <c r="AI446" s="441"/>
      <c r="AJ446" s="441"/>
      <c r="AK446" s="441"/>
      <c r="AL446" s="441"/>
      <c r="AM446" s="441"/>
      <c r="AN446" s="441"/>
      <c r="AO446" s="441"/>
      <c r="AP446" s="441"/>
      <c r="AQ446" s="441"/>
      <c r="AR446" s="441"/>
      <c r="AS446" s="441"/>
      <c r="AT446" s="441"/>
      <c r="AU446" s="441"/>
      <c r="AV446" s="441"/>
      <c r="AW446" s="441"/>
      <c r="AX446" s="441"/>
      <c r="AY446" s="441"/>
      <c r="AZ446" s="441"/>
      <c r="BA446" s="441"/>
    </row>
    <row r="447">
      <c r="A447" s="441"/>
      <c r="B447" s="441"/>
      <c r="C447" s="441"/>
      <c r="D447" s="441"/>
      <c r="E447" s="441"/>
      <c r="F447" s="441"/>
      <c r="G447" s="441"/>
      <c r="H447" s="441"/>
      <c r="I447" s="441"/>
      <c r="J447" s="441"/>
      <c r="K447" s="441"/>
      <c r="L447" s="441"/>
      <c r="M447" s="441"/>
      <c r="N447" s="441"/>
      <c r="O447" s="441"/>
      <c r="P447" s="441"/>
      <c r="Q447" s="441"/>
      <c r="R447" s="441"/>
      <c r="S447" s="441"/>
      <c r="T447" s="441"/>
      <c r="U447" s="441"/>
      <c r="V447" s="441"/>
      <c r="W447" s="441"/>
      <c r="X447" s="441"/>
      <c r="Y447" s="441"/>
      <c r="Z447" s="441"/>
      <c r="AA447" s="441"/>
      <c r="AB447" s="441"/>
      <c r="AC447" s="441"/>
      <c r="AD447" s="441"/>
      <c r="AE447" s="441"/>
      <c r="AF447" s="441"/>
      <c r="AG447" s="441"/>
      <c r="AH447" s="441"/>
      <c r="AI447" s="441"/>
      <c r="AJ447" s="441"/>
      <c r="AK447" s="441"/>
      <c r="AL447" s="441"/>
      <c r="AM447" s="441"/>
      <c r="AN447" s="441"/>
      <c r="AO447" s="441"/>
      <c r="AP447" s="441"/>
      <c r="AQ447" s="441"/>
      <c r="AR447" s="441"/>
      <c r="AS447" s="441"/>
      <c r="AT447" s="441"/>
      <c r="AU447" s="441"/>
      <c r="AV447" s="441"/>
      <c r="AW447" s="441"/>
      <c r="AX447" s="441"/>
      <c r="AY447" s="441"/>
      <c r="AZ447" s="441"/>
      <c r="BA447" s="441"/>
    </row>
    <row r="448">
      <c r="A448" s="441"/>
      <c r="B448" s="441"/>
      <c r="C448" s="441"/>
      <c r="D448" s="441"/>
      <c r="E448" s="441"/>
      <c r="F448" s="441"/>
      <c r="G448" s="441"/>
      <c r="H448" s="441"/>
      <c r="I448" s="441"/>
      <c r="J448" s="441"/>
      <c r="K448" s="441"/>
      <c r="L448" s="441"/>
      <c r="M448" s="441"/>
      <c r="N448" s="441"/>
      <c r="O448" s="441"/>
      <c r="P448" s="441"/>
      <c r="Q448" s="441"/>
      <c r="R448" s="441"/>
      <c r="S448" s="441"/>
      <c r="T448" s="441"/>
      <c r="U448" s="441"/>
      <c r="V448" s="441"/>
      <c r="W448" s="441"/>
      <c r="X448" s="441"/>
      <c r="Y448" s="441"/>
      <c r="Z448" s="441"/>
      <c r="AA448" s="441"/>
      <c r="AB448" s="441"/>
      <c r="AC448" s="441"/>
      <c r="AD448" s="441"/>
      <c r="AE448" s="441"/>
      <c r="AF448" s="441"/>
      <c r="AG448" s="441"/>
      <c r="AH448" s="441"/>
      <c r="AI448" s="441"/>
      <c r="AJ448" s="441"/>
      <c r="AK448" s="441"/>
      <c r="AL448" s="441"/>
      <c r="AM448" s="441"/>
      <c r="AN448" s="441"/>
      <c r="AO448" s="441"/>
      <c r="AP448" s="441"/>
      <c r="AQ448" s="441"/>
      <c r="AR448" s="441"/>
      <c r="AS448" s="441"/>
      <c r="AT448" s="441"/>
      <c r="AU448" s="441"/>
      <c r="AV448" s="441"/>
      <c r="AW448" s="441"/>
      <c r="AX448" s="441"/>
      <c r="AY448" s="441"/>
      <c r="AZ448" s="441"/>
      <c r="BA448" s="441"/>
    </row>
    <row r="449">
      <c r="A449" s="441"/>
      <c r="B449" s="441"/>
      <c r="C449" s="441"/>
      <c r="D449" s="441"/>
      <c r="E449" s="441"/>
      <c r="F449" s="441"/>
      <c r="G449" s="441"/>
      <c r="H449" s="441"/>
      <c r="I449" s="441"/>
      <c r="J449" s="441"/>
      <c r="K449" s="441"/>
      <c r="L449" s="441"/>
      <c r="M449" s="441"/>
      <c r="N449" s="441"/>
      <c r="O449" s="441"/>
      <c r="P449" s="441"/>
      <c r="Q449" s="441"/>
      <c r="R449" s="441"/>
      <c r="S449" s="441"/>
      <c r="T449" s="441"/>
      <c r="U449" s="441"/>
      <c r="V449" s="441"/>
      <c r="W449" s="441"/>
      <c r="X449" s="441"/>
      <c r="Y449" s="441"/>
      <c r="Z449" s="441"/>
      <c r="AA449" s="441"/>
      <c r="AB449" s="441"/>
      <c r="AC449" s="441"/>
      <c r="AD449" s="441"/>
      <c r="AE449" s="441"/>
      <c r="AF449" s="441"/>
      <c r="AG449" s="441"/>
      <c r="AH449" s="441"/>
      <c r="AI449" s="441"/>
      <c r="AJ449" s="441"/>
      <c r="AK449" s="441"/>
      <c r="AL449" s="441"/>
      <c r="AM449" s="441"/>
      <c r="AN449" s="441"/>
      <c r="AO449" s="441"/>
      <c r="AP449" s="441"/>
      <c r="AQ449" s="441"/>
      <c r="AR449" s="441"/>
      <c r="AS449" s="441"/>
      <c r="AT449" s="441"/>
      <c r="AU449" s="441"/>
      <c r="AV449" s="441"/>
      <c r="AW449" s="441"/>
      <c r="AX449" s="441"/>
      <c r="AY449" s="441"/>
      <c r="AZ449" s="441"/>
      <c r="BA449" s="441"/>
    </row>
    <row r="450">
      <c r="A450" s="441"/>
      <c r="B450" s="441"/>
      <c r="C450" s="441"/>
      <c r="D450" s="441"/>
      <c r="E450" s="441"/>
      <c r="F450" s="441"/>
      <c r="G450" s="441"/>
      <c r="H450" s="441"/>
      <c r="I450" s="441"/>
      <c r="J450" s="441"/>
      <c r="K450" s="441"/>
      <c r="L450" s="441"/>
      <c r="M450" s="441"/>
      <c r="N450" s="441"/>
      <c r="O450" s="441"/>
      <c r="P450" s="441"/>
      <c r="Q450" s="441"/>
      <c r="R450" s="441"/>
      <c r="S450" s="441"/>
      <c r="T450" s="441"/>
      <c r="U450" s="441"/>
      <c r="V450" s="441"/>
      <c r="W450" s="441"/>
      <c r="X450" s="441"/>
      <c r="Y450" s="441"/>
      <c r="Z450" s="441"/>
      <c r="AA450" s="441"/>
      <c r="AB450" s="441"/>
      <c r="AC450" s="441"/>
      <c r="AD450" s="441"/>
      <c r="AE450" s="441"/>
      <c r="AF450" s="441"/>
      <c r="AG450" s="441"/>
      <c r="AH450" s="441"/>
      <c r="AI450" s="441"/>
      <c r="AJ450" s="441"/>
      <c r="AK450" s="441"/>
      <c r="AL450" s="441"/>
      <c r="AM450" s="441"/>
      <c r="AN450" s="441"/>
      <c r="AO450" s="441"/>
      <c r="AP450" s="441"/>
      <c r="AQ450" s="441"/>
      <c r="AR450" s="441"/>
      <c r="AS450" s="441"/>
      <c r="AT450" s="441"/>
      <c r="AU450" s="441"/>
      <c r="AV450" s="441"/>
      <c r="AW450" s="441"/>
      <c r="AX450" s="441"/>
      <c r="AY450" s="441"/>
      <c r="AZ450" s="441"/>
      <c r="BA450" s="441"/>
    </row>
    <row r="451">
      <c r="A451" s="441"/>
      <c r="B451" s="441"/>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c r="AA451" s="441"/>
      <c r="AB451" s="441"/>
      <c r="AC451" s="441"/>
      <c r="AD451" s="441"/>
      <c r="AE451" s="441"/>
      <c r="AF451" s="441"/>
      <c r="AG451" s="441"/>
      <c r="AH451" s="441"/>
      <c r="AI451" s="441"/>
      <c r="AJ451" s="441"/>
      <c r="AK451" s="441"/>
      <c r="AL451" s="441"/>
      <c r="AM451" s="441"/>
      <c r="AN451" s="441"/>
      <c r="AO451" s="441"/>
      <c r="AP451" s="441"/>
      <c r="AQ451" s="441"/>
      <c r="AR451" s="441"/>
      <c r="AS451" s="441"/>
      <c r="AT451" s="441"/>
      <c r="AU451" s="441"/>
      <c r="AV451" s="441"/>
      <c r="AW451" s="441"/>
      <c r="AX451" s="441"/>
      <c r="AY451" s="441"/>
      <c r="AZ451" s="441"/>
      <c r="BA451" s="441"/>
    </row>
    <row r="452">
      <c r="A452" s="441"/>
      <c r="B452" s="441"/>
      <c r="C452" s="441"/>
      <c r="D452" s="441"/>
      <c r="E452" s="441"/>
      <c r="F452" s="441"/>
      <c r="G452" s="441"/>
      <c r="H452" s="441"/>
      <c r="I452" s="441"/>
      <c r="J452" s="441"/>
      <c r="K452" s="441"/>
      <c r="L452" s="441"/>
      <c r="M452" s="441"/>
      <c r="N452" s="441"/>
      <c r="O452" s="441"/>
      <c r="P452" s="441"/>
      <c r="Q452" s="441"/>
      <c r="R452" s="441"/>
      <c r="S452" s="441"/>
      <c r="T452" s="441"/>
      <c r="U452" s="441"/>
      <c r="V452" s="441"/>
      <c r="W452" s="441"/>
      <c r="X452" s="441"/>
      <c r="Y452" s="441"/>
      <c r="Z452" s="441"/>
      <c r="AA452" s="441"/>
      <c r="AB452" s="441"/>
      <c r="AC452" s="441"/>
      <c r="AD452" s="441"/>
      <c r="AE452" s="441"/>
      <c r="AF452" s="441"/>
      <c r="AG452" s="441"/>
      <c r="AH452" s="441"/>
      <c r="AI452" s="441"/>
      <c r="AJ452" s="441"/>
      <c r="AK452" s="441"/>
      <c r="AL452" s="441"/>
      <c r="AM452" s="441"/>
      <c r="AN452" s="441"/>
      <c r="AO452" s="441"/>
      <c r="AP452" s="441"/>
      <c r="AQ452" s="441"/>
      <c r="AR452" s="441"/>
      <c r="AS452" s="441"/>
      <c r="AT452" s="441"/>
      <c r="AU452" s="441"/>
      <c r="AV452" s="441"/>
      <c r="AW452" s="441"/>
      <c r="AX452" s="441"/>
      <c r="AY452" s="441"/>
      <c r="AZ452" s="441"/>
      <c r="BA452" s="441"/>
    </row>
    <row r="453">
      <c r="A453" s="441"/>
      <c r="B453" s="441"/>
      <c r="C453" s="441"/>
      <c r="D453" s="441"/>
      <c r="E453" s="441"/>
      <c r="F453" s="441"/>
      <c r="G453" s="441"/>
      <c r="H453" s="441"/>
      <c r="I453" s="441"/>
      <c r="J453" s="441"/>
      <c r="K453" s="441"/>
      <c r="L453" s="441"/>
      <c r="M453" s="441"/>
      <c r="N453" s="441"/>
      <c r="O453" s="441"/>
      <c r="P453" s="441"/>
      <c r="Q453" s="441"/>
      <c r="R453" s="441"/>
      <c r="S453" s="441"/>
      <c r="T453" s="441"/>
      <c r="U453" s="441"/>
      <c r="V453" s="441"/>
      <c r="W453" s="441"/>
      <c r="X453" s="441"/>
      <c r="Y453" s="441"/>
      <c r="Z453" s="441"/>
      <c r="AA453" s="441"/>
      <c r="AB453" s="441"/>
      <c r="AC453" s="441"/>
      <c r="AD453" s="441"/>
      <c r="AE453" s="441"/>
      <c r="AF453" s="441"/>
      <c r="AG453" s="441"/>
      <c r="AH453" s="441"/>
      <c r="AI453" s="441"/>
      <c r="AJ453" s="441"/>
      <c r="AK453" s="441"/>
      <c r="AL453" s="441"/>
      <c r="AM453" s="441"/>
      <c r="AN453" s="441"/>
      <c r="AO453" s="441"/>
      <c r="AP453" s="441"/>
      <c r="AQ453" s="441"/>
      <c r="AR453" s="441"/>
      <c r="AS453" s="441"/>
      <c r="AT453" s="441"/>
      <c r="AU453" s="441"/>
      <c r="AV453" s="441"/>
      <c r="AW453" s="441"/>
      <c r="AX453" s="441"/>
      <c r="AY453" s="441"/>
      <c r="AZ453" s="441"/>
      <c r="BA453" s="441"/>
    </row>
    <row r="454">
      <c r="A454" s="441"/>
      <c r="B454" s="441"/>
      <c r="C454" s="441"/>
      <c r="D454" s="441"/>
      <c r="E454" s="441"/>
      <c r="F454" s="441"/>
      <c r="G454" s="441"/>
      <c r="H454" s="441"/>
      <c r="I454" s="441"/>
      <c r="J454" s="441"/>
      <c r="K454" s="441"/>
      <c r="L454" s="441"/>
      <c r="M454" s="441"/>
      <c r="N454" s="441"/>
      <c r="O454" s="441"/>
      <c r="P454" s="441"/>
      <c r="Q454" s="441"/>
      <c r="R454" s="441"/>
      <c r="S454" s="441"/>
      <c r="T454" s="441"/>
      <c r="U454" s="441"/>
      <c r="V454" s="441"/>
      <c r="W454" s="441"/>
      <c r="X454" s="441"/>
      <c r="Y454" s="441"/>
      <c r="Z454" s="441"/>
      <c r="AA454" s="441"/>
      <c r="AB454" s="441"/>
      <c r="AC454" s="441"/>
      <c r="AD454" s="441"/>
      <c r="AE454" s="441"/>
      <c r="AF454" s="441"/>
      <c r="AG454" s="441"/>
      <c r="AH454" s="441"/>
      <c r="AI454" s="441"/>
      <c r="AJ454" s="441"/>
      <c r="AK454" s="441"/>
      <c r="AL454" s="441"/>
      <c r="AM454" s="441"/>
      <c r="AN454" s="441"/>
      <c r="AO454" s="441"/>
      <c r="AP454" s="441"/>
      <c r="AQ454" s="441"/>
      <c r="AR454" s="441"/>
      <c r="AS454" s="441"/>
      <c r="AT454" s="441"/>
      <c r="AU454" s="441"/>
      <c r="AV454" s="441"/>
      <c r="AW454" s="441"/>
      <c r="AX454" s="441"/>
      <c r="AY454" s="441"/>
      <c r="AZ454" s="441"/>
      <c r="BA454" s="441"/>
    </row>
    <row r="455">
      <c r="A455" s="441"/>
      <c r="B455" s="441"/>
      <c r="C455" s="441"/>
      <c r="D455" s="441"/>
      <c r="E455" s="441"/>
      <c r="F455" s="441"/>
      <c r="G455" s="441"/>
      <c r="H455" s="441"/>
      <c r="I455" s="441"/>
      <c r="J455" s="441"/>
      <c r="K455" s="441"/>
      <c r="L455" s="441"/>
      <c r="M455" s="441"/>
      <c r="N455" s="441"/>
      <c r="O455" s="441"/>
      <c r="P455" s="441"/>
      <c r="Q455" s="441"/>
      <c r="R455" s="441"/>
      <c r="S455" s="441"/>
      <c r="T455" s="441"/>
      <c r="U455" s="441"/>
      <c r="V455" s="441"/>
      <c r="W455" s="441"/>
      <c r="X455" s="441"/>
      <c r="Y455" s="441"/>
      <c r="Z455" s="441"/>
      <c r="AA455" s="441"/>
      <c r="AB455" s="441"/>
      <c r="AC455" s="441"/>
      <c r="AD455" s="441"/>
      <c r="AE455" s="441"/>
      <c r="AF455" s="441"/>
      <c r="AG455" s="441"/>
      <c r="AH455" s="441"/>
      <c r="AI455" s="441"/>
      <c r="AJ455" s="441"/>
      <c r="AK455" s="441"/>
      <c r="AL455" s="441"/>
      <c r="AM455" s="441"/>
      <c r="AN455" s="441"/>
      <c r="AO455" s="441"/>
      <c r="AP455" s="441"/>
      <c r="AQ455" s="441"/>
      <c r="AR455" s="441"/>
      <c r="AS455" s="441"/>
      <c r="AT455" s="441"/>
      <c r="AU455" s="441"/>
      <c r="AV455" s="441"/>
      <c r="AW455" s="441"/>
      <c r="AX455" s="441"/>
      <c r="AY455" s="441"/>
      <c r="AZ455" s="441"/>
      <c r="BA455" s="441"/>
    </row>
    <row r="456">
      <c r="A456" s="441"/>
      <c r="B456" s="441"/>
      <c r="C456" s="441"/>
      <c r="D456" s="441"/>
      <c r="E456" s="441"/>
      <c r="F456" s="441"/>
      <c r="G456" s="441"/>
      <c r="H456" s="441"/>
      <c r="I456" s="441"/>
      <c r="J456" s="441"/>
      <c r="K456" s="441"/>
      <c r="L456" s="441"/>
      <c r="M456" s="441"/>
      <c r="N456" s="441"/>
      <c r="O456" s="441"/>
      <c r="P456" s="441"/>
      <c r="Q456" s="441"/>
      <c r="R456" s="441"/>
      <c r="S456" s="441"/>
      <c r="T456" s="441"/>
      <c r="U456" s="441"/>
      <c r="V456" s="441"/>
      <c r="W456" s="441"/>
      <c r="X456" s="441"/>
      <c r="Y456" s="441"/>
      <c r="Z456" s="441"/>
      <c r="AA456" s="441"/>
      <c r="AB456" s="441"/>
      <c r="AC456" s="441"/>
      <c r="AD456" s="441"/>
      <c r="AE456" s="441"/>
      <c r="AF456" s="441"/>
      <c r="AG456" s="441"/>
      <c r="AH456" s="441"/>
      <c r="AI456" s="441"/>
      <c r="AJ456" s="441"/>
      <c r="AK456" s="441"/>
      <c r="AL456" s="441"/>
      <c r="AM456" s="441"/>
      <c r="AN456" s="441"/>
      <c r="AO456" s="441"/>
      <c r="AP456" s="441"/>
      <c r="AQ456" s="441"/>
      <c r="AR456" s="441"/>
      <c r="AS456" s="441"/>
      <c r="AT456" s="441"/>
      <c r="AU456" s="441"/>
      <c r="AV456" s="441"/>
      <c r="AW456" s="441"/>
      <c r="AX456" s="441"/>
      <c r="AY456" s="441"/>
      <c r="AZ456" s="441"/>
      <c r="BA456" s="441"/>
    </row>
    <row r="457">
      <c r="A457" s="441"/>
      <c r="B457" s="441"/>
      <c r="C457" s="441"/>
      <c r="D457" s="441"/>
      <c r="E457" s="441"/>
      <c r="F457" s="441"/>
      <c r="G457" s="441"/>
      <c r="H457" s="441"/>
      <c r="I457" s="441"/>
      <c r="J457" s="441"/>
      <c r="K457" s="441"/>
      <c r="L457" s="441"/>
      <c r="M457" s="441"/>
      <c r="N457" s="441"/>
      <c r="O457" s="441"/>
      <c r="P457" s="441"/>
      <c r="Q457" s="441"/>
      <c r="R457" s="441"/>
      <c r="S457" s="441"/>
      <c r="T457" s="441"/>
      <c r="U457" s="441"/>
      <c r="V457" s="441"/>
      <c r="W457" s="441"/>
      <c r="X457" s="441"/>
      <c r="Y457" s="441"/>
      <c r="Z457" s="441"/>
      <c r="AA457" s="441"/>
      <c r="AB457" s="441"/>
      <c r="AC457" s="441"/>
      <c r="AD457" s="441"/>
      <c r="AE457" s="441"/>
      <c r="AF457" s="441"/>
      <c r="AG457" s="441"/>
      <c r="AH457" s="441"/>
      <c r="AI457" s="441"/>
      <c r="AJ457" s="441"/>
      <c r="AK457" s="441"/>
      <c r="AL457" s="441"/>
      <c r="AM457" s="441"/>
      <c r="AN457" s="441"/>
      <c r="AO457" s="441"/>
      <c r="AP457" s="441"/>
      <c r="AQ457" s="441"/>
      <c r="AR457" s="441"/>
      <c r="AS457" s="441"/>
      <c r="AT457" s="441"/>
      <c r="AU457" s="441"/>
      <c r="AV457" s="441"/>
      <c r="AW457" s="441"/>
      <c r="AX457" s="441"/>
      <c r="AY457" s="441"/>
      <c r="AZ457" s="441"/>
      <c r="BA457" s="441"/>
    </row>
    <row r="458">
      <c r="A458" s="441"/>
      <c r="B458" s="441"/>
      <c r="C458" s="441"/>
      <c r="D458" s="441"/>
      <c r="E458" s="441"/>
      <c r="F458" s="441"/>
      <c r="G458" s="441"/>
      <c r="H458" s="441"/>
      <c r="I458" s="441"/>
      <c r="J458" s="441"/>
      <c r="K458" s="441"/>
      <c r="L458" s="441"/>
      <c r="M458" s="441"/>
      <c r="N458" s="441"/>
      <c r="O458" s="441"/>
      <c r="P458" s="441"/>
      <c r="Q458" s="441"/>
      <c r="R458" s="441"/>
      <c r="S458" s="441"/>
      <c r="T458" s="441"/>
      <c r="U458" s="441"/>
      <c r="V458" s="441"/>
      <c r="W458" s="441"/>
      <c r="X458" s="441"/>
      <c r="Y458" s="441"/>
      <c r="Z458" s="441"/>
      <c r="AA458" s="441"/>
      <c r="AB458" s="441"/>
      <c r="AC458" s="441"/>
      <c r="AD458" s="441"/>
      <c r="AE458" s="441"/>
      <c r="AF458" s="441"/>
      <c r="AG458" s="441"/>
      <c r="AH458" s="441"/>
      <c r="AI458" s="441"/>
      <c r="AJ458" s="441"/>
      <c r="AK458" s="441"/>
      <c r="AL458" s="441"/>
      <c r="AM458" s="441"/>
      <c r="AN458" s="441"/>
      <c r="AO458" s="441"/>
      <c r="AP458" s="441"/>
      <c r="AQ458" s="441"/>
      <c r="AR458" s="441"/>
      <c r="AS458" s="441"/>
      <c r="AT458" s="441"/>
      <c r="AU458" s="441"/>
      <c r="AV458" s="441"/>
      <c r="AW458" s="441"/>
      <c r="AX458" s="441"/>
      <c r="AY458" s="441"/>
      <c r="AZ458" s="441"/>
      <c r="BA458" s="441"/>
    </row>
    <row r="459">
      <c r="A459" s="441"/>
      <c r="B459" s="441"/>
      <c r="C459" s="441"/>
      <c r="D459" s="441"/>
      <c r="E459" s="441"/>
      <c r="F459" s="441"/>
      <c r="G459" s="441"/>
      <c r="H459" s="441"/>
      <c r="I459" s="441"/>
      <c r="J459" s="441"/>
      <c r="K459" s="441"/>
      <c r="L459" s="441"/>
      <c r="M459" s="441"/>
      <c r="N459" s="441"/>
      <c r="O459" s="441"/>
      <c r="P459" s="441"/>
      <c r="Q459" s="441"/>
      <c r="R459" s="441"/>
      <c r="S459" s="441"/>
      <c r="T459" s="441"/>
      <c r="U459" s="441"/>
      <c r="V459" s="441"/>
      <c r="W459" s="441"/>
      <c r="X459" s="441"/>
      <c r="Y459" s="441"/>
      <c r="Z459" s="441"/>
      <c r="AA459" s="441"/>
      <c r="AB459" s="441"/>
      <c r="AC459" s="441"/>
      <c r="AD459" s="441"/>
      <c r="AE459" s="441"/>
      <c r="AF459" s="441"/>
      <c r="AG459" s="441"/>
      <c r="AH459" s="441"/>
      <c r="AI459" s="441"/>
      <c r="AJ459" s="441"/>
      <c r="AK459" s="441"/>
      <c r="AL459" s="441"/>
      <c r="AM459" s="441"/>
      <c r="AN459" s="441"/>
      <c r="AO459" s="441"/>
      <c r="AP459" s="441"/>
      <c r="AQ459" s="441"/>
      <c r="AR459" s="441"/>
      <c r="AS459" s="441"/>
      <c r="AT459" s="441"/>
      <c r="AU459" s="441"/>
      <c r="AV459" s="441"/>
      <c r="AW459" s="441"/>
      <c r="AX459" s="441"/>
      <c r="AY459" s="441"/>
      <c r="AZ459" s="441"/>
      <c r="BA459" s="441"/>
    </row>
    <row r="460">
      <c r="A460" s="441"/>
      <c r="B460" s="441"/>
      <c r="C460" s="441"/>
      <c r="D460" s="441"/>
      <c r="E460" s="441"/>
      <c r="F460" s="441"/>
      <c r="G460" s="441"/>
      <c r="H460" s="441"/>
      <c r="I460" s="441"/>
      <c r="J460" s="441"/>
      <c r="K460" s="441"/>
      <c r="L460" s="441"/>
      <c r="M460" s="441"/>
      <c r="N460" s="441"/>
      <c r="O460" s="441"/>
      <c r="P460" s="441"/>
      <c r="Q460" s="441"/>
      <c r="R460" s="441"/>
      <c r="S460" s="441"/>
      <c r="T460" s="441"/>
      <c r="U460" s="441"/>
      <c r="V460" s="441"/>
      <c r="W460" s="441"/>
      <c r="X460" s="441"/>
      <c r="Y460" s="441"/>
      <c r="Z460" s="441"/>
      <c r="AA460" s="441"/>
      <c r="AB460" s="441"/>
      <c r="AC460" s="441"/>
      <c r="AD460" s="441"/>
      <c r="AE460" s="441"/>
      <c r="AF460" s="441"/>
      <c r="AG460" s="441"/>
      <c r="AH460" s="441"/>
      <c r="AI460" s="441"/>
      <c r="AJ460" s="441"/>
      <c r="AK460" s="441"/>
      <c r="AL460" s="441"/>
      <c r="AM460" s="441"/>
      <c r="AN460" s="441"/>
      <c r="AO460" s="441"/>
      <c r="AP460" s="441"/>
      <c r="AQ460" s="441"/>
      <c r="AR460" s="441"/>
      <c r="AS460" s="441"/>
      <c r="AT460" s="441"/>
      <c r="AU460" s="441"/>
      <c r="AV460" s="441"/>
      <c r="AW460" s="441"/>
      <c r="AX460" s="441"/>
      <c r="AY460" s="441"/>
      <c r="AZ460" s="441"/>
      <c r="BA460" s="441"/>
    </row>
    <row r="461">
      <c r="A461" s="441"/>
      <c r="B461" s="441"/>
      <c r="C461" s="441"/>
      <c r="D461" s="441"/>
      <c r="E461" s="441"/>
      <c r="F461" s="441"/>
      <c r="G461" s="441"/>
      <c r="H461" s="441"/>
      <c r="I461" s="441"/>
      <c r="J461" s="441"/>
      <c r="K461" s="441"/>
      <c r="L461" s="441"/>
      <c r="M461" s="441"/>
      <c r="N461" s="441"/>
      <c r="O461" s="441"/>
      <c r="P461" s="441"/>
      <c r="Q461" s="441"/>
      <c r="R461" s="441"/>
      <c r="S461" s="441"/>
      <c r="T461" s="441"/>
      <c r="U461" s="441"/>
      <c r="V461" s="441"/>
      <c r="W461" s="441"/>
      <c r="X461" s="441"/>
      <c r="Y461" s="441"/>
      <c r="Z461" s="441"/>
      <c r="AA461" s="441"/>
      <c r="AB461" s="441"/>
      <c r="AC461" s="441"/>
      <c r="AD461" s="441"/>
      <c r="AE461" s="441"/>
      <c r="AF461" s="441"/>
      <c r="AG461" s="441"/>
      <c r="AH461" s="441"/>
      <c r="AI461" s="441"/>
      <c r="AJ461" s="441"/>
      <c r="AK461" s="441"/>
      <c r="AL461" s="441"/>
      <c r="AM461" s="441"/>
      <c r="AN461" s="441"/>
      <c r="AO461" s="441"/>
      <c r="AP461" s="441"/>
      <c r="AQ461" s="441"/>
      <c r="AR461" s="441"/>
      <c r="AS461" s="441"/>
      <c r="AT461" s="441"/>
      <c r="AU461" s="441"/>
      <c r="AV461" s="441"/>
      <c r="AW461" s="441"/>
      <c r="AX461" s="441"/>
      <c r="AY461" s="441"/>
      <c r="AZ461" s="441"/>
      <c r="BA461" s="441"/>
    </row>
    <row r="462">
      <c r="A462" s="441"/>
      <c r="B462" s="441"/>
      <c r="C462" s="441"/>
      <c r="D462" s="441"/>
      <c r="E462" s="441"/>
      <c r="F462" s="441"/>
      <c r="G462" s="441"/>
      <c r="H462" s="441"/>
      <c r="I462" s="441"/>
      <c r="J462" s="441"/>
      <c r="K462" s="441"/>
      <c r="L462" s="441"/>
      <c r="M462" s="441"/>
      <c r="N462" s="441"/>
      <c r="O462" s="441"/>
      <c r="P462" s="441"/>
      <c r="Q462" s="441"/>
      <c r="R462" s="441"/>
      <c r="S462" s="441"/>
      <c r="T462" s="441"/>
      <c r="U462" s="441"/>
      <c r="V462" s="441"/>
      <c r="W462" s="441"/>
      <c r="X462" s="441"/>
      <c r="Y462" s="441"/>
      <c r="Z462" s="441"/>
      <c r="AA462" s="441"/>
      <c r="AB462" s="441"/>
      <c r="AC462" s="441"/>
      <c r="AD462" s="441"/>
      <c r="AE462" s="441"/>
      <c r="AF462" s="441"/>
      <c r="AG462" s="441"/>
      <c r="AH462" s="441"/>
      <c r="AI462" s="441"/>
      <c r="AJ462" s="441"/>
      <c r="AK462" s="441"/>
      <c r="AL462" s="441"/>
      <c r="AM462" s="441"/>
      <c r="AN462" s="441"/>
      <c r="AO462" s="441"/>
      <c r="AP462" s="441"/>
      <c r="AQ462" s="441"/>
      <c r="AR462" s="441"/>
      <c r="AS462" s="441"/>
      <c r="AT462" s="441"/>
      <c r="AU462" s="441"/>
      <c r="AV462" s="441"/>
      <c r="AW462" s="441"/>
      <c r="AX462" s="441"/>
      <c r="AY462" s="441"/>
      <c r="AZ462" s="441"/>
      <c r="BA462" s="441"/>
    </row>
    <row r="463">
      <c r="A463" s="441"/>
      <c r="B463" s="441"/>
      <c r="C463" s="441"/>
      <c r="D463" s="441"/>
      <c r="E463" s="441"/>
      <c r="F463" s="441"/>
      <c r="G463" s="441"/>
      <c r="H463" s="441"/>
      <c r="I463" s="441"/>
      <c r="J463" s="441"/>
      <c r="K463" s="441"/>
      <c r="L463" s="441"/>
      <c r="M463" s="441"/>
      <c r="N463" s="441"/>
      <c r="O463" s="441"/>
      <c r="P463" s="441"/>
      <c r="Q463" s="441"/>
      <c r="R463" s="441"/>
      <c r="S463" s="441"/>
      <c r="T463" s="441"/>
      <c r="U463" s="441"/>
      <c r="V463" s="441"/>
      <c r="W463" s="441"/>
      <c r="X463" s="441"/>
      <c r="Y463" s="441"/>
      <c r="Z463" s="441"/>
      <c r="AA463" s="441"/>
      <c r="AB463" s="441"/>
      <c r="AC463" s="441"/>
      <c r="AD463" s="441"/>
      <c r="AE463" s="441"/>
      <c r="AF463" s="441"/>
      <c r="AG463" s="441"/>
      <c r="AH463" s="441"/>
      <c r="AI463" s="441"/>
      <c r="AJ463" s="441"/>
      <c r="AK463" s="441"/>
      <c r="AL463" s="441"/>
      <c r="AM463" s="441"/>
      <c r="AN463" s="441"/>
      <c r="AO463" s="441"/>
      <c r="AP463" s="441"/>
      <c r="AQ463" s="441"/>
      <c r="AR463" s="441"/>
      <c r="AS463" s="441"/>
      <c r="AT463" s="441"/>
      <c r="AU463" s="441"/>
      <c r="AV463" s="441"/>
      <c r="AW463" s="441"/>
      <c r="AX463" s="441"/>
      <c r="AY463" s="441"/>
      <c r="AZ463" s="441"/>
      <c r="BA463" s="441"/>
    </row>
    <row r="464">
      <c r="A464" s="441"/>
      <c r="B464" s="441"/>
      <c r="C464" s="441"/>
      <c r="D464" s="441"/>
      <c r="E464" s="441"/>
      <c r="F464" s="441"/>
      <c r="G464" s="441"/>
      <c r="H464" s="441"/>
      <c r="I464" s="441"/>
      <c r="J464" s="441"/>
      <c r="K464" s="441"/>
      <c r="L464" s="441"/>
      <c r="M464" s="441"/>
      <c r="N464" s="441"/>
      <c r="O464" s="441"/>
      <c r="P464" s="441"/>
      <c r="Q464" s="441"/>
      <c r="R464" s="441"/>
      <c r="S464" s="441"/>
      <c r="T464" s="441"/>
      <c r="U464" s="441"/>
      <c r="V464" s="441"/>
      <c r="W464" s="441"/>
      <c r="X464" s="441"/>
      <c r="Y464" s="441"/>
      <c r="Z464" s="441"/>
      <c r="AA464" s="441"/>
      <c r="AB464" s="441"/>
      <c r="AC464" s="441"/>
      <c r="AD464" s="441"/>
      <c r="AE464" s="441"/>
      <c r="AF464" s="441"/>
      <c r="AG464" s="441"/>
      <c r="AH464" s="441"/>
      <c r="AI464" s="441"/>
      <c r="AJ464" s="441"/>
      <c r="AK464" s="441"/>
      <c r="AL464" s="441"/>
      <c r="AM464" s="441"/>
      <c r="AN464" s="441"/>
      <c r="AO464" s="441"/>
      <c r="AP464" s="441"/>
      <c r="AQ464" s="441"/>
      <c r="AR464" s="441"/>
      <c r="AS464" s="441"/>
      <c r="AT464" s="441"/>
      <c r="AU464" s="441"/>
      <c r="AV464" s="441"/>
      <c r="AW464" s="441"/>
      <c r="AX464" s="441"/>
      <c r="AY464" s="441"/>
      <c r="AZ464" s="441"/>
      <c r="BA464" s="441"/>
    </row>
    <row r="465">
      <c r="A465" s="441"/>
      <c r="B465" s="441"/>
      <c r="C465" s="441"/>
      <c r="D465" s="441"/>
      <c r="E465" s="441"/>
      <c r="F465" s="441"/>
      <c r="G465" s="441"/>
      <c r="H465" s="441"/>
      <c r="I465" s="441"/>
      <c r="J465" s="441"/>
      <c r="K465" s="441"/>
      <c r="L465" s="441"/>
      <c r="M465" s="441"/>
      <c r="N465" s="441"/>
      <c r="O465" s="441"/>
      <c r="P465" s="441"/>
      <c r="Q465" s="441"/>
      <c r="R465" s="441"/>
      <c r="S465" s="441"/>
      <c r="T465" s="441"/>
      <c r="U465" s="441"/>
      <c r="V465" s="441"/>
      <c r="W465" s="441"/>
      <c r="X465" s="441"/>
      <c r="Y465" s="441"/>
      <c r="Z465" s="441"/>
      <c r="AA465" s="441"/>
      <c r="AB465" s="441"/>
      <c r="AC465" s="441"/>
      <c r="AD465" s="441"/>
      <c r="AE465" s="441"/>
      <c r="AF465" s="441"/>
      <c r="AG465" s="441"/>
      <c r="AH465" s="441"/>
      <c r="AI465" s="441"/>
      <c r="AJ465" s="441"/>
      <c r="AK465" s="441"/>
      <c r="AL465" s="441"/>
      <c r="AM465" s="441"/>
      <c r="AN465" s="441"/>
      <c r="AO465" s="441"/>
      <c r="AP465" s="441"/>
      <c r="AQ465" s="441"/>
      <c r="AR465" s="441"/>
      <c r="AS465" s="441"/>
      <c r="AT465" s="441"/>
      <c r="AU465" s="441"/>
      <c r="AV465" s="441"/>
      <c r="AW465" s="441"/>
      <c r="AX465" s="441"/>
      <c r="AY465" s="441"/>
      <c r="AZ465" s="441"/>
      <c r="BA465" s="441"/>
    </row>
    <row r="466">
      <c r="A466" s="441"/>
      <c r="B466" s="441"/>
      <c r="C466" s="441"/>
      <c r="D466" s="441"/>
      <c r="E466" s="441"/>
      <c r="F466" s="441"/>
      <c r="G466" s="441"/>
      <c r="H466" s="441"/>
      <c r="I466" s="441"/>
      <c r="J466" s="441"/>
      <c r="K466" s="441"/>
      <c r="L466" s="441"/>
      <c r="M466" s="441"/>
      <c r="N466" s="441"/>
      <c r="O466" s="441"/>
      <c r="P466" s="441"/>
      <c r="Q466" s="441"/>
      <c r="R466" s="441"/>
      <c r="S466" s="441"/>
      <c r="T466" s="441"/>
      <c r="U466" s="441"/>
      <c r="V466" s="441"/>
      <c r="W466" s="441"/>
      <c r="X466" s="441"/>
      <c r="Y466" s="441"/>
      <c r="Z466" s="441"/>
      <c r="AA466" s="441"/>
      <c r="AB466" s="441"/>
      <c r="AC466" s="441"/>
      <c r="AD466" s="441"/>
      <c r="AE466" s="441"/>
      <c r="AF466" s="441"/>
      <c r="AG466" s="441"/>
      <c r="AH466" s="441"/>
      <c r="AI466" s="441"/>
      <c r="AJ466" s="441"/>
      <c r="AK466" s="441"/>
      <c r="AL466" s="441"/>
      <c r="AM466" s="441"/>
      <c r="AN466" s="441"/>
      <c r="AO466" s="441"/>
      <c r="AP466" s="441"/>
      <c r="AQ466" s="441"/>
      <c r="AR466" s="441"/>
      <c r="AS466" s="441"/>
      <c r="AT466" s="441"/>
      <c r="AU466" s="441"/>
      <c r="AV466" s="441"/>
      <c r="AW466" s="441"/>
      <c r="AX466" s="441"/>
      <c r="AY466" s="441"/>
      <c r="AZ466" s="441"/>
      <c r="BA466" s="441"/>
    </row>
    <row r="467">
      <c r="A467" s="441"/>
      <c r="B467" s="441"/>
      <c r="C467" s="441"/>
      <c r="D467" s="441"/>
      <c r="E467" s="441"/>
      <c r="F467" s="441"/>
      <c r="G467" s="441"/>
      <c r="H467" s="441"/>
      <c r="I467" s="441"/>
      <c r="J467" s="441"/>
      <c r="K467" s="441"/>
      <c r="L467" s="441"/>
      <c r="M467" s="441"/>
      <c r="N467" s="441"/>
      <c r="O467" s="441"/>
      <c r="P467" s="441"/>
      <c r="Q467" s="441"/>
      <c r="R467" s="441"/>
      <c r="S467" s="441"/>
      <c r="T467" s="441"/>
      <c r="U467" s="441"/>
      <c r="V467" s="441"/>
      <c r="W467" s="441"/>
      <c r="X467" s="441"/>
      <c r="Y467" s="441"/>
      <c r="Z467" s="441"/>
      <c r="AA467" s="441"/>
      <c r="AB467" s="441"/>
      <c r="AC467" s="441"/>
      <c r="AD467" s="441"/>
      <c r="AE467" s="441"/>
      <c r="AF467" s="441"/>
      <c r="AG467" s="441"/>
      <c r="AH467" s="441"/>
      <c r="AI467" s="441"/>
      <c r="AJ467" s="441"/>
      <c r="AK467" s="441"/>
      <c r="AL467" s="441"/>
      <c r="AM467" s="441"/>
      <c r="AN467" s="441"/>
      <c r="AO467" s="441"/>
      <c r="AP467" s="441"/>
      <c r="AQ467" s="441"/>
      <c r="AR467" s="441"/>
      <c r="AS467" s="441"/>
      <c r="AT467" s="441"/>
      <c r="AU467" s="441"/>
      <c r="AV467" s="441"/>
      <c r="AW467" s="441"/>
      <c r="AX467" s="441"/>
      <c r="AY467" s="441"/>
      <c r="AZ467" s="441"/>
      <c r="BA467" s="441"/>
    </row>
    <row r="468">
      <c r="A468" s="441"/>
      <c r="B468" s="441"/>
      <c r="C468" s="441"/>
      <c r="D468" s="441"/>
      <c r="E468" s="441"/>
      <c r="F468" s="441"/>
      <c r="G468" s="441"/>
      <c r="H468" s="441"/>
      <c r="I468" s="441"/>
      <c r="J468" s="441"/>
      <c r="K468" s="441"/>
      <c r="L468" s="441"/>
      <c r="M468" s="441"/>
      <c r="N468" s="441"/>
      <c r="O468" s="441"/>
      <c r="P468" s="441"/>
      <c r="Q468" s="441"/>
      <c r="R468" s="441"/>
      <c r="S468" s="441"/>
      <c r="T468" s="441"/>
      <c r="U468" s="441"/>
      <c r="V468" s="441"/>
      <c r="W468" s="441"/>
      <c r="X468" s="441"/>
      <c r="Y468" s="441"/>
      <c r="Z468" s="441"/>
      <c r="AA468" s="441"/>
      <c r="AB468" s="441"/>
      <c r="AC468" s="441"/>
      <c r="AD468" s="441"/>
      <c r="AE468" s="441"/>
      <c r="AF468" s="441"/>
      <c r="AG468" s="441"/>
      <c r="AH468" s="441"/>
      <c r="AI468" s="441"/>
      <c r="AJ468" s="441"/>
      <c r="AK468" s="441"/>
      <c r="AL468" s="441"/>
      <c r="AM468" s="441"/>
      <c r="AN468" s="441"/>
      <c r="AO468" s="441"/>
      <c r="AP468" s="441"/>
      <c r="AQ468" s="441"/>
      <c r="AR468" s="441"/>
      <c r="AS468" s="441"/>
      <c r="AT468" s="441"/>
      <c r="AU468" s="441"/>
      <c r="AV468" s="441"/>
      <c r="AW468" s="441"/>
      <c r="AX468" s="441"/>
      <c r="AY468" s="441"/>
      <c r="AZ468" s="441"/>
      <c r="BA468" s="441"/>
    </row>
    <row r="469">
      <c r="A469" s="441"/>
      <c r="B469" s="441"/>
      <c r="C469" s="441"/>
      <c r="D469" s="441"/>
      <c r="E469" s="441"/>
      <c r="F469" s="441"/>
      <c r="G469" s="441"/>
      <c r="H469" s="441"/>
      <c r="I469" s="441"/>
      <c r="J469" s="441"/>
      <c r="K469" s="441"/>
      <c r="L469" s="441"/>
      <c r="M469" s="441"/>
      <c r="N469" s="441"/>
      <c r="O469" s="441"/>
      <c r="P469" s="441"/>
      <c r="Q469" s="441"/>
      <c r="R469" s="441"/>
      <c r="S469" s="441"/>
      <c r="T469" s="441"/>
      <c r="U469" s="441"/>
      <c r="V469" s="441"/>
      <c r="W469" s="441"/>
      <c r="X469" s="441"/>
      <c r="Y469" s="441"/>
      <c r="Z469" s="441"/>
      <c r="AA469" s="441"/>
      <c r="AB469" s="441"/>
      <c r="AC469" s="441"/>
      <c r="AD469" s="441"/>
      <c r="AE469" s="441"/>
      <c r="AF469" s="441"/>
      <c r="AG469" s="441"/>
      <c r="AH469" s="441"/>
      <c r="AI469" s="441"/>
      <c r="AJ469" s="441"/>
      <c r="AK469" s="441"/>
      <c r="AL469" s="441"/>
      <c r="AM469" s="441"/>
      <c r="AN469" s="441"/>
      <c r="AO469" s="441"/>
      <c r="AP469" s="441"/>
      <c r="AQ469" s="441"/>
      <c r="AR469" s="441"/>
      <c r="AS469" s="441"/>
      <c r="AT469" s="441"/>
      <c r="AU469" s="441"/>
      <c r="AV469" s="441"/>
      <c r="AW469" s="441"/>
      <c r="AX469" s="441"/>
      <c r="AY469" s="441"/>
      <c r="AZ469" s="441"/>
      <c r="BA469" s="441"/>
    </row>
    <row r="470">
      <c r="A470" s="441"/>
      <c r="B470" s="441"/>
      <c r="C470" s="441"/>
      <c r="D470" s="441"/>
      <c r="E470" s="441"/>
      <c r="F470" s="441"/>
      <c r="G470" s="441"/>
      <c r="H470" s="441"/>
      <c r="I470" s="441"/>
      <c r="J470" s="441"/>
      <c r="K470" s="441"/>
      <c r="L470" s="441"/>
      <c r="M470" s="441"/>
      <c r="N470" s="441"/>
      <c r="O470" s="441"/>
      <c r="P470" s="441"/>
      <c r="Q470" s="441"/>
      <c r="R470" s="441"/>
      <c r="S470" s="441"/>
      <c r="T470" s="441"/>
      <c r="U470" s="441"/>
      <c r="V470" s="441"/>
      <c r="W470" s="441"/>
      <c r="X470" s="441"/>
      <c r="Y470" s="441"/>
      <c r="Z470" s="441"/>
      <c r="AA470" s="441"/>
      <c r="AB470" s="441"/>
      <c r="AC470" s="441"/>
      <c r="AD470" s="441"/>
      <c r="AE470" s="441"/>
      <c r="AF470" s="441"/>
      <c r="AG470" s="441"/>
      <c r="AH470" s="441"/>
      <c r="AI470" s="441"/>
      <c r="AJ470" s="441"/>
      <c r="AK470" s="441"/>
      <c r="AL470" s="441"/>
      <c r="AM470" s="441"/>
      <c r="AN470" s="441"/>
      <c r="AO470" s="441"/>
      <c r="AP470" s="441"/>
      <c r="AQ470" s="441"/>
      <c r="AR470" s="441"/>
      <c r="AS470" s="441"/>
      <c r="AT470" s="441"/>
      <c r="AU470" s="441"/>
      <c r="AV470" s="441"/>
      <c r="AW470" s="441"/>
      <c r="AX470" s="441"/>
      <c r="AY470" s="441"/>
      <c r="AZ470" s="441"/>
      <c r="BA470" s="441"/>
    </row>
    <row r="471">
      <c r="A471" s="441"/>
      <c r="B471" s="441"/>
      <c r="C471" s="441"/>
      <c r="D471" s="441"/>
      <c r="E471" s="441"/>
      <c r="F471" s="441"/>
      <c r="G471" s="441"/>
      <c r="H471" s="441"/>
      <c r="I471" s="441"/>
      <c r="J471" s="441"/>
      <c r="K471" s="441"/>
      <c r="L471" s="441"/>
      <c r="M471" s="441"/>
      <c r="N471" s="441"/>
      <c r="O471" s="441"/>
      <c r="P471" s="441"/>
      <c r="Q471" s="441"/>
      <c r="R471" s="441"/>
      <c r="S471" s="441"/>
      <c r="T471" s="441"/>
      <c r="U471" s="441"/>
      <c r="V471" s="441"/>
      <c r="W471" s="441"/>
      <c r="X471" s="441"/>
      <c r="Y471" s="441"/>
      <c r="Z471" s="441"/>
      <c r="AA471" s="441"/>
      <c r="AB471" s="441"/>
      <c r="AC471" s="441"/>
      <c r="AD471" s="441"/>
      <c r="AE471" s="441"/>
      <c r="AF471" s="441"/>
      <c r="AG471" s="441"/>
      <c r="AH471" s="441"/>
      <c r="AI471" s="441"/>
      <c r="AJ471" s="441"/>
      <c r="AK471" s="441"/>
      <c r="AL471" s="441"/>
      <c r="AM471" s="441"/>
      <c r="AN471" s="441"/>
      <c r="AO471" s="441"/>
      <c r="AP471" s="441"/>
      <c r="AQ471" s="441"/>
      <c r="AR471" s="441"/>
      <c r="AS471" s="441"/>
      <c r="AT471" s="441"/>
      <c r="AU471" s="441"/>
      <c r="AV471" s="441"/>
      <c r="AW471" s="441"/>
      <c r="AX471" s="441"/>
      <c r="AY471" s="441"/>
      <c r="AZ471" s="441"/>
      <c r="BA471" s="441"/>
    </row>
    <row r="472">
      <c r="A472" s="441"/>
      <c r="B472" s="441"/>
      <c r="C472" s="441"/>
      <c r="D472" s="441"/>
      <c r="E472" s="441"/>
      <c r="F472" s="441"/>
      <c r="G472" s="441"/>
      <c r="H472" s="441"/>
      <c r="I472" s="441"/>
      <c r="J472" s="441"/>
      <c r="K472" s="441"/>
      <c r="L472" s="441"/>
      <c r="M472" s="441"/>
      <c r="N472" s="441"/>
      <c r="O472" s="441"/>
      <c r="P472" s="441"/>
      <c r="Q472" s="441"/>
      <c r="R472" s="441"/>
      <c r="S472" s="441"/>
      <c r="T472" s="441"/>
      <c r="U472" s="441"/>
      <c r="V472" s="441"/>
      <c r="W472" s="441"/>
      <c r="X472" s="441"/>
      <c r="Y472" s="441"/>
      <c r="Z472" s="441"/>
      <c r="AA472" s="441"/>
      <c r="AB472" s="441"/>
      <c r="AC472" s="441"/>
      <c r="AD472" s="441"/>
      <c r="AE472" s="441"/>
      <c r="AF472" s="441"/>
      <c r="AG472" s="441"/>
      <c r="AH472" s="441"/>
      <c r="AI472" s="441"/>
      <c r="AJ472" s="441"/>
      <c r="AK472" s="441"/>
      <c r="AL472" s="441"/>
      <c r="AM472" s="441"/>
      <c r="AN472" s="441"/>
      <c r="AO472" s="441"/>
      <c r="AP472" s="441"/>
      <c r="AQ472" s="441"/>
      <c r="AR472" s="441"/>
      <c r="AS472" s="441"/>
      <c r="AT472" s="441"/>
      <c r="AU472" s="441"/>
      <c r="AV472" s="441"/>
      <c r="AW472" s="441"/>
      <c r="AX472" s="441"/>
      <c r="AY472" s="441"/>
      <c r="AZ472" s="441"/>
      <c r="BA472" s="441"/>
    </row>
    <row r="473">
      <c r="A473" s="441"/>
      <c r="B473" s="441"/>
      <c r="C473" s="441"/>
      <c r="D473" s="441"/>
      <c r="E473" s="441"/>
      <c r="F473" s="441"/>
      <c r="G473" s="441"/>
      <c r="H473" s="441"/>
      <c r="I473" s="441"/>
      <c r="J473" s="441"/>
      <c r="K473" s="441"/>
      <c r="L473" s="441"/>
      <c r="M473" s="441"/>
      <c r="N473" s="441"/>
      <c r="O473" s="441"/>
      <c r="P473" s="441"/>
      <c r="Q473" s="441"/>
      <c r="R473" s="441"/>
      <c r="S473" s="441"/>
      <c r="T473" s="441"/>
      <c r="U473" s="441"/>
      <c r="V473" s="441"/>
      <c r="W473" s="441"/>
      <c r="X473" s="441"/>
      <c r="Y473" s="441"/>
      <c r="Z473" s="441"/>
      <c r="AA473" s="441"/>
      <c r="AB473" s="441"/>
      <c r="AC473" s="441"/>
      <c r="AD473" s="441"/>
      <c r="AE473" s="441"/>
      <c r="AF473" s="441"/>
      <c r="AG473" s="441"/>
      <c r="AH473" s="441"/>
      <c r="AI473" s="441"/>
      <c r="AJ473" s="441"/>
      <c r="AK473" s="441"/>
      <c r="AL473" s="441"/>
      <c r="AM473" s="441"/>
      <c r="AN473" s="441"/>
      <c r="AO473" s="441"/>
      <c r="AP473" s="441"/>
      <c r="AQ473" s="441"/>
      <c r="AR473" s="441"/>
      <c r="AS473" s="441"/>
      <c r="AT473" s="441"/>
      <c r="AU473" s="441"/>
      <c r="AV473" s="441"/>
      <c r="AW473" s="441"/>
      <c r="AX473" s="441"/>
      <c r="AY473" s="441"/>
      <c r="AZ473" s="441"/>
      <c r="BA473" s="441"/>
    </row>
    <row r="474">
      <c r="A474" s="441"/>
      <c r="B474" s="441"/>
      <c r="C474" s="441"/>
      <c r="D474" s="441"/>
      <c r="E474" s="441"/>
      <c r="F474" s="441"/>
      <c r="G474" s="441"/>
      <c r="H474" s="441"/>
      <c r="I474" s="441"/>
      <c r="J474" s="441"/>
      <c r="K474" s="441"/>
      <c r="L474" s="441"/>
      <c r="M474" s="441"/>
      <c r="N474" s="441"/>
      <c r="O474" s="441"/>
      <c r="P474" s="441"/>
      <c r="Q474" s="441"/>
      <c r="R474" s="441"/>
      <c r="S474" s="441"/>
      <c r="T474" s="441"/>
      <c r="U474" s="441"/>
      <c r="V474" s="441"/>
      <c r="W474" s="441"/>
      <c r="X474" s="441"/>
      <c r="Y474" s="441"/>
      <c r="Z474" s="441"/>
      <c r="AA474" s="441"/>
      <c r="AB474" s="441"/>
      <c r="AC474" s="441"/>
      <c r="AD474" s="441"/>
      <c r="AE474" s="441"/>
      <c r="AF474" s="441"/>
      <c r="AG474" s="441"/>
      <c r="AH474" s="441"/>
      <c r="AI474" s="441"/>
      <c r="AJ474" s="441"/>
      <c r="AK474" s="441"/>
      <c r="AL474" s="441"/>
      <c r="AM474" s="441"/>
      <c r="AN474" s="441"/>
      <c r="AO474" s="441"/>
      <c r="AP474" s="441"/>
      <c r="AQ474" s="441"/>
      <c r="AR474" s="441"/>
      <c r="AS474" s="441"/>
      <c r="AT474" s="441"/>
      <c r="AU474" s="441"/>
      <c r="AV474" s="441"/>
      <c r="AW474" s="441"/>
      <c r="AX474" s="441"/>
      <c r="AY474" s="441"/>
      <c r="AZ474" s="441"/>
      <c r="BA474" s="441"/>
    </row>
    <row r="475">
      <c r="A475" s="441"/>
      <c r="B475" s="441"/>
      <c r="C475" s="441"/>
      <c r="D475" s="441"/>
      <c r="E475" s="441"/>
      <c r="F475" s="441"/>
      <c r="G475" s="441"/>
      <c r="H475" s="441"/>
      <c r="I475" s="441"/>
      <c r="J475" s="441"/>
      <c r="K475" s="441"/>
      <c r="L475" s="441"/>
      <c r="M475" s="441"/>
      <c r="N475" s="441"/>
      <c r="O475" s="441"/>
      <c r="P475" s="441"/>
      <c r="Q475" s="441"/>
      <c r="R475" s="441"/>
      <c r="S475" s="441"/>
      <c r="T475" s="441"/>
      <c r="U475" s="441"/>
      <c r="V475" s="441"/>
      <c r="W475" s="441"/>
      <c r="X475" s="441"/>
      <c r="Y475" s="441"/>
      <c r="Z475" s="441"/>
      <c r="AA475" s="441"/>
      <c r="AB475" s="441"/>
      <c r="AC475" s="441"/>
      <c r="AD475" s="441"/>
      <c r="AE475" s="441"/>
      <c r="AF475" s="441"/>
      <c r="AG475" s="441"/>
      <c r="AH475" s="441"/>
      <c r="AI475" s="441"/>
      <c r="AJ475" s="441"/>
      <c r="AK475" s="441"/>
      <c r="AL475" s="441"/>
      <c r="AM475" s="441"/>
      <c r="AN475" s="441"/>
      <c r="AO475" s="441"/>
      <c r="AP475" s="441"/>
      <c r="AQ475" s="441"/>
      <c r="AR475" s="441"/>
      <c r="AS475" s="441"/>
      <c r="AT475" s="441"/>
      <c r="AU475" s="441"/>
      <c r="AV475" s="441"/>
      <c r="AW475" s="441"/>
      <c r="AX475" s="441"/>
      <c r="AY475" s="441"/>
      <c r="AZ475" s="441"/>
      <c r="BA475" s="441"/>
    </row>
    <row r="476">
      <c r="A476" s="441"/>
      <c r="B476" s="441"/>
      <c r="C476" s="441"/>
      <c r="D476" s="441"/>
      <c r="E476" s="441"/>
      <c r="F476" s="441"/>
      <c r="G476" s="441"/>
      <c r="H476" s="441"/>
      <c r="I476" s="441"/>
      <c r="J476" s="441"/>
      <c r="K476" s="441"/>
      <c r="L476" s="441"/>
      <c r="M476" s="441"/>
      <c r="N476" s="441"/>
      <c r="O476" s="441"/>
      <c r="P476" s="441"/>
      <c r="Q476" s="441"/>
      <c r="R476" s="441"/>
      <c r="S476" s="441"/>
      <c r="T476" s="441"/>
      <c r="U476" s="441"/>
      <c r="V476" s="441"/>
      <c r="W476" s="441"/>
      <c r="X476" s="441"/>
      <c r="Y476" s="441"/>
      <c r="Z476" s="441"/>
      <c r="AA476" s="441"/>
      <c r="AB476" s="441"/>
      <c r="AC476" s="441"/>
      <c r="AD476" s="441"/>
      <c r="AE476" s="441"/>
      <c r="AF476" s="441"/>
      <c r="AG476" s="441"/>
      <c r="AH476" s="441"/>
      <c r="AI476" s="441"/>
      <c r="AJ476" s="441"/>
      <c r="AK476" s="441"/>
      <c r="AL476" s="441"/>
      <c r="AM476" s="441"/>
      <c r="AN476" s="441"/>
      <c r="AO476" s="441"/>
      <c r="AP476" s="441"/>
      <c r="AQ476" s="441"/>
      <c r="AR476" s="441"/>
      <c r="AS476" s="441"/>
      <c r="AT476" s="441"/>
      <c r="AU476" s="441"/>
      <c r="AV476" s="441"/>
      <c r="AW476" s="441"/>
      <c r="AX476" s="441"/>
      <c r="AY476" s="441"/>
      <c r="AZ476" s="441"/>
      <c r="BA476" s="441"/>
    </row>
    <row r="477">
      <c r="A477" s="441"/>
      <c r="B477" s="441"/>
      <c r="C477" s="441"/>
      <c r="D477" s="441"/>
      <c r="E477" s="441"/>
      <c r="F477" s="441"/>
      <c r="G477" s="441"/>
      <c r="H477" s="441"/>
      <c r="I477" s="441"/>
      <c r="J477" s="441"/>
      <c r="K477" s="441"/>
      <c r="L477" s="441"/>
      <c r="M477" s="441"/>
      <c r="N477" s="441"/>
      <c r="O477" s="441"/>
      <c r="P477" s="441"/>
      <c r="Q477" s="441"/>
      <c r="R477" s="441"/>
      <c r="S477" s="441"/>
      <c r="T477" s="441"/>
      <c r="U477" s="441"/>
      <c r="V477" s="441"/>
      <c r="W477" s="441"/>
      <c r="X477" s="441"/>
      <c r="Y477" s="441"/>
      <c r="Z477" s="441"/>
      <c r="AA477" s="441"/>
      <c r="AB477" s="441"/>
      <c r="AC477" s="441"/>
      <c r="AD477" s="441"/>
      <c r="AE477" s="441"/>
      <c r="AF477" s="441"/>
      <c r="AG477" s="441"/>
      <c r="AH477" s="441"/>
      <c r="AI477" s="441"/>
      <c r="AJ477" s="441"/>
      <c r="AK477" s="441"/>
      <c r="AL477" s="441"/>
      <c r="AM477" s="441"/>
      <c r="AN477" s="441"/>
      <c r="AO477" s="441"/>
      <c r="AP477" s="441"/>
      <c r="AQ477" s="441"/>
      <c r="AR477" s="441"/>
      <c r="AS477" s="441"/>
      <c r="AT477" s="441"/>
      <c r="AU477" s="441"/>
      <c r="AV477" s="441"/>
      <c r="AW477" s="441"/>
      <c r="AX477" s="441"/>
      <c r="AY477" s="441"/>
      <c r="AZ477" s="441"/>
      <c r="BA477" s="441"/>
    </row>
    <row r="478">
      <c r="A478" s="441"/>
      <c r="B478" s="441"/>
      <c r="C478" s="441"/>
      <c r="D478" s="441"/>
      <c r="E478" s="441"/>
      <c r="F478" s="441"/>
      <c r="G478" s="441"/>
      <c r="H478" s="441"/>
      <c r="I478" s="441"/>
      <c r="J478" s="441"/>
      <c r="K478" s="441"/>
      <c r="L478" s="441"/>
      <c r="M478" s="441"/>
      <c r="N478" s="441"/>
      <c r="O478" s="441"/>
      <c r="P478" s="441"/>
      <c r="Q478" s="441"/>
      <c r="R478" s="441"/>
      <c r="S478" s="441"/>
      <c r="T478" s="441"/>
      <c r="U478" s="441"/>
      <c r="V478" s="441"/>
      <c r="W478" s="441"/>
      <c r="X478" s="441"/>
      <c r="Y478" s="441"/>
      <c r="Z478" s="441"/>
      <c r="AA478" s="441"/>
      <c r="AB478" s="441"/>
      <c r="AC478" s="441"/>
      <c r="AD478" s="441"/>
      <c r="AE478" s="441"/>
      <c r="AF478" s="441"/>
      <c r="AG478" s="441"/>
      <c r="AH478" s="441"/>
      <c r="AI478" s="441"/>
      <c r="AJ478" s="441"/>
      <c r="AK478" s="441"/>
      <c r="AL478" s="441"/>
      <c r="AM478" s="441"/>
      <c r="AN478" s="441"/>
      <c r="AO478" s="441"/>
      <c r="AP478" s="441"/>
      <c r="AQ478" s="441"/>
      <c r="AR478" s="441"/>
      <c r="AS478" s="441"/>
      <c r="AT478" s="441"/>
      <c r="AU478" s="441"/>
      <c r="AV478" s="441"/>
      <c r="AW478" s="441"/>
      <c r="AX478" s="441"/>
      <c r="AY478" s="441"/>
      <c r="AZ478" s="441"/>
      <c r="BA478" s="441"/>
    </row>
    <row r="479">
      <c r="A479" s="441"/>
      <c r="B479" s="441"/>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41"/>
      <c r="Z479" s="441"/>
      <c r="AA479" s="441"/>
      <c r="AB479" s="441"/>
      <c r="AC479" s="441"/>
      <c r="AD479" s="441"/>
      <c r="AE479" s="441"/>
      <c r="AF479" s="441"/>
      <c r="AG479" s="441"/>
      <c r="AH479" s="441"/>
      <c r="AI479" s="441"/>
      <c r="AJ479" s="441"/>
      <c r="AK479" s="441"/>
      <c r="AL479" s="441"/>
      <c r="AM479" s="441"/>
      <c r="AN479" s="441"/>
      <c r="AO479" s="441"/>
      <c r="AP479" s="441"/>
      <c r="AQ479" s="441"/>
      <c r="AR479" s="441"/>
      <c r="AS479" s="441"/>
      <c r="AT479" s="441"/>
      <c r="AU479" s="441"/>
      <c r="AV479" s="441"/>
      <c r="AW479" s="441"/>
      <c r="AX479" s="441"/>
      <c r="AY479" s="441"/>
      <c r="AZ479" s="441"/>
      <c r="BA479" s="441"/>
    </row>
    <row r="480">
      <c r="A480" s="441"/>
      <c r="B480" s="441"/>
      <c r="C480" s="441"/>
      <c r="D480" s="441"/>
      <c r="E480" s="441"/>
      <c r="F480" s="441"/>
      <c r="G480" s="441"/>
      <c r="H480" s="441"/>
      <c r="I480" s="441"/>
      <c r="J480" s="441"/>
      <c r="K480" s="441"/>
      <c r="L480" s="441"/>
      <c r="M480" s="441"/>
      <c r="N480" s="441"/>
      <c r="O480" s="441"/>
      <c r="P480" s="441"/>
      <c r="Q480" s="441"/>
      <c r="R480" s="441"/>
      <c r="S480" s="441"/>
      <c r="T480" s="441"/>
      <c r="U480" s="441"/>
      <c r="V480" s="441"/>
      <c r="W480" s="441"/>
      <c r="X480" s="441"/>
      <c r="Y480" s="441"/>
      <c r="Z480" s="441"/>
      <c r="AA480" s="441"/>
      <c r="AB480" s="441"/>
      <c r="AC480" s="441"/>
      <c r="AD480" s="441"/>
      <c r="AE480" s="441"/>
      <c r="AF480" s="441"/>
      <c r="AG480" s="441"/>
      <c r="AH480" s="441"/>
      <c r="AI480" s="441"/>
      <c r="AJ480" s="441"/>
      <c r="AK480" s="441"/>
      <c r="AL480" s="441"/>
      <c r="AM480" s="441"/>
      <c r="AN480" s="441"/>
      <c r="AO480" s="441"/>
      <c r="AP480" s="441"/>
      <c r="AQ480" s="441"/>
      <c r="AR480" s="441"/>
      <c r="AS480" s="441"/>
      <c r="AT480" s="441"/>
      <c r="AU480" s="441"/>
      <c r="AV480" s="441"/>
      <c r="AW480" s="441"/>
      <c r="AX480" s="441"/>
      <c r="AY480" s="441"/>
      <c r="AZ480" s="441"/>
      <c r="BA480" s="441"/>
    </row>
    <row r="481">
      <c r="A481" s="441"/>
      <c r="B481" s="441"/>
      <c r="C481" s="441"/>
      <c r="D481" s="441"/>
      <c r="E481" s="441"/>
      <c r="F481" s="441"/>
      <c r="G481" s="441"/>
      <c r="H481" s="441"/>
      <c r="I481" s="441"/>
      <c r="J481" s="441"/>
      <c r="K481" s="441"/>
      <c r="L481" s="441"/>
      <c r="M481" s="441"/>
      <c r="N481" s="441"/>
      <c r="O481" s="441"/>
      <c r="P481" s="441"/>
      <c r="Q481" s="441"/>
      <c r="R481" s="441"/>
      <c r="S481" s="441"/>
      <c r="T481" s="441"/>
      <c r="U481" s="441"/>
      <c r="V481" s="441"/>
      <c r="W481" s="441"/>
      <c r="X481" s="441"/>
      <c r="Y481" s="441"/>
      <c r="Z481" s="441"/>
      <c r="AA481" s="441"/>
      <c r="AB481" s="441"/>
      <c r="AC481" s="441"/>
      <c r="AD481" s="441"/>
      <c r="AE481" s="441"/>
      <c r="AF481" s="441"/>
      <c r="AG481" s="441"/>
      <c r="AH481" s="441"/>
      <c r="AI481" s="441"/>
      <c r="AJ481" s="441"/>
      <c r="AK481" s="441"/>
      <c r="AL481" s="441"/>
      <c r="AM481" s="441"/>
      <c r="AN481" s="441"/>
      <c r="AO481" s="441"/>
      <c r="AP481" s="441"/>
      <c r="AQ481" s="441"/>
      <c r="AR481" s="441"/>
      <c r="AS481" s="441"/>
      <c r="AT481" s="441"/>
      <c r="AU481" s="441"/>
      <c r="AV481" s="441"/>
      <c r="AW481" s="441"/>
      <c r="AX481" s="441"/>
      <c r="AY481" s="441"/>
      <c r="AZ481" s="441"/>
      <c r="BA481" s="441"/>
    </row>
    <row r="482">
      <c r="A482" s="441"/>
      <c r="B482" s="441"/>
      <c r="C482" s="441"/>
      <c r="D482" s="441"/>
      <c r="E482" s="441"/>
      <c r="F482" s="441"/>
      <c r="G482" s="441"/>
      <c r="H482" s="441"/>
      <c r="I482" s="441"/>
      <c r="J482" s="441"/>
      <c r="K482" s="441"/>
      <c r="L482" s="441"/>
      <c r="M482" s="441"/>
      <c r="N482" s="441"/>
      <c r="O482" s="441"/>
      <c r="P482" s="441"/>
      <c r="Q482" s="441"/>
      <c r="R482" s="441"/>
      <c r="S482" s="441"/>
      <c r="T482" s="441"/>
      <c r="U482" s="441"/>
      <c r="V482" s="441"/>
      <c r="W482" s="441"/>
      <c r="X482" s="441"/>
      <c r="Y482" s="441"/>
      <c r="Z482" s="441"/>
      <c r="AA482" s="441"/>
      <c r="AB482" s="441"/>
      <c r="AC482" s="441"/>
      <c r="AD482" s="441"/>
      <c r="AE482" s="441"/>
      <c r="AF482" s="441"/>
      <c r="AG482" s="441"/>
      <c r="AH482" s="441"/>
      <c r="AI482" s="441"/>
      <c r="AJ482" s="441"/>
      <c r="AK482" s="441"/>
      <c r="AL482" s="441"/>
      <c r="AM482" s="441"/>
      <c r="AN482" s="441"/>
      <c r="AO482" s="441"/>
      <c r="AP482" s="441"/>
      <c r="AQ482" s="441"/>
      <c r="AR482" s="441"/>
      <c r="AS482" s="441"/>
      <c r="AT482" s="441"/>
      <c r="AU482" s="441"/>
      <c r="AV482" s="441"/>
      <c r="AW482" s="441"/>
      <c r="AX482" s="441"/>
      <c r="AY482" s="441"/>
      <c r="AZ482" s="441"/>
      <c r="BA482" s="441"/>
    </row>
    <row r="483">
      <c r="A483" s="441"/>
      <c r="B483" s="441"/>
      <c r="C483" s="441"/>
      <c r="D483" s="441"/>
      <c r="E483" s="441"/>
      <c r="F483" s="441"/>
      <c r="G483" s="441"/>
      <c r="H483" s="441"/>
      <c r="I483" s="441"/>
      <c r="J483" s="441"/>
      <c r="K483" s="441"/>
      <c r="L483" s="441"/>
      <c r="M483" s="441"/>
      <c r="N483" s="441"/>
      <c r="O483" s="441"/>
      <c r="P483" s="441"/>
      <c r="Q483" s="441"/>
      <c r="R483" s="441"/>
      <c r="S483" s="441"/>
      <c r="T483" s="441"/>
      <c r="U483" s="441"/>
      <c r="V483" s="441"/>
      <c r="W483" s="441"/>
      <c r="X483" s="441"/>
      <c r="Y483" s="441"/>
      <c r="Z483" s="441"/>
      <c r="AA483" s="441"/>
      <c r="AB483" s="441"/>
      <c r="AC483" s="441"/>
      <c r="AD483" s="441"/>
      <c r="AE483" s="441"/>
      <c r="AF483" s="441"/>
      <c r="AG483" s="441"/>
      <c r="AH483" s="441"/>
      <c r="AI483" s="441"/>
      <c r="AJ483" s="441"/>
      <c r="AK483" s="441"/>
      <c r="AL483" s="441"/>
      <c r="AM483" s="441"/>
      <c r="AN483" s="441"/>
      <c r="AO483" s="441"/>
      <c r="AP483" s="441"/>
      <c r="AQ483" s="441"/>
      <c r="AR483" s="441"/>
      <c r="AS483" s="441"/>
      <c r="AT483" s="441"/>
      <c r="AU483" s="441"/>
      <c r="AV483" s="441"/>
      <c r="AW483" s="441"/>
      <c r="AX483" s="441"/>
      <c r="AY483" s="441"/>
      <c r="AZ483" s="441"/>
      <c r="BA483" s="441"/>
    </row>
    <row r="484">
      <c r="A484" s="441"/>
      <c r="B484" s="441"/>
      <c r="C484" s="441"/>
      <c r="D484" s="441"/>
      <c r="E484" s="441"/>
      <c r="F484" s="441"/>
      <c r="G484" s="441"/>
      <c r="H484" s="441"/>
      <c r="I484" s="441"/>
      <c r="J484" s="441"/>
      <c r="K484" s="441"/>
      <c r="L484" s="441"/>
      <c r="M484" s="441"/>
      <c r="N484" s="441"/>
      <c r="O484" s="441"/>
      <c r="P484" s="441"/>
      <c r="Q484" s="441"/>
      <c r="R484" s="441"/>
      <c r="S484" s="441"/>
      <c r="T484" s="441"/>
      <c r="U484" s="441"/>
      <c r="V484" s="441"/>
      <c r="W484" s="441"/>
      <c r="X484" s="441"/>
      <c r="Y484" s="441"/>
      <c r="Z484" s="441"/>
      <c r="AA484" s="441"/>
      <c r="AB484" s="441"/>
      <c r="AC484" s="441"/>
      <c r="AD484" s="441"/>
      <c r="AE484" s="441"/>
      <c r="AF484" s="441"/>
      <c r="AG484" s="441"/>
      <c r="AH484" s="441"/>
      <c r="AI484" s="441"/>
      <c r="AJ484" s="441"/>
      <c r="AK484" s="441"/>
      <c r="AL484" s="441"/>
      <c r="AM484" s="441"/>
      <c r="AN484" s="441"/>
      <c r="AO484" s="441"/>
      <c r="AP484" s="441"/>
      <c r="AQ484" s="441"/>
      <c r="AR484" s="441"/>
      <c r="AS484" s="441"/>
      <c r="AT484" s="441"/>
      <c r="AU484" s="441"/>
      <c r="AV484" s="441"/>
      <c r="AW484" s="441"/>
      <c r="AX484" s="441"/>
      <c r="AY484" s="441"/>
      <c r="AZ484" s="441"/>
      <c r="BA484" s="441"/>
    </row>
    <row r="485">
      <c r="A485" s="441"/>
      <c r="B485" s="441"/>
      <c r="C485" s="441"/>
      <c r="D485" s="441"/>
      <c r="E485" s="441"/>
      <c r="F485" s="441"/>
      <c r="G485" s="441"/>
      <c r="H485" s="441"/>
      <c r="I485" s="441"/>
      <c r="J485" s="441"/>
      <c r="K485" s="441"/>
      <c r="L485" s="441"/>
      <c r="M485" s="441"/>
      <c r="N485" s="441"/>
      <c r="O485" s="441"/>
      <c r="P485" s="441"/>
      <c r="Q485" s="441"/>
      <c r="R485" s="441"/>
      <c r="S485" s="441"/>
      <c r="T485" s="441"/>
      <c r="U485" s="441"/>
      <c r="V485" s="441"/>
      <c r="W485" s="441"/>
      <c r="X485" s="441"/>
      <c r="Y485" s="441"/>
      <c r="Z485" s="441"/>
      <c r="AA485" s="441"/>
      <c r="AB485" s="441"/>
      <c r="AC485" s="441"/>
      <c r="AD485" s="441"/>
      <c r="AE485" s="441"/>
      <c r="AF485" s="441"/>
      <c r="AG485" s="441"/>
      <c r="AH485" s="441"/>
      <c r="AI485" s="441"/>
      <c r="AJ485" s="441"/>
      <c r="AK485" s="441"/>
      <c r="AL485" s="441"/>
      <c r="AM485" s="441"/>
      <c r="AN485" s="441"/>
      <c r="AO485" s="441"/>
      <c r="AP485" s="441"/>
      <c r="AQ485" s="441"/>
      <c r="AR485" s="441"/>
      <c r="AS485" s="441"/>
      <c r="AT485" s="441"/>
      <c r="AU485" s="441"/>
      <c r="AV485" s="441"/>
      <c r="AW485" s="441"/>
      <c r="AX485" s="441"/>
      <c r="AY485" s="441"/>
      <c r="AZ485" s="441"/>
      <c r="BA485" s="441"/>
    </row>
    <row r="486">
      <c r="A486" s="441"/>
      <c r="B486" s="441"/>
      <c r="C486" s="441"/>
      <c r="D486" s="441"/>
      <c r="E486" s="441"/>
      <c r="F486" s="441"/>
      <c r="G486" s="441"/>
      <c r="H486" s="441"/>
      <c r="I486" s="441"/>
      <c r="J486" s="441"/>
      <c r="K486" s="441"/>
      <c r="L486" s="441"/>
      <c r="M486" s="441"/>
      <c r="N486" s="441"/>
      <c r="O486" s="441"/>
      <c r="P486" s="441"/>
      <c r="Q486" s="441"/>
      <c r="R486" s="441"/>
      <c r="S486" s="441"/>
      <c r="T486" s="441"/>
      <c r="U486" s="441"/>
      <c r="V486" s="441"/>
      <c r="W486" s="441"/>
      <c r="X486" s="441"/>
      <c r="Y486" s="441"/>
      <c r="Z486" s="441"/>
      <c r="AA486" s="441"/>
      <c r="AB486" s="441"/>
      <c r="AC486" s="441"/>
      <c r="AD486" s="441"/>
      <c r="AE486" s="441"/>
      <c r="AF486" s="441"/>
      <c r="AG486" s="441"/>
      <c r="AH486" s="441"/>
      <c r="AI486" s="441"/>
      <c r="AJ486" s="441"/>
      <c r="AK486" s="441"/>
      <c r="AL486" s="441"/>
      <c r="AM486" s="441"/>
      <c r="AN486" s="441"/>
      <c r="AO486" s="441"/>
      <c r="AP486" s="441"/>
      <c r="AQ486" s="441"/>
      <c r="AR486" s="441"/>
      <c r="AS486" s="441"/>
      <c r="AT486" s="441"/>
      <c r="AU486" s="441"/>
      <c r="AV486" s="441"/>
      <c r="AW486" s="441"/>
      <c r="AX486" s="441"/>
      <c r="AY486" s="441"/>
      <c r="AZ486" s="441"/>
      <c r="BA486" s="441"/>
    </row>
    <row r="487">
      <c r="A487" s="441"/>
      <c r="B487" s="441"/>
      <c r="C487" s="441"/>
      <c r="D487" s="441"/>
      <c r="E487" s="441"/>
      <c r="F487" s="441"/>
      <c r="G487" s="441"/>
      <c r="H487" s="441"/>
      <c r="I487" s="441"/>
      <c r="J487" s="441"/>
      <c r="K487" s="441"/>
      <c r="L487" s="441"/>
      <c r="M487" s="441"/>
      <c r="N487" s="441"/>
      <c r="O487" s="441"/>
      <c r="P487" s="441"/>
      <c r="Q487" s="441"/>
      <c r="R487" s="441"/>
      <c r="S487" s="441"/>
      <c r="T487" s="441"/>
      <c r="U487" s="441"/>
      <c r="V487" s="441"/>
      <c r="W487" s="441"/>
      <c r="X487" s="441"/>
      <c r="Y487" s="441"/>
      <c r="Z487" s="441"/>
      <c r="AA487" s="441"/>
      <c r="AB487" s="441"/>
      <c r="AC487" s="441"/>
      <c r="AD487" s="441"/>
      <c r="AE487" s="441"/>
      <c r="AF487" s="441"/>
      <c r="AG487" s="441"/>
      <c r="AH487" s="441"/>
      <c r="AI487" s="441"/>
      <c r="AJ487" s="441"/>
      <c r="AK487" s="441"/>
      <c r="AL487" s="441"/>
      <c r="AM487" s="441"/>
      <c r="AN487" s="441"/>
      <c r="AO487" s="441"/>
      <c r="AP487" s="441"/>
      <c r="AQ487" s="441"/>
      <c r="AR487" s="441"/>
      <c r="AS487" s="441"/>
      <c r="AT487" s="441"/>
      <c r="AU487" s="441"/>
      <c r="AV487" s="441"/>
      <c r="AW487" s="441"/>
      <c r="AX487" s="441"/>
      <c r="AY487" s="441"/>
      <c r="AZ487" s="441"/>
      <c r="BA487" s="441"/>
    </row>
    <row r="488">
      <c r="A488" s="441"/>
      <c r="B488" s="441"/>
      <c r="C488" s="441"/>
      <c r="D488" s="441"/>
      <c r="E488" s="441"/>
      <c r="F488" s="441"/>
      <c r="G488" s="441"/>
      <c r="H488" s="441"/>
      <c r="I488" s="441"/>
      <c r="J488" s="441"/>
      <c r="K488" s="441"/>
      <c r="L488" s="441"/>
      <c r="M488" s="441"/>
      <c r="N488" s="441"/>
      <c r="O488" s="441"/>
      <c r="P488" s="441"/>
      <c r="Q488" s="441"/>
      <c r="R488" s="441"/>
      <c r="S488" s="441"/>
      <c r="T488" s="441"/>
      <c r="U488" s="441"/>
      <c r="V488" s="441"/>
      <c r="W488" s="441"/>
      <c r="X488" s="441"/>
      <c r="Y488" s="441"/>
      <c r="Z488" s="441"/>
      <c r="AA488" s="441"/>
      <c r="AB488" s="441"/>
      <c r="AC488" s="441"/>
      <c r="AD488" s="441"/>
      <c r="AE488" s="441"/>
      <c r="AF488" s="441"/>
      <c r="AG488" s="441"/>
      <c r="AH488" s="441"/>
      <c r="AI488" s="441"/>
      <c r="AJ488" s="441"/>
      <c r="AK488" s="441"/>
      <c r="AL488" s="441"/>
      <c r="AM488" s="441"/>
      <c r="AN488" s="441"/>
      <c r="AO488" s="441"/>
      <c r="AP488" s="441"/>
      <c r="AQ488" s="441"/>
      <c r="AR488" s="441"/>
      <c r="AS488" s="441"/>
      <c r="AT488" s="441"/>
      <c r="AU488" s="441"/>
      <c r="AV488" s="441"/>
      <c r="AW488" s="441"/>
      <c r="AX488" s="441"/>
      <c r="AY488" s="441"/>
      <c r="AZ488" s="441"/>
      <c r="BA488" s="441"/>
    </row>
    <row r="489">
      <c r="A489" s="441"/>
      <c r="B489" s="441"/>
      <c r="C489" s="441"/>
      <c r="D489" s="441"/>
      <c r="E489" s="441"/>
      <c r="F489" s="441"/>
      <c r="G489" s="441"/>
      <c r="H489" s="441"/>
      <c r="I489" s="441"/>
      <c r="J489" s="441"/>
      <c r="K489" s="441"/>
      <c r="L489" s="441"/>
      <c r="M489" s="441"/>
      <c r="N489" s="441"/>
      <c r="O489" s="441"/>
      <c r="P489" s="441"/>
      <c r="Q489" s="441"/>
      <c r="R489" s="441"/>
      <c r="S489" s="441"/>
      <c r="T489" s="441"/>
      <c r="U489" s="441"/>
      <c r="V489" s="441"/>
      <c r="W489" s="441"/>
      <c r="X489" s="441"/>
      <c r="Y489" s="441"/>
      <c r="Z489" s="441"/>
      <c r="AA489" s="441"/>
      <c r="AB489" s="441"/>
      <c r="AC489" s="441"/>
      <c r="AD489" s="441"/>
      <c r="AE489" s="441"/>
      <c r="AF489" s="441"/>
      <c r="AG489" s="441"/>
      <c r="AH489" s="441"/>
      <c r="AI489" s="441"/>
      <c r="AJ489" s="441"/>
      <c r="AK489" s="441"/>
      <c r="AL489" s="441"/>
      <c r="AM489" s="441"/>
      <c r="AN489" s="441"/>
      <c r="AO489" s="441"/>
      <c r="AP489" s="441"/>
      <c r="AQ489" s="441"/>
      <c r="AR489" s="441"/>
      <c r="AS489" s="441"/>
      <c r="AT489" s="441"/>
      <c r="AU489" s="441"/>
      <c r="AV489" s="441"/>
      <c r="AW489" s="441"/>
      <c r="AX489" s="441"/>
      <c r="AY489" s="441"/>
      <c r="AZ489" s="441"/>
      <c r="BA489" s="441"/>
    </row>
    <row r="490">
      <c r="A490" s="441"/>
      <c r="B490" s="441"/>
      <c r="C490" s="441"/>
      <c r="D490" s="441"/>
      <c r="E490" s="441"/>
      <c r="F490" s="441"/>
      <c r="G490" s="441"/>
      <c r="H490" s="441"/>
      <c r="I490" s="441"/>
      <c r="J490" s="441"/>
      <c r="K490" s="441"/>
      <c r="L490" s="441"/>
      <c r="M490" s="441"/>
      <c r="N490" s="441"/>
      <c r="O490" s="441"/>
      <c r="P490" s="441"/>
      <c r="Q490" s="441"/>
      <c r="R490" s="441"/>
      <c r="S490" s="441"/>
      <c r="T490" s="441"/>
      <c r="U490" s="441"/>
      <c r="V490" s="441"/>
      <c r="W490" s="441"/>
      <c r="X490" s="441"/>
      <c r="Y490" s="441"/>
      <c r="Z490" s="441"/>
      <c r="AA490" s="441"/>
      <c r="AB490" s="441"/>
      <c r="AC490" s="441"/>
      <c r="AD490" s="441"/>
      <c r="AE490" s="441"/>
      <c r="AF490" s="441"/>
      <c r="AG490" s="441"/>
      <c r="AH490" s="441"/>
      <c r="AI490" s="441"/>
      <c r="AJ490" s="441"/>
      <c r="AK490" s="441"/>
      <c r="AL490" s="441"/>
      <c r="AM490" s="441"/>
      <c r="AN490" s="441"/>
      <c r="AO490" s="441"/>
      <c r="AP490" s="441"/>
      <c r="AQ490" s="441"/>
      <c r="AR490" s="441"/>
      <c r="AS490" s="441"/>
      <c r="AT490" s="441"/>
      <c r="AU490" s="441"/>
      <c r="AV490" s="441"/>
      <c r="AW490" s="441"/>
      <c r="AX490" s="441"/>
      <c r="AY490" s="441"/>
      <c r="AZ490" s="441"/>
      <c r="BA490" s="441"/>
    </row>
    <row r="491">
      <c r="A491" s="441"/>
      <c r="B491" s="441"/>
      <c r="C491" s="441"/>
      <c r="D491" s="441"/>
      <c r="E491" s="441"/>
      <c r="F491" s="441"/>
      <c r="G491" s="441"/>
      <c r="H491" s="441"/>
      <c r="I491" s="441"/>
      <c r="J491" s="441"/>
      <c r="K491" s="441"/>
      <c r="L491" s="441"/>
      <c r="M491" s="441"/>
      <c r="N491" s="441"/>
      <c r="O491" s="441"/>
      <c r="P491" s="441"/>
      <c r="Q491" s="441"/>
      <c r="R491" s="441"/>
      <c r="S491" s="441"/>
      <c r="T491" s="441"/>
      <c r="U491" s="441"/>
      <c r="V491" s="441"/>
      <c r="W491" s="441"/>
      <c r="X491" s="441"/>
      <c r="Y491" s="441"/>
      <c r="Z491" s="441"/>
      <c r="AA491" s="441"/>
      <c r="AB491" s="441"/>
      <c r="AC491" s="441"/>
      <c r="AD491" s="441"/>
      <c r="AE491" s="441"/>
      <c r="AF491" s="441"/>
      <c r="AG491" s="441"/>
      <c r="AH491" s="441"/>
      <c r="AI491" s="441"/>
      <c r="AJ491" s="441"/>
      <c r="AK491" s="441"/>
      <c r="AL491" s="441"/>
      <c r="AM491" s="441"/>
      <c r="AN491" s="441"/>
      <c r="AO491" s="441"/>
      <c r="AP491" s="441"/>
      <c r="AQ491" s="441"/>
      <c r="AR491" s="441"/>
      <c r="AS491" s="441"/>
      <c r="AT491" s="441"/>
      <c r="AU491" s="441"/>
      <c r="AV491" s="441"/>
      <c r="AW491" s="441"/>
      <c r="AX491" s="441"/>
      <c r="AY491" s="441"/>
      <c r="AZ491" s="441"/>
      <c r="BA491" s="441"/>
    </row>
    <row r="492">
      <c r="A492" s="441"/>
      <c r="B492" s="441"/>
      <c r="C492" s="441"/>
      <c r="D492" s="441"/>
      <c r="E492" s="441"/>
      <c r="F492" s="441"/>
      <c r="G492" s="441"/>
      <c r="H492" s="441"/>
      <c r="I492" s="441"/>
      <c r="J492" s="441"/>
      <c r="K492" s="441"/>
      <c r="L492" s="441"/>
      <c r="M492" s="441"/>
      <c r="N492" s="441"/>
      <c r="O492" s="441"/>
      <c r="P492" s="441"/>
      <c r="Q492" s="441"/>
      <c r="R492" s="441"/>
      <c r="S492" s="441"/>
      <c r="T492" s="441"/>
      <c r="U492" s="441"/>
      <c r="V492" s="441"/>
      <c r="W492" s="441"/>
      <c r="X492" s="441"/>
      <c r="Y492" s="441"/>
      <c r="Z492" s="441"/>
      <c r="AA492" s="441"/>
      <c r="AB492" s="441"/>
      <c r="AC492" s="441"/>
      <c r="AD492" s="441"/>
      <c r="AE492" s="441"/>
      <c r="AF492" s="441"/>
      <c r="AG492" s="441"/>
      <c r="AH492" s="441"/>
      <c r="AI492" s="441"/>
      <c r="AJ492" s="441"/>
      <c r="AK492" s="441"/>
      <c r="AL492" s="441"/>
      <c r="AM492" s="441"/>
      <c r="AN492" s="441"/>
      <c r="AO492" s="441"/>
      <c r="AP492" s="441"/>
      <c r="AQ492" s="441"/>
      <c r="AR492" s="441"/>
      <c r="AS492" s="441"/>
      <c r="AT492" s="441"/>
      <c r="AU492" s="441"/>
      <c r="AV492" s="441"/>
      <c r="AW492" s="441"/>
      <c r="AX492" s="441"/>
      <c r="AY492" s="441"/>
      <c r="AZ492" s="441"/>
      <c r="BA492" s="441"/>
    </row>
    <row r="493">
      <c r="A493" s="441"/>
      <c r="B493" s="441"/>
      <c r="C493" s="441"/>
      <c r="D493" s="441"/>
      <c r="E493" s="441"/>
      <c r="F493" s="441"/>
      <c r="G493" s="441"/>
      <c r="H493" s="441"/>
      <c r="I493" s="441"/>
      <c r="J493" s="441"/>
      <c r="K493" s="441"/>
      <c r="L493" s="441"/>
      <c r="M493" s="441"/>
      <c r="N493" s="441"/>
      <c r="O493" s="441"/>
      <c r="P493" s="441"/>
      <c r="Q493" s="441"/>
      <c r="R493" s="441"/>
      <c r="S493" s="441"/>
      <c r="T493" s="441"/>
      <c r="U493" s="441"/>
      <c r="V493" s="441"/>
      <c r="W493" s="441"/>
      <c r="X493" s="441"/>
      <c r="Y493" s="441"/>
      <c r="Z493" s="441"/>
      <c r="AA493" s="441"/>
      <c r="AB493" s="441"/>
      <c r="AC493" s="441"/>
      <c r="AD493" s="441"/>
      <c r="AE493" s="441"/>
      <c r="AF493" s="441"/>
      <c r="AG493" s="441"/>
      <c r="AH493" s="441"/>
      <c r="AI493" s="441"/>
      <c r="AJ493" s="441"/>
      <c r="AK493" s="441"/>
      <c r="AL493" s="441"/>
      <c r="AM493" s="441"/>
      <c r="AN493" s="441"/>
      <c r="AO493" s="441"/>
      <c r="AP493" s="441"/>
      <c r="AQ493" s="441"/>
      <c r="AR493" s="441"/>
      <c r="AS493" s="441"/>
      <c r="AT493" s="441"/>
      <c r="AU493" s="441"/>
      <c r="AV493" s="441"/>
      <c r="AW493" s="441"/>
      <c r="AX493" s="441"/>
      <c r="AY493" s="441"/>
      <c r="AZ493" s="441"/>
      <c r="BA493" s="441"/>
    </row>
    <row r="494">
      <c r="A494" s="441"/>
      <c r="B494" s="441"/>
      <c r="C494" s="441"/>
      <c r="D494" s="441"/>
      <c r="E494" s="441"/>
      <c r="F494" s="441"/>
      <c r="G494" s="441"/>
      <c r="H494" s="441"/>
      <c r="I494" s="441"/>
      <c r="J494" s="441"/>
      <c r="K494" s="441"/>
      <c r="L494" s="441"/>
      <c r="M494" s="441"/>
      <c r="N494" s="441"/>
      <c r="O494" s="441"/>
      <c r="P494" s="441"/>
      <c r="Q494" s="441"/>
      <c r="R494" s="441"/>
      <c r="S494" s="441"/>
      <c r="T494" s="441"/>
      <c r="U494" s="441"/>
      <c r="V494" s="441"/>
      <c r="W494" s="441"/>
      <c r="X494" s="441"/>
      <c r="Y494" s="441"/>
      <c r="Z494" s="441"/>
      <c r="AA494" s="441"/>
      <c r="AB494" s="441"/>
      <c r="AC494" s="441"/>
      <c r="AD494" s="441"/>
      <c r="AE494" s="441"/>
      <c r="AF494" s="441"/>
      <c r="AG494" s="441"/>
      <c r="AH494" s="441"/>
      <c r="AI494" s="441"/>
      <c r="AJ494" s="441"/>
      <c r="AK494" s="441"/>
      <c r="AL494" s="441"/>
      <c r="AM494" s="441"/>
      <c r="AN494" s="441"/>
      <c r="AO494" s="441"/>
      <c r="AP494" s="441"/>
      <c r="AQ494" s="441"/>
      <c r="AR494" s="441"/>
      <c r="AS494" s="441"/>
      <c r="AT494" s="441"/>
      <c r="AU494" s="441"/>
      <c r="AV494" s="441"/>
      <c r="AW494" s="441"/>
      <c r="AX494" s="441"/>
      <c r="AY494" s="441"/>
      <c r="AZ494" s="441"/>
      <c r="BA494" s="441"/>
    </row>
    <row r="495">
      <c r="A495" s="441"/>
      <c r="B495" s="441"/>
      <c r="C495" s="441"/>
      <c r="D495" s="441"/>
      <c r="E495" s="441"/>
      <c r="F495" s="441"/>
      <c r="G495" s="441"/>
      <c r="H495" s="441"/>
      <c r="I495" s="441"/>
      <c r="J495" s="441"/>
      <c r="K495" s="441"/>
      <c r="L495" s="441"/>
      <c r="M495" s="441"/>
      <c r="N495" s="441"/>
      <c r="O495" s="441"/>
      <c r="P495" s="441"/>
      <c r="Q495" s="441"/>
      <c r="R495" s="441"/>
      <c r="S495" s="441"/>
      <c r="T495" s="441"/>
      <c r="U495" s="441"/>
      <c r="V495" s="441"/>
      <c r="W495" s="441"/>
      <c r="X495" s="441"/>
      <c r="Y495" s="441"/>
      <c r="Z495" s="441"/>
      <c r="AA495" s="441"/>
      <c r="AB495" s="441"/>
      <c r="AC495" s="441"/>
      <c r="AD495" s="441"/>
      <c r="AE495" s="441"/>
      <c r="AF495" s="441"/>
      <c r="AG495" s="441"/>
      <c r="AH495" s="441"/>
      <c r="AI495" s="441"/>
      <c r="AJ495" s="441"/>
      <c r="AK495" s="441"/>
      <c r="AL495" s="441"/>
      <c r="AM495" s="441"/>
      <c r="AN495" s="441"/>
      <c r="AO495" s="441"/>
      <c r="AP495" s="441"/>
      <c r="AQ495" s="441"/>
      <c r="AR495" s="441"/>
      <c r="AS495" s="441"/>
      <c r="AT495" s="441"/>
      <c r="AU495" s="441"/>
      <c r="AV495" s="441"/>
      <c r="AW495" s="441"/>
      <c r="AX495" s="441"/>
      <c r="AY495" s="441"/>
      <c r="AZ495" s="441"/>
      <c r="BA495" s="441"/>
    </row>
    <row r="496">
      <c r="A496" s="441"/>
      <c r="B496" s="441"/>
      <c r="C496" s="441"/>
      <c r="D496" s="441"/>
      <c r="E496" s="441"/>
      <c r="F496" s="441"/>
      <c r="G496" s="441"/>
      <c r="H496" s="441"/>
      <c r="I496" s="441"/>
      <c r="J496" s="441"/>
      <c r="K496" s="441"/>
      <c r="L496" s="441"/>
      <c r="M496" s="441"/>
      <c r="N496" s="441"/>
      <c r="O496" s="441"/>
      <c r="P496" s="441"/>
      <c r="Q496" s="441"/>
      <c r="R496" s="441"/>
      <c r="S496" s="441"/>
      <c r="T496" s="441"/>
      <c r="U496" s="441"/>
      <c r="V496" s="441"/>
      <c r="W496" s="441"/>
      <c r="X496" s="441"/>
      <c r="Y496" s="441"/>
      <c r="Z496" s="441"/>
      <c r="AA496" s="441"/>
      <c r="AB496" s="441"/>
      <c r="AC496" s="441"/>
      <c r="AD496" s="441"/>
      <c r="AE496" s="441"/>
      <c r="AF496" s="441"/>
      <c r="AG496" s="441"/>
      <c r="AH496" s="441"/>
      <c r="AI496" s="441"/>
      <c r="AJ496" s="441"/>
      <c r="AK496" s="441"/>
      <c r="AL496" s="441"/>
      <c r="AM496" s="441"/>
      <c r="AN496" s="441"/>
      <c r="AO496" s="441"/>
      <c r="AP496" s="441"/>
      <c r="AQ496" s="441"/>
      <c r="AR496" s="441"/>
      <c r="AS496" s="441"/>
      <c r="AT496" s="441"/>
      <c r="AU496" s="441"/>
      <c r="AV496" s="441"/>
      <c r="AW496" s="441"/>
      <c r="AX496" s="441"/>
      <c r="AY496" s="441"/>
      <c r="AZ496" s="441"/>
      <c r="BA496" s="441"/>
    </row>
    <row r="497">
      <c r="A497" s="441"/>
      <c r="B497" s="441"/>
      <c r="C497" s="441"/>
      <c r="D497" s="441"/>
      <c r="E497" s="441"/>
      <c r="F497" s="441"/>
      <c r="G497" s="441"/>
      <c r="H497" s="441"/>
      <c r="I497" s="441"/>
      <c r="J497" s="441"/>
      <c r="K497" s="441"/>
      <c r="L497" s="441"/>
      <c r="M497" s="441"/>
      <c r="N497" s="441"/>
      <c r="O497" s="441"/>
      <c r="P497" s="441"/>
      <c r="Q497" s="441"/>
      <c r="R497" s="441"/>
      <c r="S497" s="441"/>
      <c r="T497" s="441"/>
      <c r="U497" s="441"/>
      <c r="V497" s="441"/>
      <c r="W497" s="441"/>
      <c r="X497" s="441"/>
      <c r="Y497" s="441"/>
      <c r="Z497" s="441"/>
      <c r="AA497" s="441"/>
      <c r="AB497" s="441"/>
      <c r="AC497" s="441"/>
      <c r="AD497" s="441"/>
      <c r="AE497" s="441"/>
      <c r="AF497" s="441"/>
      <c r="AG497" s="441"/>
      <c r="AH497" s="441"/>
      <c r="AI497" s="441"/>
      <c r="AJ497" s="441"/>
      <c r="AK497" s="441"/>
      <c r="AL497" s="441"/>
      <c r="AM497" s="441"/>
      <c r="AN497" s="441"/>
      <c r="AO497" s="441"/>
      <c r="AP497" s="441"/>
      <c r="AQ497" s="441"/>
      <c r="AR497" s="441"/>
      <c r="AS497" s="441"/>
      <c r="AT497" s="441"/>
      <c r="AU497" s="441"/>
      <c r="AV497" s="441"/>
      <c r="AW497" s="441"/>
      <c r="AX497" s="441"/>
      <c r="AY497" s="441"/>
      <c r="AZ497" s="441"/>
      <c r="BA497" s="441"/>
    </row>
    <row r="498">
      <c r="A498" s="441"/>
      <c r="B498" s="441"/>
      <c r="C498" s="441"/>
      <c r="D498" s="441"/>
      <c r="E498" s="441"/>
      <c r="F498" s="441"/>
      <c r="G498" s="441"/>
      <c r="H498" s="441"/>
      <c r="I498" s="441"/>
      <c r="J498" s="441"/>
      <c r="K498" s="441"/>
      <c r="L498" s="441"/>
      <c r="M498" s="441"/>
      <c r="N498" s="441"/>
      <c r="O498" s="441"/>
      <c r="P498" s="441"/>
      <c r="Q498" s="441"/>
      <c r="R498" s="441"/>
      <c r="S498" s="441"/>
      <c r="T498" s="441"/>
      <c r="U498" s="441"/>
      <c r="V498" s="441"/>
      <c r="W498" s="441"/>
      <c r="X498" s="441"/>
      <c r="Y498" s="441"/>
      <c r="Z498" s="441"/>
      <c r="AA498" s="441"/>
      <c r="AB498" s="441"/>
      <c r="AC498" s="441"/>
      <c r="AD498" s="441"/>
      <c r="AE498" s="441"/>
      <c r="AF498" s="441"/>
      <c r="AG498" s="441"/>
      <c r="AH498" s="441"/>
      <c r="AI498" s="441"/>
      <c r="AJ498" s="441"/>
      <c r="AK498" s="441"/>
      <c r="AL498" s="441"/>
      <c r="AM498" s="441"/>
      <c r="AN498" s="441"/>
      <c r="AO498" s="441"/>
      <c r="AP498" s="441"/>
      <c r="AQ498" s="441"/>
      <c r="AR498" s="441"/>
      <c r="AS498" s="441"/>
      <c r="AT498" s="441"/>
      <c r="AU498" s="441"/>
      <c r="AV498" s="441"/>
      <c r="AW498" s="441"/>
      <c r="AX498" s="441"/>
      <c r="AY498" s="441"/>
      <c r="AZ498" s="441"/>
      <c r="BA498" s="441"/>
    </row>
    <row r="499">
      <c r="A499" s="441"/>
      <c r="B499" s="441"/>
      <c r="C499" s="441"/>
      <c r="D499" s="441"/>
      <c r="E499" s="441"/>
      <c r="F499" s="441"/>
      <c r="G499" s="441"/>
      <c r="H499" s="441"/>
      <c r="I499" s="441"/>
      <c r="J499" s="441"/>
      <c r="K499" s="441"/>
      <c r="L499" s="441"/>
      <c r="M499" s="441"/>
      <c r="N499" s="441"/>
      <c r="O499" s="441"/>
      <c r="P499" s="441"/>
      <c r="Q499" s="441"/>
      <c r="R499" s="441"/>
      <c r="S499" s="441"/>
      <c r="T499" s="441"/>
      <c r="U499" s="441"/>
      <c r="V499" s="441"/>
      <c r="W499" s="441"/>
      <c r="X499" s="441"/>
      <c r="Y499" s="441"/>
      <c r="Z499" s="441"/>
      <c r="AA499" s="441"/>
      <c r="AB499" s="441"/>
      <c r="AC499" s="441"/>
      <c r="AD499" s="441"/>
      <c r="AE499" s="441"/>
      <c r="AF499" s="441"/>
      <c r="AG499" s="441"/>
      <c r="AH499" s="441"/>
      <c r="AI499" s="441"/>
      <c r="AJ499" s="441"/>
      <c r="AK499" s="441"/>
      <c r="AL499" s="441"/>
      <c r="AM499" s="441"/>
      <c r="AN499" s="441"/>
      <c r="AO499" s="441"/>
      <c r="AP499" s="441"/>
      <c r="AQ499" s="441"/>
      <c r="AR499" s="441"/>
      <c r="AS499" s="441"/>
      <c r="AT499" s="441"/>
      <c r="AU499" s="441"/>
      <c r="AV499" s="441"/>
      <c r="AW499" s="441"/>
      <c r="AX499" s="441"/>
      <c r="AY499" s="441"/>
      <c r="AZ499" s="441"/>
      <c r="BA499" s="441"/>
    </row>
    <row r="500">
      <c r="A500" s="441"/>
      <c r="B500" s="441"/>
      <c r="C500" s="441"/>
      <c r="D500" s="441"/>
      <c r="E500" s="441"/>
      <c r="F500" s="441"/>
      <c r="G500" s="441"/>
      <c r="H500" s="441"/>
      <c r="I500" s="441"/>
      <c r="J500" s="441"/>
      <c r="K500" s="441"/>
      <c r="L500" s="441"/>
      <c r="M500" s="441"/>
      <c r="N500" s="441"/>
      <c r="O500" s="441"/>
      <c r="P500" s="441"/>
      <c r="Q500" s="441"/>
      <c r="R500" s="441"/>
      <c r="S500" s="441"/>
      <c r="T500" s="441"/>
      <c r="U500" s="441"/>
      <c r="V500" s="441"/>
      <c r="W500" s="441"/>
      <c r="X500" s="441"/>
      <c r="Y500" s="441"/>
      <c r="Z500" s="441"/>
      <c r="AA500" s="441"/>
      <c r="AB500" s="441"/>
      <c r="AC500" s="441"/>
      <c r="AD500" s="441"/>
      <c r="AE500" s="441"/>
      <c r="AF500" s="441"/>
      <c r="AG500" s="441"/>
      <c r="AH500" s="441"/>
      <c r="AI500" s="441"/>
      <c r="AJ500" s="441"/>
      <c r="AK500" s="441"/>
      <c r="AL500" s="441"/>
      <c r="AM500" s="441"/>
      <c r="AN500" s="441"/>
      <c r="AO500" s="441"/>
      <c r="AP500" s="441"/>
      <c r="AQ500" s="441"/>
      <c r="AR500" s="441"/>
      <c r="AS500" s="441"/>
      <c r="AT500" s="441"/>
      <c r="AU500" s="441"/>
      <c r="AV500" s="441"/>
      <c r="AW500" s="441"/>
      <c r="AX500" s="441"/>
      <c r="AY500" s="441"/>
      <c r="AZ500" s="441"/>
      <c r="BA500" s="441"/>
    </row>
    <row r="501">
      <c r="A501" s="441"/>
      <c r="B501" s="441"/>
      <c r="C501" s="441"/>
      <c r="D501" s="441"/>
      <c r="E501" s="441"/>
      <c r="F501" s="441"/>
      <c r="G501" s="441"/>
      <c r="H501" s="441"/>
      <c r="I501" s="441"/>
      <c r="J501" s="441"/>
      <c r="K501" s="441"/>
      <c r="L501" s="441"/>
      <c r="M501" s="441"/>
      <c r="N501" s="441"/>
      <c r="O501" s="441"/>
      <c r="P501" s="441"/>
      <c r="Q501" s="441"/>
      <c r="R501" s="441"/>
      <c r="S501" s="441"/>
      <c r="T501" s="441"/>
      <c r="U501" s="441"/>
      <c r="V501" s="441"/>
      <c r="W501" s="441"/>
      <c r="X501" s="441"/>
      <c r="Y501" s="441"/>
      <c r="Z501" s="441"/>
      <c r="AA501" s="441"/>
      <c r="AB501" s="441"/>
      <c r="AC501" s="441"/>
      <c r="AD501" s="441"/>
      <c r="AE501" s="441"/>
      <c r="AF501" s="441"/>
      <c r="AG501" s="441"/>
      <c r="AH501" s="441"/>
      <c r="AI501" s="441"/>
      <c r="AJ501" s="441"/>
      <c r="AK501" s="441"/>
      <c r="AL501" s="441"/>
      <c r="AM501" s="441"/>
      <c r="AN501" s="441"/>
      <c r="AO501" s="441"/>
      <c r="AP501" s="441"/>
      <c r="AQ501" s="441"/>
      <c r="AR501" s="441"/>
      <c r="AS501" s="441"/>
      <c r="AT501" s="441"/>
      <c r="AU501" s="441"/>
      <c r="AV501" s="441"/>
      <c r="AW501" s="441"/>
      <c r="AX501" s="441"/>
      <c r="AY501" s="441"/>
      <c r="AZ501" s="441"/>
      <c r="BA501" s="441"/>
    </row>
    <row r="502">
      <c r="A502" s="441"/>
      <c r="B502" s="441"/>
      <c r="C502" s="441"/>
      <c r="D502" s="441"/>
      <c r="E502" s="441"/>
      <c r="F502" s="441"/>
      <c r="G502" s="441"/>
      <c r="H502" s="441"/>
      <c r="I502" s="441"/>
      <c r="J502" s="441"/>
      <c r="K502" s="441"/>
      <c r="L502" s="441"/>
      <c r="M502" s="441"/>
      <c r="N502" s="441"/>
      <c r="O502" s="441"/>
      <c r="P502" s="441"/>
      <c r="Q502" s="441"/>
      <c r="R502" s="441"/>
      <c r="S502" s="441"/>
      <c r="T502" s="441"/>
      <c r="U502" s="441"/>
      <c r="V502" s="441"/>
      <c r="W502" s="441"/>
      <c r="X502" s="441"/>
      <c r="Y502" s="441"/>
      <c r="Z502" s="441"/>
      <c r="AA502" s="441"/>
      <c r="AB502" s="441"/>
      <c r="AC502" s="441"/>
      <c r="AD502" s="441"/>
      <c r="AE502" s="441"/>
      <c r="AF502" s="441"/>
      <c r="AG502" s="441"/>
      <c r="AH502" s="441"/>
      <c r="AI502" s="441"/>
      <c r="AJ502" s="441"/>
      <c r="AK502" s="441"/>
      <c r="AL502" s="441"/>
      <c r="AM502" s="441"/>
      <c r="AN502" s="441"/>
      <c r="AO502" s="441"/>
      <c r="AP502" s="441"/>
      <c r="AQ502" s="441"/>
      <c r="AR502" s="441"/>
      <c r="AS502" s="441"/>
      <c r="AT502" s="441"/>
      <c r="AU502" s="441"/>
      <c r="AV502" s="441"/>
      <c r="AW502" s="441"/>
      <c r="AX502" s="441"/>
      <c r="AY502" s="441"/>
      <c r="AZ502" s="441"/>
      <c r="BA502" s="441"/>
    </row>
    <row r="503">
      <c r="A503" s="441"/>
      <c r="B503" s="441"/>
      <c r="C503" s="441"/>
      <c r="D503" s="441"/>
      <c r="E503" s="441"/>
      <c r="F503" s="441"/>
      <c r="G503" s="441"/>
      <c r="H503" s="441"/>
      <c r="I503" s="441"/>
      <c r="J503" s="441"/>
      <c r="K503" s="441"/>
      <c r="L503" s="441"/>
      <c r="M503" s="441"/>
      <c r="N503" s="441"/>
      <c r="O503" s="441"/>
      <c r="P503" s="441"/>
      <c r="Q503" s="441"/>
      <c r="R503" s="441"/>
      <c r="S503" s="441"/>
      <c r="T503" s="441"/>
      <c r="U503" s="441"/>
      <c r="V503" s="441"/>
      <c r="W503" s="441"/>
      <c r="X503" s="441"/>
      <c r="Y503" s="441"/>
      <c r="Z503" s="441"/>
      <c r="AA503" s="441"/>
      <c r="AB503" s="441"/>
      <c r="AC503" s="441"/>
      <c r="AD503" s="441"/>
      <c r="AE503" s="441"/>
      <c r="AF503" s="441"/>
      <c r="AG503" s="441"/>
      <c r="AH503" s="441"/>
      <c r="AI503" s="441"/>
      <c r="AJ503" s="441"/>
      <c r="AK503" s="441"/>
      <c r="AL503" s="441"/>
      <c r="AM503" s="441"/>
      <c r="AN503" s="441"/>
      <c r="AO503" s="441"/>
      <c r="AP503" s="441"/>
      <c r="AQ503" s="441"/>
      <c r="AR503" s="441"/>
      <c r="AS503" s="441"/>
      <c r="AT503" s="441"/>
      <c r="AU503" s="441"/>
      <c r="AV503" s="441"/>
      <c r="AW503" s="441"/>
      <c r="AX503" s="441"/>
      <c r="AY503" s="441"/>
      <c r="AZ503" s="441"/>
      <c r="BA503" s="441"/>
    </row>
    <row r="504">
      <c r="A504" s="441"/>
      <c r="B504" s="441"/>
      <c r="C504" s="441"/>
      <c r="D504" s="441"/>
      <c r="E504" s="441"/>
      <c r="F504" s="441"/>
      <c r="G504" s="441"/>
      <c r="H504" s="441"/>
      <c r="I504" s="441"/>
      <c r="J504" s="441"/>
      <c r="K504" s="441"/>
      <c r="L504" s="441"/>
      <c r="M504" s="441"/>
      <c r="N504" s="441"/>
      <c r="O504" s="441"/>
      <c r="P504" s="441"/>
      <c r="Q504" s="441"/>
      <c r="R504" s="441"/>
      <c r="S504" s="441"/>
      <c r="T504" s="441"/>
      <c r="U504" s="441"/>
      <c r="V504" s="441"/>
      <c r="W504" s="441"/>
      <c r="X504" s="441"/>
      <c r="Y504" s="441"/>
      <c r="Z504" s="441"/>
      <c r="AA504" s="441"/>
      <c r="AB504" s="441"/>
      <c r="AC504" s="441"/>
      <c r="AD504" s="441"/>
      <c r="AE504" s="441"/>
      <c r="AF504" s="441"/>
      <c r="AG504" s="441"/>
      <c r="AH504" s="441"/>
      <c r="AI504" s="441"/>
      <c r="AJ504" s="441"/>
      <c r="AK504" s="441"/>
      <c r="AL504" s="441"/>
      <c r="AM504" s="441"/>
      <c r="AN504" s="441"/>
      <c r="AO504" s="441"/>
      <c r="AP504" s="441"/>
      <c r="AQ504" s="441"/>
      <c r="AR504" s="441"/>
      <c r="AS504" s="441"/>
      <c r="AT504" s="441"/>
      <c r="AU504" s="441"/>
      <c r="AV504" s="441"/>
      <c r="AW504" s="441"/>
      <c r="AX504" s="441"/>
      <c r="AY504" s="441"/>
      <c r="AZ504" s="441"/>
      <c r="BA504" s="441"/>
    </row>
    <row r="505">
      <c r="A505" s="441"/>
      <c r="B505" s="441"/>
      <c r="C505" s="441"/>
      <c r="D505" s="441"/>
      <c r="E505" s="441"/>
      <c r="F505" s="441"/>
      <c r="G505" s="441"/>
      <c r="H505" s="441"/>
      <c r="I505" s="441"/>
      <c r="J505" s="441"/>
      <c r="K505" s="441"/>
      <c r="L505" s="441"/>
      <c r="M505" s="441"/>
      <c r="N505" s="441"/>
      <c r="O505" s="441"/>
      <c r="P505" s="441"/>
      <c r="Q505" s="441"/>
      <c r="R505" s="441"/>
      <c r="S505" s="441"/>
      <c r="T505" s="441"/>
      <c r="U505" s="441"/>
      <c r="V505" s="441"/>
      <c r="W505" s="441"/>
      <c r="X505" s="441"/>
      <c r="Y505" s="441"/>
      <c r="Z505" s="441"/>
      <c r="AA505" s="441"/>
      <c r="AB505" s="441"/>
      <c r="AC505" s="441"/>
      <c r="AD505" s="441"/>
      <c r="AE505" s="441"/>
      <c r="AF505" s="441"/>
      <c r="AG505" s="441"/>
      <c r="AH505" s="441"/>
      <c r="AI505" s="441"/>
      <c r="AJ505" s="441"/>
      <c r="AK505" s="441"/>
      <c r="AL505" s="441"/>
      <c r="AM505" s="441"/>
      <c r="AN505" s="441"/>
      <c r="AO505" s="441"/>
      <c r="AP505" s="441"/>
      <c r="AQ505" s="441"/>
      <c r="AR505" s="441"/>
      <c r="AS505" s="441"/>
      <c r="AT505" s="441"/>
      <c r="AU505" s="441"/>
      <c r="AV505" s="441"/>
      <c r="AW505" s="441"/>
      <c r="AX505" s="441"/>
      <c r="AY505" s="441"/>
      <c r="AZ505" s="441"/>
      <c r="BA505" s="441"/>
    </row>
    <row r="506">
      <c r="A506" s="441"/>
      <c r="B506" s="441"/>
      <c r="C506" s="441"/>
      <c r="D506" s="441"/>
      <c r="E506" s="441"/>
      <c r="F506" s="441"/>
      <c r="G506" s="441"/>
      <c r="H506" s="441"/>
      <c r="I506" s="441"/>
      <c r="J506" s="441"/>
      <c r="K506" s="441"/>
      <c r="L506" s="441"/>
      <c r="M506" s="441"/>
      <c r="N506" s="441"/>
      <c r="O506" s="441"/>
      <c r="P506" s="441"/>
      <c r="Q506" s="441"/>
      <c r="R506" s="441"/>
      <c r="S506" s="441"/>
      <c r="T506" s="441"/>
      <c r="U506" s="441"/>
      <c r="V506" s="441"/>
      <c r="W506" s="441"/>
      <c r="X506" s="441"/>
      <c r="Y506" s="441"/>
      <c r="Z506" s="441"/>
      <c r="AA506" s="441"/>
      <c r="AB506" s="441"/>
      <c r="AC506" s="441"/>
      <c r="AD506" s="441"/>
      <c r="AE506" s="441"/>
      <c r="AF506" s="441"/>
      <c r="AG506" s="441"/>
      <c r="AH506" s="441"/>
      <c r="AI506" s="441"/>
      <c r="AJ506" s="441"/>
      <c r="AK506" s="441"/>
      <c r="AL506" s="441"/>
      <c r="AM506" s="441"/>
      <c r="AN506" s="441"/>
      <c r="AO506" s="441"/>
      <c r="AP506" s="441"/>
      <c r="AQ506" s="441"/>
      <c r="AR506" s="441"/>
      <c r="AS506" s="441"/>
      <c r="AT506" s="441"/>
      <c r="AU506" s="441"/>
      <c r="AV506" s="441"/>
      <c r="AW506" s="441"/>
      <c r="AX506" s="441"/>
      <c r="AY506" s="441"/>
      <c r="AZ506" s="441"/>
      <c r="BA506" s="441"/>
    </row>
    <row r="507">
      <c r="A507" s="441"/>
      <c r="B507" s="441"/>
      <c r="C507" s="441"/>
      <c r="D507" s="441"/>
      <c r="E507" s="441"/>
      <c r="F507" s="441"/>
      <c r="G507" s="441"/>
      <c r="H507" s="441"/>
      <c r="I507" s="441"/>
      <c r="J507" s="441"/>
      <c r="K507" s="441"/>
      <c r="L507" s="441"/>
      <c r="M507" s="441"/>
      <c r="N507" s="441"/>
      <c r="O507" s="441"/>
      <c r="P507" s="441"/>
      <c r="Q507" s="441"/>
      <c r="R507" s="441"/>
      <c r="S507" s="441"/>
      <c r="T507" s="441"/>
      <c r="U507" s="441"/>
      <c r="V507" s="441"/>
      <c r="W507" s="441"/>
      <c r="X507" s="441"/>
      <c r="Y507" s="441"/>
      <c r="Z507" s="441"/>
      <c r="AA507" s="441"/>
      <c r="AB507" s="441"/>
      <c r="AC507" s="441"/>
      <c r="AD507" s="441"/>
      <c r="AE507" s="441"/>
      <c r="AF507" s="441"/>
      <c r="AG507" s="441"/>
      <c r="AH507" s="441"/>
      <c r="AI507" s="441"/>
      <c r="AJ507" s="441"/>
      <c r="AK507" s="441"/>
      <c r="AL507" s="441"/>
      <c r="AM507" s="441"/>
      <c r="AN507" s="441"/>
      <c r="AO507" s="441"/>
      <c r="AP507" s="441"/>
      <c r="AQ507" s="441"/>
      <c r="AR507" s="441"/>
      <c r="AS507" s="441"/>
      <c r="AT507" s="441"/>
      <c r="AU507" s="441"/>
      <c r="AV507" s="441"/>
      <c r="AW507" s="441"/>
      <c r="AX507" s="441"/>
      <c r="AY507" s="441"/>
      <c r="AZ507" s="441"/>
      <c r="BA507" s="441"/>
    </row>
    <row r="508">
      <c r="A508" s="441"/>
      <c r="B508" s="441"/>
      <c r="C508" s="441"/>
      <c r="D508" s="441"/>
      <c r="E508" s="441"/>
      <c r="F508" s="441"/>
      <c r="G508" s="441"/>
      <c r="H508" s="441"/>
      <c r="I508" s="441"/>
      <c r="J508" s="441"/>
      <c r="K508" s="441"/>
      <c r="L508" s="441"/>
      <c r="M508" s="441"/>
      <c r="N508" s="441"/>
      <c r="O508" s="441"/>
      <c r="P508" s="441"/>
      <c r="Q508" s="441"/>
      <c r="R508" s="441"/>
      <c r="S508" s="441"/>
      <c r="T508" s="441"/>
      <c r="U508" s="441"/>
      <c r="V508" s="441"/>
      <c r="W508" s="441"/>
      <c r="X508" s="441"/>
      <c r="Y508" s="441"/>
      <c r="Z508" s="441"/>
      <c r="AA508" s="441"/>
      <c r="AB508" s="441"/>
      <c r="AC508" s="441"/>
      <c r="AD508" s="441"/>
      <c r="AE508" s="441"/>
      <c r="AF508" s="441"/>
      <c r="AG508" s="441"/>
      <c r="AH508" s="441"/>
      <c r="AI508" s="441"/>
      <c r="AJ508" s="441"/>
      <c r="AK508" s="441"/>
      <c r="AL508" s="441"/>
      <c r="AM508" s="441"/>
      <c r="AN508" s="441"/>
      <c r="AO508" s="441"/>
      <c r="AP508" s="441"/>
      <c r="AQ508" s="441"/>
      <c r="AR508" s="441"/>
      <c r="AS508" s="441"/>
      <c r="AT508" s="441"/>
      <c r="AU508" s="441"/>
      <c r="AV508" s="441"/>
      <c r="AW508" s="441"/>
      <c r="AX508" s="441"/>
      <c r="AY508" s="441"/>
      <c r="AZ508" s="441"/>
      <c r="BA508" s="441"/>
    </row>
    <row r="509">
      <c r="A509" s="441"/>
      <c r="B509" s="441"/>
      <c r="C509" s="441"/>
      <c r="D509" s="441"/>
      <c r="E509" s="441"/>
      <c r="F509" s="441"/>
      <c r="G509" s="441"/>
      <c r="H509" s="441"/>
      <c r="I509" s="441"/>
      <c r="J509" s="441"/>
      <c r="K509" s="441"/>
      <c r="L509" s="441"/>
      <c r="M509" s="441"/>
      <c r="N509" s="441"/>
      <c r="O509" s="441"/>
      <c r="P509" s="441"/>
      <c r="Q509" s="441"/>
      <c r="R509" s="441"/>
      <c r="S509" s="441"/>
      <c r="T509" s="441"/>
      <c r="U509" s="441"/>
      <c r="V509" s="441"/>
      <c r="W509" s="441"/>
      <c r="X509" s="441"/>
      <c r="Y509" s="441"/>
      <c r="Z509" s="441"/>
      <c r="AA509" s="441"/>
      <c r="AB509" s="441"/>
      <c r="AC509" s="441"/>
      <c r="AD509" s="441"/>
      <c r="AE509" s="441"/>
      <c r="AF509" s="441"/>
      <c r="AG509" s="441"/>
      <c r="AH509" s="441"/>
      <c r="AI509" s="441"/>
      <c r="AJ509" s="441"/>
      <c r="AK509" s="441"/>
      <c r="AL509" s="441"/>
      <c r="AM509" s="441"/>
      <c r="AN509" s="441"/>
      <c r="AO509" s="441"/>
      <c r="AP509" s="441"/>
      <c r="AQ509" s="441"/>
      <c r="AR509" s="441"/>
      <c r="AS509" s="441"/>
      <c r="AT509" s="441"/>
      <c r="AU509" s="441"/>
      <c r="AV509" s="441"/>
      <c r="AW509" s="441"/>
      <c r="AX509" s="441"/>
      <c r="AY509" s="441"/>
      <c r="AZ509" s="441"/>
      <c r="BA509" s="441"/>
    </row>
    <row r="510">
      <c r="A510" s="441"/>
      <c r="B510" s="441"/>
      <c r="C510" s="441"/>
      <c r="D510" s="441"/>
      <c r="E510" s="441"/>
      <c r="F510" s="441"/>
      <c r="G510" s="441"/>
      <c r="H510" s="441"/>
      <c r="I510" s="441"/>
      <c r="J510" s="441"/>
      <c r="K510" s="441"/>
      <c r="L510" s="441"/>
      <c r="M510" s="441"/>
      <c r="N510" s="441"/>
      <c r="O510" s="441"/>
      <c r="P510" s="441"/>
      <c r="Q510" s="441"/>
      <c r="R510" s="441"/>
      <c r="S510" s="441"/>
      <c r="T510" s="441"/>
      <c r="U510" s="441"/>
      <c r="V510" s="441"/>
      <c r="W510" s="441"/>
      <c r="X510" s="441"/>
      <c r="Y510" s="441"/>
      <c r="Z510" s="441"/>
      <c r="AA510" s="441"/>
      <c r="AB510" s="441"/>
      <c r="AC510" s="441"/>
      <c r="AD510" s="441"/>
      <c r="AE510" s="441"/>
      <c r="AF510" s="441"/>
      <c r="AG510" s="441"/>
      <c r="AH510" s="441"/>
      <c r="AI510" s="441"/>
      <c r="AJ510" s="441"/>
      <c r="AK510" s="441"/>
      <c r="AL510" s="441"/>
      <c r="AM510" s="441"/>
      <c r="AN510" s="441"/>
      <c r="AO510" s="441"/>
      <c r="AP510" s="441"/>
      <c r="AQ510" s="441"/>
      <c r="AR510" s="441"/>
      <c r="AS510" s="441"/>
      <c r="AT510" s="441"/>
      <c r="AU510" s="441"/>
      <c r="AV510" s="441"/>
      <c r="AW510" s="441"/>
      <c r="AX510" s="441"/>
      <c r="AY510" s="441"/>
      <c r="AZ510" s="441"/>
      <c r="BA510" s="441"/>
    </row>
    <row r="511">
      <c r="A511" s="441"/>
      <c r="B511" s="441"/>
      <c r="C511" s="441"/>
      <c r="D511" s="441"/>
      <c r="E511" s="441"/>
      <c r="F511" s="441"/>
      <c r="G511" s="441"/>
      <c r="H511" s="441"/>
      <c r="I511" s="441"/>
      <c r="J511" s="441"/>
      <c r="K511" s="441"/>
      <c r="L511" s="441"/>
      <c r="M511" s="441"/>
      <c r="N511" s="441"/>
      <c r="O511" s="441"/>
      <c r="P511" s="441"/>
      <c r="Q511" s="441"/>
      <c r="R511" s="441"/>
      <c r="S511" s="441"/>
      <c r="T511" s="441"/>
      <c r="U511" s="441"/>
      <c r="V511" s="441"/>
      <c r="W511" s="441"/>
      <c r="X511" s="441"/>
      <c r="Y511" s="441"/>
      <c r="Z511" s="441"/>
      <c r="AA511" s="441"/>
      <c r="AB511" s="441"/>
      <c r="AC511" s="441"/>
      <c r="AD511" s="441"/>
      <c r="AE511" s="441"/>
      <c r="AF511" s="441"/>
      <c r="AG511" s="441"/>
      <c r="AH511" s="441"/>
      <c r="AI511" s="441"/>
      <c r="AJ511" s="441"/>
      <c r="AK511" s="441"/>
      <c r="AL511" s="441"/>
      <c r="AM511" s="441"/>
      <c r="AN511" s="441"/>
      <c r="AO511" s="441"/>
      <c r="AP511" s="441"/>
      <c r="AQ511" s="441"/>
      <c r="AR511" s="441"/>
      <c r="AS511" s="441"/>
      <c r="AT511" s="441"/>
      <c r="AU511" s="441"/>
      <c r="AV511" s="441"/>
      <c r="AW511" s="441"/>
      <c r="AX511" s="441"/>
      <c r="AY511" s="441"/>
      <c r="AZ511" s="441"/>
      <c r="BA511" s="441"/>
    </row>
    <row r="512">
      <c r="A512" s="441"/>
      <c r="B512" s="441"/>
      <c r="C512" s="441"/>
      <c r="D512" s="441"/>
      <c r="E512" s="441"/>
      <c r="F512" s="441"/>
      <c r="G512" s="441"/>
      <c r="H512" s="441"/>
      <c r="I512" s="441"/>
      <c r="J512" s="441"/>
      <c r="K512" s="441"/>
      <c r="L512" s="441"/>
      <c r="M512" s="441"/>
      <c r="N512" s="441"/>
      <c r="O512" s="441"/>
      <c r="P512" s="441"/>
      <c r="Q512" s="441"/>
      <c r="R512" s="441"/>
      <c r="S512" s="441"/>
      <c r="T512" s="441"/>
      <c r="U512" s="441"/>
      <c r="V512" s="441"/>
      <c r="W512" s="441"/>
      <c r="X512" s="441"/>
      <c r="Y512" s="441"/>
      <c r="Z512" s="441"/>
      <c r="AA512" s="441"/>
      <c r="AB512" s="441"/>
      <c r="AC512" s="441"/>
      <c r="AD512" s="441"/>
      <c r="AE512" s="441"/>
      <c r="AF512" s="441"/>
      <c r="AG512" s="441"/>
      <c r="AH512" s="441"/>
      <c r="AI512" s="441"/>
      <c r="AJ512" s="441"/>
      <c r="AK512" s="441"/>
      <c r="AL512" s="441"/>
      <c r="AM512" s="441"/>
      <c r="AN512" s="441"/>
      <c r="AO512" s="441"/>
      <c r="AP512" s="441"/>
      <c r="AQ512" s="441"/>
      <c r="AR512" s="441"/>
      <c r="AS512" s="441"/>
      <c r="AT512" s="441"/>
      <c r="AU512" s="441"/>
      <c r="AV512" s="441"/>
      <c r="AW512" s="441"/>
      <c r="AX512" s="441"/>
      <c r="AY512" s="441"/>
      <c r="AZ512" s="441"/>
      <c r="BA512" s="441"/>
    </row>
    <row r="513">
      <c r="A513" s="441"/>
      <c r="B513" s="441"/>
      <c r="C513" s="441"/>
      <c r="D513" s="441"/>
      <c r="E513" s="441"/>
      <c r="F513" s="441"/>
      <c r="G513" s="441"/>
      <c r="H513" s="441"/>
      <c r="I513" s="441"/>
      <c r="J513" s="441"/>
      <c r="K513" s="441"/>
      <c r="L513" s="441"/>
      <c r="M513" s="441"/>
      <c r="N513" s="441"/>
      <c r="O513" s="441"/>
      <c r="P513" s="441"/>
      <c r="Q513" s="441"/>
      <c r="R513" s="441"/>
      <c r="S513" s="441"/>
      <c r="T513" s="441"/>
      <c r="U513" s="441"/>
      <c r="V513" s="441"/>
      <c r="W513" s="441"/>
      <c r="X513" s="441"/>
      <c r="Y513" s="441"/>
      <c r="Z513" s="441"/>
      <c r="AA513" s="441"/>
      <c r="AB513" s="441"/>
      <c r="AC513" s="441"/>
      <c r="AD513" s="441"/>
      <c r="AE513" s="441"/>
      <c r="AF513" s="441"/>
      <c r="AG513" s="441"/>
      <c r="AH513" s="441"/>
      <c r="AI513" s="441"/>
      <c r="AJ513" s="441"/>
      <c r="AK513" s="441"/>
      <c r="AL513" s="441"/>
      <c r="AM513" s="441"/>
      <c r="AN513" s="441"/>
      <c r="AO513" s="441"/>
      <c r="AP513" s="441"/>
      <c r="AQ513" s="441"/>
      <c r="AR513" s="441"/>
      <c r="AS513" s="441"/>
      <c r="AT513" s="441"/>
      <c r="AU513" s="441"/>
      <c r="AV513" s="441"/>
      <c r="AW513" s="441"/>
      <c r="AX513" s="441"/>
      <c r="AY513" s="441"/>
      <c r="AZ513" s="441"/>
      <c r="BA513" s="441"/>
    </row>
    <row r="514">
      <c r="A514" s="441"/>
      <c r="B514" s="441"/>
      <c r="C514" s="441"/>
      <c r="D514" s="441"/>
      <c r="E514" s="441"/>
      <c r="F514" s="441"/>
      <c r="G514" s="441"/>
      <c r="H514" s="441"/>
      <c r="I514" s="441"/>
      <c r="J514" s="441"/>
      <c r="K514" s="441"/>
      <c r="L514" s="441"/>
      <c r="M514" s="441"/>
      <c r="N514" s="441"/>
      <c r="O514" s="441"/>
      <c r="P514" s="441"/>
      <c r="Q514" s="441"/>
      <c r="R514" s="441"/>
      <c r="S514" s="441"/>
      <c r="T514" s="441"/>
      <c r="U514" s="441"/>
      <c r="V514" s="441"/>
      <c r="W514" s="441"/>
      <c r="X514" s="441"/>
      <c r="Y514" s="441"/>
      <c r="Z514" s="441"/>
      <c r="AA514" s="441"/>
      <c r="AB514" s="441"/>
      <c r="AC514" s="441"/>
      <c r="AD514" s="441"/>
      <c r="AE514" s="441"/>
      <c r="AF514" s="441"/>
      <c r="AG514" s="441"/>
      <c r="AH514" s="441"/>
      <c r="AI514" s="441"/>
      <c r="AJ514" s="441"/>
      <c r="AK514" s="441"/>
      <c r="AL514" s="441"/>
      <c r="AM514" s="441"/>
      <c r="AN514" s="441"/>
      <c r="AO514" s="441"/>
      <c r="AP514" s="441"/>
      <c r="AQ514" s="441"/>
      <c r="AR514" s="441"/>
      <c r="AS514" s="441"/>
      <c r="AT514" s="441"/>
      <c r="AU514" s="441"/>
      <c r="AV514" s="441"/>
      <c r="AW514" s="441"/>
      <c r="AX514" s="441"/>
      <c r="AY514" s="441"/>
      <c r="AZ514" s="441"/>
      <c r="BA514" s="441"/>
    </row>
    <row r="515">
      <c r="A515" s="441"/>
      <c r="B515" s="441"/>
      <c r="C515" s="441"/>
      <c r="D515" s="441"/>
      <c r="E515" s="441"/>
      <c r="F515" s="441"/>
      <c r="G515" s="441"/>
      <c r="H515" s="441"/>
      <c r="I515" s="441"/>
      <c r="J515" s="441"/>
      <c r="K515" s="441"/>
      <c r="L515" s="441"/>
      <c r="M515" s="441"/>
      <c r="N515" s="441"/>
      <c r="O515" s="441"/>
      <c r="P515" s="441"/>
      <c r="Q515" s="441"/>
      <c r="R515" s="441"/>
      <c r="S515" s="441"/>
      <c r="T515" s="441"/>
      <c r="U515" s="441"/>
      <c r="V515" s="441"/>
      <c r="W515" s="441"/>
      <c r="X515" s="441"/>
      <c r="Y515" s="441"/>
      <c r="Z515" s="441"/>
      <c r="AA515" s="441"/>
      <c r="AB515" s="441"/>
      <c r="AC515" s="441"/>
      <c r="AD515" s="441"/>
      <c r="AE515" s="441"/>
      <c r="AF515" s="441"/>
      <c r="AG515" s="441"/>
      <c r="AH515" s="441"/>
      <c r="AI515" s="441"/>
      <c r="AJ515" s="441"/>
      <c r="AK515" s="441"/>
      <c r="AL515" s="441"/>
      <c r="AM515" s="441"/>
      <c r="AN515" s="441"/>
      <c r="AO515" s="441"/>
      <c r="AP515" s="441"/>
      <c r="AQ515" s="441"/>
      <c r="AR515" s="441"/>
      <c r="AS515" s="441"/>
      <c r="AT515" s="441"/>
      <c r="AU515" s="441"/>
      <c r="AV515" s="441"/>
      <c r="AW515" s="441"/>
      <c r="AX515" s="441"/>
      <c r="AY515" s="441"/>
      <c r="AZ515" s="441"/>
      <c r="BA515" s="441"/>
    </row>
    <row r="516">
      <c r="A516" s="441"/>
      <c r="B516" s="441"/>
      <c r="C516" s="441"/>
      <c r="D516" s="441"/>
      <c r="E516" s="441"/>
      <c r="F516" s="441"/>
      <c r="G516" s="441"/>
      <c r="H516" s="441"/>
      <c r="I516" s="441"/>
      <c r="J516" s="441"/>
      <c r="K516" s="441"/>
      <c r="L516" s="441"/>
      <c r="M516" s="441"/>
      <c r="N516" s="441"/>
      <c r="O516" s="441"/>
      <c r="P516" s="441"/>
      <c r="Q516" s="441"/>
      <c r="R516" s="441"/>
      <c r="S516" s="441"/>
      <c r="T516" s="441"/>
      <c r="U516" s="441"/>
      <c r="V516" s="441"/>
      <c r="W516" s="441"/>
      <c r="X516" s="441"/>
      <c r="Y516" s="441"/>
      <c r="Z516" s="441"/>
      <c r="AA516" s="441"/>
      <c r="AB516" s="441"/>
      <c r="AC516" s="441"/>
      <c r="AD516" s="441"/>
      <c r="AE516" s="441"/>
      <c r="AF516" s="441"/>
      <c r="AG516" s="441"/>
      <c r="AH516" s="441"/>
      <c r="AI516" s="441"/>
      <c r="AJ516" s="441"/>
      <c r="AK516" s="441"/>
      <c r="AL516" s="441"/>
      <c r="AM516" s="441"/>
      <c r="AN516" s="441"/>
      <c r="AO516" s="441"/>
      <c r="AP516" s="441"/>
      <c r="AQ516" s="441"/>
      <c r="AR516" s="441"/>
      <c r="AS516" s="441"/>
      <c r="AT516" s="441"/>
      <c r="AU516" s="441"/>
      <c r="AV516" s="441"/>
      <c r="AW516" s="441"/>
      <c r="AX516" s="441"/>
      <c r="AY516" s="441"/>
      <c r="AZ516" s="441"/>
      <c r="BA516" s="441"/>
    </row>
    <row r="517">
      <c r="A517" s="441"/>
      <c r="B517" s="441"/>
      <c r="C517" s="441"/>
      <c r="D517" s="441"/>
      <c r="E517" s="441"/>
      <c r="F517" s="441"/>
      <c r="G517" s="441"/>
      <c r="H517" s="441"/>
      <c r="I517" s="441"/>
      <c r="J517" s="441"/>
      <c r="K517" s="441"/>
      <c r="L517" s="441"/>
      <c r="M517" s="441"/>
      <c r="N517" s="441"/>
      <c r="O517" s="441"/>
      <c r="P517" s="441"/>
      <c r="Q517" s="441"/>
      <c r="R517" s="441"/>
      <c r="S517" s="441"/>
      <c r="T517" s="441"/>
      <c r="U517" s="441"/>
      <c r="V517" s="441"/>
      <c r="W517" s="441"/>
      <c r="X517" s="441"/>
      <c r="Y517" s="441"/>
      <c r="Z517" s="441"/>
      <c r="AA517" s="441"/>
      <c r="AB517" s="441"/>
      <c r="AC517" s="441"/>
      <c r="AD517" s="441"/>
      <c r="AE517" s="441"/>
      <c r="AF517" s="441"/>
      <c r="AG517" s="441"/>
      <c r="AH517" s="441"/>
      <c r="AI517" s="441"/>
      <c r="AJ517" s="441"/>
      <c r="AK517" s="441"/>
      <c r="AL517" s="441"/>
      <c r="AM517" s="441"/>
      <c r="AN517" s="441"/>
      <c r="AO517" s="441"/>
      <c r="AP517" s="441"/>
      <c r="AQ517" s="441"/>
      <c r="AR517" s="441"/>
      <c r="AS517" s="441"/>
      <c r="AT517" s="441"/>
      <c r="AU517" s="441"/>
      <c r="AV517" s="441"/>
      <c r="AW517" s="441"/>
      <c r="AX517" s="441"/>
      <c r="AY517" s="441"/>
      <c r="AZ517" s="441"/>
      <c r="BA517" s="441"/>
    </row>
    <row r="518">
      <c r="A518" s="441"/>
      <c r="B518" s="441"/>
      <c r="C518" s="441"/>
      <c r="D518" s="441"/>
      <c r="E518" s="441"/>
      <c r="F518" s="441"/>
      <c r="G518" s="441"/>
      <c r="H518" s="441"/>
      <c r="I518" s="441"/>
      <c r="J518" s="441"/>
      <c r="K518" s="441"/>
      <c r="L518" s="441"/>
      <c r="M518" s="441"/>
      <c r="N518" s="441"/>
      <c r="O518" s="441"/>
      <c r="P518" s="441"/>
      <c r="Q518" s="441"/>
      <c r="R518" s="441"/>
      <c r="S518" s="441"/>
      <c r="T518" s="441"/>
      <c r="U518" s="441"/>
      <c r="V518" s="441"/>
      <c r="W518" s="441"/>
      <c r="X518" s="441"/>
      <c r="Y518" s="441"/>
      <c r="Z518" s="441"/>
      <c r="AA518" s="441"/>
      <c r="AB518" s="441"/>
      <c r="AC518" s="441"/>
      <c r="AD518" s="441"/>
      <c r="AE518" s="441"/>
      <c r="AF518" s="441"/>
      <c r="AG518" s="441"/>
      <c r="AH518" s="441"/>
      <c r="AI518" s="441"/>
      <c r="AJ518" s="441"/>
      <c r="AK518" s="441"/>
      <c r="AL518" s="441"/>
      <c r="AM518" s="441"/>
      <c r="AN518" s="441"/>
      <c r="AO518" s="441"/>
      <c r="AP518" s="441"/>
      <c r="AQ518" s="441"/>
      <c r="AR518" s="441"/>
      <c r="AS518" s="441"/>
      <c r="AT518" s="441"/>
      <c r="AU518" s="441"/>
      <c r="AV518" s="441"/>
      <c r="AW518" s="441"/>
      <c r="AX518" s="441"/>
      <c r="AY518" s="441"/>
      <c r="AZ518" s="441"/>
      <c r="BA518" s="441"/>
    </row>
    <row r="519">
      <c r="A519" s="441"/>
      <c r="B519" s="441"/>
      <c r="C519" s="441"/>
      <c r="D519" s="441"/>
      <c r="E519" s="441"/>
      <c r="F519" s="441"/>
      <c r="G519" s="441"/>
      <c r="H519" s="441"/>
      <c r="I519" s="441"/>
      <c r="J519" s="441"/>
      <c r="K519" s="441"/>
      <c r="L519" s="441"/>
      <c r="M519" s="441"/>
      <c r="N519" s="441"/>
      <c r="O519" s="441"/>
      <c r="P519" s="441"/>
      <c r="Q519" s="441"/>
      <c r="R519" s="441"/>
      <c r="S519" s="441"/>
      <c r="T519" s="441"/>
      <c r="U519" s="441"/>
      <c r="V519" s="441"/>
      <c r="W519" s="441"/>
      <c r="X519" s="441"/>
      <c r="Y519" s="441"/>
      <c r="Z519" s="441"/>
      <c r="AA519" s="441"/>
      <c r="AB519" s="441"/>
      <c r="AC519" s="441"/>
      <c r="AD519" s="441"/>
      <c r="AE519" s="441"/>
      <c r="AF519" s="441"/>
      <c r="AG519" s="441"/>
      <c r="AH519" s="441"/>
      <c r="AI519" s="441"/>
      <c r="AJ519" s="441"/>
      <c r="AK519" s="441"/>
      <c r="AL519" s="441"/>
      <c r="AM519" s="441"/>
      <c r="AN519" s="441"/>
      <c r="AO519" s="441"/>
      <c r="AP519" s="441"/>
      <c r="AQ519" s="441"/>
      <c r="AR519" s="441"/>
      <c r="AS519" s="441"/>
      <c r="AT519" s="441"/>
      <c r="AU519" s="441"/>
      <c r="AV519" s="441"/>
      <c r="AW519" s="441"/>
      <c r="AX519" s="441"/>
      <c r="AY519" s="441"/>
      <c r="AZ519" s="441"/>
      <c r="BA519" s="441"/>
    </row>
    <row r="520">
      <c r="A520" s="441"/>
      <c r="B520" s="441"/>
      <c r="C520" s="441"/>
      <c r="D520" s="441"/>
      <c r="E520" s="441"/>
      <c r="F520" s="441"/>
      <c r="G520" s="441"/>
      <c r="H520" s="441"/>
      <c r="I520" s="441"/>
      <c r="J520" s="441"/>
      <c r="K520" s="441"/>
      <c r="L520" s="441"/>
      <c r="M520" s="441"/>
      <c r="N520" s="441"/>
      <c r="O520" s="441"/>
      <c r="P520" s="441"/>
      <c r="Q520" s="441"/>
      <c r="R520" s="441"/>
      <c r="S520" s="441"/>
      <c r="T520" s="441"/>
      <c r="U520" s="441"/>
      <c r="V520" s="441"/>
      <c r="W520" s="441"/>
      <c r="X520" s="441"/>
      <c r="Y520" s="441"/>
      <c r="Z520" s="441"/>
      <c r="AA520" s="441"/>
      <c r="AB520" s="441"/>
      <c r="AC520" s="441"/>
      <c r="AD520" s="441"/>
      <c r="AE520" s="441"/>
      <c r="AF520" s="441"/>
      <c r="AG520" s="441"/>
      <c r="AH520" s="441"/>
      <c r="AI520" s="441"/>
      <c r="AJ520" s="441"/>
      <c r="AK520" s="441"/>
      <c r="AL520" s="441"/>
      <c r="AM520" s="441"/>
      <c r="AN520" s="441"/>
      <c r="AO520" s="441"/>
      <c r="AP520" s="441"/>
      <c r="AQ520" s="441"/>
      <c r="AR520" s="441"/>
      <c r="AS520" s="441"/>
      <c r="AT520" s="441"/>
      <c r="AU520" s="441"/>
      <c r="AV520" s="441"/>
      <c r="AW520" s="441"/>
      <c r="AX520" s="441"/>
      <c r="AY520" s="441"/>
      <c r="AZ520" s="441"/>
      <c r="BA520" s="441"/>
    </row>
    <row r="521">
      <c r="A521" s="441"/>
      <c r="B521" s="441"/>
      <c r="C521" s="441"/>
      <c r="D521" s="441"/>
      <c r="E521" s="441"/>
      <c r="F521" s="441"/>
      <c r="G521" s="441"/>
      <c r="H521" s="441"/>
      <c r="I521" s="441"/>
      <c r="J521" s="441"/>
      <c r="K521" s="441"/>
      <c r="L521" s="441"/>
      <c r="M521" s="441"/>
      <c r="N521" s="441"/>
      <c r="O521" s="441"/>
      <c r="P521" s="441"/>
      <c r="Q521" s="441"/>
      <c r="R521" s="441"/>
      <c r="S521" s="441"/>
      <c r="T521" s="441"/>
      <c r="U521" s="441"/>
      <c r="V521" s="441"/>
      <c r="W521" s="441"/>
      <c r="X521" s="441"/>
      <c r="Y521" s="441"/>
      <c r="Z521" s="441"/>
      <c r="AA521" s="441"/>
      <c r="AB521" s="441"/>
      <c r="AC521" s="441"/>
      <c r="AD521" s="441"/>
      <c r="AE521" s="441"/>
      <c r="AF521" s="441"/>
      <c r="AG521" s="441"/>
      <c r="AH521" s="441"/>
      <c r="AI521" s="441"/>
      <c r="AJ521" s="441"/>
      <c r="AK521" s="441"/>
      <c r="AL521" s="441"/>
      <c r="AM521" s="441"/>
      <c r="AN521" s="441"/>
      <c r="AO521" s="441"/>
      <c r="AP521" s="441"/>
      <c r="AQ521" s="441"/>
      <c r="AR521" s="441"/>
      <c r="AS521" s="441"/>
      <c r="AT521" s="441"/>
      <c r="AU521" s="441"/>
      <c r="AV521" s="441"/>
      <c r="AW521" s="441"/>
      <c r="AX521" s="441"/>
      <c r="AY521" s="441"/>
      <c r="AZ521" s="441"/>
      <c r="BA521" s="441"/>
    </row>
    <row r="522">
      <c r="A522" s="441"/>
      <c r="B522" s="441"/>
      <c r="C522" s="441"/>
      <c r="D522" s="441"/>
      <c r="E522" s="441"/>
      <c r="F522" s="441"/>
      <c r="G522" s="441"/>
      <c r="H522" s="441"/>
      <c r="I522" s="441"/>
      <c r="J522" s="441"/>
      <c r="K522" s="441"/>
      <c r="L522" s="441"/>
      <c r="M522" s="441"/>
      <c r="N522" s="441"/>
      <c r="O522" s="441"/>
      <c r="P522" s="441"/>
      <c r="Q522" s="441"/>
      <c r="R522" s="441"/>
      <c r="S522" s="441"/>
      <c r="T522" s="441"/>
      <c r="U522" s="441"/>
      <c r="V522" s="441"/>
      <c r="W522" s="441"/>
      <c r="X522" s="441"/>
      <c r="Y522" s="441"/>
      <c r="Z522" s="441"/>
      <c r="AA522" s="441"/>
      <c r="AB522" s="441"/>
      <c r="AC522" s="441"/>
      <c r="AD522" s="441"/>
      <c r="AE522" s="441"/>
      <c r="AF522" s="441"/>
      <c r="AG522" s="441"/>
      <c r="AH522" s="441"/>
      <c r="AI522" s="441"/>
      <c r="AJ522" s="441"/>
      <c r="AK522" s="441"/>
      <c r="AL522" s="441"/>
      <c r="AM522" s="441"/>
      <c r="AN522" s="441"/>
      <c r="AO522" s="441"/>
      <c r="AP522" s="441"/>
      <c r="AQ522" s="441"/>
      <c r="AR522" s="441"/>
      <c r="AS522" s="441"/>
      <c r="AT522" s="441"/>
      <c r="AU522" s="441"/>
      <c r="AV522" s="441"/>
      <c r="AW522" s="441"/>
      <c r="AX522" s="441"/>
      <c r="AY522" s="441"/>
      <c r="AZ522" s="441"/>
      <c r="BA522" s="441"/>
    </row>
    <row r="523">
      <c r="A523" s="441"/>
      <c r="B523" s="441"/>
      <c r="C523" s="441"/>
      <c r="D523" s="441"/>
      <c r="E523" s="441"/>
      <c r="F523" s="441"/>
      <c r="G523" s="441"/>
      <c r="H523" s="441"/>
      <c r="I523" s="441"/>
      <c r="J523" s="441"/>
      <c r="K523" s="441"/>
      <c r="L523" s="441"/>
      <c r="M523" s="441"/>
      <c r="N523" s="441"/>
      <c r="O523" s="441"/>
      <c r="P523" s="441"/>
      <c r="Q523" s="441"/>
      <c r="R523" s="441"/>
      <c r="S523" s="441"/>
      <c r="T523" s="441"/>
      <c r="U523" s="441"/>
      <c r="V523" s="441"/>
      <c r="W523" s="441"/>
      <c r="X523" s="441"/>
      <c r="Y523" s="441"/>
      <c r="Z523" s="441"/>
      <c r="AA523" s="441"/>
      <c r="AB523" s="441"/>
      <c r="AC523" s="441"/>
      <c r="AD523" s="441"/>
      <c r="AE523" s="441"/>
      <c r="AF523" s="441"/>
      <c r="AG523" s="441"/>
      <c r="AH523" s="441"/>
      <c r="AI523" s="441"/>
      <c r="AJ523" s="441"/>
      <c r="AK523" s="441"/>
      <c r="AL523" s="441"/>
      <c r="AM523" s="441"/>
      <c r="AN523" s="441"/>
      <c r="AO523" s="441"/>
      <c r="AP523" s="441"/>
      <c r="AQ523" s="441"/>
      <c r="AR523" s="441"/>
      <c r="AS523" s="441"/>
      <c r="AT523" s="441"/>
      <c r="AU523" s="441"/>
      <c r="AV523" s="441"/>
      <c r="AW523" s="441"/>
      <c r="AX523" s="441"/>
      <c r="AY523" s="441"/>
      <c r="AZ523" s="441"/>
      <c r="BA523" s="441"/>
    </row>
    <row r="524">
      <c r="A524" s="441"/>
      <c r="B524" s="441"/>
      <c r="C524" s="441"/>
      <c r="D524" s="441"/>
      <c r="E524" s="441"/>
      <c r="F524" s="441"/>
      <c r="G524" s="441"/>
      <c r="H524" s="441"/>
      <c r="I524" s="441"/>
      <c r="J524" s="441"/>
      <c r="K524" s="441"/>
      <c r="L524" s="441"/>
      <c r="M524" s="441"/>
      <c r="N524" s="441"/>
      <c r="O524" s="441"/>
      <c r="P524" s="441"/>
      <c r="Q524" s="441"/>
      <c r="R524" s="441"/>
      <c r="S524" s="441"/>
      <c r="T524" s="441"/>
      <c r="U524" s="441"/>
      <c r="V524" s="441"/>
      <c r="W524" s="441"/>
      <c r="X524" s="441"/>
      <c r="Y524" s="441"/>
      <c r="Z524" s="441"/>
      <c r="AA524" s="441"/>
      <c r="AB524" s="441"/>
      <c r="AC524" s="441"/>
      <c r="AD524" s="441"/>
      <c r="AE524" s="441"/>
      <c r="AF524" s="441"/>
      <c r="AG524" s="441"/>
      <c r="AH524" s="441"/>
      <c r="AI524" s="441"/>
      <c r="AJ524" s="441"/>
      <c r="AK524" s="441"/>
      <c r="AL524" s="441"/>
      <c r="AM524" s="441"/>
      <c r="AN524" s="441"/>
      <c r="AO524" s="441"/>
      <c r="AP524" s="441"/>
      <c r="AQ524" s="441"/>
      <c r="AR524" s="441"/>
      <c r="AS524" s="441"/>
      <c r="AT524" s="441"/>
      <c r="AU524" s="441"/>
      <c r="AV524" s="441"/>
      <c r="AW524" s="441"/>
      <c r="AX524" s="441"/>
      <c r="AY524" s="441"/>
      <c r="AZ524" s="441"/>
      <c r="BA524" s="441"/>
    </row>
    <row r="525">
      <c r="A525" s="441"/>
      <c r="B525" s="441"/>
      <c r="C525" s="441"/>
      <c r="D525" s="441"/>
      <c r="E525" s="441"/>
      <c r="F525" s="441"/>
      <c r="G525" s="441"/>
      <c r="H525" s="441"/>
      <c r="I525" s="441"/>
      <c r="J525" s="441"/>
      <c r="K525" s="441"/>
      <c r="L525" s="441"/>
      <c r="M525" s="441"/>
      <c r="N525" s="441"/>
      <c r="O525" s="441"/>
      <c r="P525" s="441"/>
      <c r="Q525" s="441"/>
      <c r="R525" s="441"/>
      <c r="S525" s="441"/>
      <c r="T525" s="441"/>
      <c r="U525" s="441"/>
      <c r="V525" s="441"/>
      <c r="W525" s="441"/>
      <c r="X525" s="441"/>
      <c r="Y525" s="441"/>
      <c r="Z525" s="441"/>
      <c r="AA525" s="441"/>
      <c r="AB525" s="441"/>
      <c r="AC525" s="441"/>
      <c r="AD525" s="441"/>
      <c r="AE525" s="441"/>
      <c r="AF525" s="441"/>
      <c r="AG525" s="441"/>
      <c r="AH525" s="441"/>
      <c r="AI525" s="441"/>
      <c r="AJ525" s="441"/>
      <c r="AK525" s="441"/>
      <c r="AL525" s="441"/>
      <c r="AM525" s="441"/>
      <c r="AN525" s="441"/>
      <c r="AO525" s="441"/>
      <c r="AP525" s="441"/>
      <c r="AQ525" s="441"/>
      <c r="AR525" s="441"/>
      <c r="AS525" s="441"/>
      <c r="AT525" s="441"/>
      <c r="AU525" s="441"/>
      <c r="AV525" s="441"/>
      <c r="AW525" s="441"/>
      <c r="AX525" s="441"/>
      <c r="AY525" s="441"/>
      <c r="AZ525" s="441"/>
      <c r="BA525" s="441"/>
    </row>
    <row r="526">
      <c r="A526" s="441"/>
      <c r="B526" s="441"/>
      <c r="C526" s="441"/>
      <c r="D526" s="441"/>
      <c r="E526" s="441"/>
      <c r="F526" s="441"/>
      <c r="G526" s="441"/>
      <c r="H526" s="441"/>
      <c r="I526" s="441"/>
      <c r="J526" s="441"/>
      <c r="K526" s="441"/>
      <c r="L526" s="441"/>
      <c r="M526" s="441"/>
      <c r="N526" s="441"/>
      <c r="O526" s="441"/>
      <c r="P526" s="441"/>
      <c r="Q526" s="441"/>
      <c r="R526" s="441"/>
      <c r="S526" s="441"/>
      <c r="T526" s="441"/>
      <c r="U526" s="441"/>
      <c r="V526" s="441"/>
      <c r="W526" s="441"/>
      <c r="X526" s="441"/>
      <c r="Y526" s="441"/>
      <c r="Z526" s="441"/>
      <c r="AA526" s="441"/>
      <c r="AB526" s="441"/>
      <c r="AC526" s="441"/>
      <c r="AD526" s="441"/>
      <c r="AE526" s="441"/>
      <c r="AF526" s="441"/>
      <c r="AG526" s="441"/>
      <c r="AH526" s="441"/>
      <c r="AI526" s="441"/>
      <c r="AJ526" s="441"/>
      <c r="AK526" s="441"/>
      <c r="AL526" s="441"/>
      <c r="AM526" s="441"/>
      <c r="AN526" s="441"/>
      <c r="AO526" s="441"/>
      <c r="AP526" s="441"/>
      <c r="AQ526" s="441"/>
      <c r="AR526" s="441"/>
      <c r="AS526" s="441"/>
      <c r="AT526" s="441"/>
      <c r="AU526" s="441"/>
      <c r="AV526" s="441"/>
      <c r="AW526" s="441"/>
      <c r="AX526" s="441"/>
      <c r="AY526" s="441"/>
      <c r="AZ526" s="441"/>
      <c r="BA526" s="441"/>
    </row>
    <row r="527">
      <c r="A527" s="441"/>
      <c r="B527" s="441"/>
      <c r="C527" s="441"/>
      <c r="D527" s="441"/>
      <c r="E527" s="441"/>
      <c r="F527" s="441"/>
      <c r="G527" s="441"/>
      <c r="H527" s="441"/>
      <c r="I527" s="441"/>
      <c r="J527" s="441"/>
      <c r="K527" s="441"/>
      <c r="L527" s="441"/>
      <c r="M527" s="441"/>
      <c r="N527" s="441"/>
      <c r="O527" s="441"/>
      <c r="P527" s="441"/>
      <c r="Q527" s="441"/>
      <c r="R527" s="441"/>
      <c r="S527" s="441"/>
      <c r="T527" s="441"/>
      <c r="U527" s="441"/>
      <c r="V527" s="441"/>
      <c r="W527" s="441"/>
      <c r="X527" s="441"/>
      <c r="Y527" s="441"/>
      <c r="Z527" s="441"/>
      <c r="AA527" s="441"/>
      <c r="AB527" s="441"/>
      <c r="AC527" s="441"/>
      <c r="AD527" s="441"/>
      <c r="AE527" s="441"/>
      <c r="AF527" s="441"/>
      <c r="AG527" s="441"/>
      <c r="AH527" s="441"/>
      <c r="AI527" s="441"/>
      <c r="AJ527" s="441"/>
      <c r="AK527" s="441"/>
      <c r="AL527" s="441"/>
      <c r="AM527" s="441"/>
      <c r="AN527" s="441"/>
      <c r="AO527" s="441"/>
      <c r="AP527" s="441"/>
      <c r="AQ527" s="441"/>
      <c r="AR527" s="441"/>
      <c r="AS527" s="441"/>
      <c r="AT527" s="441"/>
      <c r="AU527" s="441"/>
      <c r="AV527" s="441"/>
      <c r="AW527" s="441"/>
      <c r="AX527" s="441"/>
      <c r="AY527" s="441"/>
      <c r="AZ527" s="441"/>
      <c r="BA527" s="441"/>
    </row>
    <row r="528">
      <c r="A528" s="441"/>
      <c r="B528" s="441"/>
      <c r="C528" s="441"/>
      <c r="D528" s="441"/>
      <c r="E528" s="441"/>
      <c r="F528" s="441"/>
      <c r="G528" s="441"/>
      <c r="H528" s="441"/>
      <c r="I528" s="441"/>
      <c r="J528" s="441"/>
      <c r="K528" s="441"/>
      <c r="L528" s="441"/>
      <c r="M528" s="441"/>
      <c r="N528" s="441"/>
      <c r="O528" s="441"/>
      <c r="P528" s="441"/>
      <c r="Q528" s="441"/>
      <c r="R528" s="441"/>
      <c r="S528" s="441"/>
      <c r="T528" s="441"/>
      <c r="U528" s="441"/>
      <c r="V528" s="441"/>
      <c r="W528" s="441"/>
      <c r="X528" s="441"/>
      <c r="Y528" s="441"/>
      <c r="Z528" s="441"/>
      <c r="AA528" s="441"/>
      <c r="AB528" s="441"/>
      <c r="AC528" s="441"/>
      <c r="AD528" s="441"/>
      <c r="AE528" s="441"/>
      <c r="AF528" s="441"/>
      <c r="AG528" s="441"/>
      <c r="AH528" s="441"/>
      <c r="AI528" s="441"/>
      <c r="AJ528" s="441"/>
      <c r="AK528" s="441"/>
      <c r="AL528" s="441"/>
      <c r="AM528" s="441"/>
      <c r="AN528" s="441"/>
      <c r="AO528" s="441"/>
      <c r="AP528" s="441"/>
      <c r="AQ528" s="441"/>
      <c r="AR528" s="441"/>
      <c r="AS528" s="441"/>
      <c r="AT528" s="441"/>
      <c r="AU528" s="441"/>
      <c r="AV528" s="441"/>
      <c r="AW528" s="441"/>
      <c r="AX528" s="441"/>
      <c r="AY528" s="441"/>
      <c r="AZ528" s="441"/>
      <c r="BA528" s="441"/>
    </row>
    <row r="529">
      <c r="A529" s="441"/>
      <c r="B529" s="441"/>
      <c r="C529" s="441"/>
      <c r="D529" s="441"/>
      <c r="E529" s="441"/>
      <c r="F529" s="441"/>
      <c r="G529" s="441"/>
      <c r="H529" s="441"/>
      <c r="I529" s="441"/>
      <c r="J529" s="441"/>
      <c r="K529" s="441"/>
      <c r="L529" s="441"/>
      <c r="M529" s="441"/>
      <c r="N529" s="441"/>
      <c r="O529" s="441"/>
      <c r="P529" s="441"/>
      <c r="Q529" s="441"/>
      <c r="R529" s="441"/>
      <c r="S529" s="441"/>
      <c r="T529" s="441"/>
      <c r="U529" s="441"/>
      <c r="V529" s="441"/>
      <c r="W529" s="441"/>
      <c r="X529" s="441"/>
      <c r="Y529" s="441"/>
      <c r="Z529" s="441"/>
      <c r="AA529" s="441"/>
      <c r="AB529" s="441"/>
      <c r="AC529" s="441"/>
      <c r="AD529" s="441"/>
      <c r="AE529" s="441"/>
      <c r="AF529" s="441"/>
      <c r="AG529" s="441"/>
      <c r="AH529" s="441"/>
      <c r="AI529" s="441"/>
      <c r="AJ529" s="441"/>
      <c r="AK529" s="441"/>
      <c r="AL529" s="441"/>
      <c r="AM529" s="441"/>
      <c r="AN529" s="441"/>
      <c r="AO529" s="441"/>
      <c r="AP529" s="441"/>
      <c r="AQ529" s="441"/>
      <c r="AR529" s="441"/>
      <c r="AS529" s="441"/>
      <c r="AT529" s="441"/>
      <c r="AU529" s="441"/>
      <c r="AV529" s="441"/>
      <c r="AW529" s="441"/>
      <c r="AX529" s="441"/>
      <c r="AY529" s="441"/>
      <c r="AZ529" s="441"/>
      <c r="BA529" s="441"/>
    </row>
    <row r="530">
      <c r="A530" s="441"/>
      <c r="B530" s="441"/>
      <c r="C530" s="441"/>
      <c r="D530" s="441"/>
      <c r="E530" s="441"/>
      <c r="F530" s="441"/>
      <c r="G530" s="441"/>
      <c r="H530" s="441"/>
      <c r="I530" s="441"/>
      <c r="J530" s="441"/>
      <c r="K530" s="441"/>
      <c r="L530" s="441"/>
      <c r="M530" s="441"/>
      <c r="N530" s="441"/>
      <c r="O530" s="441"/>
      <c r="P530" s="441"/>
      <c r="Q530" s="441"/>
      <c r="R530" s="441"/>
      <c r="S530" s="441"/>
      <c r="T530" s="441"/>
      <c r="U530" s="441"/>
      <c r="V530" s="441"/>
      <c r="W530" s="441"/>
      <c r="X530" s="441"/>
      <c r="Y530" s="441"/>
      <c r="Z530" s="441"/>
      <c r="AA530" s="441"/>
      <c r="AB530" s="441"/>
      <c r="AC530" s="441"/>
      <c r="AD530" s="441"/>
      <c r="AE530" s="441"/>
      <c r="AF530" s="441"/>
      <c r="AG530" s="441"/>
      <c r="AH530" s="441"/>
      <c r="AI530" s="441"/>
      <c r="AJ530" s="441"/>
      <c r="AK530" s="441"/>
      <c r="AL530" s="441"/>
      <c r="AM530" s="441"/>
      <c r="AN530" s="441"/>
      <c r="AO530" s="441"/>
      <c r="AP530" s="441"/>
      <c r="AQ530" s="441"/>
      <c r="AR530" s="441"/>
      <c r="AS530" s="441"/>
      <c r="AT530" s="441"/>
      <c r="AU530" s="441"/>
      <c r="AV530" s="441"/>
      <c r="AW530" s="441"/>
      <c r="AX530" s="441"/>
      <c r="AY530" s="441"/>
      <c r="AZ530" s="441"/>
      <c r="BA530" s="441"/>
    </row>
    <row r="531">
      <c r="A531" s="441"/>
      <c r="B531" s="441"/>
      <c r="C531" s="441"/>
      <c r="D531" s="441"/>
      <c r="E531" s="441"/>
      <c r="F531" s="441"/>
      <c r="G531" s="441"/>
      <c r="H531" s="441"/>
      <c r="I531" s="441"/>
      <c r="J531" s="441"/>
      <c r="K531" s="441"/>
      <c r="L531" s="441"/>
      <c r="M531" s="441"/>
      <c r="N531" s="441"/>
      <c r="O531" s="441"/>
      <c r="P531" s="441"/>
      <c r="Q531" s="441"/>
      <c r="R531" s="441"/>
      <c r="S531" s="441"/>
      <c r="T531" s="441"/>
      <c r="U531" s="441"/>
      <c r="V531" s="441"/>
      <c r="W531" s="441"/>
      <c r="X531" s="441"/>
      <c r="Y531" s="441"/>
      <c r="Z531" s="441"/>
      <c r="AA531" s="441"/>
      <c r="AB531" s="441"/>
      <c r="AC531" s="441"/>
      <c r="AD531" s="441"/>
      <c r="AE531" s="441"/>
      <c r="AF531" s="441"/>
      <c r="AG531" s="441"/>
      <c r="AH531" s="441"/>
      <c r="AI531" s="441"/>
      <c r="AJ531" s="441"/>
      <c r="AK531" s="441"/>
      <c r="AL531" s="441"/>
      <c r="AM531" s="441"/>
      <c r="AN531" s="441"/>
      <c r="AO531" s="441"/>
      <c r="AP531" s="441"/>
      <c r="AQ531" s="441"/>
      <c r="AR531" s="441"/>
      <c r="AS531" s="441"/>
      <c r="AT531" s="441"/>
      <c r="AU531" s="441"/>
      <c r="AV531" s="441"/>
      <c r="AW531" s="441"/>
      <c r="AX531" s="441"/>
      <c r="AY531" s="441"/>
      <c r="AZ531" s="441"/>
      <c r="BA531" s="441"/>
    </row>
    <row r="532">
      <c r="A532" s="441"/>
      <c r="B532" s="441"/>
      <c r="C532" s="441"/>
      <c r="D532" s="441"/>
      <c r="E532" s="441"/>
      <c r="F532" s="441"/>
      <c r="G532" s="441"/>
      <c r="H532" s="441"/>
      <c r="I532" s="441"/>
      <c r="J532" s="441"/>
      <c r="K532" s="441"/>
      <c r="L532" s="441"/>
      <c r="M532" s="441"/>
      <c r="N532" s="441"/>
      <c r="O532" s="441"/>
      <c r="P532" s="441"/>
      <c r="Q532" s="441"/>
      <c r="R532" s="441"/>
      <c r="S532" s="441"/>
      <c r="T532" s="441"/>
      <c r="U532" s="441"/>
      <c r="V532" s="441"/>
      <c r="W532" s="441"/>
      <c r="X532" s="441"/>
      <c r="Y532" s="441"/>
      <c r="Z532" s="441"/>
      <c r="AA532" s="441"/>
      <c r="AB532" s="441"/>
      <c r="AC532" s="441"/>
      <c r="AD532" s="441"/>
      <c r="AE532" s="441"/>
      <c r="AF532" s="441"/>
      <c r="AG532" s="441"/>
      <c r="AH532" s="441"/>
      <c r="AI532" s="441"/>
      <c r="AJ532" s="441"/>
      <c r="AK532" s="441"/>
      <c r="AL532" s="441"/>
      <c r="AM532" s="441"/>
      <c r="AN532" s="441"/>
      <c r="AO532" s="441"/>
      <c r="AP532" s="441"/>
      <c r="AQ532" s="441"/>
      <c r="AR532" s="441"/>
      <c r="AS532" s="441"/>
      <c r="AT532" s="441"/>
      <c r="AU532" s="441"/>
      <c r="AV532" s="441"/>
      <c r="AW532" s="441"/>
      <c r="AX532" s="441"/>
      <c r="AY532" s="441"/>
      <c r="AZ532" s="441"/>
      <c r="BA532" s="441"/>
    </row>
    <row r="533">
      <c r="A533" s="441"/>
      <c r="B533" s="441"/>
      <c r="C533" s="441"/>
      <c r="D533" s="441"/>
      <c r="E533" s="441"/>
      <c r="F533" s="441"/>
      <c r="G533" s="441"/>
      <c r="H533" s="441"/>
      <c r="I533" s="441"/>
      <c r="J533" s="441"/>
      <c r="K533" s="441"/>
      <c r="L533" s="441"/>
      <c r="M533" s="441"/>
      <c r="N533" s="441"/>
      <c r="O533" s="441"/>
      <c r="P533" s="441"/>
      <c r="Q533" s="441"/>
      <c r="R533" s="441"/>
      <c r="S533" s="441"/>
      <c r="T533" s="441"/>
      <c r="U533" s="441"/>
      <c r="V533" s="441"/>
      <c r="W533" s="441"/>
      <c r="X533" s="441"/>
      <c r="Y533" s="441"/>
      <c r="Z533" s="441"/>
      <c r="AA533" s="441"/>
      <c r="AB533" s="441"/>
      <c r="AC533" s="441"/>
      <c r="AD533" s="441"/>
      <c r="AE533" s="441"/>
      <c r="AF533" s="441"/>
      <c r="AG533" s="441"/>
      <c r="AH533" s="441"/>
      <c r="AI533" s="441"/>
      <c r="AJ533" s="441"/>
      <c r="AK533" s="441"/>
      <c r="AL533" s="441"/>
      <c r="AM533" s="441"/>
      <c r="AN533" s="441"/>
      <c r="AO533" s="441"/>
      <c r="AP533" s="441"/>
      <c r="AQ533" s="441"/>
      <c r="AR533" s="441"/>
      <c r="AS533" s="441"/>
      <c r="AT533" s="441"/>
      <c r="AU533" s="441"/>
      <c r="AV533" s="441"/>
      <c r="AW533" s="441"/>
      <c r="AX533" s="441"/>
      <c r="AY533" s="441"/>
      <c r="AZ533" s="441"/>
      <c r="BA533" s="441"/>
    </row>
    <row r="534">
      <c r="A534" s="441"/>
      <c r="B534" s="441"/>
      <c r="C534" s="441"/>
      <c r="D534" s="441"/>
      <c r="E534" s="441"/>
      <c r="F534" s="441"/>
      <c r="G534" s="441"/>
      <c r="H534" s="441"/>
      <c r="I534" s="441"/>
      <c r="J534" s="441"/>
      <c r="K534" s="441"/>
      <c r="L534" s="441"/>
      <c r="M534" s="441"/>
      <c r="N534" s="441"/>
      <c r="O534" s="441"/>
      <c r="P534" s="441"/>
      <c r="Q534" s="441"/>
      <c r="R534" s="441"/>
      <c r="S534" s="441"/>
      <c r="T534" s="441"/>
      <c r="U534" s="441"/>
      <c r="V534" s="441"/>
      <c r="W534" s="441"/>
      <c r="X534" s="441"/>
      <c r="Y534" s="441"/>
      <c r="Z534" s="441"/>
      <c r="AA534" s="441"/>
      <c r="AB534" s="441"/>
      <c r="AC534" s="441"/>
      <c r="AD534" s="441"/>
      <c r="AE534" s="441"/>
      <c r="AF534" s="441"/>
      <c r="AG534" s="441"/>
      <c r="AH534" s="441"/>
      <c r="AI534" s="441"/>
      <c r="AJ534" s="441"/>
      <c r="AK534" s="441"/>
      <c r="AL534" s="441"/>
      <c r="AM534" s="441"/>
      <c r="AN534" s="441"/>
      <c r="AO534" s="441"/>
      <c r="AP534" s="441"/>
      <c r="AQ534" s="441"/>
      <c r="AR534" s="441"/>
      <c r="AS534" s="441"/>
      <c r="AT534" s="441"/>
      <c r="AU534" s="441"/>
      <c r="AV534" s="441"/>
      <c r="AW534" s="441"/>
      <c r="AX534" s="441"/>
      <c r="AY534" s="441"/>
      <c r="AZ534" s="441"/>
      <c r="BA534" s="441"/>
    </row>
    <row r="535">
      <c r="A535" s="441"/>
      <c r="B535" s="441"/>
      <c r="C535" s="441"/>
      <c r="D535" s="441"/>
      <c r="E535" s="441"/>
      <c r="F535" s="441"/>
      <c r="G535" s="441"/>
      <c r="H535" s="441"/>
      <c r="I535" s="441"/>
      <c r="J535" s="441"/>
      <c r="K535" s="441"/>
      <c r="L535" s="441"/>
      <c r="M535" s="441"/>
      <c r="N535" s="441"/>
      <c r="O535" s="441"/>
      <c r="P535" s="441"/>
      <c r="Q535" s="441"/>
      <c r="R535" s="441"/>
      <c r="S535" s="441"/>
      <c r="T535" s="441"/>
      <c r="U535" s="441"/>
      <c r="V535" s="441"/>
      <c r="W535" s="441"/>
      <c r="X535" s="441"/>
      <c r="Y535" s="441"/>
      <c r="Z535" s="441"/>
      <c r="AA535" s="441"/>
      <c r="AB535" s="441"/>
      <c r="AC535" s="441"/>
      <c r="AD535" s="441"/>
      <c r="AE535" s="441"/>
      <c r="AF535" s="441"/>
      <c r="AG535" s="441"/>
      <c r="AH535" s="441"/>
      <c r="AI535" s="441"/>
      <c r="AJ535" s="441"/>
      <c r="AK535" s="441"/>
      <c r="AL535" s="441"/>
      <c r="AM535" s="441"/>
      <c r="AN535" s="441"/>
      <c r="AO535" s="441"/>
      <c r="AP535" s="441"/>
      <c r="AQ535" s="441"/>
      <c r="AR535" s="441"/>
      <c r="AS535" s="441"/>
      <c r="AT535" s="441"/>
      <c r="AU535" s="441"/>
      <c r="AV535" s="441"/>
      <c r="AW535" s="441"/>
      <c r="AX535" s="441"/>
      <c r="AY535" s="441"/>
      <c r="AZ535" s="441"/>
      <c r="BA535" s="441"/>
    </row>
    <row r="536">
      <c r="A536" s="441"/>
      <c r="B536" s="441"/>
      <c r="C536" s="441"/>
      <c r="D536" s="441"/>
      <c r="E536" s="441"/>
      <c r="F536" s="441"/>
      <c r="G536" s="441"/>
      <c r="H536" s="441"/>
      <c r="I536" s="441"/>
      <c r="J536" s="441"/>
      <c r="K536" s="441"/>
      <c r="L536" s="441"/>
      <c r="M536" s="441"/>
      <c r="N536" s="441"/>
      <c r="O536" s="441"/>
      <c r="P536" s="441"/>
      <c r="Q536" s="441"/>
      <c r="R536" s="441"/>
      <c r="S536" s="441"/>
      <c r="T536" s="441"/>
      <c r="U536" s="441"/>
      <c r="V536" s="441"/>
      <c r="W536" s="441"/>
      <c r="X536" s="441"/>
      <c r="Y536" s="441"/>
      <c r="Z536" s="441"/>
      <c r="AA536" s="441"/>
      <c r="AB536" s="441"/>
      <c r="AC536" s="441"/>
      <c r="AD536" s="441"/>
      <c r="AE536" s="441"/>
      <c r="AF536" s="441"/>
      <c r="AG536" s="441"/>
      <c r="AH536" s="441"/>
      <c r="AI536" s="441"/>
      <c r="AJ536" s="441"/>
      <c r="AK536" s="441"/>
      <c r="AL536" s="441"/>
      <c r="AM536" s="441"/>
      <c r="AN536" s="441"/>
      <c r="AO536" s="441"/>
      <c r="AP536" s="441"/>
      <c r="AQ536" s="441"/>
      <c r="AR536" s="441"/>
      <c r="AS536" s="441"/>
      <c r="AT536" s="441"/>
      <c r="AU536" s="441"/>
      <c r="AV536" s="441"/>
      <c r="AW536" s="441"/>
      <c r="AX536" s="441"/>
      <c r="AY536" s="441"/>
      <c r="AZ536" s="441"/>
      <c r="BA536" s="441"/>
    </row>
    <row r="537">
      <c r="A537" s="441"/>
      <c r="B537" s="441"/>
      <c r="C537" s="441"/>
      <c r="D537" s="441"/>
      <c r="E537" s="441"/>
      <c r="F537" s="441"/>
      <c r="G537" s="441"/>
      <c r="H537" s="441"/>
      <c r="I537" s="441"/>
      <c r="J537" s="441"/>
      <c r="K537" s="441"/>
      <c r="L537" s="441"/>
      <c r="M537" s="441"/>
      <c r="N537" s="441"/>
      <c r="O537" s="441"/>
      <c r="P537" s="441"/>
      <c r="Q537" s="441"/>
      <c r="R537" s="441"/>
      <c r="S537" s="441"/>
      <c r="T537" s="441"/>
      <c r="U537" s="441"/>
      <c r="V537" s="441"/>
      <c r="W537" s="441"/>
      <c r="X537" s="441"/>
      <c r="Y537" s="441"/>
      <c r="Z537" s="441"/>
      <c r="AA537" s="441"/>
      <c r="AB537" s="441"/>
      <c r="AC537" s="441"/>
      <c r="AD537" s="441"/>
      <c r="AE537" s="441"/>
      <c r="AF537" s="441"/>
      <c r="AG537" s="441"/>
      <c r="AH537" s="441"/>
      <c r="AI537" s="441"/>
      <c r="AJ537" s="441"/>
      <c r="AK537" s="441"/>
      <c r="AL537" s="441"/>
      <c r="AM537" s="441"/>
      <c r="AN537" s="441"/>
      <c r="AO537" s="441"/>
      <c r="AP537" s="441"/>
      <c r="AQ537" s="441"/>
      <c r="AR537" s="441"/>
      <c r="AS537" s="441"/>
      <c r="AT537" s="441"/>
      <c r="AU537" s="441"/>
      <c r="AV537" s="441"/>
      <c r="AW537" s="441"/>
      <c r="AX537" s="441"/>
      <c r="AY537" s="441"/>
      <c r="AZ537" s="441"/>
      <c r="BA537" s="441"/>
    </row>
    <row r="538">
      <c r="A538" s="441"/>
      <c r="B538" s="441"/>
      <c r="C538" s="441"/>
      <c r="D538" s="441"/>
      <c r="E538" s="441"/>
      <c r="F538" s="441"/>
      <c r="G538" s="441"/>
      <c r="H538" s="441"/>
      <c r="I538" s="441"/>
      <c r="J538" s="441"/>
      <c r="K538" s="441"/>
      <c r="L538" s="441"/>
      <c r="M538" s="441"/>
      <c r="N538" s="441"/>
      <c r="O538" s="441"/>
      <c r="P538" s="441"/>
      <c r="Q538" s="441"/>
      <c r="R538" s="441"/>
      <c r="S538" s="441"/>
      <c r="T538" s="441"/>
      <c r="U538" s="441"/>
      <c r="V538" s="441"/>
      <c r="W538" s="441"/>
      <c r="X538" s="441"/>
      <c r="Y538" s="441"/>
      <c r="Z538" s="441"/>
      <c r="AA538" s="441"/>
      <c r="AB538" s="441"/>
      <c r="AC538" s="441"/>
      <c r="AD538" s="441"/>
      <c r="AE538" s="441"/>
      <c r="AF538" s="441"/>
      <c r="AG538" s="441"/>
      <c r="AH538" s="441"/>
      <c r="AI538" s="441"/>
      <c r="AJ538" s="441"/>
      <c r="AK538" s="441"/>
      <c r="AL538" s="441"/>
      <c r="AM538" s="441"/>
      <c r="AN538" s="441"/>
      <c r="AO538" s="441"/>
      <c r="AP538" s="441"/>
      <c r="AQ538" s="441"/>
      <c r="AR538" s="441"/>
      <c r="AS538" s="441"/>
      <c r="AT538" s="441"/>
      <c r="AU538" s="441"/>
      <c r="AV538" s="441"/>
      <c r="AW538" s="441"/>
      <c r="AX538" s="441"/>
      <c r="AY538" s="441"/>
      <c r="AZ538" s="441"/>
      <c r="BA538" s="441"/>
    </row>
    <row r="539">
      <c r="A539" s="441"/>
      <c r="B539" s="441"/>
      <c r="C539" s="441"/>
      <c r="D539" s="441"/>
      <c r="E539" s="441"/>
      <c r="F539" s="441"/>
      <c r="G539" s="441"/>
      <c r="H539" s="441"/>
      <c r="I539" s="441"/>
      <c r="J539" s="441"/>
      <c r="K539" s="441"/>
      <c r="L539" s="441"/>
      <c r="M539" s="441"/>
      <c r="N539" s="441"/>
      <c r="O539" s="441"/>
      <c r="P539" s="441"/>
      <c r="Q539" s="441"/>
      <c r="R539" s="441"/>
      <c r="S539" s="441"/>
      <c r="T539" s="441"/>
      <c r="U539" s="441"/>
      <c r="V539" s="441"/>
      <c r="W539" s="441"/>
      <c r="X539" s="441"/>
      <c r="Y539" s="441"/>
      <c r="Z539" s="441"/>
      <c r="AA539" s="441"/>
      <c r="AB539" s="441"/>
      <c r="AC539" s="441"/>
      <c r="AD539" s="441"/>
      <c r="AE539" s="441"/>
      <c r="AF539" s="441"/>
      <c r="AG539" s="441"/>
      <c r="AH539" s="441"/>
      <c r="AI539" s="441"/>
      <c r="AJ539" s="441"/>
      <c r="AK539" s="441"/>
      <c r="AL539" s="441"/>
      <c r="AM539" s="441"/>
      <c r="AN539" s="441"/>
      <c r="AO539" s="441"/>
      <c r="AP539" s="441"/>
      <c r="AQ539" s="441"/>
      <c r="AR539" s="441"/>
      <c r="AS539" s="441"/>
      <c r="AT539" s="441"/>
      <c r="AU539" s="441"/>
      <c r="AV539" s="441"/>
      <c r="AW539" s="441"/>
      <c r="AX539" s="441"/>
      <c r="AY539" s="441"/>
      <c r="AZ539" s="441"/>
      <c r="BA539" s="441"/>
    </row>
    <row r="540">
      <c r="A540" s="441"/>
      <c r="B540" s="441"/>
      <c r="C540" s="441"/>
      <c r="D540" s="441"/>
      <c r="E540" s="441"/>
      <c r="F540" s="441"/>
      <c r="G540" s="441"/>
      <c r="H540" s="441"/>
      <c r="I540" s="441"/>
      <c r="J540" s="441"/>
      <c r="K540" s="441"/>
      <c r="L540" s="441"/>
      <c r="M540" s="441"/>
      <c r="N540" s="441"/>
      <c r="O540" s="441"/>
      <c r="P540" s="441"/>
      <c r="Q540" s="441"/>
      <c r="R540" s="441"/>
      <c r="S540" s="441"/>
      <c r="T540" s="441"/>
      <c r="U540" s="441"/>
      <c r="V540" s="441"/>
      <c r="W540" s="441"/>
      <c r="X540" s="441"/>
      <c r="Y540" s="441"/>
      <c r="Z540" s="441"/>
      <c r="AA540" s="441"/>
      <c r="AB540" s="441"/>
      <c r="AC540" s="441"/>
      <c r="AD540" s="441"/>
      <c r="AE540" s="441"/>
      <c r="AF540" s="441"/>
      <c r="AG540" s="441"/>
      <c r="AH540" s="441"/>
      <c r="AI540" s="441"/>
      <c r="AJ540" s="441"/>
      <c r="AK540" s="441"/>
      <c r="AL540" s="441"/>
      <c r="AM540" s="441"/>
      <c r="AN540" s="441"/>
      <c r="AO540" s="441"/>
      <c r="AP540" s="441"/>
      <c r="AQ540" s="441"/>
      <c r="AR540" s="441"/>
      <c r="AS540" s="441"/>
      <c r="AT540" s="441"/>
      <c r="AU540" s="441"/>
      <c r="AV540" s="441"/>
      <c r="AW540" s="441"/>
      <c r="AX540" s="441"/>
      <c r="AY540" s="441"/>
      <c r="AZ540" s="441"/>
      <c r="BA540" s="441"/>
    </row>
    <row r="541">
      <c r="A541" s="441"/>
      <c r="B541" s="441"/>
      <c r="C541" s="441"/>
      <c r="D541" s="441"/>
      <c r="E541" s="441"/>
      <c r="F541" s="441"/>
      <c r="G541" s="441"/>
      <c r="H541" s="441"/>
      <c r="I541" s="441"/>
      <c r="J541" s="441"/>
      <c r="K541" s="441"/>
      <c r="L541" s="441"/>
      <c r="M541" s="441"/>
      <c r="N541" s="441"/>
      <c r="O541" s="441"/>
      <c r="P541" s="441"/>
      <c r="Q541" s="441"/>
      <c r="R541" s="441"/>
      <c r="S541" s="441"/>
      <c r="T541" s="441"/>
      <c r="U541" s="441"/>
      <c r="V541" s="441"/>
      <c r="W541" s="441"/>
      <c r="X541" s="441"/>
      <c r="Y541" s="441"/>
      <c r="Z541" s="441"/>
      <c r="AA541" s="441"/>
      <c r="AB541" s="441"/>
      <c r="AC541" s="441"/>
      <c r="AD541" s="441"/>
      <c r="AE541" s="441"/>
      <c r="AF541" s="441"/>
      <c r="AG541" s="441"/>
      <c r="AH541" s="441"/>
      <c r="AI541" s="441"/>
      <c r="AJ541" s="441"/>
      <c r="AK541" s="441"/>
      <c r="AL541" s="441"/>
      <c r="AM541" s="441"/>
      <c r="AN541" s="441"/>
      <c r="AO541" s="441"/>
      <c r="AP541" s="441"/>
      <c r="AQ541" s="441"/>
      <c r="AR541" s="441"/>
      <c r="AS541" s="441"/>
      <c r="AT541" s="441"/>
      <c r="AU541" s="441"/>
      <c r="AV541" s="441"/>
      <c r="AW541" s="441"/>
      <c r="AX541" s="441"/>
      <c r="AY541" s="441"/>
      <c r="AZ541" s="441"/>
      <c r="BA541" s="441"/>
    </row>
    <row r="542">
      <c r="A542" s="441"/>
      <c r="B542" s="441"/>
      <c r="C542" s="441"/>
      <c r="D542" s="441"/>
      <c r="E542" s="441"/>
      <c r="F542" s="441"/>
      <c r="G542" s="441"/>
      <c r="H542" s="441"/>
      <c r="I542" s="441"/>
      <c r="J542" s="441"/>
      <c r="K542" s="441"/>
      <c r="L542" s="441"/>
      <c r="M542" s="441"/>
      <c r="N542" s="441"/>
      <c r="O542" s="441"/>
      <c r="P542" s="441"/>
      <c r="Q542" s="441"/>
      <c r="R542" s="441"/>
      <c r="S542" s="441"/>
      <c r="T542" s="441"/>
      <c r="U542" s="441"/>
      <c r="V542" s="441"/>
      <c r="W542" s="441"/>
      <c r="X542" s="441"/>
      <c r="Y542" s="441"/>
      <c r="Z542" s="441"/>
      <c r="AA542" s="441"/>
      <c r="AB542" s="441"/>
      <c r="AC542" s="441"/>
      <c r="AD542" s="441"/>
      <c r="AE542" s="441"/>
      <c r="AF542" s="441"/>
      <c r="AG542" s="441"/>
      <c r="AH542" s="441"/>
      <c r="AI542" s="441"/>
      <c r="AJ542" s="441"/>
      <c r="AK542" s="441"/>
      <c r="AL542" s="441"/>
      <c r="AM542" s="441"/>
      <c r="AN542" s="441"/>
      <c r="AO542" s="441"/>
      <c r="AP542" s="441"/>
      <c r="AQ542" s="441"/>
      <c r="AR542" s="441"/>
      <c r="AS542" s="441"/>
      <c r="AT542" s="441"/>
      <c r="AU542" s="441"/>
      <c r="AV542" s="441"/>
      <c r="AW542" s="441"/>
      <c r="AX542" s="441"/>
      <c r="AY542" s="441"/>
      <c r="AZ542" s="441"/>
      <c r="BA542" s="441"/>
    </row>
    <row r="543">
      <c r="A543" s="441"/>
      <c r="B543" s="441"/>
      <c r="C543" s="441"/>
      <c r="D543" s="441"/>
      <c r="E543" s="441"/>
      <c r="F543" s="441"/>
      <c r="G543" s="441"/>
      <c r="H543" s="441"/>
      <c r="I543" s="441"/>
      <c r="J543" s="441"/>
      <c r="K543" s="441"/>
      <c r="L543" s="441"/>
      <c r="M543" s="441"/>
      <c r="N543" s="441"/>
      <c r="O543" s="441"/>
      <c r="P543" s="441"/>
      <c r="Q543" s="441"/>
      <c r="R543" s="441"/>
      <c r="S543" s="441"/>
      <c r="T543" s="441"/>
      <c r="U543" s="441"/>
      <c r="V543" s="441"/>
      <c r="W543" s="441"/>
      <c r="X543" s="441"/>
      <c r="Y543" s="441"/>
      <c r="Z543" s="441"/>
      <c r="AA543" s="441"/>
      <c r="AB543" s="441"/>
      <c r="AC543" s="441"/>
      <c r="AD543" s="441"/>
      <c r="AE543" s="441"/>
      <c r="AF543" s="441"/>
      <c r="AG543" s="441"/>
      <c r="AH543" s="441"/>
      <c r="AI543" s="441"/>
      <c r="AJ543" s="441"/>
      <c r="AK543" s="441"/>
      <c r="AL543" s="441"/>
      <c r="AM543" s="441"/>
      <c r="AN543" s="441"/>
      <c r="AO543" s="441"/>
      <c r="AP543" s="441"/>
      <c r="AQ543" s="441"/>
      <c r="AR543" s="441"/>
      <c r="AS543" s="441"/>
      <c r="AT543" s="441"/>
      <c r="AU543" s="441"/>
      <c r="AV543" s="441"/>
      <c r="AW543" s="441"/>
      <c r="AX543" s="441"/>
      <c r="AY543" s="441"/>
      <c r="AZ543" s="441"/>
      <c r="BA543" s="441"/>
    </row>
    <row r="544">
      <c r="A544" s="441"/>
      <c r="B544" s="441"/>
      <c r="C544" s="441"/>
      <c r="D544" s="441"/>
      <c r="E544" s="441"/>
      <c r="F544" s="441"/>
      <c r="G544" s="441"/>
      <c r="H544" s="441"/>
      <c r="I544" s="441"/>
      <c r="J544" s="441"/>
      <c r="K544" s="441"/>
      <c r="L544" s="441"/>
      <c r="M544" s="441"/>
      <c r="N544" s="441"/>
      <c r="O544" s="441"/>
      <c r="P544" s="441"/>
      <c r="Q544" s="441"/>
      <c r="R544" s="441"/>
      <c r="S544" s="441"/>
      <c r="T544" s="441"/>
      <c r="U544" s="441"/>
      <c r="V544" s="441"/>
      <c r="W544" s="441"/>
      <c r="X544" s="441"/>
      <c r="Y544" s="441"/>
      <c r="Z544" s="441"/>
      <c r="AA544" s="441"/>
      <c r="AB544" s="441"/>
      <c r="AC544" s="441"/>
      <c r="AD544" s="441"/>
      <c r="AE544" s="441"/>
      <c r="AF544" s="441"/>
      <c r="AG544" s="441"/>
      <c r="AH544" s="441"/>
      <c r="AI544" s="441"/>
      <c r="AJ544" s="441"/>
      <c r="AK544" s="441"/>
      <c r="AL544" s="441"/>
      <c r="AM544" s="441"/>
      <c r="AN544" s="441"/>
      <c r="AO544" s="441"/>
      <c r="AP544" s="441"/>
      <c r="AQ544" s="441"/>
      <c r="AR544" s="441"/>
      <c r="AS544" s="441"/>
      <c r="AT544" s="441"/>
      <c r="AU544" s="441"/>
      <c r="AV544" s="441"/>
      <c r="AW544" s="441"/>
      <c r="AX544" s="441"/>
      <c r="AY544" s="441"/>
      <c r="AZ544" s="441"/>
      <c r="BA544" s="441"/>
    </row>
    <row r="545">
      <c r="A545" s="441"/>
      <c r="B545" s="441"/>
      <c r="C545" s="441"/>
      <c r="D545" s="441"/>
      <c r="E545" s="441"/>
      <c r="F545" s="441"/>
      <c r="G545" s="441"/>
      <c r="H545" s="441"/>
      <c r="I545" s="441"/>
      <c r="J545" s="441"/>
      <c r="K545" s="441"/>
      <c r="L545" s="441"/>
      <c r="M545" s="441"/>
      <c r="N545" s="441"/>
      <c r="O545" s="441"/>
      <c r="P545" s="441"/>
      <c r="Q545" s="441"/>
      <c r="R545" s="441"/>
      <c r="S545" s="441"/>
      <c r="T545" s="441"/>
      <c r="U545" s="441"/>
      <c r="V545" s="441"/>
      <c r="W545" s="441"/>
      <c r="X545" s="441"/>
      <c r="Y545" s="441"/>
      <c r="Z545" s="441"/>
      <c r="AA545" s="441"/>
      <c r="AB545" s="441"/>
      <c r="AC545" s="441"/>
      <c r="AD545" s="441"/>
      <c r="AE545" s="441"/>
      <c r="AF545" s="441"/>
      <c r="AG545" s="441"/>
      <c r="AH545" s="441"/>
      <c r="AI545" s="441"/>
      <c r="AJ545" s="441"/>
      <c r="AK545" s="441"/>
      <c r="AL545" s="441"/>
      <c r="AM545" s="441"/>
      <c r="AN545" s="441"/>
      <c r="AO545" s="441"/>
      <c r="AP545" s="441"/>
      <c r="AQ545" s="441"/>
      <c r="AR545" s="441"/>
      <c r="AS545" s="441"/>
      <c r="AT545" s="441"/>
      <c r="AU545" s="441"/>
      <c r="AV545" s="441"/>
      <c r="AW545" s="441"/>
      <c r="AX545" s="441"/>
      <c r="AY545" s="441"/>
      <c r="AZ545" s="441"/>
      <c r="BA545" s="441"/>
    </row>
    <row r="546">
      <c r="A546" s="441"/>
      <c r="B546" s="441"/>
      <c r="C546" s="441"/>
      <c r="D546" s="441"/>
      <c r="E546" s="441"/>
      <c r="F546" s="441"/>
      <c r="G546" s="441"/>
      <c r="H546" s="441"/>
      <c r="I546" s="441"/>
      <c r="J546" s="441"/>
      <c r="K546" s="441"/>
      <c r="L546" s="441"/>
      <c r="M546" s="441"/>
      <c r="N546" s="441"/>
      <c r="O546" s="441"/>
      <c r="P546" s="441"/>
      <c r="Q546" s="441"/>
      <c r="R546" s="441"/>
      <c r="S546" s="441"/>
      <c r="T546" s="441"/>
      <c r="U546" s="441"/>
      <c r="V546" s="441"/>
      <c r="W546" s="441"/>
      <c r="X546" s="441"/>
      <c r="Y546" s="441"/>
      <c r="Z546" s="441"/>
      <c r="AA546" s="441"/>
      <c r="AB546" s="441"/>
      <c r="AC546" s="441"/>
      <c r="AD546" s="441"/>
      <c r="AE546" s="441"/>
      <c r="AF546" s="441"/>
      <c r="AG546" s="441"/>
      <c r="AH546" s="441"/>
      <c r="AI546" s="441"/>
      <c r="AJ546" s="441"/>
      <c r="AK546" s="441"/>
      <c r="AL546" s="441"/>
      <c r="AM546" s="441"/>
      <c r="AN546" s="441"/>
      <c r="AO546" s="441"/>
      <c r="AP546" s="441"/>
      <c r="AQ546" s="441"/>
      <c r="AR546" s="441"/>
      <c r="AS546" s="441"/>
      <c r="AT546" s="441"/>
      <c r="AU546" s="441"/>
      <c r="AV546" s="441"/>
      <c r="AW546" s="441"/>
      <c r="AX546" s="441"/>
      <c r="AY546" s="441"/>
      <c r="AZ546" s="441"/>
      <c r="BA546" s="441"/>
    </row>
    <row r="547">
      <c r="A547" s="441"/>
      <c r="B547" s="441"/>
      <c r="C547" s="441"/>
      <c r="D547" s="441"/>
      <c r="E547" s="441"/>
      <c r="F547" s="441"/>
      <c r="G547" s="441"/>
      <c r="H547" s="441"/>
      <c r="I547" s="441"/>
      <c r="J547" s="441"/>
      <c r="K547" s="441"/>
      <c r="L547" s="441"/>
      <c r="M547" s="441"/>
      <c r="N547" s="441"/>
      <c r="O547" s="441"/>
      <c r="P547" s="441"/>
      <c r="Q547" s="441"/>
      <c r="R547" s="441"/>
      <c r="S547" s="441"/>
      <c r="T547" s="441"/>
      <c r="U547" s="441"/>
      <c r="V547" s="441"/>
      <c r="W547" s="441"/>
      <c r="X547" s="441"/>
      <c r="Y547" s="441"/>
      <c r="Z547" s="441"/>
      <c r="AA547" s="441"/>
      <c r="AB547" s="441"/>
      <c r="AC547" s="441"/>
      <c r="AD547" s="441"/>
      <c r="AE547" s="441"/>
      <c r="AF547" s="441"/>
      <c r="AG547" s="441"/>
      <c r="AH547" s="441"/>
      <c r="AI547" s="441"/>
      <c r="AJ547" s="441"/>
      <c r="AK547" s="441"/>
      <c r="AL547" s="441"/>
      <c r="AM547" s="441"/>
      <c r="AN547" s="441"/>
      <c r="AO547" s="441"/>
      <c r="AP547" s="441"/>
      <c r="AQ547" s="441"/>
      <c r="AR547" s="441"/>
      <c r="AS547" s="441"/>
      <c r="AT547" s="441"/>
      <c r="AU547" s="441"/>
      <c r="AV547" s="441"/>
      <c r="AW547" s="441"/>
      <c r="AX547" s="441"/>
      <c r="AY547" s="441"/>
      <c r="AZ547" s="441"/>
      <c r="BA547" s="441"/>
    </row>
    <row r="548">
      <c r="A548" s="441"/>
      <c r="B548" s="441"/>
      <c r="C548" s="441"/>
      <c r="D548" s="441"/>
      <c r="E548" s="441"/>
      <c r="F548" s="441"/>
      <c r="G548" s="441"/>
      <c r="H548" s="441"/>
      <c r="I548" s="441"/>
      <c r="J548" s="441"/>
      <c r="K548" s="441"/>
      <c r="L548" s="441"/>
      <c r="M548" s="441"/>
      <c r="N548" s="441"/>
      <c r="O548" s="441"/>
      <c r="P548" s="441"/>
      <c r="Q548" s="441"/>
      <c r="R548" s="441"/>
      <c r="S548" s="441"/>
      <c r="T548" s="441"/>
      <c r="U548" s="441"/>
      <c r="V548" s="441"/>
      <c r="W548" s="441"/>
      <c r="X548" s="441"/>
      <c r="Y548" s="441"/>
      <c r="Z548" s="441"/>
      <c r="AA548" s="441"/>
      <c r="AB548" s="441"/>
      <c r="AC548" s="441"/>
      <c r="AD548" s="441"/>
      <c r="AE548" s="441"/>
      <c r="AF548" s="441"/>
      <c r="AG548" s="441"/>
      <c r="AH548" s="441"/>
      <c r="AI548" s="441"/>
      <c r="AJ548" s="441"/>
      <c r="AK548" s="441"/>
      <c r="AL548" s="441"/>
      <c r="AM548" s="441"/>
      <c r="AN548" s="441"/>
      <c r="AO548" s="441"/>
      <c r="AP548" s="441"/>
      <c r="AQ548" s="441"/>
      <c r="AR548" s="441"/>
      <c r="AS548" s="441"/>
      <c r="AT548" s="441"/>
      <c r="AU548" s="441"/>
      <c r="AV548" s="441"/>
      <c r="AW548" s="441"/>
      <c r="AX548" s="441"/>
      <c r="AY548" s="441"/>
      <c r="AZ548" s="441"/>
      <c r="BA548" s="441"/>
    </row>
    <row r="549">
      <c r="A549" s="441"/>
      <c r="B549" s="441"/>
      <c r="C549" s="441"/>
      <c r="D549" s="441"/>
      <c r="E549" s="441"/>
      <c r="F549" s="441"/>
      <c r="G549" s="441"/>
      <c r="H549" s="441"/>
      <c r="I549" s="441"/>
      <c r="J549" s="441"/>
      <c r="K549" s="441"/>
      <c r="L549" s="441"/>
      <c r="M549" s="441"/>
      <c r="N549" s="441"/>
      <c r="O549" s="441"/>
      <c r="P549" s="441"/>
      <c r="Q549" s="441"/>
      <c r="R549" s="441"/>
      <c r="S549" s="441"/>
      <c r="T549" s="441"/>
      <c r="U549" s="441"/>
      <c r="V549" s="441"/>
      <c r="W549" s="441"/>
      <c r="X549" s="441"/>
      <c r="Y549" s="441"/>
      <c r="Z549" s="441"/>
      <c r="AA549" s="441"/>
      <c r="AB549" s="441"/>
      <c r="AC549" s="441"/>
      <c r="AD549" s="441"/>
      <c r="AE549" s="441"/>
      <c r="AF549" s="441"/>
      <c r="AG549" s="441"/>
      <c r="AH549" s="441"/>
      <c r="AI549" s="441"/>
      <c r="AJ549" s="441"/>
      <c r="AK549" s="441"/>
      <c r="AL549" s="441"/>
      <c r="AM549" s="441"/>
      <c r="AN549" s="441"/>
      <c r="AO549" s="441"/>
      <c r="AP549" s="441"/>
      <c r="AQ549" s="441"/>
      <c r="AR549" s="441"/>
      <c r="AS549" s="441"/>
      <c r="AT549" s="441"/>
      <c r="AU549" s="441"/>
      <c r="AV549" s="441"/>
      <c r="AW549" s="441"/>
      <c r="AX549" s="441"/>
      <c r="AY549" s="441"/>
      <c r="AZ549" s="441"/>
      <c r="BA549" s="441"/>
    </row>
    <row r="550">
      <c r="A550" s="441"/>
      <c r="B550" s="441"/>
      <c r="C550" s="441"/>
      <c r="D550" s="441"/>
      <c r="E550" s="441"/>
      <c r="F550" s="441"/>
      <c r="G550" s="441"/>
      <c r="H550" s="441"/>
      <c r="I550" s="441"/>
      <c r="J550" s="441"/>
      <c r="K550" s="441"/>
      <c r="L550" s="441"/>
      <c r="M550" s="441"/>
      <c r="N550" s="441"/>
      <c r="O550" s="441"/>
      <c r="P550" s="441"/>
      <c r="Q550" s="441"/>
      <c r="R550" s="441"/>
      <c r="S550" s="441"/>
      <c r="T550" s="441"/>
      <c r="U550" s="441"/>
      <c r="V550" s="441"/>
      <c r="W550" s="441"/>
      <c r="X550" s="441"/>
      <c r="Y550" s="441"/>
      <c r="Z550" s="441"/>
      <c r="AA550" s="441"/>
      <c r="AB550" s="441"/>
      <c r="AC550" s="441"/>
      <c r="AD550" s="441"/>
      <c r="AE550" s="441"/>
      <c r="AF550" s="441"/>
      <c r="AG550" s="441"/>
      <c r="AH550" s="441"/>
      <c r="AI550" s="441"/>
      <c r="AJ550" s="441"/>
      <c r="AK550" s="441"/>
      <c r="AL550" s="441"/>
      <c r="AM550" s="441"/>
      <c r="AN550" s="441"/>
      <c r="AO550" s="441"/>
      <c r="AP550" s="441"/>
      <c r="AQ550" s="441"/>
      <c r="AR550" s="441"/>
      <c r="AS550" s="441"/>
      <c r="AT550" s="441"/>
      <c r="AU550" s="441"/>
      <c r="AV550" s="441"/>
      <c r="AW550" s="441"/>
      <c r="AX550" s="441"/>
      <c r="AY550" s="441"/>
      <c r="AZ550" s="441"/>
      <c r="BA550" s="441"/>
    </row>
    <row r="551">
      <c r="A551" s="441"/>
      <c r="B551" s="441"/>
      <c r="C551" s="441"/>
      <c r="D551" s="441"/>
      <c r="E551" s="441"/>
      <c r="F551" s="441"/>
      <c r="G551" s="441"/>
      <c r="H551" s="441"/>
      <c r="I551" s="441"/>
      <c r="J551" s="441"/>
      <c r="K551" s="441"/>
      <c r="L551" s="441"/>
      <c r="M551" s="441"/>
      <c r="N551" s="441"/>
      <c r="O551" s="441"/>
      <c r="P551" s="441"/>
      <c r="Q551" s="441"/>
      <c r="R551" s="441"/>
      <c r="S551" s="441"/>
      <c r="T551" s="441"/>
      <c r="U551" s="441"/>
      <c r="V551" s="441"/>
      <c r="W551" s="441"/>
      <c r="X551" s="441"/>
      <c r="Y551" s="441"/>
      <c r="Z551" s="441"/>
      <c r="AA551" s="441"/>
      <c r="AB551" s="441"/>
      <c r="AC551" s="441"/>
      <c r="AD551" s="441"/>
      <c r="AE551" s="441"/>
      <c r="AF551" s="441"/>
      <c r="AG551" s="441"/>
      <c r="AH551" s="441"/>
      <c r="AI551" s="441"/>
      <c r="AJ551" s="441"/>
      <c r="AK551" s="441"/>
      <c r="AL551" s="441"/>
      <c r="AM551" s="441"/>
      <c r="AN551" s="441"/>
      <c r="AO551" s="441"/>
      <c r="AP551" s="441"/>
      <c r="AQ551" s="441"/>
      <c r="AR551" s="441"/>
      <c r="AS551" s="441"/>
      <c r="AT551" s="441"/>
      <c r="AU551" s="441"/>
      <c r="AV551" s="441"/>
      <c r="AW551" s="441"/>
      <c r="AX551" s="441"/>
      <c r="AY551" s="441"/>
      <c r="AZ551" s="441"/>
      <c r="BA551" s="441"/>
    </row>
    <row r="552">
      <c r="A552" s="441"/>
      <c r="B552" s="441"/>
      <c r="C552" s="441"/>
      <c r="D552" s="441"/>
      <c r="E552" s="441"/>
      <c r="F552" s="441"/>
      <c r="G552" s="441"/>
      <c r="H552" s="441"/>
      <c r="I552" s="441"/>
      <c r="J552" s="441"/>
      <c r="K552" s="441"/>
      <c r="L552" s="441"/>
      <c r="M552" s="441"/>
      <c r="N552" s="441"/>
      <c r="O552" s="441"/>
      <c r="P552" s="441"/>
      <c r="Q552" s="441"/>
      <c r="R552" s="441"/>
      <c r="S552" s="441"/>
      <c r="T552" s="441"/>
      <c r="U552" s="441"/>
      <c r="V552" s="441"/>
      <c r="W552" s="441"/>
      <c r="X552" s="441"/>
      <c r="Y552" s="441"/>
      <c r="Z552" s="441"/>
      <c r="AA552" s="441"/>
      <c r="AB552" s="441"/>
      <c r="AC552" s="441"/>
      <c r="AD552" s="441"/>
      <c r="AE552" s="441"/>
      <c r="AF552" s="441"/>
      <c r="AG552" s="441"/>
      <c r="AH552" s="441"/>
      <c r="AI552" s="441"/>
      <c r="AJ552" s="441"/>
      <c r="AK552" s="441"/>
      <c r="AL552" s="441"/>
      <c r="AM552" s="441"/>
      <c r="AN552" s="441"/>
      <c r="AO552" s="441"/>
      <c r="AP552" s="441"/>
      <c r="AQ552" s="441"/>
      <c r="AR552" s="441"/>
      <c r="AS552" s="441"/>
      <c r="AT552" s="441"/>
      <c r="AU552" s="441"/>
      <c r="AV552" s="441"/>
      <c r="AW552" s="441"/>
      <c r="AX552" s="441"/>
      <c r="AY552" s="441"/>
      <c r="AZ552" s="441"/>
      <c r="BA552" s="441"/>
    </row>
    <row r="553">
      <c r="A553" s="441"/>
      <c r="B553" s="441"/>
      <c r="C553" s="441"/>
      <c r="D553" s="441"/>
      <c r="E553" s="441"/>
      <c r="F553" s="441"/>
      <c r="G553" s="441"/>
      <c r="H553" s="441"/>
      <c r="I553" s="441"/>
      <c r="J553" s="441"/>
      <c r="K553" s="441"/>
      <c r="L553" s="441"/>
      <c r="M553" s="441"/>
      <c r="N553" s="441"/>
      <c r="O553" s="441"/>
      <c r="P553" s="441"/>
      <c r="Q553" s="441"/>
      <c r="R553" s="441"/>
      <c r="S553" s="441"/>
      <c r="T553" s="441"/>
      <c r="U553" s="441"/>
      <c r="V553" s="441"/>
      <c r="W553" s="441"/>
      <c r="X553" s="441"/>
      <c r="Y553" s="441"/>
      <c r="Z553" s="441"/>
      <c r="AA553" s="441"/>
      <c r="AB553" s="441"/>
      <c r="AC553" s="441"/>
      <c r="AD553" s="441"/>
      <c r="AE553" s="441"/>
      <c r="AF553" s="441"/>
      <c r="AG553" s="441"/>
      <c r="AH553" s="441"/>
      <c r="AI553" s="441"/>
      <c r="AJ553" s="441"/>
      <c r="AK553" s="441"/>
      <c r="AL553" s="441"/>
      <c r="AM553" s="441"/>
      <c r="AN553" s="441"/>
      <c r="AO553" s="441"/>
      <c r="AP553" s="441"/>
      <c r="AQ553" s="441"/>
      <c r="AR553" s="441"/>
      <c r="AS553" s="441"/>
      <c r="AT553" s="441"/>
      <c r="AU553" s="441"/>
      <c r="AV553" s="441"/>
      <c r="AW553" s="441"/>
      <c r="AX553" s="441"/>
      <c r="AY553" s="441"/>
      <c r="AZ553" s="441"/>
      <c r="BA553" s="441"/>
    </row>
    <row r="554">
      <c r="A554" s="441"/>
      <c r="B554" s="441"/>
      <c r="C554" s="441"/>
      <c r="D554" s="441"/>
      <c r="E554" s="441"/>
      <c r="F554" s="441"/>
      <c r="G554" s="441"/>
      <c r="H554" s="441"/>
      <c r="I554" s="441"/>
      <c r="J554" s="441"/>
      <c r="K554" s="441"/>
      <c r="L554" s="441"/>
      <c r="M554" s="441"/>
      <c r="N554" s="441"/>
      <c r="O554" s="441"/>
      <c r="P554" s="441"/>
      <c r="Q554" s="441"/>
      <c r="R554" s="441"/>
      <c r="S554" s="441"/>
      <c r="T554" s="441"/>
      <c r="U554" s="441"/>
      <c r="V554" s="441"/>
      <c r="W554" s="441"/>
      <c r="X554" s="441"/>
      <c r="Y554" s="441"/>
      <c r="Z554" s="441"/>
      <c r="AA554" s="441"/>
      <c r="AB554" s="441"/>
      <c r="AC554" s="441"/>
      <c r="AD554" s="441"/>
      <c r="AE554" s="441"/>
      <c r="AF554" s="441"/>
      <c r="AG554" s="441"/>
      <c r="AH554" s="441"/>
      <c r="AI554" s="441"/>
      <c r="AJ554" s="441"/>
      <c r="AK554" s="441"/>
      <c r="AL554" s="441"/>
      <c r="AM554" s="441"/>
      <c r="AN554" s="441"/>
      <c r="AO554" s="441"/>
      <c r="AP554" s="441"/>
      <c r="AQ554" s="441"/>
      <c r="AR554" s="441"/>
      <c r="AS554" s="441"/>
      <c r="AT554" s="441"/>
      <c r="AU554" s="441"/>
      <c r="AV554" s="441"/>
      <c r="AW554" s="441"/>
      <c r="AX554" s="441"/>
      <c r="AY554" s="441"/>
      <c r="AZ554" s="441"/>
      <c r="BA554" s="441"/>
    </row>
    <row r="555">
      <c r="A555" s="441"/>
      <c r="B555" s="441"/>
      <c r="C555" s="441"/>
      <c r="D555" s="441"/>
      <c r="E555" s="441"/>
      <c r="F555" s="441"/>
      <c r="G555" s="441"/>
      <c r="H555" s="441"/>
      <c r="I555" s="441"/>
      <c r="J555" s="441"/>
      <c r="K555" s="441"/>
      <c r="L555" s="441"/>
      <c r="M555" s="441"/>
      <c r="N555" s="441"/>
      <c r="O555" s="441"/>
      <c r="P555" s="441"/>
      <c r="Q555" s="441"/>
      <c r="R555" s="441"/>
      <c r="S555" s="441"/>
      <c r="T555" s="441"/>
      <c r="U555" s="441"/>
      <c r="V555" s="441"/>
      <c r="W555" s="441"/>
      <c r="X555" s="441"/>
      <c r="Y555" s="441"/>
      <c r="Z555" s="441"/>
      <c r="AA555" s="441"/>
      <c r="AB555" s="441"/>
      <c r="AC555" s="441"/>
      <c r="AD555" s="441"/>
      <c r="AE555" s="441"/>
      <c r="AF555" s="441"/>
      <c r="AG555" s="441"/>
      <c r="AH555" s="441"/>
      <c r="AI555" s="441"/>
      <c r="AJ555" s="441"/>
      <c r="AK555" s="441"/>
      <c r="AL555" s="441"/>
      <c r="AM555" s="441"/>
      <c r="AN555" s="441"/>
      <c r="AO555" s="441"/>
      <c r="AP555" s="441"/>
      <c r="AQ555" s="441"/>
      <c r="AR555" s="441"/>
      <c r="AS555" s="441"/>
      <c r="AT555" s="441"/>
      <c r="AU555" s="441"/>
      <c r="AV555" s="441"/>
      <c r="AW555" s="441"/>
      <c r="AX555" s="441"/>
      <c r="AY555" s="441"/>
      <c r="AZ555" s="441"/>
      <c r="BA555" s="441"/>
    </row>
    <row r="556">
      <c r="A556" s="441"/>
      <c r="B556" s="441"/>
      <c r="C556" s="441"/>
      <c r="D556" s="441"/>
      <c r="E556" s="441"/>
      <c r="F556" s="441"/>
      <c r="G556" s="441"/>
      <c r="H556" s="441"/>
      <c r="I556" s="441"/>
      <c r="J556" s="441"/>
      <c r="K556" s="441"/>
      <c r="L556" s="441"/>
      <c r="M556" s="441"/>
      <c r="N556" s="441"/>
      <c r="O556" s="441"/>
      <c r="P556" s="441"/>
      <c r="Q556" s="441"/>
      <c r="R556" s="441"/>
      <c r="S556" s="441"/>
      <c r="T556" s="441"/>
      <c r="U556" s="441"/>
      <c r="V556" s="441"/>
      <c r="W556" s="441"/>
      <c r="X556" s="441"/>
      <c r="Y556" s="441"/>
      <c r="Z556" s="441"/>
      <c r="AA556" s="441"/>
      <c r="AB556" s="441"/>
      <c r="AC556" s="441"/>
      <c r="AD556" s="441"/>
      <c r="AE556" s="441"/>
      <c r="AF556" s="441"/>
      <c r="AG556" s="441"/>
      <c r="AH556" s="441"/>
      <c r="AI556" s="441"/>
      <c r="AJ556" s="441"/>
      <c r="AK556" s="441"/>
      <c r="AL556" s="441"/>
      <c r="AM556" s="441"/>
      <c r="AN556" s="441"/>
      <c r="AO556" s="441"/>
      <c r="AP556" s="441"/>
      <c r="AQ556" s="441"/>
      <c r="AR556" s="441"/>
      <c r="AS556" s="441"/>
      <c r="AT556" s="441"/>
      <c r="AU556" s="441"/>
      <c r="AV556" s="441"/>
      <c r="AW556" s="441"/>
      <c r="AX556" s="441"/>
      <c r="AY556" s="441"/>
      <c r="AZ556" s="441"/>
      <c r="BA556" s="441"/>
    </row>
    <row r="557">
      <c r="A557" s="441"/>
      <c r="B557" s="441"/>
      <c r="C557" s="441"/>
      <c r="D557" s="441"/>
      <c r="E557" s="441"/>
      <c r="F557" s="441"/>
      <c r="G557" s="441"/>
      <c r="H557" s="441"/>
      <c r="I557" s="441"/>
      <c r="J557" s="441"/>
      <c r="K557" s="441"/>
      <c r="L557" s="441"/>
      <c r="M557" s="441"/>
      <c r="N557" s="441"/>
      <c r="O557" s="441"/>
      <c r="P557" s="441"/>
      <c r="Q557" s="441"/>
      <c r="R557" s="441"/>
      <c r="S557" s="441"/>
      <c r="T557" s="441"/>
      <c r="U557" s="441"/>
      <c r="V557" s="441"/>
      <c r="W557" s="441"/>
      <c r="X557" s="441"/>
      <c r="Y557" s="441"/>
      <c r="Z557" s="441"/>
      <c r="AA557" s="441"/>
      <c r="AB557" s="441"/>
      <c r="AC557" s="441"/>
      <c r="AD557" s="441"/>
      <c r="AE557" s="441"/>
      <c r="AF557" s="441"/>
      <c r="AG557" s="441"/>
      <c r="AH557" s="441"/>
      <c r="AI557" s="441"/>
      <c r="AJ557" s="441"/>
      <c r="AK557" s="441"/>
      <c r="AL557" s="441"/>
      <c r="AM557" s="441"/>
      <c r="AN557" s="441"/>
      <c r="AO557" s="441"/>
      <c r="AP557" s="441"/>
      <c r="AQ557" s="441"/>
      <c r="AR557" s="441"/>
      <c r="AS557" s="441"/>
      <c r="AT557" s="441"/>
      <c r="AU557" s="441"/>
      <c r="AV557" s="441"/>
      <c r="AW557" s="441"/>
      <c r="AX557" s="441"/>
      <c r="AY557" s="441"/>
      <c r="AZ557" s="441"/>
      <c r="BA557" s="441"/>
    </row>
    <row r="558">
      <c r="A558" s="441"/>
      <c r="B558" s="441"/>
      <c r="C558" s="441"/>
      <c r="D558" s="441"/>
      <c r="E558" s="441"/>
      <c r="F558" s="441"/>
      <c r="G558" s="441"/>
      <c r="H558" s="441"/>
      <c r="I558" s="441"/>
      <c r="J558" s="441"/>
      <c r="K558" s="441"/>
      <c r="L558" s="441"/>
      <c r="M558" s="441"/>
      <c r="N558" s="441"/>
      <c r="O558" s="441"/>
      <c r="P558" s="441"/>
      <c r="Q558" s="441"/>
      <c r="R558" s="441"/>
      <c r="S558" s="441"/>
      <c r="T558" s="441"/>
      <c r="U558" s="441"/>
      <c r="V558" s="441"/>
      <c r="W558" s="441"/>
      <c r="X558" s="441"/>
      <c r="Y558" s="441"/>
      <c r="Z558" s="441"/>
      <c r="AA558" s="441"/>
      <c r="AB558" s="441"/>
      <c r="AC558" s="441"/>
      <c r="AD558" s="441"/>
      <c r="AE558" s="441"/>
      <c r="AF558" s="441"/>
      <c r="AG558" s="441"/>
      <c r="AH558" s="441"/>
      <c r="AI558" s="441"/>
      <c r="AJ558" s="441"/>
      <c r="AK558" s="441"/>
      <c r="AL558" s="441"/>
      <c r="AM558" s="441"/>
      <c r="AN558" s="441"/>
      <c r="AO558" s="441"/>
      <c r="AP558" s="441"/>
      <c r="AQ558" s="441"/>
      <c r="AR558" s="441"/>
      <c r="AS558" s="441"/>
      <c r="AT558" s="441"/>
      <c r="AU558" s="441"/>
      <c r="AV558" s="441"/>
      <c r="AW558" s="441"/>
      <c r="AX558" s="441"/>
      <c r="AY558" s="441"/>
      <c r="AZ558" s="441"/>
      <c r="BA558" s="441"/>
    </row>
    <row r="559">
      <c r="A559" s="441"/>
      <c r="B559" s="441"/>
      <c r="C559" s="441"/>
      <c r="D559" s="441"/>
      <c r="E559" s="441"/>
      <c r="F559" s="441"/>
      <c r="G559" s="441"/>
      <c r="H559" s="441"/>
      <c r="I559" s="441"/>
      <c r="J559" s="441"/>
      <c r="K559" s="441"/>
      <c r="L559" s="441"/>
      <c r="M559" s="441"/>
      <c r="N559" s="441"/>
      <c r="O559" s="441"/>
      <c r="P559" s="441"/>
      <c r="Q559" s="441"/>
      <c r="R559" s="441"/>
      <c r="S559" s="441"/>
      <c r="T559" s="441"/>
      <c r="U559" s="441"/>
      <c r="V559" s="441"/>
      <c r="W559" s="441"/>
      <c r="X559" s="441"/>
      <c r="Y559" s="441"/>
      <c r="Z559" s="441"/>
      <c r="AA559" s="441"/>
      <c r="AB559" s="441"/>
      <c r="AC559" s="441"/>
      <c r="AD559" s="441"/>
      <c r="AE559" s="441"/>
      <c r="AF559" s="441"/>
      <c r="AG559" s="441"/>
      <c r="AH559" s="441"/>
      <c r="AI559" s="441"/>
      <c r="AJ559" s="441"/>
      <c r="AK559" s="441"/>
      <c r="AL559" s="441"/>
      <c r="AM559" s="441"/>
      <c r="AN559" s="441"/>
      <c r="AO559" s="441"/>
      <c r="AP559" s="441"/>
      <c r="AQ559" s="441"/>
      <c r="AR559" s="441"/>
      <c r="AS559" s="441"/>
      <c r="AT559" s="441"/>
      <c r="AU559" s="441"/>
      <c r="AV559" s="441"/>
      <c r="AW559" s="441"/>
      <c r="AX559" s="441"/>
      <c r="AY559" s="441"/>
      <c r="AZ559" s="441"/>
      <c r="BA559" s="441"/>
    </row>
    <row r="560">
      <c r="A560" s="441"/>
      <c r="B560" s="441"/>
      <c r="C560" s="441"/>
      <c r="D560" s="441"/>
      <c r="E560" s="441"/>
      <c r="F560" s="441"/>
      <c r="G560" s="441"/>
      <c r="H560" s="441"/>
      <c r="I560" s="441"/>
      <c r="J560" s="441"/>
      <c r="K560" s="441"/>
      <c r="L560" s="441"/>
      <c r="M560" s="441"/>
      <c r="N560" s="441"/>
      <c r="O560" s="441"/>
      <c r="P560" s="441"/>
      <c r="Q560" s="441"/>
      <c r="R560" s="441"/>
      <c r="S560" s="441"/>
      <c r="T560" s="441"/>
      <c r="U560" s="441"/>
      <c r="V560" s="441"/>
      <c r="W560" s="441"/>
      <c r="X560" s="441"/>
      <c r="Y560" s="441"/>
      <c r="Z560" s="441"/>
      <c r="AA560" s="441"/>
      <c r="AB560" s="441"/>
      <c r="AC560" s="441"/>
      <c r="AD560" s="441"/>
      <c r="AE560" s="441"/>
      <c r="AF560" s="441"/>
      <c r="AG560" s="441"/>
      <c r="AH560" s="441"/>
      <c r="AI560" s="441"/>
      <c r="AJ560" s="441"/>
      <c r="AK560" s="441"/>
      <c r="AL560" s="441"/>
      <c r="AM560" s="441"/>
      <c r="AN560" s="441"/>
      <c r="AO560" s="441"/>
      <c r="AP560" s="441"/>
      <c r="AQ560" s="441"/>
      <c r="AR560" s="441"/>
      <c r="AS560" s="441"/>
      <c r="AT560" s="441"/>
      <c r="AU560" s="441"/>
      <c r="AV560" s="441"/>
      <c r="AW560" s="441"/>
      <c r="AX560" s="441"/>
      <c r="AY560" s="441"/>
      <c r="AZ560" s="441"/>
      <c r="BA560" s="441"/>
    </row>
    <row r="561">
      <c r="A561" s="441"/>
      <c r="B561" s="441"/>
      <c r="C561" s="441"/>
      <c r="D561" s="441"/>
      <c r="E561" s="441"/>
      <c r="F561" s="441"/>
      <c r="G561" s="441"/>
      <c r="H561" s="441"/>
      <c r="I561" s="441"/>
      <c r="J561" s="441"/>
      <c r="K561" s="441"/>
      <c r="L561" s="441"/>
      <c r="M561" s="441"/>
      <c r="N561" s="441"/>
      <c r="O561" s="441"/>
      <c r="P561" s="441"/>
      <c r="Q561" s="441"/>
      <c r="R561" s="441"/>
      <c r="S561" s="441"/>
      <c r="T561" s="441"/>
      <c r="U561" s="441"/>
      <c r="V561" s="441"/>
      <c r="W561" s="441"/>
      <c r="X561" s="441"/>
      <c r="Y561" s="441"/>
      <c r="Z561" s="441"/>
      <c r="AA561" s="441"/>
      <c r="AB561" s="441"/>
      <c r="AC561" s="441"/>
      <c r="AD561" s="441"/>
      <c r="AE561" s="441"/>
      <c r="AF561" s="441"/>
      <c r="AG561" s="441"/>
      <c r="AH561" s="441"/>
      <c r="AI561" s="441"/>
      <c r="AJ561" s="441"/>
      <c r="AK561" s="441"/>
      <c r="AL561" s="441"/>
      <c r="AM561" s="441"/>
      <c r="AN561" s="441"/>
      <c r="AO561" s="441"/>
      <c r="AP561" s="441"/>
      <c r="AQ561" s="441"/>
      <c r="AR561" s="441"/>
      <c r="AS561" s="441"/>
      <c r="AT561" s="441"/>
      <c r="AU561" s="441"/>
      <c r="AV561" s="441"/>
      <c r="AW561" s="441"/>
      <c r="AX561" s="441"/>
      <c r="AY561" s="441"/>
      <c r="AZ561" s="441"/>
      <c r="BA561" s="441"/>
    </row>
    <row r="562">
      <c r="A562" s="441"/>
      <c r="B562" s="441"/>
      <c r="C562" s="441"/>
      <c r="D562" s="441"/>
      <c r="E562" s="441"/>
      <c r="F562" s="441"/>
      <c r="G562" s="441"/>
      <c r="H562" s="441"/>
      <c r="I562" s="441"/>
      <c r="J562" s="441"/>
      <c r="K562" s="441"/>
      <c r="L562" s="441"/>
      <c r="M562" s="441"/>
      <c r="N562" s="441"/>
      <c r="O562" s="441"/>
      <c r="P562" s="441"/>
      <c r="Q562" s="441"/>
      <c r="R562" s="441"/>
      <c r="S562" s="441"/>
      <c r="T562" s="441"/>
      <c r="U562" s="441"/>
      <c r="V562" s="441"/>
      <c r="W562" s="441"/>
      <c r="X562" s="441"/>
      <c r="Y562" s="441"/>
      <c r="Z562" s="441"/>
      <c r="AA562" s="441"/>
      <c r="AB562" s="441"/>
      <c r="AC562" s="441"/>
      <c r="AD562" s="441"/>
      <c r="AE562" s="441"/>
      <c r="AF562" s="441"/>
      <c r="AG562" s="441"/>
      <c r="AH562" s="441"/>
      <c r="AI562" s="441"/>
      <c r="AJ562" s="441"/>
      <c r="AK562" s="441"/>
      <c r="AL562" s="441"/>
      <c r="AM562" s="441"/>
      <c r="AN562" s="441"/>
      <c r="AO562" s="441"/>
      <c r="AP562" s="441"/>
      <c r="AQ562" s="441"/>
      <c r="AR562" s="441"/>
      <c r="AS562" s="441"/>
      <c r="AT562" s="441"/>
      <c r="AU562" s="441"/>
      <c r="AV562" s="441"/>
      <c r="AW562" s="441"/>
      <c r="AX562" s="441"/>
      <c r="AY562" s="441"/>
      <c r="AZ562" s="441"/>
      <c r="BA562" s="441"/>
    </row>
    <row r="563">
      <c r="A563" s="441"/>
      <c r="B563" s="441"/>
      <c r="C563" s="441"/>
      <c r="D563" s="441"/>
      <c r="E563" s="441"/>
      <c r="F563" s="441"/>
      <c r="G563" s="441"/>
      <c r="H563" s="441"/>
      <c r="I563" s="441"/>
      <c r="J563" s="441"/>
      <c r="K563" s="441"/>
      <c r="L563" s="441"/>
      <c r="M563" s="441"/>
      <c r="N563" s="441"/>
      <c r="O563" s="441"/>
      <c r="P563" s="441"/>
      <c r="Q563" s="441"/>
      <c r="R563" s="441"/>
      <c r="S563" s="441"/>
      <c r="T563" s="441"/>
      <c r="U563" s="441"/>
      <c r="V563" s="441"/>
      <c r="W563" s="441"/>
      <c r="X563" s="441"/>
      <c r="Y563" s="441"/>
      <c r="Z563" s="441"/>
      <c r="AA563" s="441"/>
      <c r="AB563" s="441"/>
      <c r="AC563" s="441"/>
      <c r="AD563" s="441"/>
      <c r="AE563" s="441"/>
      <c r="AF563" s="441"/>
      <c r="AG563" s="441"/>
      <c r="AH563" s="441"/>
      <c r="AI563" s="441"/>
      <c r="AJ563" s="441"/>
      <c r="AK563" s="441"/>
      <c r="AL563" s="441"/>
      <c r="AM563" s="441"/>
      <c r="AN563" s="441"/>
      <c r="AO563" s="441"/>
      <c r="AP563" s="441"/>
      <c r="AQ563" s="441"/>
      <c r="AR563" s="441"/>
      <c r="AS563" s="441"/>
      <c r="AT563" s="441"/>
      <c r="AU563" s="441"/>
      <c r="AV563" s="441"/>
      <c r="AW563" s="441"/>
      <c r="AX563" s="441"/>
      <c r="AY563" s="441"/>
      <c r="AZ563" s="441"/>
      <c r="BA563" s="441"/>
    </row>
    <row r="564">
      <c r="A564" s="441"/>
      <c r="B564" s="441"/>
      <c r="C564" s="441"/>
      <c r="D564" s="441"/>
      <c r="E564" s="441"/>
      <c r="F564" s="441"/>
      <c r="G564" s="441"/>
      <c r="H564" s="441"/>
      <c r="I564" s="441"/>
      <c r="J564" s="441"/>
      <c r="K564" s="441"/>
      <c r="L564" s="441"/>
      <c r="M564" s="441"/>
      <c r="N564" s="441"/>
      <c r="O564" s="441"/>
      <c r="P564" s="441"/>
      <c r="Q564" s="441"/>
      <c r="R564" s="441"/>
      <c r="S564" s="441"/>
      <c r="T564" s="441"/>
      <c r="U564" s="441"/>
      <c r="V564" s="441"/>
      <c r="W564" s="441"/>
      <c r="X564" s="441"/>
      <c r="Y564" s="441"/>
      <c r="Z564" s="441"/>
      <c r="AA564" s="441"/>
      <c r="AB564" s="441"/>
      <c r="AC564" s="441"/>
      <c r="AD564" s="441"/>
      <c r="AE564" s="441"/>
      <c r="AF564" s="441"/>
      <c r="AG564" s="441"/>
      <c r="AH564" s="441"/>
      <c r="AI564" s="441"/>
      <c r="AJ564" s="441"/>
      <c r="AK564" s="441"/>
      <c r="AL564" s="441"/>
      <c r="AM564" s="441"/>
      <c r="AN564" s="441"/>
      <c r="AO564" s="441"/>
      <c r="AP564" s="441"/>
      <c r="AQ564" s="441"/>
      <c r="AR564" s="441"/>
      <c r="AS564" s="441"/>
      <c r="AT564" s="441"/>
      <c r="AU564" s="441"/>
      <c r="AV564" s="441"/>
      <c r="AW564" s="441"/>
      <c r="AX564" s="441"/>
      <c r="AY564" s="441"/>
      <c r="AZ564" s="441"/>
      <c r="BA564" s="441"/>
    </row>
    <row r="565">
      <c r="A565" s="441"/>
      <c r="B565" s="441"/>
      <c r="C565" s="441"/>
      <c r="D565" s="441"/>
      <c r="E565" s="441"/>
      <c r="F565" s="441"/>
      <c r="G565" s="441"/>
      <c r="H565" s="441"/>
      <c r="I565" s="441"/>
      <c r="J565" s="441"/>
      <c r="K565" s="441"/>
      <c r="L565" s="441"/>
      <c r="M565" s="441"/>
      <c r="N565" s="441"/>
      <c r="O565" s="441"/>
      <c r="P565" s="441"/>
      <c r="Q565" s="441"/>
      <c r="R565" s="441"/>
      <c r="S565" s="441"/>
      <c r="T565" s="441"/>
      <c r="U565" s="441"/>
      <c r="V565" s="441"/>
      <c r="W565" s="441"/>
      <c r="X565" s="441"/>
      <c r="Y565" s="441"/>
      <c r="Z565" s="441"/>
      <c r="AA565" s="441"/>
      <c r="AB565" s="441"/>
      <c r="AC565" s="441"/>
      <c r="AD565" s="441"/>
      <c r="AE565" s="441"/>
      <c r="AF565" s="441"/>
      <c r="AG565" s="441"/>
      <c r="AH565" s="441"/>
      <c r="AI565" s="441"/>
      <c r="AJ565" s="441"/>
      <c r="AK565" s="441"/>
      <c r="AL565" s="441"/>
      <c r="AM565" s="441"/>
      <c r="AN565" s="441"/>
      <c r="AO565" s="441"/>
      <c r="AP565" s="441"/>
      <c r="AQ565" s="441"/>
      <c r="AR565" s="441"/>
      <c r="AS565" s="441"/>
      <c r="AT565" s="441"/>
      <c r="AU565" s="441"/>
      <c r="AV565" s="441"/>
      <c r="AW565" s="441"/>
      <c r="AX565" s="441"/>
      <c r="AY565" s="441"/>
      <c r="AZ565" s="441"/>
      <c r="BA565" s="441"/>
    </row>
    <row r="566">
      <c r="A566" s="441"/>
      <c r="B566" s="441"/>
      <c r="C566" s="441"/>
      <c r="D566" s="441"/>
      <c r="E566" s="441"/>
      <c r="F566" s="441"/>
      <c r="G566" s="441"/>
      <c r="H566" s="441"/>
      <c r="I566" s="441"/>
      <c r="J566" s="441"/>
      <c r="K566" s="441"/>
      <c r="L566" s="441"/>
      <c r="M566" s="441"/>
      <c r="N566" s="441"/>
      <c r="O566" s="441"/>
      <c r="P566" s="441"/>
      <c r="Q566" s="441"/>
      <c r="R566" s="441"/>
      <c r="S566" s="441"/>
      <c r="T566" s="441"/>
      <c r="U566" s="441"/>
      <c r="V566" s="441"/>
      <c r="W566" s="441"/>
      <c r="X566" s="441"/>
      <c r="Y566" s="441"/>
      <c r="Z566" s="441"/>
      <c r="AA566" s="441"/>
      <c r="AB566" s="441"/>
      <c r="AC566" s="441"/>
      <c r="AD566" s="441"/>
      <c r="AE566" s="441"/>
      <c r="AF566" s="441"/>
      <c r="AG566" s="441"/>
      <c r="AH566" s="441"/>
      <c r="AI566" s="441"/>
      <c r="AJ566" s="441"/>
      <c r="AK566" s="441"/>
      <c r="AL566" s="441"/>
      <c r="AM566" s="441"/>
      <c r="AN566" s="441"/>
      <c r="AO566" s="441"/>
      <c r="AP566" s="441"/>
      <c r="AQ566" s="441"/>
      <c r="AR566" s="441"/>
      <c r="AS566" s="441"/>
      <c r="AT566" s="441"/>
      <c r="AU566" s="441"/>
      <c r="AV566" s="441"/>
      <c r="AW566" s="441"/>
      <c r="AX566" s="441"/>
      <c r="AY566" s="441"/>
      <c r="AZ566" s="441"/>
      <c r="BA566" s="441"/>
    </row>
    <row r="567">
      <c r="A567" s="441"/>
      <c r="B567" s="441"/>
      <c r="C567" s="441"/>
      <c r="D567" s="441"/>
      <c r="E567" s="441"/>
      <c r="F567" s="441"/>
      <c r="G567" s="441"/>
      <c r="H567" s="441"/>
      <c r="I567" s="441"/>
      <c r="J567" s="441"/>
      <c r="K567" s="441"/>
      <c r="L567" s="441"/>
      <c r="M567" s="441"/>
      <c r="N567" s="441"/>
      <c r="O567" s="441"/>
      <c r="P567" s="441"/>
      <c r="Q567" s="441"/>
      <c r="R567" s="441"/>
      <c r="S567" s="441"/>
      <c r="T567" s="441"/>
      <c r="U567" s="441"/>
      <c r="V567" s="441"/>
      <c r="W567" s="441"/>
      <c r="X567" s="441"/>
      <c r="Y567" s="441"/>
      <c r="Z567" s="441"/>
      <c r="AA567" s="441"/>
      <c r="AB567" s="441"/>
      <c r="AC567" s="441"/>
      <c r="AD567" s="441"/>
      <c r="AE567" s="441"/>
      <c r="AF567" s="441"/>
      <c r="AG567" s="441"/>
      <c r="AH567" s="441"/>
      <c r="AI567" s="441"/>
      <c r="AJ567" s="441"/>
      <c r="AK567" s="441"/>
      <c r="AL567" s="441"/>
      <c r="AM567" s="441"/>
      <c r="AN567" s="441"/>
      <c r="AO567" s="441"/>
      <c r="AP567" s="441"/>
      <c r="AQ567" s="441"/>
      <c r="AR567" s="441"/>
      <c r="AS567" s="441"/>
      <c r="AT567" s="441"/>
      <c r="AU567" s="441"/>
      <c r="AV567" s="441"/>
      <c r="AW567" s="441"/>
      <c r="AX567" s="441"/>
      <c r="AY567" s="441"/>
      <c r="AZ567" s="441"/>
      <c r="BA567" s="441"/>
    </row>
    <row r="568">
      <c r="A568" s="441"/>
      <c r="B568" s="441"/>
      <c r="C568" s="441"/>
      <c r="D568" s="441"/>
      <c r="E568" s="441"/>
      <c r="F568" s="441"/>
      <c r="G568" s="441"/>
      <c r="H568" s="441"/>
      <c r="I568" s="441"/>
      <c r="J568" s="441"/>
      <c r="K568" s="441"/>
      <c r="L568" s="441"/>
      <c r="M568" s="441"/>
      <c r="N568" s="441"/>
      <c r="O568" s="441"/>
      <c r="P568" s="441"/>
      <c r="Q568" s="441"/>
      <c r="R568" s="441"/>
      <c r="S568" s="441"/>
      <c r="T568" s="441"/>
      <c r="U568" s="441"/>
      <c r="V568" s="441"/>
      <c r="W568" s="441"/>
      <c r="X568" s="441"/>
      <c r="Y568" s="441"/>
      <c r="Z568" s="441"/>
      <c r="AA568" s="441"/>
      <c r="AB568" s="441"/>
      <c r="AC568" s="441"/>
      <c r="AD568" s="441"/>
      <c r="AE568" s="441"/>
      <c r="AF568" s="441"/>
      <c r="AG568" s="441"/>
      <c r="AH568" s="441"/>
      <c r="AI568" s="441"/>
      <c r="AJ568" s="441"/>
      <c r="AK568" s="441"/>
      <c r="AL568" s="441"/>
      <c r="AM568" s="441"/>
      <c r="AN568" s="441"/>
      <c r="AO568" s="441"/>
      <c r="AP568" s="441"/>
      <c r="AQ568" s="441"/>
      <c r="AR568" s="441"/>
      <c r="AS568" s="441"/>
      <c r="AT568" s="441"/>
      <c r="AU568" s="441"/>
      <c r="AV568" s="441"/>
      <c r="AW568" s="441"/>
      <c r="AX568" s="441"/>
      <c r="AY568" s="441"/>
      <c r="AZ568" s="441"/>
      <c r="BA568" s="441"/>
    </row>
    <row r="569">
      <c r="A569" s="441"/>
      <c r="B569" s="441"/>
      <c r="C569" s="441"/>
      <c r="D569" s="441"/>
      <c r="E569" s="441"/>
      <c r="F569" s="441"/>
      <c r="G569" s="441"/>
      <c r="H569" s="441"/>
      <c r="I569" s="441"/>
      <c r="J569" s="441"/>
      <c r="K569" s="441"/>
      <c r="L569" s="441"/>
      <c r="M569" s="441"/>
      <c r="N569" s="441"/>
      <c r="O569" s="441"/>
      <c r="P569" s="441"/>
      <c r="Q569" s="441"/>
      <c r="R569" s="441"/>
      <c r="S569" s="441"/>
      <c r="T569" s="441"/>
      <c r="U569" s="441"/>
      <c r="V569" s="441"/>
      <c r="W569" s="441"/>
      <c r="X569" s="441"/>
      <c r="Y569" s="441"/>
      <c r="Z569" s="441"/>
      <c r="AA569" s="441"/>
      <c r="AB569" s="441"/>
      <c r="AC569" s="441"/>
      <c r="AD569" s="441"/>
      <c r="AE569" s="441"/>
      <c r="AF569" s="441"/>
      <c r="AG569" s="441"/>
      <c r="AH569" s="441"/>
      <c r="AI569" s="441"/>
      <c r="AJ569" s="441"/>
      <c r="AK569" s="441"/>
      <c r="AL569" s="441"/>
      <c r="AM569" s="441"/>
      <c r="AN569" s="441"/>
      <c r="AO569" s="441"/>
      <c r="AP569" s="441"/>
      <c r="AQ569" s="441"/>
      <c r="AR569" s="441"/>
      <c r="AS569" s="441"/>
      <c r="AT569" s="441"/>
      <c r="AU569" s="441"/>
      <c r="AV569" s="441"/>
      <c r="AW569" s="441"/>
      <c r="AX569" s="441"/>
      <c r="AY569" s="441"/>
      <c r="AZ569" s="441"/>
      <c r="BA569" s="441"/>
    </row>
    <row r="570">
      <c r="A570" s="441"/>
      <c r="B570" s="441"/>
      <c r="C570" s="441"/>
      <c r="D570" s="441"/>
      <c r="E570" s="441"/>
      <c r="F570" s="441"/>
      <c r="G570" s="441"/>
      <c r="H570" s="441"/>
      <c r="I570" s="441"/>
      <c r="J570" s="441"/>
      <c r="K570" s="441"/>
      <c r="L570" s="441"/>
      <c r="M570" s="441"/>
      <c r="N570" s="441"/>
      <c r="O570" s="441"/>
      <c r="P570" s="441"/>
      <c r="Q570" s="441"/>
      <c r="R570" s="441"/>
      <c r="S570" s="441"/>
      <c r="T570" s="441"/>
      <c r="U570" s="441"/>
      <c r="V570" s="441"/>
      <c r="W570" s="441"/>
      <c r="X570" s="441"/>
      <c r="Y570" s="441"/>
      <c r="Z570" s="441"/>
      <c r="AA570" s="441"/>
      <c r="AB570" s="441"/>
      <c r="AC570" s="441"/>
      <c r="AD570" s="441"/>
      <c r="AE570" s="441"/>
      <c r="AF570" s="441"/>
      <c r="AG570" s="441"/>
      <c r="AH570" s="441"/>
      <c r="AI570" s="441"/>
      <c r="AJ570" s="441"/>
      <c r="AK570" s="441"/>
      <c r="AL570" s="441"/>
      <c r="AM570" s="441"/>
      <c r="AN570" s="441"/>
      <c r="AO570" s="441"/>
      <c r="AP570" s="441"/>
      <c r="AQ570" s="441"/>
      <c r="AR570" s="441"/>
      <c r="AS570" s="441"/>
      <c r="AT570" s="441"/>
      <c r="AU570" s="441"/>
      <c r="AV570" s="441"/>
      <c r="AW570" s="441"/>
      <c r="AX570" s="441"/>
      <c r="AY570" s="441"/>
      <c r="AZ570" s="441"/>
      <c r="BA570" s="441"/>
    </row>
    <row r="571">
      <c r="A571" s="441"/>
      <c r="B571" s="441"/>
      <c r="C571" s="441"/>
      <c r="D571" s="441"/>
      <c r="E571" s="441"/>
      <c r="F571" s="441"/>
      <c r="G571" s="441"/>
      <c r="H571" s="441"/>
      <c r="I571" s="441"/>
      <c r="J571" s="441"/>
      <c r="K571" s="441"/>
      <c r="L571" s="441"/>
      <c r="M571" s="441"/>
      <c r="N571" s="441"/>
      <c r="O571" s="441"/>
      <c r="P571" s="441"/>
      <c r="Q571" s="441"/>
      <c r="R571" s="441"/>
      <c r="S571" s="441"/>
      <c r="T571" s="441"/>
      <c r="U571" s="441"/>
      <c r="V571" s="441"/>
      <c r="W571" s="441"/>
      <c r="X571" s="441"/>
      <c r="Y571" s="441"/>
      <c r="Z571" s="441"/>
      <c r="AA571" s="441"/>
      <c r="AB571" s="441"/>
      <c r="AC571" s="441"/>
      <c r="AD571" s="441"/>
      <c r="AE571" s="441"/>
      <c r="AF571" s="441"/>
      <c r="AG571" s="441"/>
      <c r="AH571" s="441"/>
      <c r="AI571" s="441"/>
      <c r="AJ571" s="441"/>
      <c r="AK571" s="441"/>
      <c r="AL571" s="441"/>
      <c r="AM571" s="441"/>
      <c r="AN571" s="441"/>
      <c r="AO571" s="441"/>
      <c r="AP571" s="441"/>
      <c r="AQ571" s="441"/>
      <c r="AR571" s="441"/>
      <c r="AS571" s="441"/>
      <c r="AT571" s="441"/>
      <c r="AU571" s="441"/>
      <c r="AV571" s="441"/>
      <c r="AW571" s="441"/>
      <c r="AX571" s="441"/>
      <c r="AY571" s="441"/>
      <c r="AZ571" s="441"/>
      <c r="BA571" s="441"/>
    </row>
    <row r="572">
      <c r="A572" s="441"/>
      <c r="B572" s="441"/>
      <c r="C572" s="441"/>
      <c r="D572" s="441"/>
      <c r="E572" s="441"/>
      <c r="F572" s="441"/>
      <c r="G572" s="441"/>
      <c r="H572" s="441"/>
      <c r="I572" s="441"/>
      <c r="J572" s="441"/>
      <c r="K572" s="441"/>
      <c r="L572" s="441"/>
      <c r="M572" s="441"/>
      <c r="N572" s="441"/>
      <c r="O572" s="441"/>
      <c r="P572" s="441"/>
      <c r="Q572" s="441"/>
      <c r="R572" s="441"/>
      <c r="S572" s="441"/>
      <c r="T572" s="441"/>
      <c r="U572" s="441"/>
      <c r="V572" s="441"/>
      <c r="W572" s="441"/>
      <c r="X572" s="441"/>
      <c r="Y572" s="441"/>
      <c r="Z572" s="441"/>
      <c r="AA572" s="441"/>
      <c r="AB572" s="441"/>
      <c r="AC572" s="441"/>
      <c r="AD572" s="441"/>
      <c r="AE572" s="441"/>
      <c r="AF572" s="441"/>
      <c r="AG572" s="441"/>
      <c r="AH572" s="441"/>
      <c r="AI572" s="441"/>
      <c r="AJ572" s="441"/>
      <c r="AK572" s="441"/>
      <c r="AL572" s="441"/>
      <c r="AM572" s="441"/>
      <c r="AN572" s="441"/>
      <c r="AO572" s="441"/>
      <c r="AP572" s="441"/>
      <c r="AQ572" s="441"/>
      <c r="AR572" s="441"/>
      <c r="AS572" s="441"/>
      <c r="AT572" s="441"/>
      <c r="AU572" s="441"/>
      <c r="AV572" s="441"/>
      <c r="AW572" s="441"/>
      <c r="AX572" s="441"/>
      <c r="AY572" s="441"/>
      <c r="AZ572" s="441"/>
      <c r="BA572" s="441"/>
    </row>
    <row r="573">
      <c r="A573" s="441"/>
      <c r="B573" s="441"/>
      <c r="C573" s="441"/>
      <c r="D573" s="441"/>
      <c r="E573" s="441"/>
      <c r="F573" s="441"/>
      <c r="G573" s="441"/>
      <c r="H573" s="441"/>
      <c r="I573" s="441"/>
      <c r="J573" s="441"/>
      <c r="K573" s="441"/>
      <c r="L573" s="441"/>
      <c r="M573" s="441"/>
      <c r="N573" s="441"/>
      <c r="O573" s="441"/>
      <c r="P573" s="441"/>
      <c r="Q573" s="441"/>
      <c r="R573" s="441"/>
      <c r="S573" s="441"/>
      <c r="T573" s="441"/>
      <c r="U573" s="441"/>
      <c r="V573" s="441"/>
      <c r="W573" s="441"/>
      <c r="X573" s="441"/>
      <c r="Y573" s="441"/>
      <c r="Z573" s="441"/>
      <c r="AA573" s="441"/>
      <c r="AB573" s="441"/>
      <c r="AC573" s="441"/>
      <c r="AD573" s="441"/>
      <c r="AE573" s="441"/>
      <c r="AF573" s="441"/>
      <c r="AG573" s="441"/>
      <c r="AH573" s="441"/>
      <c r="AI573" s="441"/>
      <c r="AJ573" s="441"/>
      <c r="AK573" s="441"/>
      <c r="AL573" s="441"/>
      <c r="AM573" s="441"/>
      <c r="AN573" s="441"/>
      <c r="AO573" s="441"/>
      <c r="AP573" s="441"/>
      <c r="AQ573" s="441"/>
      <c r="AR573" s="441"/>
      <c r="AS573" s="441"/>
      <c r="AT573" s="441"/>
      <c r="AU573" s="441"/>
      <c r="AV573" s="441"/>
      <c r="AW573" s="441"/>
      <c r="AX573" s="441"/>
      <c r="AY573" s="441"/>
      <c r="AZ573" s="441"/>
      <c r="BA573" s="441"/>
    </row>
    <row r="574">
      <c r="A574" s="441"/>
      <c r="B574" s="441"/>
      <c r="C574" s="441"/>
      <c r="D574" s="441"/>
      <c r="E574" s="441"/>
      <c r="F574" s="441"/>
      <c r="G574" s="441"/>
      <c r="H574" s="441"/>
      <c r="I574" s="441"/>
      <c r="J574" s="441"/>
      <c r="K574" s="441"/>
      <c r="L574" s="441"/>
      <c r="M574" s="441"/>
      <c r="N574" s="441"/>
      <c r="O574" s="441"/>
      <c r="P574" s="441"/>
      <c r="Q574" s="441"/>
      <c r="R574" s="441"/>
      <c r="S574" s="441"/>
      <c r="T574" s="441"/>
      <c r="U574" s="441"/>
      <c r="V574" s="441"/>
      <c r="W574" s="441"/>
      <c r="X574" s="441"/>
      <c r="Y574" s="441"/>
      <c r="Z574" s="441"/>
      <c r="AA574" s="441"/>
      <c r="AB574" s="441"/>
      <c r="AC574" s="441"/>
      <c r="AD574" s="441"/>
      <c r="AE574" s="441"/>
      <c r="AF574" s="441"/>
      <c r="AG574" s="441"/>
      <c r="AH574" s="441"/>
      <c r="AI574" s="441"/>
      <c r="AJ574" s="441"/>
      <c r="AK574" s="441"/>
      <c r="AL574" s="441"/>
      <c r="AM574" s="441"/>
      <c r="AN574" s="441"/>
      <c r="AO574" s="441"/>
      <c r="AP574" s="441"/>
      <c r="AQ574" s="441"/>
      <c r="AR574" s="441"/>
      <c r="AS574" s="441"/>
      <c r="AT574" s="441"/>
      <c r="AU574" s="441"/>
      <c r="AV574" s="441"/>
      <c r="AW574" s="441"/>
      <c r="AX574" s="441"/>
      <c r="AY574" s="441"/>
      <c r="AZ574" s="441"/>
      <c r="BA574" s="441"/>
    </row>
    <row r="575">
      <c r="A575" s="441"/>
      <c r="B575" s="441"/>
      <c r="C575" s="441"/>
      <c r="D575" s="441"/>
      <c r="E575" s="441"/>
      <c r="F575" s="441"/>
      <c r="G575" s="441"/>
      <c r="H575" s="441"/>
      <c r="I575" s="441"/>
      <c r="J575" s="441"/>
      <c r="K575" s="441"/>
      <c r="L575" s="441"/>
      <c r="M575" s="441"/>
      <c r="N575" s="441"/>
      <c r="O575" s="441"/>
      <c r="P575" s="441"/>
      <c r="Q575" s="441"/>
      <c r="R575" s="441"/>
      <c r="S575" s="441"/>
      <c r="T575" s="441"/>
      <c r="U575" s="441"/>
      <c r="V575" s="441"/>
      <c r="W575" s="441"/>
      <c r="X575" s="441"/>
      <c r="Y575" s="441"/>
      <c r="Z575" s="441"/>
      <c r="AA575" s="441"/>
      <c r="AB575" s="441"/>
      <c r="AC575" s="441"/>
      <c r="AD575" s="441"/>
      <c r="AE575" s="441"/>
      <c r="AF575" s="441"/>
      <c r="AG575" s="441"/>
      <c r="AH575" s="441"/>
      <c r="AI575" s="441"/>
      <c r="AJ575" s="441"/>
      <c r="AK575" s="441"/>
      <c r="AL575" s="441"/>
      <c r="AM575" s="441"/>
      <c r="AN575" s="441"/>
      <c r="AO575" s="441"/>
      <c r="AP575" s="441"/>
      <c r="AQ575" s="441"/>
      <c r="AR575" s="441"/>
      <c r="AS575" s="441"/>
      <c r="AT575" s="441"/>
      <c r="AU575" s="441"/>
      <c r="AV575" s="441"/>
      <c r="AW575" s="441"/>
      <c r="AX575" s="441"/>
      <c r="AY575" s="441"/>
      <c r="AZ575" s="441"/>
      <c r="BA575" s="441"/>
    </row>
    <row r="576">
      <c r="A576" s="441"/>
      <c r="B576" s="441"/>
      <c r="C576" s="441"/>
      <c r="D576" s="441"/>
      <c r="E576" s="441"/>
      <c r="F576" s="441"/>
      <c r="G576" s="441"/>
      <c r="H576" s="441"/>
      <c r="I576" s="441"/>
      <c r="J576" s="441"/>
      <c r="K576" s="441"/>
      <c r="L576" s="441"/>
      <c r="M576" s="441"/>
      <c r="N576" s="441"/>
      <c r="O576" s="441"/>
      <c r="P576" s="441"/>
      <c r="Q576" s="441"/>
      <c r="R576" s="441"/>
      <c r="S576" s="441"/>
      <c r="T576" s="441"/>
      <c r="U576" s="441"/>
      <c r="V576" s="441"/>
      <c r="W576" s="441"/>
      <c r="X576" s="441"/>
      <c r="Y576" s="441"/>
      <c r="Z576" s="441"/>
      <c r="AA576" s="441"/>
      <c r="AB576" s="441"/>
      <c r="AC576" s="441"/>
      <c r="AD576" s="441"/>
      <c r="AE576" s="441"/>
      <c r="AF576" s="441"/>
      <c r="AG576" s="441"/>
      <c r="AH576" s="441"/>
      <c r="AI576" s="441"/>
      <c r="AJ576" s="441"/>
      <c r="AK576" s="441"/>
      <c r="AL576" s="441"/>
      <c r="AM576" s="441"/>
      <c r="AN576" s="441"/>
      <c r="AO576" s="441"/>
      <c r="AP576" s="441"/>
      <c r="AQ576" s="441"/>
      <c r="AR576" s="441"/>
      <c r="AS576" s="441"/>
      <c r="AT576" s="441"/>
      <c r="AU576" s="441"/>
      <c r="AV576" s="441"/>
      <c r="AW576" s="441"/>
      <c r="AX576" s="441"/>
      <c r="AY576" s="441"/>
      <c r="AZ576" s="441"/>
      <c r="BA576" s="441"/>
    </row>
    <row r="577">
      <c r="A577" s="441"/>
      <c r="B577" s="441"/>
      <c r="C577" s="441"/>
      <c r="D577" s="441"/>
      <c r="E577" s="441"/>
      <c r="F577" s="441"/>
      <c r="G577" s="441"/>
      <c r="H577" s="441"/>
      <c r="I577" s="441"/>
      <c r="J577" s="441"/>
      <c r="K577" s="441"/>
      <c r="L577" s="441"/>
      <c r="M577" s="441"/>
      <c r="N577" s="441"/>
      <c r="O577" s="441"/>
      <c r="P577" s="441"/>
      <c r="Q577" s="441"/>
      <c r="R577" s="441"/>
      <c r="S577" s="441"/>
      <c r="T577" s="441"/>
      <c r="U577" s="441"/>
      <c r="V577" s="441"/>
      <c r="W577" s="441"/>
      <c r="X577" s="441"/>
      <c r="Y577" s="441"/>
      <c r="Z577" s="441"/>
      <c r="AA577" s="441"/>
      <c r="AB577" s="441"/>
      <c r="AC577" s="441"/>
      <c r="AD577" s="441"/>
      <c r="AE577" s="441"/>
      <c r="AF577" s="441"/>
      <c r="AG577" s="441"/>
      <c r="AH577" s="441"/>
      <c r="AI577" s="441"/>
      <c r="AJ577" s="441"/>
      <c r="AK577" s="441"/>
      <c r="AL577" s="441"/>
      <c r="AM577" s="441"/>
      <c r="AN577" s="441"/>
      <c r="AO577" s="441"/>
      <c r="AP577" s="441"/>
      <c r="AQ577" s="441"/>
      <c r="AR577" s="441"/>
      <c r="AS577" s="441"/>
      <c r="AT577" s="441"/>
      <c r="AU577" s="441"/>
      <c r="AV577" s="441"/>
      <c r="AW577" s="441"/>
      <c r="AX577" s="441"/>
      <c r="AY577" s="441"/>
      <c r="AZ577" s="441"/>
      <c r="BA577" s="441"/>
    </row>
    <row r="578">
      <c r="A578" s="441"/>
      <c r="B578" s="441"/>
      <c r="C578" s="441"/>
      <c r="D578" s="441"/>
      <c r="E578" s="441"/>
      <c r="F578" s="441"/>
      <c r="G578" s="441"/>
      <c r="H578" s="441"/>
      <c r="I578" s="441"/>
      <c r="J578" s="441"/>
      <c r="K578" s="441"/>
      <c r="L578" s="441"/>
      <c r="M578" s="441"/>
      <c r="N578" s="441"/>
      <c r="O578" s="441"/>
      <c r="P578" s="441"/>
      <c r="Q578" s="441"/>
      <c r="R578" s="441"/>
      <c r="S578" s="441"/>
      <c r="T578" s="441"/>
      <c r="U578" s="441"/>
      <c r="V578" s="441"/>
      <c r="W578" s="441"/>
      <c r="X578" s="441"/>
      <c r="Y578" s="441"/>
      <c r="Z578" s="441"/>
      <c r="AA578" s="441"/>
      <c r="AB578" s="441"/>
      <c r="AC578" s="441"/>
      <c r="AD578" s="441"/>
      <c r="AE578" s="441"/>
      <c r="AF578" s="441"/>
      <c r="AG578" s="441"/>
      <c r="AH578" s="441"/>
      <c r="AI578" s="441"/>
      <c r="AJ578" s="441"/>
      <c r="AK578" s="441"/>
      <c r="AL578" s="441"/>
      <c r="AM578" s="441"/>
      <c r="AN578" s="441"/>
      <c r="AO578" s="441"/>
      <c r="AP578" s="441"/>
      <c r="AQ578" s="441"/>
      <c r="AR578" s="441"/>
      <c r="AS578" s="441"/>
      <c r="AT578" s="441"/>
      <c r="AU578" s="441"/>
      <c r="AV578" s="441"/>
      <c r="AW578" s="441"/>
      <c r="AX578" s="441"/>
      <c r="AY578" s="441"/>
      <c r="AZ578" s="441"/>
      <c r="BA578" s="441"/>
    </row>
    <row r="579">
      <c r="A579" s="441"/>
      <c r="B579" s="441"/>
      <c r="C579" s="441"/>
      <c r="D579" s="441"/>
      <c r="E579" s="441"/>
      <c r="F579" s="441"/>
      <c r="G579" s="441"/>
      <c r="H579" s="441"/>
      <c r="I579" s="441"/>
      <c r="J579" s="441"/>
      <c r="K579" s="441"/>
      <c r="L579" s="441"/>
      <c r="M579" s="441"/>
      <c r="N579" s="441"/>
      <c r="O579" s="441"/>
      <c r="P579" s="441"/>
      <c r="Q579" s="441"/>
      <c r="R579" s="441"/>
      <c r="S579" s="441"/>
      <c r="T579" s="441"/>
      <c r="U579" s="441"/>
      <c r="V579" s="441"/>
      <c r="W579" s="441"/>
      <c r="X579" s="441"/>
      <c r="Y579" s="441"/>
      <c r="Z579" s="441"/>
      <c r="AA579" s="441"/>
      <c r="AB579" s="441"/>
      <c r="AC579" s="441"/>
      <c r="AD579" s="441"/>
      <c r="AE579" s="441"/>
      <c r="AF579" s="441"/>
      <c r="AG579" s="441"/>
      <c r="AH579" s="441"/>
      <c r="AI579" s="441"/>
      <c r="AJ579" s="441"/>
      <c r="AK579" s="441"/>
      <c r="AL579" s="441"/>
      <c r="AM579" s="441"/>
      <c r="AN579" s="441"/>
      <c r="AO579" s="441"/>
      <c r="AP579" s="441"/>
      <c r="AQ579" s="441"/>
      <c r="AR579" s="441"/>
      <c r="AS579" s="441"/>
      <c r="AT579" s="441"/>
      <c r="AU579" s="441"/>
      <c r="AV579" s="441"/>
      <c r="AW579" s="441"/>
      <c r="AX579" s="441"/>
      <c r="AY579" s="441"/>
      <c r="AZ579" s="441"/>
      <c r="BA579" s="441"/>
    </row>
    <row r="580">
      <c r="A580" s="441"/>
      <c r="B580" s="441"/>
      <c r="C580" s="441"/>
      <c r="D580" s="441"/>
      <c r="E580" s="441"/>
      <c r="F580" s="441"/>
      <c r="G580" s="441"/>
      <c r="H580" s="441"/>
      <c r="I580" s="441"/>
      <c r="J580" s="441"/>
      <c r="K580" s="441"/>
      <c r="L580" s="441"/>
      <c r="M580" s="441"/>
      <c r="N580" s="441"/>
      <c r="O580" s="441"/>
      <c r="P580" s="441"/>
      <c r="Q580" s="441"/>
      <c r="R580" s="441"/>
      <c r="S580" s="441"/>
      <c r="T580" s="441"/>
      <c r="U580" s="441"/>
      <c r="V580" s="441"/>
      <c r="W580" s="441"/>
      <c r="X580" s="441"/>
      <c r="Y580" s="441"/>
      <c r="Z580" s="441"/>
      <c r="AA580" s="441"/>
      <c r="AB580" s="441"/>
      <c r="AC580" s="441"/>
      <c r="AD580" s="441"/>
      <c r="AE580" s="441"/>
      <c r="AF580" s="441"/>
      <c r="AG580" s="441"/>
      <c r="AH580" s="441"/>
      <c r="AI580" s="441"/>
      <c r="AJ580" s="441"/>
      <c r="AK580" s="441"/>
      <c r="AL580" s="441"/>
      <c r="AM580" s="441"/>
      <c r="AN580" s="441"/>
      <c r="AO580" s="441"/>
      <c r="AP580" s="441"/>
      <c r="AQ580" s="441"/>
      <c r="AR580" s="441"/>
      <c r="AS580" s="441"/>
      <c r="AT580" s="441"/>
      <c r="AU580" s="441"/>
      <c r="AV580" s="441"/>
      <c r="AW580" s="441"/>
      <c r="AX580" s="441"/>
      <c r="AY580" s="441"/>
      <c r="AZ580" s="441"/>
      <c r="BA580" s="441"/>
    </row>
    <row r="581">
      <c r="A581" s="441"/>
      <c r="B581" s="441"/>
      <c r="C581" s="441"/>
      <c r="D581" s="441"/>
      <c r="E581" s="441"/>
      <c r="F581" s="441"/>
      <c r="G581" s="441"/>
      <c r="H581" s="441"/>
      <c r="I581" s="441"/>
      <c r="J581" s="441"/>
      <c r="K581" s="441"/>
      <c r="L581" s="441"/>
      <c r="M581" s="441"/>
      <c r="N581" s="441"/>
      <c r="O581" s="441"/>
      <c r="P581" s="441"/>
      <c r="Q581" s="441"/>
      <c r="R581" s="441"/>
      <c r="S581" s="441"/>
      <c r="T581" s="441"/>
      <c r="U581" s="441"/>
      <c r="V581" s="441"/>
      <c r="W581" s="441"/>
      <c r="X581" s="441"/>
      <c r="Y581" s="441"/>
      <c r="Z581" s="441"/>
      <c r="AA581" s="441"/>
      <c r="AB581" s="441"/>
      <c r="AC581" s="441"/>
      <c r="AD581" s="441"/>
      <c r="AE581" s="441"/>
      <c r="AF581" s="441"/>
      <c r="AG581" s="441"/>
      <c r="AH581" s="441"/>
      <c r="AI581" s="441"/>
      <c r="AJ581" s="441"/>
      <c r="AK581" s="441"/>
      <c r="AL581" s="441"/>
      <c r="AM581" s="441"/>
      <c r="AN581" s="441"/>
      <c r="AO581" s="441"/>
      <c r="AP581" s="441"/>
      <c r="AQ581" s="441"/>
      <c r="AR581" s="441"/>
      <c r="AS581" s="441"/>
      <c r="AT581" s="441"/>
      <c r="AU581" s="441"/>
      <c r="AV581" s="441"/>
      <c r="AW581" s="441"/>
      <c r="AX581" s="441"/>
      <c r="AY581" s="441"/>
      <c r="AZ581" s="441"/>
      <c r="BA581" s="441"/>
    </row>
    <row r="582">
      <c r="A582" s="441"/>
      <c r="B582" s="441"/>
      <c r="C582" s="441"/>
      <c r="D582" s="441"/>
      <c r="E582" s="441"/>
      <c r="F582" s="441"/>
      <c r="G582" s="441"/>
      <c r="H582" s="441"/>
      <c r="I582" s="441"/>
      <c r="J582" s="441"/>
      <c r="K582" s="441"/>
      <c r="L582" s="441"/>
      <c r="M582" s="441"/>
      <c r="N582" s="441"/>
      <c r="O582" s="441"/>
      <c r="P582" s="441"/>
      <c r="Q582" s="441"/>
      <c r="R582" s="441"/>
      <c r="S582" s="441"/>
      <c r="T582" s="441"/>
      <c r="U582" s="441"/>
      <c r="V582" s="441"/>
      <c r="W582" s="441"/>
      <c r="X582" s="441"/>
      <c r="Y582" s="441"/>
      <c r="Z582" s="441"/>
      <c r="AA582" s="441"/>
      <c r="AB582" s="441"/>
      <c r="AC582" s="441"/>
      <c r="AD582" s="441"/>
      <c r="AE582" s="441"/>
      <c r="AF582" s="441"/>
      <c r="AG582" s="441"/>
      <c r="AH582" s="441"/>
      <c r="AI582" s="441"/>
      <c r="AJ582" s="441"/>
      <c r="AK582" s="441"/>
      <c r="AL582" s="441"/>
      <c r="AM582" s="441"/>
      <c r="AN582" s="441"/>
      <c r="AO582" s="441"/>
      <c r="AP582" s="441"/>
      <c r="AQ582" s="441"/>
      <c r="AR582" s="441"/>
      <c r="AS582" s="441"/>
      <c r="AT582" s="441"/>
      <c r="AU582" s="441"/>
      <c r="AV582" s="441"/>
      <c r="AW582" s="441"/>
      <c r="AX582" s="441"/>
      <c r="AY582" s="441"/>
      <c r="AZ582" s="441"/>
      <c r="BA582" s="441"/>
    </row>
    <row r="583">
      <c r="A583" s="441"/>
      <c r="B583" s="441"/>
      <c r="C583" s="441"/>
      <c r="D583" s="441"/>
      <c r="E583" s="441"/>
      <c r="F583" s="441"/>
      <c r="G583" s="441"/>
      <c r="H583" s="441"/>
      <c r="I583" s="441"/>
      <c r="J583" s="441"/>
      <c r="K583" s="441"/>
      <c r="L583" s="441"/>
      <c r="M583" s="441"/>
      <c r="N583" s="441"/>
      <c r="O583" s="441"/>
      <c r="P583" s="441"/>
      <c r="Q583" s="441"/>
      <c r="R583" s="441"/>
      <c r="S583" s="441"/>
      <c r="T583" s="441"/>
      <c r="U583" s="441"/>
      <c r="V583" s="441"/>
      <c r="W583" s="441"/>
      <c r="X583" s="441"/>
      <c r="Y583" s="441"/>
      <c r="Z583" s="441"/>
      <c r="AA583" s="441"/>
      <c r="AB583" s="441"/>
      <c r="AC583" s="441"/>
      <c r="AD583" s="441"/>
      <c r="AE583" s="441"/>
      <c r="AF583" s="441"/>
      <c r="AG583" s="441"/>
      <c r="AH583" s="441"/>
      <c r="AI583" s="441"/>
      <c r="AJ583" s="441"/>
      <c r="AK583" s="441"/>
      <c r="AL583" s="441"/>
      <c r="AM583" s="441"/>
      <c r="AN583" s="441"/>
      <c r="AO583" s="441"/>
      <c r="AP583" s="441"/>
      <c r="AQ583" s="441"/>
      <c r="AR583" s="441"/>
      <c r="AS583" s="441"/>
      <c r="AT583" s="441"/>
      <c r="AU583" s="441"/>
      <c r="AV583" s="441"/>
      <c r="AW583" s="441"/>
      <c r="AX583" s="441"/>
      <c r="AY583" s="441"/>
      <c r="AZ583" s="441"/>
      <c r="BA583" s="441"/>
    </row>
    <row r="584">
      <c r="A584" s="441"/>
      <c r="B584" s="441"/>
      <c r="C584" s="441"/>
      <c r="D584" s="441"/>
      <c r="E584" s="441"/>
      <c r="F584" s="441"/>
      <c r="G584" s="441"/>
      <c r="H584" s="441"/>
      <c r="I584" s="441"/>
      <c r="J584" s="441"/>
      <c r="K584" s="441"/>
      <c r="L584" s="441"/>
      <c r="M584" s="441"/>
      <c r="N584" s="441"/>
      <c r="O584" s="441"/>
      <c r="P584" s="441"/>
      <c r="Q584" s="441"/>
      <c r="R584" s="441"/>
      <c r="S584" s="441"/>
      <c r="T584" s="441"/>
      <c r="U584" s="441"/>
      <c r="V584" s="441"/>
      <c r="W584" s="441"/>
      <c r="X584" s="441"/>
      <c r="Y584" s="441"/>
      <c r="Z584" s="441"/>
      <c r="AA584" s="441"/>
      <c r="AB584" s="441"/>
      <c r="AC584" s="441"/>
      <c r="AD584" s="441"/>
      <c r="AE584" s="441"/>
      <c r="AF584" s="441"/>
      <c r="AG584" s="441"/>
      <c r="AH584" s="441"/>
      <c r="AI584" s="441"/>
      <c r="AJ584" s="441"/>
      <c r="AK584" s="441"/>
      <c r="AL584" s="441"/>
      <c r="AM584" s="441"/>
      <c r="AN584" s="441"/>
      <c r="AO584" s="441"/>
      <c r="AP584" s="441"/>
      <c r="AQ584" s="441"/>
      <c r="AR584" s="441"/>
      <c r="AS584" s="441"/>
      <c r="AT584" s="441"/>
      <c r="AU584" s="441"/>
      <c r="AV584" s="441"/>
      <c r="AW584" s="441"/>
      <c r="AX584" s="441"/>
      <c r="AY584" s="441"/>
      <c r="AZ584" s="441"/>
      <c r="BA584" s="441"/>
    </row>
    <row r="585">
      <c r="A585" s="441"/>
      <c r="B585" s="441"/>
      <c r="C585" s="441"/>
      <c r="D585" s="441"/>
      <c r="E585" s="441"/>
      <c r="F585" s="441"/>
      <c r="G585" s="441"/>
      <c r="H585" s="441"/>
      <c r="I585" s="441"/>
      <c r="J585" s="441"/>
      <c r="K585" s="441"/>
      <c r="L585" s="441"/>
      <c r="M585" s="441"/>
      <c r="N585" s="441"/>
      <c r="O585" s="441"/>
      <c r="P585" s="441"/>
      <c r="Q585" s="441"/>
      <c r="R585" s="441"/>
      <c r="S585" s="441"/>
      <c r="T585" s="441"/>
      <c r="U585" s="441"/>
      <c r="V585" s="441"/>
      <c r="W585" s="441"/>
      <c r="X585" s="441"/>
      <c r="Y585" s="441"/>
      <c r="Z585" s="441"/>
      <c r="AA585" s="441"/>
      <c r="AB585" s="441"/>
      <c r="AC585" s="441"/>
      <c r="AD585" s="441"/>
      <c r="AE585" s="441"/>
      <c r="AF585" s="441"/>
      <c r="AG585" s="441"/>
      <c r="AH585" s="441"/>
      <c r="AI585" s="441"/>
      <c r="AJ585" s="441"/>
      <c r="AK585" s="441"/>
      <c r="AL585" s="441"/>
      <c r="AM585" s="441"/>
      <c r="AN585" s="441"/>
      <c r="AO585" s="441"/>
      <c r="AP585" s="441"/>
      <c r="AQ585" s="441"/>
      <c r="AR585" s="441"/>
      <c r="AS585" s="441"/>
      <c r="AT585" s="441"/>
      <c r="AU585" s="441"/>
      <c r="AV585" s="441"/>
      <c r="AW585" s="441"/>
      <c r="AX585" s="441"/>
      <c r="AY585" s="441"/>
      <c r="AZ585" s="441"/>
      <c r="BA585" s="441"/>
    </row>
    <row r="586">
      <c r="A586" s="441"/>
      <c r="B586" s="441"/>
      <c r="C586" s="441"/>
      <c r="D586" s="441"/>
      <c r="E586" s="441"/>
      <c r="F586" s="441"/>
      <c r="G586" s="441"/>
      <c r="H586" s="441"/>
      <c r="I586" s="441"/>
      <c r="J586" s="441"/>
      <c r="K586" s="441"/>
      <c r="L586" s="441"/>
      <c r="M586" s="441"/>
      <c r="N586" s="441"/>
      <c r="O586" s="441"/>
      <c r="P586" s="441"/>
      <c r="Q586" s="441"/>
      <c r="R586" s="441"/>
      <c r="S586" s="441"/>
      <c r="T586" s="441"/>
      <c r="U586" s="441"/>
      <c r="V586" s="441"/>
      <c r="W586" s="441"/>
      <c r="X586" s="441"/>
      <c r="Y586" s="441"/>
      <c r="Z586" s="441"/>
      <c r="AA586" s="441"/>
      <c r="AB586" s="441"/>
      <c r="AC586" s="441"/>
      <c r="AD586" s="441"/>
      <c r="AE586" s="441"/>
      <c r="AF586" s="441"/>
      <c r="AG586" s="441"/>
      <c r="AH586" s="441"/>
      <c r="AI586" s="441"/>
      <c r="AJ586" s="441"/>
      <c r="AK586" s="441"/>
      <c r="AL586" s="441"/>
      <c r="AM586" s="441"/>
      <c r="AN586" s="441"/>
      <c r="AO586" s="441"/>
      <c r="AP586" s="441"/>
      <c r="AQ586" s="441"/>
      <c r="AR586" s="441"/>
      <c r="AS586" s="441"/>
      <c r="AT586" s="441"/>
      <c r="AU586" s="441"/>
      <c r="AV586" s="441"/>
      <c r="AW586" s="441"/>
      <c r="AX586" s="441"/>
      <c r="AY586" s="441"/>
      <c r="AZ586" s="441"/>
      <c r="BA586" s="441"/>
    </row>
    <row r="587">
      <c r="A587" s="441"/>
      <c r="B587" s="441"/>
      <c r="C587" s="441"/>
      <c r="D587" s="441"/>
      <c r="E587" s="441"/>
      <c r="F587" s="441"/>
      <c r="G587" s="441"/>
      <c r="H587" s="441"/>
      <c r="I587" s="441"/>
      <c r="J587" s="441"/>
      <c r="K587" s="441"/>
      <c r="L587" s="441"/>
      <c r="M587" s="441"/>
      <c r="N587" s="441"/>
      <c r="O587" s="441"/>
      <c r="P587" s="441"/>
      <c r="Q587" s="441"/>
      <c r="R587" s="441"/>
      <c r="S587" s="441"/>
      <c r="T587" s="441"/>
      <c r="U587" s="441"/>
      <c r="V587" s="441"/>
      <c r="W587" s="441"/>
      <c r="X587" s="441"/>
      <c r="Y587" s="441"/>
      <c r="Z587" s="441"/>
      <c r="AA587" s="441"/>
      <c r="AB587" s="441"/>
      <c r="AC587" s="441"/>
      <c r="AD587" s="441"/>
      <c r="AE587" s="441"/>
      <c r="AF587" s="441"/>
      <c r="AG587" s="441"/>
      <c r="AH587" s="441"/>
      <c r="AI587" s="441"/>
      <c r="AJ587" s="441"/>
      <c r="AK587" s="441"/>
      <c r="AL587" s="441"/>
      <c r="AM587" s="441"/>
      <c r="AN587" s="441"/>
      <c r="AO587" s="441"/>
      <c r="AP587" s="441"/>
      <c r="AQ587" s="441"/>
      <c r="AR587" s="441"/>
      <c r="AS587" s="441"/>
      <c r="AT587" s="441"/>
      <c r="AU587" s="441"/>
      <c r="AV587" s="441"/>
      <c r="AW587" s="441"/>
      <c r="AX587" s="441"/>
      <c r="AY587" s="441"/>
      <c r="AZ587" s="441"/>
      <c r="BA587" s="441"/>
    </row>
    <row r="588">
      <c r="A588" s="441"/>
      <c r="B588" s="441"/>
      <c r="C588" s="441"/>
      <c r="D588" s="441"/>
      <c r="E588" s="441"/>
      <c r="F588" s="441"/>
      <c r="G588" s="441"/>
      <c r="H588" s="441"/>
      <c r="I588" s="441"/>
      <c r="J588" s="441"/>
      <c r="K588" s="441"/>
      <c r="L588" s="441"/>
      <c r="M588" s="441"/>
      <c r="N588" s="441"/>
      <c r="O588" s="441"/>
      <c r="P588" s="441"/>
      <c r="Q588" s="441"/>
      <c r="R588" s="441"/>
      <c r="S588" s="441"/>
      <c r="T588" s="441"/>
      <c r="U588" s="441"/>
      <c r="V588" s="441"/>
      <c r="W588" s="441"/>
      <c r="X588" s="441"/>
      <c r="Y588" s="441"/>
      <c r="Z588" s="441"/>
      <c r="AA588" s="441"/>
      <c r="AB588" s="441"/>
      <c r="AC588" s="441"/>
      <c r="AD588" s="441"/>
      <c r="AE588" s="441"/>
      <c r="AF588" s="441"/>
      <c r="AG588" s="441"/>
      <c r="AH588" s="441"/>
      <c r="AI588" s="441"/>
      <c r="AJ588" s="441"/>
      <c r="AK588" s="441"/>
      <c r="AL588" s="441"/>
      <c r="AM588" s="441"/>
      <c r="AN588" s="441"/>
      <c r="AO588" s="441"/>
      <c r="AP588" s="441"/>
      <c r="AQ588" s="441"/>
      <c r="AR588" s="441"/>
      <c r="AS588" s="441"/>
      <c r="AT588" s="441"/>
      <c r="AU588" s="441"/>
      <c r="AV588" s="441"/>
      <c r="AW588" s="441"/>
      <c r="AX588" s="441"/>
      <c r="AY588" s="441"/>
      <c r="AZ588" s="441"/>
      <c r="BA588" s="441"/>
    </row>
    <row r="589">
      <c r="A589" s="441"/>
      <c r="B589" s="441"/>
      <c r="C589" s="441"/>
      <c r="D589" s="441"/>
      <c r="E589" s="441"/>
      <c r="F589" s="441"/>
      <c r="G589" s="441"/>
      <c r="H589" s="441"/>
      <c r="I589" s="441"/>
      <c r="J589" s="441"/>
      <c r="K589" s="441"/>
      <c r="L589" s="441"/>
      <c r="M589" s="441"/>
      <c r="N589" s="441"/>
      <c r="O589" s="441"/>
      <c r="P589" s="441"/>
      <c r="Q589" s="441"/>
      <c r="R589" s="441"/>
      <c r="S589" s="441"/>
      <c r="T589" s="441"/>
      <c r="U589" s="441"/>
      <c r="V589" s="441"/>
      <c r="W589" s="441"/>
      <c r="X589" s="441"/>
      <c r="Y589" s="441"/>
      <c r="Z589" s="441"/>
      <c r="AA589" s="441"/>
      <c r="AB589" s="441"/>
      <c r="AC589" s="441"/>
      <c r="AD589" s="441"/>
      <c r="AE589" s="441"/>
      <c r="AF589" s="441"/>
      <c r="AG589" s="441"/>
      <c r="AH589" s="441"/>
      <c r="AI589" s="441"/>
      <c r="AJ589" s="441"/>
      <c r="AK589" s="441"/>
      <c r="AL589" s="441"/>
      <c r="AM589" s="441"/>
      <c r="AN589" s="441"/>
      <c r="AO589" s="441"/>
      <c r="AP589" s="441"/>
      <c r="AQ589" s="441"/>
      <c r="AR589" s="441"/>
      <c r="AS589" s="441"/>
      <c r="AT589" s="441"/>
      <c r="AU589" s="441"/>
      <c r="AV589" s="441"/>
      <c r="AW589" s="441"/>
      <c r="AX589" s="441"/>
      <c r="AY589" s="441"/>
      <c r="AZ589" s="441"/>
      <c r="BA589" s="441"/>
    </row>
    <row r="590">
      <c r="A590" s="441"/>
      <c r="B590" s="441"/>
      <c r="C590" s="441"/>
      <c r="D590" s="441"/>
      <c r="E590" s="441"/>
      <c r="F590" s="441"/>
      <c r="G590" s="441"/>
      <c r="H590" s="441"/>
      <c r="I590" s="441"/>
      <c r="J590" s="441"/>
      <c r="K590" s="441"/>
      <c r="L590" s="441"/>
      <c r="M590" s="441"/>
      <c r="N590" s="441"/>
      <c r="O590" s="441"/>
      <c r="P590" s="441"/>
      <c r="Q590" s="441"/>
      <c r="R590" s="441"/>
      <c r="S590" s="441"/>
      <c r="T590" s="441"/>
      <c r="U590" s="441"/>
      <c r="V590" s="441"/>
      <c r="W590" s="441"/>
      <c r="X590" s="441"/>
      <c r="Y590" s="441"/>
      <c r="Z590" s="441"/>
      <c r="AA590" s="441"/>
      <c r="AB590" s="441"/>
      <c r="AC590" s="441"/>
      <c r="AD590" s="441"/>
      <c r="AE590" s="441"/>
      <c r="AF590" s="441"/>
      <c r="AG590" s="441"/>
      <c r="AH590" s="441"/>
      <c r="AI590" s="441"/>
      <c r="AJ590" s="441"/>
      <c r="AK590" s="441"/>
      <c r="AL590" s="441"/>
      <c r="AM590" s="441"/>
      <c r="AN590" s="441"/>
      <c r="AO590" s="441"/>
      <c r="AP590" s="441"/>
      <c r="AQ590" s="441"/>
      <c r="AR590" s="441"/>
      <c r="AS590" s="441"/>
      <c r="AT590" s="441"/>
      <c r="AU590" s="441"/>
      <c r="AV590" s="441"/>
      <c r="AW590" s="441"/>
      <c r="AX590" s="441"/>
      <c r="AY590" s="441"/>
      <c r="AZ590" s="441"/>
      <c r="BA590" s="441"/>
    </row>
    <row r="591">
      <c r="A591" s="441"/>
      <c r="B591" s="441"/>
      <c r="C591" s="441"/>
      <c r="D591" s="441"/>
      <c r="E591" s="441"/>
      <c r="F591" s="441"/>
      <c r="G591" s="441"/>
      <c r="H591" s="441"/>
      <c r="I591" s="441"/>
      <c r="J591" s="441"/>
      <c r="K591" s="441"/>
      <c r="L591" s="441"/>
      <c r="M591" s="441"/>
      <c r="N591" s="441"/>
      <c r="O591" s="441"/>
      <c r="P591" s="441"/>
      <c r="Q591" s="441"/>
      <c r="R591" s="441"/>
      <c r="S591" s="441"/>
      <c r="T591" s="441"/>
      <c r="U591" s="441"/>
      <c r="V591" s="441"/>
      <c r="W591" s="441"/>
      <c r="X591" s="441"/>
      <c r="Y591" s="441"/>
      <c r="Z591" s="441"/>
      <c r="AA591" s="441"/>
      <c r="AB591" s="441"/>
      <c r="AC591" s="441"/>
      <c r="AD591" s="441"/>
      <c r="AE591" s="441"/>
      <c r="AF591" s="441"/>
      <c r="AG591" s="441"/>
      <c r="AH591" s="441"/>
      <c r="AI591" s="441"/>
      <c r="AJ591" s="441"/>
      <c r="AK591" s="441"/>
      <c r="AL591" s="441"/>
      <c r="AM591" s="441"/>
      <c r="AN591" s="441"/>
      <c r="AO591" s="441"/>
      <c r="AP591" s="441"/>
      <c r="AQ591" s="441"/>
      <c r="AR591" s="441"/>
      <c r="AS591" s="441"/>
      <c r="AT591" s="441"/>
      <c r="AU591" s="441"/>
      <c r="AV591" s="441"/>
      <c r="AW591" s="441"/>
      <c r="AX591" s="441"/>
      <c r="AY591" s="441"/>
      <c r="AZ591" s="441"/>
      <c r="BA591" s="441"/>
    </row>
    <row r="592">
      <c r="A592" s="441"/>
      <c r="B592" s="441"/>
      <c r="C592" s="441"/>
      <c r="D592" s="441"/>
      <c r="E592" s="441"/>
      <c r="F592" s="441"/>
      <c r="G592" s="441"/>
      <c r="H592" s="441"/>
      <c r="I592" s="441"/>
      <c r="J592" s="441"/>
      <c r="K592" s="441"/>
      <c r="L592" s="441"/>
      <c r="M592" s="441"/>
      <c r="N592" s="441"/>
      <c r="O592" s="441"/>
      <c r="P592" s="441"/>
      <c r="Q592" s="441"/>
      <c r="R592" s="441"/>
      <c r="S592" s="441"/>
      <c r="T592" s="441"/>
      <c r="U592" s="441"/>
      <c r="V592" s="441"/>
      <c r="W592" s="441"/>
      <c r="X592" s="441"/>
      <c r="Y592" s="441"/>
      <c r="Z592" s="441"/>
      <c r="AA592" s="441"/>
      <c r="AB592" s="441"/>
      <c r="AC592" s="441"/>
      <c r="AD592" s="441"/>
      <c r="AE592" s="441"/>
      <c r="AF592" s="441"/>
      <c r="AG592" s="441"/>
      <c r="AH592" s="441"/>
      <c r="AI592" s="441"/>
      <c r="AJ592" s="441"/>
      <c r="AK592" s="441"/>
      <c r="AL592" s="441"/>
      <c r="AM592" s="441"/>
      <c r="AN592" s="441"/>
      <c r="AO592" s="441"/>
      <c r="AP592" s="441"/>
      <c r="AQ592" s="441"/>
      <c r="AR592" s="441"/>
      <c r="AS592" s="441"/>
      <c r="AT592" s="441"/>
      <c r="AU592" s="441"/>
      <c r="AV592" s="441"/>
      <c r="AW592" s="441"/>
      <c r="AX592" s="441"/>
      <c r="AY592" s="441"/>
      <c r="AZ592" s="441"/>
      <c r="BA592" s="441"/>
    </row>
    <row r="593">
      <c r="A593" s="441"/>
      <c r="B593" s="441"/>
      <c r="C593" s="441"/>
      <c r="D593" s="441"/>
      <c r="E593" s="441"/>
      <c r="F593" s="441"/>
      <c r="G593" s="441"/>
      <c r="H593" s="441"/>
      <c r="I593" s="441"/>
      <c r="J593" s="441"/>
      <c r="K593" s="441"/>
      <c r="L593" s="441"/>
      <c r="M593" s="441"/>
      <c r="N593" s="441"/>
      <c r="O593" s="441"/>
      <c r="P593" s="441"/>
      <c r="Q593" s="441"/>
      <c r="R593" s="441"/>
      <c r="S593" s="441"/>
      <c r="T593" s="441"/>
      <c r="U593" s="441"/>
      <c r="V593" s="441"/>
      <c r="W593" s="441"/>
      <c r="X593" s="441"/>
      <c r="Y593" s="441"/>
      <c r="Z593" s="441"/>
      <c r="AA593" s="441"/>
      <c r="AB593" s="441"/>
      <c r="AC593" s="441"/>
      <c r="AD593" s="441"/>
      <c r="AE593" s="441"/>
      <c r="AF593" s="441"/>
      <c r="AG593" s="441"/>
      <c r="AH593" s="441"/>
      <c r="AI593" s="441"/>
      <c r="AJ593" s="441"/>
      <c r="AK593" s="441"/>
      <c r="AL593" s="441"/>
      <c r="AM593" s="441"/>
      <c r="AN593" s="441"/>
      <c r="AO593" s="441"/>
      <c r="AP593" s="441"/>
      <c r="AQ593" s="441"/>
      <c r="AR593" s="441"/>
      <c r="AS593" s="441"/>
      <c r="AT593" s="441"/>
      <c r="AU593" s="441"/>
      <c r="AV593" s="441"/>
      <c r="AW593" s="441"/>
      <c r="AX593" s="441"/>
      <c r="AY593" s="441"/>
      <c r="AZ593" s="441"/>
      <c r="BA593" s="441"/>
    </row>
    <row r="594">
      <c r="A594" s="441"/>
      <c r="B594" s="441"/>
      <c r="C594" s="441"/>
      <c r="D594" s="441"/>
      <c r="E594" s="441"/>
      <c r="F594" s="441"/>
      <c r="G594" s="441"/>
      <c r="H594" s="441"/>
      <c r="I594" s="441"/>
      <c r="J594" s="441"/>
      <c r="K594" s="441"/>
      <c r="L594" s="441"/>
      <c r="M594" s="441"/>
      <c r="N594" s="441"/>
      <c r="O594" s="441"/>
      <c r="P594" s="441"/>
      <c r="Q594" s="441"/>
      <c r="R594" s="441"/>
      <c r="S594" s="441"/>
      <c r="T594" s="441"/>
      <c r="U594" s="441"/>
      <c r="V594" s="441"/>
      <c r="W594" s="441"/>
      <c r="X594" s="441"/>
      <c r="Y594" s="441"/>
      <c r="Z594" s="441"/>
      <c r="AA594" s="441"/>
      <c r="AB594" s="441"/>
      <c r="AC594" s="441"/>
      <c r="AD594" s="441"/>
      <c r="AE594" s="441"/>
      <c r="AF594" s="441"/>
      <c r="AG594" s="441"/>
      <c r="AH594" s="441"/>
      <c r="AI594" s="441"/>
      <c r="AJ594" s="441"/>
      <c r="AK594" s="441"/>
      <c r="AL594" s="441"/>
      <c r="AM594" s="441"/>
      <c r="AN594" s="441"/>
      <c r="AO594" s="441"/>
      <c r="AP594" s="441"/>
      <c r="AQ594" s="441"/>
      <c r="AR594" s="441"/>
      <c r="AS594" s="441"/>
      <c r="AT594" s="441"/>
      <c r="AU594" s="441"/>
      <c r="AV594" s="441"/>
      <c r="AW594" s="441"/>
      <c r="AX594" s="441"/>
      <c r="AY594" s="441"/>
      <c r="AZ594" s="441"/>
      <c r="BA594" s="441"/>
    </row>
    <row r="595">
      <c r="A595" s="441"/>
      <c r="B595" s="441"/>
      <c r="C595" s="441"/>
      <c r="D595" s="441"/>
      <c r="E595" s="441"/>
      <c r="F595" s="441"/>
      <c r="G595" s="441"/>
      <c r="H595" s="441"/>
      <c r="I595" s="441"/>
      <c r="J595" s="441"/>
      <c r="K595" s="441"/>
      <c r="L595" s="441"/>
      <c r="M595" s="441"/>
      <c r="N595" s="441"/>
      <c r="O595" s="441"/>
      <c r="P595" s="441"/>
      <c r="Q595" s="441"/>
      <c r="R595" s="441"/>
      <c r="S595" s="441"/>
      <c r="T595" s="441"/>
      <c r="U595" s="441"/>
      <c r="V595" s="441"/>
      <c r="W595" s="441"/>
      <c r="X595" s="441"/>
      <c r="Y595" s="441"/>
      <c r="Z595" s="441"/>
      <c r="AA595" s="441"/>
      <c r="AB595" s="441"/>
      <c r="AC595" s="441"/>
      <c r="AD595" s="441"/>
      <c r="AE595" s="441"/>
      <c r="AF595" s="441"/>
      <c r="AG595" s="441"/>
      <c r="AH595" s="441"/>
      <c r="AI595" s="441"/>
      <c r="AJ595" s="441"/>
      <c r="AK595" s="441"/>
      <c r="AL595" s="441"/>
      <c r="AM595" s="441"/>
      <c r="AN595" s="441"/>
      <c r="AO595" s="441"/>
      <c r="AP595" s="441"/>
      <c r="AQ595" s="441"/>
      <c r="AR595" s="441"/>
      <c r="AS595" s="441"/>
      <c r="AT595" s="441"/>
      <c r="AU595" s="441"/>
      <c r="AV595" s="441"/>
      <c r="AW595" s="441"/>
      <c r="AX595" s="441"/>
      <c r="AY595" s="441"/>
      <c r="AZ595" s="441"/>
      <c r="BA595" s="441"/>
    </row>
    <row r="596">
      <c r="A596" s="441"/>
      <c r="B596" s="441"/>
      <c r="C596" s="441"/>
      <c r="D596" s="441"/>
      <c r="E596" s="441"/>
      <c r="F596" s="441"/>
      <c r="G596" s="441"/>
      <c r="H596" s="441"/>
      <c r="I596" s="441"/>
      <c r="J596" s="441"/>
      <c r="K596" s="441"/>
      <c r="L596" s="441"/>
      <c r="M596" s="441"/>
      <c r="N596" s="441"/>
      <c r="O596" s="441"/>
      <c r="P596" s="441"/>
      <c r="Q596" s="441"/>
      <c r="R596" s="441"/>
      <c r="S596" s="441"/>
      <c r="T596" s="441"/>
      <c r="U596" s="441"/>
      <c r="V596" s="441"/>
      <c r="W596" s="441"/>
      <c r="X596" s="441"/>
      <c r="Y596" s="441"/>
      <c r="Z596" s="441"/>
      <c r="AA596" s="441"/>
      <c r="AB596" s="441"/>
      <c r="AC596" s="441"/>
      <c r="AD596" s="441"/>
      <c r="AE596" s="441"/>
      <c r="AF596" s="441"/>
      <c r="AG596" s="441"/>
      <c r="AH596" s="441"/>
      <c r="AI596" s="441"/>
      <c r="AJ596" s="441"/>
      <c r="AK596" s="441"/>
      <c r="AL596" s="441"/>
      <c r="AM596" s="441"/>
      <c r="AN596" s="441"/>
      <c r="AO596" s="441"/>
      <c r="AP596" s="441"/>
      <c r="AQ596" s="441"/>
      <c r="AR596" s="441"/>
      <c r="AS596" s="441"/>
      <c r="AT596" s="441"/>
      <c r="AU596" s="441"/>
      <c r="AV596" s="441"/>
      <c r="AW596" s="441"/>
      <c r="AX596" s="441"/>
      <c r="AY596" s="441"/>
      <c r="AZ596" s="441"/>
      <c r="BA596" s="441"/>
    </row>
    <row r="597">
      <c r="A597" s="441"/>
      <c r="B597" s="441"/>
      <c r="C597" s="441"/>
      <c r="D597" s="441"/>
      <c r="E597" s="441"/>
      <c r="F597" s="441"/>
      <c r="G597" s="441"/>
      <c r="H597" s="441"/>
      <c r="I597" s="441"/>
      <c r="J597" s="441"/>
      <c r="K597" s="441"/>
      <c r="L597" s="441"/>
      <c r="M597" s="441"/>
      <c r="N597" s="441"/>
      <c r="O597" s="441"/>
      <c r="P597" s="441"/>
      <c r="Q597" s="441"/>
      <c r="R597" s="441"/>
      <c r="S597" s="441"/>
      <c r="T597" s="441"/>
      <c r="U597" s="441"/>
      <c r="V597" s="441"/>
      <c r="W597" s="441"/>
      <c r="X597" s="441"/>
      <c r="Y597" s="441"/>
      <c r="Z597" s="441"/>
      <c r="AA597" s="441"/>
      <c r="AB597" s="441"/>
      <c r="AC597" s="441"/>
      <c r="AD597" s="441"/>
      <c r="AE597" s="441"/>
      <c r="AF597" s="441"/>
      <c r="AG597" s="441"/>
      <c r="AH597" s="441"/>
      <c r="AI597" s="441"/>
      <c r="AJ597" s="441"/>
      <c r="AK597" s="441"/>
      <c r="AL597" s="441"/>
      <c r="AM597" s="441"/>
      <c r="AN597" s="441"/>
      <c r="AO597" s="441"/>
      <c r="AP597" s="441"/>
      <c r="AQ597" s="441"/>
      <c r="AR597" s="441"/>
      <c r="AS597" s="441"/>
      <c r="AT597" s="441"/>
      <c r="AU597" s="441"/>
      <c r="AV597" s="441"/>
      <c r="AW597" s="441"/>
      <c r="AX597" s="441"/>
      <c r="AY597" s="441"/>
      <c r="AZ597" s="441"/>
      <c r="BA597" s="441"/>
    </row>
    <row r="598">
      <c r="A598" s="441"/>
      <c r="B598" s="441"/>
      <c r="C598" s="441"/>
      <c r="D598" s="441"/>
      <c r="E598" s="441"/>
      <c r="F598" s="441"/>
      <c r="G598" s="441"/>
      <c r="H598" s="441"/>
      <c r="I598" s="441"/>
      <c r="J598" s="441"/>
      <c r="K598" s="441"/>
      <c r="L598" s="441"/>
      <c r="M598" s="441"/>
      <c r="N598" s="441"/>
      <c r="O598" s="441"/>
      <c r="P598" s="441"/>
      <c r="Q598" s="441"/>
      <c r="R598" s="441"/>
      <c r="S598" s="441"/>
      <c r="T598" s="441"/>
      <c r="U598" s="441"/>
      <c r="V598" s="441"/>
      <c r="W598" s="441"/>
      <c r="X598" s="441"/>
      <c r="Y598" s="441"/>
      <c r="Z598" s="441"/>
      <c r="AA598" s="441"/>
      <c r="AB598" s="441"/>
      <c r="AC598" s="441"/>
      <c r="AD598" s="441"/>
      <c r="AE598" s="441"/>
      <c r="AF598" s="441"/>
      <c r="AG598" s="441"/>
      <c r="AH598" s="441"/>
      <c r="AI598" s="441"/>
      <c r="AJ598" s="441"/>
      <c r="AK598" s="441"/>
      <c r="AL598" s="441"/>
      <c r="AM598" s="441"/>
      <c r="AN598" s="441"/>
      <c r="AO598" s="441"/>
      <c r="AP598" s="441"/>
      <c r="AQ598" s="441"/>
      <c r="AR598" s="441"/>
      <c r="AS598" s="441"/>
      <c r="AT598" s="441"/>
      <c r="AU598" s="441"/>
      <c r="AV598" s="441"/>
      <c r="AW598" s="441"/>
      <c r="AX598" s="441"/>
      <c r="AY598" s="441"/>
      <c r="AZ598" s="441"/>
      <c r="BA598" s="441"/>
    </row>
    <row r="599">
      <c r="A599" s="441"/>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c r="Z599" s="441"/>
      <c r="AA599" s="441"/>
      <c r="AB599" s="441"/>
      <c r="AC599" s="441"/>
      <c r="AD599" s="441"/>
      <c r="AE599" s="441"/>
      <c r="AF599" s="441"/>
      <c r="AG599" s="441"/>
      <c r="AH599" s="441"/>
      <c r="AI599" s="441"/>
      <c r="AJ599" s="441"/>
      <c r="AK599" s="441"/>
      <c r="AL599" s="441"/>
      <c r="AM599" s="441"/>
      <c r="AN599" s="441"/>
      <c r="AO599" s="441"/>
      <c r="AP599" s="441"/>
      <c r="AQ599" s="441"/>
      <c r="AR599" s="441"/>
      <c r="AS599" s="441"/>
      <c r="AT599" s="441"/>
      <c r="AU599" s="441"/>
      <c r="AV599" s="441"/>
      <c r="AW599" s="441"/>
      <c r="AX599" s="441"/>
      <c r="AY599" s="441"/>
      <c r="AZ599" s="441"/>
      <c r="BA599" s="441"/>
    </row>
    <row r="600">
      <c r="A600" s="441"/>
      <c r="B600" s="441"/>
      <c r="C600" s="441"/>
      <c r="D600" s="441"/>
      <c r="E600" s="441"/>
      <c r="F600" s="441"/>
      <c r="G600" s="441"/>
      <c r="H600" s="441"/>
      <c r="I600" s="441"/>
      <c r="J600" s="441"/>
      <c r="K600" s="441"/>
      <c r="L600" s="441"/>
      <c r="M600" s="441"/>
      <c r="N600" s="441"/>
      <c r="O600" s="441"/>
      <c r="P600" s="441"/>
      <c r="Q600" s="441"/>
      <c r="R600" s="441"/>
      <c r="S600" s="441"/>
      <c r="T600" s="441"/>
      <c r="U600" s="441"/>
      <c r="V600" s="441"/>
      <c r="W600" s="441"/>
      <c r="X600" s="441"/>
      <c r="Y600" s="441"/>
      <c r="Z600" s="441"/>
      <c r="AA600" s="441"/>
      <c r="AB600" s="441"/>
      <c r="AC600" s="441"/>
      <c r="AD600" s="441"/>
      <c r="AE600" s="441"/>
      <c r="AF600" s="441"/>
      <c r="AG600" s="441"/>
      <c r="AH600" s="441"/>
      <c r="AI600" s="441"/>
      <c r="AJ600" s="441"/>
      <c r="AK600" s="441"/>
      <c r="AL600" s="441"/>
      <c r="AM600" s="441"/>
      <c r="AN600" s="441"/>
      <c r="AO600" s="441"/>
      <c r="AP600" s="441"/>
      <c r="AQ600" s="441"/>
      <c r="AR600" s="441"/>
      <c r="AS600" s="441"/>
      <c r="AT600" s="441"/>
      <c r="AU600" s="441"/>
      <c r="AV600" s="441"/>
      <c r="AW600" s="441"/>
      <c r="AX600" s="441"/>
      <c r="AY600" s="441"/>
      <c r="AZ600" s="441"/>
      <c r="BA600" s="441"/>
    </row>
    <row r="601">
      <c r="A601" s="441"/>
      <c r="B601" s="441"/>
      <c r="C601" s="441"/>
      <c r="D601" s="441"/>
      <c r="E601" s="441"/>
      <c r="F601" s="441"/>
      <c r="G601" s="441"/>
      <c r="H601" s="441"/>
      <c r="I601" s="441"/>
      <c r="J601" s="441"/>
      <c r="K601" s="441"/>
      <c r="L601" s="441"/>
      <c r="M601" s="441"/>
      <c r="N601" s="441"/>
      <c r="O601" s="441"/>
      <c r="P601" s="441"/>
      <c r="Q601" s="441"/>
      <c r="R601" s="441"/>
      <c r="S601" s="441"/>
      <c r="T601" s="441"/>
      <c r="U601" s="441"/>
      <c r="V601" s="441"/>
      <c r="W601" s="441"/>
      <c r="X601" s="441"/>
      <c r="Y601" s="441"/>
      <c r="Z601" s="441"/>
      <c r="AA601" s="441"/>
      <c r="AB601" s="441"/>
      <c r="AC601" s="441"/>
      <c r="AD601" s="441"/>
      <c r="AE601" s="441"/>
      <c r="AF601" s="441"/>
      <c r="AG601" s="441"/>
      <c r="AH601" s="441"/>
      <c r="AI601" s="441"/>
      <c r="AJ601" s="441"/>
      <c r="AK601" s="441"/>
      <c r="AL601" s="441"/>
      <c r="AM601" s="441"/>
      <c r="AN601" s="441"/>
      <c r="AO601" s="441"/>
      <c r="AP601" s="441"/>
      <c r="AQ601" s="441"/>
      <c r="AR601" s="441"/>
      <c r="AS601" s="441"/>
      <c r="AT601" s="441"/>
      <c r="AU601" s="441"/>
      <c r="AV601" s="441"/>
      <c r="AW601" s="441"/>
      <c r="AX601" s="441"/>
      <c r="AY601" s="441"/>
      <c r="AZ601" s="441"/>
      <c r="BA601" s="441"/>
    </row>
    <row r="602">
      <c r="A602" s="441"/>
      <c r="B602" s="441"/>
      <c r="C602" s="441"/>
      <c r="D602" s="441"/>
      <c r="E602" s="441"/>
      <c r="F602" s="441"/>
      <c r="G602" s="441"/>
      <c r="H602" s="441"/>
      <c r="I602" s="441"/>
      <c r="J602" s="441"/>
      <c r="K602" s="441"/>
      <c r="L602" s="441"/>
      <c r="M602" s="441"/>
      <c r="N602" s="441"/>
      <c r="O602" s="441"/>
      <c r="P602" s="441"/>
      <c r="Q602" s="441"/>
      <c r="R602" s="441"/>
      <c r="S602" s="441"/>
      <c r="T602" s="441"/>
      <c r="U602" s="441"/>
      <c r="V602" s="441"/>
      <c r="W602" s="441"/>
      <c r="X602" s="441"/>
      <c r="Y602" s="441"/>
      <c r="Z602" s="441"/>
      <c r="AA602" s="441"/>
      <c r="AB602" s="441"/>
      <c r="AC602" s="441"/>
      <c r="AD602" s="441"/>
      <c r="AE602" s="441"/>
      <c r="AF602" s="441"/>
      <c r="AG602" s="441"/>
      <c r="AH602" s="441"/>
      <c r="AI602" s="441"/>
      <c r="AJ602" s="441"/>
      <c r="AK602" s="441"/>
      <c r="AL602" s="441"/>
      <c r="AM602" s="441"/>
      <c r="AN602" s="441"/>
      <c r="AO602" s="441"/>
      <c r="AP602" s="441"/>
      <c r="AQ602" s="441"/>
      <c r="AR602" s="441"/>
      <c r="AS602" s="441"/>
      <c r="AT602" s="441"/>
      <c r="AU602" s="441"/>
      <c r="AV602" s="441"/>
      <c r="AW602" s="441"/>
      <c r="AX602" s="441"/>
      <c r="AY602" s="441"/>
      <c r="AZ602" s="441"/>
      <c r="BA602" s="441"/>
    </row>
    <row r="603">
      <c r="A603" s="441"/>
      <c r="B603" s="441"/>
      <c r="C603" s="441"/>
      <c r="D603" s="441"/>
      <c r="E603" s="441"/>
      <c r="F603" s="441"/>
      <c r="G603" s="441"/>
      <c r="H603" s="441"/>
      <c r="I603" s="441"/>
      <c r="J603" s="441"/>
      <c r="K603" s="441"/>
      <c r="L603" s="441"/>
      <c r="M603" s="441"/>
      <c r="N603" s="441"/>
      <c r="O603" s="441"/>
      <c r="P603" s="441"/>
      <c r="Q603" s="441"/>
      <c r="R603" s="441"/>
      <c r="S603" s="441"/>
      <c r="T603" s="441"/>
      <c r="U603" s="441"/>
      <c r="V603" s="441"/>
      <c r="W603" s="441"/>
      <c r="X603" s="441"/>
      <c r="Y603" s="441"/>
      <c r="Z603" s="441"/>
      <c r="AA603" s="441"/>
      <c r="AB603" s="441"/>
      <c r="AC603" s="441"/>
      <c r="AD603" s="441"/>
      <c r="AE603" s="441"/>
      <c r="AF603" s="441"/>
      <c r="AG603" s="441"/>
      <c r="AH603" s="441"/>
      <c r="AI603" s="441"/>
      <c r="AJ603" s="441"/>
      <c r="AK603" s="441"/>
      <c r="AL603" s="441"/>
      <c r="AM603" s="441"/>
      <c r="AN603" s="441"/>
      <c r="AO603" s="441"/>
      <c r="AP603" s="441"/>
      <c r="AQ603" s="441"/>
      <c r="AR603" s="441"/>
      <c r="AS603" s="441"/>
      <c r="AT603" s="441"/>
      <c r="AU603" s="441"/>
      <c r="AV603" s="441"/>
      <c r="AW603" s="441"/>
      <c r="AX603" s="441"/>
      <c r="AY603" s="441"/>
      <c r="AZ603" s="441"/>
      <c r="BA603" s="441"/>
    </row>
    <row r="604">
      <c r="A604" s="441"/>
      <c r="B604" s="441"/>
      <c r="C604" s="441"/>
      <c r="D604" s="441"/>
      <c r="E604" s="441"/>
      <c r="F604" s="441"/>
      <c r="G604" s="441"/>
      <c r="H604" s="441"/>
      <c r="I604" s="441"/>
      <c r="J604" s="441"/>
      <c r="K604" s="441"/>
      <c r="L604" s="441"/>
      <c r="M604" s="441"/>
      <c r="N604" s="441"/>
      <c r="O604" s="441"/>
      <c r="P604" s="441"/>
      <c r="Q604" s="441"/>
      <c r="R604" s="441"/>
      <c r="S604" s="441"/>
      <c r="T604" s="441"/>
      <c r="U604" s="441"/>
      <c r="V604" s="441"/>
      <c r="W604" s="441"/>
      <c r="X604" s="441"/>
      <c r="Y604" s="441"/>
      <c r="Z604" s="441"/>
      <c r="AA604" s="441"/>
      <c r="AB604" s="441"/>
      <c r="AC604" s="441"/>
      <c r="AD604" s="441"/>
      <c r="AE604" s="441"/>
      <c r="AF604" s="441"/>
      <c r="AG604" s="441"/>
      <c r="AH604" s="441"/>
      <c r="AI604" s="441"/>
      <c r="AJ604" s="441"/>
      <c r="AK604" s="441"/>
      <c r="AL604" s="441"/>
      <c r="AM604" s="441"/>
      <c r="AN604" s="441"/>
      <c r="AO604" s="441"/>
      <c r="AP604" s="441"/>
      <c r="AQ604" s="441"/>
      <c r="AR604" s="441"/>
      <c r="AS604" s="441"/>
      <c r="AT604" s="441"/>
      <c r="AU604" s="441"/>
      <c r="AV604" s="441"/>
      <c r="AW604" s="441"/>
      <c r="AX604" s="441"/>
      <c r="AY604" s="441"/>
      <c r="AZ604" s="441"/>
      <c r="BA604" s="441"/>
    </row>
    <row r="605">
      <c r="A605" s="441"/>
      <c r="B605" s="441"/>
      <c r="C605" s="441"/>
      <c r="D605" s="441"/>
      <c r="E605" s="441"/>
      <c r="F605" s="441"/>
      <c r="G605" s="441"/>
      <c r="H605" s="441"/>
      <c r="I605" s="441"/>
      <c r="J605" s="441"/>
      <c r="K605" s="441"/>
      <c r="L605" s="441"/>
      <c r="M605" s="441"/>
      <c r="N605" s="441"/>
      <c r="O605" s="441"/>
      <c r="P605" s="441"/>
      <c r="Q605" s="441"/>
      <c r="R605" s="441"/>
      <c r="S605" s="441"/>
      <c r="T605" s="441"/>
      <c r="U605" s="441"/>
      <c r="V605" s="441"/>
      <c r="W605" s="441"/>
      <c r="X605" s="441"/>
      <c r="Y605" s="441"/>
      <c r="Z605" s="441"/>
      <c r="AA605" s="441"/>
      <c r="AB605" s="441"/>
      <c r="AC605" s="441"/>
      <c r="AD605" s="441"/>
      <c r="AE605" s="441"/>
      <c r="AF605" s="441"/>
      <c r="AG605" s="441"/>
      <c r="AH605" s="441"/>
      <c r="AI605" s="441"/>
      <c r="AJ605" s="441"/>
      <c r="AK605" s="441"/>
      <c r="AL605" s="441"/>
      <c r="AM605" s="441"/>
      <c r="AN605" s="441"/>
      <c r="AO605" s="441"/>
      <c r="AP605" s="441"/>
      <c r="AQ605" s="441"/>
      <c r="AR605" s="441"/>
      <c r="AS605" s="441"/>
      <c r="AT605" s="441"/>
      <c r="AU605" s="441"/>
      <c r="AV605" s="441"/>
      <c r="AW605" s="441"/>
      <c r="AX605" s="441"/>
      <c r="AY605" s="441"/>
      <c r="AZ605" s="441"/>
      <c r="BA605" s="441"/>
    </row>
    <row r="606">
      <c r="A606" s="441"/>
      <c r="B606" s="441"/>
      <c r="C606" s="441"/>
      <c r="D606" s="441"/>
      <c r="E606" s="441"/>
      <c r="F606" s="441"/>
      <c r="G606" s="441"/>
      <c r="H606" s="441"/>
      <c r="I606" s="441"/>
      <c r="J606" s="441"/>
      <c r="K606" s="441"/>
      <c r="L606" s="441"/>
      <c r="M606" s="441"/>
      <c r="N606" s="441"/>
      <c r="O606" s="441"/>
      <c r="P606" s="441"/>
      <c r="Q606" s="441"/>
      <c r="R606" s="441"/>
      <c r="S606" s="441"/>
      <c r="T606" s="441"/>
      <c r="U606" s="441"/>
      <c r="V606" s="441"/>
      <c r="W606" s="441"/>
      <c r="X606" s="441"/>
      <c r="Y606" s="441"/>
      <c r="Z606" s="441"/>
      <c r="AA606" s="441"/>
      <c r="AB606" s="441"/>
      <c r="AC606" s="441"/>
      <c r="AD606" s="441"/>
      <c r="AE606" s="441"/>
      <c r="AF606" s="441"/>
      <c r="AG606" s="441"/>
      <c r="AH606" s="441"/>
      <c r="AI606" s="441"/>
      <c r="AJ606" s="441"/>
      <c r="AK606" s="441"/>
      <c r="AL606" s="441"/>
      <c r="AM606" s="441"/>
      <c r="AN606" s="441"/>
      <c r="AO606" s="441"/>
      <c r="AP606" s="441"/>
      <c r="AQ606" s="441"/>
      <c r="AR606" s="441"/>
      <c r="AS606" s="441"/>
      <c r="AT606" s="441"/>
      <c r="AU606" s="441"/>
      <c r="AV606" s="441"/>
      <c r="AW606" s="441"/>
      <c r="AX606" s="441"/>
      <c r="AY606" s="441"/>
      <c r="AZ606" s="441"/>
      <c r="BA606" s="441"/>
    </row>
    <row r="607">
      <c r="A607" s="441"/>
      <c r="B607" s="441"/>
      <c r="C607" s="441"/>
      <c r="D607" s="441"/>
      <c r="E607" s="441"/>
      <c r="F607" s="441"/>
      <c r="G607" s="441"/>
      <c r="H607" s="441"/>
      <c r="I607" s="441"/>
      <c r="J607" s="441"/>
      <c r="K607" s="441"/>
      <c r="L607" s="441"/>
      <c r="M607" s="441"/>
      <c r="N607" s="441"/>
      <c r="O607" s="441"/>
      <c r="P607" s="441"/>
      <c r="Q607" s="441"/>
      <c r="R607" s="441"/>
      <c r="S607" s="441"/>
      <c r="T607" s="441"/>
      <c r="U607" s="441"/>
      <c r="V607" s="441"/>
      <c r="W607" s="441"/>
      <c r="X607" s="441"/>
      <c r="Y607" s="441"/>
      <c r="Z607" s="441"/>
      <c r="AA607" s="441"/>
      <c r="AB607" s="441"/>
      <c r="AC607" s="441"/>
      <c r="AD607" s="441"/>
      <c r="AE607" s="441"/>
      <c r="AF607" s="441"/>
      <c r="AG607" s="441"/>
      <c r="AH607" s="441"/>
      <c r="AI607" s="441"/>
      <c r="AJ607" s="441"/>
      <c r="AK607" s="441"/>
      <c r="AL607" s="441"/>
      <c r="AM607" s="441"/>
      <c r="AN607" s="441"/>
      <c r="AO607" s="441"/>
      <c r="AP607" s="441"/>
      <c r="AQ607" s="441"/>
      <c r="AR607" s="441"/>
      <c r="AS607" s="441"/>
      <c r="AT607" s="441"/>
      <c r="AU607" s="441"/>
      <c r="AV607" s="441"/>
      <c r="AW607" s="441"/>
      <c r="AX607" s="441"/>
      <c r="AY607" s="441"/>
      <c r="AZ607" s="441"/>
      <c r="BA607" s="441"/>
    </row>
    <row r="608">
      <c r="A608" s="441"/>
      <c r="B608" s="441"/>
      <c r="C608" s="441"/>
      <c r="D608" s="441"/>
      <c r="E608" s="441"/>
      <c r="F608" s="441"/>
      <c r="G608" s="441"/>
      <c r="H608" s="441"/>
      <c r="I608" s="441"/>
      <c r="J608" s="441"/>
      <c r="K608" s="441"/>
      <c r="L608" s="441"/>
      <c r="M608" s="441"/>
      <c r="N608" s="441"/>
      <c r="O608" s="441"/>
      <c r="P608" s="441"/>
      <c r="Q608" s="441"/>
      <c r="R608" s="441"/>
      <c r="S608" s="441"/>
      <c r="T608" s="441"/>
      <c r="U608" s="441"/>
      <c r="V608" s="441"/>
      <c r="W608" s="441"/>
      <c r="X608" s="441"/>
      <c r="Y608" s="441"/>
      <c r="Z608" s="441"/>
      <c r="AA608" s="441"/>
      <c r="AB608" s="441"/>
      <c r="AC608" s="441"/>
      <c r="AD608" s="441"/>
      <c r="AE608" s="441"/>
      <c r="AF608" s="441"/>
      <c r="AG608" s="441"/>
      <c r="AH608" s="441"/>
      <c r="AI608" s="441"/>
      <c r="AJ608" s="441"/>
      <c r="AK608" s="441"/>
      <c r="AL608" s="441"/>
      <c r="AM608" s="441"/>
      <c r="AN608" s="441"/>
      <c r="AO608" s="441"/>
      <c r="AP608" s="441"/>
      <c r="AQ608" s="441"/>
      <c r="AR608" s="441"/>
      <c r="AS608" s="441"/>
      <c r="AT608" s="441"/>
      <c r="AU608" s="441"/>
      <c r="AV608" s="441"/>
      <c r="AW608" s="441"/>
      <c r="AX608" s="441"/>
      <c r="AY608" s="441"/>
      <c r="AZ608" s="441"/>
      <c r="BA608" s="441"/>
    </row>
    <row r="609">
      <c r="A609" s="441"/>
      <c r="B609" s="441"/>
      <c r="C609" s="441"/>
      <c r="D609" s="441"/>
      <c r="E609" s="441"/>
      <c r="F609" s="441"/>
      <c r="G609" s="441"/>
      <c r="H609" s="441"/>
      <c r="I609" s="441"/>
      <c r="J609" s="441"/>
      <c r="K609" s="441"/>
      <c r="L609" s="441"/>
      <c r="M609" s="441"/>
      <c r="N609" s="441"/>
      <c r="O609" s="441"/>
      <c r="P609" s="441"/>
      <c r="Q609" s="441"/>
      <c r="R609" s="441"/>
      <c r="S609" s="441"/>
      <c r="T609" s="441"/>
      <c r="U609" s="441"/>
      <c r="V609" s="441"/>
      <c r="W609" s="441"/>
      <c r="X609" s="441"/>
      <c r="Y609" s="441"/>
      <c r="Z609" s="441"/>
      <c r="AA609" s="441"/>
      <c r="AB609" s="441"/>
      <c r="AC609" s="441"/>
      <c r="AD609" s="441"/>
      <c r="AE609" s="441"/>
      <c r="AF609" s="441"/>
      <c r="AG609" s="441"/>
      <c r="AH609" s="441"/>
      <c r="AI609" s="441"/>
      <c r="AJ609" s="441"/>
      <c r="AK609" s="441"/>
      <c r="AL609" s="441"/>
      <c r="AM609" s="441"/>
      <c r="AN609" s="441"/>
      <c r="AO609" s="441"/>
      <c r="AP609" s="441"/>
      <c r="AQ609" s="441"/>
      <c r="AR609" s="441"/>
      <c r="AS609" s="441"/>
      <c r="AT609" s="441"/>
      <c r="AU609" s="441"/>
      <c r="AV609" s="441"/>
      <c r="AW609" s="441"/>
      <c r="AX609" s="441"/>
      <c r="AY609" s="441"/>
      <c r="AZ609" s="441"/>
      <c r="BA609" s="441"/>
    </row>
    <row r="610">
      <c r="A610" s="441"/>
      <c r="B610" s="441"/>
      <c r="C610" s="441"/>
      <c r="D610" s="441"/>
      <c r="E610" s="441"/>
      <c r="F610" s="441"/>
      <c r="G610" s="441"/>
      <c r="H610" s="441"/>
      <c r="I610" s="441"/>
      <c r="J610" s="441"/>
      <c r="K610" s="441"/>
      <c r="L610" s="441"/>
      <c r="M610" s="441"/>
      <c r="N610" s="441"/>
      <c r="O610" s="441"/>
      <c r="P610" s="441"/>
      <c r="Q610" s="441"/>
      <c r="R610" s="441"/>
      <c r="S610" s="441"/>
      <c r="T610" s="441"/>
      <c r="U610" s="441"/>
      <c r="V610" s="441"/>
      <c r="W610" s="441"/>
      <c r="X610" s="441"/>
      <c r="Y610" s="441"/>
      <c r="Z610" s="441"/>
      <c r="AA610" s="441"/>
      <c r="AB610" s="441"/>
      <c r="AC610" s="441"/>
      <c r="AD610" s="441"/>
      <c r="AE610" s="441"/>
      <c r="AF610" s="441"/>
      <c r="AG610" s="441"/>
      <c r="AH610" s="441"/>
      <c r="AI610" s="441"/>
      <c r="AJ610" s="441"/>
      <c r="AK610" s="441"/>
      <c r="AL610" s="441"/>
      <c r="AM610" s="441"/>
      <c r="AN610" s="441"/>
      <c r="AO610" s="441"/>
      <c r="AP610" s="441"/>
      <c r="AQ610" s="441"/>
      <c r="AR610" s="441"/>
      <c r="AS610" s="441"/>
      <c r="AT610" s="441"/>
      <c r="AU610" s="441"/>
      <c r="AV610" s="441"/>
      <c r="AW610" s="441"/>
      <c r="AX610" s="441"/>
      <c r="AY610" s="441"/>
      <c r="AZ610" s="441"/>
      <c r="BA610" s="441"/>
    </row>
    <row r="611">
      <c r="A611" s="441"/>
      <c r="B611" s="441"/>
      <c r="C611" s="441"/>
      <c r="D611" s="441"/>
      <c r="E611" s="441"/>
      <c r="F611" s="441"/>
      <c r="G611" s="441"/>
      <c r="H611" s="441"/>
      <c r="I611" s="441"/>
      <c r="J611" s="441"/>
      <c r="K611" s="441"/>
      <c r="L611" s="441"/>
      <c r="M611" s="441"/>
      <c r="N611" s="441"/>
      <c r="O611" s="441"/>
      <c r="P611" s="441"/>
      <c r="Q611" s="441"/>
      <c r="R611" s="441"/>
      <c r="S611" s="441"/>
      <c r="T611" s="441"/>
      <c r="U611" s="441"/>
      <c r="V611" s="441"/>
      <c r="W611" s="441"/>
      <c r="X611" s="441"/>
      <c r="Y611" s="441"/>
      <c r="Z611" s="441"/>
      <c r="AA611" s="441"/>
      <c r="AB611" s="441"/>
      <c r="AC611" s="441"/>
      <c r="AD611" s="441"/>
      <c r="AE611" s="441"/>
      <c r="AF611" s="441"/>
      <c r="AG611" s="441"/>
      <c r="AH611" s="441"/>
      <c r="AI611" s="441"/>
      <c r="AJ611" s="441"/>
      <c r="AK611" s="441"/>
      <c r="AL611" s="441"/>
      <c r="AM611" s="441"/>
      <c r="AN611" s="441"/>
      <c r="AO611" s="441"/>
      <c r="AP611" s="441"/>
      <c r="AQ611" s="441"/>
      <c r="AR611" s="441"/>
      <c r="AS611" s="441"/>
      <c r="AT611" s="441"/>
      <c r="AU611" s="441"/>
      <c r="AV611" s="441"/>
      <c r="AW611" s="441"/>
      <c r="AX611" s="441"/>
      <c r="AY611" s="441"/>
      <c r="AZ611" s="441"/>
      <c r="BA611" s="441"/>
    </row>
    <row r="612">
      <c r="A612" s="441"/>
      <c r="B612" s="441"/>
      <c r="C612" s="441"/>
      <c r="D612" s="441"/>
      <c r="E612" s="441"/>
      <c r="F612" s="441"/>
      <c r="G612" s="441"/>
      <c r="H612" s="441"/>
      <c r="I612" s="441"/>
      <c r="J612" s="441"/>
      <c r="K612" s="441"/>
      <c r="L612" s="441"/>
      <c r="M612" s="441"/>
      <c r="N612" s="441"/>
      <c r="O612" s="441"/>
      <c r="P612" s="441"/>
      <c r="Q612" s="441"/>
      <c r="R612" s="441"/>
      <c r="S612" s="441"/>
      <c r="T612" s="441"/>
      <c r="U612" s="441"/>
      <c r="V612" s="441"/>
      <c r="W612" s="441"/>
      <c r="X612" s="441"/>
      <c r="Y612" s="441"/>
      <c r="Z612" s="441"/>
      <c r="AA612" s="441"/>
      <c r="AB612" s="441"/>
      <c r="AC612" s="441"/>
      <c r="AD612" s="441"/>
      <c r="AE612" s="441"/>
      <c r="AF612" s="441"/>
      <c r="AG612" s="441"/>
      <c r="AH612" s="441"/>
      <c r="AI612" s="441"/>
      <c r="AJ612" s="441"/>
      <c r="AK612" s="441"/>
      <c r="AL612" s="441"/>
      <c r="AM612" s="441"/>
      <c r="AN612" s="441"/>
      <c r="AO612" s="441"/>
      <c r="AP612" s="441"/>
      <c r="AQ612" s="441"/>
      <c r="AR612" s="441"/>
      <c r="AS612" s="441"/>
      <c r="AT612" s="441"/>
      <c r="AU612" s="441"/>
      <c r="AV612" s="441"/>
      <c r="AW612" s="441"/>
      <c r="AX612" s="441"/>
      <c r="AY612" s="441"/>
      <c r="AZ612" s="441"/>
      <c r="BA612" s="441"/>
    </row>
    <row r="613">
      <c r="A613" s="441"/>
      <c r="B613" s="441"/>
      <c r="C613" s="441"/>
      <c r="D613" s="441"/>
      <c r="E613" s="441"/>
      <c r="F613" s="441"/>
      <c r="G613" s="441"/>
      <c r="H613" s="441"/>
      <c r="I613" s="441"/>
      <c r="J613" s="441"/>
      <c r="K613" s="441"/>
      <c r="L613" s="441"/>
      <c r="M613" s="441"/>
      <c r="N613" s="441"/>
      <c r="O613" s="441"/>
      <c r="P613" s="441"/>
      <c r="Q613" s="441"/>
      <c r="R613" s="441"/>
      <c r="S613" s="441"/>
      <c r="T613" s="441"/>
      <c r="U613" s="441"/>
      <c r="V613" s="441"/>
      <c r="W613" s="441"/>
      <c r="X613" s="441"/>
      <c r="Y613" s="441"/>
      <c r="Z613" s="441"/>
      <c r="AA613" s="441"/>
      <c r="AB613" s="441"/>
      <c r="AC613" s="441"/>
      <c r="AD613" s="441"/>
      <c r="AE613" s="441"/>
      <c r="AF613" s="441"/>
      <c r="AG613" s="441"/>
      <c r="AH613" s="441"/>
      <c r="AI613" s="441"/>
      <c r="AJ613" s="441"/>
      <c r="AK613" s="441"/>
      <c r="AL613" s="441"/>
      <c r="AM613" s="441"/>
      <c r="AN613" s="441"/>
      <c r="AO613" s="441"/>
      <c r="AP613" s="441"/>
      <c r="AQ613" s="441"/>
      <c r="AR613" s="441"/>
      <c r="AS613" s="441"/>
      <c r="AT613" s="441"/>
      <c r="AU613" s="441"/>
      <c r="AV613" s="441"/>
      <c r="AW613" s="441"/>
      <c r="AX613" s="441"/>
      <c r="AY613" s="441"/>
      <c r="AZ613" s="441"/>
      <c r="BA613" s="441"/>
    </row>
    <row r="614">
      <c r="A614" s="441"/>
      <c r="B614" s="441"/>
      <c r="C614" s="441"/>
      <c r="D614" s="441"/>
      <c r="E614" s="441"/>
      <c r="F614" s="441"/>
      <c r="G614" s="441"/>
      <c r="H614" s="441"/>
      <c r="I614" s="441"/>
      <c r="J614" s="441"/>
      <c r="K614" s="441"/>
      <c r="L614" s="441"/>
      <c r="M614" s="441"/>
      <c r="N614" s="441"/>
      <c r="O614" s="441"/>
      <c r="P614" s="441"/>
      <c r="Q614" s="441"/>
      <c r="R614" s="441"/>
      <c r="S614" s="441"/>
      <c r="T614" s="441"/>
      <c r="U614" s="441"/>
      <c r="V614" s="441"/>
      <c r="W614" s="441"/>
      <c r="X614" s="441"/>
      <c r="Y614" s="441"/>
      <c r="Z614" s="441"/>
      <c r="AA614" s="441"/>
      <c r="AB614" s="441"/>
      <c r="AC614" s="441"/>
      <c r="AD614" s="441"/>
      <c r="AE614" s="441"/>
      <c r="AF614" s="441"/>
      <c r="AG614" s="441"/>
      <c r="AH614" s="441"/>
      <c r="AI614" s="441"/>
      <c r="AJ614" s="441"/>
      <c r="AK614" s="441"/>
      <c r="AL614" s="441"/>
      <c r="AM614" s="441"/>
      <c r="AN614" s="441"/>
      <c r="AO614" s="441"/>
      <c r="AP614" s="441"/>
      <c r="AQ614" s="441"/>
      <c r="AR614" s="441"/>
      <c r="AS614" s="441"/>
      <c r="AT614" s="441"/>
      <c r="AU614" s="441"/>
      <c r="AV614" s="441"/>
      <c r="AW614" s="441"/>
      <c r="AX614" s="441"/>
      <c r="AY614" s="441"/>
      <c r="AZ614" s="441"/>
      <c r="BA614" s="441"/>
    </row>
    <row r="615">
      <c r="A615" s="441"/>
      <c r="B615" s="441"/>
      <c r="C615" s="441"/>
      <c r="D615" s="441"/>
      <c r="E615" s="441"/>
      <c r="F615" s="441"/>
      <c r="G615" s="441"/>
      <c r="H615" s="441"/>
      <c r="I615" s="441"/>
      <c r="J615" s="441"/>
      <c r="K615" s="441"/>
      <c r="L615" s="441"/>
      <c r="M615" s="441"/>
      <c r="N615" s="441"/>
      <c r="O615" s="441"/>
      <c r="P615" s="441"/>
      <c r="Q615" s="441"/>
      <c r="R615" s="441"/>
      <c r="S615" s="441"/>
      <c r="T615" s="441"/>
      <c r="U615" s="441"/>
      <c r="V615" s="441"/>
      <c r="W615" s="441"/>
      <c r="X615" s="441"/>
      <c r="Y615" s="441"/>
      <c r="Z615" s="441"/>
      <c r="AA615" s="441"/>
      <c r="AB615" s="441"/>
      <c r="AC615" s="441"/>
      <c r="AD615" s="441"/>
      <c r="AE615" s="441"/>
      <c r="AF615" s="441"/>
      <c r="AG615" s="441"/>
      <c r="AH615" s="441"/>
      <c r="AI615" s="441"/>
      <c r="AJ615" s="441"/>
      <c r="AK615" s="441"/>
      <c r="AL615" s="441"/>
      <c r="AM615" s="441"/>
      <c r="AN615" s="441"/>
      <c r="AO615" s="441"/>
      <c r="AP615" s="441"/>
      <c r="AQ615" s="441"/>
      <c r="AR615" s="441"/>
      <c r="AS615" s="441"/>
      <c r="AT615" s="441"/>
      <c r="AU615" s="441"/>
      <c r="AV615" s="441"/>
      <c r="AW615" s="441"/>
      <c r="AX615" s="441"/>
      <c r="AY615" s="441"/>
      <c r="AZ615" s="441"/>
      <c r="BA615" s="441"/>
    </row>
    <row r="616">
      <c r="A616" s="441"/>
      <c r="B616" s="441"/>
      <c r="C616" s="441"/>
      <c r="D616" s="441"/>
      <c r="E616" s="441"/>
      <c r="F616" s="441"/>
      <c r="G616" s="441"/>
      <c r="H616" s="441"/>
      <c r="I616" s="441"/>
      <c r="J616" s="441"/>
      <c r="K616" s="441"/>
      <c r="L616" s="441"/>
      <c r="M616" s="441"/>
      <c r="N616" s="441"/>
      <c r="O616" s="441"/>
      <c r="P616" s="441"/>
      <c r="Q616" s="441"/>
      <c r="R616" s="441"/>
      <c r="S616" s="441"/>
      <c r="T616" s="441"/>
      <c r="U616" s="441"/>
      <c r="V616" s="441"/>
      <c r="W616" s="441"/>
      <c r="X616" s="441"/>
      <c r="Y616" s="441"/>
      <c r="Z616" s="441"/>
      <c r="AA616" s="441"/>
      <c r="AB616" s="441"/>
      <c r="AC616" s="441"/>
      <c r="AD616" s="441"/>
      <c r="AE616" s="441"/>
      <c r="AF616" s="441"/>
      <c r="AG616" s="441"/>
      <c r="AH616" s="441"/>
      <c r="AI616" s="441"/>
      <c r="AJ616" s="441"/>
      <c r="AK616" s="441"/>
      <c r="AL616" s="441"/>
      <c r="AM616" s="441"/>
      <c r="AN616" s="441"/>
      <c r="AO616" s="441"/>
      <c r="AP616" s="441"/>
      <c r="AQ616" s="441"/>
      <c r="AR616" s="441"/>
      <c r="AS616" s="441"/>
      <c r="AT616" s="441"/>
      <c r="AU616" s="441"/>
      <c r="AV616" s="441"/>
      <c r="AW616" s="441"/>
      <c r="AX616" s="441"/>
      <c r="AY616" s="441"/>
      <c r="AZ616" s="441"/>
      <c r="BA616" s="441"/>
    </row>
    <row r="617">
      <c r="A617" s="441"/>
      <c r="B617" s="441"/>
      <c r="C617" s="441"/>
      <c r="D617" s="441"/>
      <c r="E617" s="441"/>
      <c r="F617" s="441"/>
      <c r="G617" s="441"/>
      <c r="H617" s="441"/>
      <c r="I617" s="441"/>
      <c r="J617" s="441"/>
      <c r="K617" s="441"/>
      <c r="L617" s="441"/>
      <c r="M617" s="441"/>
      <c r="N617" s="441"/>
      <c r="O617" s="441"/>
      <c r="P617" s="441"/>
      <c r="Q617" s="441"/>
      <c r="R617" s="441"/>
      <c r="S617" s="441"/>
      <c r="T617" s="441"/>
      <c r="U617" s="441"/>
      <c r="V617" s="441"/>
      <c r="W617" s="441"/>
      <c r="X617" s="441"/>
      <c r="Y617" s="441"/>
      <c r="Z617" s="441"/>
      <c r="AA617" s="441"/>
      <c r="AB617" s="441"/>
      <c r="AC617" s="441"/>
      <c r="AD617" s="441"/>
      <c r="AE617" s="441"/>
      <c r="AF617" s="441"/>
      <c r="AG617" s="441"/>
      <c r="AH617" s="441"/>
      <c r="AI617" s="441"/>
      <c r="AJ617" s="441"/>
      <c r="AK617" s="441"/>
      <c r="AL617" s="441"/>
      <c r="AM617" s="441"/>
      <c r="AN617" s="441"/>
      <c r="AO617" s="441"/>
      <c r="AP617" s="441"/>
      <c r="AQ617" s="441"/>
      <c r="AR617" s="441"/>
      <c r="AS617" s="441"/>
      <c r="AT617" s="441"/>
      <c r="AU617" s="441"/>
      <c r="AV617" s="441"/>
      <c r="AW617" s="441"/>
      <c r="AX617" s="441"/>
      <c r="AY617" s="441"/>
      <c r="AZ617" s="441"/>
      <c r="BA617" s="441"/>
    </row>
    <row r="618">
      <c r="A618" s="441"/>
      <c r="B618" s="441"/>
      <c r="C618" s="441"/>
      <c r="D618" s="441"/>
      <c r="E618" s="441"/>
      <c r="F618" s="441"/>
      <c r="G618" s="441"/>
      <c r="H618" s="441"/>
      <c r="I618" s="441"/>
      <c r="J618" s="441"/>
      <c r="K618" s="441"/>
      <c r="L618" s="441"/>
      <c r="M618" s="441"/>
      <c r="N618" s="441"/>
      <c r="O618" s="441"/>
      <c r="P618" s="441"/>
      <c r="Q618" s="441"/>
      <c r="R618" s="441"/>
      <c r="S618" s="441"/>
      <c r="T618" s="441"/>
      <c r="U618" s="441"/>
      <c r="V618" s="441"/>
      <c r="W618" s="441"/>
      <c r="X618" s="441"/>
      <c r="Y618" s="441"/>
      <c r="Z618" s="441"/>
      <c r="AA618" s="441"/>
      <c r="AB618" s="441"/>
      <c r="AC618" s="441"/>
      <c r="AD618" s="441"/>
      <c r="AE618" s="441"/>
      <c r="AF618" s="441"/>
      <c r="AG618" s="441"/>
      <c r="AH618" s="441"/>
      <c r="AI618" s="441"/>
      <c r="AJ618" s="441"/>
      <c r="AK618" s="441"/>
      <c r="AL618" s="441"/>
      <c r="AM618" s="441"/>
      <c r="AN618" s="441"/>
      <c r="AO618" s="441"/>
      <c r="AP618" s="441"/>
      <c r="AQ618" s="441"/>
      <c r="AR618" s="441"/>
      <c r="AS618" s="441"/>
      <c r="AT618" s="441"/>
      <c r="AU618" s="441"/>
      <c r="AV618" s="441"/>
      <c r="AW618" s="441"/>
      <c r="AX618" s="441"/>
      <c r="AY618" s="441"/>
      <c r="AZ618" s="441"/>
      <c r="BA618" s="441"/>
    </row>
    <row r="619">
      <c r="A619" s="441"/>
      <c r="B619" s="441"/>
      <c r="C619" s="441"/>
      <c r="D619" s="441"/>
      <c r="E619" s="441"/>
      <c r="F619" s="441"/>
      <c r="G619" s="441"/>
      <c r="H619" s="441"/>
      <c r="I619" s="441"/>
      <c r="J619" s="441"/>
      <c r="K619" s="441"/>
      <c r="L619" s="441"/>
      <c r="M619" s="441"/>
      <c r="N619" s="441"/>
      <c r="O619" s="441"/>
      <c r="P619" s="441"/>
      <c r="Q619" s="441"/>
      <c r="R619" s="441"/>
      <c r="S619" s="441"/>
      <c r="T619" s="441"/>
      <c r="U619" s="441"/>
      <c r="V619" s="441"/>
      <c r="W619" s="441"/>
      <c r="X619" s="441"/>
      <c r="Y619" s="441"/>
      <c r="Z619" s="441"/>
      <c r="AA619" s="441"/>
      <c r="AB619" s="441"/>
      <c r="AC619" s="441"/>
      <c r="AD619" s="441"/>
      <c r="AE619" s="441"/>
      <c r="AF619" s="441"/>
      <c r="AG619" s="441"/>
      <c r="AH619" s="441"/>
      <c r="AI619" s="441"/>
      <c r="AJ619" s="441"/>
      <c r="AK619" s="441"/>
      <c r="AL619" s="441"/>
      <c r="AM619" s="441"/>
      <c r="AN619" s="441"/>
      <c r="AO619" s="441"/>
      <c r="AP619" s="441"/>
      <c r="AQ619" s="441"/>
      <c r="AR619" s="441"/>
      <c r="AS619" s="441"/>
      <c r="AT619" s="441"/>
      <c r="AU619" s="441"/>
      <c r="AV619" s="441"/>
      <c r="AW619" s="441"/>
      <c r="AX619" s="441"/>
      <c r="AY619" s="441"/>
      <c r="AZ619" s="441"/>
      <c r="BA619" s="441"/>
    </row>
    <row r="620">
      <c r="A620" s="441"/>
      <c r="B620" s="441"/>
      <c r="C620" s="441"/>
      <c r="D620" s="441"/>
      <c r="E620" s="441"/>
      <c r="F620" s="441"/>
      <c r="G620" s="441"/>
      <c r="H620" s="441"/>
      <c r="I620" s="441"/>
      <c r="J620" s="441"/>
      <c r="K620" s="441"/>
      <c r="L620" s="441"/>
      <c r="M620" s="441"/>
      <c r="N620" s="441"/>
      <c r="O620" s="441"/>
      <c r="P620" s="441"/>
      <c r="Q620" s="441"/>
      <c r="R620" s="441"/>
      <c r="S620" s="441"/>
      <c r="T620" s="441"/>
      <c r="U620" s="441"/>
      <c r="V620" s="441"/>
      <c r="W620" s="441"/>
      <c r="X620" s="441"/>
      <c r="Y620" s="441"/>
      <c r="Z620" s="441"/>
      <c r="AA620" s="441"/>
      <c r="AB620" s="441"/>
      <c r="AC620" s="441"/>
      <c r="AD620" s="441"/>
      <c r="AE620" s="441"/>
      <c r="AF620" s="441"/>
      <c r="AG620" s="441"/>
      <c r="AH620" s="441"/>
      <c r="AI620" s="441"/>
      <c r="AJ620" s="441"/>
      <c r="AK620" s="441"/>
      <c r="AL620" s="441"/>
      <c r="AM620" s="441"/>
      <c r="AN620" s="441"/>
      <c r="AO620" s="441"/>
      <c r="AP620" s="441"/>
      <c r="AQ620" s="441"/>
      <c r="AR620" s="441"/>
      <c r="AS620" s="441"/>
      <c r="AT620" s="441"/>
      <c r="AU620" s="441"/>
      <c r="AV620" s="441"/>
      <c r="AW620" s="441"/>
      <c r="AX620" s="441"/>
      <c r="AY620" s="441"/>
      <c r="AZ620" s="441"/>
      <c r="BA620" s="441"/>
    </row>
    <row r="621">
      <c r="A621" s="441"/>
      <c r="B621" s="441"/>
      <c r="C621" s="441"/>
      <c r="D621" s="441"/>
      <c r="E621" s="441"/>
      <c r="F621" s="441"/>
      <c r="G621" s="441"/>
      <c r="H621" s="441"/>
      <c r="I621" s="441"/>
      <c r="J621" s="441"/>
      <c r="K621" s="441"/>
      <c r="L621" s="441"/>
      <c r="M621" s="441"/>
      <c r="N621" s="441"/>
      <c r="O621" s="441"/>
      <c r="P621" s="441"/>
      <c r="Q621" s="441"/>
      <c r="R621" s="441"/>
      <c r="S621" s="441"/>
      <c r="T621" s="441"/>
      <c r="U621" s="441"/>
      <c r="V621" s="441"/>
      <c r="W621" s="441"/>
      <c r="X621" s="441"/>
      <c r="Y621" s="441"/>
      <c r="Z621" s="441"/>
      <c r="AA621" s="441"/>
      <c r="AB621" s="441"/>
      <c r="AC621" s="441"/>
      <c r="AD621" s="441"/>
      <c r="AE621" s="441"/>
      <c r="AF621" s="441"/>
      <c r="AG621" s="441"/>
      <c r="AH621" s="441"/>
      <c r="AI621" s="441"/>
      <c r="AJ621" s="441"/>
      <c r="AK621" s="441"/>
      <c r="AL621" s="441"/>
      <c r="AM621" s="441"/>
      <c r="AN621" s="441"/>
      <c r="AO621" s="441"/>
      <c r="AP621" s="441"/>
      <c r="AQ621" s="441"/>
      <c r="AR621" s="441"/>
      <c r="AS621" s="441"/>
      <c r="AT621" s="441"/>
      <c r="AU621" s="441"/>
      <c r="AV621" s="441"/>
      <c r="AW621" s="441"/>
      <c r="AX621" s="441"/>
      <c r="AY621" s="441"/>
      <c r="AZ621" s="441"/>
      <c r="BA621" s="441"/>
    </row>
    <row r="622">
      <c r="A622" s="441"/>
      <c r="B622" s="441"/>
      <c r="C622" s="441"/>
      <c r="D622" s="441"/>
      <c r="E622" s="441"/>
      <c r="F622" s="441"/>
      <c r="G622" s="441"/>
      <c r="H622" s="441"/>
      <c r="I622" s="441"/>
      <c r="J622" s="441"/>
      <c r="K622" s="441"/>
      <c r="L622" s="441"/>
      <c r="M622" s="441"/>
      <c r="N622" s="441"/>
      <c r="O622" s="441"/>
      <c r="P622" s="441"/>
      <c r="Q622" s="441"/>
      <c r="R622" s="441"/>
      <c r="S622" s="441"/>
      <c r="T622" s="441"/>
      <c r="U622" s="441"/>
      <c r="V622" s="441"/>
      <c r="W622" s="441"/>
      <c r="X622" s="441"/>
      <c r="Y622" s="441"/>
      <c r="Z622" s="441"/>
      <c r="AA622" s="441"/>
      <c r="AB622" s="441"/>
      <c r="AC622" s="441"/>
      <c r="AD622" s="441"/>
      <c r="AE622" s="441"/>
      <c r="AF622" s="441"/>
      <c r="AG622" s="441"/>
      <c r="AH622" s="441"/>
      <c r="AI622" s="441"/>
      <c r="AJ622" s="441"/>
      <c r="AK622" s="441"/>
      <c r="AL622" s="441"/>
      <c r="AM622" s="441"/>
      <c r="AN622" s="441"/>
      <c r="AO622" s="441"/>
      <c r="AP622" s="441"/>
      <c r="AQ622" s="441"/>
      <c r="AR622" s="441"/>
      <c r="AS622" s="441"/>
      <c r="AT622" s="441"/>
      <c r="AU622" s="441"/>
      <c r="AV622" s="441"/>
      <c r="AW622" s="441"/>
      <c r="AX622" s="441"/>
      <c r="AY622" s="441"/>
      <c r="AZ622" s="441"/>
      <c r="BA622" s="441"/>
    </row>
    <row r="623">
      <c r="A623" s="441"/>
      <c r="B623" s="441"/>
      <c r="C623" s="441"/>
      <c r="D623" s="441"/>
      <c r="E623" s="441"/>
      <c r="F623" s="441"/>
      <c r="G623" s="441"/>
      <c r="H623" s="441"/>
      <c r="I623" s="441"/>
      <c r="J623" s="441"/>
      <c r="K623" s="441"/>
      <c r="L623" s="441"/>
      <c r="M623" s="441"/>
      <c r="N623" s="441"/>
      <c r="O623" s="441"/>
      <c r="P623" s="441"/>
      <c r="Q623" s="441"/>
      <c r="R623" s="441"/>
      <c r="S623" s="441"/>
      <c r="T623" s="441"/>
      <c r="U623" s="441"/>
      <c r="V623" s="441"/>
      <c r="W623" s="441"/>
      <c r="X623" s="441"/>
      <c r="Y623" s="441"/>
      <c r="Z623" s="441"/>
      <c r="AA623" s="441"/>
      <c r="AB623" s="441"/>
      <c r="AC623" s="441"/>
      <c r="AD623" s="441"/>
      <c r="AE623" s="441"/>
      <c r="AF623" s="441"/>
      <c r="AG623" s="441"/>
      <c r="AH623" s="441"/>
      <c r="AI623" s="441"/>
      <c r="AJ623" s="441"/>
      <c r="AK623" s="441"/>
      <c r="AL623" s="441"/>
      <c r="AM623" s="441"/>
      <c r="AN623" s="441"/>
      <c r="AO623" s="441"/>
      <c r="AP623" s="441"/>
      <c r="AQ623" s="441"/>
      <c r="AR623" s="441"/>
      <c r="AS623" s="441"/>
      <c r="AT623" s="441"/>
      <c r="AU623" s="441"/>
      <c r="AV623" s="441"/>
      <c r="AW623" s="441"/>
      <c r="AX623" s="441"/>
      <c r="AY623" s="441"/>
      <c r="AZ623" s="441"/>
      <c r="BA623" s="441"/>
    </row>
    <row r="624">
      <c r="A624" s="441"/>
      <c r="B624" s="441"/>
      <c r="C624" s="441"/>
      <c r="D624" s="441"/>
      <c r="E624" s="441"/>
      <c r="F624" s="441"/>
      <c r="G624" s="441"/>
      <c r="H624" s="441"/>
      <c r="I624" s="441"/>
      <c r="J624" s="441"/>
      <c r="K624" s="441"/>
      <c r="L624" s="441"/>
      <c r="M624" s="441"/>
      <c r="N624" s="441"/>
      <c r="O624" s="441"/>
      <c r="P624" s="441"/>
      <c r="Q624" s="441"/>
      <c r="R624" s="441"/>
      <c r="S624" s="441"/>
      <c r="T624" s="441"/>
      <c r="U624" s="441"/>
      <c r="V624" s="441"/>
      <c r="W624" s="441"/>
      <c r="X624" s="441"/>
      <c r="Y624" s="441"/>
      <c r="Z624" s="441"/>
      <c r="AA624" s="441"/>
      <c r="AB624" s="441"/>
      <c r="AC624" s="441"/>
      <c r="AD624" s="441"/>
      <c r="AE624" s="441"/>
      <c r="AF624" s="441"/>
      <c r="AG624" s="441"/>
      <c r="AH624" s="441"/>
      <c r="AI624" s="441"/>
      <c r="AJ624" s="441"/>
      <c r="AK624" s="441"/>
      <c r="AL624" s="441"/>
      <c r="AM624" s="441"/>
      <c r="AN624" s="441"/>
      <c r="AO624" s="441"/>
      <c r="AP624" s="441"/>
      <c r="AQ624" s="441"/>
      <c r="AR624" s="441"/>
      <c r="AS624" s="441"/>
      <c r="AT624" s="441"/>
      <c r="AU624" s="441"/>
      <c r="AV624" s="441"/>
      <c r="AW624" s="441"/>
      <c r="AX624" s="441"/>
      <c r="AY624" s="441"/>
      <c r="AZ624" s="441"/>
      <c r="BA624" s="441"/>
    </row>
    <row r="625">
      <c r="A625" s="441"/>
      <c r="B625" s="441"/>
      <c r="C625" s="441"/>
      <c r="D625" s="441"/>
      <c r="E625" s="441"/>
      <c r="F625" s="441"/>
      <c r="G625" s="441"/>
      <c r="H625" s="441"/>
      <c r="I625" s="441"/>
      <c r="J625" s="441"/>
      <c r="K625" s="441"/>
      <c r="L625" s="441"/>
      <c r="M625" s="441"/>
      <c r="N625" s="441"/>
      <c r="O625" s="441"/>
      <c r="P625" s="441"/>
      <c r="Q625" s="441"/>
      <c r="R625" s="441"/>
      <c r="S625" s="441"/>
      <c r="T625" s="441"/>
      <c r="U625" s="441"/>
      <c r="V625" s="441"/>
      <c r="W625" s="441"/>
      <c r="X625" s="441"/>
      <c r="Y625" s="441"/>
      <c r="Z625" s="441"/>
      <c r="AA625" s="441"/>
      <c r="AB625" s="441"/>
      <c r="AC625" s="441"/>
      <c r="AD625" s="441"/>
      <c r="AE625" s="441"/>
      <c r="AF625" s="441"/>
      <c r="AG625" s="441"/>
      <c r="AH625" s="441"/>
      <c r="AI625" s="441"/>
      <c r="AJ625" s="441"/>
      <c r="AK625" s="441"/>
      <c r="AL625" s="441"/>
      <c r="AM625" s="441"/>
      <c r="AN625" s="441"/>
      <c r="AO625" s="441"/>
      <c r="AP625" s="441"/>
      <c r="AQ625" s="441"/>
      <c r="AR625" s="441"/>
      <c r="AS625" s="441"/>
      <c r="AT625" s="441"/>
      <c r="AU625" s="441"/>
      <c r="AV625" s="441"/>
      <c r="AW625" s="441"/>
      <c r="AX625" s="441"/>
      <c r="AY625" s="441"/>
      <c r="AZ625" s="441"/>
      <c r="BA625" s="441"/>
    </row>
    <row r="626">
      <c r="A626" s="441"/>
      <c r="B626" s="441"/>
      <c r="C626" s="441"/>
      <c r="D626" s="441"/>
      <c r="E626" s="441"/>
      <c r="F626" s="441"/>
      <c r="G626" s="441"/>
      <c r="H626" s="441"/>
      <c r="I626" s="441"/>
      <c r="J626" s="441"/>
      <c r="K626" s="441"/>
      <c r="L626" s="441"/>
      <c r="M626" s="441"/>
      <c r="N626" s="441"/>
      <c r="O626" s="441"/>
      <c r="P626" s="441"/>
      <c r="Q626" s="441"/>
      <c r="R626" s="441"/>
      <c r="S626" s="441"/>
      <c r="T626" s="441"/>
      <c r="U626" s="441"/>
      <c r="V626" s="441"/>
      <c r="W626" s="441"/>
      <c r="X626" s="441"/>
      <c r="Y626" s="441"/>
      <c r="Z626" s="441"/>
      <c r="AA626" s="441"/>
      <c r="AB626" s="441"/>
      <c r="AC626" s="441"/>
      <c r="AD626" s="441"/>
      <c r="AE626" s="441"/>
      <c r="AF626" s="441"/>
      <c r="AG626" s="441"/>
      <c r="AH626" s="441"/>
      <c r="AI626" s="441"/>
      <c r="AJ626" s="441"/>
      <c r="AK626" s="441"/>
      <c r="AL626" s="441"/>
      <c r="AM626" s="441"/>
      <c r="AN626" s="441"/>
      <c r="AO626" s="441"/>
      <c r="AP626" s="441"/>
      <c r="AQ626" s="441"/>
      <c r="AR626" s="441"/>
      <c r="AS626" s="441"/>
      <c r="AT626" s="441"/>
      <c r="AU626" s="441"/>
      <c r="AV626" s="441"/>
      <c r="AW626" s="441"/>
      <c r="AX626" s="441"/>
      <c r="AY626" s="441"/>
      <c r="AZ626" s="441"/>
      <c r="BA626" s="441"/>
    </row>
    <row r="627">
      <c r="A627" s="441"/>
      <c r="B627" s="441"/>
      <c r="C627" s="441"/>
      <c r="D627" s="441"/>
      <c r="E627" s="441"/>
      <c r="F627" s="441"/>
      <c r="G627" s="441"/>
      <c r="H627" s="441"/>
      <c r="I627" s="441"/>
      <c r="J627" s="441"/>
      <c r="K627" s="441"/>
      <c r="L627" s="441"/>
      <c r="M627" s="441"/>
      <c r="N627" s="441"/>
      <c r="O627" s="441"/>
      <c r="P627" s="441"/>
      <c r="Q627" s="441"/>
      <c r="R627" s="441"/>
      <c r="S627" s="441"/>
      <c r="T627" s="441"/>
      <c r="U627" s="441"/>
      <c r="V627" s="441"/>
      <c r="W627" s="441"/>
      <c r="X627" s="441"/>
      <c r="Y627" s="441"/>
      <c r="Z627" s="441"/>
      <c r="AA627" s="441"/>
      <c r="AB627" s="441"/>
      <c r="AC627" s="441"/>
      <c r="AD627" s="441"/>
      <c r="AE627" s="441"/>
      <c r="AF627" s="441"/>
      <c r="AG627" s="441"/>
      <c r="AH627" s="441"/>
      <c r="AI627" s="441"/>
      <c r="AJ627" s="441"/>
      <c r="AK627" s="441"/>
      <c r="AL627" s="441"/>
      <c r="AM627" s="441"/>
      <c r="AN627" s="441"/>
      <c r="AO627" s="441"/>
      <c r="AP627" s="441"/>
      <c r="AQ627" s="441"/>
      <c r="AR627" s="441"/>
      <c r="AS627" s="441"/>
      <c r="AT627" s="441"/>
      <c r="AU627" s="441"/>
      <c r="AV627" s="441"/>
      <c r="AW627" s="441"/>
      <c r="AX627" s="441"/>
      <c r="AY627" s="441"/>
      <c r="AZ627" s="441"/>
      <c r="BA627" s="441"/>
    </row>
    <row r="628">
      <c r="A628" s="441"/>
      <c r="B628" s="441"/>
      <c r="C628" s="441"/>
      <c r="D628" s="441"/>
      <c r="E628" s="441"/>
      <c r="F628" s="441"/>
      <c r="G628" s="441"/>
      <c r="H628" s="441"/>
      <c r="I628" s="441"/>
      <c r="J628" s="441"/>
      <c r="K628" s="441"/>
      <c r="L628" s="441"/>
      <c r="M628" s="441"/>
      <c r="N628" s="441"/>
      <c r="O628" s="441"/>
      <c r="P628" s="441"/>
      <c r="Q628" s="441"/>
      <c r="R628" s="441"/>
      <c r="S628" s="441"/>
      <c r="T628" s="441"/>
      <c r="U628" s="441"/>
      <c r="V628" s="441"/>
      <c r="W628" s="441"/>
      <c r="X628" s="441"/>
      <c r="Y628" s="441"/>
      <c r="Z628" s="441"/>
      <c r="AA628" s="441"/>
      <c r="AB628" s="441"/>
      <c r="AC628" s="441"/>
      <c r="AD628" s="441"/>
      <c r="AE628" s="441"/>
      <c r="AF628" s="441"/>
      <c r="AG628" s="441"/>
      <c r="AH628" s="441"/>
      <c r="AI628" s="441"/>
      <c r="AJ628" s="441"/>
      <c r="AK628" s="441"/>
      <c r="AL628" s="441"/>
      <c r="AM628" s="441"/>
      <c r="AN628" s="441"/>
      <c r="AO628" s="441"/>
      <c r="AP628" s="441"/>
      <c r="AQ628" s="441"/>
      <c r="AR628" s="441"/>
      <c r="AS628" s="441"/>
      <c r="AT628" s="441"/>
      <c r="AU628" s="441"/>
      <c r="AV628" s="441"/>
      <c r="AW628" s="441"/>
      <c r="AX628" s="441"/>
      <c r="AY628" s="441"/>
      <c r="AZ628" s="441"/>
      <c r="BA628" s="441"/>
    </row>
    <row r="629">
      <c r="A629" s="441"/>
      <c r="B629" s="441"/>
      <c r="C629" s="441"/>
      <c r="D629" s="441"/>
      <c r="E629" s="441"/>
      <c r="F629" s="441"/>
      <c r="G629" s="441"/>
      <c r="H629" s="441"/>
      <c r="I629" s="441"/>
      <c r="J629" s="441"/>
      <c r="K629" s="441"/>
      <c r="L629" s="441"/>
      <c r="M629" s="441"/>
      <c r="N629" s="441"/>
      <c r="O629" s="441"/>
      <c r="P629" s="441"/>
      <c r="Q629" s="441"/>
      <c r="R629" s="441"/>
      <c r="S629" s="441"/>
      <c r="T629" s="441"/>
      <c r="U629" s="441"/>
      <c r="V629" s="441"/>
      <c r="W629" s="441"/>
      <c r="X629" s="441"/>
      <c r="Y629" s="441"/>
      <c r="Z629" s="441"/>
      <c r="AA629" s="441"/>
      <c r="AB629" s="441"/>
      <c r="AC629" s="441"/>
      <c r="AD629" s="441"/>
      <c r="AE629" s="441"/>
      <c r="AF629" s="441"/>
      <c r="AG629" s="441"/>
      <c r="AH629" s="441"/>
      <c r="AI629" s="441"/>
      <c r="AJ629" s="441"/>
      <c r="AK629" s="441"/>
      <c r="AL629" s="441"/>
      <c r="AM629" s="441"/>
      <c r="AN629" s="441"/>
      <c r="AO629" s="441"/>
      <c r="AP629" s="441"/>
      <c r="AQ629" s="441"/>
      <c r="AR629" s="441"/>
      <c r="AS629" s="441"/>
      <c r="AT629" s="441"/>
      <c r="AU629" s="441"/>
      <c r="AV629" s="441"/>
      <c r="AW629" s="441"/>
      <c r="AX629" s="441"/>
      <c r="AY629" s="441"/>
      <c r="AZ629" s="441"/>
      <c r="BA629" s="441"/>
    </row>
    <row r="630">
      <c r="A630" s="441"/>
      <c r="B630" s="441"/>
      <c r="C630" s="441"/>
      <c r="D630" s="441"/>
      <c r="E630" s="441"/>
      <c r="F630" s="441"/>
      <c r="G630" s="441"/>
      <c r="H630" s="441"/>
      <c r="I630" s="441"/>
      <c r="J630" s="441"/>
      <c r="K630" s="441"/>
      <c r="L630" s="441"/>
      <c r="M630" s="441"/>
      <c r="N630" s="441"/>
      <c r="O630" s="441"/>
      <c r="P630" s="441"/>
      <c r="Q630" s="441"/>
      <c r="R630" s="441"/>
      <c r="S630" s="441"/>
      <c r="T630" s="441"/>
      <c r="U630" s="441"/>
      <c r="V630" s="441"/>
      <c r="W630" s="441"/>
      <c r="X630" s="441"/>
      <c r="Y630" s="441"/>
      <c r="Z630" s="441"/>
      <c r="AA630" s="441"/>
      <c r="AB630" s="441"/>
      <c r="AC630" s="441"/>
      <c r="AD630" s="441"/>
      <c r="AE630" s="441"/>
      <c r="AF630" s="441"/>
      <c r="AG630" s="441"/>
      <c r="AH630" s="441"/>
      <c r="AI630" s="441"/>
      <c r="AJ630" s="441"/>
      <c r="AK630" s="441"/>
      <c r="AL630" s="441"/>
      <c r="AM630" s="441"/>
      <c r="AN630" s="441"/>
      <c r="AO630" s="441"/>
      <c r="AP630" s="441"/>
      <c r="AQ630" s="441"/>
      <c r="AR630" s="441"/>
      <c r="AS630" s="441"/>
      <c r="AT630" s="441"/>
      <c r="AU630" s="441"/>
      <c r="AV630" s="441"/>
      <c r="AW630" s="441"/>
      <c r="AX630" s="441"/>
      <c r="AY630" s="441"/>
      <c r="AZ630" s="441"/>
      <c r="BA630" s="441"/>
    </row>
    <row r="631">
      <c r="A631" s="441"/>
      <c r="B631" s="441"/>
      <c r="C631" s="441"/>
      <c r="D631" s="441"/>
      <c r="E631" s="441"/>
      <c r="F631" s="441"/>
      <c r="G631" s="441"/>
      <c r="H631" s="441"/>
      <c r="I631" s="441"/>
      <c r="J631" s="441"/>
      <c r="K631" s="441"/>
      <c r="L631" s="441"/>
      <c r="M631" s="441"/>
      <c r="N631" s="441"/>
      <c r="O631" s="441"/>
      <c r="P631" s="441"/>
      <c r="Q631" s="441"/>
      <c r="R631" s="441"/>
      <c r="S631" s="441"/>
      <c r="T631" s="441"/>
      <c r="U631" s="441"/>
      <c r="V631" s="441"/>
      <c r="W631" s="441"/>
      <c r="X631" s="441"/>
      <c r="Y631" s="441"/>
      <c r="Z631" s="441"/>
      <c r="AA631" s="441"/>
      <c r="AB631" s="441"/>
      <c r="AC631" s="441"/>
      <c r="AD631" s="441"/>
      <c r="AE631" s="441"/>
      <c r="AF631" s="441"/>
      <c r="AG631" s="441"/>
      <c r="AH631" s="441"/>
      <c r="AI631" s="441"/>
      <c r="AJ631" s="441"/>
      <c r="AK631" s="441"/>
      <c r="AL631" s="441"/>
      <c r="AM631" s="441"/>
      <c r="AN631" s="441"/>
      <c r="AO631" s="441"/>
      <c r="AP631" s="441"/>
      <c r="AQ631" s="441"/>
      <c r="AR631" s="441"/>
      <c r="AS631" s="441"/>
      <c r="AT631" s="441"/>
      <c r="AU631" s="441"/>
      <c r="AV631" s="441"/>
      <c r="AW631" s="441"/>
      <c r="AX631" s="441"/>
      <c r="AY631" s="441"/>
      <c r="AZ631" s="441"/>
      <c r="BA631" s="441"/>
    </row>
    <row r="632">
      <c r="A632" s="441"/>
      <c r="B632" s="441"/>
      <c r="C632" s="441"/>
      <c r="D632" s="441"/>
      <c r="E632" s="441"/>
      <c r="F632" s="441"/>
      <c r="G632" s="441"/>
      <c r="H632" s="441"/>
      <c r="I632" s="441"/>
      <c r="J632" s="441"/>
      <c r="K632" s="441"/>
      <c r="L632" s="441"/>
      <c r="M632" s="441"/>
      <c r="N632" s="441"/>
      <c r="O632" s="441"/>
      <c r="P632" s="441"/>
      <c r="Q632" s="441"/>
      <c r="R632" s="441"/>
      <c r="S632" s="441"/>
      <c r="T632" s="441"/>
      <c r="U632" s="441"/>
      <c r="V632" s="441"/>
      <c r="W632" s="441"/>
      <c r="X632" s="441"/>
      <c r="Y632" s="441"/>
      <c r="Z632" s="441"/>
      <c r="AA632" s="441"/>
      <c r="AB632" s="441"/>
      <c r="AC632" s="441"/>
      <c r="AD632" s="441"/>
      <c r="AE632" s="441"/>
      <c r="AF632" s="441"/>
      <c r="AG632" s="441"/>
      <c r="AH632" s="441"/>
      <c r="AI632" s="441"/>
      <c r="AJ632" s="441"/>
      <c r="AK632" s="441"/>
      <c r="AL632" s="441"/>
      <c r="AM632" s="441"/>
      <c r="AN632" s="441"/>
      <c r="AO632" s="441"/>
      <c r="AP632" s="441"/>
      <c r="AQ632" s="441"/>
      <c r="AR632" s="441"/>
      <c r="AS632" s="441"/>
      <c r="AT632" s="441"/>
      <c r="AU632" s="441"/>
      <c r="AV632" s="441"/>
      <c r="AW632" s="441"/>
      <c r="AX632" s="441"/>
      <c r="AY632" s="441"/>
      <c r="AZ632" s="441"/>
      <c r="BA632" s="441"/>
    </row>
    <row r="633">
      <c r="A633" s="441"/>
      <c r="B633" s="441"/>
      <c r="C633" s="441"/>
      <c r="D633" s="441"/>
      <c r="E633" s="441"/>
      <c r="F633" s="441"/>
      <c r="G633" s="441"/>
      <c r="H633" s="441"/>
      <c r="I633" s="441"/>
      <c r="J633" s="441"/>
      <c r="K633" s="441"/>
      <c r="L633" s="441"/>
      <c r="M633" s="441"/>
      <c r="N633" s="441"/>
      <c r="O633" s="441"/>
      <c r="P633" s="441"/>
      <c r="Q633" s="441"/>
      <c r="R633" s="441"/>
      <c r="S633" s="441"/>
      <c r="T633" s="441"/>
      <c r="U633" s="441"/>
      <c r="V633" s="441"/>
      <c r="W633" s="441"/>
      <c r="X633" s="441"/>
      <c r="Y633" s="441"/>
      <c r="Z633" s="441"/>
      <c r="AA633" s="441"/>
      <c r="AB633" s="441"/>
      <c r="AC633" s="441"/>
      <c r="AD633" s="441"/>
      <c r="AE633" s="441"/>
      <c r="AF633" s="441"/>
      <c r="AG633" s="441"/>
      <c r="AH633" s="441"/>
      <c r="AI633" s="441"/>
      <c r="AJ633" s="441"/>
      <c r="AK633" s="441"/>
      <c r="AL633" s="441"/>
      <c r="AM633" s="441"/>
      <c r="AN633" s="441"/>
      <c r="AO633" s="441"/>
      <c r="AP633" s="441"/>
      <c r="AQ633" s="441"/>
      <c r="AR633" s="441"/>
      <c r="AS633" s="441"/>
      <c r="AT633" s="441"/>
      <c r="AU633" s="441"/>
      <c r="AV633" s="441"/>
      <c r="AW633" s="441"/>
      <c r="AX633" s="441"/>
      <c r="AY633" s="441"/>
      <c r="AZ633" s="441"/>
      <c r="BA633" s="441"/>
    </row>
    <row r="634">
      <c r="A634" s="441"/>
      <c r="B634" s="441"/>
      <c r="C634" s="441"/>
      <c r="D634" s="441"/>
      <c r="E634" s="441"/>
      <c r="F634" s="441"/>
      <c r="G634" s="441"/>
      <c r="H634" s="441"/>
      <c r="I634" s="441"/>
      <c r="J634" s="441"/>
      <c r="K634" s="441"/>
      <c r="L634" s="441"/>
      <c r="M634" s="441"/>
      <c r="N634" s="441"/>
      <c r="O634" s="441"/>
      <c r="P634" s="441"/>
      <c r="Q634" s="441"/>
      <c r="R634" s="441"/>
      <c r="S634" s="441"/>
      <c r="T634" s="441"/>
      <c r="U634" s="441"/>
      <c r="V634" s="441"/>
      <c r="W634" s="441"/>
      <c r="X634" s="441"/>
      <c r="Y634" s="441"/>
      <c r="Z634" s="441"/>
      <c r="AA634" s="441"/>
      <c r="AB634" s="441"/>
      <c r="AC634" s="441"/>
      <c r="AD634" s="441"/>
      <c r="AE634" s="441"/>
      <c r="AF634" s="441"/>
      <c r="AG634" s="441"/>
      <c r="AH634" s="441"/>
      <c r="AI634" s="441"/>
      <c r="AJ634" s="441"/>
      <c r="AK634" s="441"/>
      <c r="AL634" s="441"/>
      <c r="AM634" s="441"/>
      <c r="AN634" s="441"/>
      <c r="AO634" s="441"/>
      <c r="AP634" s="441"/>
      <c r="AQ634" s="441"/>
      <c r="AR634" s="441"/>
      <c r="AS634" s="441"/>
      <c r="AT634" s="441"/>
      <c r="AU634" s="441"/>
      <c r="AV634" s="441"/>
      <c r="AW634" s="441"/>
      <c r="AX634" s="441"/>
      <c r="AY634" s="441"/>
      <c r="AZ634" s="441"/>
      <c r="BA634" s="441"/>
    </row>
    <row r="635">
      <c r="A635" s="441"/>
      <c r="B635" s="441"/>
      <c r="C635" s="441"/>
      <c r="D635" s="441"/>
      <c r="E635" s="441"/>
      <c r="F635" s="441"/>
      <c r="G635" s="441"/>
      <c r="H635" s="441"/>
      <c r="I635" s="441"/>
      <c r="J635" s="441"/>
      <c r="K635" s="441"/>
      <c r="L635" s="441"/>
      <c r="M635" s="441"/>
      <c r="N635" s="441"/>
      <c r="O635" s="441"/>
      <c r="P635" s="441"/>
      <c r="Q635" s="441"/>
      <c r="R635" s="441"/>
      <c r="S635" s="441"/>
      <c r="T635" s="441"/>
      <c r="U635" s="441"/>
      <c r="V635" s="441"/>
      <c r="W635" s="441"/>
      <c r="X635" s="441"/>
      <c r="Y635" s="441"/>
      <c r="Z635" s="441"/>
      <c r="AA635" s="441"/>
      <c r="AB635" s="441"/>
      <c r="AC635" s="441"/>
      <c r="AD635" s="441"/>
      <c r="AE635" s="441"/>
      <c r="AF635" s="441"/>
      <c r="AG635" s="441"/>
      <c r="AH635" s="441"/>
      <c r="AI635" s="441"/>
      <c r="AJ635" s="441"/>
      <c r="AK635" s="441"/>
      <c r="AL635" s="441"/>
      <c r="AM635" s="441"/>
      <c r="AN635" s="441"/>
      <c r="AO635" s="441"/>
      <c r="AP635" s="441"/>
      <c r="AQ635" s="441"/>
      <c r="AR635" s="441"/>
      <c r="AS635" s="441"/>
      <c r="AT635" s="441"/>
      <c r="AU635" s="441"/>
      <c r="AV635" s="441"/>
      <c r="AW635" s="441"/>
      <c r="AX635" s="441"/>
      <c r="AY635" s="441"/>
      <c r="AZ635" s="441"/>
      <c r="BA635" s="441"/>
    </row>
    <row r="636">
      <c r="A636" s="441"/>
      <c r="B636" s="441"/>
      <c r="C636" s="441"/>
      <c r="D636" s="441"/>
      <c r="E636" s="441"/>
      <c r="F636" s="441"/>
      <c r="G636" s="441"/>
      <c r="H636" s="441"/>
      <c r="I636" s="441"/>
      <c r="J636" s="441"/>
      <c r="K636" s="441"/>
      <c r="L636" s="441"/>
      <c r="M636" s="441"/>
      <c r="N636" s="441"/>
      <c r="O636" s="441"/>
      <c r="P636" s="441"/>
      <c r="Q636" s="441"/>
      <c r="R636" s="441"/>
      <c r="S636" s="441"/>
      <c r="T636" s="441"/>
      <c r="U636" s="441"/>
      <c r="V636" s="441"/>
      <c r="W636" s="441"/>
      <c r="X636" s="441"/>
      <c r="Y636" s="441"/>
      <c r="Z636" s="441"/>
      <c r="AA636" s="441"/>
      <c r="AB636" s="441"/>
      <c r="AC636" s="441"/>
      <c r="AD636" s="441"/>
      <c r="AE636" s="441"/>
      <c r="AF636" s="441"/>
      <c r="AG636" s="441"/>
      <c r="AH636" s="441"/>
      <c r="AI636" s="441"/>
      <c r="AJ636" s="441"/>
      <c r="AK636" s="441"/>
      <c r="AL636" s="441"/>
      <c r="AM636" s="441"/>
      <c r="AN636" s="441"/>
      <c r="AO636" s="441"/>
      <c r="AP636" s="441"/>
      <c r="AQ636" s="441"/>
      <c r="AR636" s="441"/>
      <c r="AS636" s="441"/>
      <c r="AT636" s="441"/>
      <c r="AU636" s="441"/>
      <c r="AV636" s="441"/>
      <c r="AW636" s="441"/>
      <c r="AX636" s="441"/>
      <c r="AY636" s="441"/>
      <c r="AZ636" s="441"/>
      <c r="BA636" s="441"/>
    </row>
    <row r="637">
      <c r="A637" s="441"/>
      <c r="B637" s="441"/>
      <c r="C637" s="441"/>
      <c r="D637" s="441"/>
      <c r="E637" s="441"/>
      <c r="F637" s="441"/>
      <c r="G637" s="441"/>
      <c r="H637" s="441"/>
      <c r="I637" s="441"/>
      <c r="J637" s="441"/>
      <c r="K637" s="441"/>
      <c r="L637" s="441"/>
      <c r="M637" s="441"/>
      <c r="N637" s="441"/>
      <c r="O637" s="441"/>
      <c r="P637" s="441"/>
      <c r="Q637" s="441"/>
      <c r="R637" s="441"/>
      <c r="S637" s="441"/>
      <c r="T637" s="441"/>
      <c r="U637" s="441"/>
      <c r="V637" s="441"/>
      <c r="W637" s="441"/>
      <c r="X637" s="441"/>
      <c r="Y637" s="441"/>
      <c r="Z637" s="441"/>
      <c r="AA637" s="441"/>
      <c r="AB637" s="441"/>
      <c r="AC637" s="441"/>
      <c r="AD637" s="441"/>
      <c r="AE637" s="441"/>
      <c r="AF637" s="441"/>
      <c r="AG637" s="441"/>
      <c r="AH637" s="441"/>
      <c r="AI637" s="441"/>
      <c r="AJ637" s="441"/>
      <c r="AK637" s="441"/>
      <c r="AL637" s="441"/>
      <c r="AM637" s="441"/>
      <c r="AN637" s="441"/>
      <c r="AO637" s="441"/>
      <c r="AP637" s="441"/>
      <c r="AQ637" s="441"/>
      <c r="AR637" s="441"/>
      <c r="AS637" s="441"/>
      <c r="AT637" s="441"/>
      <c r="AU637" s="441"/>
      <c r="AV637" s="441"/>
      <c r="AW637" s="441"/>
      <c r="AX637" s="441"/>
      <c r="AY637" s="441"/>
      <c r="AZ637" s="441"/>
      <c r="BA637" s="441"/>
    </row>
    <row r="638">
      <c r="A638" s="441"/>
      <c r="B638" s="441"/>
      <c r="C638" s="441"/>
      <c r="D638" s="441"/>
      <c r="E638" s="441"/>
      <c r="F638" s="441"/>
      <c r="G638" s="441"/>
      <c r="H638" s="441"/>
      <c r="I638" s="441"/>
      <c r="J638" s="441"/>
      <c r="K638" s="441"/>
      <c r="L638" s="441"/>
      <c r="M638" s="441"/>
      <c r="N638" s="441"/>
      <c r="O638" s="441"/>
      <c r="P638" s="441"/>
      <c r="Q638" s="441"/>
      <c r="R638" s="441"/>
      <c r="S638" s="441"/>
      <c r="T638" s="441"/>
      <c r="U638" s="441"/>
      <c r="V638" s="441"/>
      <c r="W638" s="441"/>
      <c r="X638" s="441"/>
      <c r="Y638" s="441"/>
      <c r="Z638" s="441"/>
      <c r="AA638" s="441"/>
      <c r="AB638" s="441"/>
      <c r="AC638" s="441"/>
      <c r="AD638" s="441"/>
      <c r="AE638" s="441"/>
      <c r="AF638" s="441"/>
      <c r="AG638" s="441"/>
      <c r="AH638" s="441"/>
      <c r="AI638" s="441"/>
      <c r="AJ638" s="441"/>
      <c r="AK638" s="441"/>
      <c r="AL638" s="441"/>
      <c r="AM638" s="441"/>
      <c r="AN638" s="441"/>
      <c r="AO638" s="441"/>
      <c r="AP638" s="441"/>
      <c r="AQ638" s="441"/>
      <c r="AR638" s="441"/>
      <c r="AS638" s="441"/>
      <c r="AT638" s="441"/>
      <c r="AU638" s="441"/>
      <c r="AV638" s="441"/>
      <c r="AW638" s="441"/>
      <c r="AX638" s="441"/>
      <c r="AY638" s="441"/>
      <c r="AZ638" s="441"/>
      <c r="BA638" s="441"/>
    </row>
    <row r="639">
      <c r="A639" s="441"/>
      <c r="B639" s="441"/>
      <c r="C639" s="441"/>
      <c r="D639" s="441"/>
      <c r="E639" s="441"/>
      <c r="F639" s="441"/>
      <c r="G639" s="441"/>
      <c r="H639" s="441"/>
      <c r="I639" s="441"/>
      <c r="J639" s="441"/>
      <c r="K639" s="441"/>
      <c r="L639" s="441"/>
      <c r="M639" s="441"/>
      <c r="N639" s="441"/>
      <c r="O639" s="441"/>
      <c r="P639" s="441"/>
      <c r="Q639" s="441"/>
      <c r="R639" s="441"/>
      <c r="S639" s="441"/>
      <c r="T639" s="441"/>
      <c r="U639" s="441"/>
      <c r="V639" s="441"/>
      <c r="W639" s="441"/>
      <c r="X639" s="441"/>
      <c r="Y639" s="441"/>
      <c r="Z639" s="441"/>
      <c r="AA639" s="441"/>
      <c r="AB639" s="441"/>
      <c r="AC639" s="441"/>
      <c r="AD639" s="441"/>
      <c r="AE639" s="441"/>
      <c r="AF639" s="441"/>
      <c r="AG639" s="441"/>
      <c r="AH639" s="441"/>
      <c r="AI639" s="441"/>
      <c r="AJ639" s="441"/>
      <c r="AK639" s="441"/>
      <c r="AL639" s="441"/>
      <c r="AM639" s="441"/>
      <c r="AN639" s="441"/>
      <c r="AO639" s="441"/>
      <c r="AP639" s="441"/>
      <c r="AQ639" s="441"/>
      <c r="AR639" s="441"/>
      <c r="AS639" s="441"/>
      <c r="AT639" s="441"/>
      <c r="AU639" s="441"/>
      <c r="AV639" s="441"/>
      <c r="AW639" s="441"/>
      <c r="AX639" s="441"/>
      <c r="AY639" s="441"/>
      <c r="AZ639" s="441"/>
      <c r="BA639" s="441"/>
    </row>
    <row r="640">
      <c r="A640" s="441"/>
      <c r="B640" s="441"/>
      <c r="C640" s="441"/>
      <c r="D640" s="441"/>
      <c r="E640" s="441"/>
      <c r="F640" s="441"/>
      <c r="G640" s="441"/>
      <c r="H640" s="441"/>
      <c r="I640" s="441"/>
      <c r="J640" s="441"/>
      <c r="K640" s="441"/>
      <c r="L640" s="441"/>
      <c r="M640" s="441"/>
      <c r="N640" s="441"/>
      <c r="O640" s="441"/>
      <c r="P640" s="441"/>
      <c r="Q640" s="441"/>
      <c r="R640" s="441"/>
      <c r="S640" s="441"/>
      <c r="T640" s="441"/>
      <c r="U640" s="441"/>
      <c r="V640" s="441"/>
      <c r="W640" s="441"/>
      <c r="X640" s="441"/>
      <c r="Y640" s="441"/>
      <c r="Z640" s="441"/>
      <c r="AA640" s="441"/>
      <c r="AB640" s="441"/>
      <c r="AC640" s="441"/>
      <c r="AD640" s="441"/>
      <c r="AE640" s="441"/>
      <c r="AF640" s="441"/>
      <c r="AG640" s="441"/>
      <c r="AH640" s="441"/>
      <c r="AI640" s="441"/>
      <c r="AJ640" s="441"/>
      <c r="AK640" s="441"/>
      <c r="AL640" s="441"/>
      <c r="AM640" s="441"/>
      <c r="AN640" s="441"/>
      <c r="AO640" s="441"/>
      <c r="AP640" s="441"/>
      <c r="AQ640" s="441"/>
      <c r="AR640" s="441"/>
      <c r="AS640" s="441"/>
      <c r="AT640" s="441"/>
      <c r="AU640" s="441"/>
      <c r="AV640" s="441"/>
      <c r="AW640" s="441"/>
      <c r="AX640" s="441"/>
      <c r="AY640" s="441"/>
      <c r="AZ640" s="441"/>
      <c r="BA640" s="441"/>
    </row>
    <row r="641">
      <c r="A641" s="441"/>
      <c r="B641" s="441"/>
      <c r="C641" s="441"/>
      <c r="D641" s="441"/>
      <c r="E641" s="441"/>
      <c r="F641" s="441"/>
      <c r="G641" s="441"/>
      <c r="H641" s="441"/>
      <c r="I641" s="441"/>
      <c r="J641" s="441"/>
      <c r="K641" s="441"/>
      <c r="L641" s="441"/>
      <c r="M641" s="441"/>
      <c r="N641" s="441"/>
      <c r="O641" s="441"/>
      <c r="P641" s="441"/>
      <c r="Q641" s="441"/>
      <c r="R641" s="441"/>
      <c r="S641" s="441"/>
      <c r="T641" s="441"/>
      <c r="U641" s="441"/>
      <c r="V641" s="441"/>
      <c r="W641" s="441"/>
      <c r="X641" s="441"/>
      <c r="Y641" s="441"/>
      <c r="Z641" s="441"/>
      <c r="AA641" s="441"/>
      <c r="AB641" s="441"/>
      <c r="AC641" s="441"/>
      <c r="AD641" s="441"/>
      <c r="AE641" s="441"/>
      <c r="AF641" s="441"/>
      <c r="AG641" s="441"/>
      <c r="AH641" s="441"/>
      <c r="AI641" s="441"/>
      <c r="AJ641" s="441"/>
      <c r="AK641" s="441"/>
      <c r="AL641" s="441"/>
      <c r="AM641" s="441"/>
      <c r="AN641" s="441"/>
      <c r="AO641" s="441"/>
      <c r="AP641" s="441"/>
      <c r="AQ641" s="441"/>
      <c r="AR641" s="441"/>
      <c r="AS641" s="441"/>
      <c r="AT641" s="441"/>
      <c r="AU641" s="441"/>
      <c r="AV641" s="441"/>
      <c r="AW641" s="441"/>
      <c r="AX641" s="441"/>
      <c r="AY641" s="441"/>
      <c r="AZ641" s="441"/>
      <c r="BA641" s="441"/>
    </row>
    <row r="642">
      <c r="A642" s="441"/>
      <c r="B642" s="441"/>
      <c r="C642" s="441"/>
      <c r="D642" s="441"/>
      <c r="E642" s="441"/>
      <c r="F642" s="441"/>
      <c r="G642" s="441"/>
      <c r="H642" s="441"/>
      <c r="I642" s="441"/>
      <c r="J642" s="441"/>
      <c r="K642" s="441"/>
      <c r="L642" s="441"/>
      <c r="M642" s="441"/>
      <c r="N642" s="441"/>
      <c r="O642" s="441"/>
      <c r="P642" s="441"/>
      <c r="Q642" s="441"/>
      <c r="R642" s="441"/>
      <c r="S642" s="441"/>
      <c r="T642" s="441"/>
      <c r="U642" s="441"/>
      <c r="V642" s="441"/>
      <c r="W642" s="441"/>
      <c r="X642" s="441"/>
      <c r="Y642" s="441"/>
      <c r="Z642" s="441"/>
      <c r="AA642" s="441"/>
      <c r="AB642" s="441"/>
      <c r="AC642" s="441"/>
      <c r="AD642" s="441"/>
      <c r="AE642" s="441"/>
      <c r="AF642" s="441"/>
      <c r="AG642" s="441"/>
      <c r="AH642" s="441"/>
      <c r="AI642" s="441"/>
      <c r="AJ642" s="441"/>
      <c r="AK642" s="441"/>
      <c r="AL642" s="441"/>
      <c r="AM642" s="441"/>
      <c r="AN642" s="441"/>
      <c r="AO642" s="441"/>
      <c r="AP642" s="441"/>
      <c r="AQ642" s="441"/>
      <c r="AR642" s="441"/>
      <c r="AS642" s="441"/>
      <c r="AT642" s="441"/>
      <c r="AU642" s="441"/>
      <c r="AV642" s="441"/>
      <c r="AW642" s="441"/>
      <c r="AX642" s="441"/>
      <c r="AY642" s="441"/>
      <c r="AZ642" s="441"/>
      <c r="BA642" s="441"/>
    </row>
    <row r="643">
      <c r="A643" s="441"/>
      <c r="B643" s="441"/>
      <c r="C643" s="441"/>
      <c r="D643" s="441"/>
      <c r="E643" s="441"/>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1"/>
      <c r="AD643" s="441"/>
      <c r="AE643" s="441"/>
      <c r="AF643" s="441"/>
      <c r="AG643" s="441"/>
      <c r="AH643" s="441"/>
      <c r="AI643" s="441"/>
      <c r="AJ643" s="441"/>
      <c r="AK643" s="441"/>
      <c r="AL643" s="441"/>
      <c r="AM643" s="441"/>
      <c r="AN643" s="441"/>
      <c r="AO643" s="441"/>
      <c r="AP643" s="441"/>
      <c r="AQ643" s="441"/>
      <c r="AR643" s="441"/>
      <c r="AS643" s="441"/>
      <c r="AT643" s="441"/>
      <c r="AU643" s="441"/>
      <c r="AV643" s="441"/>
      <c r="AW643" s="441"/>
      <c r="AX643" s="441"/>
      <c r="AY643" s="441"/>
      <c r="AZ643" s="441"/>
      <c r="BA643" s="441"/>
    </row>
    <row r="644">
      <c r="A644" s="441"/>
      <c r="B644" s="441"/>
      <c r="C644" s="441"/>
      <c r="D644" s="441"/>
      <c r="E644" s="441"/>
      <c r="F644" s="441"/>
      <c r="G644" s="441"/>
      <c r="H644" s="441"/>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D644" s="441"/>
      <c r="AE644" s="441"/>
      <c r="AF644" s="441"/>
      <c r="AG644" s="441"/>
      <c r="AH644" s="441"/>
      <c r="AI644" s="441"/>
      <c r="AJ644" s="441"/>
      <c r="AK644" s="441"/>
      <c r="AL644" s="441"/>
      <c r="AM644" s="441"/>
      <c r="AN644" s="441"/>
      <c r="AO644" s="441"/>
      <c r="AP644" s="441"/>
      <c r="AQ644" s="441"/>
      <c r="AR644" s="441"/>
      <c r="AS644" s="441"/>
      <c r="AT644" s="441"/>
      <c r="AU644" s="441"/>
      <c r="AV644" s="441"/>
      <c r="AW644" s="441"/>
      <c r="AX644" s="441"/>
      <c r="AY644" s="441"/>
      <c r="AZ644" s="441"/>
      <c r="BA644" s="441"/>
    </row>
    <row r="645">
      <c r="A645" s="441"/>
      <c r="B645" s="441"/>
      <c r="C645" s="441"/>
      <c r="D645" s="441"/>
      <c r="E645" s="441"/>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1"/>
      <c r="AQ645" s="441"/>
      <c r="AR645" s="441"/>
      <c r="AS645" s="441"/>
      <c r="AT645" s="441"/>
      <c r="AU645" s="441"/>
      <c r="AV645" s="441"/>
      <c r="AW645" s="441"/>
      <c r="AX645" s="441"/>
      <c r="AY645" s="441"/>
      <c r="AZ645" s="441"/>
      <c r="BA645" s="441"/>
    </row>
    <row r="646">
      <c r="A646" s="441"/>
      <c r="B646" s="441"/>
      <c r="C646" s="441"/>
      <c r="D646" s="441"/>
      <c r="E646" s="441"/>
      <c r="F646" s="441"/>
      <c r="G646" s="441"/>
      <c r="H646" s="441"/>
      <c r="I646" s="441"/>
      <c r="J646" s="441"/>
      <c r="K646" s="441"/>
      <c r="L646" s="441"/>
      <c r="M646" s="441"/>
      <c r="N646" s="441"/>
      <c r="O646" s="441"/>
      <c r="P646" s="441"/>
      <c r="Q646" s="441"/>
      <c r="R646" s="441"/>
      <c r="S646" s="441"/>
      <c r="T646" s="441"/>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1"/>
      <c r="AQ646" s="441"/>
      <c r="AR646" s="441"/>
      <c r="AS646" s="441"/>
      <c r="AT646" s="441"/>
      <c r="AU646" s="441"/>
      <c r="AV646" s="441"/>
      <c r="AW646" s="441"/>
      <c r="AX646" s="441"/>
      <c r="AY646" s="441"/>
      <c r="AZ646" s="441"/>
      <c r="BA646" s="441"/>
    </row>
    <row r="647">
      <c r="A647" s="441"/>
      <c r="B647" s="441"/>
      <c r="C647" s="441"/>
      <c r="D647" s="441"/>
      <c r="E647" s="441"/>
      <c r="F647" s="441"/>
      <c r="G647" s="441"/>
      <c r="H647" s="441"/>
      <c r="I647" s="441"/>
      <c r="J647" s="441"/>
      <c r="K647" s="441"/>
      <c r="L647" s="441"/>
      <c r="M647" s="441"/>
      <c r="N647" s="441"/>
      <c r="O647" s="441"/>
      <c r="P647" s="441"/>
      <c r="Q647" s="441"/>
      <c r="R647" s="441"/>
      <c r="S647" s="441"/>
      <c r="T647" s="441"/>
      <c r="U647" s="441"/>
      <c r="V647" s="441"/>
      <c r="W647" s="441"/>
      <c r="X647" s="441"/>
      <c r="Y647" s="441"/>
      <c r="Z647" s="441"/>
      <c r="AA647" s="441"/>
      <c r="AB647" s="441"/>
      <c r="AC647" s="441"/>
      <c r="AD647" s="441"/>
      <c r="AE647" s="441"/>
      <c r="AF647" s="441"/>
      <c r="AG647" s="441"/>
      <c r="AH647" s="441"/>
      <c r="AI647" s="441"/>
      <c r="AJ647" s="441"/>
      <c r="AK647" s="441"/>
      <c r="AL647" s="441"/>
      <c r="AM647" s="441"/>
      <c r="AN647" s="441"/>
      <c r="AO647" s="441"/>
      <c r="AP647" s="441"/>
      <c r="AQ647" s="441"/>
      <c r="AR647" s="441"/>
      <c r="AS647" s="441"/>
      <c r="AT647" s="441"/>
      <c r="AU647" s="441"/>
      <c r="AV647" s="441"/>
      <c r="AW647" s="441"/>
      <c r="AX647" s="441"/>
      <c r="AY647" s="441"/>
      <c r="AZ647" s="441"/>
      <c r="BA647" s="441"/>
    </row>
    <row r="648">
      <c r="A648" s="441"/>
      <c r="B648" s="441"/>
      <c r="C648" s="441"/>
      <c r="D648" s="441"/>
      <c r="E648" s="441"/>
      <c r="F648" s="441"/>
      <c r="G648" s="441"/>
      <c r="H648" s="441"/>
      <c r="I648" s="441"/>
      <c r="J648" s="441"/>
      <c r="K648" s="441"/>
      <c r="L648" s="441"/>
      <c r="M648" s="441"/>
      <c r="N648" s="441"/>
      <c r="O648" s="441"/>
      <c r="P648" s="441"/>
      <c r="Q648" s="441"/>
      <c r="R648" s="441"/>
      <c r="S648" s="441"/>
      <c r="T648" s="441"/>
      <c r="U648" s="441"/>
      <c r="V648" s="441"/>
      <c r="W648" s="441"/>
      <c r="X648" s="441"/>
      <c r="Y648" s="441"/>
      <c r="Z648" s="441"/>
      <c r="AA648" s="441"/>
      <c r="AB648" s="441"/>
      <c r="AC648" s="441"/>
      <c r="AD648" s="441"/>
      <c r="AE648" s="441"/>
      <c r="AF648" s="441"/>
      <c r="AG648" s="441"/>
      <c r="AH648" s="441"/>
      <c r="AI648" s="441"/>
      <c r="AJ648" s="441"/>
      <c r="AK648" s="441"/>
      <c r="AL648" s="441"/>
      <c r="AM648" s="441"/>
      <c r="AN648" s="441"/>
      <c r="AO648" s="441"/>
      <c r="AP648" s="441"/>
      <c r="AQ648" s="441"/>
      <c r="AR648" s="441"/>
      <c r="AS648" s="441"/>
      <c r="AT648" s="441"/>
      <c r="AU648" s="441"/>
      <c r="AV648" s="441"/>
      <c r="AW648" s="441"/>
      <c r="AX648" s="441"/>
      <c r="AY648" s="441"/>
      <c r="AZ648" s="441"/>
      <c r="BA648" s="441"/>
    </row>
    <row r="649">
      <c r="A649" s="441"/>
      <c r="B649" s="441"/>
      <c r="C649" s="441"/>
      <c r="D649" s="441"/>
      <c r="E649" s="441"/>
      <c r="F649" s="441"/>
      <c r="G649" s="441"/>
      <c r="H649" s="441"/>
      <c r="I649" s="441"/>
      <c r="J649" s="441"/>
      <c r="K649" s="441"/>
      <c r="L649" s="441"/>
      <c r="M649" s="441"/>
      <c r="N649" s="441"/>
      <c r="O649" s="441"/>
      <c r="P649" s="441"/>
      <c r="Q649" s="441"/>
      <c r="R649" s="441"/>
      <c r="S649" s="441"/>
      <c r="T649" s="441"/>
      <c r="U649" s="441"/>
      <c r="V649" s="441"/>
      <c r="W649" s="441"/>
      <c r="X649" s="441"/>
      <c r="Y649" s="441"/>
      <c r="Z649" s="441"/>
      <c r="AA649" s="441"/>
      <c r="AB649" s="441"/>
      <c r="AC649" s="441"/>
      <c r="AD649" s="441"/>
      <c r="AE649" s="441"/>
      <c r="AF649" s="441"/>
      <c r="AG649" s="441"/>
      <c r="AH649" s="441"/>
      <c r="AI649" s="441"/>
      <c r="AJ649" s="441"/>
      <c r="AK649" s="441"/>
      <c r="AL649" s="441"/>
      <c r="AM649" s="441"/>
      <c r="AN649" s="441"/>
      <c r="AO649" s="441"/>
      <c r="AP649" s="441"/>
      <c r="AQ649" s="441"/>
      <c r="AR649" s="441"/>
      <c r="AS649" s="441"/>
      <c r="AT649" s="441"/>
      <c r="AU649" s="441"/>
      <c r="AV649" s="441"/>
      <c r="AW649" s="441"/>
      <c r="AX649" s="441"/>
      <c r="AY649" s="441"/>
      <c r="AZ649" s="441"/>
      <c r="BA649" s="441"/>
    </row>
    <row r="650">
      <c r="A650" s="441"/>
      <c r="B650" s="441"/>
      <c r="C650" s="441"/>
      <c r="D650" s="441"/>
      <c r="E650" s="441"/>
      <c r="F650" s="441"/>
      <c r="G650" s="441"/>
      <c r="H650" s="441"/>
      <c r="I650" s="441"/>
      <c r="J650" s="441"/>
      <c r="K650" s="441"/>
      <c r="L650" s="441"/>
      <c r="M650" s="441"/>
      <c r="N650" s="441"/>
      <c r="O650" s="441"/>
      <c r="P650" s="441"/>
      <c r="Q650" s="441"/>
      <c r="R650" s="441"/>
      <c r="S650" s="441"/>
      <c r="T650" s="441"/>
      <c r="U650" s="441"/>
      <c r="V650" s="441"/>
      <c r="W650" s="441"/>
      <c r="X650" s="441"/>
      <c r="Y650" s="441"/>
      <c r="Z650" s="441"/>
      <c r="AA650" s="441"/>
      <c r="AB650" s="441"/>
      <c r="AC650" s="441"/>
      <c r="AD650" s="441"/>
      <c r="AE650" s="441"/>
      <c r="AF650" s="441"/>
      <c r="AG650" s="441"/>
      <c r="AH650" s="441"/>
      <c r="AI650" s="441"/>
      <c r="AJ650" s="441"/>
      <c r="AK650" s="441"/>
      <c r="AL650" s="441"/>
      <c r="AM650" s="441"/>
      <c r="AN650" s="441"/>
      <c r="AO650" s="441"/>
      <c r="AP650" s="441"/>
      <c r="AQ650" s="441"/>
      <c r="AR650" s="441"/>
      <c r="AS650" s="441"/>
      <c r="AT650" s="441"/>
      <c r="AU650" s="441"/>
      <c r="AV650" s="441"/>
      <c r="AW650" s="441"/>
      <c r="AX650" s="441"/>
      <c r="AY650" s="441"/>
      <c r="AZ650" s="441"/>
      <c r="BA650" s="441"/>
    </row>
    <row r="651">
      <c r="A651" s="441"/>
      <c r="B651" s="441"/>
      <c r="C651" s="441"/>
      <c r="D651" s="441"/>
      <c r="E651" s="441"/>
      <c r="F651" s="441"/>
      <c r="G651" s="441"/>
      <c r="H651" s="441"/>
      <c r="I651" s="441"/>
      <c r="J651" s="441"/>
      <c r="K651" s="441"/>
      <c r="L651" s="441"/>
      <c r="M651" s="441"/>
      <c r="N651" s="441"/>
      <c r="O651" s="441"/>
      <c r="P651" s="441"/>
      <c r="Q651" s="441"/>
      <c r="R651" s="441"/>
      <c r="S651" s="441"/>
      <c r="T651" s="441"/>
      <c r="U651" s="441"/>
      <c r="V651" s="441"/>
      <c r="W651" s="441"/>
      <c r="X651" s="441"/>
      <c r="Y651" s="441"/>
      <c r="Z651" s="441"/>
      <c r="AA651" s="441"/>
      <c r="AB651" s="441"/>
      <c r="AC651" s="441"/>
      <c r="AD651" s="441"/>
      <c r="AE651" s="441"/>
      <c r="AF651" s="441"/>
      <c r="AG651" s="441"/>
      <c r="AH651" s="441"/>
      <c r="AI651" s="441"/>
      <c r="AJ651" s="441"/>
      <c r="AK651" s="441"/>
      <c r="AL651" s="441"/>
      <c r="AM651" s="441"/>
      <c r="AN651" s="441"/>
      <c r="AO651" s="441"/>
      <c r="AP651" s="441"/>
      <c r="AQ651" s="441"/>
      <c r="AR651" s="441"/>
      <c r="AS651" s="441"/>
      <c r="AT651" s="441"/>
      <c r="AU651" s="441"/>
      <c r="AV651" s="441"/>
      <c r="AW651" s="441"/>
      <c r="AX651" s="441"/>
      <c r="AY651" s="441"/>
      <c r="AZ651" s="441"/>
      <c r="BA651" s="441"/>
    </row>
    <row r="652">
      <c r="A652" s="441"/>
      <c r="B652" s="441"/>
      <c r="C652" s="441"/>
      <c r="D652" s="441"/>
      <c r="E652" s="441"/>
      <c r="F652" s="441"/>
      <c r="G652" s="441"/>
      <c r="H652" s="441"/>
      <c r="I652" s="441"/>
      <c r="J652" s="441"/>
      <c r="K652" s="441"/>
      <c r="L652" s="441"/>
      <c r="M652" s="441"/>
      <c r="N652" s="441"/>
      <c r="O652" s="441"/>
      <c r="P652" s="441"/>
      <c r="Q652" s="441"/>
      <c r="R652" s="441"/>
      <c r="S652" s="441"/>
      <c r="T652" s="441"/>
      <c r="U652" s="441"/>
      <c r="V652" s="441"/>
      <c r="W652" s="441"/>
      <c r="X652" s="441"/>
      <c r="Y652" s="441"/>
      <c r="Z652" s="441"/>
      <c r="AA652" s="441"/>
      <c r="AB652" s="441"/>
      <c r="AC652" s="441"/>
      <c r="AD652" s="441"/>
      <c r="AE652" s="441"/>
      <c r="AF652" s="441"/>
      <c r="AG652" s="441"/>
      <c r="AH652" s="441"/>
      <c r="AI652" s="441"/>
      <c r="AJ652" s="441"/>
      <c r="AK652" s="441"/>
      <c r="AL652" s="441"/>
      <c r="AM652" s="441"/>
      <c r="AN652" s="441"/>
      <c r="AO652" s="441"/>
      <c r="AP652" s="441"/>
      <c r="AQ652" s="441"/>
      <c r="AR652" s="441"/>
      <c r="AS652" s="441"/>
      <c r="AT652" s="441"/>
      <c r="AU652" s="441"/>
      <c r="AV652" s="441"/>
      <c r="AW652" s="441"/>
      <c r="AX652" s="441"/>
      <c r="AY652" s="441"/>
      <c r="AZ652" s="441"/>
      <c r="BA652" s="441"/>
    </row>
    <row r="653">
      <c r="A653" s="441"/>
      <c r="B653" s="441"/>
      <c r="C653" s="441"/>
      <c r="D653" s="441"/>
      <c r="E653" s="441"/>
      <c r="F653" s="441"/>
      <c r="G653" s="441"/>
      <c r="H653" s="441"/>
      <c r="I653" s="441"/>
      <c r="J653" s="441"/>
      <c r="K653" s="441"/>
      <c r="L653" s="441"/>
      <c r="M653" s="441"/>
      <c r="N653" s="441"/>
      <c r="O653" s="441"/>
      <c r="P653" s="441"/>
      <c r="Q653" s="441"/>
      <c r="R653" s="441"/>
      <c r="S653" s="441"/>
      <c r="T653" s="441"/>
      <c r="U653" s="441"/>
      <c r="V653" s="441"/>
      <c r="W653" s="441"/>
      <c r="X653" s="441"/>
      <c r="Y653" s="441"/>
      <c r="Z653" s="441"/>
      <c r="AA653" s="441"/>
      <c r="AB653" s="441"/>
      <c r="AC653" s="441"/>
      <c r="AD653" s="441"/>
      <c r="AE653" s="441"/>
      <c r="AF653" s="441"/>
      <c r="AG653" s="441"/>
      <c r="AH653" s="441"/>
      <c r="AI653" s="441"/>
      <c r="AJ653" s="441"/>
      <c r="AK653" s="441"/>
      <c r="AL653" s="441"/>
      <c r="AM653" s="441"/>
      <c r="AN653" s="441"/>
      <c r="AO653" s="441"/>
      <c r="AP653" s="441"/>
      <c r="AQ653" s="441"/>
      <c r="AR653" s="441"/>
      <c r="AS653" s="441"/>
      <c r="AT653" s="441"/>
      <c r="AU653" s="441"/>
      <c r="AV653" s="441"/>
      <c r="AW653" s="441"/>
      <c r="AX653" s="441"/>
      <c r="AY653" s="441"/>
      <c r="AZ653" s="441"/>
      <c r="BA653" s="441"/>
    </row>
    <row r="654">
      <c r="A654" s="441"/>
      <c r="B654" s="441"/>
      <c r="C654" s="441"/>
      <c r="D654" s="441"/>
      <c r="E654" s="441"/>
      <c r="F654" s="441"/>
      <c r="G654" s="441"/>
      <c r="H654" s="441"/>
      <c r="I654" s="441"/>
      <c r="J654" s="441"/>
      <c r="K654" s="441"/>
      <c r="L654" s="441"/>
      <c r="M654" s="441"/>
      <c r="N654" s="441"/>
      <c r="O654" s="441"/>
      <c r="P654" s="441"/>
      <c r="Q654" s="441"/>
      <c r="R654" s="441"/>
      <c r="S654" s="441"/>
      <c r="T654" s="441"/>
      <c r="U654" s="441"/>
      <c r="V654" s="441"/>
      <c r="W654" s="441"/>
      <c r="X654" s="441"/>
      <c r="Y654" s="441"/>
      <c r="Z654" s="441"/>
      <c r="AA654" s="441"/>
      <c r="AB654" s="441"/>
      <c r="AC654" s="441"/>
      <c r="AD654" s="441"/>
      <c r="AE654" s="441"/>
      <c r="AF654" s="441"/>
      <c r="AG654" s="441"/>
      <c r="AH654" s="441"/>
      <c r="AI654" s="441"/>
      <c r="AJ654" s="441"/>
      <c r="AK654" s="441"/>
      <c r="AL654" s="441"/>
      <c r="AM654" s="441"/>
      <c r="AN654" s="441"/>
      <c r="AO654" s="441"/>
      <c r="AP654" s="441"/>
      <c r="AQ654" s="441"/>
      <c r="AR654" s="441"/>
      <c r="AS654" s="441"/>
      <c r="AT654" s="441"/>
      <c r="AU654" s="441"/>
      <c r="AV654" s="441"/>
      <c r="AW654" s="441"/>
      <c r="AX654" s="441"/>
      <c r="AY654" s="441"/>
      <c r="AZ654" s="441"/>
      <c r="BA654" s="441"/>
    </row>
    <row r="655">
      <c r="A655" s="441"/>
      <c r="B655" s="441"/>
      <c r="C655" s="441"/>
      <c r="D655" s="441"/>
      <c r="E655" s="441"/>
      <c r="F655" s="441"/>
      <c r="G655" s="441"/>
      <c r="H655" s="441"/>
      <c r="I655" s="441"/>
      <c r="J655" s="441"/>
      <c r="K655" s="441"/>
      <c r="L655" s="441"/>
      <c r="M655" s="441"/>
      <c r="N655" s="441"/>
      <c r="O655" s="441"/>
      <c r="P655" s="441"/>
      <c r="Q655" s="441"/>
      <c r="R655" s="441"/>
      <c r="S655" s="441"/>
      <c r="T655" s="441"/>
      <c r="U655" s="441"/>
      <c r="V655" s="441"/>
      <c r="W655" s="441"/>
      <c r="X655" s="441"/>
      <c r="Y655" s="441"/>
      <c r="Z655" s="441"/>
      <c r="AA655" s="441"/>
      <c r="AB655" s="441"/>
      <c r="AC655" s="441"/>
      <c r="AD655" s="441"/>
      <c r="AE655" s="441"/>
      <c r="AF655" s="441"/>
      <c r="AG655" s="441"/>
      <c r="AH655" s="441"/>
      <c r="AI655" s="441"/>
      <c r="AJ655" s="441"/>
      <c r="AK655" s="441"/>
      <c r="AL655" s="441"/>
      <c r="AM655" s="441"/>
      <c r="AN655" s="441"/>
      <c r="AO655" s="441"/>
      <c r="AP655" s="441"/>
      <c r="AQ655" s="441"/>
      <c r="AR655" s="441"/>
      <c r="AS655" s="441"/>
      <c r="AT655" s="441"/>
      <c r="AU655" s="441"/>
      <c r="AV655" s="441"/>
      <c r="AW655" s="441"/>
      <c r="AX655" s="441"/>
      <c r="AY655" s="441"/>
      <c r="AZ655" s="441"/>
      <c r="BA655" s="441"/>
    </row>
    <row r="656">
      <c r="A656" s="441"/>
      <c r="B656" s="441"/>
      <c r="C656" s="441"/>
      <c r="D656" s="441"/>
      <c r="E656" s="441"/>
      <c r="F656" s="441"/>
      <c r="G656" s="441"/>
      <c r="H656" s="441"/>
      <c r="I656" s="441"/>
      <c r="J656" s="441"/>
      <c r="K656" s="441"/>
      <c r="L656" s="441"/>
      <c r="M656" s="441"/>
      <c r="N656" s="441"/>
      <c r="O656" s="441"/>
      <c r="P656" s="441"/>
      <c r="Q656" s="441"/>
      <c r="R656" s="441"/>
      <c r="S656" s="441"/>
      <c r="T656" s="441"/>
      <c r="U656" s="441"/>
      <c r="V656" s="441"/>
      <c r="W656" s="441"/>
      <c r="X656" s="441"/>
      <c r="Y656" s="441"/>
      <c r="Z656" s="441"/>
      <c r="AA656" s="441"/>
      <c r="AB656" s="441"/>
      <c r="AC656" s="441"/>
      <c r="AD656" s="441"/>
      <c r="AE656" s="441"/>
      <c r="AF656" s="441"/>
      <c r="AG656" s="441"/>
      <c r="AH656" s="441"/>
      <c r="AI656" s="441"/>
      <c r="AJ656" s="441"/>
      <c r="AK656" s="441"/>
      <c r="AL656" s="441"/>
      <c r="AM656" s="441"/>
      <c r="AN656" s="441"/>
      <c r="AO656" s="441"/>
      <c r="AP656" s="441"/>
      <c r="AQ656" s="441"/>
      <c r="AR656" s="441"/>
      <c r="AS656" s="441"/>
      <c r="AT656" s="441"/>
      <c r="AU656" s="441"/>
      <c r="AV656" s="441"/>
      <c r="AW656" s="441"/>
      <c r="AX656" s="441"/>
      <c r="AY656" s="441"/>
      <c r="AZ656" s="441"/>
      <c r="BA656" s="441"/>
    </row>
    <row r="657">
      <c r="A657" s="441"/>
      <c r="B657" s="441"/>
      <c r="C657" s="441"/>
      <c r="D657" s="44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41"/>
      <c r="AD657" s="441"/>
      <c r="AE657" s="441"/>
      <c r="AF657" s="441"/>
      <c r="AG657" s="441"/>
      <c r="AH657" s="441"/>
      <c r="AI657" s="441"/>
      <c r="AJ657" s="441"/>
      <c r="AK657" s="441"/>
      <c r="AL657" s="441"/>
      <c r="AM657" s="441"/>
      <c r="AN657" s="441"/>
      <c r="AO657" s="441"/>
      <c r="AP657" s="441"/>
      <c r="AQ657" s="441"/>
      <c r="AR657" s="441"/>
      <c r="AS657" s="441"/>
      <c r="AT657" s="441"/>
      <c r="AU657" s="441"/>
      <c r="AV657" s="441"/>
      <c r="AW657" s="441"/>
      <c r="AX657" s="441"/>
      <c r="AY657" s="441"/>
      <c r="AZ657" s="441"/>
      <c r="BA657" s="441"/>
    </row>
    <row r="658">
      <c r="A658" s="441"/>
      <c r="B658" s="441"/>
      <c r="C658" s="441"/>
      <c r="D658" s="441"/>
      <c r="E658" s="441"/>
      <c r="F658" s="441"/>
      <c r="G658" s="441"/>
      <c r="H658" s="441"/>
      <c r="I658" s="441"/>
      <c r="J658" s="441"/>
      <c r="K658" s="441"/>
      <c r="L658" s="441"/>
      <c r="M658" s="441"/>
      <c r="N658" s="441"/>
      <c r="O658" s="441"/>
      <c r="P658" s="441"/>
      <c r="Q658" s="441"/>
      <c r="R658" s="441"/>
      <c r="S658" s="441"/>
      <c r="T658" s="441"/>
      <c r="U658" s="441"/>
      <c r="V658" s="441"/>
      <c r="W658" s="441"/>
      <c r="X658" s="441"/>
      <c r="Y658" s="441"/>
      <c r="Z658" s="441"/>
      <c r="AA658" s="441"/>
      <c r="AB658" s="441"/>
      <c r="AC658" s="441"/>
      <c r="AD658" s="441"/>
      <c r="AE658" s="441"/>
      <c r="AF658" s="441"/>
      <c r="AG658" s="441"/>
      <c r="AH658" s="441"/>
      <c r="AI658" s="441"/>
      <c r="AJ658" s="441"/>
      <c r="AK658" s="441"/>
      <c r="AL658" s="441"/>
      <c r="AM658" s="441"/>
      <c r="AN658" s="441"/>
      <c r="AO658" s="441"/>
      <c r="AP658" s="441"/>
      <c r="AQ658" s="441"/>
      <c r="AR658" s="441"/>
      <c r="AS658" s="441"/>
      <c r="AT658" s="441"/>
      <c r="AU658" s="441"/>
      <c r="AV658" s="441"/>
      <c r="AW658" s="441"/>
      <c r="AX658" s="441"/>
      <c r="AY658" s="441"/>
      <c r="AZ658" s="441"/>
      <c r="BA658" s="441"/>
    </row>
    <row r="659">
      <c r="A659" s="441"/>
      <c r="B659" s="441"/>
      <c r="C659" s="441"/>
      <c r="D659" s="441"/>
      <c r="E659" s="441"/>
      <c r="F659" s="441"/>
      <c r="G659" s="441"/>
      <c r="H659" s="441"/>
      <c r="I659" s="441"/>
      <c r="J659" s="441"/>
      <c r="K659" s="441"/>
      <c r="L659" s="441"/>
      <c r="M659" s="441"/>
      <c r="N659" s="441"/>
      <c r="O659" s="441"/>
      <c r="P659" s="441"/>
      <c r="Q659" s="441"/>
      <c r="R659" s="441"/>
      <c r="S659" s="441"/>
      <c r="T659" s="441"/>
      <c r="U659" s="441"/>
      <c r="V659" s="441"/>
      <c r="W659" s="441"/>
      <c r="X659" s="441"/>
      <c r="Y659" s="441"/>
      <c r="Z659" s="441"/>
      <c r="AA659" s="441"/>
      <c r="AB659" s="441"/>
      <c r="AC659" s="441"/>
      <c r="AD659" s="441"/>
      <c r="AE659" s="441"/>
      <c r="AF659" s="441"/>
      <c r="AG659" s="441"/>
      <c r="AH659" s="441"/>
      <c r="AI659" s="441"/>
      <c r="AJ659" s="441"/>
      <c r="AK659" s="441"/>
      <c r="AL659" s="441"/>
      <c r="AM659" s="441"/>
      <c r="AN659" s="441"/>
      <c r="AO659" s="441"/>
      <c r="AP659" s="441"/>
      <c r="AQ659" s="441"/>
      <c r="AR659" s="441"/>
      <c r="AS659" s="441"/>
      <c r="AT659" s="441"/>
      <c r="AU659" s="441"/>
      <c r="AV659" s="441"/>
      <c r="AW659" s="441"/>
      <c r="AX659" s="441"/>
      <c r="AY659" s="441"/>
      <c r="AZ659" s="441"/>
      <c r="BA659" s="441"/>
    </row>
    <row r="660">
      <c r="A660" s="441"/>
      <c r="B660" s="441"/>
      <c r="C660" s="441"/>
      <c r="D660" s="441"/>
      <c r="E660" s="441"/>
      <c r="F660" s="441"/>
      <c r="G660" s="441"/>
      <c r="H660" s="441"/>
      <c r="I660" s="441"/>
      <c r="J660" s="441"/>
      <c r="K660" s="441"/>
      <c r="L660" s="441"/>
      <c r="M660" s="441"/>
      <c r="N660" s="441"/>
      <c r="O660" s="441"/>
      <c r="P660" s="441"/>
      <c r="Q660" s="441"/>
      <c r="R660" s="441"/>
      <c r="S660" s="441"/>
      <c r="T660" s="441"/>
      <c r="U660" s="441"/>
      <c r="V660" s="441"/>
      <c r="W660" s="441"/>
      <c r="X660" s="441"/>
      <c r="Y660" s="441"/>
      <c r="Z660" s="441"/>
      <c r="AA660" s="441"/>
      <c r="AB660" s="441"/>
      <c r="AC660" s="441"/>
      <c r="AD660" s="441"/>
      <c r="AE660" s="441"/>
      <c r="AF660" s="441"/>
      <c r="AG660" s="441"/>
      <c r="AH660" s="441"/>
      <c r="AI660" s="441"/>
      <c r="AJ660" s="441"/>
      <c r="AK660" s="441"/>
      <c r="AL660" s="441"/>
      <c r="AM660" s="441"/>
      <c r="AN660" s="441"/>
      <c r="AO660" s="441"/>
      <c r="AP660" s="441"/>
      <c r="AQ660" s="441"/>
      <c r="AR660" s="441"/>
      <c r="AS660" s="441"/>
      <c r="AT660" s="441"/>
      <c r="AU660" s="441"/>
      <c r="AV660" s="441"/>
      <c r="AW660" s="441"/>
      <c r="AX660" s="441"/>
      <c r="AY660" s="441"/>
      <c r="AZ660" s="441"/>
      <c r="BA660" s="441"/>
    </row>
    <row r="661">
      <c r="A661" s="441"/>
      <c r="B661" s="441"/>
      <c r="C661" s="441"/>
      <c r="D661" s="441"/>
      <c r="E661" s="441"/>
      <c r="F661" s="441"/>
      <c r="G661" s="441"/>
      <c r="H661" s="441"/>
      <c r="I661" s="441"/>
      <c r="J661" s="441"/>
      <c r="K661" s="441"/>
      <c r="L661" s="441"/>
      <c r="M661" s="441"/>
      <c r="N661" s="441"/>
      <c r="O661" s="441"/>
      <c r="P661" s="441"/>
      <c r="Q661" s="441"/>
      <c r="R661" s="441"/>
      <c r="S661" s="441"/>
      <c r="T661" s="441"/>
      <c r="U661" s="441"/>
      <c r="V661" s="441"/>
      <c r="W661" s="441"/>
      <c r="X661" s="441"/>
      <c r="Y661" s="441"/>
      <c r="Z661" s="441"/>
      <c r="AA661" s="441"/>
      <c r="AB661" s="441"/>
      <c r="AC661" s="441"/>
      <c r="AD661" s="441"/>
      <c r="AE661" s="441"/>
      <c r="AF661" s="441"/>
      <c r="AG661" s="441"/>
      <c r="AH661" s="441"/>
      <c r="AI661" s="441"/>
      <c r="AJ661" s="441"/>
      <c r="AK661" s="441"/>
      <c r="AL661" s="441"/>
      <c r="AM661" s="441"/>
      <c r="AN661" s="441"/>
      <c r="AO661" s="441"/>
      <c r="AP661" s="441"/>
      <c r="AQ661" s="441"/>
      <c r="AR661" s="441"/>
      <c r="AS661" s="441"/>
      <c r="AT661" s="441"/>
      <c r="AU661" s="441"/>
      <c r="AV661" s="441"/>
      <c r="AW661" s="441"/>
      <c r="AX661" s="441"/>
      <c r="AY661" s="441"/>
      <c r="AZ661" s="441"/>
      <c r="BA661" s="441"/>
    </row>
    <row r="662">
      <c r="A662" s="441"/>
      <c r="B662" s="441"/>
      <c r="C662" s="441"/>
      <c r="D662" s="441"/>
      <c r="E662" s="441"/>
      <c r="F662" s="441"/>
      <c r="G662" s="441"/>
      <c r="H662" s="441"/>
      <c r="I662" s="441"/>
      <c r="J662" s="441"/>
      <c r="K662" s="441"/>
      <c r="L662" s="441"/>
      <c r="M662" s="441"/>
      <c r="N662" s="441"/>
      <c r="O662" s="441"/>
      <c r="P662" s="441"/>
      <c r="Q662" s="441"/>
      <c r="R662" s="441"/>
      <c r="S662" s="441"/>
      <c r="T662" s="441"/>
      <c r="U662" s="441"/>
      <c r="V662" s="441"/>
      <c r="W662" s="441"/>
      <c r="X662" s="441"/>
      <c r="Y662" s="441"/>
      <c r="Z662" s="441"/>
      <c r="AA662" s="441"/>
      <c r="AB662" s="441"/>
      <c r="AC662" s="441"/>
      <c r="AD662" s="441"/>
      <c r="AE662" s="441"/>
      <c r="AF662" s="441"/>
      <c r="AG662" s="441"/>
      <c r="AH662" s="441"/>
      <c r="AI662" s="441"/>
      <c r="AJ662" s="441"/>
      <c r="AK662" s="441"/>
      <c r="AL662" s="441"/>
      <c r="AM662" s="441"/>
      <c r="AN662" s="441"/>
      <c r="AO662" s="441"/>
      <c r="AP662" s="441"/>
      <c r="AQ662" s="441"/>
      <c r="AR662" s="441"/>
      <c r="AS662" s="441"/>
      <c r="AT662" s="441"/>
      <c r="AU662" s="441"/>
      <c r="AV662" s="441"/>
      <c r="AW662" s="441"/>
      <c r="AX662" s="441"/>
      <c r="AY662" s="441"/>
      <c r="AZ662" s="441"/>
      <c r="BA662" s="441"/>
    </row>
    <row r="663">
      <c r="A663" s="441"/>
      <c r="B663" s="441"/>
      <c r="C663" s="441"/>
      <c r="D663" s="441"/>
      <c r="E663" s="441"/>
      <c r="F663" s="441"/>
      <c r="G663" s="441"/>
      <c r="H663" s="441"/>
      <c r="I663" s="441"/>
      <c r="J663" s="441"/>
      <c r="K663" s="441"/>
      <c r="L663" s="441"/>
      <c r="M663" s="441"/>
      <c r="N663" s="441"/>
      <c r="O663" s="441"/>
      <c r="P663" s="441"/>
      <c r="Q663" s="441"/>
      <c r="R663" s="441"/>
      <c r="S663" s="441"/>
      <c r="T663" s="441"/>
      <c r="U663" s="441"/>
      <c r="V663" s="441"/>
      <c r="W663" s="441"/>
      <c r="X663" s="441"/>
      <c r="Y663" s="441"/>
      <c r="Z663" s="441"/>
      <c r="AA663" s="441"/>
      <c r="AB663" s="441"/>
      <c r="AC663" s="441"/>
      <c r="AD663" s="441"/>
      <c r="AE663" s="441"/>
      <c r="AF663" s="441"/>
      <c r="AG663" s="441"/>
      <c r="AH663" s="441"/>
      <c r="AI663" s="441"/>
      <c r="AJ663" s="441"/>
      <c r="AK663" s="441"/>
      <c r="AL663" s="441"/>
      <c r="AM663" s="441"/>
      <c r="AN663" s="441"/>
      <c r="AO663" s="441"/>
      <c r="AP663" s="441"/>
      <c r="AQ663" s="441"/>
      <c r="AR663" s="441"/>
      <c r="AS663" s="441"/>
      <c r="AT663" s="441"/>
      <c r="AU663" s="441"/>
      <c r="AV663" s="441"/>
      <c r="AW663" s="441"/>
      <c r="AX663" s="441"/>
      <c r="AY663" s="441"/>
      <c r="AZ663" s="441"/>
      <c r="BA663" s="441"/>
    </row>
    <row r="664">
      <c r="A664" s="441"/>
      <c r="B664" s="441"/>
      <c r="C664" s="441"/>
      <c r="D664" s="441"/>
      <c r="E664" s="441"/>
      <c r="F664" s="441"/>
      <c r="G664" s="441"/>
      <c r="H664" s="441"/>
      <c r="I664" s="441"/>
      <c r="J664" s="441"/>
      <c r="K664" s="441"/>
      <c r="L664" s="441"/>
      <c r="M664" s="441"/>
      <c r="N664" s="441"/>
      <c r="O664" s="441"/>
      <c r="P664" s="441"/>
      <c r="Q664" s="441"/>
      <c r="R664" s="441"/>
      <c r="S664" s="441"/>
      <c r="T664" s="441"/>
      <c r="U664" s="441"/>
      <c r="V664" s="441"/>
      <c r="W664" s="441"/>
      <c r="X664" s="441"/>
      <c r="Y664" s="441"/>
      <c r="Z664" s="441"/>
      <c r="AA664" s="441"/>
      <c r="AB664" s="441"/>
      <c r="AC664" s="441"/>
      <c r="AD664" s="441"/>
      <c r="AE664" s="441"/>
      <c r="AF664" s="441"/>
      <c r="AG664" s="441"/>
      <c r="AH664" s="441"/>
      <c r="AI664" s="441"/>
      <c r="AJ664" s="441"/>
      <c r="AK664" s="441"/>
      <c r="AL664" s="441"/>
      <c r="AM664" s="441"/>
      <c r="AN664" s="441"/>
      <c r="AO664" s="441"/>
      <c r="AP664" s="441"/>
      <c r="AQ664" s="441"/>
      <c r="AR664" s="441"/>
      <c r="AS664" s="441"/>
      <c r="AT664" s="441"/>
      <c r="AU664" s="441"/>
      <c r="AV664" s="441"/>
      <c r="AW664" s="441"/>
      <c r="AX664" s="441"/>
      <c r="AY664" s="441"/>
      <c r="AZ664" s="441"/>
      <c r="BA664" s="441"/>
    </row>
    <row r="665">
      <c r="A665" s="441"/>
      <c r="B665" s="441"/>
      <c r="C665" s="441"/>
      <c r="D665" s="441"/>
      <c r="E665" s="441"/>
      <c r="F665" s="441"/>
      <c r="G665" s="441"/>
      <c r="H665" s="441"/>
      <c r="I665" s="441"/>
      <c r="J665" s="441"/>
      <c r="K665" s="441"/>
      <c r="L665" s="441"/>
      <c r="M665" s="441"/>
      <c r="N665" s="441"/>
      <c r="O665" s="441"/>
      <c r="P665" s="441"/>
      <c r="Q665" s="441"/>
      <c r="R665" s="441"/>
      <c r="S665" s="441"/>
      <c r="T665" s="441"/>
      <c r="U665" s="441"/>
      <c r="V665" s="441"/>
      <c r="W665" s="441"/>
      <c r="X665" s="441"/>
      <c r="Y665" s="441"/>
      <c r="Z665" s="441"/>
      <c r="AA665" s="441"/>
      <c r="AB665" s="441"/>
      <c r="AC665" s="441"/>
      <c r="AD665" s="441"/>
      <c r="AE665" s="441"/>
      <c r="AF665" s="441"/>
      <c r="AG665" s="441"/>
      <c r="AH665" s="441"/>
      <c r="AI665" s="441"/>
      <c r="AJ665" s="441"/>
      <c r="AK665" s="441"/>
      <c r="AL665" s="441"/>
      <c r="AM665" s="441"/>
      <c r="AN665" s="441"/>
      <c r="AO665" s="441"/>
      <c r="AP665" s="441"/>
      <c r="AQ665" s="441"/>
      <c r="AR665" s="441"/>
      <c r="AS665" s="441"/>
      <c r="AT665" s="441"/>
      <c r="AU665" s="441"/>
      <c r="AV665" s="441"/>
      <c r="AW665" s="441"/>
      <c r="AX665" s="441"/>
      <c r="AY665" s="441"/>
      <c r="AZ665" s="441"/>
      <c r="BA665" s="441"/>
    </row>
    <row r="666">
      <c r="A666" s="441"/>
      <c r="B666" s="441"/>
      <c r="C666" s="441"/>
      <c r="D666" s="441"/>
      <c r="E666" s="441"/>
      <c r="F666" s="441"/>
      <c r="G666" s="441"/>
      <c r="H666" s="441"/>
      <c r="I666" s="441"/>
      <c r="J666" s="441"/>
      <c r="K666" s="441"/>
      <c r="L666" s="441"/>
      <c r="M666" s="441"/>
      <c r="N666" s="441"/>
      <c r="O666" s="441"/>
      <c r="P666" s="441"/>
      <c r="Q666" s="441"/>
      <c r="R666" s="441"/>
      <c r="S666" s="441"/>
      <c r="T666" s="441"/>
      <c r="U666" s="441"/>
      <c r="V666" s="441"/>
      <c r="W666" s="441"/>
      <c r="X666" s="441"/>
      <c r="Y666" s="441"/>
      <c r="Z666" s="441"/>
      <c r="AA666" s="441"/>
      <c r="AB666" s="441"/>
      <c r="AC666" s="441"/>
      <c r="AD666" s="441"/>
      <c r="AE666" s="441"/>
      <c r="AF666" s="441"/>
      <c r="AG666" s="441"/>
      <c r="AH666" s="441"/>
      <c r="AI666" s="441"/>
      <c r="AJ666" s="441"/>
      <c r="AK666" s="441"/>
      <c r="AL666" s="441"/>
      <c r="AM666" s="441"/>
      <c r="AN666" s="441"/>
      <c r="AO666" s="441"/>
      <c r="AP666" s="441"/>
      <c r="AQ666" s="441"/>
      <c r="AR666" s="441"/>
      <c r="AS666" s="441"/>
      <c r="AT666" s="441"/>
      <c r="AU666" s="441"/>
      <c r="AV666" s="441"/>
      <c r="AW666" s="441"/>
      <c r="AX666" s="441"/>
      <c r="AY666" s="441"/>
      <c r="AZ666" s="441"/>
      <c r="BA666" s="441"/>
    </row>
    <row r="667">
      <c r="A667" s="441"/>
      <c r="B667" s="441"/>
      <c r="C667" s="441"/>
      <c r="D667" s="441"/>
      <c r="E667" s="441"/>
      <c r="F667" s="441"/>
      <c r="G667" s="441"/>
      <c r="H667" s="441"/>
      <c r="I667" s="441"/>
      <c r="J667" s="441"/>
      <c r="K667" s="441"/>
      <c r="L667" s="441"/>
      <c r="M667" s="441"/>
      <c r="N667" s="441"/>
      <c r="O667" s="441"/>
      <c r="P667" s="441"/>
      <c r="Q667" s="441"/>
      <c r="R667" s="441"/>
      <c r="S667" s="441"/>
      <c r="T667" s="441"/>
      <c r="U667" s="441"/>
      <c r="V667" s="441"/>
      <c r="W667" s="441"/>
      <c r="X667" s="441"/>
      <c r="Y667" s="441"/>
      <c r="Z667" s="441"/>
      <c r="AA667" s="441"/>
      <c r="AB667" s="441"/>
      <c r="AC667" s="441"/>
      <c r="AD667" s="441"/>
      <c r="AE667" s="441"/>
      <c r="AF667" s="441"/>
      <c r="AG667" s="441"/>
      <c r="AH667" s="441"/>
      <c r="AI667" s="441"/>
      <c r="AJ667" s="441"/>
      <c r="AK667" s="441"/>
      <c r="AL667" s="441"/>
      <c r="AM667" s="441"/>
      <c r="AN667" s="441"/>
      <c r="AO667" s="441"/>
      <c r="AP667" s="441"/>
      <c r="AQ667" s="441"/>
      <c r="AR667" s="441"/>
      <c r="AS667" s="441"/>
      <c r="AT667" s="441"/>
      <c r="AU667" s="441"/>
      <c r="AV667" s="441"/>
      <c r="AW667" s="441"/>
      <c r="AX667" s="441"/>
      <c r="AY667" s="441"/>
      <c r="AZ667" s="441"/>
      <c r="BA667" s="441"/>
    </row>
    <row r="668">
      <c r="A668" s="441"/>
      <c r="B668" s="441"/>
      <c r="C668" s="441"/>
      <c r="D668" s="441"/>
      <c r="E668" s="441"/>
      <c r="F668" s="441"/>
      <c r="G668" s="441"/>
      <c r="H668" s="441"/>
      <c r="I668" s="441"/>
      <c r="J668" s="441"/>
      <c r="K668" s="441"/>
      <c r="L668" s="441"/>
      <c r="M668" s="441"/>
      <c r="N668" s="441"/>
      <c r="O668" s="441"/>
      <c r="P668" s="441"/>
      <c r="Q668" s="441"/>
      <c r="R668" s="441"/>
      <c r="S668" s="441"/>
      <c r="T668" s="441"/>
      <c r="U668" s="441"/>
      <c r="V668" s="441"/>
      <c r="W668" s="441"/>
      <c r="X668" s="441"/>
      <c r="Y668" s="441"/>
      <c r="Z668" s="441"/>
      <c r="AA668" s="441"/>
      <c r="AB668" s="441"/>
      <c r="AC668" s="441"/>
      <c r="AD668" s="441"/>
      <c r="AE668" s="441"/>
      <c r="AF668" s="441"/>
      <c r="AG668" s="441"/>
      <c r="AH668" s="441"/>
      <c r="AI668" s="441"/>
      <c r="AJ668" s="441"/>
      <c r="AK668" s="441"/>
      <c r="AL668" s="441"/>
      <c r="AM668" s="441"/>
      <c r="AN668" s="441"/>
      <c r="AO668" s="441"/>
      <c r="AP668" s="441"/>
      <c r="AQ668" s="441"/>
      <c r="AR668" s="441"/>
      <c r="AS668" s="441"/>
      <c r="AT668" s="441"/>
      <c r="AU668" s="441"/>
      <c r="AV668" s="441"/>
      <c r="AW668" s="441"/>
      <c r="AX668" s="441"/>
      <c r="AY668" s="441"/>
      <c r="AZ668" s="441"/>
      <c r="BA668" s="441"/>
    </row>
    <row r="669">
      <c r="A669" s="441"/>
      <c r="B669" s="441"/>
      <c r="C669" s="441"/>
      <c r="D669" s="441"/>
      <c r="E669" s="441"/>
      <c r="F669" s="441"/>
      <c r="G669" s="441"/>
      <c r="H669" s="441"/>
      <c r="I669" s="441"/>
      <c r="J669" s="441"/>
      <c r="K669" s="441"/>
      <c r="L669" s="441"/>
      <c r="M669" s="441"/>
      <c r="N669" s="441"/>
      <c r="O669" s="441"/>
      <c r="P669" s="441"/>
      <c r="Q669" s="441"/>
      <c r="R669" s="441"/>
      <c r="S669" s="441"/>
      <c r="T669" s="441"/>
      <c r="U669" s="441"/>
      <c r="V669" s="441"/>
      <c r="W669" s="441"/>
      <c r="X669" s="441"/>
      <c r="Y669" s="441"/>
      <c r="Z669" s="441"/>
      <c r="AA669" s="441"/>
      <c r="AB669" s="441"/>
      <c r="AC669" s="441"/>
      <c r="AD669" s="441"/>
      <c r="AE669" s="441"/>
      <c r="AF669" s="441"/>
      <c r="AG669" s="441"/>
      <c r="AH669" s="441"/>
      <c r="AI669" s="441"/>
      <c r="AJ669" s="441"/>
      <c r="AK669" s="441"/>
      <c r="AL669" s="441"/>
      <c r="AM669" s="441"/>
      <c r="AN669" s="441"/>
      <c r="AO669" s="441"/>
      <c r="AP669" s="441"/>
      <c r="AQ669" s="441"/>
      <c r="AR669" s="441"/>
      <c r="AS669" s="441"/>
      <c r="AT669" s="441"/>
      <c r="AU669" s="441"/>
      <c r="AV669" s="441"/>
      <c r="AW669" s="441"/>
      <c r="AX669" s="441"/>
      <c r="AY669" s="441"/>
      <c r="AZ669" s="441"/>
      <c r="BA669" s="441"/>
    </row>
    <row r="670">
      <c r="A670" s="441"/>
      <c r="B670" s="441"/>
      <c r="C670" s="441"/>
      <c r="D670" s="441"/>
      <c r="E670" s="441"/>
      <c r="F670" s="441"/>
      <c r="G670" s="441"/>
      <c r="H670" s="441"/>
      <c r="I670" s="441"/>
      <c r="J670" s="441"/>
      <c r="K670" s="441"/>
      <c r="L670" s="441"/>
      <c r="M670" s="441"/>
      <c r="N670" s="441"/>
      <c r="O670" s="441"/>
      <c r="P670" s="441"/>
      <c r="Q670" s="441"/>
      <c r="R670" s="441"/>
      <c r="S670" s="441"/>
      <c r="T670" s="441"/>
      <c r="U670" s="441"/>
      <c r="V670" s="441"/>
      <c r="W670" s="441"/>
      <c r="X670" s="441"/>
      <c r="Y670" s="441"/>
      <c r="Z670" s="441"/>
      <c r="AA670" s="441"/>
      <c r="AB670" s="441"/>
      <c r="AC670" s="441"/>
      <c r="AD670" s="441"/>
      <c r="AE670" s="441"/>
      <c r="AF670" s="441"/>
      <c r="AG670" s="441"/>
      <c r="AH670" s="441"/>
      <c r="AI670" s="441"/>
      <c r="AJ670" s="441"/>
      <c r="AK670" s="441"/>
      <c r="AL670" s="441"/>
      <c r="AM670" s="441"/>
      <c r="AN670" s="441"/>
      <c r="AO670" s="441"/>
      <c r="AP670" s="441"/>
      <c r="AQ670" s="441"/>
      <c r="AR670" s="441"/>
      <c r="AS670" s="441"/>
      <c r="AT670" s="441"/>
      <c r="AU670" s="441"/>
      <c r="AV670" s="441"/>
      <c r="AW670" s="441"/>
      <c r="AX670" s="441"/>
      <c r="AY670" s="441"/>
      <c r="AZ670" s="441"/>
      <c r="BA670" s="441"/>
    </row>
    <row r="671">
      <c r="A671" s="441"/>
      <c r="B671" s="441"/>
      <c r="C671" s="441"/>
      <c r="D671" s="441"/>
      <c r="E671" s="441"/>
      <c r="F671" s="441"/>
      <c r="G671" s="441"/>
      <c r="H671" s="441"/>
      <c r="I671" s="441"/>
      <c r="J671" s="441"/>
      <c r="K671" s="441"/>
      <c r="L671" s="441"/>
      <c r="M671" s="441"/>
      <c r="N671" s="441"/>
      <c r="O671" s="441"/>
      <c r="P671" s="441"/>
      <c r="Q671" s="441"/>
      <c r="R671" s="441"/>
      <c r="S671" s="441"/>
      <c r="T671" s="441"/>
      <c r="U671" s="441"/>
      <c r="V671" s="441"/>
      <c r="W671" s="441"/>
      <c r="X671" s="441"/>
      <c r="Y671" s="441"/>
      <c r="Z671" s="441"/>
      <c r="AA671" s="441"/>
      <c r="AB671" s="441"/>
      <c r="AC671" s="441"/>
      <c r="AD671" s="441"/>
      <c r="AE671" s="441"/>
      <c r="AF671" s="441"/>
      <c r="AG671" s="441"/>
      <c r="AH671" s="441"/>
      <c r="AI671" s="441"/>
      <c r="AJ671" s="441"/>
      <c r="AK671" s="441"/>
      <c r="AL671" s="441"/>
      <c r="AM671" s="441"/>
      <c r="AN671" s="441"/>
      <c r="AO671" s="441"/>
      <c r="AP671" s="441"/>
      <c r="AQ671" s="441"/>
      <c r="AR671" s="441"/>
      <c r="AS671" s="441"/>
      <c r="AT671" s="441"/>
      <c r="AU671" s="441"/>
      <c r="AV671" s="441"/>
      <c r="AW671" s="441"/>
      <c r="AX671" s="441"/>
      <c r="AY671" s="441"/>
      <c r="AZ671" s="441"/>
      <c r="BA671" s="441"/>
    </row>
    <row r="672">
      <c r="A672" s="441"/>
      <c r="B672" s="441"/>
      <c r="C672" s="441"/>
      <c r="D672" s="441"/>
      <c r="E672" s="441"/>
      <c r="F672" s="441"/>
      <c r="G672" s="441"/>
      <c r="H672" s="441"/>
      <c r="I672" s="441"/>
      <c r="J672" s="441"/>
      <c r="K672" s="441"/>
      <c r="L672" s="441"/>
      <c r="M672" s="441"/>
      <c r="N672" s="441"/>
      <c r="O672" s="441"/>
      <c r="P672" s="441"/>
      <c r="Q672" s="441"/>
      <c r="R672" s="441"/>
      <c r="S672" s="441"/>
      <c r="T672" s="441"/>
      <c r="U672" s="441"/>
      <c r="V672" s="441"/>
      <c r="W672" s="441"/>
      <c r="X672" s="441"/>
      <c r="Y672" s="441"/>
      <c r="Z672" s="441"/>
      <c r="AA672" s="441"/>
      <c r="AB672" s="441"/>
      <c r="AC672" s="441"/>
      <c r="AD672" s="441"/>
      <c r="AE672" s="441"/>
      <c r="AF672" s="441"/>
      <c r="AG672" s="441"/>
      <c r="AH672" s="441"/>
      <c r="AI672" s="441"/>
      <c r="AJ672" s="441"/>
      <c r="AK672" s="441"/>
      <c r="AL672" s="441"/>
      <c r="AM672" s="441"/>
      <c r="AN672" s="441"/>
      <c r="AO672" s="441"/>
      <c r="AP672" s="441"/>
      <c r="AQ672" s="441"/>
      <c r="AR672" s="441"/>
      <c r="AS672" s="441"/>
      <c r="AT672" s="441"/>
      <c r="AU672" s="441"/>
      <c r="AV672" s="441"/>
      <c r="AW672" s="441"/>
      <c r="AX672" s="441"/>
      <c r="AY672" s="441"/>
      <c r="AZ672" s="441"/>
      <c r="BA672" s="441"/>
    </row>
    <row r="673">
      <c r="A673" s="441"/>
      <c r="B673" s="441"/>
      <c r="C673" s="441"/>
      <c r="D673" s="441"/>
      <c r="E673" s="441"/>
      <c r="F673" s="441"/>
      <c r="G673" s="441"/>
      <c r="H673" s="441"/>
      <c r="I673" s="441"/>
      <c r="J673" s="441"/>
      <c r="K673" s="441"/>
      <c r="L673" s="441"/>
      <c r="M673" s="441"/>
      <c r="N673" s="441"/>
      <c r="O673" s="441"/>
      <c r="P673" s="441"/>
      <c r="Q673" s="441"/>
      <c r="R673" s="441"/>
      <c r="S673" s="441"/>
      <c r="T673" s="441"/>
      <c r="U673" s="441"/>
      <c r="V673" s="441"/>
      <c r="W673" s="441"/>
      <c r="X673" s="441"/>
      <c r="Y673" s="441"/>
      <c r="Z673" s="441"/>
      <c r="AA673" s="441"/>
      <c r="AB673" s="441"/>
      <c r="AC673" s="441"/>
      <c r="AD673" s="441"/>
      <c r="AE673" s="441"/>
      <c r="AF673" s="441"/>
      <c r="AG673" s="441"/>
      <c r="AH673" s="441"/>
      <c r="AI673" s="441"/>
      <c r="AJ673" s="441"/>
      <c r="AK673" s="441"/>
      <c r="AL673" s="441"/>
      <c r="AM673" s="441"/>
      <c r="AN673" s="441"/>
      <c r="AO673" s="441"/>
      <c r="AP673" s="441"/>
      <c r="AQ673" s="441"/>
      <c r="AR673" s="441"/>
      <c r="AS673" s="441"/>
      <c r="AT673" s="441"/>
      <c r="AU673" s="441"/>
      <c r="AV673" s="441"/>
      <c r="AW673" s="441"/>
      <c r="AX673" s="441"/>
      <c r="AY673" s="441"/>
      <c r="AZ673" s="441"/>
      <c r="BA673" s="441"/>
    </row>
    <row r="674">
      <c r="A674" s="441"/>
      <c r="B674" s="441"/>
      <c r="C674" s="441"/>
      <c r="D674" s="441"/>
      <c r="E674" s="441"/>
      <c r="F674" s="441"/>
      <c r="G674" s="441"/>
      <c r="H674" s="441"/>
      <c r="I674" s="441"/>
      <c r="J674" s="441"/>
      <c r="K674" s="441"/>
      <c r="L674" s="441"/>
      <c r="M674" s="441"/>
      <c r="N674" s="441"/>
      <c r="O674" s="441"/>
      <c r="P674" s="441"/>
      <c r="Q674" s="441"/>
      <c r="R674" s="441"/>
      <c r="S674" s="441"/>
      <c r="T674" s="441"/>
      <c r="U674" s="441"/>
      <c r="V674" s="441"/>
      <c r="W674" s="441"/>
      <c r="X674" s="441"/>
      <c r="Y674" s="441"/>
      <c r="Z674" s="441"/>
      <c r="AA674" s="441"/>
      <c r="AB674" s="441"/>
      <c r="AC674" s="441"/>
      <c r="AD674" s="441"/>
      <c r="AE674" s="441"/>
      <c r="AF674" s="441"/>
      <c r="AG674" s="441"/>
      <c r="AH674" s="441"/>
      <c r="AI674" s="441"/>
      <c r="AJ674" s="441"/>
      <c r="AK674" s="441"/>
      <c r="AL674" s="441"/>
      <c r="AM674" s="441"/>
      <c r="AN674" s="441"/>
      <c r="AO674" s="441"/>
      <c r="AP674" s="441"/>
      <c r="AQ674" s="441"/>
      <c r="AR674" s="441"/>
      <c r="AS674" s="441"/>
      <c r="AT674" s="441"/>
      <c r="AU674" s="441"/>
      <c r="AV674" s="441"/>
      <c r="AW674" s="441"/>
      <c r="AX674" s="441"/>
      <c r="AY674" s="441"/>
      <c r="AZ674" s="441"/>
      <c r="BA674" s="441"/>
    </row>
    <row r="675">
      <c r="A675" s="441"/>
      <c r="B675" s="441"/>
      <c r="C675" s="441"/>
      <c r="D675" s="441"/>
      <c r="E675" s="441"/>
      <c r="F675" s="441"/>
      <c r="G675" s="441"/>
      <c r="H675" s="441"/>
      <c r="I675" s="441"/>
      <c r="J675" s="441"/>
      <c r="K675" s="441"/>
      <c r="L675" s="441"/>
      <c r="M675" s="441"/>
      <c r="N675" s="441"/>
      <c r="O675" s="441"/>
      <c r="P675" s="441"/>
      <c r="Q675" s="441"/>
      <c r="R675" s="441"/>
      <c r="S675" s="441"/>
      <c r="T675" s="441"/>
      <c r="U675" s="441"/>
      <c r="V675" s="441"/>
      <c r="W675" s="441"/>
      <c r="X675" s="441"/>
      <c r="Y675" s="441"/>
      <c r="Z675" s="441"/>
      <c r="AA675" s="441"/>
      <c r="AB675" s="441"/>
      <c r="AC675" s="441"/>
      <c r="AD675" s="441"/>
      <c r="AE675" s="441"/>
      <c r="AF675" s="441"/>
      <c r="AG675" s="441"/>
      <c r="AH675" s="441"/>
      <c r="AI675" s="441"/>
      <c r="AJ675" s="441"/>
      <c r="AK675" s="441"/>
      <c r="AL675" s="441"/>
      <c r="AM675" s="441"/>
      <c r="AN675" s="441"/>
      <c r="AO675" s="441"/>
      <c r="AP675" s="441"/>
      <c r="AQ675" s="441"/>
      <c r="AR675" s="441"/>
      <c r="AS675" s="441"/>
      <c r="AT675" s="441"/>
      <c r="AU675" s="441"/>
      <c r="AV675" s="441"/>
      <c r="AW675" s="441"/>
      <c r="AX675" s="441"/>
      <c r="AY675" s="441"/>
      <c r="AZ675" s="441"/>
      <c r="BA675" s="441"/>
    </row>
    <row r="676">
      <c r="A676" s="441"/>
      <c r="B676" s="441"/>
      <c r="C676" s="441"/>
      <c r="D676" s="441"/>
      <c r="E676" s="441"/>
      <c r="F676" s="441"/>
      <c r="G676" s="441"/>
      <c r="H676" s="441"/>
      <c r="I676" s="441"/>
      <c r="J676" s="441"/>
      <c r="K676" s="441"/>
      <c r="L676" s="441"/>
      <c r="M676" s="441"/>
      <c r="N676" s="441"/>
      <c r="O676" s="441"/>
      <c r="P676" s="441"/>
      <c r="Q676" s="441"/>
      <c r="R676" s="441"/>
      <c r="S676" s="441"/>
      <c r="T676" s="441"/>
      <c r="U676" s="441"/>
      <c r="V676" s="441"/>
      <c r="W676" s="441"/>
      <c r="X676" s="441"/>
      <c r="Y676" s="441"/>
      <c r="Z676" s="441"/>
      <c r="AA676" s="441"/>
      <c r="AB676" s="441"/>
      <c r="AC676" s="441"/>
      <c r="AD676" s="441"/>
      <c r="AE676" s="441"/>
      <c r="AF676" s="441"/>
      <c r="AG676" s="441"/>
      <c r="AH676" s="441"/>
      <c r="AI676" s="441"/>
      <c r="AJ676" s="441"/>
      <c r="AK676" s="441"/>
      <c r="AL676" s="441"/>
      <c r="AM676" s="441"/>
      <c r="AN676" s="441"/>
      <c r="AO676" s="441"/>
      <c r="AP676" s="441"/>
      <c r="AQ676" s="441"/>
      <c r="AR676" s="441"/>
      <c r="AS676" s="441"/>
      <c r="AT676" s="441"/>
      <c r="AU676" s="441"/>
      <c r="AV676" s="441"/>
      <c r="AW676" s="441"/>
      <c r="AX676" s="441"/>
      <c r="AY676" s="441"/>
      <c r="AZ676" s="441"/>
      <c r="BA676" s="441"/>
    </row>
    <row r="677">
      <c r="A677" s="441"/>
      <c r="B677" s="441"/>
      <c r="C677" s="441"/>
      <c r="D677" s="441"/>
      <c r="E677" s="441"/>
      <c r="F677" s="441"/>
      <c r="G677" s="441"/>
      <c r="H677" s="441"/>
      <c r="I677" s="441"/>
      <c r="J677" s="441"/>
      <c r="K677" s="441"/>
      <c r="L677" s="441"/>
      <c r="M677" s="441"/>
      <c r="N677" s="441"/>
      <c r="O677" s="441"/>
      <c r="P677" s="441"/>
      <c r="Q677" s="441"/>
      <c r="R677" s="441"/>
      <c r="S677" s="441"/>
      <c r="T677" s="441"/>
      <c r="U677" s="441"/>
      <c r="V677" s="441"/>
      <c r="W677" s="441"/>
      <c r="X677" s="441"/>
      <c r="Y677" s="441"/>
      <c r="Z677" s="441"/>
      <c r="AA677" s="441"/>
      <c r="AB677" s="441"/>
      <c r="AC677" s="441"/>
      <c r="AD677" s="441"/>
      <c r="AE677" s="441"/>
      <c r="AF677" s="441"/>
      <c r="AG677" s="441"/>
      <c r="AH677" s="441"/>
      <c r="AI677" s="441"/>
      <c r="AJ677" s="441"/>
      <c r="AK677" s="441"/>
      <c r="AL677" s="441"/>
      <c r="AM677" s="441"/>
      <c r="AN677" s="441"/>
      <c r="AO677" s="441"/>
      <c r="AP677" s="441"/>
      <c r="AQ677" s="441"/>
      <c r="AR677" s="441"/>
      <c r="AS677" s="441"/>
      <c r="AT677" s="441"/>
      <c r="AU677" s="441"/>
      <c r="AV677" s="441"/>
      <c r="AW677" s="441"/>
      <c r="AX677" s="441"/>
      <c r="AY677" s="441"/>
      <c r="AZ677" s="441"/>
      <c r="BA677" s="441"/>
    </row>
    <row r="678">
      <c r="A678" s="441"/>
      <c r="B678" s="441"/>
      <c r="C678" s="441"/>
      <c r="D678" s="441"/>
      <c r="E678" s="441"/>
      <c r="F678" s="441"/>
      <c r="G678" s="441"/>
      <c r="H678" s="441"/>
      <c r="I678" s="441"/>
      <c r="J678" s="441"/>
      <c r="K678" s="441"/>
      <c r="L678" s="441"/>
      <c r="M678" s="441"/>
      <c r="N678" s="441"/>
      <c r="O678" s="441"/>
      <c r="P678" s="441"/>
      <c r="Q678" s="441"/>
      <c r="R678" s="441"/>
      <c r="S678" s="441"/>
      <c r="T678" s="441"/>
      <c r="U678" s="441"/>
      <c r="V678" s="441"/>
      <c r="W678" s="441"/>
      <c r="X678" s="441"/>
      <c r="Y678" s="441"/>
      <c r="Z678" s="441"/>
      <c r="AA678" s="441"/>
      <c r="AB678" s="441"/>
      <c r="AC678" s="441"/>
      <c r="AD678" s="441"/>
      <c r="AE678" s="441"/>
      <c r="AF678" s="441"/>
      <c r="AG678" s="441"/>
      <c r="AH678" s="441"/>
      <c r="AI678" s="441"/>
      <c r="AJ678" s="441"/>
      <c r="AK678" s="441"/>
      <c r="AL678" s="441"/>
      <c r="AM678" s="441"/>
      <c r="AN678" s="441"/>
      <c r="AO678" s="441"/>
      <c r="AP678" s="441"/>
      <c r="AQ678" s="441"/>
      <c r="AR678" s="441"/>
      <c r="AS678" s="441"/>
      <c r="AT678" s="441"/>
      <c r="AU678" s="441"/>
      <c r="AV678" s="441"/>
      <c r="AW678" s="441"/>
      <c r="AX678" s="441"/>
      <c r="AY678" s="441"/>
      <c r="AZ678" s="441"/>
      <c r="BA678" s="441"/>
    </row>
    <row r="679">
      <c r="A679" s="441"/>
      <c r="B679" s="441"/>
      <c r="C679" s="441"/>
      <c r="D679" s="441"/>
      <c r="E679" s="441"/>
      <c r="F679" s="441"/>
      <c r="G679" s="441"/>
      <c r="H679" s="441"/>
      <c r="I679" s="441"/>
      <c r="J679" s="441"/>
      <c r="K679" s="441"/>
      <c r="L679" s="441"/>
      <c r="M679" s="441"/>
      <c r="N679" s="441"/>
      <c r="O679" s="441"/>
      <c r="P679" s="441"/>
      <c r="Q679" s="441"/>
      <c r="R679" s="441"/>
      <c r="S679" s="441"/>
      <c r="T679" s="441"/>
      <c r="U679" s="441"/>
      <c r="V679" s="441"/>
      <c r="W679" s="441"/>
      <c r="X679" s="441"/>
      <c r="Y679" s="441"/>
      <c r="Z679" s="441"/>
      <c r="AA679" s="441"/>
      <c r="AB679" s="441"/>
      <c r="AC679" s="441"/>
      <c r="AD679" s="441"/>
      <c r="AE679" s="441"/>
      <c r="AF679" s="441"/>
      <c r="AG679" s="441"/>
      <c r="AH679" s="441"/>
      <c r="AI679" s="441"/>
      <c r="AJ679" s="441"/>
      <c r="AK679" s="441"/>
      <c r="AL679" s="441"/>
      <c r="AM679" s="441"/>
      <c r="AN679" s="441"/>
      <c r="AO679" s="441"/>
      <c r="AP679" s="441"/>
      <c r="AQ679" s="441"/>
      <c r="AR679" s="441"/>
      <c r="AS679" s="441"/>
      <c r="AT679" s="441"/>
      <c r="AU679" s="441"/>
      <c r="AV679" s="441"/>
      <c r="AW679" s="441"/>
      <c r="AX679" s="441"/>
      <c r="AY679" s="441"/>
      <c r="AZ679" s="441"/>
      <c r="BA679" s="441"/>
    </row>
    <row r="680">
      <c r="A680" s="441"/>
      <c r="B680" s="441"/>
      <c r="C680" s="441"/>
      <c r="D680" s="441"/>
      <c r="E680" s="441"/>
      <c r="F680" s="441"/>
      <c r="G680" s="441"/>
      <c r="H680" s="441"/>
      <c r="I680" s="441"/>
      <c r="J680" s="441"/>
      <c r="K680" s="441"/>
      <c r="L680" s="441"/>
      <c r="M680" s="441"/>
      <c r="N680" s="441"/>
      <c r="O680" s="441"/>
      <c r="P680" s="441"/>
      <c r="Q680" s="441"/>
      <c r="R680" s="441"/>
      <c r="S680" s="441"/>
      <c r="T680" s="441"/>
      <c r="U680" s="441"/>
      <c r="V680" s="441"/>
      <c r="W680" s="441"/>
      <c r="X680" s="441"/>
      <c r="Y680" s="441"/>
      <c r="Z680" s="441"/>
      <c r="AA680" s="441"/>
      <c r="AB680" s="441"/>
      <c r="AC680" s="441"/>
      <c r="AD680" s="441"/>
      <c r="AE680" s="441"/>
      <c r="AF680" s="441"/>
      <c r="AG680" s="441"/>
      <c r="AH680" s="441"/>
      <c r="AI680" s="441"/>
      <c r="AJ680" s="441"/>
      <c r="AK680" s="441"/>
      <c r="AL680" s="441"/>
      <c r="AM680" s="441"/>
      <c r="AN680" s="441"/>
      <c r="AO680" s="441"/>
      <c r="AP680" s="441"/>
      <c r="AQ680" s="441"/>
      <c r="AR680" s="441"/>
      <c r="AS680" s="441"/>
      <c r="AT680" s="441"/>
      <c r="AU680" s="441"/>
      <c r="AV680" s="441"/>
      <c r="AW680" s="441"/>
      <c r="AX680" s="441"/>
      <c r="AY680" s="441"/>
      <c r="AZ680" s="441"/>
      <c r="BA680" s="441"/>
    </row>
    <row r="681">
      <c r="A681" s="441"/>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1"/>
      <c r="AY681" s="441"/>
      <c r="AZ681" s="441"/>
      <c r="BA681" s="441"/>
    </row>
    <row r="682">
      <c r="A682" s="441"/>
      <c r="B682" s="441"/>
      <c r="C682" s="441"/>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441"/>
      <c r="AD682" s="441"/>
      <c r="AE682" s="441"/>
      <c r="AF682" s="441"/>
      <c r="AG682" s="441"/>
      <c r="AH682" s="441"/>
      <c r="AI682" s="441"/>
      <c r="AJ682" s="441"/>
      <c r="AK682" s="441"/>
      <c r="AL682" s="441"/>
      <c r="AM682" s="441"/>
      <c r="AN682" s="441"/>
      <c r="AO682" s="441"/>
      <c r="AP682" s="441"/>
      <c r="AQ682" s="441"/>
      <c r="AR682" s="441"/>
      <c r="AS682" s="441"/>
      <c r="AT682" s="441"/>
      <c r="AU682" s="441"/>
      <c r="AV682" s="441"/>
      <c r="AW682" s="441"/>
      <c r="AX682" s="441"/>
      <c r="AY682" s="441"/>
      <c r="AZ682" s="441"/>
      <c r="BA682" s="441"/>
    </row>
    <row r="683">
      <c r="A683" s="441"/>
      <c r="B683" s="441"/>
      <c r="C683" s="441"/>
      <c r="D683" s="441"/>
      <c r="E683" s="441"/>
      <c r="F683" s="441"/>
      <c r="G683" s="441"/>
      <c r="H683" s="441"/>
      <c r="I683" s="441"/>
      <c r="J683" s="441"/>
      <c r="K683" s="441"/>
      <c r="L683" s="441"/>
      <c r="M683" s="441"/>
      <c r="N683" s="441"/>
      <c r="O683" s="441"/>
      <c r="P683" s="441"/>
      <c r="Q683" s="441"/>
      <c r="R683" s="441"/>
      <c r="S683" s="441"/>
      <c r="T683" s="441"/>
      <c r="U683" s="441"/>
      <c r="V683" s="441"/>
      <c r="W683" s="441"/>
      <c r="X683" s="441"/>
      <c r="Y683" s="441"/>
      <c r="Z683" s="441"/>
      <c r="AA683" s="441"/>
      <c r="AB683" s="441"/>
      <c r="AC683" s="441"/>
      <c r="AD683" s="441"/>
      <c r="AE683" s="441"/>
      <c r="AF683" s="441"/>
      <c r="AG683" s="441"/>
      <c r="AH683" s="441"/>
      <c r="AI683" s="441"/>
      <c r="AJ683" s="441"/>
      <c r="AK683" s="441"/>
      <c r="AL683" s="441"/>
      <c r="AM683" s="441"/>
      <c r="AN683" s="441"/>
      <c r="AO683" s="441"/>
      <c r="AP683" s="441"/>
      <c r="AQ683" s="441"/>
      <c r="AR683" s="441"/>
      <c r="AS683" s="441"/>
      <c r="AT683" s="441"/>
      <c r="AU683" s="441"/>
      <c r="AV683" s="441"/>
      <c r="AW683" s="441"/>
      <c r="AX683" s="441"/>
      <c r="AY683" s="441"/>
      <c r="AZ683" s="441"/>
      <c r="BA683" s="441"/>
    </row>
    <row r="684">
      <c r="A684" s="441"/>
      <c r="B684" s="441"/>
      <c r="C684" s="441"/>
      <c r="D684" s="441"/>
      <c r="E684" s="441"/>
      <c r="F684" s="441"/>
      <c r="G684" s="441"/>
      <c r="H684" s="441"/>
      <c r="I684" s="441"/>
      <c r="J684" s="441"/>
      <c r="K684" s="441"/>
      <c r="L684" s="441"/>
      <c r="M684" s="441"/>
      <c r="N684" s="441"/>
      <c r="O684" s="441"/>
      <c r="P684" s="441"/>
      <c r="Q684" s="441"/>
      <c r="R684" s="441"/>
      <c r="S684" s="441"/>
      <c r="T684" s="441"/>
      <c r="U684" s="441"/>
      <c r="V684" s="441"/>
      <c r="W684" s="441"/>
      <c r="X684" s="441"/>
      <c r="Y684" s="441"/>
      <c r="Z684" s="441"/>
      <c r="AA684" s="441"/>
      <c r="AB684" s="441"/>
      <c r="AC684" s="441"/>
      <c r="AD684" s="441"/>
      <c r="AE684" s="441"/>
      <c r="AF684" s="441"/>
      <c r="AG684" s="441"/>
      <c r="AH684" s="441"/>
      <c r="AI684" s="441"/>
      <c r="AJ684" s="441"/>
      <c r="AK684" s="441"/>
      <c r="AL684" s="441"/>
      <c r="AM684" s="441"/>
      <c r="AN684" s="441"/>
      <c r="AO684" s="441"/>
      <c r="AP684" s="441"/>
      <c r="AQ684" s="441"/>
      <c r="AR684" s="441"/>
      <c r="AS684" s="441"/>
      <c r="AT684" s="441"/>
      <c r="AU684" s="441"/>
      <c r="AV684" s="441"/>
      <c r="AW684" s="441"/>
      <c r="AX684" s="441"/>
      <c r="AY684" s="441"/>
      <c r="AZ684" s="441"/>
      <c r="BA684" s="441"/>
    </row>
    <row r="685">
      <c r="A685" s="441"/>
      <c r="B685" s="441"/>
      <c r="C685" s="441"/>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1"/>
      <c r="AD685" s="441"/>
      <c r="AE685" s="441"/>
      <c r="AF685" s="441"/>
      <c r="AG685" s="441"/>
      <c r="AH685" s="441"/>
      <c r="AI685" s="441"/>
      <c r="AJ685" s="441"/>
      <c r="AK685" s="441"/>
      <c r="AL685" s="441"/>
      <c r="AM685" s="441"/>
      <c r="AN685" s="441"/>
      <c r="AO685" s="441"/>
      <c r="AP685" s="441"/>
      <c r="AQ685" s="441"/>
      <c r="AR685" s="441"/>
      <c r="AS685" s="441"/>
      <c r="AT685" s="441"/>
      <c r="AU685" s="441"/>
      <c r="AV685" s="441"/>
      <c r="AW685" s="441"/>
      <c r="AX685" s="441"/>
      <c r="AY685" s="441"/>
      <c r="AZ685" s="441"/>
      <c r="BA685" s="441"/>
    </row>
    <row r="686">
      <c r="A686" s="441"/>
      <c r="B686" s="441"/>
      <c r="C686" s="441"/>
      <c r="D686" s="441"/>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1"/>
      <c r="AD686" s="441"/>
      <c r="AE686" s="441"/>
      <c r="AF686" s="441"/>
      <c r="AG686" s="441"/>
      <c r="AH686" s="441"/>
      <c r="AI686" s="441"/>
      <c r="AJ686" s="441"/>
      <c r="AK686" s="441"/>
      <c r="AL686" s="441"/>
      <c r="AM686" s="441"/>
      <c r="AN686" s="441"/>
      <c r="AO686" s="441"/>
      <c r="AP686" s="441"/>
      <c r="AQ686" s="441"/>
      <c r="AR686" s="441"/>
      <c r="AS686" s="441"/>
      <c r="AT686" s="441"/>
      <c r="AU686" s="441"/>
      <c r="AV686" s="441"/>
      <c r="AW686" s="441"/>
      <c r="AX686" s="441"/>
      <c r="AY686" s="441"/>
      <c r="AZ686" s="441"/>
      <c r="BA686" s="441"/>
    </row>
    <row r="687">
      <c r="A687" s="441"/>
      <c r="B687" s="441"/>
      <c r="C687" s="441"/>
      <c r="D687" s="441"/>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41"/>
      <c r="AD687" s="441"/>
      <c r="AE687" s="441"/>
      <c r="AF687" s="441"/>
      <c r="AG687" s="441"/>
      <c r="AH687" s="441"/>
      <c r="AI687" s="441"/>
      <c r="AJ687" s="441"/>
      <c r="AK687" s="441"/>
      <c r="AL687" s="441"/>
      <c r="AM687" s="441"/>
      <c r="AN687" s="441"/>
      <c r="AO687" s="441"/>
      <c r="AP687" s="441"/>
      <c r="AQ687" s="441"/>
      <c r="AR687" s="441"/>
      <c r="AS687" s="441"/>
      <c r="AT687" s="441"/>
      <c r="AU687" s="441"/>
      <c r="AV687" s="441"/>
      <c r="AW687" s="441"/>
      <c r="AX687" s="441"/>
      <c r="AY687" s="441"/>
      <c r="AZ687" s="441"/>
      <c r="BA687" s="441"/>
    </row>
    <row r="688">
      <c r="A688" s="441"/>
      <c r="B688" s="441"/>
      <c r="C688" s="441"/>
      <c r="D688" s="441"/>
      <c r="E688" s="441"/>
      <c r="F688" s="441"/>
      <c r="G688" s="441"/>
      <c r="H688" s="441"/>
      <c r="I688" s="441"/>
      <c r="J688" s="441"/>
      <c r="K688" s="441"/>
      <c r="L688" s="441"/>
      <c r="M688" s="441"/>
      <c r="N688" s="441"/>
      <c r="O688" s="441"/>
      <c r="P688" s="441"/>
      <c r="Q688" s="441"/>
      <c r="R688" s="441"/>
      <c r="S688" s="441"/>
      <c r="T688" s="441"/>
      <c r="U688" s="441"/>
      <c r="V688" s="441"/>
      <c r="W688" s="441"/>
      <c r="X688" s="441"/>
      <c r="Y688" s="441"/>
      <c r="Z688" s="441"/>
      <c r="AA688" s="441"/>
      <c r="AB688" s="441"/>
      <c r="AC688" s="441"/>
      <c r="AD688" s="441"/>
      <c r="AE688" s="441"/>
      <c r="AF688" s="441"/>
      <c r="AG688" s="441"/>
      <c r="AH688" s="441"/>
      <c r="AI688" s="441"/>
      <c r="AJ688" s="441"/>
      <c r="AK688" s="441"/>
      <c r="AL688" s="441"/>
      <c r="AM688" s="441"/>
      <c r="AN688" s="441"/>
      <c r="AO688" s="441"/>
      <c r="AP688" s="441"/>
      <c r="AQ688" s="441"/>
      <c r="AR688" s="441"/>
      <c r="AS688" s="441"/>
      <c r="AT688" s="441"/>
      <c r="AU688" s="441"/>
      <c r="AV688" s="441"/>
      <c r="AW688" s="441"/>
      <c r="AX688" s="441"/>
      <c r="AY688" s="441"/>
      <c r="AZ688" s="441"/>
      <c r="BA688" s="441"/>
    </row>
    <row r="689">
      <c r="A689" s="441"/>
      <c r="B689" s="441"/>
      <c r="C689" s="441"/>
      <c r="D689" s="441"/>
      <c r="E689" s="441"/>
      <c r="F689" s="441"/>
      <c r="G689" s="441"/>
      <c r="H689" s="441"/>
      <c r="I689" s="441"/>
      <c r="J689" s="441"/>
      <c r="K689" s="441"/>
      <c r="L689" s="441"/>
      <c r="M689" s="441"/>
      <c r="N689" s="441"/>
      <c r="O689" s="441"/>
      <c r="P689" s="441"/>
      <c r="Q689" s="441"/>
      <c r="R689" s="441"/>
      <c r="S689" s="441"/>
      <c r="T689" s="441"/>
      <c r="U689" s="441"/>
      <c r="V689" s="441"/>
      <c r="W689" s="441"/>
      <c r="X689" s="441"/>
      <c r="Y689" s="441"/>
      <c r="Z689" s="441"/>
      <c r="AA689" s="441"/>
      <c r="AB689" s="441"/>
      <c r="AC689" s="441"/>
      <c r="AD689" s="441"/>
      <c r="AE689" s="441"/>
      <c r="AF689" s="441"/>
      <c r="AG689" s="441"/>
      <c r="AH689" s="441"/>
      <c r="AI689" s="441"/>
      <c r="AJ689" s="441"/>
      <c r="AK689" s="441"/>
      <c r="AL689" s="441"/>
      <c r="AM689" s="441"/>
      <c r="AN689" s="441"/>
      <c r="AO689" s="441"/>
      <c r="AP689" s="441"/>
      <c r="AQ689" s="441"/>
      <c r="AR689" s="441"/>
      <c r="AS689" s="441"/>
      <c r="AT689" s="441"/>
      <c r="AU689" s="441"/>
      <c r="AV689" s="441"/>
      <c r="AW689" s="441"/>
      <c r="AX689" s="441"/>
      <c r="AY689" s="441"/>
      <c r="AZ689" s="441"/>
      <c r="BA689" s="441"/>
    </row>
    <row r="690">
      <c r="A690" s="441"/>
      <c r="B690" s="441"/>
      <c r="C690" s="441"/>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c r="AA690" s="441"/>
      <c r="AB690" s="441"/>
      <c r="AC690" s="441"/>
      <c r="AD690" s="441"/>
      <c r="AE690" s="441"/>
      <c r="AF690" s="441"/>
      <c r="AG690" s="441"/>
      <c r="AH690" s="441"/>
      <c r="AI690" s="441"/>
      <c r="AJ690" s="441"/>
      <c r="AK690" s="441"/>
      <c r="AL690" s="441"/>
      <c r="AM690" s="441"/>
      <c r="AN690" s="441"/>
      <c r="AO690" s="441"/>
      <c r="AP690" s="441"/>
      <c r="AQ690" s="441"/>
      <c r="AR690" s="441"/>
      <c r="AS690" s="441"/>
      <c r="AT690" s="441"/>
      <c r="AU690" s="441"/>
      <c r="AV690" s="441"/>
      <c r="AW690" s="441"/>
      <c r="AX690" s="441"/>
      <c r="AY690" s="441"/>
      <c r="AZ690" s="441"/>
      <c r="BA690" s="441"/>
    </row>
    <row r="691">
      <c r="A691" s="441"/>
      <c r="B691" s="441"/>
      <c r="C691" s="441"/>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c r="AA691" s="441"/>
      <c r="AB691" s="441"/>
      <c r="AC691" s="441"/>
      <c r="AD691" s="441"/>
      <c r="AE691" s="441"/>
      <c r="AF691" s="441"/>
      <c r="AG691" s="441"/>
      <c r="AH691" s="441"/>
      <c r="AI691" s="441"/>
      <c r="AJ691" s="441"/>
      <c r="AK691" s="441"/>
      <c r="AL691" s="441"/>
      <c r="AM691" s="441"/>
      <c r="AN691" s="441"/>
      <c r="AO691" s="441"/>
      <c r="AP691" s="441"/>
      <c r="AQ691" s="441"/>
      <c r="AR691" s="441"/>
      <c r="AS691" s="441"/>
      <c r="AT691" s="441"/>
      <c r="AU691" s="441"/>
      <c r="AV691" s="441"/>
      <c r="AW691" s="441"/>
      <c r="AX691" s="441"/>
      <c r="AY691" s="441"/>
      <c r="AZ691" s="441"/>
      <c r="BA691" s="441"/>
    </row>
    <row r="692">
      <c r="A692" s="441"/>
      <c r="B692" s="441"/>
      <c r="C692" s="441"/>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c r="AA692" s="441"/>
      <c r="AB692" s="441"/>
      <c r="AC692" s="441"/>
      <c r="AD692" s="441"/>
      <c r="AE692" s="441"/>
      <c r="AF692" s="441"/>
      <c r="AG692" s="441"/>
      <c r="AH692" s="441"/>
      <c r="AI692" s="441"/>
      <c r="AJ692" s="441"/>
      <c r="AK692" s="441"/>
      <c r="AL692" s="441"/>
      <c r="AM692" s="441"/>
      <c r="AN692" s="441"/>
      <c r="AO692" s="441"/>
      <c r="AP692" s="441"/>
      <c r="AQ692" s="441"/>
      <c r="AR692" s="441"/>
      <c r="AS692" s="441"/>
      <c r="AT692" s="441"/>
      <c r="AU692" s="441"/>
      <c r="AV692" s="441"/>
      <c r="AW692" s="441"/>
      <c r="AX692" s="441"/>
      <c r="AY692" s="441"/>
      <c r="AZ692" s="441"/>
      <c r="BA692" s="441"/>
    </row>
    <row r="693">
      <c r="A693" s="441"/>
      <c r="B693" s="441"/>
      <c r="C693" s="441"/>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441"/>
      <c r="AD693" s="441"/>
      <c r="AE693" s="441"/>
      <c r="AF693" s="441"/>
      <c r="AG693" s="441"/>
      <c r="AH693" s="441"/>
      <c r="AI693" s="441"/>
      <c r="AJ693" s="441"/>
      <c r="AK693" s="441"/>
      <c r="AL693" s="441"/>
      <c r="AM693" s="441"/>
      <c r="AN693" s="441"/>
      <c r="AO693" s="441"/>
      <c r="AP693" s="441"/>
      <c r="AQ693" s="441"/>
      <c r="AR693" s="441"/>
      <c r="AS693" s="441"/>
      <c r="AT693" s="441"/>
      <c r="AU693" s="441"/>
      <c r="AV693" s="441"/>
      <c r="AW693" s="441"/>
      <c r="AX693" s="441"/>
      <c r="AY693" s="441"/>
      <c r="AZ693" s="441"/>
      <c r="BA693" s="441"/>
    </row>
    <row r="694">
      <c r="A694" s="441"/>
      <c r="B694" s="441"/>
      <c r="C694" s="441"/>
      <c r="D694" s="441"/>
      <c r="E694" s="441"/>
      <c r="F694" s="441"/>
      <c r="G694" s="441"/>
      <c r="H694" s="441"/>
      <c r="I694" s="441"/>
      <c r="J694" s="441"/>
      <c r="K694" s="441"/>
      <c r="L694" s="441"/>
      <c r="M694" s="441"/>
      <c r="N694" s="441"/>
      <c r="O694" s="441"/>
      <c r="P694" s="441"/>
      <c r="Q694" s="441"/>
      <c r="R694" s="441"/>
      <c r="S694" s="441"/>
      <c r="T694" s="441"/>
      <c r="U694" s="441"/>
      <c r="V694" s="441"/>
      <c r="W694" s="441"/>
      <c r="X694" s="441"/>
      <c r="Y694" s="441"/>
      <c r="Z694" s="441"/>
      <c r="AA694" s="441"/>
      <c r="AB694" s="441"/>
      <c r="AC694" s="441"/>
      <c r="AD694" s="441"/>
      <c r="AE694" s="441"/>
      <c r="AF694" s="441"/>
      <c r="AG694" s="441"/>
      <c r="AH694" s="441"/>
      <c r="AI694" s="441"/>
      <c r="AJ694" s="441"/>
      <c r="AK694" s="441"/>
      <c r="AL694" s="441"/>
      <c r="AM694" s="441"/>
      <c r="AN694" s="441"/>
      <c r="AO694" s="441"/>
      <c r="AP694" s="441"/>
      <c r="AQ694" s="441"/>
      <c r="AR694" s="441"/>
      <c r="AS694" s="441"/>
      <c r="AT694" s="441"/>
      <c r="AU694" s="441"/>
      <c r="AV694" s="441"/>
      <c r="AW694" s="441"/>
      <c r="AX694" s="441"/>
      <c r="AY694" s="441"/>
      <c r="AZ694" s="441"/>
      <c r="BA694" s="441"/>
    </row>
    <row r="695">
      <c r="A695" s="441"/>
      <c r="B695" s="441"/>
      <c r="C695" s="441"/>
      <c r="D695" s="441"/>
      <c r="E695" s="441"/>
      <c r="F695" s="441"/>
      <c r="G695" s="441"/>
      <c r="H695" s="441"/>
      <c r="I695" s="441"/>
      <c r="J695" s="441"/>
      <c r="K695" s="441"/>
      <c r="L695" s="441"/>
      <c r="M695" s="441"/>
      <c r="N695" s="441"/>
      <c r="O695" s="441"/>
      <c r="P695" s="441"/>
      <c r="Q695" s="441"/>
      <c r="R695" s="441"/>
      <c r="S695" s="441"/>
      <c r="T695" s="441"/>
      <c r="U695" s="441"/>
      <c r="V695" s="441"/>
      <c r="W695" s="441"/>
      <c r="X695" s="441"/>
      <c r="Y695" s="441"/>
      <c r="Z695" s="441"/>
      <c r="AA695" s="441"/>
      <c r="AB695" s="441"/>
      <c r="AC695" s="441"/>
      <c r="AD695" s="441"/>
      <c r="AE695" s="441"/>
      <c r="AF695" s="441"/>
      <c r="AG695" s="441"/>
      <c r="AH695" s="441"/>
      <c r="AI695" s="441"/>
      <c r="AJ695" s="441"/>
      <c r="AK695" s="441"/>
      <c r="AL695" s="441"/>
      <c r="AM695" s="441"/>
      <c r="AN695" s="441"/>
      <c r="AO695" s="441"/>
      <c r="AP695" s="441"/>
      <c r="AQ695" s="441"/>
      <c r="AR695" s="441"/>
      <c r="AS695" s="441"/>
      <c r="AT695" s="441"/>
      <c r="AU695" s="441"/>
      <c r="AV695" s="441"/>
      <c r="AW695" s="441"/>
      <c r="AX695" s="441"/>
      <c r="AY695" s="441"/>
      <c r="AZ695" s="441"/>
      <c r="BA695" s="441"/>
    </row>
    <row r="696">
      <c r="A696" s="441"/>
      <c r="B696" s="441"/>
      <c r="C696" s="441"/>
      <c r="D696" s="441"/>
      <c r="E696" s="441"/>
      <c r="F696" s="441"/>
      <c r="G696" s="441"/>
      <c r="H696" s="441"/>
      <c r="I696" s="441"/>
      <c r="J696" s="441"/>
      <c r="K696" s="441"/>
      <c r="L696" s="441"/>
      <c r="M696" s="441"/>
      <c r="N696" s="441"/>
      <c r="O696" s="441"/>
      <c r="P696" s="441"/>
      <c r="Q696" s="441"/>
      <c r="R696" s="441"/>
      <c r="S696" s="441"/>
      <c r="T696" s="441"/>
      <c r="U696" s="441"/>
      <c r="V696" s="441"/>
      <c r="W696" s="441"/>
      <c r="X696" s="441"/>
      <c r="Y696" s="441"/>
      <c r="Z696" s="441"/>
      <c r="AA696" s="441"/>
      <c r="AB696" s="441"/>
      <c r="AC696" s="441"/>
      <c r="AD696" s="441"/>
      <c r="AE696" s="441"/>
      <c r="AF696" s="441"/>
      <c r="AG696" s="441"/>
      <c r="AH696" s="441"/>
      <c r="AI696" s="441"/>
      <c r="AJ696" s="441"/>
      <c r="AK696" s="441"/>
      <c r="AL696" s="441"/>
      <c r="AM696" s="441"/>
      <c r="AN696" s="441"/>
      <c r="AO696" s="441"/>
      <c r="AP696" s="441"/>
      <c r="AQ696" s="441"/>
      <c r="AR696" s="441"/>
      <c r="AS696" s="441"/>
      <c r="AT696" s="441"/>
      <c r="AU696" s="441"/>
      <c r="AV696" s="441"/>
      <c r="AW696" s="441"/>
      <c r="AX696" s="441"/>
      <c r="AY696" s="441"/>
      <c r="AZ696" s="441"/>
      <c r="BA696" s="441"/>
    </row>
    <row r="697">
      <c r="A697" s="441"/>
      <c r="B697" s="441"/>
      <c r="C697" s="441"/>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c r="AA697" s="441"/>
      <c r="AB697" s="441"/>
      <c r="AC697" s="441"/>
      <c r="AD697" s="441"/>
      <c r="AE697" s="441"/>
      <c r="AF697" s="441"/>
      <c r="AG697" s="441"/>
      <c r="AH697" s="441"/>
      <c r="AI697" s="441"/>
      <c r="AJ697" s="441"/>
      <c r="AK697" s="441"/>
      <c r="AL697" s="441"/>
      <c r="AM697" s="441"/>
      <c r="AN697" s="441"/>
      <c r="AO697" s="441"/>
      <c r="AP697" s="441"/>
      <c r="AQ697" s="441"/>
      <c r="AR697" s="441"/>
      <c r="AS697" s="441"/>
      <c r="AT697" s="441"/>
      <c r="AU697" s="441"/>
      <c r="AV697" s="441"/>
      <c r="AW697" s="441"/>
      <c r="AX697" s="441"/>
      <c r="AY697" s="441"/>
      <c r="AZ697" s="441"/>
      <c r="BA697" s="441"/>
    </row>
    <row r="698">
      <c r="A698" s="441"/>
      <c r="B698" s="441"/>
      <c r="C698" s="441"/>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1"/>
      <c r="AD698" s="441"/>
      <c r="AE698" s="441"/>
      <c r="AF698" s="441"/>
      <c r="AG698" s="441"/>
      <c r="AH698" s="441"/>
      <c r="AI698" s="441"/>
      <c r="AJ698" s="441"/>
      <c r="AK698" s="441"/>
      <c r="AL698" s="441"/>
      <c r="AM698" s="441"/>
      <c r="AN698" s="441"/>
      <c r="AO698" s="441"/>
      <c r="AP698" s="441"/>
      <c r="AQ698" s="441"/>
      <c r="AR698" s="441"/>
      <c r="AS698" s="441"/>
      <c r="AT698" s="441"/>
      <c r="AU698" s="441"/>
      <c r="AV698" s="441"/>
      <c r="AW698" s="441"/>
      <c r="AX698" s="441"/>
      <c r="AY698" s="441"/>
      <c r="AZ698" s="441"/>
      <c r="BA698" s="441"/>
    </row>
    <row r="699">
      <c r="A699" s="441"/>
      <c r="B699" s="441"/>
      <c r="C699" s="441"/>
      <c r="D699" s="441"/>
      <c r="E699" s="441"/>
      <c r="F699" s="441"/>
      <c r="G699" s="441"/>
      <c r="H699" s="441"/>
      <c r="I699" s="441"/>
      <c r="J699" s="441"/>
      <c r="K699" s="441"/>
      <c r="L699" s="441"/>
      <c r="M699" s="441"/>
      <c r="N699" s="441"/>
      <c r="O699" s="441"/>
      <c r="P699" s="441"/>
      <c r="Q699" s="441"/>
      <c r="R699" s="441"/>
      <c r="S699" s="441"/>
      <c r="T699" s="441"/>
      <c r="U699" s="441"/>
      <c r="V699" s="441"/>
      <c r="W699" s="441"/>
      <c r="X699" s="441"/>
      <c r="Y699" s="441"/>
      <c r="Z699" s="441"/>
      <c r="AA699" s="441"/>
      <c r="AB699" s="441"/>
      <c r="AC699" s="441"/>
      <c r="AD699" s="441"/>
      <c r="AE699" s="441"/>
      <c r="AF699" s="441"/>
      <c r="AG699" s="441"/>
      <c r="AH699" s="441"/>
      <c r="AI699" s="441"/>
      <c r="AJ699" s="441"/>
      <c r="AK699" s="441"/>
      <c r="AL699" s="441"/>
      <c r="AM699" s="441"/>
      <c r="AN699" s="441"/>
      <c r="AO699" s="441"/>
      <c r="AP699" s="441"/>
      <c r="AQ699" s="441"/>
      <c r="AR699" s="441"/>
      <c r="AS699" s="441"/>
      <c r="AT699" s="441"/>
      <c r="AU699" s="441"/>
      <c r="AV699" s="441"/>
      <c r="AW699" s="441"/>
      <c r="AX699" s="441"/>
      <c r="AY699" s="441"/>
      <c r="AZ699" s="441"/>
      <c r="BA699" s="441"/>
    </row>
    <row r="700">
      <c r="A700" s="441"/>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1"/>
      <c r="AY700" s="441"/>
      <c r="AZ700" s="441"/>
      <c r="BA700" s="441"/>
    </row>
    <row r="701">
      <c r="A701" s="441"/>
      <c r="B701" s="441"/>
      <c r="C701" s="441"/>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441"/>
      <c r="AQ701" s="441"/>
      <c r="AR701" s="441"/>
      <c r="AS701" s="441"/>
      <c r="AT701" s="441"/>
      <c r="AU701" s="441"/>
      <c r="AV701" s="441"/>
      <c r="AW701" s="441"/>
      <c r="AX701" s="441"/>
      <c r="AY701" s="441"/>
      <c r="AZ701" s="441"/>
      <c r="BA701" s="441"/>
    </row>
    <row r="702">
      <c r="A702" s="441"/>
      <c r="B702" s="441"/>
      <c r="C702" s="441"/>
      <c r="D702" s="441"/>
      <c r="E702" s="441"/>
      <c r="F702" s="441"/>
      <c r="G702" s="441"/>
      <c r="H702" s="441"/>
      <c r="I702" s="441"/>
      <c r="J702" s="441"/>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441"/>
      <c r="AQ702" s="441"/>
      <c r="AR702" s="441"/>
      <c r="AS702" s="441"/>
      <c r="AT702" s="441"/>
      <c r="AU702" s="441"/>
      <c r="AV702" s="441"/>
      <c r="AW702" s="441"/>
      <c r="AX702" s="441"/>
      <c r="AY702" s="441"/>
      <c r="AZ702" s="441"/>
      <c r="BA702" s="441"/>
    </row>
    <row r="703">
      <c r="A703" s="441"/>
      <c r="B703" s="441"/>
      <c r="C703" s="441"/>
      <c r="D703" s="441"/>
      <c r="E703" s="441"/>
      <c r="F703" s="441"/>
      <c r="G703" s="441"/>
      <c r="H703" s="441"/>
      <c r="I703" s="441"/>
      <c r="J703" s="441"/>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441"/>
      <c r="AQ703" s="441"/>
      <c r="AR703" s="441"/>
      <c r="AS703" s="441"/>
      <c r="AT703" s="441"/>
      <c r="AU703" s="441"/>
      <c r="AV703" s="441"/>
      <c r="AW703" s="441"/>
      <c r="AX703" s="441"/>
      <c r="AY703" s="441"/>
      <c r="AZ703" s="441"/>
      <c r="BA703" s="441"/>
    </row>
    <row r="704">
      <c r="A704" s="441"/>
      <c r="B704" s="441"/>
      <c r="C704" s="441"/>
      <c r="D704" s="441"/>
      <c r="E704" s="441"/>
      <c r="F704" s="441"/>
      <c r="G704" s="441"/>
      <c r="H704" s="441"/>
      <c r="I704" s="441"/>
      <c r="J704" s="441"/>
      <c r="K704" s="441"/>
      <c r="L704" s="441"/>
      <c r="M704" s="441"/>
      <c r="N704" s="441"/>
      <c r="O704" s="441"/>
      <c r="P704" s="441"/>
      <c r="Q704" s="441"/>
      <c r="R704" s="441"/>
      <c r="S704" s="441"/>
      <c r="T704" s="441"/>
      <c r="U704" s="441"/>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441"/>
      <c r="AQ704" s="441"/>
      <c r="AR704" s="441"/>
      <c r="AS704" s="441"/>
      <c r="AT704" s="441"/>
      <c r="AU704" s="441"/>
      <c r="AV704" s="441"/>
      <c r="AW704" s="441"/>
      <c r="AX704" s="441"/>
      <c r="AY704" s="441"/>
      <c r="AZ704" s="441"/>
      <c r="BA704" s="441"/>
    </row>
    <row r="705">
      <c r="A705" s="441"/>
      <c r="B705" s="441"/>
      <c r="C705" s="441"/>
      <c r="D705" s="441"/>
      <c r="E705" s="441"/>
      <c r="F705" s="441"/>
      <c r="G705" s="441"/>
      <c r="H705" s="441"/>
      <c r="I705" s="441"/>
      <c r="J705" s="441"/>
      <c r="K705" s="441"/>
      <c r="L705" s="441"/>
      <c r="M705" s="441"/>
      <c r="N705" s="441"/>
      <c r="O705" s="441"/>
      <c r="P705" s="441"/>
      <c r="Q705" s="441"/>
      <c r="R705" s="441"/>
      <c r="S705" s="441"/>
      <c r="T705" s="441"/>
      <c r="U705" s="441"/>
      <c r="V705" s="441"/>
      <c r="W705" s="441"/>
      <c r="X705" s="441"/>
      <c r="Y705" s="441"/>
      <c r="Z705" s="441"/>
      <c r="AA705" s="441"/>
      <c r="AB705" s="441"/>
      <c r="AC705" s="441"/>
      <c r="AD705" s="441"/>
      <c r="AE705" s="441"/>
      <c r="AF705" s="441"/>
      <c r="AG705" s="441"/>
      <c r="AH705" s="441"/>
      <c r="AI705" s="441"/>
      <c r="AJ705" s="441"/>
      <c r="AK705" s="441"/>
      <c r="AL705" s="441"/>
      <c r="AM705" s="441"/>
      <c r="AN705" s="441"/>
      <c r="AO705" s="441"/>
      <c r="AP705" s="441"/>
      <c r="AQ705" s="441"/>
      <c r="AR705" s="441"/>
      <c r="AS705" s="441"/>
      <c r="AT705" s="441"/>
      <c r="AU705" s="441"/>
      <c r="AV705" s="441"/>
      <c r="AW705" s="441"/>
      <c r="AX705" s="441"/>
      <c r="AY705" s="441"/>
      <c r="AZ705" s="441"/>
      <c r="BA705" s="441"/>
    </row>
    <row r="706">
      <c r="A706" s="441"/>
      <c r="B706" s="441"/>
      <c r="C706" s="441"/>
      <c r="D706" s="441"/>
      <c r="E706" s="441"/>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1"/>
      <c r="AD706" s="441"/>
      <c r="AE706" s="441"/>
      <c r="AF706" s="441"/>
      <c r="AG706" s="441"/>
      <c r="AH706" s="441"/>
      <c r="AI706" s="441"/>
      <c r="AJ706" s="441"/>
      <c r="AK706" s="441"/>
      <c r="AL706" s="441"/>
      <c r="AM706" s="441"/>
      <c r="AN706" s="441"/>
      <c r="AO706" s="441"/>
      <c r="AP706" s="441"/>
      <c r="AQ706" s="441"/>
      <c r="AR706" s="441"/>
      <c r="AS706" s="441"/>
      <c r="AT706" s="441"/>
      <c r="AU706" s="441"/>
      <c r="AV706" s="441"/>
      <c r="AW706" s="441"/>
      <c r="AX706" s="441"/>
      <c r="AY706" s="441"/>
      <c r="AZ706" s="441"/>
      <c r="BA706" s="441"/>
    </row>
    <row r="707">
      <c r="A707" s="441"/>
      <c r="B707" s="441"/>
      <c r="C707" s="441"/>
      <c r="D707" s="441"/>
      <c r="E707" s="441"/>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1"/>
      <c r="AD707" s="441"/>
      <c r="AE707" s="441"/>
      <c r="AF707" s="441"/>
      <c r="AG707" s="441"/>
      <c r="AH707" s="441"/>
      <c r="AI707" s="441"/>
      <c r="AJ707" s="441"/>
      <c r="AK707" s="441"/>
      <c r="AL707" s="441"/>
      <c r="AM707" s="441"/>
      <c r="AN707" s="441"/>
      <c r="AO707" s="441"/>
      <c r="AP707" s="441"/>
      <c r="AQ707" s="441"/>
      <c r="AR707" s="441"/>
      <c r="AS707" s="441"/>
      <c r="AT707" s="441"/>
      <c r="AU707" s="441"/>
      <c r="AV707" s="441"/>
      <c r="AW707" s="441"/>
      <c r="AX707" s="441"/>
      <c r="AY707" s="441"/>
      <c r="AZ707" s="441"/>
      <c r="BA707" s="441"/>
    </row>
    <row r="708">
      <c r="A708" s="441"/>
      <c r="B708" s="441"/>
      <c r="C708" s="441"/>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1"/>
      <c r="AE708" s="441"/>
      <c r="AF708" s="441"/>
      <c r="AG708" s="441"/>
      <c r="AH708" s="441"/>
      <c r="AI708" s="441"/>
      <c r="AJ708" s="441"/>
      <c r="AK708" s="441"/>
      <c r="AL708" s="441"/>
      <c r="AM708" s="441"/>
      <c r="AN708" s="441"/>
      <c r="AO708" s="441"/>
      <c r="AP708" s="441"/>
      <c r="AQ708" s="441"/>
      <c r="AR708" s="441"/>
      <c r="AS708" s="441"/>
      <c r="AT708" s="441"/>
      <c r="AU708" s="441"/>
      <c r="AV708" s="441"/>
      <c r="AW708" s="441"/>
      <c r="AX708" s="441"/>
      <c r="AY708" s="441"/>
      <c r="AZ708" s="441"/>
      <c r="BA708" s="441"/>
    </row>
    <row r="709">
      <c r="A709" s="441"/>
      <c r="B709" s="441"/>
      <c r="C709" s="441"/>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441"/>
      <c r="AE709" s="441"/>
      <c r="AF709" s="441"/>
      <c r="AG709" s="441"/>
      <c r="AH709" s="441"/>
      <c r="AI709" s="441"/>
      <c r="AJ709" s="441"/>
      <c r="AK709" s="441"/>
      <c r="AL709" s="441"/>
      <c r="AM709" s="441"/>
      <c r="AN709" s="441"/>
      <c r="AO709" s="441"/>
      <c r="AP709" s="441"/>
      <c r="AQ709" s="441"/>
      <c r="AR709" s="441"/>
      <c r="AS709" s="441"/>
      <c r="AT709" s="441"/>
      <c r="AU709" s="441"/>
      <c r="AV709" s="441"/>
      <c r="AW709" s="441"/>
      <c r="AX709" s="441"/>
      <c r="AY709" s="441"/>
      <c r="AZ709" s="441"/>
      <c r="BA709" s="441"/>
    </row>
    <row r="710">
      <c r="A710" s="441"/>
      <c r="B710" s="441"/>
      <c r="C710" s="441"/>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441"/>
      <c r="AE710" s="441"/>
      <c r="AF710" s="441"/>
      <c r="AG710" s="441"/>
      <c r="AH710" s="441"/>
      <c r="AI710" s="441"/>
      <c r="AJ710" s="441"/>
      <c r="AK710" s="441"/>
      <c r="AL710" s="441"/>
      <c r="AM710" s="441"/>
      <c r="AN710" s="441"/>
      <c r="AO710" s="441"/>
      <c r="AP710" s="441"/>
      <c r="AQ710" s="441"/>
      <c r="AR710" s="441"/>
      <c r="AS710" s="441"/>
      <c r="AT710" s="441"/>
      <c r="AU710" s="441"/>
      <c r="AV710" s="441"/>
      <c r="AW710" s="441"/>
      <c r="AX710" s="441"/>
      <c r="AY710" s="441"/>
      <c r="AZ710" s="441"/>
      <c r="BA710" s="441"/>
    </row>
    <row r="711">
      <c r="A711" s="441"/>
      <c r="B711" s="441"/>
      <c r="C711" s="441"/>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441"/>
      <c r="AD711" s="441"/>
      <c r="AE711" s="441"/>
      <c r="AF711" s="441"/>
      <c r="AG711" s="441"/>
      <c r="AH711" s="441"/>
      <c r="AI711" s="441"/>
      <c r="AJ711" s="441"/>
      <c r="AK711" s="441"/>
      <c r="AL711" s="441"/>
      <c r="AM711" s="441"/>
      <c r="AN711" s="441"/>
      <c r="AO711" s="441"/>
      <c r="AP711" s="441"/>
      <c r="AQ711" s="441"/>
      <c r="AR711" s="441"/>
      <c r="AS711" s="441"/>
      <c r="AT711" s="441"/>
      <c r="AU711" s="441"/>
      <c r="AV711" s="441"/>
      <c r="AW711" s="441"/>
      <c r="AX711" s="441"/>
      <c r="AY711" s="441"/>
      <c r="AZ711" s="441"/>
      <c r="BA711" s="441"/>
    </row>
    <row r="712">
      <c r="A712" s="441"/>
      <c r="B712" s="441"/>
      <c r="C712" s="441"/>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441"/>
      <c r="AD712" s="441"/>
      <c r="AE712" s="441"/>
      <c r="AF712" s="441"/>
      <c r="AG712" s="441"/>
      <c r="AH712" s="441"/>
      <c r="AI712" s="441"/>
      <c r="AJ712" s="441"/>
      <c r="AK712" s="441"/>
      <c r="AL712" s="441"/>
      <c r="AM712" s="441"/>
      <c r="AN712" s="441"/>
      <c r="AO712" s="441"/>
      <c r="AP712" s="441"/>
      <c r="AQ712" s="441"/>
      <c r="AR712" s="441"/>
      <c r="AS712" s="441"/>
      <c r="AT712" s="441"/>
      <c r="AU712" s="441"/>
      <c r="AV712" s="441"/>
      <c r="AW712" s="441"/>
      <c r="AX712" s="441"/>
      <c r="AY712" s="441"/>
      <c r="AZ712" s="441"/>
      <c r="BA712" s="441"/>
    </row>
    <row r="713">
      <c r="A713" s="441"/>
      <c r="B713" s="441"/>
      <c r="C713" s="441"/>
      <c r="D713" s="441"/>
      <c r="E713" s="441"/>
      <c r="F713" s="441"/>
      <c r="G713" s="441"/>
      <c r="H713" s="441"/>
      <c r="I713" s="441"/>
      <c r="J713" s="441"/>
      <c r="K713" s="441"/>
      <c r="L713" s="441"/>
      <c r="M713" s="441"/>
      <c r="N713" s="441"/>
      <c r="O713" s="441"/>
      <c r="P713" s="441"/>
      <c r="Q713" s="441"/>
      <c r="R713" s="441"/>
      <c r="S713" s="441"/>
      <c r="T713" s="441"/>
      <c r="U713" s="441"/>
      <c r="V713" s="441"/>
      <c r="W713" s="441"/>
      <c r="X713" s="441"/>
      <c r="Y713" s="441"/>
      <c r="Z713" s="441"/>
      <c r="AA713" s="441"/>
      <c r="AB713" s="441"/>
      <c r="AC713" s="441"/>
      <c r="AD713" s="441"/>
      <c r="AE713" s="441"/>
      <c r="AF713" s="441"/>
      <c r="AG713" s="441"/>
      <c r="AH713" s="441"/>
      <c r="AI713" s="441"/>
      <c r="AJ713" s="441"/>
      <c r="AK713" s="441"/>
      <c r="AL713" s="441"/>
      <c r="AM713" s="441"/>
      <c r="AN713" s="441"/>
      <c r="AO713" s="441"/>
      <c r="AP713" s="441"/>
      <c r="AQ713" s="441"/>
      <c r="AR713" s="441"/>
      <c r="AS713" s="441"/>
      <c r="AT713" s="441"/>
      <c r="AU713" s="441"/>
      <c r="AV713" s="441"/>
      <c r="AW713" s="441"/>
      <c r="AX713" s="441"/>
      <c r="AY713" s="441"/>
      <c r="AZ713" s="441"/>
      <c r="BA713" s="441"/>
    </row>
    <row r="714">
      <c r="A714" s="441"/>
      <c r="B714" s="441"/>
      <c r="C714" s="441"/>
      <c r="D714" s="441"/>
      <c r="E714" s="441"/>
      <c r="F714" s="441"/>
      <c r="G714" s="441"/>
      <c r="H714" s="441"/>
      <c r="I714" s="441"/>
      <c r="J714" s="441"/>
      <c r="K714" s="441"/>
      <c r="L714" s="441"/>
      <c r="M714" s="441"/>
      <c r="N714" s="441"/>
      <c r="O714" s="441"/>
      <c r="P714" s="441"/>
      <c r="Q714" s="441"/>
      <c r="R714" s="441"/>
      <c r="S714" s="441"/>
      <c r="T714" s="441"/>
      <c r="U714" s="441"/>
      <c r="V714" s="441"/>
      <c r="W714" s="441"/>
      <c r="X714" s="441"/>
      <c r="Y714" s="441"/>
      <c r="Z714" s="441"/>
      <c r="AA714" s="441"/>
      <c r="AB714" s="441"/>
      <c r="AC714" s="441"/>
      <c r="AD714" s="441"/>
      <c r="AE714" s="441"/>
      <c r="AF714" s="441"/>
      <c r="AG714" s="441"/>
      <c r="AH714" s="441"/>
      <c r="AI714" s="441"/>
      <c r="AJ714" s="441"/>
      <c r="AK714" s="441"/>
      <c r="AL714" s="441"/>
      <c r="AM714" s="441"/>
      <c r="AN714" s="441"/>
      <c r="AO714" s="441"/>
      <c r="AP714" s="441"/>
      <c r="AQ714" s="441"/>
      <c r="AR714" s="441"/>
      <c r="AS714" s="441"/>
      <c r="AT714" s="441"/>
      <c r="AU714" s="441"/>
      <c r="AV714" s="441"/>
      <c r="AW714" s="441"/>
      <c r="AX714" s="441"/>
      <c r="AY714" s="441"/>
      <c r="AZ714" s="441"/>
      <c r="BA714" s="441"/>
    </row>
    <row r="715">
      <c r="A715" s="441"/>
      <c r="B715" s="441"/>
      <c r="C715" s="441"/>
      <c r="D715" s="441"/>
      <c r="E715" s="441"/>
      <c r="F715" s="441"/>
      <c r="G715" s="441"/>
      <c r="H715" s="441"/>
      <c r="I715" s="441"/>
      <c r="J715" s="441"/>
      <c r="K715" s="441"/>
      <c r="L715" s="441"/>
      <c r="M715" s="441"/>
      <c r="N715" s="441"/>
      <c r="O715" s="441"/>
      <c r="P715" s="441"/>
      <c r="Q715" s="441"/>
      <c r="R715" s="441"/>
      <c r="S715" s="441"/>
      <c r="T715" s="441"/>
      <c r="U715" s="441"/>
      <c r="V715" s="441"/>
      <c r="W715" s="441"/>
      <c r="X715" s="441"/>
      <c r="Y715" s="441"/>
      <c r="Z715" s="441"/>
      <c r="AA715" s="441"/>
      <c r="AB715" s="441"/>
      <c r="AC715" s="441"/>
      <c r="AD715" s="441"/>
      <c r="AE715" s="441"/>
      <c r="AF715" s="441"/>
      <c r="AG715" s="441"/>
      <c r="AH715" s="441"/>
      <c r="AI715" s="441"/>
      <c r="AJ715" s="441"/>
      <c r="AK715" s="441"/>
      <c r="AL715" s="441"/>
      <c r="AM715" s="441"/>
      <c r="AN715" s="441"/>
      <c r="AO715" s="441"/>
      <c r="AP715" s="441"/>
      <c r="AQ715" s="441"/>
      <c r="AR715" s="441"/>
      <c r="AS715" s="441"/>
      <c r="AT715" s="441"/>
      <c r="AU715" s="441"/>
      <c r="AV715" s="441"/>
      <c r="AW715" s="441"/>
      <c r="AX715" s="441"/>
      <c r="AY715" s="441"/>
      <c r="AZ715" s="441"/>
      <c r="BA715" s="441"/>
    </row>
    <row r="716">
      <c r="A716" s="441"/>
      <c r="B716" s="441"/>
      <c r="C716" s="441"/>
      <c r="D716" s="441"/>
      <c r="E716" s="441"/>
      <c r="F716" s="441"/>
      <c r="G716" s="441"/>
      <c r="H716" s="441"/>
      <c r="I716" s="441"/>
      <c r="J716" s="441"/>
      <c r="K716" s="441"/>
      <c r="L716" s="441"/>
      <c r="M716" s="441"/>
      <c r="N716" s="441"/>
      <c r="O716" s="441"/>
      <c r="P716" s="441"/>
      <c r="Q716" s="441"/>
      <c r="R716" s="441"/>
      <c r="S716" s="441"/>
      <c r="T716" s="441"/>
      <c r="U716" s="441"/>
      <c r="V716" s="441"/>
      <c r="W716" s="441"/>
      <c r="X716" s="441"/>
      <c r="Y716" s="441"/>
      <c r="Z716" s="441"/>
      <c r="AA716" s="441"/>
      <c r="AB716" s="441"/>
      <c r="AC716" s="441"/>
      <c r="AD716" s="441"/>
      <c r="AE716" s="441"/>
      <c r="AF716" s="441"/>
      <c r="AG716" s="441"/>
      <c r="AH716" s="441"/>
      <c r="AI716" s="441"/>
      <c r="AJ716" s="441"/>
      <c r="AK716" s="441"/>
      <c r="AL716" s="441"/>
      <c r="AM716" s="441"/>
      <c r="AN716" s="441"/>
      <c r="AO716" s="441"/>
      <c r="AP716" s="441"/>
      <c r="AQ716" s="441"/>
      <c r="AR716" s="441"/>
      <c r="AS716" s="441"/>
      <c r="AT716" s="441"/>
      <c r="AU716" s="441"/>
      <c r="AV716" s="441"/>
      <c r="AW716" s="441"/>
      <c r="AX716" s="441"/>
      <c r="AY716" s="441"/>
      <c r="AZ716" s="441"/>
      <c r="BA716" s="441"/>
    </row>
    <row r="717">
      <c r="A717" s="441"/>
      <c r="B717" s="441"/>
      <c r="C717" s="441"/>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441"/>
      <c r="AE717" s="441"/>
      <c r="AF717" s="441"/>
      <c r="AG717" s="441"/>
      <c r="AH717" s="441"/>
      <c r="AI717" s="441"/>
      <c r="AJ717" s="441"/>
      <c r="AK717" s="441"/>
      <c r="AL717" s="441"/>
      <c r="AM717" s="441"/>
      <c r="AN717" s="441"/>
      <c r="AO717" s="441"/>
      <c r="AP717" s="441"/>
      <c r="AQ717" s="441"/>
      <c r="AR717" s="441"/>
      <c r="AS717" s="441"/>
      <c r="AT717" s="441"/>
      <c r="AU717" s="441"/>
      <c r="AV717" s="441"/>
      <c r="AW717" s="441"/>
      <c r="AX717" s="441"/>
      <c r="AY717" s="441"/>
      <c r="AZ717" s="441"/>
      <c r="BA717" s="441"/>
    </row>
    <row r="718">
      <c r="A718" s="441"/>
      <c r="B718" s="441"/>
      <c r="C718" s="441"/>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441"/>
      <c r="AE718" s="441"/>
      <c r="AF718" s="441"/>
      <c r="AG718" s="441"/>
      <c r="AH718" s="441"/>
      <c r="AI718" s="441"/>
      <c r="AJ718" s="441"/>
      <c r="AK718" s="441"/>
      <c r="AL718" s="441"/>
      <c r="AM718" s="441"/>
      <c r="AN718" s="441"/>
      <c r="AO718" s="441"/>
      <c r="AP718" s="441"/>
      <c r="AQ718" s="441"/>
      <c r="AR718" s="441"/>
      <c r="AS718" s="441"/>
      <c r="AT718" s="441"/>
      <c r="AU718" s="441"/>
      <c r="AV718" s="441"/>
      <c r="AW718" s="441"/>
      <c r="AX718" s="441"/>
      <c r="AY718" s="441"/>
      <c r="AZ718" s="441"/>
      <c r="BA718" s="441"/>
    </row>
    <row r="719">
      <c r="A719" s="441"/>
      <c r="B719" s="441"/>
      <c r="C719" s="441"/>
      <c r="D719" s="441"/>
      <c r="E719" s="441"/>
      <c r="F719" s="441"/>
      <c r="G719" s="441"/>
      <c r="H719" s="441"/>
      <c r="I719" s="441"/>
      <c r="J719" s="441"/>
      <c r="K719" s="441"/>
      <c r="L719" s="441"/>
      <c r="M719" s="441"/>
      <c r="N719" s="441"/>
      <c r="O719" s="441"/>
      <c r="P719" s="441"/>
      <c r="Q719" s="441"/>
      <c r="R719" s="441"/>
      <c r="S719" s="441"/>
      <c r="T719" s="441"/>
      <c r="U719" s="441"/>
      <c r="V719" s="441"/>
      <c r="W719" s="441"/>
      <c r="X719" s="441"/>
      <c r="Y719" s="441"/>
      <c r="Z719" s="441"/>
      <c r="AA719" s="441"/>
      <c r="AB719" s="441"/>
      <c r="AC719" s="441"/>
      <c r="AD719" s="441"/>
      <c r="AE719" s="441"/>
      <c r="AF719" s="441"/>
      <c r="AG719" s="441"/>
      <c r="AH719" s="441"/>
      <c r="AI719" s="441"/>
      <c r="AJ719" s="441"/>
      <c r="AK719" s="441"/>
      <c r="AL719" s="441"/>
      <c r="AM719" s="441"/>
      <c r="AN719" s="441"/>
      <c r="AO719" s="441"/>
      <c r="AP719" s="441"/>
      <c r="AQ719" s="441"/>
      <c r="AR719" s="441"/>
      <c r="AS719" s="441"/>
      <c r="AT719" s="441"/>
      <c r="AU719" s="441"/>
      <c r="AV719" s="441"/>
      <c r="AW719" s="441"/>
      <c r="AX719" s="441"/>
      <c r="AY719" s="441"/>
      <c r="AZ719" s="441"/>
      <c r="BA719" s="441"/>
    </row>
    <row r="720">
      <c r="A720" s="441"/>
      <c r="B720" s="441"/>
      <c r="C720" s="441"/>
      <c r="D720" s="441"/>
      <c r="E720" s="441"/>
      <c r="F720" s="441"/>
      <c r="G720" s="441"/>
      <c r="H720" s="441"/>
      <c r="I720" s="441"/>
      <c r="J720" s="441"/>
      <c r="K720" s="441"/>
      <c r="L720" s="441"/>
      <c r="M720" s="441"/>
      <c r="N720" s="441"/>
      <c r="O720" s="441"/>
      <c r="P720" s="441"/>
      <c r="Q720" s="441"/>
      <c r="R720" s="441"/>
      <c r="S720" s="441"/>
      <c r="T720" s="441"/>
      <c r="U720" s="441"/>
      <c r="V720" s="441"/>
      <c r="W720" s="441"/>
      <c r="X720" s="441"/>
      <c r="Y720" s="441"/>
      <c r="Z720" s="441"/>
      <c r="AA720" s="441"/>
      <c r="AB720" s="441"/>
      <c r="AC720" s="441"/>
      <c r="AD720" s="441"/>
      <c r="AE720" s="441"/>
      <c r="AF720" s="441"/>
      <c r="AG720" s="441"/>
      <c r="AH720" s="441"/>
      <c r="AI720" s="441"/>
      <c r="AJ720" s="441"/>
      <c r="AK720" s="441"/>
      <c r="AL720" s="441"/>
      <c r="AM720" s="441"/>
      <c r="AN720" s="441"/>
      <c r="AO720" s="441"/>
      <c r="AP720" s="441"/>
      <c r="AQ720" s="441"/>
      <c r="AR720" s="441"/>
      <c r="AS720" s="441"/>
      <c r="AT720" s="441"/>
      <c r="AU720" s="441"/>
      <c r="AV720" s="441"/>
      <c r="AW720" s="441"/>
      <c r="AX720" s="441"/>
      <c r="AY720" s="441"/>
      <c r="AZ720" s="441"/>
      <c r="BA720" s="441"/>
    </row>
    <row r="721">
      <c r="A721" s="441"/>
      <c r="B721" s="441"/>
      <c r="C721" s="441"/>
      <c r="D721" s="441"/>
      <c r="E721" s="441"/>
      <c r="F721" s="441"/>
      <c r="G721" s="441"/>
      <c r="H721" s="441"/>
      <c r="I721" s="441"/>
      <c r="J721" s="441"/>
      <c r="K721" s="441"/>
      <c r="L721" s="441"/>
      <c r="M721" s="441"/>
      <c r="N721" s="441"/>
      <c r="O721" s="441"/>
      <c r="P721" s="441"/>
      <c r="Q721" s="441"/>
      <c r="R721" s="441"/>
      <c r="S721" s="441"/>
      <c r="T721" s="441"/>
      <c r="U721" s="441"/>
      <c r="V721" s="441"/>
      <c r="W721" s="441"/>
      <c r="X721" s="441"/>
      <c r="Y721" s="441"/>
      <c r="Z721" s="441"/>
      <c r="AA721" s="441"/>
      <c r="AB721" s="441"/>
      <c r="AC721" s="441"/>
      <c r="AD721" s="441"/>
      <c r="AE721" s="441"/>
      <c r="AF721" s="441"/>
      <c r="AG721" s="441"/>
      <c r="AH721" s="441"/>
      <c r="AI721" s="441"/>
      <c r="AJ721" s="441"/>
      <c r="AK721" s="441"/>
      <c r="AL721" s="441"/>
      <c r="AM721" s="441"/>
      <c r="AN721" s="441"/>
      <c r="AO721" s="441"/>
      <c r="AP721" s="441"/>
      <c r="AQ721" s="441"/>
      <c r="AR721" s="441"/>
      <c r="AS721" s="441"/>
      <c r="AT721" s="441"/>
      <c r="AU721" s="441"/>
      <c r="AV721" s="441"/>
      <c r="AW721" s="441"/>
      <c r="AX721" s="441"/>
      <c r="AY721" s="441"/>
      <c r="AZ721" s="441"/>
      <c r="BA721" s="441"/>
    </row>
    <row r="722">
      <c r="A722" s="441"/>
      <c r="B722" s="441"/>
      <c r="C722" s="441"/>
      <c r="D722" s="441"/>
      <c r="E722" s="441"/>
      <c r="F722" s="441"/>
      <c r="G722" s="441"/>
      <c r="H722" s="441"/>
      <c r="I722" s="441"/>
      <c r="J722" s="441"/>
      <c r="K722" s="441"/>
      <c r="L722" s="441"/>
      <c r="M722" s="441"/>
      <c r="N722" s="441"/>
      <c r="O722" s="441"/>
      <c r="P722" s="441"/>
      <c r="Q722" s="441"/>
      <c r="R722" s="441"/>
      <c r="S722" s="441"/>
      <c r="T722" s="441"/>
      <c r="U722" s="441"/>
      <c r="V722" s="441"/>
      <c r="W722" s="441"/>
      <c r="X722" s="441"/>
      <c r="Y722" s="441"/>
      <c r="Z722" s="441"/>
      <c r="AA722" s="441"/>
      <c r="AB722" s="441"/>
      <c r="AC722" s="441"/>
      <c r="AD722" s="441"/>
      <c r="AE722" s="441"/>
      <c r="AF722" s="441"/>
      <c r="AG722" s="441"/>
      <c r="AH722" s="441"/>
      <c r="AI722" s="441"/>
      <c r="AJ722" s="441"/>
      <c r="AK722" s="441"/>
      <c r="AL722" s="441"/>
      <c r="AM722" s="441"/>
      <c r="AN722" s="441"/>
      <c r="AO722" s="441"/>
      <c r="AP722" s="441"/>
      <c r="AQ722" s="441"/>
      <c r="AR722" s="441"/>
      <c r="AS722" s="441"/>
      <c r="AT722" s="441"/>
      <c r="AU722" s="441"/>
      <c r="AV722" s="441"/>
      <c r="AW722" s="441"/>
      <c r="AX722" s="441"/>
      <c r="AY722" s="441"/>
      <c r="AZ722" s="441"/>
      <c r="BA722" s="441"/>
    </row>
    <row r="723">
      <c r="A723" s="441"/>
      <c r="B723" s="441"/>
      <c r="C723" s="441"/>
      <c r="D723" s="441"/>
      <c r="E723" s="441"/>
      <c r="F723" s="441"/>
      <c r="G723" s="441"/>
      <c r="H723" s="441"/>
      <c r="I723" s="441"/>
      <c r="J723" s="441"/>
      <c r="K723" s="441"/>
      <c r="L723" s="441"/>
      <c r="M723" s="441"/>
      <c r="N723" s="441"/>
      <c r="O723" s="441"/>
      <c r="P723" s="441"/>
      <c r="Q723" s="441"/>
      <c r="R723" s="441"/>
      <c r="S723" s="441"/>
      <c r="T723" s="441"/>
      <c r="U723" s="441"/>
      <c r="V723" s="441"/>
      <c r="W723" s="441"/>
      <c r="X723" s="441"/>
      <c r="Y723" s="441"/>
      <c r="Z723" s="441"/>
      <c r="AA723" s="441"/>
      <c r="AB723" s="441"/>
      <c r="AC723" s="441"/>
      <c r="AD723" s="441"/>
      <c r="AE723" s="441"/>
      <c r="AF723" s="441"/>
      <c r="AG723" s="441"/>
      <c r="AH723" s="441"/>
      <c r="AI723" s="441"/>
      <c r="AJ723" s="441"/>
      <c r="AK723" s="441"/>
      <c r="AL723" s="441"/>
      <c r="AM723" s="441"/>
      <c r="AN723" s="441"/>
      <c r="AO723" s="441"/>
      <c r="AP723" s="441"/>
      <c r="AQ723" s="441"/>
      <c r="AR723" s="441"/>
      <c r="AS723" s="441"/>
      <c r="AT723" s="441"/>
      <c r="AU723" s="441"/>
      <c r="AV723" s="441"/>
      <c r="AW723" s="441"/>
      <c r="AX723" s="441"/>
      <c r="AY723" s="441"/>
      <c r="AZ723" s="441"/>
      <c r="BA723" s="441"/>
    </row>
    <row r="724">
      <c r="A724" s="441"/>
      <c r="B724" s="441"/>
      <c r="C724" s="441"/>
      <c r="D724" s="441"/>
      <c r="E724" s="441"/>
      <c r="F724" s="441"/>
      <c r="G724" s="441"/>
      <c r="H724" s="441"/>
      <c r="I724" s="441"/>
      <c r="J724" s="441"/>
      <c r="K724" s="441"/>
      <c r="L724" s="441"/>
      <c r="M724" s="441"/>
      <c r="N724" s="441"/>
      <c r="O724" s="441"/>
      <c r="P724" s="441"/>
      <c r="Q724" s="441"/>
      <c r="R724" s="441"/>
      <c r="S724" s="441"/>
      <c r="T724" s="441"/>
      <c r="U724" s="441"/>
      <c r="V724" s="441"/>
      <c r="W724" s="441"/>
      <c r="X724" s="441"/>
      <c r="Y724" s="441"/>
      <c r="Z724" s="441"/>
      <c r="AA724" s="441"/>
      <c r="AB724" s="441"/>
      <c r="AC724" s="441"/>
      <c r="AD724" s="441"/>
      <c r="AE724" s="441"/>
      <c r="AF724" s="441"/>
      <c r="AG724" s="441"/>
      <c r="AH724" s="441"/>
      <c r="AI724" s="441"/>
      <c r="AJ724" s="441"/>
      <c r="AK724" s="441"/>
      <c r="AL724" s="441"/>
      <c r="AM724" s="441"/>
      <c r="AN724" s="441"/>
      <c r="AO724" s="441"/>
      <c r="AP724" s="441"/>
      <c r="AQ724" s="441"/>
      <c r="AR724" s="441"/>
      <c r="AS724" s="441"/>
      <c r="AT724" s="441"/>
      <c r="AU724" s="441"/>
      <c r="AV724" s="441"/>
      <c r="AW724" s="441"/>
      <c r="AX724" s="441"/>
      <c r="AY724" s="441"/>
      <c r="AZ724" s="441"/>
      <c r="BA724" s="441"/>
    </row>
    <row r="725">
      <c r="A725" s="441"/>
      <c r="B725" s="441"/>
      <c r="C725" s="441"/>
      <c r="D725" s="441"/>
      <c r="E725" s="441"/>
      <c r="F725" s="441"/>
      <c r="G725" s="441"/>
      <c r="H725" s="441"/>
      <c r="I725" s="441"/>
      <c r="J725" s="441"/>
      <c r="K725" s="441"/>
      <c r="L725" s="441"/>
      <c r="M725" s="441"/>
      <c r="N725" s="441"/>
      <c r="O725" s="441"/>
      <c r="P725" s="441"/>
      <c r="Q725" s="441"/>
      <c r="R725" s="441"/>
      <c r="S725" s="441"/>
      <c r="T725" s="441"/>
      <c r="U725" s="441"/>
      <c r="V725" s="441"/>
      <c r="W725" s="441"/>
      <c r="X725" s="441"/>
      <c r="Y725" s="441"/>
      <c r="Z725" s="441"/>
      <c r="AA725" s="441"/>
      <c r="AB725" s="441"/>
      <c r="AC725" s="441"/>
      <c r="AD725" s="441"/>
      <c r="AE725" s="441"/>
      <c r="AF725" s="441"/>
      <c r="AG725" s="441"/>
      <c r="AH725" s="441"/>
      <c r="AI725" s="441"/>
      <c r="AJ725" s="441"/>
      <c r="AK725" s="441"/>
      <c r="AL725" s="441"/>
      <c r="AM725" s="441"/>
      <c r="AN725" s="441"/>
      <c r="AO725" s="441"/>
      <c r="AP725" s="441"/>
      <c r="AQ725" s="441"/>
      <c r="AR725" s="441"/>
      <c r="AS725" s="441"/>
      <c r="AT725" s="441"/>
      <c r="AU725" s="441"/>
      <c r="AV725" s="441"/>
      <c r="AW725" s="441"/>
      <c r="AX725" s="441"/>
      <c r="AY725" s="441"/>
      <c r="AZ725" s="441"/>
      <c r="BA725" s="441"/>
    </row>
    <row r="726">
      <c r="A726" s="441"/>
      <c r="B726" s="441"/>
      <c r="C726" s="441"/>
      <c r="D726" s="441"/>
      <c r="E726" s="441"/>
      <c r="F726" s="441"/>
      <c r="G726" s="441"/>
      <c r="H726" s="441"/>
      <c r="I726" s="441"/>
      <c r="J726" s="441"/>
      <c r="K726" s="441"/>
      <c r="L726" s="441"/>
      <c r="M726" s="441"/>
      <c r="N726" s="441"/>
      <c r="O726" s="441"/>
      <c r="P726" s="441"/>
      <c r="Q726" s="441"/>
      <c r="R726" s="441"/>
      <c r="S726" s="441"/>
      <c r="T726" s="441"/>
      <c r="U726" s="441"/>
      <c r="V726" s="441"/>
      <c r="W726" s="441"/>
      <c r="X726" s="441"/>
      <c r="Y726" s="441"/>
      <c r="Z726" s="441"/>
      <c r="AA726" s="441"/>
      <c r="AB726" s="441"/>
      <c r="AC726" s="441"/>
      <c r="AD726" s="441"/>
      <c r="AE726" s="441"/>
      <c r="AF726" s="441"/>
      <c r="AG726" s="441"/>
      <c r="AH726" s="441"/>
      <c r="AI726" s="441"/>
      <c r="AJ726" s="441"/>
      <c r="AK726" s="441"/>
      <c r="AL726" s="441"/>
      <c r="AM726" s="441"/>
      <c r="AN726" s="441"/>
      <c r="AO726" s="441"/>
      <c r="AP726" s="441"/>
      <c r="AQ726" s="441"/>
      <c r="AR726" s="441"/>
      <c r="AS726" s="441"/>
      <c r="AT726" s="441"/>
      <c r="AU726" s="441"/>
      <c r="AV726" s="441"/>
      <c r="AW726" s="441"/>
      <c r="AX726" s="441"/>
      <c r="AY726" s="441"/>
      <c r="AZ726" s="441"/>
      <c r="BA726" s="441"/>
    </row>
    <row r="727">
      <c r="A727" s="441"/>
      <c r="B727" s="441"/>
      <c r="C727" s="441"/>
      <c r="D727" s="441"/>
      <c r="E727" s="441"/>
      <c r="F727" s="441"/>
      <c r="G727" s="441"/>
      <c r="H727" s="441"/>
      <c r="I727" s="441"/>
      <c r="J727" s="441"/>
      <c r="K727" s="441"/>
      <c r="L727" s="441"/>
      <c r="M727" s="441"/>
      <c r="N727" s="441"/>
      <c r="O727" s="441"/>
      <c r="P727" s="441"/>
      <c r="Q727" s="441"/>
      <c r="R727" s="441"/>
      <c r="S727" s="441"/>
      <c r="T727" s="441"/>
      <c r="U727" s="441"/>
      <c r="V727" s="441"/>
      <c r="W727" s="441"/>
      <c r="X727" s="441"/>
      <c r="Y727" s="441"/>
      <c r="Z727" s="441"/>
      <c r="AA727" s="441"/>
      <c r="AB727" s="441"/>
      <c r="AC727" s="441"/>
      <c r="AD727" s="441"/>
      <c r="AE727" s="441"/>
      <c r="AF727" s="441"/>
      <c r="AG727" s="441"/>
      <c r="AH727" s="441"/>
      <c r="AI727" s="441"/>
      <c r="AJ727" s="441"/>
      <c r="AK727" s="441"/>
      <c r="AL727" s="441"/>
      <c r="AM727" s="441"/>
      <c r="AN727" s="441"/>
      <c r="AO727" s="441"/>
      <c r="AP727" s="441"/>
      <c r="AQ727" s="441"/>
      <c r="AR727" s="441"/>
      <c r="AS727" s="441"/>
      <c r="AT727" s="441"/>
      <c r="AU727" s="441"/>
      <c r="AV727" s="441"/>
      <c r="AW727" s="441"/>
      <c r="AX727" s="441"/>
      <c r="AY727" s="441"/>
      <c r="AZ727" s="441"/>
      <c r="BA727" s="441"/>
    </row>
    <row r="728">
      <c r="A728" s="441"/>
      <c r="B728" s="441"/>
      <c r="C728" s="441"/>
      <c r="D728" s="441"/>
      <c r="E728" s="441"/>
      <c r="F728" s="441"/>
      <c r="G728" s="441"/>
      <c r="H728" s="441"/>
      <c r="I728" s="441"/>
      <c r="J728" s="441"/>
      <c r="K728" s="441"/>
      <c r="L728" s="441"/>
      <c r="M728" s="441"/>
      <c r="N728" s="441"/>
      <c r="O728" s="441"/>
      <c r="P728" s="441"/>
      <c r="Q728" s="441"/>
      <c r="R728" s="441"/>
      <c r="S728" s="441"/>
      <c r="T728" s="441"/>
      <c r="U728" s="441"/>
      <c r="V728" s="441"/>
      <c r="W728" s="441"/>
      <c r="X728" s="441"/>
      <c r="Y728" s="441"/>
      <c r="Z728" s="441"/>
      <c r="AA728" s="441"/>
      <c r="AB728" s="441"/>
      <c r="AC728" s="441"/>
      <c r="AD728" s="441"/>
      <c r="AE728" s="441"/>
      <c r="AF728" s="441"/>
      <c r="AG728" s="441"/>
      <c r="AH728" s="441"/>
      <c r="AI728" s="441"/>
      <c r="AJ728" s="441"/>
      <c r="AK728" s="441"/>
      <c r="AL728" s="441"/>
      <c r="AM728" s="441"/>
      <c r="AN728" s="441"/>
      <c r="AO728" s="441"/>
      <c r="AP728" s="441"/>
      <c r="AQ728" s="441"/>
      <c r="AR728" s="441"/>
      <c r="AS728" s="441"/>
      <c r="AT728" s="441"/>
      <c r="AU728" s="441"/>
      <c r="AV728" s="441"/>
      <c r="AW728" s="441"/>
      <c r="AX728" s="441"/>
      <c r="AY728" s="441"/>
      <c r="AZ728" s="441"/>
      <c r="BA728" s="441"/>
    </row>
    <row r="729">
      <c r="A729" s="441"/>
      <c r="B729" s="441"/>
      <c r="C729" s="441"/>
      <c r="D729" s="441"/>
      <c r="E729" s="441"/>
      <c r="F729" s="441"/>
      <c r="G729" s="441"/>
      <c r="H729" s="441"/>
      <c r="I729" s="441"/>
      <c r="J729" s="441"/>
      <c r="K729" s="441"/>
      <c r="L729" s="441"/>
      <c r="M729" s="441"/>
      <c r="N729" s="441"/>
      <c r="O729" s="441"/>
      <c r="P729" s="441"/>
      <c r="Q729" s="441"/>
      <c r="R729" s="441"/>
      <c r="S729" s="441"/>
      <c r="T729" s="441"/>
      <c r="U729" s="441"/>
      <c r="V729" s="441"/>
      <c r="W729" s="441"/>
      <c r="X729" s="441"/>
      <c r="Y729" s="441"/>
      <c r="Z729" s="441"/>
      <c r="AA729" s="441"/>
      <c r="AB729" s="441"/>
      <c r="AC729" s="441"/>
      <c r="AD729" s="441"/>
      <c r="AE729" s="441"/>
      <c r="AF729" s="441"/>
      <c r="AG729" s="441"/>
      <c r="AH729" s="441"/>
      <c r="AI729" s="441"/>
      <c r="AJ729" s="441"/>
      <c r="AK729" s="441"/>
      <c r="AL729" s="441"/>
      <c r="AM729" s="441"/>
      <c r="AN729" s="441"/>
      <c r="AO729" s="441"/>
      <c r="AP729" s="441"/>
      <c r="AQ729" s="441"/>
      <c r="AR729" s="441"/>
      <c r="AS729" s="441"/>
      <c r="AT729" s="441"/>
      <c r="AU729" s="441"/>
      <c r="AV729" s="441"/>
      <c r="AW729" s="441"/>
      <c r="AX729" s="441"/>
      <c r="AY729" s="441"/>
      <c r="AZ729" s="441"/>
      <c r="BA729" s="441"/>
    </row>
    <row r="730">
      <c r="A730" s="441"/>
      <c r="B730" s="441"/>
      <c r="C730" s="441"/>
      <c r="D730" s="441"/>
      <c r="E730" s="441"/>
      <c r="F730" s="441"/>
      <c r="G730" s="441"/>
      <c r="H730" s="441"/>
      <c r="I730" s="441"/>
      <c r="J730" s="441"/>
      <c r="K730" s="441"/>
      <c r="L730" s="441"/>
      <c r="M730" s="441"/>
      <c r="N730" s="441"/>
      <c r="O730" s="441"/>
      <c r="P730" s="441"/>
      <c r="Q730" s="441"/>
      <c r="R730" s="441"/>
      <c r="S730" s="441"/>
      <c r="T730" s="441"/>
      <c r="U730" s="441"/>
      <c r="V730" s="441"/>
      <c r="W730" s="441"/>
      <c r="X730" s="441"/>
      <c r="Y730" s="441"/>
      <c r="Z730" s="441"/>
      <c r="AA730" s="441"/>
      <c r="AB730" s="441"/>
      <c r="AC730" s="441"/>
      <c r="AD730" s="441"/>
      <c r="AE730" s="441"/>
      <c r="AF730" s="441"/>
      <c r="AG730" s="441"/>
      <c r="AH730" s="441"/>
      <c r="AI730" s="441"/>
      <c r="AJ730" s="441"/>
      <c r="AK730" s="441"/>
      <c r="AL730" s="441"/>
      <c r="AM730" s="441"/>
      <c r="AN730" s="441"/>
      <c r="AO730" s="441"/>
      <c r="AP730" s="441"/>
      <c r="AQ730" s="441"/>
      <c r="AR730" s="441"/>
      <c r="AS730" s="441"/>
      <c r="AT730" s="441"/>
      <c r="AU730" s="441"/>
      <c r="AV730" s="441"/>
      <c r="AW730" s="441"/>
      <c r="AX730" s="441"/>
      <c r="AY730" s="441"/>
      <c r="AZ730" s="441"/>
      <c r="BA730" s="441"/>
    </row>
    <row r="731">
      <c r="A731" s="441"/>
      <c r="B731" s="441"/>
      <c r="C731" s="441"/>
      <c r="D731" s="441"/>
      <c r="E731" s="441"/>
      <c r="F731" s="441"/>
      <c r="G731" s="441"/>
      <c r="H731" s="441"/>
      <c r="I731" s="441"/>
      <c r="J731" s="441"/>
      <c r="K731" s="441"/>
      <c r="L731" s="441"/>
      <c r="M731" s="441"/>
      <c r="N731" s="441"/>
      <c r="O731" s="441"/>
      <c r="P731" s="441"/>
      <c r="Q731" s="441"/>
      <c r="R731" s="441"/>
      <c r="S731" s="441"/>
      <c r="T731" s="441"/>
      <c r="U731" s="441"/>
      <c r="V731" s="441"/>
      <c r="W731" s="441"/>
      <c r="X731" s="441"/>
      <c r="Y731" s="441"/>
      <c r="Z731" s="441"/>
      <c r="AA731" s="441"/>
      <c r="AB731" s="441"/>
      <c r="AC731" s="441"/>
      <c r="AD731" s="441"/>
      <c r="AE731" s="441"/>
      <c r="AF731" s="441"/>
      <c r="AG731" s="441"/>
      <c r="AH731" s="441"/>
      <c r="AI731" s="441"/>
      <c r="AJ731" s="441"/>
      <c r="AK731" s="441"/>
      <c r="AL731" s="441"/>
      <c r="AM731" s="441"/>
      <c r="AN731" s="441"/>
      <c r="AO731" s="441"/>
      <c r="AP731" s="441"/>
      <c r="AQ731" s="441"/>
      <c r="AR731" s="441"/>
      <c r="AS731" s="441"/>
      <c r="AT731" s="441"/>
      <c r="AU731" s="441"/>
      <c r="AV731" s="441"/>
      <c r="AW731" s="441"/>
      <c r="AX731" s="441"/>
      <c r="AY731" s="441"/>
      <c r="AZ731" s="441"/>
      <c r="BA731" s="441"/>
    </row>
    <row r="732">
      <c r="A732" s="441"/>
      <c r="B732" s="441"/>
      <c r="C732" s="441"/>
      <c r="D732" s="441"/>
      <c r="E732" s="441"/>
      <c r="F732" s="441"/>
      <c r="G732" s="441"/>
      <c r="H732" s="441"/>
      <c r="I732" s="441"/>
      <c r="J732" s="441"/>
      <c r="K732" s="441"/>
      <c r="L732" s="441"/>
      <c r="M732" s="441"/>
      <c r="N732" s="441"/>
      <c r="O732" s="441"/>
      <c r="P732" s="441"/>
      <c r="Q732" s="441"/>
      <c r="R732" s="441"/>
      <c r="S732" s="441"/>
      <c r="T732" s="441"/>
      <c r="U732" s="441"/>
      <c r="V732" s="441"/>
      <c r="W732" s="441"/>
      <c r="X732" s="441"/>
      <c r="Y732" s="441"/>
      <c r="Z732" s="441"/>
      <c r="AA732" s="441"/>
      <c r="AB732" s="441"/>
      <c r="AC732" s="441"/>
      <c r="AD732" s="441"/>
      <c r="AE732" s="441"/>
      <c r="AF732" s="441"/>
      <c r="AG732" s="441"/>
      <c r="AH732" s="441"/>
      <c r="AI732" s="441"/>
      <c r="AJ732" s="441"/>
      <c r="AK732" s="441"/>
      <c r="AL732" s="441"/>
      <c r="AM732" s="441"/>
      <c r="AN732" s="441"/>
      <c r="AO732" s="441"/>
      <c r="AP732" s="441"/>
      <c r="AQ732" s="441"/>
      <c r="AR732" s="441"/>
      <c r="AS732" s="441"/>
      <c r="AT732" s="441"/>
      <c r="AU732" s="441"/>
      <c r="AV732" s="441"/>
      <c r="AW732" s="441"/>
      <c r="AX732" s="441"/>
      <c r="AY732" s="441"/>
      <c r="AZ732" s="441"/>
      <c r="BA732" s="441"/>
    </row>
    <row r="733">
      <c r="A733" s="441"/>
      <c r="B733" s="441"/>
      <c r="C733" s="441"/>
      <c r="D733" s="441"/>
      <c r="E733" s="441"/>
      <c r="F733" s="441"/>
      <c r="G733" s="441"/>
      <c r="H733" s="441"/>
      <c r="I733" s="441"/>
      <c r="J733" s="441"/>
      <c r="K733" s="441"/>
      <c r="L733" s="441"/>
      <c r="M733" s="441"/>
      <c r="N733" s="441"/>
      <c r="O733" s="441"/>
      <c r="P733" s="441"/>
      <c r="Q733" s="441"/>
      <c r="R733" s="441"/>
      <c r="S733" s="441"/>
      <c r="T733" s="441"/>
      <c r="U733" s="441"/>
      <c r="V733" s="441"/>
      <c r="W733" s="441"/>
      <c r="X733" s="441"/>
      <c r="Y733" s="441"/>
      <c r="Z733" s="441"/>
      <c r="AA733" s="441"/>
      <c r="AB733" s="441"/>
      <c r="AC733" s="441"/>
      <c r="AD733" s="441"/>
      <c r="AE733" s="441"/>
      <c r="AF733" s="441"/>
      <c r="AG733" s="441"/>
      <c r="AH733" s="441"/>
      <c r="AI733" s="441"/>
      <c r="AJ733" s="441"/>
      <c r="AK733" s="441"/>
      <c r="AL733" s="441"/>
      <c r="AM733" s="441"/>
      <c r="AN733" s="441"/>
      <c r="AO733" s="441"/>
      <c r="AP733" s="441"/>
      <c r="AQ733" s="441"/>
      <c r="AR733" s="441"/>
      <c r="AS733" s="441"/>
      <c r="AT733" s="441"/>
      <c r="AU733" s="441"/>
      <c r="AV733" s="441"/>
      <c r="AW733" s="441"/>
      <c r="AX733" s="441"/>
      <c r="AY733" s="441"/>
      <c r="AZ733" s="441"/>
      <c r="BA733" s="441"/>
    </row>
    <row r="734">
      <c r="A734" s="441"/>
      <c r="B734" s="441"/>
      <c r="C734" s="441"/>
      <c r="D734" s="441"/>
      <c r="E734" s="441"/>
      <c r="F734" s="441"/>
      <c r="G734" s="441"/>
      <c r="H734" s="441"/>
      <c r="I734" s="441"/>
      <c r="J734" s="441"/>
      <c r="K734" s="441"/>
      <c r="L734" s="441"/>
      <c r="M734" s="441"/>
      <c r="N734" s="441"/>
      <c r="O734" s="441"/>
      <c r="P734" s="441"/>
      <c r="Q734" s="441"/>
      <c r="R734" s="441"/>
      <c r="S734" s="441"/>
      <c r="T734" s="441"/>
      <c r="U734" s="441"/>
      <c r="V734" s="441"/>
      <c r="W734" s="441"/>
      <c r="X734" s="441"/>
      <c r="Y734" s="441"/>
      <c r="Z734" s="441"/>
      <c r="AA734" s="441"/>
      <c r="AB734" s="441"/>
      <c r="AC734" s="441"/>
      <c r="AD734" s="441"/>
      <c r="AE734" s="441"/>
      <c r="AF734" s="441"/>
      <c r="AG734" s="441"/>
      <c r="AH734" s="441"/>
      <c r="AI734" s="441"/>
      <c r="AJ734" s="441"/>
      <c r="AK734" s="441"/>
      <c r="AL734" s="441"/>
      <c r="AM734" s="441"/>
      <c r="AN734" s="441"/>
      <c r="AO734" s="441"/>
      <c r="AP734" s="441"/>
      <c r="AQ734" s="441"/>
      <c r="AR734" s="441"/>
      <c r="AS734" s="441"/>
      <c r="AT734" s="441"/>
      <c r="AU734" s="441"/>
      <c r="AV734" s="441"/>
      <c r="AW734" s="441"/>
      <c r="AX734" s="441"/>
      <c r="AY734" s="441"/>
      <c r="AZ734" s="441"/>
      <c r="BA734" s="441"/>
    </row>
    <row r="735">
      <c r="A735" s="441"/>
      <c r="B735" s="441"/>
      <c r="C735" s="441"/>
      <c r="D735" s="441"/>
      <c r="E735" s="441"/>
      <c r="F735" s="441"/>
      <c r="G735" s="441"/>
      <c r="H735" s="441"/>
      <c r="I735" s="441"/>
      <c r="J735" s="441"/>
      <c r="K735" s="441"/>
      <c r="L735" s="441"/>
      <c r="M735" s="441"/>
      <c r="N735" s="441"/>
      <c r="O735" s="441"/>
      <c r="P735" s="441"/>
      <c r="Q735" s="441"/>
      <c r="R735" s="441"/>
      <c r="S735" s="441"/>
      <c r="T735" s="441"/>
      <c r="U735" s="441"/>
      <c r="V735" s="441"/>
      <c r="W735" s="441"/>
      <c r="X735" s="441"/>
      <c r="Y735" s="441"/>
      <c r="Z735" s="441"/>
      <c r="AA735" s="441"/>
      <c r="AB735" s="441"/>
      <c r="AC735" s="441"/>
      <c r="AD735" s="441"/>
      <c r="AE735" s="441"/>
      <c r="AF735" s="441"/>
      <c r="AG735" s="441"/>
      <c r="AH735" s="441"/>
      <c r="AI735" s="441"/>
      <c r="AJ735" s="441"/>
      <c r="AK735" s="441"/>
      <c r="AL735" s="441"/>
      <c r="AM735" s="441"/>
      <c r="AN735" s="441"/>
      <c r="AO735" s="441"/>
      <c r="AP735" s="441"/>
      <c r="AQ735" s="441"/>
      <c r="AR735" s="441"/>
      <c r="AS735" s="441"/>
      <c r="AT735" s="441"/>
      <c r="AU735" s="441"/>
      <c r="AV735" s="441"/>
      <c r="AW735" s="441"/>
      <c r="AX735" s="441"/>
      <c r="AY735" s="441"/>
      <c r="AZ735" s="441"/>
      <c r="BA735" s="441"/>
    </row>
    <row r="736">
      <c r="A736" s="441"/>
      <c r="B736" s="441"/>
      <c r="C736" s="441"/>
      <c r="D736" s="441"/>
      <c r="E736" s="441"/>
      <c r="F736" s="441"/>
      <c r="G736" s="441"/>
      <c r="H736" s="441"/>
      <c r="I736" s="441"/>
      <c r="J736" s="441"/>
      <c r="K736" s="441"/>
      <c r="L736" s="441"/>
      <c r="M736" s="441"/>
      <c r="N736" s="441"/>
      <c r="O736" s="441"/>
      <c r="P736" s="441"/>
      <c r="Q736" s="441"/>
      <c r="R736" s="441"/>
      <c r="S736" s="441"/>
      <c r="T736" s="441"/>
      <c r="U736" s="441"/>
      <c r="V736" s="441"/>
      <c r="W736" s="441"/>
      <c r="X736" s="441"/>
      <c r="Y736" s="441"/>
      <c r="Z736" s="441"/>
      <c r="AA736" s="441"/>
      <c r="AB736" s="441"/>
      <c r="AC736" s="441"/>
      <c r="AD736" s="441"/>
      <c r="AE736" s="441"/>
      <c r="AF736" s="441"/>
      <c r="AG736" s="441"/>
      <c r="AH736" s="441"/>
      <c r="AI736" s="441"/>
      <c r="AJ736" s="441"/>
      <c r="AK736" s="441"/>
      <c r="AL736" s="441"/>
      <c r="AM736" s="441"/>
      <c r="AN736" s="441"/>
      <c r="AO736" s="441"/>
      <c r="AP736" s="441"/>
      <c r="AQ736" s="441"/>
      <c r="AR736" s="441"/>
      <c r="AS736" s="441"/>
      <c r="AT736" s="441"/>
      <c r="AU736" s="441"/>
      <c r="AV736" s="441"/>
      <c r="AW736" s="441"/>
      <c r="AX736" s="441"/>
      <c r="AY736" s="441"/>
      <c r="AZ736" s="441"/>
      <c r="BA736" s="441"/>
    </row>
    <row r="737">
      <c r="A737" s="441"/>
      <c r="B737" s="441"/>
      <c r="C737" s="441"/>
      <c r="D737" s="441"/>
      <c r="E737" s="441"/>
      <c r="F737" s="441"/>
      <c r="G737" s="441"/>
      <c r="H737" s="441"/>
      <c r="I737" s="441"/>
      <c r="J737" s="441"/>
      <c r="K737" s="441"/>
      <c r="L737" s="441"/>
      <c r="M737" s="441"/>
      <c r="N737" s="441"/>
      <c r="O737" s="441"/>
      <c r="P737" s="441"/>
      <c r="Q737" s="441"/>
      <c r="R737" s="441"/>
      <c r="S737" s="441"/>
      <c r="T737" s="441"/>
      <c r="U737" s="441"/>
      <c r="V737" s="441"/>
      <c r="W737" s="441"/>
      <c r="X737" s="441"/>
      <c r="Y737" s="441"/>
      <c r="Z737" s="441"/>
      <c r="AA737" s="441"/>
      <c r="AB737" s="441"/>
      <c r="AC737" s="441"/>
      <c r="AD737" s="441"/>
      <c r="AE737" s="441"/>
      <c r="AF737" s="441"/>
      <c r="AG737" s="441"/>
      <c r="AH737" s="441"/>
      <c r="AI737" s="441"/>
      <c r="AJ737" s="441"/>
      <c r="AK737" s="441"/>
      <c r="AL737" s="441"/>
      <c r="AM737" s="441"/>
      <c r="AN737" s="441"/>
      <c r="AO737" s="441"/>
      <c r="AP737" s="441"/>
      <c r="AQ737" s="441"/>
      <c r="AR737" s="441"/>
      <c r="AS737" s="441"/>
      <c r="AT737" s="441"/>
      <c r="AU737" s="441"/>
      <c r="AV737" s="441"/>
      <c r="AW737" s="441"/>
      <c r="AX737" s="441"/>
      <c r="AY737" s="441"/>
      <c r="AZ737" s="441"/>
      <c r="BA737" s="441"/>
    </row>
    <row r="738">
      <c r="A738" s="441"/>
      <c r="B738" s="441"/>
      <c r="C738" s="441"/>
      <c r="D738" s="441"/>
      <c r="E738" s="441"/>
      <c r="F738" s="441"/>
      <c r="G738" s="441"/>
      <c r="H738" s="441"/>
      <c r="I738" s="441"/>
      <c r="J738" s="441"/>
      <c r="K738" s="441"/>
      <c r="L738" s="441"/>
      <c r="M738" s="441"/>
      <c r="N738" s="441"/>
      <c r="O738" s="441"/>
      <c r="P738" s="441"/>
      <c r="Q738" s="441"/>
      <c r="R738" s="441"/>
      <c r="S738" s="441"/>
      <c r="T738" s="441"/>
      <c r="U738" s="441"/>
      <c r="V738" s="441"/>
      <c r="W738" s="441"/>
      <c r="X738" s="441"/>
      <c r="Y738" s="441"/>
      <c r="Z738" s="441"/>
      <c r="AA738" s="441"/>
      <c r="AB738" s="441"/>
      <c r="AC738" s="441"/>
      <c r="AD738" s="441"/>
      <c r="AE738" s="441"/>
      <c r="AF738" s="441"/>
      <c r="AG738" s="441"/>
      <c r="AH738" s="441"/>
      <c r="AI738" s="441"/>
      <c r="AJ738" s="441"/>
      <c r="AK738" s="441"/>
      <c r="AL738" s="441"/>
      <c r="AM738" s="441"/>
      <c r="AN738" s="441"/>
      <c r="AO738" s="441"/>
      <c r="AP738" s="441"/>
      <c r="AQ738" s="441"/>
      <c r="AR738" s="441"/>
      <c r="AS738" s="441"/>
      <c r="AT738" s="441"/>
      <c r="AU738" s="441"/>
      <c r="AV738" s="441"/>
      <c r="AW738" s="441"/>
      <c r="AX738" s="441"/>
      <c r="AY738" s="441"/>
      <c r="AZ738" s="441"/>
      <c r="BA738" s="441"/>
    </row>
    <row r="739">
      <c r="A739" s="441"/>
      <c r="B739" s="441"/>
      <c r="C739" s="441"/>
      <c r="D739" s="441"/>
      <c r="E739" s="441"/>
      <c r="F739" s="441"/>
      <c r="G739" s="441"/>
      <c r="H739" s="441"/>
      <c r="I739" s="441"/>
      <c r="J739" s="441"/>
      <c r="K739" s="441"/>
      <c r="L739" s="441"/>
      <c r="M739" s="441"/>
      <c r="N739" s="441"/>
      <c r="O739" s="441"/>
      <c r="P739" s="441"/>
      <c r="Q739" s="441"/>
      <c r="R739" s="441"/>
      <c r="S739" s="441"/>
      <c r="T739" s="441"/>
      <c r="U739" s="441"/>
      <c r="V739" s="441"/>
      <c r="W739" s="441"/>
      <c r="X739" s="441"/>
      <c r="Y739" s="441"/>
      <c r="Z739" s="441"/>
      <c r="AA739" s="441"/>
      <c r="AB739" s="441"/>
      <c r="AC739" s="441"/>
      <c r="AD739" s="441"/>
      <c r="AE739" s="441"/>
      <c r="AF739" s="441"/>
      <c r="AG739" s="441"/>
      <c r="AH739" s="441"/>
      <c r="AI739" s="441"/>
      <c r="AJ739" s="441"/>
      <c r="AK739" s="441"/>
      <c r="AL739" s="441"/>
      <c r="AM739" s="441"/>
      <c r="AN739" s="441"/>
      <c r="AO739" s="441"/>
      <c r="AP739" s="441"/>
      <c r="AQ739" s="441"/>
      <c r="AR739" s="441"/>
      <c r="AS739" s="441"/>
      <c r="AT739" s="441"/>
      <c r="AU739" s="441"/>
      <c r="AV739" s="441"/>
      <c r="AW739" s="441"/>
      <c r="AX739" s="441"/>
      <c r="AY739" s="441"/>
      <c r="AZ739" s="441"/>
      <c r="BA739" s="441"/>
    </row>
    <row r="740">
      <c r="A740" s="441"/>
      <c r="B740" s="441"/>
      <c r="C740" s="441"/>
      <c r="D740" s="441"/>
      <c r="E740" s="441"/>
      <c r="F740" s="441"/>
      <c r="G740" s="441"/>
      <c r="H740" s="441"/>
      <c r="I740" s="441"/>
      <c r="J740" s="441"/>
      <c r="K740" s="441"/>
      <c r="L740" s="441"/>
      <c r="M740" s="441"/>
      <c r="N740" s="441"/>
      <c r="O740" s="441"/>
      <c r="P740" s="441"/>
      <c r="Q740" s="441"/>
      <c r="R740" s="441"/>
      <c r="S740" s="441"/>
      <c r="T740" s="441"/>
      <c r="U740" s="441"/>
      <c r="V740" s="441"/>
      <c r="W740" s="441"/>
      <c r="X740" s="441"/>
      <c r="Y740" s="441"/>
      <c r="Z740" s="441"/>
      <c r="AA740" s="441"/>
      <c r="AB740" s="441"/>
      <c r="AC740" s="441"/>
      <c r="AD740" s="441"/>
      <c r="AE740" s="441"/>
      <c r="AF740" s="441"/>
      <c r="AG740" s="441"/>
      <c r="AH740" s="441"/>
      <c r="AI740" s="441"/>
      <c r="AJ740" s="441"/>
      <c r="AK740" s="441"/>
      <c r="AL740" s="441"/>
      <c r="AM740" s="441"/>
      <c r="AN740" s="441"/>
      <c r="AO740" s="441"/>
      <c r="AP740" s="441"/>
      <c r="AQ740" s="441"/>
      <c r="AR740" s="441"/>
      <c r="AS740" s="441"/>
      <c r="AT740" s="441"/>
      <c r="AU740" s="441"/>
      <c r="AV740" s="441"/>
      <c r="AW740" s="441"/>
      <c r="AX740" s="441"/>
      <c r="AY740" s="441"/>
      <c r="AZ740" s="441"/>
      <c r="BA740" s="441"/>
    </row>
    <row r="741">
      <c r="A741" s="441"/>
      <c r="B741" s="441"/>
      <c r="C741" s="441"/>
      <c r="D741" s="441"/>
      <c r="E741" s="441"/>
      <c r="F741" s="441"/>
      <c r="G741" s="441"/>
      <c r="H741" s="441"/>
      <c r="I741" s="441"/>
      <c r="J741" s="441"/>
      <c r="K741" s="441"/>
      <c r="L741" s="441"/>
      <c r="M741" s="441"/>
      <c r="N741" s="441"/>
      <c r="O741" s="441"/>
      <c r="P741" s="441"/>
      <c r="Q741" s="441"/>
      <c r="R741" s="441"/>
      <c r="S741" s="441"/>
      <c r="T741" s="441"/>
      <c r="U741" s="441"/>
      <c r="V741" s="441"/>
      <c r="W741" s="441"/>
      <c r="X741" s="441"/>
      <c r="Y741" s="441"/>
      <c r="Z741" s="441"/>
      <c r="AA741" s="441"/>
      <c r="AB741" s="441"/>
      <c r="AC741" s="441"/>
      <c r="AD741" s="441"/>
      <c r="AE741" s="441"/>
      <c r="AF741" s="441"/>
      <c r="AG741" s="441"/>
      <c r="AH741" s="441"/>
      <c r="AI741" s="441"/>
      <c r="AJ741" s="441"/>
      <c r="AK741" s="441"/>
      <c r="AL741" s="441"/>
      <c r="AM741" s="441"/>
      <c r="AN741" s="441"/>
      <c r="AO741" s="441"/>
      <c r="AP741" s="441"/>
      <c r="AQ741" s="441"/>
      <c r="AR741" s="441"/>
      <c r="AS741" s="441"/>
      <c r="AT741" s="441"/>
      <c r="AU741" s="441"/>
      <c r="AV741" s="441"/>
      <c r="AW741" s="441"/>
      <c r="AX741" s="441"/>
      <c r="AY741" s="441"/>
      <c r="AZ741" s="441"/>
      <c r="BA741" s="441"/>
    </row>
    <row r="742">
      <c r="A742" s="441"/>
      <c r="B742" s="441"/>
      <c r="C742" s="441"/>
      <c r="D742" s="441"/>
      <c r="E742" s="441"/>
      <c r="F742" s="441"/>
      <c r="G742" s="441"/>
      <c r="H742" s="441"/>
      <c r="I742" s="441"/>
      <c r="J742" s="441"/>
      <c r="K742" s="441"/>
      <c r="L742" s="441"/>
      <c r="M742" s="441"/>
      <c r="N742" s="441"/>
      <c r="O742" s="441"/>
      <c r="P742" s="441"/>
      <c r="Q742" s="441"/>
      <c r="R742" s="441"/>
      <c r="S742" s="441"/>
      <c r="T742" s="441"/>
      <c r="U742" s="441"/>
      <c r="V742" s="441"/>
      <c r="W742" s="441"/>
      <c r="X742" s="441"/>
      <c r="Y742" s="441"/>
      <c r="Z742" s="441"/>
      <c r="AA742" s="441"/>
      <c r="AB742" s="441"/>
      <c r="AC742" s="441"/>
      <c r="AD742" s="441"/>
      <c r="AE742" s="441"/>
      <c r="AF742" s="441"/>
      <c r="AG742" s="441"/>
      <c r="AH742" s="441"/>
      <c r="AI742" s="441"/>
      <c r="AJ742" s="441"/>
      <c r="AK742" s="441"/>
      <c r="AL742" s="441"/>
      <c r="AM742" s="441"/>
      <c r="AN742" s="441"/>
      <c r="AO742" s="441"/>
      <c r="AP742" s="441"/>
      <c r="AQ742" s="441"/>
      <c r="AR742" s="441"/>
      <c r="AS742" s="441"/>
      <c r="AT742" s="441"/>
      <c r="AU742" s="441"/>
      <c r="AV742" s="441"/>
      <c r="AW742" s="441"/>
      <c r="AX742" s="441"/>
      <c r="AY742" s="441"/>
      <c r="AZ742" s="441"/>
      <c r="BA742" s="441"/>
    </row>
    <row r="743">
      <c r="A743" s="441"/>
      <c r="B743" s="441"/>
      <c r="C743" s="441"/>
      <c r="D743" s="441"/>
      <c r="E743" s="441"/>
      <c r="F743" s="441"/>
      <c r="G743" s="441"/>
      <c r="H743" s="441"/>
      <c r="I743" s="441"/>
      <c r="J743" s="441"/>
      <c r="K743" s="441"/>
      <c r="L743" s="441"/>
      <c r="M743" s="441"/>
      <c r="N743" s="441"/>
      <c r="O743" s="441"/>
      <c r="P743" s="441"/>
      <c r="Q743" s="441"/>
      <c r="R743" s="441"/>
      <c r="S743" s="441"/>
      <c r="T743" s="441"/>
      <c r="U743" s="441"/>
      <c r="V743" s="441"/>
      <c r="W743" s="441"/>
      <c r="X743" s="441"/>
      <c r="Y743" s="441"/>
      <c r="Z743" s="441"/>
      <c r="AA743" s="441"/>
      <c r="AB743" s="441"/>
      <c r="AC743" s="441"/>
      <c r="AD743" s="441"/>
      <c r="AE743" s="441"/>
      <c r="AF743" s="441"/>
      <c r="AG743" s="441"/>
      <c r="AH743" s="441"/>
      <c r="AI743" s="441"/>
      <c r="AJ743" s="441"/>
      <c r="AK743" s="441"/>
      <c r="AL743" s="441"/>
      <c r="AM743" s="441"/>
      <c r="AN743" s="441"/>
      <c r="AO743" s="441"/>
      <c r="AP743" s="441"/>
      <c r="AQ743" s="441"/>
      <c r="AR743" s="441"/>
      <c r="AS743" s="441"/>
      <c r="AT743" s="441"/>
      <c r="AU743" s="441"/>
      <c r="AV743" s="441"/>
      <c r="AW743" s="441"/>
      <c r="AX743" s="441"/>
      <c r="AY743" s="441"/>
      <c r="AZ743" s="441"/>
      <c r="BA743" s="441"/>
    </row>
    <row r="744">
      <c r="A744" s="441"/>
      <c r="B744" s="441"/>
      <c r="C744" s="441"/>
      <c r="D744" s="441"/>
      <c r="E744" s="441"/>
      <c r="F744" s="441"/>
      <c r="G744" s="441"/>
      <c r="H744" s="441"/>
      <c r="I744" s="441"/>
      <c r="J744" s="441"/>
      <c r="K744" s="441"/>
      <c r="L744" s="441"/>
      <c r="M744" s="441"/>
      <c r="N744" s="441"/>
      <c r="O744" s="441"/>
      <c r="P744" s="441"/>
      <c r="Q744" s="441"/>
      <c r="R744" s="441"/>
      <c r="S744" s="441"/>
      <c r="T744" s="441"/>
      <c r="U744" s="441"/>
      <c r="V744" s="441"/>
      <c r="W744" s="441"/>
      <c r="X744" s="441"/>
      <c r="Y744" s="441"/>
      <c r="Z744" s="441"/>
      <c r="AA744" s="441"/>
      <c r="AB744" s="441"/>
      <c r="AC744" s="441"/>
      <c r="AD744" s="441"/>
      <c r="AE744" s="441"/>
      <c r="AF744" s="441"/>
      <c r="AG744" s="441"/>
      <c r="AH744" s="441"/>
      <c r="AI744" s="441"/>
      <c r="AJ744" s="441"/>
      <c r="AK744" s="441"/>
      <c r="AL744" s="441"/>
      <c r="AM744" s="441"/>
      <c r="AN744" s="441"/>
      <c r="AO744" s="441"/>
      <c r="AP744" s="441"/>
      <c r="AQ744" s="441"/>
      <c r="AR744" s="441"/>
      <c r="AS744" s="441"/>
      <c r="AT744" s="441"/>
      <c r="AU744" s="441"/>
      <c r="AV744" s="441"/>
      <c r="AW744" s="441"/>
      <c r="AX744" s="441"/>
      <c r="AY744" s="441"/>
      <c r="AZ744" s="441"/>
      <c r="BA744" s="441"/>
    </row>
    <row r="745">
      <c r="A745" s="441"/>
      <c r="B745" s="441"/>
      <c r="C745" s="441"/>
      <c r="D745" s="441"/>
      <c r="E745" s="441"/>
      <c r="F745" s="441"/>
      <c r="G745" s="441"/>
      <c r="H745" s="441"/>
      <c r="I745" s="441"/>
      <c r="J745" s="441"/>
      <c r="K745" s="441"/>
      <c r="L745" s="441"/>
      <c r="M745" s="441"/>
      <c r="N745" s="441"/>
      <c r="O745" s="441"/>
      <c r="P745" s="441"/>
      <c r="Q745" s="441"/>
      <c r="R745" s="441"/>
      <c r="S745" s="441"/>
      <c r="T745" s="441"/>
      <c r="U745" s="441"/>
      <c r="V745" s="441"/>
      <c r="W745" s="441"/>
      <c r="X745" s="441"/>
      <c r="Y745" s="441"/>
      <c r="Z745" s="441"/>
      <c r="AA745" s="441"/>
      <c r="AB745" s="441"/>
      <c r="AC745" s="441"/>
      <c r="AD745" s="441"/>
      <c r="AE745" s="441"/>
      <c r="AF745" s="441"/>
      <c r="AG745" s="441"/>
      <c r="AH745" s="441"/>
      <c r="AI745" s="441"/>
      <c r="AJ745" s="441"/>
      <c r="AK745" s="441"/>
      <c r="AL745" s="441"/>
      <c r="AM745" s="441"/>
      <c r="AN745" s="441"/>
      <c r="AO745" s="441"/>
      <c r="AP745" s="441"/>
      <c r="AQ745" s="441"/>
      <c r="AR745" s="441"/>
      <c r="AS745" s="441"/>
      <c r="AT745" s="441"/>
      <c r="AU745" s="441"/>
      <c r="AV745" s="441"/>
      <c r="AW745" s="441"/>
      <c r="AX745" s="441"/>
      <c r="AY745" s="441"/>
      <c r="AZ745" s="441"/>
      <c r="BA745" s="441"/>
    </row>
    <row r="746">
      <c r="A746" s="441"/>
      <c r="B746" s="441"/>
      <c r="C746" s="441"/>
      <c r="D746" s="441"/>
      <c r="E746" s="441"/>
      <c r="F746" s="441"/>
      <c r="G746" s="441"/>
      <c r="H746" s="441"/>
      <c r="I746" s="441"/>
      <c r="J746" s="441"/>
      <c r="K746" s="441"/>
      <c r="L746" s="441"/>
      <c r="M746" s="441"/>
      <c r="N746" s="441"/>
      <c r="O746" s="441"/>
      <c r="P746" s="441"/>
      <c r="Q746" s="441"/>
      <c r="R746" s="441"/>
      <c r="S746" s="441"/>
      <c r="T746" s="441"/>
      <c r="U746" s="441"/>
      <c r="V746" s="441"/>
      <c r="W746" s="441"/>
      <c r="X746" s="441"/>
      <c r="Y746" s="441"/>
      <c r="Z746" s="441"/>
      <c r="AA746" s="441"/>
      <c r="AB746" s="441"/>
      <c r="AC746" s="441"/>
      <c r="AD746" s="441"/>
      <c r="AE746" s="441"/>
      <c r="AF746" s="441"/>
      <c r="AG746" s="441"/>
      <c r="AH746" s="441"/>
      <c r="AI746" s="441"/>
      <c r="AJ746" s="441"/>
      <c r="AK746" s="441"/>
      <c r="AL746" s="441"/>
      <c r="AM746" s="441"/>
      <c r="AN746" s="441"/>
      <c r="AO746" s="441"/>
      <c r="AP746" s="441"/>
      <c r="AQ746" s="441"/>
      <c r="AR746" s="441"/>
      <c r="AS746" s="441"/>
      <c r="AT746" s="441"/>
      <c r="AU746" s="441"/>
      <c r="AV746" s="441"/>
      <c r="AW746" s="441"/>
      <c r="AX746" s="441"/>
      <c r="AY746" s="441"/>
      <c r="AZ746" s="441"/>
      <c r="BA746" s="441"/>
    </row>
    <row r="747">
      <c r="A747" s="441"/>
      <c r="B747" s="441"/>
      <c r="C747" s="441"/>
      <c r="D747" s="441"/>
      <c r="E747" s="441"/>
      <c r="F747" s="441"/>
      <c r="G747" s="441"/>
      <c r="H747" s="441"/>
      <c r="I747" s="441"/>
      <c r="J747" s="441"/>
      <c r="K747" s="441"/>
      <c r="L747" s="441"/>
      <c r="M747" s="441"/>
      <c r="N747" s="441"/>
      <c r="O747" s="441"/>
      <c r="P747" s="441"/>
      <c r="Q747" s="441"/>
      <c r="R747" s="441"/>
      <c r="S747" s="441"/>
      <c r="T747" s="441"/>
      <c r="U747" s="441"/>
      <c r="V747" s="441"/>
      <c r="W747" s="441"/>
      <c r="X747" s="441"/>
      <c r="Y747" s="441"/>
      <c r="Z747" s="441"/>
      <c r="AA747" s="441"/>
      <c r="AB747" s="441"/>
      <c r="AC747" s="441"/>
      <c r="AD747" s="441"/>
      <c r="AE747" s="441"/>
      <c r="AF747" s="441"/>
      <c r="AG747" s="441"/>
      <c r="AH747" s="441"/>
      <c r="AI747" s="441"/>
      <c r="AJ747" s="441"/>
      <c r="AK747" s="441"/>
      <c r="AL747" s="441"/>
      <c r="AM747" s="441"/>
      <c r="AN747" s="441"/>
      <c r="AO747" s="441"/>
      <c r="AP747" s="441"/>
      <c r="AQ747" s="441"/>
      <c r="AR747" s="441"/>
      <c r="AS747" s="441"/>
      <c r="AT747" s="441"/>
      <c r="AU747" s="441"/>
      <c r="AV747" s="441"/>
      <c r="AW747" s="441"/>
      <c r="AX747" s="441"/>
      <c r="AY747" s="441"/>
      <c r="AZ747" s="441"/>
      <c r="BA747" s="441"/>
    </row>
    <row r="748">
      <c r="A748" s="441"/>
      <c r="B748" s="441"/>
      <c r="C748" s="441"/>
      <c r="D748" s="441"/>
      <c r="E748" s="441"/>
      <c r="F748" s="441"/>
      <c r="G748" s="441"/>
      <c r="H748" s="441"/>
      <c r="I748" s="441"/>
      <c r="J748" s="441"/>
      <c r="K748" s="441"/>
      <c r="L748" s="441"/>
      <c r="M748" s="441"/>
      <c r="N748" s="441"/>
      <c r="O748" s="441"/>
      <c r="P748" s="441"/>
      <c r="Q748" s="441"/>
      <c r="R748" s="441"/>
      <c r="S748" s="441"/>
      <c r="T748" s="441"/>
      <c r="U748" s="441"/>
      <c r="V748" s="441"/>
      <c r="W748" s="441"/>
      <c r="X748" s="441"/>
      <c r="Y748" s="441"/>
      <c r="Z748" s="441"/>
      <c r="AA748" s="441"/>
      <c r="AB748" s="441"/>
      <c r="AC748" s="441"/>
      <c r="AD748" s="441"/>
      <c r="AE748" s="441"/>
      <c r="AF748" s="441"/>
      <c r="AG748" s="441"/>
      <c r="AH748" s="441"/>
      <c r="AI748" s="441"/>
      <c r="AJ748" s="441"/>
      <c r="AK748" s="441"/>
      <c r="AL748" s="441"/>
      <c r="AM748" s="441"/>
      <c r="AN748" s="441"/>
      <c r="AO748" s="441"/>
      <c r="AP748" s="441"/>
      <c r="AQ748" s="441"/>
      <c r="AR748" s="441"/>
      <c r="AS748" s="441"/>
      <c r="AT748" s="441"/>
      <c r="AU748" s="441"/>
      <c r="AV748" s="441"/>
      <c r="AW748" s="441"/>
      <c r="AX748" s="441"/>
      <c r="AY748" s="441"/>
      <c r="AZ748" s="441"/>
      <c r="BA748" s="441"/>
    </row>
    <row r="749">
      <c r="A749" s="441"/>
      <c r="B749" s="441"/>
      <c r="C749" s="441"/>
      <c r="D749" s="441"/>
      <c r="E749" s="441"/>
      <c r="F749" s="441"/>
      <c r="G749" s="441"/>
      <c r="H749" s="441"/>
      <c r="I749" s="441"/>
      <c r="J749" s="441"/>
      <c r="K749" s="441"/>
      <c r="L749" s="441"/>
      <c r="M749" s="441"/>
      <c r="N749" s="441"/>
      <c r="O749" s="441"/>
      <c r="P749" s="441"/>
      <c r="Q749" s="441"/>
      <c r="R749" s="441"/>
      <c r="S749" s="441"/>
      <c r="T749" s="441"/>
      <c r="U749" s="441"/>
      <c r="V749" s="441"/>
      <c r="W749" s="441"/>
      <c r="X749" s="441"/>
      <c r="Y749" s="441"/>
      <c r="Z749" s="441"/>
      <c r="AA749" s="441"/>
      <c r="AB749" s="441"/>
      <c r="AC749" s="441"/>
      <c r="AD749" s="441"/>
      <c r="AE749" s="441"/>
      <c r="AF749" s="441"/>
      <c r="AG749" s="441"/>
      <c r="AH749" s="441"/>
      <c r="AI749" s="441"/>
      <c r="AJ749" s="441"/>
      <c r="AK749" s="441"/>
      <c r="AL749" s="441"/>
      <c r="AM749" s="441"/>
      <c r="AN749" s="441"/>
      <c r="AO749" s="441"/>
      <c r="AP749" s="441"/>
      <c r="AQ749" s="441"/>
      <c r="AR749" s="441"/>
      <c r="AS749" s="441"/>
      <c r="AT749" s="441"/>
      <c r="AU749" s="441"/>
      <c r="AV749" s="441"/>
      <c r="AW749" s="441"/>
      <c r="AX749" s="441"/>
      <c r="AY749" s="441"/>
      <c r="AZ749" s="441"/>
      <c r="BA749" s="441"/>
    </row>
    <row r="750">
      <c r="A750" s="441"/>
      <c r="B750" s="441"/>
      <c r="C750" s="441"/>
      <c r="D750" s="441"/>
      <c r="E750" s="441"/>
      <c r="F750" s="441"/>
      <c r="G750" s="441"/>
      <c r="H750" s="441"/>
      <c r="I750" s="441"/>
      <c r="J750" s="441"/>
      <c r="K750" s="441"/>
      <c r="L750" s="441"/>
      <c r="M750" s="441"/>
      <c r="N750" s="441"/>
      <c r="O750" s="441"/>
      <c r="P750" s="441"/>
      <c r="Q750" s="441"/>
      <c r="R750" s="441"/>
      <c r="S750" s="441"/>
      <c r="T750" s="441"/>
      <c r="U750" s="441"/>
      <c r="V750" s="441"/>
      <c r="W750" s="441"/>
      <c r="X750" s="441"/>
      <c r="Y750" s="441"/>
      <c r="Z750" s="441"/>
      <c r="AA750" s="441"/>
      <c r="AB750" s="441"/>
      <c r="AC750" s="441"/>
      <c r="AD750" s="441"/>
      <c r="AE750" s="441"/>
      <c r="AF750" s="441"/>
      <c r="AG750" s="441"/>
      <c r="AH750" s="441"/>
      <c r="AI750" s="441"/>
      <c r="AJ750" s="441"/>
      <c r="AK750" s="441"/>
      <c r="AL750" s="441"/>
      <c r="AM750" s="441"/>
      <c r="AN750" s="441"/>
      <c r="AO750" s="441"/>
      <c r="AP750" s="441"/>
      <c r="AQ750" s="441"/>
      <c r="AR750" s="441"/>
      <c r="AS750" s="441"/>
      <c r="AT750" s="441"/>
      <c r="AU750" s="441"/>
      <c r="AV750" s="441"/>
      <c r="AW750" s="441"/>
      <c r="AX750" s="441"/>
      <c r="AY750" s="441"/>
      <c r="AZ750" s="441"/>
      <c r="BA750" s="441"/>
    </row>
    <row r="751">
      <c r="A751" s="441"/>
      <c r="B751" s="441"/>
      <c r="C751" s="441"/>
      <c r="D751" s="441"/>
      <c r="E751" s="441"/>
      <c r="F751" s="441"/>
      <c r="G751" s="441"/>
      <c r="H751" s="441"/>
      <c r="I751" s="441"/>
      <c r="J751" s="441"/>
      <c r="K751" s="441"/>
      <c r="L751" s="441"/>
      <c r="M751" s="441"/>
      <c r="N751" s="441"/>
      <c r="O751" s="441"/>
      <c r="P751" s="441"/>
      <c r="Q751" s="441"/>
      <c r="R751" s="441"/>
      <c r="S751" s="441"/>
      <c r="T751" s="441"/>
      <c r="U751" s="441"/>
      <c r="V751" s="441"/>
      <c r="W751" s="441"/>
      <c r="X751" s="441"/>
      <c r="Y751" s="441"/>
      <c r="Z751" s="441"/>
      <c r="AA751" s="441"/>
      <c r="AB751" s="441"/>
      <c r="AC751" s="441"/>
      <c r="AD751" s="441"/>
      <c r="AE751" s="441"/>
      <c r="AF751" s="441"/>
      <c r="AG751" s="441"/>
      <c r="AH751" s="441"/>
      <c r="AI751" s="441"/>
      <c r="AJ751" s="441"/>
      <c r="AK751" s="441"/>
      <c r="AL751" s="441"/>
      <c r="AM751" s="441"/>
      <c r="AN751" s="441"/>
      <c r="AO751" s="441"/>
      <c r="AP751" s="441"/>
      <c r="AQ751" s="441"/>
      <c r="AR751" s="441"/>
      <c r="AS751" s="441"/>
      <c r="AT751" s="441"/>
      <c r="AU751" s="441"/>
      <c r="AV751" s="441"/>
      <c r="AW751" s="441"/>
      <c r="AX751" s="441"/>
      <c r="AY751" s="441"/>
      <c r="AZ751" s="441"/>
      <c r="BA751" s="441"/>
    </row>
    <row r="752">
      <c r="A752" s="441"/>
      <c r="B752" s="441"/>
      <c r="C752" s="441"/>
      <c r="D752" s="441"/>
      <c r="E752" s="441"/>
      <c r="F752" s="441"/>
      <c r="G752" s="441"/>
      <c r="H752" s="441"/>
      <c r="I752" s="441"/>
      <c r="J752" s="441"/>
      <c r="K752" s="441"/>
      <c r="L752" s="441"/>
      <c r="M752" s="441"/>
      <c r="N752" s="441"/>
      <c r="O752" s="441"/>
      <c r="P752" s="441"/>
      <c r="Q752" s="441"/>
      <c r="R752" s="441"/>
      <c r="S752" s="441"/>
      <c r="T752" s="441"/>
      <c r="U752" s="441"/>
      <c r="V752" s="441"/>
      <c r="W752" s="441"/>
      <c r="X752" s="441"/>
      <c r="Y752" s="441"/>
      <c r="Z752" s="441"/>
      <c r="AA752" s="441"/>
      <c r="AB752" s="441"/>
      <c r="AC752" s="441"/>
      <c r="AD752" s="441"/>
      <c r="AE752" s="441"/>
      <c r="AF752" s="441"/>
      <c r="AG752" s="441"/>
      <c r="AH752" s="441"/>
      <c r="AI752" s="441"/>
      <c r="AJ752" s="441"/>
      <c r="AK752" s="441"/>
      <c r="AL752" s="441"/>
      <c r="AM752" s="441"/>
      <c r="AN752" s="441"/>
      <c r="AO752" s="441"/>
      <c r="AP752" s="441"/>
      <c r="AQ752" s="441"/>
      <c r="AR752" s="441"/>
      <c r="AS752" s="441"/>
      <c r="AT752" s="441"/>
      <c r="AU752" s="441"/>
      <c r="AV752" s="441"/>
      <c r="AW752" s="441"/>
      <c r="AX752" s="441"/>
      <c r="AY752" s="441"/>
      <c r="AZ752" s="441"/>
      <c r="BA752" s="441"/>
    </row>
    <row r="753">
      <c r="A753" s="441"/>
      <c r="B753" s="441"/>
      <c r="C753" s="441"/>
      <c r="D753" s="441"/>
      <c r="E753" s="441"/>
      <c r="F753" s="441"/>
      <c r="G753" s="441"/>
      <c r="H753" s="441"/>
      <c r="I753" s="441"/>
      <c r="J753" s="441"/>
      <c r="K753" s="441"/>
      <c r="L753" s="441"/>
      <c r="M753" s="441"/>
      <c r="N753" s="441"/>
      <c r="O753" s="441"/>
      <c r="P753" s="441"/>
      <c r="Q753" s="441"/>
      <c r="R753" s="441"/>
      <c r="S753" s="441"/>
      <c r="T753" s="441"/>
      <c r="U753" s="441"/>
      <c r="V753" s="441"/>
      <c r="W753" s="441"/>
      <c r="X753" s="441"/>
      <c r="Y753" s="441"/>
      <c r="Z753" s="441"/>
      <c r="AA753" s="441"/>
      <c r="AB753" s="441"/>
      <c r="AC753" s="441"/>
      <c r="AD753" s="441"/>
      <c r="AE753" s="441"/>
      <c r="AF753" s="441"/>
      <c r="AG753" s="441"/>
      <c r="AH753" s="441"/>
      <c r="AI753" s="441"/>
      <c r="AJ753" s="441"/>
      <c r="AK753" s="441"/>
      <c r="AL753" s="441"/>
      <c r="AM753" s="441"/>
      <c r="AN753" s="441"/>
      <c r="AO753" s="441"/>
      <c r="AP753" s="441"/>
      <c r="AQ753" s="441"/>
      <c r="AR753" s="441"/>
      <c r="AS753" s="441"/>
      <c r="AT753" s="441"/>
      <c r="AU753" s="441"/>
      <c r="AV753" s="441"/>
      <c r="AW753" s="441"/>
      <c r="AX753" s="441"/>
      <c r="AY753" s="441"/>
      <c r="AZ753" s="441"/>
      <c r="BA753" s="441"/>
    </row>
    <row r="754">
      <c r="A754" s="441"/>
      <c r="B754" s="441"/>
      <c r="C754" s="441"/>
      <c r="D754" s="441"/>
      <c r="E754" s="441"/>
      <c r="F754" s="441"/>
      <c r="G754" s="441"/>
      <c r="H754" s="441"/>
      <c r="I754" s="441"/>
      <c r="J754" s="441"/>
      <c r="K754" s="441"/>
      <c r="L754" s="441"/>
      <c r="M754" s="441"/>
      <c r="N754" s="441"/>
      <c r="O754" s="441"/>
      <c r="P754" s="441"/>
      <c r="Q754" s="441"/>
      <c r="R754" s="441"/>
      <c r="S754" s="441"/>
      <c r="T754" s="441"/>
      <c r="U754" s="441"/>
      <c r="V754" s="441"/>
      <c r="W754" s="441"/>
      <c r="X754" s="441"/>
      <c r="Y754" s="441"/>
      <c r="Z754" s="441"/>
      <c r="AA754" s="441"/>
      <c r="AB754" s="441"/>
      <c r="AC754" s="441"/>
      <c r="AD754" s="441"/>
      <c r="AE754" s="441"/>
      <c r="AF754" s="441"/>
      <c r="AG754" s="441"/>
      <c r="AH754" s="441"/>
      <c r="AI754" s="441"/>
      <c r="AJ754" s="441"/>
      <c r="AK754" s="441"/>
      <c r="AL754" s="441"/>
      <c r="AM754" s="441"/>
      <c r="AN754" s="441"/>
      <c r="AO754" s="441"/>
      <c r="AP754" s="441"/>
      <c r="AQ754" s="441"/>
      <c r="AR754" s="441"/>
      <c r="AS754" s="441"/>
      <c r="AT754" s="441"/>
      <c r="AU754" s="441"/>
      <c r="AV754" s="441"/>
      <c r="AW754" s="441"/>
      <c r="AX754" s="441"/>
      <c r="AY754" s="441"/>
      <c r="AZ754" s="441"/>
      <c r="BA754" s="441"/>
    </row>
    <row r="755">
      <c r="A755" s="441"/>
      <c r="B755" s="441"/>
      <c r="C755" s="441"/>
      <c r="D755" s="441"/>
      <c r="E755" s="441"/>
      <c r="F755" s="441"/>
      <c r="G755" s="441"/>
      <c r="H755" s="441"/>
      <c r="I755" s="441"/>
      <c r="J755" s="441"/>
      <c r="K755" s="441"/>
      <c r="L755" s="441"/>
      <c r="M755" s="441"/>
      <c r="N755" s="441"/>
      <c r="O755" s="441"/>
      <c r="P755" s="441"/>
      <c r="Q755" s="441"/>
      <c r="R755" s="441"/>
      <c r="S755" s="441"/>
      <c r="T755" s="441"/>
      <c r="U755" s="441"/>
      <c r="V755" s="441"/>
      <c r="W755" s="441"/>
      <c r="X755" s="441"/>
      <c r="Y755" s="441"/>
      <c r="Z755" s="441"/>
      <c r="AA755" s="441"/>
      <c r="AB755" s="441"/>
      <c r="AC755" s="441"/>
      <c r="AD755" s="441"/>
      <c r="AE755" s="441"/>
      <c r="AF755" s="441"/>
      <c r="AG755" s="441"/>
      <c r="AH755" s="441"/>
      <c r="AI755" s="441"/>
      <c r="AJ755" s="441"/>
      <c r="AK755" s="441"/>
      <c r="AL755" s="441"/>
      <c r="AM755" s="441"/>
      <c r="AN755" s="441"/>
      <c r="AO755" s="441"/>
      <c r="AP755" s="441"/>
      <c r="AQ755" s="441"/>
      <c r="AR755" s="441"/>
      <c r="AS755" s="441"/>
      <c r="AT755" s="441"/>
      <c r="AU755" s="441"/>
      <c r="AV755" s="441"/>
      <c r="AW755" s="441"/>
      <c r="AX755" s="441"/>
      <c r="AY755" s="441"/>
      <c r="AZ755" s="441"/>
      <c r="BA755" s="441"/>
    </row>
    <row r="756">
      <c r="A756" s="441"/>
      <c r="B756" s="441"/>
      <c r="C756" s="441"/>
      <c r="D756" s="441"/>
      <c r="E756" s="441"/>
      <c r="F756" s="441"/>
      <c r="G756" s="441"/>
      <c r="H756" s="441"/>
      <c r="I756" s="441"/>
      <c r="J756" s="441"/>
      <c r="K756" s="441"/>
      <c r="L756" s="441"/>
      <c r="M756" s="441"/>
      <c r="N756" s="441"/>
      <c r="O756" s="441"/>
      <c r="P756" s="441"/>
      <c r="Q756" s="441"/>
      <c r="R756" s="441"/>
      <c r="S756" s="441"/>
      <c r="T756" s="441"/>
      <c r="U756" s="441"/>
      <c r="V756" s="441"/>
      <c r="W756" s="441"/>
      <c r="X756" s="441"/>
      <c r="Y756" s="441"/>
      <c r="Z756" s="441"/>
      <c r="AA756" s="441"/>
      <c r="AB756" s="441"/>
      <c r="AC756" s="441"/>
      <c r="AD756" s="441"/>
      <c r="AE756" s="441"/>
      <c r="AF756" s="441"/>
      <c r="AG756" s="441"/>
      <c r="AH756" s="441"/>
      <c r="AI756" s="441"/>
      <c r="AJ756" s="441"/>
      <c r="AK756" s="441"/>
      <c r="AL756" s="441"/>
      <c r="AM756" s="441"/>
      <c r="AN756" s="441"/>
      <c r="AO756" s="441"/>
      <c r="AP756" s="441"/>
      <c r="AQ756" s="441"/>
      <c r="AR756" s="441"/>
      <c r="AS756" s="441"/>
      <c r="AT756" s="441"/>
      <c r="AU756" s="441"/>
      <c r="AV756" s="441"/>
      <c r="AW756" s="441"/>
      <c r="AX756" s="441"/>
      <c r="AY756" s="441"/>
      <c r="AZ756" s="441"/>
      <c r="BA756" s="441"/>
    </row>
    <row r="757">
      <c r="A757" s="441"/>
      <c r="B757" s="441"/>
      <c r="C757" s="441"/>
      <c r="D757" s="441"/>
      <c r="E757" s="441"/>
      <c r="F757" s="441"/>
      <c r="G757" s="441"/>
      <c r="H757" s="441"/>
      <c r="I757" s="441"/>
      <c r="J757" s="441"/>
      <c r="K757" s="441"/>
      <c r="L757" s="441"/>
      <c r="M757" s="441"/>
      <c r="N757" s="441"/>
      <c r="O757" s="441"/>
      <c r="P757" s="441"/>
      <c r="Q757" s="441"/>
      <c r="R757" s="441"/>
      <c r="S757" s="441"/>
      <c r="T757" s="441"/>
      <c r="U757" s="441"/>
      <c r="V757" s="441"/>
      <c r="W757" s="441"/>
      <c r="X757" s="441"/>
      <c r="Y757" s="441"/>
      <c r="Z757" s="441"/>
      <c r="AA757" s="441"/>
      <c r="AB757" s="441"/>
      <c r="AC757" s="441"/>
      <c r="AD757" s="441"/>
      <c r="AE757" s="441"/>
      <c r="AF757" s="441"/>
      <c r="AG757" s="441"/>
      <c r="AH757" s="441"/>
      <c r="AI757" s="441"/>
      <c r="AJ757" s="441"/>
      <c r="AK757" s="441"/>
      <c r="AL757" s="441"/>
      <c r="AM757" s="441"/>
      <c r="AN757" s="441"/>
      <c r="AO757" s="441"/>
      <c r="AP757" s="441"/>
      <c r="AQ757" s="441"/>
      <c r="AR757" s="441"/>
      <c r="AS757" s="441"/>
      <c r="AT757" s="441"/>
      <c r="AU757" s="441"/>
      <c r="AV757" s="441"/>
      <c r="AW757" s="441"/>
      <c r="AX757" s="441"/>
      <c r="AY757" s="441"/>
      <c r="AZ757" s="441"/>
      <c r="BA757" s="441"/>
    </row>
    <row r="758">
      <c r="A758" s="441"/>
      <c r="B758" s="441"/>
      <c r="C758" s="441"/>
      <c r="D758" s="441"/>
      <c r="E758" s="441"/>
      <c r="F758" s="441"/>
      <c r="G758" s="441"/>
      <c r="H758" s="441"/>
      <c r="I758" s="441"/>
      <c r="J758" s="441"/>
      <c r="K758" s="441"/>
      <c r="L758" s="441"/>
      <c r="M758" s="441"/>
      <c r="N758" s="441"/>
      <c r="O758" s="441"/>
      <c r="P758" s="441"/>
      <c r="Q758" s="441"/>
      <c r="R758" s="441"/>
      <c r="S758" s="441"/>
      <c r="T758" s="441"/>
      <c r="U758" s="441"/>
      <c r="V758" s="441"/>
      <c r="W758" s="441"/>
      <c r="X758" s="441"/>
      <c r="Y758" s="441"/>
      <c r="Z758" s="441"/>
      <c r="AA758" s="441"/>
      <c r="AB758" s="441"/>
      <c r="AC758" s="441"/>
      <c r="AD758" s="441"/>
      <c r="AE758" s="441"/>
      <c r="AF758" s="441"/>
      <c r="AG758" s="441"/>
      <c r="AH758" s="441"/>
      <c r="AI758" s="441"/>
      <c r="AJ758" s="441"/>
      <c r="AK758" s="441"/>
      <c r="AL758" s="441"/>
      <c r="AM758" s="441"/>
      <c r="AN758" s="441"/>
      <c r="AO758" s="441"/>
      <c r="AP758" s="441"/>
      <c r="AQ758" s="441"/>
      <c r="AR758" s="441"/>
      <c r="AS758" s="441"/>
      <c r="AT758" s="441"/>
      <c r="AU758" s="441"/>
      <c r="AV758" s="441"/>
      <c r="AW758" s="441"/>
      <c r="AX758" s="441"/>
      <c r="AY758" s="441"/>
      <c r="AZ758" s="441"/>
      <c r="BA758" s="441"/>
    </row>
    <row r="759">
      <c r="A759" s="441"/>
      <c r="B759" s="441"/>
      <c r="C759" s="441"/>
      <c r="D759" s="441"/>
      <c r="E759" s="441"/>
      <c r="F759" s="441"/>
      <c r="G759" s="441"/>
      <c r="H759" s="441"/>
      <c r="I759" s="441"/>
      <c r="J759" s="441"/>
      <c r="K759" s="441"/>
      <c r="L759" s="441"/>
      <c r="M759" s="441"/>
      <c r="N759" s="441"/>
      <c r="O759" s="441"/>
      <c r="P759" s="441"/>
      <c r="Q759" s="441"/>
      <c r="R759" s="441"/>
      <c r="S759" s="441"/>
      <c r="T759" s="441"/>
      <c r="U759" s="441"/>
      <c r="V759" s="441"/>
      <c r="W759" s="441"/>
      <c r="X759" s="441"/>
      <c r="Y759" s="441"/>
      <c r="Z759" s="441"/>
      <c r="AA759" s="441"/>
      <c r="AB759" s="441"/>
      <c r="AC759" s="441"/>
      <c r="AD759" s="441"/>
      <c r="AE759" s="441"/>
      <c r="AF759" s="441"/>
      <c r="AG759" s="441"/>
      <c r="AH759" s="441"/>
      <c r="AI759" s="441"/>
      <c r="AJ759" s="441"/>
      <c r="AK759" s="441"/>
      <c r="AL759" s="441"/>
      <c r="AM759" s="441"/>
      <c r="AN759" s="441"/>
      <c r="AO759" s="441"/>
      <c r="AP759" s="441"/>
      <c r="AQ759" s="441"/>
      <c r="AR759" s="441"/>
      <c r="AS759" s="441"/>
      <c r="AT759" s="441"/>
      <c r="AU759" s="441"/>
      <c r="AV759" s="441"/>
      <c r="AW759" s="441"/>
      <c r="AX759" s="441"/>
      <c r="AY759" s="441"/>
      <c r="AZ759" s="441"/>
      <c r="BA759" s="441"/>
    </row>
    <row r="760">
      <c r="A760" s="441"/>
      <c r="B760" s="441"/>
      <c r="C760" s="441"/>
      <c r="D760" s="441"/>
      <c r="E760" s="441"/>
      <c r="F760" s="441"/>
      <c r="G760" s="441"/>
      <c r="H760" s="441"/>
      <c r="I760" s="441"/>
      <c r="J760" s="441"/>
      <c r="K760" s="441"/>
      <c r="L760" s="441"/>
      <c r="M760" s="441"/>
      <c r="N760" s="441"/>
      <c r="O760" s="441"/>
      <c r="P760" s="441"/>
      <c r="Q760" s="441"/>
      <c r="R760" s="441"/>
      <c r="S760" s="441"/>
      <c r="T760" s="441"/>
      <c r="U760" s="441"/>
      <c r="V760" s="441"/>
      <c r="W760" s="441"/>
      <c r="X760" s="441"/>
      <c r="Y760" s="441"/>
      <c r="Z760" s="441"/>
      <c r="AA760" s="441"/>
      <c r="AB760" s="441"/>
      <c r="AC760" s="441"/>
      <c r="AD760" s="441"/>
      <c r="AE760" s="441"/>
      <c r="AF760" s="441"/>
      <c r="AG760" s="441"/>
      <c r="AH760" s="441"/>
      <c r="AI760" s="441"/>
      <c r="AJ760" s="441"/>
      <c r="AK760" s="441"/>
      <c r="AL760" s="441"/>
      <c r="AM760" s="441"/>
      <c r="AN760" s="441"/>
      <c r="AO760" s="441"/>
      <c r="AP760" s="441"/>
      <c r="AQ760" s="441"/>
      <c r="AR760" s="441"/>
      <c r="AS760" s="441"/>
      <c r="AT760" s="441"/>
      <c r="AU760" s="441"/>
      <c r="AV760" s="441"/>
      <c r="AW760" s="441"/>
      <c r="AX760" s="441"/>
      <c r="AY760" s="441"/>
      <c r="AZ760" s="441"/>
      <c r="BA760" s="441"/>
    </row>
    <row r="761">
      <c r="A761" s="441"/>
      <c r="B761" s="441"/>
      <c r="C761" s="441"/>
      <c r="D761" s="441"/>
      <c r="E761" s="441"/>
      <c r="F761" s="441"/>
      <c r="G761" s="441"/>
      <c r="H761" s="441"/>
      <c r="I761" s="441"/>
      <c r="J761" s="441"/>
      <c r="K761" s="441"/>
      <c r="L761" s="441"/>
      <c r="M761" s="441"/>
      <c r="N761" s="441"/>
      <c r="O761" s="441"/>
      <c r="P761" s="441"/>
      <c r="Q761" s="441"/>
      <c r="R761" s="441"/>
      <c r="S761" s="441"/>
      <c r="T761" s="441"/>
      <c r="U761" s="441"/>
      <c r="V761" s="441"/>
      <c r="W761" s="441"/>
      <c r="X761" s="441"/>
      <c r="Y761" s="441"/>
      <c r="Z761" s="441"/>
      <c r="AA761" s="441"/>
      <c r="AB761" s="441"/>
      <c r="AC761" s="441"/>
      <c r="AD761" s="441"/>
      <c r="AE761" s="441"/>
      <c r="AF761" s="441"/>
      <c r="AG761" s="441"/>
      <c r="AH761" s="441"/>
      <c r="AI761" s="441"/>
      <c r="AJ761" s="441"/>
      <c r="AK761" s="441"/>
      <c r="AL761" s="441"/>
      <c r="AM761" s="441"/>
      <c r="AN761" s="441"/>
      <c r="AO761" s="441"/>
      <c r="AP761" s="441"/>
      <c r="AQ761" s="441"/>
      <c r="AR761" s="441"/>
      <c r="AS761" s="441"/>
      <c r="AT761" s="441"/>
      <c r="AU761" s="441"/>
      <c r="AV761" s="441"/>
      <c r="AW761" s="441"/>
      <c r="AX761" s="441"/>
      <c r="AY761" s="441"/>
      <c r="AZ761" s="441"/>
      <c r="BA761" s="441"/>
    </row>
    <row r="762">
      <c r="A762" s="441"/>
      <c r="B762" s="441"/>
      <c r="C762" s="441"/>
      <c r="D762" s="441"/>
      <c r="E762" s="441"/>
      <c r="F762" s="441"/>
      <c r="G762" s="441"/>
      <c r="H762" s="441"/>
      <c r="I762" s="441"/>
      <c r="J762" s="441"/>
      <c r="K762" s="441"/>
      <c r="L762" s="441"/>
      <c r="M762" s="441"/>
      <c r="N762" s="441"/>
      <c r="O762" s="441"/>
      <c r="P762" s="441"/>
      <c r="Q762" s="441"/>
      <c r="R762" s="441"/>
      <c r="S762" s="441"/>
      <c r="T762" s="441"/>
      <c r="U762" s="441"/>
      <c r="V762" s="441"/>
      <c r="W762" s="441"/>
      <c r="X762" s="441"/>
      <c r="Y762" s="441"/>
      <c r="Z762" s="441"/>
      <c r="AA762" s="441"/>
      <c r="AB762" s="441"/>
      <c r="AC762" s="441"/>
      <c r="AD762" s="441"/>
      <c r="AE762" s="441"/>
      <c r="AF762" s="441"/>
      <c r="AG762" s="441"/>
      <c r="AH762" s="441"/>
      <c r="AI762" s="441"/>
      <c r="AJ762" s="441"/>
      <c r="AK762" s="441"/>
      <c r="AL762" s="441"/>
      <c r="AM762" s="441"/>
      <c r="AN762" s="441"/>
      <c r="AO762" s="441"/>
      <c r="AP762" s="441"/>
      <c r="AQ762" s="441"/>
      <c r="AR762" s="441"/>
      <c r="AS762" s="441"/>
      <c r="AT762" s="441"/>
      <c r="AU762" s="441"/>
      <c r="AV762" s="441"/>
      <c r="AW762" s="441"/>
      <c r="AX762" s="441"/>
      <c r="AY762" s="441"/>
      <c r="AZ762" s="441"/>
      <c r="BA762" s="441"/>
    </row>
    <row r="763">
      <c r="A763" s="441"/>
      <c r="B763" s="441"/>
      <c r="C763" s="441"/>
      <c r="D763" s="441"/>
      <c r="E763" s="441"/>
      <c r="F763" s="441"/>
      <c r="G763" s="441"/>
      <c r="H763" s="441"/>
      <c r="I763" s="441"/>
      <c r="J763" s="441"/>
      <c r="K763" s="441"/>
      <c r="L763" s="441"/>
      <c r="M763" s="441"/>
      <c r="N763" s="441"/>
      <c r="O763" s="441"/>
      <c r="P763" s="441"/>
      <c r="Q763" s="441"/>
      <c r="R763" s="441"/>
      <c r="S763" s="441"/>
      <c r="T763" s="441"/>
      <c r="U763" s="441"/>
      <c r="V763" s="441"/>
      <c r="W763" s="441"/>
      <c r="X763" s="441"/>
      <c r="Y763" s="441"/>
      <c r="Z763" s="441"/>
      <c r="AA763" s="441"/>
      <c r="AB763" s="441"/>
      <c r="AC763" s="441"/>
      <c r="AD763" s="441"/>
      <c r="AE763" s="441"/>
      <c r="AF763" s="441"/>
      <c r="AG763" s="441"/>
      <c r="AH763" s="441"/>
      <c r="AI763" s="441"/>
      <c r="AJ763" s="441"/>
      <c r="AK763" s="441"/>
      <c r="AL763" s="441"/>
      <c r="AM763" s="441"/>
      <c r="AN763" s="441"/>
      <c r="AO763" s="441"/>
      <c r="AP763" s="441"/>
      <c r="AQ763" s="441"/>
      <c r="AR763" s="441"/>
      <c r="AS763" s="441"/>
      <c r="AT763" s="441"/>
      <c r="AU763" s="441"/>
      <c r="AV763" s="441"/>
      <c r="AW763" s="441"/>
      <c r="AX763" s="441"/>
      <c r="AY763" s="441"/>
      <c r="AZ763" s="441"/>
      <c r="BA763" s="441"/>
    </row>
    <row r="764">
      <c r="A764" s="441"/>
      <c r="B764" s="441"/>
      <c r="C764" s="441"/>
      <c r="D764" s="441"/>
      <c r="E764" s="441"/>
      <c r="F764" s="441"/>
      <c r="G764" s="441"/>
      <c r="H764" s="441"/>
      <c r="I764" s="441"/>
      <c r="J764" s="441"/>
      <c r="K764" s="441"/>
      <c r="L764" s="441"/>
      <c r="M764" s="441"/>
      <c r="N764" s="441"/>
      <c r="O764" s="441"/>
      <c r="P764" s="441"/>
      <c r="Q764" s="441"/>
      <c r="R764" s="441"/>
      <c r="S764" s="441"/>
      <c r="T764" s="441"/>
      <c r="U764" s="441"/>
      <c r="V764" s="441"/>
      <c r="W764" s="441"/>
      <c r="X764" s="441"/>
      <c r="Y764" s="441"/>
      <c r="Z764" s="441"/>
      <c r="AA764" s="441"/>
      <c r="AB764" s="441"/>
      <c r="AC764" s="441"/>
      <c r="AD764" s="441"/>
      <c r="AE764" s="441"/>
      <c r="AF764" s="441"/>
      <c r="AG764" s="441"/>
      <c r="AH764" s="441"/>
      <c r="AI764" s="441"/>
      <c r="AJ764" s="441"/>
      <c r="AK764" s="441"/>
      <c r="AL764" s="441"/>
      <c r="AM764" s="441"/>
      <c r="AN764" s="441"/>
      <c r="AO764" s="441"/>
      <c r="AP764" s="441"/>
      <c r="AQ764" s="441"/>
      <c r="AR764" s="441"/>
      <c r="AS764" s="441"/>
      <c r="AT764" s="441"/>
      <c r="AU764" s="441"/>
      <c r="AV764" s="441"/>
      <c r="AW764" s="441"/>
      <c r="AX764" s="441"/>
      <c r="AY764" s="441"/>
      <c r="AZ764" s="441"/>
      <c r="BA764" s="441"/>
    </row>
    <row r="765">
      <c r="A765" s="441"/>
      <c r="B765" s="441"/>
      <c r="C765" s="441"/>
      <c r="D765" s="441"/>
      <c r="E765" s="441"/>
      <c r="F765" s="441"/>
      <c r="G765" s="441"/>
      <c r="H765" s="441"/>
      <c r="I765" s="441"/>
      <c r="J765" s="441"/>
      <c r="K765" s="441"/>
      <c r="L765" s="441"/>
      <c r="M765" s="441"/>
      <c r="N765" s="441"/>
      <c r="O765" s="441"/>
      <c r="P765" s="441"/>
      <c r="Q765" s="441"/>
      <c r="R765" s="441"/>
      <c r="S765" s="441"/>
      <c r="T765" s="441"/>
      <c r="U765" s="441"/>
      <c r="V765" s="441"/>
      <c r="W765" s="441"/>
      <c r="X765" s="441"/>
      <c r="Y765" s="441"/>
      <c r="Z765" s="441"/>
      <c r="AA765" s="441"/>
      <c r="AB765" s="441"/>
      <c r="AC765" s="441"/>
      <c r="AD765" s="441"/>
      <c r="AE765" s="441"/>
      <c r="AF765" s="441"/>
      <c r="AG765" s="441"/>
      <c r="AH765" s="441"/>
      <c r="AI765" s="441"/>
      <c r="AJ765" s="441"/>
      <c r="AK765" s="441"/>
      <c r="AL765" s="441"/>
      <c r="AM765" s="441"/>
      <c r="AN765" s="441"/>
      <c r="AO765" s="441"/>
      <c r="AP765" s="441"/>
      <c r="AQ765" s="441"/>
      <c r="AR765" s="441"/>
      <c r="AS765" s="441"/>
      <c r="AT765" s="441"/>
      <c r="AU765" s="441"/>
      <c r="AV765" s="441"/>
      <c r="AW765" s="441"/>
      <c r="AX765" s="441"/>
      <c r="AY765" s="441"/>
      <c r="AZ765" s="441"/>
      <c r="BA765" s="441"/>
    </row>
    <row r="766">
      <c r="A766" s="441"/>
      <c r="B766" s="441"/>
      <c r="C766" s="441"/>
      <c r="D766" s="441"/>
      <c r="E766" s="441"/>
      <c r="F766" s="441"/>
      <c r="G766" s="441"/>
      <c r="H766" s="441"/>
      <c r="I766" s="441"/>
      <c r="J766" s="441"/>
      <c r="K766" s="441"/>
      <c r="L766" s="441"/>
      <c r="M766" s="441"/>
      <c r="N766" s="441"/>
      <c r="O766" s="441"/>
      <c r="P766" s="441"/>
      <c r="Q766" s="441"/>
      <c r="R766" s="441"/>
      <c r="S766" s="441"/>
      <c r="T766" s="441"/>
      <c r="U766" s="441"/>
      <c r="V766" s="441"/>
      <c r="W766" s="441"/>
      <c r="X766" s="441"/>
      <c r="Y766" s="441"/>
      <c r="Z766" s="441"/>
      <c r="AA766" s="441"/>
      <c r="AB766" s="441"/>
      <c r="AC766" s="441"/>
      <c r="AD766" s="441"/>
      <c r="AE766" s="441"/>
      <c r="AF766" s="441"/>
      <c r="AG766" s="441"/>
      <c r="AH766" s="441"/>
      <c r="AI766" s="441"/>
      <c r="AJ766" s="441"/>
      <c r="AK766" s="441"/>
      <c r="AL766" s="441"/>
      <c r="AM766" s="441"/>
      <c r="AN766" s="441"/>
      <c r="AO766" s="441"/>
      <c r="AP766" s="441"/>
      <c r="AQ766" s="441"/>
      <c r="AR766" s="441"/>
      <c r="AS766" s="441"/>
      <c r="AT766" s="441"/>
      <c r="AU766" s="441"/>
      <c r="AV766" s="441"/>
      <c r="AW766" s="441"/>
      <c r="AX766" s="441"/>
      <c r="AY766" s="441"/>
      <c r="AZ766" s="441"/>
      <c r="BA766" s="441"/>
    </row>
    <row r="767">
      <c r="A767" s="441"/>
      <c r="B767" s="441"/>
      <c r="C767" s="441"/>
      <c r="D767" s="441"/>
      <c r="E767" s="441"/>
      <c r="F767" s="441"/>
      <c r="G767" s="441"/>
      <c r="H767" s="441"/>
      <c r="I767" s="441"/>
      <c r="J767" s="441"/>
      <c r="K767" s="441"/>
      <c r="L767" s="441"/>
      <c r="M767" s="441"/>
      <c r="N767" s="441"/>
      <c r="O767" s="441"/>
      <c r="P767" s="441"/>
      <c r="Q767" s="441"/>
      <c r="R767" s="441"/>
      <c r="S767" s="441"/>
      <c r="T767" s="441"/>
      <c r="U767" s="441"/>
      <c r="V767" s="441"/>
      <c r="W767" s="441"/>
      <c r="X767" s="441"/>
      <c r="Y767" s="441"/>
      <c r="Z767" s="441"/>
      <c r="AA767" s="441"/>
      <c r="AB767" s="441"/>
      <c r="AC767" s="441"/>
      <c r="AD767" s="441"/>
      <c r="AE767" s="441"/>
      <c r="AF767" s="441"/>
      <c r="AG767" s="441"/>
      <c r="AH767" s="441"/>
      <c r="AI767" s="441"/>
      <c r="AJ767" s="441"/>
      <c r="AK767" s="441"/>
      <c r="AL767" s="441"/>
      <c r="AM767" s="441"/>
      <c r="AN767" s="441"/>
      <c r="AO767" s="441"/>
      <c r="AP767" s="441"/>
      <c r="AQ767" s="441"/>
      <c r="AR767" s="441"/>
      <c r="AS767" s="441"/>
      <c r="AT767" s="441"/>
      <c r="AU767" s="441"/>
      <c r="AV767" s="441"/>
      <c r="AW767" s="441"/>
      <c r="AX767" s="441"/>
      <c r="AY767" s="441"/>
      <c r="AZ767" s="441"/>
      <c r="BA767" s="441"/>
    </row>
    <row r="768">
      <c r="A768" s="441"/>
      <c r="B768" s="441"/>
      <c r="C768" s="441"/>
      <c r="D768" s="441"/>
      <c r="E768" s="441"/>
      <c r="F768" s="441"/>
      <c r="G768" s="441"/>
      <c r="H768" s="441"/>
      <c r="I768" s="441"/>
      <c r="J768" s="441"/>
      <c r="K768" s="441"/>
      <c r="L768" s="441"/>
      <c r="M768" s="441"/>
      <c r="N768" s="441"/>
      <c r="O768" s="441"/>
      <c r="P768" s="441"/>
      <c r="Q768" s="441"/>
      <c r="R768" s="441"/>
      <c r="S768" s="441"/>
      <c r="T768" s="441"/>
      <c r="U768" s="441"/>
      <c r="V768" s="441"/>
      <c r="W768" s="441"/>
      <c r="X768" s="441"/>
      <c r="Y768" s="441"/>
      <c r="Z768" s="441"/>
      <c r="AA768" s="441"/>
      <c r="AB768" s="441"/>
      <c r="AC768" s="441"/>
      <c r="AD768" s="441"/>
      <c r="AE768" s="441"/>
      <c r="AF768" s="441"/>
      <c r="AG768" s="441"/>
      <c r="AH768" s="441"/>
      <c r="AI768" s="441"/>
      <c r="AJ768" s="441"/>
      <c r="AK768" s="441"/>
      <c r="AL768" s="441"/>
      <c r="AM768" s="441"/>
      <c r="AN768" s="441"/>
      <c r="AO768" s="441"/>
      <c r="AP768" s="441"/>
      <c r="AQ768" s="441"/>
      <c r="AR768" s="441"/>
      <c r="AS768" s="441"/>
      <c r="AT768" s="441"/>
      <c r="AU768" s="441"/>
      <c r="AV768" s="441"/>
      <c r="AW768" s="441"/>
      <c r="AX768" s="441"/>
      <c r="AY768" s="441"/>
      <c r="AZ768" s="441"/>
      <c r="BA768" s="441"/>
    </row>
    <row r="769">
      <c r="A769" s="441"/>
      <c r="B769" s="441"/>
      <c r="C769" s="441"/>
      <c r="D769" s="441"/>
      <c r="E769" s="441"/>
      <c r="F769" s="441"/>
      <c r="G769" s="441"/>
      <c r="H769" s="441"/>
      <c r="I769" s="441"/>
      <c r="J769" s="441"/>
      <c r="K769" s="441"/>
      <c r="L769" s="441"/>
      <c r="M769" s="441"/>
      <c r="N769" s="441"/>
      <c r="O769" s="441"/>
      <c r="P769" s="441"/>
      <c r="Q769" s="441"/>
      <c r="R769" s="441"/>
      <c r="S769" s="441"/>
      <c r="T769" s="441"/>
      <c r="U769" s="441"/>
      <c r="V769" s="441"/>
      <c r="W769" s="441"/>
      <c r="X769" s="441"/>
      <c r="Y769" s="441"/>
      <c r="Z769" s="441"/>
      <c r="AA769" s="441"/>
      <c r="AB769" s="441"/>
      <c r="AC769" s="441"/>
      <c r="AD769" s="441"/>
      <c r="AE769" s="441"/>
      <c r="AF769" s="441"/>
      <c r="AG769" s="441"/>
      <c r="AH769" s="441"/>
      <c r="AI769" s="441"/>
      <c r="AJ769" s="441"/>
      <c r="AK769" s="441"/>
      <c r="AL769" s="441"/>
      <c r="AM769" s="441"/>
      <c r="AN769" s="441"/>
      <c r="AO769" s="441"/>
      <c r="AP769" s="441"/>
      <c r="AQ769" s="441"/>
      <c r="AR769" s="441"/>
      <c r="AS769" s="441"/>
      <c r="AT769" s="441"/>
      <c r="AU769" s="441"/>
      <c r="AV769" s="441"/>
      <c r="AW769" s="441"/>
      <c r="AX769" s="441"/>
      <c r="AY769" s="441"/>
      <c r="AZ769" s="441"/>
      <c r="BA769" s="441"/>
    </row>
    <row r="770">
      <c r="A770" s="441"/>
      <c r="B770" s="441"/>
      <c r="C770" s="441"/>
      <c r="D770" s="441"/>
      <c r="E770" s="441"/>
      <c r="F770" s="441"/>
      <c r="G770" s="441"/>
      <c r="H770" s="441"/>
      <c r="I770" s="441"/>
      <c r="J770" s="441"/>
      <c r="K770" s="441"/>
      <c r="L770" s="441"/>
      <c r="M770" s="441"/>
      <c r="N770" s="441"/>
      <c r="O770" s="441"/>
      <c r="P770" s="441"/>
      <c r="Q770" s="441"/>
      <c r="R770" s="441"/>
      <c r="S770" s="441"/>
      <c r="T770" s="441"/>
      <c r="U770" s="441"/>
      <c r="V770" s="441"/>
      <c r="W770" s="441"/>
      <c r="X770" s="441"/>
      <c r="Y770" s="441"/>
      <c r="Z770" s="441"/>
      <c r="AA770" s="441"/>
      <c r="AB770" s="441"/>
      <c r="AC770" s="441"/>
      <c r="AD770" s="441"/>
      <c r="AE770" s="441"/>
      <c r="AF770" s="441"/>
      <c r="AG770" s="441"/>
      <c r="AH770" s="441"/>
      <c r="AI770" s="441"/>
      <c r="AJ770" s="441"/>
      <c r="AK770" s="441"/>
      <c r="AL770" s="441"/>
      <c r="AM770" s="441"/>
      <c r="AN770" s="441"/>
      <c r="AO770" s="441"/>
      <c r="AP770" s="441"/>
      <c r="AQ770" s="441"/>
      <c r="AR770" s="441"/>
      <c r="AS770" s="441"/>
      <c r="AT770" s="441"/>
      <c r="AU770" s="441"/>
      <c r="AV770" s="441"/>
      <c r="AW770" s="441"/>
      <c r="AX770" s="441"/>
      <c r="AY770" s="441"/>
      <c r="AZ770" s="441"/>
      <c r="BA770" s="441"/>
    </row>
    <row r="771">
      <c r="A771" s="441"/>
      <c r="B771" s="441"/>
      <c r="C771" s="441"/>
      <c r="D771" s="441"/>
      <c r="E771" s="441"/>
      <c r="F771" s="441"/>
      <c r="G771" s="441"/>
      <c r="H771" s="441"/>
      <c r="I771" s="441"/>
      <c r="J771" s="441"/>
      <c r="K771" s="441"/>
      <c r="L771" s="441"/>
      <c r="M771" s="441"/>
      <c r="N771" s="441"/>
      <c r="O771" s="441"/>
      <c r="P771" s="441"/>
      <c r="Q771" s="441"/>
      <c r="R771" s="441"/>
      <c r="S771" s="441"/>
      <c r="T771" s="441"/>
      <c r="U771" s="441"/>
      <c r="V771" s="441"/>
      <c r="W771" s="441"/>
      <c r="X771" s="441"/>
      <c r="Y771" s="441"/>
      <c r="Z771" s="441"/>
      <c r="AA771" s="441"/>
      <c r="AB771" s="441"/>
      <c r="AC771" s="441"/>
      <c r="AD771" s="441"/>
      <c r="AE771" s="441"/>
      <c r="AF771" s="441"/>
      <c r="AG771" s="441"/>
      <c r="AH771" s="441"/>
      <c r="AI771" s="441"/>
      <c r="AJ771" s="441"/>
      <c r="AK771" s="441"/>
      <c r="AL771" s="441"/>
      <c r="AM771" s="441"/>
      <c r="AN771" s="441"/>
      <c r="AO771" s="441"/>
      <c r="AP771" s="441"/>
      <c r="AQ771" s="441"/>
      <c r="AR771" s="441"/>
      <c r="AS771" s="441"/>
      <c r="AT771" s="441"/>
      <c r="AU771" s="441"/>
      <c r="AV771" s="441"/>
      <c r="AW771" s="441"/>
      <c r="AX771" s="441"/>
      <c r="AY771" s="441"/>
      <c r="AZ771" s="441"/>
      <c r="BA771" s="441"/>
    </row>
    <row r="772">
      <c r="A772" s="441"/>
      <c r="B772" s="441"/>
      <c r="C772" s="441"/>
      <c r="D772" s="441"/>
      <c r="E772" s="441"/>
      <c r="F772" s="441"/>
      <c r="G772" s="441"/>
      <c r="H772" s="441"/>
      <c r="I772" s="441"/>
      <c r="J772" s="441"/>
      <c r="K772" s="441"/>
      <c r="L772" s="441"/>
      <c r="M772" s="441"/>
      <c r="N772" s="441"/>
      <c r="O772" s="441"/>
      <c r="P772" s="441"/>
      <c r="Q772" s="441"/>
      <c r="R772" s="441"/>
      <c r="S772" s="441"/>
      <c r="T772" s="441"/>
      <c r="U772" s="441"/>
      <c r="V772" s="441"/>
      <c r="W772" s="441"/>
      <c r="X772" s="441"/>
      <c r="Y772" s="441"/>
      <c r="Z772" s="441"/>
      <c r="AA772" s="441"/>
      <c r="AB772" s="441"/>
      <c r="AC772" s="441"/>
      <c r="AD772" s="441"/>
      <c r="AE772" s="441"/>
      <c r="AF772" s="441"/>
      <c r="AG772" s="441"/>
      <c r="AH772" s="441"/>
      <c r="AI772" s="441"/>
      <c r="AJ772" s="441"/>
      <c r="AK772" s="441"/>
      <c r="AL772" s="441"/>
      <c r="AM772" s="441"/>
      <c r="AN772" s="441"/>
      <c r="AO772" s="441"/>
      <c r="AP772" s="441"/>
      <c r="AQ772" s="441"/>
      <c r="AR772" s="441"/>
      <c r="AS772" s="441"/>
      <c r="AT772" s="441"/>
      <c r="AU772" s="441"/>
      <c r="AV772" s="441"/>
      <c r="AW772" s="441"/>
      <c r="AX772" s="441"/>
      <c r="AY772" s="441"/>
      <c r="AZ772" s="441"/>
      <c r="BA772" s="441"/>
    </row>
    <row r="773">
      <c r="A773" s="441"/>
      <c r="B773" s="441"/>
      <c r="C773" s="441"/>
      <c r="D773" s="441"/>
      <c r="E773" s="441"/>
      <c r="F773" s="441"/>
      <c r="G773" s="441"/>
      <c r="H773" s="441"/>
      <c r="I773" s="441"/>
      <c r="J773" s="441"/>
      <c r="K773" s="441"/>
      <c r="L773" s="441"/>
      <c r="M773" s="441"/>
      <c r="N773" s="441"/>
      <c r="O773" s="441"/>
      <c r="P773" s="441"/>
      <c r="Q773" s="441"/>
      <c r="R773" s="441"/>
      <c r="S773" s="441"/>
      <c r="T773" s="441"/>
      <c r="U773" s="441"/>
      <c r="V773" s="441"/>
      <c r="W773" s="441"/>
      <c r="X773" s="441"/>
      <c r="Y773" s="441"/>
      <c r="Z773" s="441"/>
      <c r="AA773" s="441"/>
      <c r="AB773" s="441"/>
      <c r="AC773" s="441"/>
      <c r="AD773" s="441"/>
      <c r="AE773" s="441"/>
      <c r="AF773" s="441"/>
      <c r="AG773" s="441"/>
      <c r="AH773" s="441"/>
      <c r="AI773" s="441"/>
      <c r="AJ773" s="441"/>
      <c r="AK773" s="441"/>
      <c r="AL773" s="441"/>
      <c r="AM773" s="441"/>
      <c r="AN773" s="441"/>
      <c r="AO773" s="441"/>
      <c r="AP773" s="441"/>
      <c r="AQ773" s="441"/>
      <c r="AR773" s="441"/>
      <c r="AS773" s="441"/>
      <c r="AT773" s="441"/>
      <c r="AU773" s="441"/>
      <c r="AV773" s="441"/>
      <c r="AW773" s="441"/>
      <c r="AX773" s="441"/>
      <c r="AY773" s="441"/>
      <c r="AZ773" s="441"/>
      <c r="BA773" s="441"/>
    </row>
    <row r="774">
      <c r="A774" s="441"/>
      <c r="B774" s="441"/>
      <c r="C774" s="441"/>
      <c r="D774" s="441"/>
      <c r="E774" s="441"/>
      <c r="F774" s="441"/>
      <c r="G774" s="441"/>
      <c r="H774" s="441"/>
      <c r="I774" s="441"/>
      <c r="J774" s="441"/>
      <c r="K774" s="441"/>
      <c r="L774" s="441"/>
      <c r="M774" s="441"/>
      <c r="N774" s="441"/>
      <c r="O774" s="441"/>
      <c r="P774" s="441"/>
      <c r="Q774" s="441"/>
      <c r="R774" s="441"/>
      <c r="S774" s="441"/>
      <c r="T774" s="441"/>
      <c r="U774" s="441"/>
      <c r="V774" s="441"/>
      <c r="W774" s="441"/>
      <c r="X774" s="441"/>
      <c r="Y774" s="441"/>
      <c r="Z774" s="441"/>
      <c r="AA774" s="441"/>
      <c r="AB774" s="441"/>
      <c r="AC774" s="441"/>
      <c r="AD774" s="441"/>
      <c r="AE774" s="441"/>
      <c r="AF774" s="441"/>
      <c r="AG774" s="441"/>
      <c r="AH774" s="441"/>
      <c r="AI774" s="441"/>
      <c r="AJ774" s="441"/>
      <c r="AK774" s="441"/>
      <c r="AL774" s="441"/>
      <c r="AM774" s="441"/>
      <c r="AN774" s="441"/>
      <c r="AO774" s="441"/>
      <c r="AP774" s="441"/>
      <c r="AQ774" s="441"/>
      <c r="AR774" s="441"/>
      <c r="AS774" s="441"/>
      <c r="AT774" s="441"/>
      <c r="AU774" s="441"/>
      <c r="AV774" s="441"/>
      <c r="AW774" s="441"/>
      <c r="AX774" s="441"/>
      <c r="AY774" s="441"/>
      <c r="AZ774" s="441"/>
      <c r="BA774" s="441"/>
    </row>
    <row r="775">
      <c r="A775" s="441"/>
      <c r="B775" s="441"/>
      <c r="C775" s="441"/>
      <c r="D775" s="441"/>
      <c r="E775" s="441"/>
      <c r="F775" s="441"/>
      <c r="G775" s="441"/>
      <c r="H775" s="441"/>
      <c r="I775" s="441"/>
      <c r="J775" s="441"/>
      <c r="K775" s="441"/>
      <c r="L775" s="441"/>
      <c r="M775" s="441"/>
      <c r="N775" s="441"/>
      <c r="O775" s="441"/>
      <c r="P775" s="441"/>
      <c r="Q775" s="441"/>
      <c r="R775" s="441"/>
      <c r="S775" s="441"/>
      <c r="T775" s="441"/>
      <c r="U775" s="441"/>
      <c r="V775" s="441"/>
      <c r="W775" s="441"/>
      <c r="X775" s="441"/>
      <c r="Y775" s="441"/>
      <c r="Z775" s="441"/>
      <c r="AA775" s="441"/>
      <c r="AB775" s="441"/>
      <c r="AC775" s="441"/>
      <c r="AD775" s="441"/>
      <c r="AE775" s="441"/>
      <c r="AF775" s="441"/>
      <c r="AG775" s="441"/>
      <c r="AH775" s="441"/>
      <c r="AI775" s="441"/>
      <c r="AJ775" s="441"/>
      <c r="AK775" s="441"/>
      <c r="AL775" s="441"/>
      <c r="AM775" s="441"/>
      <c r="AN775" s="441"/>
      <c r="AO775" s="441"/>
      <c r="AP775" s="441"/>
      <c r="AQ775" s="441"/>
      <c r="AR775" s="441"/>
      <c r="AS775" s="441"/>
      <c r="AT775" s="441"/>
      <c r="AU775" s="441"/>
      <c r="AV775" s="441"/>
      <c r="AW775" s="441"/>
      <c r="AX775" s="441"/>
      <c r="AY775" s="441"/>
      <c r="AZ775" s="441"/>
      <c r="BA775" s="441"/>
    </row>
    <row r="776">
      <c r="A776" s="441"/>
      <c r="B776" s="441"/>
      <c r="C776" s="441"/>
      <c r="D776" s="441"/>
      <c r="E776" s="441"/>
      <c r="F776" s="441"/>
      <c r="G776" s="441"/>
      <c r="H776" s="441"/>
      <c r="I776" s="441"/>
      <c r="J776" s="441"/>
      <c r="K776" s="441"/>
      <c r="L776" s="441"/>
      <c r="M776" s="441"/>
      <c r="N776" s="441"/>
      <c r="O776" s="441"/>
      <c r="P776" s="441"/>
      <c r="Q776" s="441"/>
      <c r="R776" s="441"/>
      <c r="S776" s="441"/>
      <c r="T776" s="441"/>
      <c r="U776" s="441"/>
      <c r="V776" s="441"/>
      <c r="W776" s="441"/>
      <c r="X776" s="441"/>
      <c r="Y776" s="441"/>
      <c r="Z776" s="441"/>
      <c r="AA776" s="441"/>
      <c r="AB776" s="441"/>
      <c r="AC776" s="441"/>
      <c r="AD776" s="441"/>
      <c r="AE776" s="441"/>
      <c r="AF776" s="441"/>
      <c r="AG776" s="441"/>
      <c r="AH776" s="441"/>
      <c r="AI776" s="441"/>
      <c r="AJ776" s="441"/>
      <c r="AK776" s="441"/>
      <c r="AL776" s="441"/>
      <c r="AM776" s="441"/>
      <c r="AN776" s="441"/>
      <c r="AO776" s="441"/>
      <c r="AP776" s="441"/>
      <c r="AQ776" s="441"/>
      <c r="AR776" s="441"/>
      <c r="AS776" s="441"/>
      <c r="AT776" s="441"/>
      <c r="AU776" s="441"/>
      <c r="AV776" s="441"/>
      <c r="AW776" s="441"/>
      <c r="AX776" s="441"/>
      <c r="AY776" s="441"/>
      <c r="AZ776" s="441"/>
      <c r="BA776" s="441"/>
    </row>
    <row r="777">
      <c r="A777" s="441"/>
      <c r="B777" s="441"/>
      <c r="C777" s="441"/>
      <c r="D777" s="441"/>
      <c r="E777" s="441"/>
      <c r="F777" s="441"/>
      <c r="G777" s="441"/>
      <c r="H777" s="441"/>
      <c r="I777" s="441"/>
      <c r="J777" s="441"/>
      <c r="K777" s="441"/>
      <c r="L777" s="441"/>
      <c r="M777" s="441"/>
      <c r="N777" s="441"/>
      <c r="O777" s="441"/>
      <c r="P777" s="441"/>
      <c r="Q777" s="441"/>
      <c r="R777" s="441"/>
      <c r="S777" s="441"/>
      <c r="T777" s="441"/>
      <c r="U777" s="441"/>
      <c r="V777" s="441"/>
      <c r="W777" s="441"/>
      <c r="X777" s="441"/>
      <c r="Y777" s="441"/>
      <c r="Z777" s="441"/>
      <c r="AA777" s="441"/>
      <c r="AB777" s="441"/>
      <c r="AC777" s="441"/>
      <c r="AD777" s="441"/>
      <c r="AE777" s="441"/>
      <c r="AF777" s="441"/>
      <c r="AG777" s="441"/>
      <c r="AH777" s="441"/>
      <c r="AI777" s="441"/>
      <c r="AJ777" s="441"/>
      <c r="AK777" s="441"/>
      <c r="AL777" s="441"/>
      <c r="AM777" s="441"/>
      <c r="AN777" s="441"/>
      <c r="AO777" s="441"/>
      <c r="AP777" s="441"/>
      <c r="AQ777" s="441"/>
      <c r="AR777" s="441"/>
      <c r="AS777" s="441"/>
      <c r="AT777" s="441"/>
      <c r="AU777" s="441"/>
      <c r="AV777" s="441"/>
      <c r="AW777" s="441"/>
      <c r="AX777" s="441"/>
      <c r="AY777" s="441"/>
      <c r="AZ777" s="441"/>
      <c r="BA777" s="441"/>
    </row>
    <row r="778">
      <c r="A778" s="441"/>
      <c r="B778" s="441"/>
      <c r="C778" s="441"/>
      <c r="D778" s="441"/>
      <c r="E778" s="441"/>
      <c r="F778" s="441"/>
      <c r="G778" s="441"/>
      <c r="H778" s="441"/>
      <c r="I778" s="441"/>
      <c r="J778" s="441"/>
      <c r="K778" s="441"/>
      <c r="L778" s="441"/>
      <c r="M778" s="441"/>
      <c r="N778" s="441"/>
      <c r="O778" s="441"/>
      <c r="P778" s="441"/>
      <c r="Q778" s="441"/>
      <c r="R778" s="441"/>
      <c r="S778" s="441"/>
      <c r="T778" s="441"/>
      <c r="U778" s="441"/>
      <c r="V778" s="441"/>
      <c r="W778" s="441"/>
      <c r="X778" s="441"/>
      <c r="Y778" s="441"/>
      <c r="Z778" s="441"/>
      <c r="AA778" s="441"/>
      <c r="AB778" s="441"/>
      <c r="AC778" s="441"/>
      <c r="AD778" s="441"/>
      <c r="AE778" s="441"/>
      <c r="AF778" s="441"/>
      <c r="AG778" s="441"/>
      <c r="AH778" s="441"/>
      <c r="AI778" s="441"/>
      <c r="AJ778" s="441"/>
      <c r="AK778" s="441"/>
      <c r="AL778" s="441"/>
      <c r="AM778" s="441"/>
      <c r="AN778" s="441"/>
      <c r="AO778" s="441"/>
      <c r="AP778" s="441"/>
      <c r="AQ778" s="441"/>
      <c r="AR778" s="441"/>
      <c r="AS778" s="441"/>
      <c r="AT778" s="441"/>
      <c r="AU778" s="441"/>
      <c r="AV778" s="441"/>
      <c r="AW778" s="441"/>
      <c r="AX778" s="441"/>
      <c r="AY778" s="441"/>
      <c r="AZ778" s="441"/>
      <c r="BA778" s="441"/>
    </row>
    <row r="779">
      <c r="A779" s="441"/>
      <c r="B779" s="441"/>
      <c r="C779" s="441"/>
      <c r="D779" s="441"/>
      <c r="E779" s="441"/>
      <c r="F779" s="441"/>
      <c r="G779" s="441"/>
      <c r="H779" s="441"/>
      <c r="I779" s="441"/>
      <c r="J779" s="441"/>
      <c r="K779" s="441"/>
      <c r="L779" s="441"/>
      <c r="M779" s="441"/>
      <c r="N779" s="441"/>
      <c r="O779" s="441"/>
      <c r="P779" s="441"/>
      <c r="Q779" s="441"/>
      <c r="R779" s="441"/>
      <c r="S779" s="441"/>
      <c r="T779" s="441"/>
      <c r="U779" s="441"/>
      <c r="V779" s="441"/>
      <c r="W779" s="441"/>
      <c r="X779" s="441"/>
      <c r="Y779" s="441"/>
      <c r="Z779" s="441"/>
      <c r="AA779" s="441"/>
      <c r="AB779" s="441"/>
      <c r="AC779" s="441"/>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1"/>
      <c r="AY779" s="441"/>
      <c r="AZ779" s="441"/>
      <c r="BA779" s="441"/>
    </row>
    <row r="780">
      <c r="A780" s="441"/>
      <c r="B780" s="441"/>
      <c r="C780" s="441"/>
      <c r="D780" s="441"/>
      <c r="E780" s="441"/>
      <c r="F780" s="441"/>
      <c r="G780" s="441"/>
      <c r="H780" s="441"/>
      <c r="I780" s="441"/>
      <c r="J780" s="441"/>
      <c r="K780" s="441"/>
      <c r="L780" s="441"/>
      <c r="M780" s="441"/>
      <c r="N780" s="441"/>
      <c r="O780" s="441"/>
      <c r="P780" s="441"/>
      <c r="Q780" s="441"/>
      <c r="R780" s="441"/>
      <c r="S780" s="441"/>
      <c r="T780" s="441"/>
      <c r="U780" s="441"/>
      <c r="V780" s="441"/>
      <c r="W780" s="441"/>
      <c r="X780" s="441"/>
      <c r="Y780" s="441"/>
      <c r="Z780" s="441"/>
      <c r="AA780" s="441"/>
      <c r="AB780" s="441"/>
      <c r="AC780" s="441"/>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1"/>
      <c r="AY780" s="441"/>
      <c r="AZ780" s="441"/>
      <c r="BA780" s="441"/>
    </row>
    <row r="781">
      <c r="A781" s="441"/>
      <c r="B781" s="441"/>
      <c r="C781" s="441"/>
      <c r="D781" s="441"/>
      <c r="E781" s="441"/>
      <c r="F781" s="441"/>
      <c r="G781" s="441"/>
      <c r="H781" s="441"/>
      <c r="I781" s="441"/>
      <c r="J781" s="441"/>
      <c r="K781" s="441"/>
      <c r="L781" s="441"/>
      <c r="M781" s="441"/>
      <c r="N781" s="441"/>
      <c r="O781" s="441"/>
      <c r="P781" s="441"/>
      <c r="Q781" s="441"/>
      <c r="R781" s="441"/>
      <c r="S781" s="441"/>
      <c r="T781" s="441"/>
      <c r="U781" s="441"/>
      <c r="V781" s="441"/>
      <c r="W781" s="441"/>
      <c r="X781" s="441"/>
      <c r="Y781" s="441"/>
      <c r="Z781" s="441"/>
      <c r="AA781" s="441"/>
      <c r="AB781" s="441"/>
      <c r="AC781" s="441"/>
      <c r="AD781" s="441"/>
      <c r="AE781" s="441"/>
      <c r="AF781" s="441"/>
      <c r="AG781" s="441"/>
      <c r="AH781" s="441"/>
      <c r="AI781" s="441"/>
      <c r="AJ781" s="441"/>
      <c r="AK781" s="441"/>
      <c r="AL781" s="441"/>
      <c r="AM781" s="441"/>
      <c r="AN781" s="441"/>
      <c r="AO781" s="441"/>
      <c r="AP781" s="441"/>
      <c r="AQ781" s="441"/>
      <c r="AR781" s="441"/>
      <c r="AS781" s="441"/>
      <c r="AT781" s="441"/>
      <c r="AU781" s="441"/>
      <c r="AV781" s="441"/>
      <c r="AW781" s="441"/>
      <c r="AX781" s="441"/>
      <c r="AY781" s="441"/>
      <c r="AZ781" s="441"/>
      <c r="BA781" s="441"/>
    </row>
    <row r="782">
      <c r="A782" s="441"/>
      <c r="B782" s="441"/>
      <c r="C782" s="441"/>
      <c r="D782" s="441"/>
      <c r="E782" s="441"/>
      <c r="F782" s="441"/>
      <c r="G782" s="441"/>
      <c r="H782" s="441"/>
      <c r="I782" s="441"/>
      <c r="J782" s="441"/>
      <c r="K782" s="441"/>
      <c r="L782" s="441"/>
      <c r="M782" s="441"/>
      <c r="N782" s="441"/>
      <c r="O782" s="441"/>
      <c r="P782" s="441"/>
      <c r="Q782" s="441"/>
      <c r="R782" s="441"/>
      <c r="S782" s="441"/>
      <c r="T782" s="441"/>
      <c r="U782" s="441"/>
      <c r="V782" s="441"/>
      <c r="W782" s="441"/>
      <c r="X782" s="441"/>
      <c r="Y782" s="441"/>
      <c r="Z782" s="441"/>
      <c r="AA782" s="441"/>
      <c r="AB782" s="441"/>
      <c r="AC782" s="441"/>
      <c r="AD782" s="441"/>
      <c r="AE782" s="441"/>
      <c r="AF782" s="441"/>
      <c r="AG782" s="441"/>
      <c r="AH782" s="441"/>
      <c r="AI782" s="441"/>
      <c r="AJ782" s="441"/>
      <c r="AK782" s="441"/>
      <c r="AL782" s="441"/>
      <c r="AM782" s="441"/>
      <c r="AN782" s="441"/>
      <c r="AO782" s="441"/>
      <c r="AP782" s="441"/>
      <c r="AQ782" s="441"/>
      <c r="AR782" s="441"/>
      <c r="AS782" s="441"/>
      <c r="AT782" s="441"/>
      <c r="AU782" s="441"/>
      <c r="AV782" s="441"/>
      <c r="AW782" s="441"/>
      <c r="AX782" s="441"/>
      <c r="AY782" s="441"/>
      <c r="AZ782" s="441"/>
      <c r="BA782" s="441"/>
    </row>
    <row r="783">
      <c r="A783" s="441"/>
      <c r="B783" s="441"/>
      <c r="C783" s="441"/>
      <c r="D783" s="441"/>
      <c r="E783" s="441"/>
      <c r="F783" s="441"/>
      <c r="G783" s="441"/>
      <c r="H783" s="441"/>
      <c r="I783" s="441"/>
      <c r="J783" s="441"/>
      <c r="K783" s="441"/>
      <c r="L783" s="441"/>
      <c r="M783" s="441"/>
      <c r="N783" s="441"/>
      <c r="O783" s="441"/>
      <c r="P783" s="441"/>
      <c r="Q783" s="441"/>
      <c r="R783" s="441"/>
      <c r="S783" s="441"/>
      <c r="T783" s="441"/>
      <c r="U783" s="441"/>
      <c r="V783" s="441"/>
      <c r="W783" s="441"/>
      <c r="X783" s="441"/>
      <c r="Y783" s="441"/>
      <c r="Z783" s="441"/>
      <c r="AA783" s="441"/>
      <c r="AB783" s="441"/>
      <c r="AC783" s="441"/>
      <c r="AD783" s="441"/>
      <c r="AE783" s="441"/>
      <c r="AF783" s="441"/>
      <c r="AG783" s="441"/>
      <c r="AH783" s="441"/>
      <c r="AI783" s="441"/>
      <c r="AJ783" s="441"/>
      <c r="AK783" s="441"/>
      <c r="AL783" s="441"/>
      <c r="AM783" s="441"/>
      <c r="AN783" s="441"/>
      <c r="AO783" s="441"/>
      <c r="AP783" s="441"/>
      <c r="AQ783" s="441"/>
      <c r="AR783" s="441"/>
      <c r="AS783" s="441"/>
      <c r="AT783" s="441"/>
      <c r="AU783" s="441"/>
      <c r="AV783" s="441"/>
      <c r="AW783" s="441"/>
      <c r="AX783" s="441"/>
      <c r="AY783" s="441"/>
      <c r="AZ783" s="441"/>
      <c r="BA783" s="441"/>
    </row>
    <row r="784">
      <c r="A784" s="441"/>
      <c r="B784" s="441"/>
      <c r="C784" s="441"/>
      <c r="D784" s="441"/>
      <c r="E784" s="441"/>
      <c r="F784" s="441"/>
      <c r="G784" s="441"/>
      <c r="H784" s="441"/>
      <c r="I784" s="441"/>
      <c r="J784" s="441"/>
      <c r="K784" s="441"/>
      <c r="L784" s="441"/>
      <c r="M784" s="441"/>
      <c r="N784" s="441"/>
      <c r="O784" s="441"/>
      <c r="P784" s="441"/>
      <c r="Q784" s="441"/>
      <c r="R784" s="441"/>
      <c r="S784" s="441"/>
      <c r="T784" s="441"/>
      <c r="U784" s="441"/>
      <c r="V784" s="441"/>
      <c r="W784" s="441"/>
      <c r="X784" s="441"/>
      <c r="Y784" s="441"/>
      <c r="Z784" s="441"/>
      <c r="AA784" s="441"/>
      <c r="AB784" s="441"/>
      <c r="AC784" s="441"/>
      <c r="AD784" s="441"/>
      <c r="AE784" s="441"/>
      <c r="AF784" s="441"/>
      <c r="AG784" s="441"/>
      <c r="AH784" s="441"/>
      <c r="AI784" s="441"/>
      <c r="AJ784" s="441"/>
      <c r="AK784" s="441"/>
      <c r="AL784" s="441"/>
      <c r="AM784" s="441"/>
      <c r="AN784" s="441"/>
      <c r="AO784" s="441"/>
      <c r="AP784" s="441"/>
      <c r="AQ784" s="441"/>
      <c r="AR784" s="441"/>
      <c r="AS784" s="441"/>
      <c r="AT784" s="441"/>
      <c r="AU784" s="441"/>
      <c r="AV784" s="441"/>
      <c r="AW784" s="441"/>
      <c r="AX784" s="441"/>
      <c r="AY784" s="441"/>
      <c r="AZ784" s="441"/>
      <c r="BA784" s="441"/>
    </row>
    <row r="785">
      <c r="A785" s="441"/>
      <c r="B785" s="441"/>
      <c r="C785" s="441"/>
      <c r="D785" s="441"/>
      <c r="E785" s="441"/>
      <c r="F785" s="441"/>
      <c r="G785" s="441"/>
      <c r="H785" s="441"/>
      <c r="I785" s="441"/>
      <c r="J785" s="441"/>
      <c r="K785" s="441"/>
      <c r="L785" s="441"/>
      <c r="M785" s="441"/>
      <c r="N785" s="441"/>
      <c r="O785" s="441"/>
      <c r="P785" s="441"/>
      <c r="Q785" s="441"/>
      <c r="R785" s="441"/>
      <c r="S785" s="441"/>
      <c r="T785" s="441"/>
      <c r="U785" s="441"/>
      <c r="V785" s="441"/>
      <c r="W785" s="441"/>
      <c r="X785" s="441"/>
      <c r="Y785" s="441"/>
      <c r="Z785" s="441"/>
      <c r="AA785" s="441"/>
      <c r="AB785" s="441"/>
      <c r="AC785" s="441"/>
      <c r="AD785" s="441"/>
      <c r="AE785" s="441"/>
      <c r="AF785" s="441"/>
      <c r="AG785" s="441"/>
      <c r="AH785" s="441"/>
      <c r="AI785" s="441"/>
      <c r="AJ785" s="441"/>
      <c r="AK785" s="441"/>
      <c r="AL785" s="441"/>
      <c r="AM785" s="441"/>
      <c r="AN785" s="441"/>
      <c r="AO785" s="441"/>
      <c r="AP785" s="441"/>
      <c r="AQ785" s="441"/>
      <c r="AR785" s="441"/>
      <c r="AS785" s="441"/>
      <c r="AT785" s="441"/>
      <c r="AU785" s="441"/>
      <c r="AV785" s="441"/>
      <c r="AW785" s="441"/>
      <c r="AX785" s="441"/>
      <c r="AY785" s="441"/>
      <c r="AZ785" s="441"/>
      <c r="BA785" s="441"/>
    </row>
    <row r="786">
      <c r="A786" s="441"/>
      <c r="B786" s="441"/>
      <c r="C786" s="441"/>
      <c r="D786" s="441"/>
      <c r="E786" s="441"/>
      <c r="F786" s="441"/>
      <c r="G786" s="441"/>
      <c r="H786" s="441"/>
      <c r="I786" s="441"/>
      <c r="J786" s="441"/>
      <c r="K786" s="441"/>
      <c r="L786" s="441"/>
      <c r="M786" s="441"/>
      <c r="N786" s="441"/>
      <c r="O786" s="441"/>
      <c r="P786" s="441"/>
      <c r="Q786" s="441"/>
      <c r="R786" s="441"/>
      <c r="S786" s="441"/>
      <c r="T786" s="441"/>
      <c r="U786" s="441"/>
      <c r="V786" s="441"/>
      <c r="W786" s="441"/>
      <c r="X786" s="441"/>
      <c r="Y786" s="441"/>
      <c r="Z786" s="441"/>
      <c r="AA786" s="441"/>
      <c r="AB786" s="441"/>
      <c r="AC786" s="441"/>
      <c r="AD786" s="441"/>
      <c r="AE786" s="441"/>
      <c r="AF786" s="441"/>
      <c r="AG786" s="441"/>
      <c r="AH786" s="441"/>
      <c r="AI786" s="441"/>
      <c r="AJ786" s="441"/>
      <c r="AK786" s="441"/>
      <c r="AL786" s="441"/>
      <c r="AM786" s="441"/>
      <c r="AN786" s="441"/>
      <c r="AO786" s="441"/>
      <c r="AP786" s="441"/>
      <c r="AQ786" s="441"/>
      <c r="AR786" s="441"/>
      <c r="AS786" s="441"/>
      <c r="AT786" s="441"/>
      <c r="AU786" s="441"/>
      <c r="AV786" s="441"/>
      <c r="AW786" s="441"/>
      <c r="AX786" s="441"/>
      <c r="AY786" s="441"/>
      <c r="AZ786" s="441"/>
      <c r="BA786" s="441"/>
    </row>
    <row r="787">
      <c r="A787" s="441"/>
      <c r="B787" s="441"/>
      <c r="C787" s="441"/>
      <c r="D787" s="441"/>
      <c r="E787" s="441"/>
      <c r="F787" s="441"/>
      <c r="G787" s="441"/>
      <c r="H787" s="441"/>
      <c r="I787" s="441"/>
      <c r="J787" s="441"/>
      <c r="K787" s="441"/>
      <c r="L787" s="441"/>
      <c r="M787" s="441"/>
      <c r="N787" s="441"/>
      <c r="O787" s="441"/>
      <c r="P787" s="441"/>
      <c r="Q787" s="441"/>
      <c r="R787" s="441"/>
      <c r="S787" s="441"/>
      <c r="T787" s="441"/>
      <c r="U787" s="441"/>
      <c r="V787" s="441"/>
      <c r="W787" s="441"/>
      <c r="X787" s="441"/>
      <c r="Y787" s="441"/>
      <c r="Z787" s="441"/>
      <c r="AA787" s="441"/>
      <c r="AB787" s="441"/>
      <c r="AC787" s="441"/>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1"/>
      <c r="AY787" s="441"/>
      <c r="AZ787" s="441"/>
      <c r="BA787" s="441"/>
    </row>
    <row r="788">
      <c r="A788" s="441"/>
      <c r="B788" s="441"/>
      <c r="C788" s="441"/>
      <c r="D788" s="441"/>
      <c r="E788" s="441"/>
      <c r="F788" s="441"/>
      <c r="G788" s="441"/>
      <c r="H788" s="441"/>
      <c r="I788" s="441"/>
      <c r="J788" s="441"/>
      <c r="K788" s="441"/>
      <c r="L788" s="441"/>
      <c r="M788" s="441"/>
      <c r="N788" s="441"/>
      <c r="O788" s="441"/>
      <c r="P788" s="441"/>
      <c r="Q788" s="441"/>
      <c r="R788" s="441"/>
      <c r="S788" s="441"/>
      <c r="T788" s="441"/>
      <c r="U788" s="441"/>
      <c r="V788" s="441"/>
      <c r="W788" s="441"/>
      <c r="X788" s="441"/>
      <c r="Y788" s="441"/>
      <c r="Z788" s="441"/>
      <c r="AA788" s="441"/>
      <c r="AB788" s="441"/>
      <c r="AC788" s="441"/>
      <c r="AD788" s="441"/>
      <c r="AE788" s="441"/>
      <c r="AF788" s="441"/>
      <c r="AG788" s="441"/>
      <c r="AH788" s="441"/>
      <c r="AI788" s="441"/>
      <c r="AJ788" s="441"/>
      <c r="AK788" s="441"/>
      <c r="AL788" s="441"/>
      <c r="AM788" s="441"/>
      <c r="AN788" s="441"/>
      <c r="AO788" s="441"/>
      <c r="AP788" s="441"/>
      <c r="AQ788" s="441"/>
      <c r="AR788" s="441"/>
      <c r="AS788" s="441"/>
      <c r="AT788" s="441"/>
      <c r="AU788" s="441"/>
      <c r="AV788" s="441"/>
      <c r="AW788" s="441"/>
      <c r="AX788" s="441"/>
      <c r="AY788" s="441"/>
      <c r="AZ788" s="441"/>
      <c r="BA788" s="441"/>
    </row>
    <row r="789">
      <c r="A789" s="441"/>
      <c r="B789" s="441"/>
      <c r="C789" s="441"/>
      <c r="D789" s="441"/>
      <c r="E789" s="441"/>
      <c r="F789" s="441"/>
      <c r="G789" s="441"/>
      <c r="H789" s="441"/>
      <c r="I789" s="441"/>
      <c r="J789" s="441"/>
      <c r="K789" s="441"/>
      <c r="L789" s="441"/>
      <c r="M789" s="441"/>
      <c r="N789" s="441"/>
      <c r="O789" s="441"/>
      <c r="P789" s="441"/>
      <c r="Q789" s="441"/>
      <c r="R789" s="441"/>
      <c r="S789" s="441"/>
      <c r="T789" s="441"/>
      <c r="U789" s="441"/>
      <c r="V789" s="441"/>
      <c r="W789" s="441"/>
      <c r="X789" s="441"/>
      <c r="Y789" s="441"/>
      <c r="Z789" s="441"/>
      <c r="AA789" s="441"/>
      <c r="AB789" s="441"/>
      <c r="AC789" s="441"/>
      <c r="AD789" s="441"/>
      <c r="AE789" s="441"/>
      <c r="AF789" s="441"/>
      <c r="AG789" s="441"/>
      <c r="AH789" s="441"/>
      <c r="AI789" s="441"/>
      <c r="AJ789" s="441"/>
      <c r="AK789" s="441"/>
      <c r="AL789" s="441"/>
      <c r="AM789" s="441"/>
      <c r="AN789" s="441"/>
      <c r="AO789" s="441"/>
      <c r="AP789" s="441"/>
      <c r="AQ789" s="441"/>
      <c r="AR789" s="441"/>
      <c r="AS789" s="441"/>
      <c r="AT789" s="441"/>
      <c r="AU789" s="441"/>
      <c r="AV789" s="441"/>
      <c r="AW789" s="441"/>
      <c r="AX789" s="441"/>
      <c r="AY789" s="441"/>
      <c r="AZ789" s="441"/>
      <c r="BA789" s="441"/>
    </row>
    <row r="790">
      <c r="A790" s="441"/>
      <c r="B790" s="441"/>
      <c r="C790" s="441"/>
      <c r="D790" s="441"/>
      <c r="E790" s="441"/>
      <c r="F790" s="441"/>
      <c r="G790" s="441"/>
      <c r="H790" s="441"/>
      <c r="I790" s="441"/>
      <c r="J790" s="441"/>
      <c r="K790" s="441"/>
      <c r="L790" s="441"/>
      <c r="M790" s="441"/>
      <c r="N790" s="441"/>
      <c r="O790" s="441"/>
      <c r="P790" s="441"/>
      <c r="Q790" s="441"/>
      <c r="R790" s="441"/>
      <c r="S790" s="441"/>
      <c r="T790" s="441"/>
      <c r="U790" s="441"/>
      <c r="V790" s="441"/>
      <c r="W790" s="441"/>
      <c r="X790" s="441"/>
      <c r="Y790" s="441"/>
      <c r="Z790" s="441"/>
      <c r="AA790" s="441"/>
      <c r="AB790" s="441"/>
      <c r="AC790" s="441"/>
      <c r="AD790" s="441"/>
      <c r="AE790" s="441"/>
      <c r="AF790" s="441"/>
      <c r="AG790" s="441"/>
      <c r="AH790" s="441"/>
      <c r="AI790" s="441"/>
      <c r="AJ790" s="441"/>
      <c r="AK790" s="441"/>
      <c r="AL790" s="441"/>
      <c r="AM790" s="441"/>
      <c r="AN790" s="441"/>
      <c r="AO790" s="441"/>
      <c r="AP790" s="441"/>
      <c r="AQ790" s="441"/>
      <c r="AR790" s="441"/>
      <c r="AS790" s="441"/>
      <c r="AT790" s="441"/>
      <c r="AU790" s="441"/>
      <c r="AV790" s="441"/>
      <c r="AW790" s="441"/>
      <c r="AX790" s="441"/>
      <c r="AY790" s="441"/>
      <c r="AZ790" s="441"/>
      <c r="BA790" s="441"/>
    </row>
    <row r="791">
      <c r="A791" s="441"/>
      <c r="B791" s="441"/>
      <c r="C791" s="441"/>
      <c r="D791" s="441"/>
      <c r="E791" s="441"/>
      <c r="F791" s="441"/>
      <c r="G791" s="441"/>
      <c r="H791" s="441"/>
      <c r="I791" s="441"/>
      <c r="J791" s="441"/>
      <c r="K791" s="441"/>
      <c r="L791" s="441"/>
      <c r="M791" s="441"/>
      <c r="N791" s="441"/>
      <c r="O791" s="441"/>
      <c r="P791" s="441"/>
      <c r="Q791" s="441"/>
      <c r="R791" s="441"/>
      <c r="S791" s="441"/>
      <c r="T791" s="441"/>
      <c r="U791" s="441"/>
      <c r="V791" s="441"/>
      <c r="W791" s="441"/>
      <c r="X791" s="441"/>
      <c r="Y791" s="441"/>
      <c r="Z791" s="441"/>
      <c r="AA791" s="441"/>
      <c r="AB791" s="441"/>
      <c r="AC791" s="441"/>
      <c r="AD791" s="441"/>
      <c r="AE791" s="441"/>
      <c r="AF791" s="441"/>
      <c r="AG791" s="441"/>
      <c r="AH791" s="441"/>
      <c r="AI791" s="441"/>
      <c r="AJ791" s="441"/>
      <c r="AK791" s="441"/>
      <c r="AL791" s="441"/>
      <c r="AM791" s="441"/>
      <c r="AN791" s="441"/>
      <c r="AO791" s="441"/>
      <c r="AP791" s="441"/>
      <c r="AQ791" s="441"/>
      <c r="AR791" s="441"/>
      <c r="AS791" s="441"/>
      <c r="AT791" s="441"/>
      <c r="AU791" s="441"/>
      <c r="AV791" s="441"/>
      <c r="AW791" s="441"/>
      <c r="AX791" s="441"/>
      <c r="AY791" s="441"/>
      <c r="AZ791" s="441"/>
      <c r="BA791" s="441"/>
    </row>
    <row r="792">
      <c r="A792" s="441"/>
      <c r="B792" s="441"/>
      <c r="C792" s="441"/>
      <c r="D792" s="441"/>
      <c r="E792" s="441"/>
      <c r="F792" s="441"/>
      <c r="G792" s="441"/>
      <c r="H792" s="441"/>
      <c r="I792" s="441"/>
      <c r="J792" s="441"/>
      <c r="K792" s="441"/>
      <c r="L792" s="441"/>
      <c r="M792" s="441"/>
      <c r="N792" s="441"/>
      <c r="O792" s="441"/>
      <c r="P792" s="441"/>
      <c r="Q792" s="441"/>
      <c r="R792" s="441"/>
      <c r="S792" s="441"/>
      <c r="T792" s="441"/>
      <c r="U792" s="441"/>
      <c r="V792" s="441"/>
      <c r="W792" s="441"/>
      <c r="X792" s="441"/>
      <c r="Y792" s="441"/>
      <c r="Z792" s="441"/>
      <c r="AA792" s="441"/>
      <c r="AB792" s="441"/>
      <c r="AC792" s="441"/>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1"/>
      <c r="AY792" s="441"/>
      <c r="AZ792" s="441"/>
      <c r="BA792" s="441"/>
    </row>
    <row r="793">
      <c r="A793" s="441"/>
      <c r="B793" s="441"/>
      <c r="C793" s="441"/>
      <c r="D793" s="441"/>
      <c r="E793" s="441"/>
      <c r="F793" s="441"/>
      <c r="G793" s="441"/>
      <c r="H793" s="441"/>
      <c r="I793" s="441"/>
      <c r="J793" s="441"/>
      <c r="K793" s="441"/>
      <c r="L793" s="441"/>
      <c r="M793" s="441"/>
      <c r="N793" s="441"/>
      <c r="O793" s="441"/>
      <c r="P793" s="441"/>
      <c r="Q793" s="441"/>
      <c r="R793" s="441"/>
      <c r="S793" s="441"/>
      <c r="T793" s="441"/>
      <c r="U793" s="441"/>
      <c r="V793" s="441"/>
      <c r="W793" s="441"/>
      <c r="X793" s="441"/>
      <c r="Y793" s="441"/>
      <c r="Z793" s="441"/>
      <c r="AA793" s="441"/>
      <c r="AB793" s="441"/>
      <c r="AC793" s="441"/>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1"/>
      <c r="AY793" s="441"/>
      <c r="AZ793" s="441"/>
      <c r="BA793" s="441"/>
    </row>
    <row r="794">
      <c r="A794" s="441"/>
      <c r="B794" s="441"/>
      <c r="C794" s="441"/>
      <c r="D794" s="441"/>
      <c r="E794" s="441"/>
      <c r="F794" s="441"/>
      <c r="G794" s="441"/>
      <c r="H794" s="441"/>
      <c r="I794" s="441"/>
      <c r="J794" s="441"/>
      <c r="K794" s="441"/>
      <c r="L794" s="441"/>
      <c r="M794" s="441"/>
      <c r="N794" s="441"/>
      <c r="O794" s="441"/>
      <c r="P794" s="441"/>
      <c r="Q794" s="441"/>
      <c r="R794" s="441"/>
      <c r="S794" s="441"/>
      <c r="T794" s="441"/>
      <c r="U794" s="441"/>
      <c r="V794" s="441"/>
      <c r="W794" s="441"/>
      <c r="X794" s="441"/>
      <c r="Y794" s="441"/>
      <c r="Z794" s="441"/>
      <c r="AA794" s="441"/>
      <c r="AB794" s="441"/>
      <c r="AC794" s="441"/>
      <c r="AD794" s="441"/>
      <c r="AE794" s="441"/>
      <c r="AF794" s="441"/>
      <c r="AG794" s="441"/>
      <c r="AH794" s="441"/>
      <c r="AI794" s="441"/>
      <c r="AJ794" s="441"/>
      <c r="AK794" s="441"/>
      <c r="AL794" s="441"/>
      <c r="AM794" s="441"/>
      <c r="AN794" s="441"/>
      <c r="AO794" s="441"/>
      <c r="AP794" s="441"/>
      <c r="AQ794" s="441"/>
      <c r="AR794" s="441"/>
      <c r="AS794" s="441"/>
      <c r="AT794" s="441"/>
      <c r="AU794" s="441"/>
      <c r="AV794" s="441"/>
      <c r="AW794" s="441"/>
      <c r="AX794" s="441"/>
      <c r="AY794" s="441"/>
      <c r="AZ794" s="441"/>
      <c r="BA794" s="441"/>
    </row>
    <row r="795">
      <c r="A795" s="441"/>
      <c r="B795" s="441"/>
      <c r="C795" s="441"/>
      <c r="D795" s="441"/>
      <c r="E795" s="441"/>
      <c r="F795" s="441"/>
      <c r="G795" s="441"/>
      <c r="H795" s="441"/>
      <c r="I795" s="441"/>
      <c r="J795" s="441"/>
      <c r="K795" s="441"/>
      <c r="L795" s="441"/>
      <c r="M795" s="441"/>
      <c r="N795" s="441"/>
      <c r="O795" s="441"/>
      <c r="P795" s="441"/>
      <c r="Q795" s="441"/>
      <c r="R795" s="441"/>
      <c r="S795" s="441"/>
      <c r="T795" s="441"/>
      <c r="U795" s="441"/>
      <c r="V795" s="441"/>
      <c r="W795" s="441"/>
      <c r="X795" s="441"/>
      <c r="Y795" s="441"/>
      <c r="Z795" s="441"/>
      <c r="AA795" s="441"/>
      <c r="AB795" s="441"/>
      <c r="AC795" s="441"/>
      <c r="AD795" s="441"/>
      <c r="AE795" s="441"/>
      <c r="AF795" s="441"/>
      <c r="AG795" s="441"/>
      <c r="AH795" s="441"/>
      <c r="AI795" s="441"/>
      <c r="AJ795" s="441"/>
      <c r="AK795" s="441"/>
      <c r="AL795" s="441"/>
      <c r="AM795" s="441"/>
      <c r="AN795" s="441"/>
      <c r="AO795" s="441"/>
      <c r="AP795" s="441"/>
      <c r="AQ795" s="441"/>
      <c r="AR795" s="441"/>
      <c r="AS795" s="441"/>
      <c r="AT795" s="441"/>
      <c r="AU795" s="441"/>
      <c r="AV795" s="441"/>
      <c r="AW795" s="441"/>
      <c r="AX795" s="441"/>
      <c r="AY795" s="441"/>
      <c r="AZ795" s="441"/>
      <c r="BA795" s="441"/>
    </row>
    <row r="796">
      <c r="A796" s="441"/>
      <c r="B796" s="441"/>
      <c r="C796" s="441"/>
      <c r="D796" s="441"/>
      <c r="E796" s="441"/>
      <c r="F796" s="441"/>
      <c r="G796" s="441"/>
      <c r="H796" s="441"/>
      <c r="I796" s="441"/>
      <c r="J796" s="441"/>
      <c r="K796" s="441"/>
      <c r="L796" s="441"/>
      <c r="M796" s="441"/>
      <c r="N796" s="441"/>
      <c r="O796" s="441"/>
      <c r="P796" s="441"/>
      <c r="Q796" s="441"/>
      <c r="R796" s="441"/>
      <c r="S796" s="441"/>
      <c r="T796" s="441"/>
      <c r="U796" s="441"/>
      <c r="V796" s="441"/>
      <c r="W796" s="441"/>
      <c r="X796" s="441"/>
      <c r="Y796" s="441"/>
      <c r="Z796" s="441"/>
      <c r="AA796" s="441"/>
      <c r="AB796" s="441"/>
      <c r="AC796" s="441"/>
      <c r="AD796" s="441"/>
      <c r="AE796" s="441"/>
      <c r="AF796" s="441"/>
      <c r="AG796" s="441"/>
      <c r="AH796" s="441"/>
      <c r="AI796" s="441"/>
      <c r="AJ796" s="441"/>
      <c r="AK796" s="441"/>
      <c r="AL796" s="441"/>
      <c r="AM796" s="441"/>
      <c r="AN796" s="441"/>
      <c r="AO796" s="441"/>
      <c r="AP796" s="441"/>
      <c r="AQ796" s="441"/>
      <c r="AR796" s="441"/>
      <c r="AS796" s="441"/>
      <c r="AT796" s="441"/>
      <c r="AU796" s="441"/>
      <c r="AV796" s="441"/>
      <c r="AW796" s="441"/>
      <c r="AX796" s="441"/>
      <c r="AY796" s="441"/>
      <c r="AZ796" s="441"/>
      <c r="BA796" s="441"/>
    </row>
    <row r="797">
      <c r="A797" s="441"/>
      <c r="B797" s="441"/>
      <c r="C797" s="441"/>
      <c r="D797" s="441"/>
      <c r="E797" s="441"/>
      <c r="F797" s="441"/>
      <c r="G797" s="441"/>
      <c r="H797" s="441"/>
      <c r="I797" s="441"/>
      <c r="J797" s="441"/>
      <c r="K797" s="441"/>
      <c r="L797" s="441"/>
      <c r="M797" s="441"/>
      <c r="N797" s="441"/>
      <c r="O797" s="441"/>
      <c r="P797" s="441"/>
      <c r="Q797" s="441"/>
      <c r="R797" s="441"/>
      <c r="S797" s="441"/>
      <c r="T797" s="441"/>
      <c r="U797" s="441"/>
      <c r="V797" s="441"/>
      <c r="W797" s="441"/>
      <c r="X797" s="441"/>
      <c r="Y797" s="441"/>
      <c r="Z797" s="441"/>
      <c r="AA797" s="441"/>
      <c r="AB797" s="441"/>
      <c r="AC797" s="441"/>
      <c r="AD797" s="441"/>
      <c r="AE797" s="441"/>
      <c r="AF797" s="441"/>
      <c r="AG797" s="441"/>
      <c r="AH797" s="441"/>
      <c r="AI797" s="441"/>
      <c r="AJ797" s="441"/>
      <c r="AK797" s="441"/>
      <c r="AL797" s="441"/>
      <c r="AM797" s="441"/>
      <c r="AN797" s="441"/>
      <c r="AO797" s="441"/>
      <c r="AP797" s="441"/>
      <c r="AQ797" s="441"/>
      <c r="AR797" s="441"/>
      <c r="AS797" s="441"/>
      <c r="AT797" s="441"/>
      <c r="AU797" s="441"/>
      <c r="AV797" s="441"/>
      <c r="AW797" s="441"/>
      <c r="AX797" s="441"/>
      <c r="AY797" s="441"/>
      <c r="AZ797" s="441"/>
      <c r="BA797" s="441"/>
    </row>
    <row r="798">
      <c r="A798" s="441"/>
      <c r="B798" s="441"/>
      <c r="C798" s="441"/>
      <c r="D798" s="441"/>
      <c r="E798" s="441"/>
      <c r="F798" s="441"/>
      <c r="G798" s="441"/>
      <c r="H798" s="441"/>
      <c r="I798" s="441"/>
      <c r="J798" s="441"/>
      <c r="K798" s="441"/>
      <c r="L798" s="441"/>
      <c r="M798" s="441"/>
      <c r="N798" s="441"/>
      <c r="O798" s="441"/>
      <c r="P798" s="441"/>
      <c r="Q798" s="441"/>
      <c r="R798" s="441"/>
      <c r="S798" s="441"/>
      <c r="T798" s="441"/>
      <c r="U798" s="441"/>
      <c r="V798" s="441"/>
      <c r="W798" s="441"/>
      <c r="X798" s="441"/>
      <c r="Y798" s="441"/>
      <c r="Z798" s="441"/>
      <c r="AA798" s="441"/>
      <c r="AB798" s="441"/>
      <c r="AC798" s="441"/>
      <c r="AD798" s="441"/>
      <c r="AE798" s="441"/>
      <c r="AF798" s="441"/>
      <c r="AG798" s="441"/>
      <c r="AH798" s="441"/>
      <c r="AI798" s="441"/>
      <c r="AJ798" s="441"/>
      <c r="AK798" s="441"/>
      <c r="AL798" s="441"/>
      <c r="AM798" s="441"/>
      <c r="AN798" s="441"/>
      <c r="AO798" s="441"/>
      <c r="AP798" s="441"/>
      <c r="AQ798" s="441"/>
      <c r="AR798" s="441"/>
      <c r="AS798" s="441"/>
      <c r="AT798" s="441"/>
      <c r="AU798" s="441"/>
      <c r="AV798" s="441"/>
      <c r="AW798" s="441"/>
      <c r="AX798" s="441"/>
      <c r="AY798" s="441"/>
      <c r="AZ798" s="441"/>
      <c r="BA798" s="441"/>
    </row>
    <row r="799">
      <c r="A799" s="441"/>
      <c r="B799" s="441"/>
      <c r="C799" s="441"/>
      <c r="D799" s="441"/>
      <c r="E799" s="441"/>
      <c r="F799" s="441"/>
      <c r="G799" s="441"/>
      <c r="H799" s="441"/>
      <c r="I799" s="441"/>
      <c r="J799" s="441"/>
      <c r="K799" s="441"/>
      <c r="L799" s="441"/>
      <c r="M799" s="441"/>
      <c r="N799" s="441"/>
      <c r="O799" s="441"/>
      <c r="P799" s="441"/>
      <c r="Q799" s="441"/>
      <c r="R799" s="441"/>
      <c r="S799" s="441"/>
      <c r="T799" s="441"/>
      <c r="U799" s="441"/>
      <c r="V799" s="441"/>
      <c r="W799" s="441"/>
      <c r="X799" s="441"/>
      <c r="Y799" s="441"/>
      <c r="Z799" s="441"/>
      <c r="AA799" s="441"/>
      <c r="AB799" s="441"/>
      <c r="AC799" s="441"/>
      <c r="AD799" s="441"/>
      <c r="AE799" s="441"/>
      <c r="AF799" s="441"/>
      <c r="AG799" s="441"/>
      <c r="AH799" s="441"/>
      <c r="AI799" s="441"/>
      <c r="AJ799" s="441"/>
      <c r="AK799" s="441"/>
      <c r="AL799" s="441"/>
      <c r="AM799" s="441"/>
      <c r="AN799" s="441"/>
      <c r="AO799" s="441"/>
      <c r="AP799" s="441"/>
      <c r="AQ799" s="441"/>
      <c r="AR799" s="441"/>
      <c r="AS799" s="441"/>
      <c r="AT799" s="441"/>
      <c r="AU799" s="441"/>
      <c r="AV799" s="441"/>
      <c r="AW799" s="441"/>
      <c r="AX799" s="441"/>
      <c r="AY799" s="441"/>
      <c r="AZ799" s="441"/>
      <c r="BA799" s="441"/>
    </row>
    <row r="800">
      <c r="A800" s="441"/>
      <c r="B800" s="441"/>
      <c r="C800" s="441"/>
      <c r="D800" s="441"/>
      <c r="E800" s="441"/>
      <c r="F800" s="441"/>
      <c r="G800" s="441"/>
      <c r="H800" s="441"/>
      <c r="I800" s="441"/>
      <c r="J800" s="441"/>
      <c r="K800" s="441"/>
      <c r="L800" s="441"/>
      <c r="M800" s="441"/>
      <c r="N800" s="441"/>
      <c r="O800" s="441"/>
      <c r="P800" s="441"/>
      <c r="Q800" s="441"/>
      <c r="R800" s="441"/>
      <c r="S800" s="441"/>
      <c r="T800" s="441"/>
      <c r="U800" s="441"/>
      <c r="V800" s="441"/>
      <c r="W800" s="441"/>
      <c r="X800" s="441"/>
      <c r="Y800" s="441"/>
      <c r="Z800" s="441"/>
      <c r="AA800" s="441"/>
      <c r="AB800" s="441"/>
      <c r="AC800" s="441"/>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1"/>
      <c r="AY800" s="441"/>
      <c r="AZ800" s="441"/>
      <c r="BA800" s="441"/>
    </row>
    <row r="801">
      <c r="A801" s="441"/>
      <c r="B801" s="441"/>
      <c r="C801" s="441"/>
      <c r="D801" s="441"/>
      <c r="E801" s="441"/>
      <c r="F801" s="441"/>
      <c r="G801" s="441"/>
      <c r="H801" s="441"/>
      <c r="I801" s="441"/>
      <c r="J801" s="441"/>
      <c r="K801" s="441"/>
      <c r="L801" s="441"/>
      <c r="M801" s="441"/>
      <c r="N801" s="441"/>
      <c r="O801" s="441"/>
      <c r="P801" s="441"/>
      <c r="Q801" s="441"/>
      <c r="R801" s="441"/>
      <c r="S801" s="441"/>
      <c r="T801" s="441"/>
      <c r="U801" s="441"/>
      <c r="V801" s="441"/>
      <c r="W801" s="441"/>
      <c r="X801" s="441"/>
      <c r="Y801" s="441"/>
      <c r="Z801" s="441"/>
      <c r="AA801" s="441"/>
      <c r="AB801" s="441"/>
      <c r="AC801" s="441"/>
      <c r="AD801" s="441"/>
      <c r="AE801" s="441"/>
      <c r="AF801" s="441"/>
      <c r="AG801" s="441"/>
      <c r="AH801" s="441"/>
      <c r="AI801" s="441"/>
      <c r="AJ801" s="441"/>
      <c r="AK801" s="441"/>
      <c r="AL801" s="441"/>
      <c r="AM801" s="441"/>
      <c r="AN801" s="441"/>
      <c r="AO801" s="441"/>
      <c r="AP801" s="441"/>
      <c r="AQ801" s="441"/>
      <c r="AR801" s="441"/>
      <c r="AS801" s="441"/>
      <c r="AT801" s="441"/>
      <c r="AU801" s="441"/>
      <c r="AV801" s="441"/>
      <c r="AW801" s="441"/>
      <c r="AX801" s="441"/>
      <c r="AY801" s="441"/>
      <c r="AZ801" s="441"/>
      <c r="BA801" s="441"/>
    </row>
    <row r="802">
      <c r="A802" s="441"/>
      <c r="B802" s="441"/>
      <c r="C802" s="441"/>
      <c r="D802" s="441"/>
      <c r="E802" s="441"/>
      <c r="F802" s="441"/>
      <c r="G802" s="441"/>
      <c r="H802" s="441"/>
      <c r="I802" s="441"/>
      <c r="J802" s="441"/>
      <c r="K802" s="441"/>
      <c r="L802" s="441"/>
      <c r="M802" s="441"/>
      <c r="N802" s="441"/>
      <c r="O802" s="441"/>
      <c r="P802" s="441"/>
      <c r="Q802" s="441"/>
      <c r="R802" s="441"/>
      <c r="S802" s="441"/>
      <c r="T802" s="441"/>
      <c r="U802" s="441"/>
      <c r="V802" s="441"/>
      <c r="W802" s="441"/>
      <c r="X802" s="441"/>
      <c r="Y802" s="441"/>
      <c r="Z802" s="441"/>
      <c r="AA802" s="441"/>
      <c r="AB802" s="441"/>
      <c r="AC802" s="441"/>
      <c r="AD802" s="441"/>
      <c r="AE802" s="441"/>
      <c r="AF802" s="441"/>
      <c r="AG802" s="441"/>
      <c r="AH802" s="441"/>
      <c r="AI802" s="441"/>
      <c r="AJ802" s="441"/>
      <c r="AK802" s="441"/>
      <c r="AL802" s="441"/>
      <c r="AM802" s="441"/>
      <c r="AN802" s="441"/>
      <c r="AO802" s="441"/>
      <c r="AP802" s="441"/>
      <c r="AQ802" s="441"/>
      <c r="AR802" s="441"/>
      <c r="AS802" s="441"/>
      <c r="AT802" s="441"/>
      <c r="AU802" s="441"/>
      <c r="AV802" s="441"/>
      <c r="AW802" s="441"/>
      <c r="AX802" s="441"/>
      <c r="AY802" s="441"/>
      <c r="AZ802" s="441"/>
      <c r="BA802" s="441"/>
    </row>
    <row r="803">
      <c r="A803" s="441"/>
      <c r="B803" s="441"/>
      <c r="C803" s="441"/>
      <c r="D803" s="441"/>
      <c r="E803" s="441"/>
      <c r="F803" s="441"/>
      <c r="G803" s="441"/>
      <c r="H803" s="441"/>
      <c r="I803" s="441"/>
      <c r="J803" s="441"/>
      <c r="K803" s="441"/>
      <c r="L803" s="441"/>
      <c r="M803" s="441"/>
      <c r="N803" s="441"/>
      <c r="O803" s="441"/>
      <c r="P803" s="441"/>
      <c r="Q803" s="441"/>
      <c r="R803" s="441"/>
      <c r="S803" s="441"/>
      <c r="T803" s="441"/>
      <c r="U803" s="441"/>
      <c r="V803" s="441"/>
      <c r="W803" s="441"/>
      <c r="X803" s="441"/>
      <c r="Y803" s="441"/>
      <c r="Z803" s="441"/>
      <c r="AA803" s="441"/>
      <c r="AB803" s="441"/>
      <c r="AC803" s="441"/>
      <c r="AD803" s="441"/>
      <c r="AE803" s="441"/>
      <c r="AF803" s="441"/>
      <c r="AG803" s="441"/>
      <c r="AH803" s="441"/>
      <c r="AI803" s="441"/>
      <c r="AJ803" s="441"/>
      <c r="AK803" s="441"/>
      <c r="AL803" s="441"/>
      <c r="AM803" s="441"/>
      <c r="AN803" s="441"/>
      <c r="AO803" s="441"/>
      <c r="AP803" s="441"/>
      <c r="AQ803" s="441"/>
      <c r="AR803" s="441"/>
      <c r="AS803" s="441"/>
      <c r="AT803" s="441"/>
      <c r="AU803" s="441"/>
      <c r="AV803" s="441"/>
      <c r="AW803" s="441"/>
      <c r="AX803" s="441"/>
      <c r="AY803" s="441"/>
      <c r="AZ803" s="441"/>
      <c r="BA803" s="441"/>
    </row>
    <row r="804">
      <c r="A804" s="441"/>
      <c r="B804" s="441"/>
      <c r="C804" s="441"/>
      <c r="D804" s="441"/>
      <c r="E804" s="441"/>
      <c r="F804" s="441"/>
      <c r="G804" s="441"/>
      <c r="H804" s="441"/>
      <c r="I804" s="441"/>
      <c r="J804" s="441"/>
      <c r="K804" s="441"/>
      <c r="L804" s="441"/>
      <c r="M804" s="441"/>
      <c r="N804" s="441"/>
      <c r="O804" s="441"/>
      <c r="P804" s="441"/>
      <c r="Q804" s="441"/>
      <c r="R804" s="441"/>
      <c r="S804" s="441"/>
      <c r="T804" s="441"/>
      <c r="U804" s="441"/>
      <c r="V804" s="441"/>
      <c r="W804" s="441"/>
      <c r="X804" s="441"/>
      <c r="Y804" s="441"/>
      <c r="Z804" s="441"/>
      <c r="AA804" s="441"/>
      <c r="AB804" s="441"/>
      <c r="AC804" s="441"/>
      <c r="AD804" s="441"/>
      <c r="AE804" s="441"/>
      <c r="AF804" s="441"/>
      <c r="AG804" s="441"/>
      <c r="AH804" s="441"/>
      <c r="AI804" s="441"/>
      <c r="AJ804" s="441"/>
      <c r="AK804" s="441"/>
      <c r="AL804" s="441"/>
      <c r="AM804" s="441"/>
      <c r="AN804" s="441"/>
      <c r="AO804" s="441"/>
      <c r="AP804" s="441"/>
      <c r="AQ804" s="441"/>
      <c r="AR804" s="441"/>
      <c r="AS804" s="441"/>
      <c r="AT804" s="441"/>
      <c r="AU804" s="441"/>
      <c r="AV804" s="441"/>
      <c r="AW804" s="441"/>
      <c r="AX804" s="441"/>
      <c r="AY804" s="441"/>
      <c r="AZ804" s="441"/>
      <c r="BA804" s="441"/>
    </row>
    <row r="805">
      <c r="A805" s="441"/>
      <c r="B805" s="441"/>
      <c r="C805" s="441"/>
      <c r="D805" s="441"/>
      <c r="E805" s="441"/>
      <c r="F805" s="441"/>
      <c r="G805" s="441"/>
      <c r="H805" s="441"/>
      <c r="I805" s="441"/>
      <c r="J805" s="441"/>
      <c r="K805" s="441"/>
      <c r="L805" s="441"/>
      <c r="M805" s="441"/>
      <c r="N805" s="441"/>
      <c r="O805" s="441"/>
      <c r="P805" s="441"/>
      <c r="Q805" s="441"/>
      <c r="R805" s="441"/>
      <c r="S805" s="441"/>
      <c r="T805" s="441"/>
      <c r="U805" s="441"/>
      <c r="V805" s="441"/>
      <c r="W805" s="441"/>
      <c r="X805" s="441"/>
      <c r="Y805" s="441"/>
      <c r="Z805" s="441"/>
      <c r="AA805" s="441"/>
      <c r="AB805" s="441"/>
      <c r="AC805" s="441"/>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1"/>
      <c r="AY805" s="441"/>
      <c r="AZ805" s="441"/>
      <c r="BA805" s="441"/>
    </row>
    <row r="806">
      <c r="A806" s="441"/>
      <c r="B806" s="441"/>
      <c r="C806" s="441"/>
      <c r="D806" s="441"/>
      <c r="E806" s="441"/>
      <c r="F806" s="441"/>
      <c r="G806" s="441"/>
      <c r="H806" s="441"/>
      <c r="I806" s="441"/>
      <c r="J806" s="441"/>
      <c r="K806" s="441"/>
      <c r="L806" s="441"/>
      <c r="M806" s="441"/>
      <c r="N806" s="441"/>
      <c r="O806" s="441"/>
      <c r="P806" s="441"/>
      <c r="Q806" s="441"/>
      <c r="R806" s="441"/>
      <c r="S806" s="441"/>
      <c r="T806" s="441"/>
      <c r="U806" s="441"/>
      <c r="V806" s="441"/>
      <c r="W806" s="441"/>
      <c r="X806" s="441"/>
      <c r="Y806" s="441"/>
      <c r="Z806" s="441"/>
      <c r="AA806" s="441"/>
      <c r="AB806" s="441"/>
      <c r="AC806" s="441"/>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1"/>
      <c r="AY806" s="441"/>
      <c r="AZ806" s="441"/>
      <c r="BA806" s="441"/>
    </row>
    <row r="807">
      <c r="A807" s="441"/>
      <c r="B807" s="441"/>
      <c r="C807" s="441"/>
      <c r="D807" s="441"/>
      <c r="E807" s="441"/>
      <c r="F807" s="441"/>
      <c r="G807" s="441"/>
      <c r="H807" s="441"/>
      <c r="I807" s="441"/>
      <c r="J807" s="441"/>
      <c r="K807" s="441"/>
      <c r="L807" s="441"/>
      <c r="M807" s="441"/>
      <c r="N807" s="441"/>
      <c r="O807" s="441"/>
      <c r="P807" s="441"/>
      <c r="Q807" s="441"/>
      <c r="R807" s="441"/>
      <c r="S807" s="441"/>
      <c r="T807" s="441"/>
      <c r="U807" s="441"/>
      <c r="V807" s="441"/>
      <c r="W807" s="441"/>
      <c r="X807" s="441"/>
      <c r="Y807" s="441"/>
      <c r="Z807" s="441"/>
      <c r="AA807" s="441"/>
      <c r="AB807" s="441"/>
      <c r="AC807" s="441"/>
      <c r="AD807" s="441"/>
      <c r="AE807" s="441"/>
      <c r="AF807" s="441"/>
      <c r="AG807" s="441"/>
      <c r="AH807" s="441"/>
      <c r="AI807" s="441"/>
      <c r="AJ807" s="441"/>
      <c r="AK807" s="441"/>
      <c r="AL807" s="441"/>
      <c r="AM807" s="441"/>
      <c r="AN807" s="441"/>
      <c r="AO807" s="441"/>
      <c r="AP807" s="441"/>
      <c r="AQ807" s="441"/>
      <c r="AR807" s="441"/>
      <c r="AS807" s="441"/>
      <c r="AT807" s="441"/>
      <c r="AU807" s="441"/>
      <c r="AV807" s="441"/>
      <c r="AW807" s="441"/>
      <c r="AX807" s="441"/>
      <c r="AY807" s="441"/>
      <c r="AZ807" s="441"/>
      <c r="BA807" s="441"/>
    </row>
    <row r="808">
      <c r="A808" s="441"/>
      <c r="B808" s="441"/>
      <c r="C808" s="441"/>
      <c r="D808" s="441"/>
      <c r="E808" s="441"/>
      <c r="F808" s="441"/>
      <c r="G808" s="441"/>
      <c r="H808" s="441"/>
      <c r="I808" s="441"/>
      <c r="J808" s="441"/>
      <c r="K808" s="441"/>
      <c r="L808" s="441"/>
      <c r="M808" s="441"/>
      <c r="N808" s="441"/>
      <c r="O808" s="441"/>
      <c r="P808" s="441"/>
      <c r="Q808" s="441"/>
      <c r="R808" s="441"/>
      <c r="S808" s="441"/>
      <c r="T808" s="441"/>
      <c r="U808" s="441"/>
      <c r="V808" s="441"/>
      <c r="W808" s="441"/>
      <c r="X808" s="441"/>
      <c r="Y808" s="441"/>
      <c r="Z808" s="441"/>
      <c r="AA808" s="441"/>
      <c r="AB808" s="441"/>
      <c r="AC808" s="441"/>
      <c r="AD808" s="441"/>
      <c r="AE808" s="441"/>
      <c r="AF808" s="441"/>
      <c r="AG808" s="441"/>
      <c r="AH808" s="441"/>
      <c r="AI808" s="441"/>
      <c r="AJ808" s="441"/>
      <c r="AK808" s="441"/>
      <c r="AL808" s="441"/>
      <c r="AM808" s="441"/>
      <c r="AN808" s="441"/>
      <c r="AO808" s="441"/>
      <c r="AP808" s="441"/>
      <c r="AQ808" s="441"/>
      <c r="AR808" s="441"/>
      <c r="AS808" s="441"/>
      <c r="AT808" s="441"/>
      <c r="AU808" s="441"/>
      <c r="AV808" s="441"/>
      <c r="AW808" s="441"/>
      <c r="AX808" s="441"/>
      <c r="AY808" s="441"/>
      <c r="AZ808" s="441"/>
      <c r="BA808" s="441"/>
    </row>
    <row r="809">
      <c r="A809" s="441"/>
      <c r="B809" s="441"/>
      <c r="C809" s="441"/>
      <c r="D809" s="441"/>
      <c r="E809" s="441"/>
      <c r="F809" s="441"/>
      <c r="G809" s="441"/>
      <c r="H809" s="441"/>
      <c r="I809" s="441"/>
      <c r="J809" s="441"/>
      <c r="K809" s="441"/>
      <c r="L809" s="441"/>
      <c r="M809" s="441"/>
      <c r="N809" s="441"/>
      <c r="O809" s="441"/>
      <c r="P809" s="441"/>
      <c r="Q809" s="441"/>
      <c r="R809" s="441"/>
      <c r="S809" s="441"/>
      <c r="T809" s="441"/>
      <c r="U809" s="441"/>
      <c r="V809" s="441"/>
      <c r="W809" s="441"/>
      <c r="X809" s="441"/>
      <c r="Y809" s="441"/>
      <c r="Z809" s="441"/>
      <c r="AA809" s="441"/>
      <c r="AB809" s="441"/>
      <c r="AC809" s="441"/>
      <c r="AD809" s="441"/>
      <c r="AE809" s="441"/>
      <c r="AF809" s="441"/>
      <c r="AG809" s="441"/>
      <c r="AH809" s="441"/>
      <c r="AI809" s="441"/>
      <c r="AJ809" s="441"/>
      <c r="AK809" s="441"/>
      <c r="AL809" s="441"/>
      <c r="AM809" s="441"/>
      <c r="AN809" s="441"/>
      <c r="AO809" s="441"/>
      <c r="AP809" s="441"/>
      <c r="AQ809" s="441"/>
      <c r="AR809" s="441"/>
      <c r="AS809" s="441"/>
      <c r="AT809" s="441"/>
      <c r="AU809" s="441"/>
      <c r="AV809" s="441"/>
      <c r="AW809" s="441"/>
      <c r="AX809" s="441"/>
      <c r="AY809" s="441"/>
      <c r="AZ809" s="441"/>
      <c r="BA809" s="441"/>
    </row>
    <row r="810">
      <c r="A810" s="441"/>
      <c r="B810" s="441"/>
      <c r="C810" s="441"/>
      <c r="D810" s="441"/>
      <c r="E810" s="441"/>
      <c r="F810" s="441"/>
      <c r="G810" s="441"/>
      <c r="H810" s="441"/>
      <c r="I810" s="441"/>
      <c r="J810" s="441"/>
      <c r="K810" s="441"/>
      <c r="L810" s="441"/>
      <c r="M810" s="441"/>
      <c r="N810" s="441"/>
      <c r="O810" s="441"/>
      <c r="P810" s="441"/>
      <c r="Q810" s="441"/>
      <c r="R810" s="441"/>
      <c r="S810" s="441"/>
      <c r="T810" s="441"/>
      <c r="U810" s="441"/>
      <c r="V810" s="441"/>
      <c r="W810" s="441"/>
      <c r="X810" s="441"/>
      <c r="Y810" s="441"/>
      <c r="Z810" s="441"/>
      <c r="AA810" s="441"/>
      <c r="AB810" s="441"/>
      <c r="AC810" s="441"/>
      <c r="AD810" s="441"/>
      <c r="AE810" s="441"/>
      <c r="AF810" s="441"/>
      <c r="AG810" s="441"/>
      <c r="AH810" s="441"/>
      <c r="AI810" s="441"/>
      <c r="AJ810" s="441"/>
      <c r="AK810" s="441"/>
      <c r="AL810" s="441"/>
      <c r="AM810" s="441"/>
      <c r="AN810" s="441"/>
      <c r="AO810" s="441"/>
      <c r="AP810" s="441"/>
      <c r="AQ810" s="441"/>
      <c r="AR810" s="441"/>
      <c r="AS810" s="441"/>
      <c r="AT810" s="441"/>
      <c r="AU810" s="441"/>
      <c r="AV810" s="441"/>
      <c r="AW810" s="441"/>
      <c r="AX810" s="441"/>
      <c r="AY810" s="441"/>
      <c r="AZ810" s="441"/>
      <c r="BA810" s="441"/>
    </row>
    <row r="811">
      <c r="A811" s="441"/>
      <c r="B811" s="441"/>
      <c r="C811" s="441"/>
      <c r="D811" s="441"/>
      <c r="E811" s="441"/>
      <c r="F811" s="441"/>
      <c r="G811" s="441"/>
      <c r="H811" s="441"/>
      <c r="I811" s="441"/>
      <c r="J811" s="441"/>
      <c r="K811" s="441"/>
      <c r="L811" s="441"/>
      <c r="M811" s="441"/>
      <c r="N811" s="441"/>
      <c r="O811" s="441"/>
      <c r="P811" s="441"/>
      <c r="Q811" s="441"/>
      <c r="R811" s="441"/>
      <c r="S811" s="441"/>
      <c r="T811" s="441"/>
      <c r="U811" s="441"/>
      <c r="V811" s="441"/>
      <c r="W811" s="441"/>
      <c r="X811" s="441"/>
      <c r="Y811" s="441"/>
      <c r="Z811" s="441"/>
      <c r="AA811" s="441"/>
      <c r="AB811" s="441"/>
      <c r="AC811" s="441"/>
      <c r="AD811" s="441"/>
      <c r="AE811" s="441"/>
      <c r="AF811" s="441"/>
      <c r="AG811" s="441"/>
      <c r="AH811" s="441"/>
      <c r="AI811" s="441"/>
      <c r="AJ811" s="441"/>
      <c r="AK811" s="441"/>
      <c r="AL811" s="441"/>
      <c r="AM811" s="441"/>
      <c r="AN811" s="441"/>
      <c r="AO811" s="441"/>
      <c r="AP811" s="441"/>
      <c r="AQ811" s="441"/>
      <c r="AR811" s="441"/>
      <c r="AS811" s="441"/>
      <c r="AT811" s="441"/>
      <c r="AU811" s="441"/>
      <c r="AV811" s="441"/>
      <c r="AW811" s="441"/>
      <c r="AX811" s="441"/>
      <c r="AY811" s="441"/>
      <c r="AZ811" s="441"/>
      <c r="BA811" s="441"/>
    </row>
    <row r="812">
      <c r="A812" s="441"/>
      <c r="B812" s="441"/>
      <c r="C812" s="441"/>
      <c r="D812" s="441"/>
      <c r="E812" s="441"/>
      <c r="F812" s="441"/>
      <c r="G812" s="441"/>
      <c r="H812" s="441"/>
      <c r="I812" s="441"/>
      <c r="J812" s="441"/>
      <c r="K812" s="441"/>
      <c r="L812" s="441"/>
      <c r="M812" s="441"/>
      <c r="N812" s="441"/>
      <c r="O812" s="441"/>
      <c r="P812" s="441"/>
      <c r="Q812" s="441"/>
      <c r="R812" s="441"/>
      <c r="S812" s="441"/>
      <c r="T812" s="441"/>
      <c r="U812" s="441"/>
      <c r="V812" s="441"/>
      <c r="W812" s="441"/>
      <c r="X812" s="441"/>
      <c r="Y812" s="441"/>
      <c r="Z812" s="441"/>
      <c r="AA812" s="441"/>
      <c r="AB812" s="441"/>
      <c r="AC812" s="441"/>
      <c r="AD812" s="441"/>
      <c r="AE812" s="441"/>
      <c r="AF812" s="441"/>
      <c r="AG812" s="441"/>
      <c r="AH812" s="441"/>
      <c r="AI812" s="441"/>
      <c r="AJ812" s="441"/>
      <c r="AK812" s="441"/>
      <c r="AL812" s="441"/>
      <c r="AM812" s="441"/>
      <c r="AN812" s="441"/>
      <c r="AO812" s="441"/>
      <c r="AP812" s="441"/>
      <c r="AQ812" s="441"/>
      <c r="AR812" s="441"/>
      <c r="AS812" s="441"/>
      <c r="AT812" s="441"/>
      <c r="AU812" s="441"/>
      <c r="AV812" s="441"/>
      <c r="AW812" s="441"/>
      <c r="AX812" s="441"/>
      <c r="AY812" s="441"/>
      <c r="AZ812" s="441"/>
      <c r="BA812" s="441"/>
    </row>
    <row r="813">
      <c r="A813" s="441"/>
      <c r="B813" s="441"/>
      <c r="C813" s="441"/>
      <c r="D813" s="441"/>
      <c r="E813" s="441"/>
      <c r="F813" s="441"/>
      <c r="G813" s="441"/>
      <c r="H813" s="441"/>
      <c r="I813" s="441"/>
      <c r="J813" s="441"/>
      <c r="K813" s="441"/>
      <c r="L813" s="441"/>
      <c r="M813" s="441"/>
      <c r="N813" s="441"/>
      <c r="O813" s="441"/>
      <c r="P813" s="441"/>
      <c r="Q813" s="441"/>
      <c r="R813" s="441"/>
      <c r="S813" s="441"/>
      <c r="T813" s="441"/>
      <c r="U813" s="441"/>
      <c r="V813" s="441"/>
      <c r="W813" s="441"/>
      <c r="X813" s="441"/>
      <c r="Y813" s="441"/>
      <c r="Z813" s="441"/>
      <c r="AA813" s="441"/>
      <c r="AB813" s="441"/>
      <c r="AC813" s="441"/>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1"/>
      <c r="AY813" s="441"/>
      <c r="AZ813" s="441"/>
      <c r="BA813" s="441"/>
    </row>
    <row r="814">
      <c r="A814" s="441"/>
      <c r="B814" s="441"/>
      <c r="C814" s="441"/>
      <c r="D814" s="441"/>
      <c r="E814" s="441"/>
      <c r="F814" s="441"/>
      <c r="G814" s="441"/>
      <c r="H814" s="441"/>
      <c r="I814" s="441"/>
      <c r="J814" s="441"/>
      <c r="K814" s="441"/>
      <c r="L814" s="441"/>
      <c r="M814" s="441"/>
      <c r="N814" s="441"/>
      <c r="O814" s="441"/>
      <c r="P814" s="441"/>
      <c r="Q814" s="441"/>
      <c r="R814" s="441"/>
      <c r="S814" s="441"/>
      <c r="T814" s="441"/>
      <c r="U814" s="441"/>
      <c r="V814" s="441"/>
      <c r="W814" s="441"/>
      <c r="X814" s="441"/>
      <c r="Y814" s="441"/>
      <c r="Z814" s="441"/>
      <c r="AA814" s="441"/>
      <c r="AB814" s="441"/>
      <c r="AC814" s="441"/>
      <c r="AD814" s="441"/>
      <c r="AE814" s="441"/>
      <c r="AF814" s="441"/>
      <c r="AG814" s="441"/>
      <c r="AH814" s="441"/>
      <c r="AI814" s="441"/>
      <c r="AJ814" s="441"/>
      <c r="AK814" s="441"/>
      <c r="AL814" s="441"/>
      <c r="AM814" s="441"/>
      <c r="AN814" s="441"/>
      <c r="AO814" s="441"/>
      <c r="AP814" s="441"/>
      <c r="AQ814" s="441"/>
      <c r="AR814" s="441"/>
      <c r="AS814" s="441"/>
      <c r="AT814" s="441"/>
      <c r="AU814" s="441"/>
      <c r="AV814" s="441"/>
      <c r="AW814" s="441"/>
      <c r="AX814" s="441"/>
      <c r="AY814" s="441"/>
      <c r="AZ814" s="441"/>
      <c r="BA814" s="441"/>
    </row>
    <row r="815">
      <c r="A815" s="441"/>
      <c r="B815" s="441"/>
      <c r="C815" s="441"/>
      <c r="D815" s="441"/>
      <c r="E815" s="441"/>
      <c r="F815" s="441"/>
      <c r="G815" s="441"/>
      <c r="H815" s="441"/>
      <c r="I815" s="441"/>
      <c r="J815" s="441"/>
      <c r="K815" s="441"/>
      <c r="L815" s="441"/>
      <c r="M815" s="441"/>
      <c r="N815" s="441"/>
      <c r="O815" s="441"/>
      <c r="P815" s="441"/>
      <c r="Q815" s="441"/>
      <c r="R815" s="441"/>
      <c r="S815" s="441"/>
      <c r="T815" s="441"/>
      <c r="U815" s="441"/>
      <c r="V815" s="441"/>
      <c r="W815" s="441"/>
      <c r="X815" s="441"/>
      <c r="Y815" s="441"/>
      <c r="Z815" s="441"/>
      <c r="AA815" s="441"/>
      <c r="AB815" s="441"/>
      <c r="AC815" s="441"/>
      <c r="AD815" s="441"/>
      <c r="AE815" s="441"/>
      <c r="AF815" s="441"/>
      <c r="AG815" s="441"/>
      <c r="AH815" s="441"/>
      <c r="AI815" s="441"/>
      <c r="AJ815" s="441"/>
      <c r="AK815" s="441"/>
      <c r="AL815" s="441"/>
      <c r="AM815" s="441"/>
      <c r="AN815" s="441"/>
      <c r="AO815" s="441"/>
      <c r="AP815" s="441"/>
      <c r="AQ815" s="441"/>
      <c r="AR815" s="441"/>
      <c r="AS815" s="441"/>
      <c r="AT815" s="441"/>
      <c r="AU815" s="441"/>
      <c r="AV815" s="441"/>
      <c r="AW815" s="441"/>
      <c r="AX815" s="441"/>
      <c r="AY815" s="441"/>
      <c r="AZ815" s="441"/>
      <c r="BA815" s="441"/>
    </row>
    <row r="816">
      <c r="A816" s="441"/>
      <c r="B816" s="441"/>
      <c r="C816" s="441"/>
      <c r="D816" s="441"/>
      <c r="E816" s="441"/>
      <c r="F816" s="441"/>
      <c r="G816" s="441"/>
      <c r="H816" s="441"/>
      <c r="I816" s="441"/>
      <c r="J816" s="441"/>
      <c r="K816" s="441"/>
      <c r="L816" s="441"/>
      <c r="M816" s="441"/>
      <c r="N816" s="441"/>
      <c r="O816" s="441"/>
      <c r="P816" s="441"/>
      <c r="Q816" s="441"/>
      <c r="R816" s="441"/>
      <c r="S816" s="441"/>
      <c r="T816" s="441"/>
      <c r="U816" s="441"/>
      <c r="V816" s="441"/>
      <c r="W816" s="441"/>
      <c r="X816" s="441"/>
      <c r="Y816" s="441"/>
      <c r="Z816" s="441"/>
      <c r="AA816" s="441"/>
      <c r="AB816" s="441"/>
      <c r="AC816" s="441"/>
      <c r="AD816" s="441"/>
      <c r="AE816" s="441"/>
      <c r="AF816" s="441"/>
      <c r="AG816" s="441"/>
      <c r="AH816" s="441"/>
      <c r="AI816" s="441"/>
      <c r="AJ816" s="441"/>
      <c r="AK816" s="441"/>
      <c r="AL816" s="441"/>
      <c r="AM816" s="441"/>
      <c r="AN816" s="441"/>
      <c r="AO816" s="441"/>
      <c r="AP816" s="441"/>
      <c r="AQ816" s="441"/>
      <c r="AR816" s="441"/>
      <c r="AS816" s="441"/>
      <c r="AT816" s="441"/>
      <c r="AU816" s="441"/>
      <c r="AV816" s="441"/>
      <c r="AW816" s="441"/>
      <c r="AX816" s="441"/>
      <c r="AY816" s="441"/>
      <c r="AZ816" s="441"/>
      <c r="BA816" s="441"/>
    </row>
    <row r="817">
      <c r="A817" s="441"/>
      <c r="B817" s="441"/>
      <c r="C817" s="441"/>
      <c r="D817" s="441"/>
      <c r="E817" s="441"/>
      <c r="F817" s="441"/>
      <c r="G817" s="441"/>
      <c r="H817" s="441"/>
      <c r="I817" s="441"/>
      <c r="J817" s="441"/>
      <c r="K817" s="441"/>
      <c r="L817" s="441"/>
      <c r="M817" s="441"/>
      <c r="N817" s="441"/>
      <c r="O817" s="441"/>
      <c r="P817" s="441"/>
      <c r="Q817" s="441"/>
      <c r="R817" s="441"/>
      <c r="S817" s="441"/>
      <c r="T817" s="441"/>
      <c r="U817" s="441"/>
      <c r="V817" s="441"/>
      <c r="W817" s="441"/>
      <c r="X817" s="441"/>
      <c r="Y817" s="441"/>
      <c r="Z817" s="441"/>
      <c r="AA817" s="441"/>
      <c r="AB817" s="441"/>
      <c r="AC817" s="441"/>
      <c r="AD817" s="441"/>
      <c r="AE817" s="441"/>
      <c r="AF817" s="441"/>
      <c r="AG817" s="441"/>
      <c r="AH817" s="441"/>
      <c r="AI817" s="441"/>
      <c r="AJ817" s="441"/>
      <c r="AK817" s="441"/>
      <c r="AL817" s="441"/>
      <c r="AM817" s="441"/>
      <c r="AN817" s="441"/>
      <c r="AO817" s="441"/>
      <c r="AP817" s="441"/>
      <c r="AQ817" s="441"/>
      <c r="AR817" s="441"/>
      <c r="AS817" s="441"/>
      <c r="AT817" s="441"/>
      <c r="AU817" s="441"/>
      <c r="AV817" s="441"/>
      <c r="AW817" s="441"/>
      <c r="AX817" s="441"/>
      <c r="AY817" s="441"/>
      <c r="AZ817" s="441"/>
      <c r="BA817" s="441"/>
    </row>
    <row r="818">
      <c r="A818" s="441"/>
      <c r="B818" s="441"/>
      <c r="C818" s="441"/>
      <c r="D818" s="441"/>
      <c r="E818" s="441"/>
      <c r="F818" s="441"/>
      <c r="G818" s="441"/>
      <c r="H818" s="441"/>
      <c r="I818" s="441"/>
      <c r="J818" s="441"/>
      <c r="K818" s="441"/>
      <c r="L818" s="441"/>
      <c r="M818" s="441"/>
      <c r="N818" s="441"/>
      <c r="O818" s="441"/>
      <c r="P818" s="441"/>
      <c r="Q818" s="441"/>
      <c r="R818" s="441"/>
      <c r="S818" s="441"/>
      <c r="T818" s="441"/>
      <c r="U818" s="441"/>
      <c r="V818" s="441"/>
      <c r="W818" s="441"/>
      <c r="X818" s="441"/>
      <c r="Y818" s="441"/>
      <c r="Z818" s="441"/>
      <c r="AA818" s="441"/>
      <c r="AB818" s="441"/>
      <c r="AC818" s="441"/>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1"/>
      <c r="AY818" s="441"/>
      <c r="AZ818" s="441"/>
      <c r="BA818" s="441"/>
    </row>
    <row r="819">
      <c r="A819" s="441"/>
      <c r="B819" s="441"/>
      <c r="C819" s="441"/>
      <c r="D819" s="441"/>
      <c r="E819" s="441"/>
      <c r="F819" s="441"/>
      <c r="G819" s="441"/>
      <c r="H819" s="441"/>
      <c r="I819" s="441"/>
      <c r="J819" s="441"/>
      <c r="K819" s="441"/>
      <c r="L819" s="441"/>
      <c r="M819" s="441"/>
      <c r="N819" s="441"/>
      <c r="O819" s="441"/>
      <c r="P819" s="441"/>
      <c r="Q819" s="441"/>
      <c r="R819" s="441"/>
      <c r="S819" s="441"/>
      <c r="T819" s="441"/>
      <c r="U819" s="441"/>
      <c r="V819" s="441"/>
      <c r="W819" s="441"/>
      <c r="X819" s="441"/>
      <c r="Y819" s="441"/>
      <c r="Z819" s="441"/>
      <c r="AA819" s="441"/>
      <c r="AB819" s="441"/>
      <c r="AC819" s="441"/>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1"/>
      <c r="AY819" s="441"/>
      <c r="AZ819" s="441"/>
      <c r="BA819" s="441"/>
    </row>
    <row r="820">
      <c r="A820" s="441"/>
      <c r="B820" s="441"/>
      <c r="C820" s="441"/>
      <c r="D820" s="441"/>
      <c r="E820" s="441"/>
      <c r="F820" s="441"/>
      <c r="G820" s="441"/>
      <c r="H820" s="441"/>
      <c r="I820" s="441"/>
      <c r="J820" s="441"/>
      <c r="K820" s="441"/>
      <c r="L820" s="441"/>
      <c r="M820" s="441"/>
      <c r="N820" s="441"/>
      <c r="O820" s="441"/>
      <c r="P820" s="441"/>
      <c r="Q820" s="441"/>
      <c r="R820" s="441"/>
      <c r="S820" s="441"/>
      <c r="T820" s="441"/>
      <c r="U820" s="441"/>
      <c r="V820" s="441"/>
      <c r="W820" s="441"/>
      <c r="X820" s="441"/>
      <c r="Y820" s="441"/>
      <c r="Z820" s="441"/>
      <c r="AA820" s="441"/>
      <c r="AB820" s="441"/>
      <c r="AC820" s="441"/>
      <c r="AD820" s="441"/>
      <c r="AE820" s="441"/>
      <c r="AF820" s="441"/>
      <c r="AG820" s="441"/>
      <c r="AH820" s="441"/>
      <c r="AI820" s="441"/>
      <c r="AJ820" s="441"/>
      <c r="AK820" s="441"/>
      <c r="AL820" s="441"/>
      <c r="AM820" s="441"/>
      <c r="AN820" s="441"/>
      <c r="AO820" s="441"/>
      <c r="AP820" s="441"/>
      <c r="AQ820" s="441"/>
      <c r="AR820" s="441"/>
      <c r="AS820" s="441"/>
      <c r="AT820" s="441"/>
      <c r="AU820" s="441"/>
      <c r="AV820" s="441"/>
      <c r="AW820" s="441"/>
      <c r="AX820" s="441"/>
      <c r="AY820" s="441"/>
      <c r="AZ820" s="441"/>
      <c r="BA820" s="441"/>
    </row>
    <row r="821">
      <c r="A821" s="441"/>
      <c r="B821" s="441"/>
      <c r="C821" s="441"/>
      <c r="D821" s="441"/>
      <c r="E821" s="441"/>
      <c r="F821" s="441"/>
      <c r="G821" s="441"/>
      <c r="H821" s="441"/>
      <c r="I821" s="441"/>
      <c r="J821" s="441"/>
      <c r="K821" s="441"/>
      <c r="L821" s="441"/>
      <c r="M821" s="441"/>
      <c r="N821" s="441"/>
      <c r="O821" s="441"/>
      <c r="P821" s="441"/>
      <c r="Q821" s="441"/>
      <c r="R821" s="441"/>
      <c r="S821" s="441"/>
      <c r="T821" s="441"/>
      <c r="U821" s="441"/>
      <c r="V821" s="441"/>
      <c r="W821" s="441"/>
      <c r="X821" s="441"/>
      <c r="Y821" s="441"/>
      <c r="Z821" s="441"/>
      <c r="AA821" s="441"/>
      <c r="AB821" s="441"/>
      <c r="AC821" s="441"/>
      <c r="AD821" s="441"/>
      <c r="AE821" s="441"/>
      <c r="AF821" s="441"/>
      <c r="AG821" s="441"/>
      <c r="AH821" s="441"/>
      <c r="AI821" s="441"/>
      <c r="AJ821" s="441"/>
      <c r="AK821" s="441"/>
      <c r="AL821" s="441"/>
      <c r="AM821" s="441"/>
      <c r="AN821" s="441"/>
      <c r="AO821" s="441"/>
      <c r="AP821" s="441"/>
      <c r="AQ821" s="441"/>
      <c r="AR821" s="441"/>
      <c r="AS821" s="441"/>
      <c r="AT821" s="441"/>
      <c r="AU821" s="441"/>
      <c r="AV821" s="441"/>
      <c r="AW821" s="441"/>
      <c r="AX821" s="441"/>
      <c r="AY821" s="441"/>
      <c r="AZ821" s="441"/>
      <c r="BA821" s="441"/>
    </row>
    <row r="822">
      <c r="A822" s="441"/>
      <c r="B822" s="441"/>
      <c r="C822" s="441"/>
      <c r="D822" s="441"/>
      <c r="E822" s="441"/>
      <c r="F822" s="441"/>
      <c r="G822" s="441"/>
      <c r="H822" s="441"/>
      <c r="I822" s="441"/>
      <c r="J822" s="441"/>
      <c r="K822" s="441"/>
      <c r="L822" s="441"/>
      <c r="M822" s="441"/>
      <c r="N822" s="441"/>
      <c r="O822" s="441"/>
      <c r="P822" s="441"/>
      <c r="Q822" s="441"/>
      <c r="R822" s="441"/>
      <c r="S822" s="441"/>
      <c r="T822" s="441"/>
      <c r="U822" s="441"/>
      <c r="V822" s="441"/>
      <c r="W822" s="441"/>
      <c r="X822" s="441"/>
      <c r="Y822" s="441"/>
      <c r="Z822" s="441"/>
      <c r="AA822" s="441"/>
      <c r="AB822" s="441"/>
      <c r="AC822" s="441"/>
      <c r="AD822" s="441"/>
      <c r="AE822" s="441"/>
      <c r="AF822" s="441"/>
      <c r="AG822" s="441"/>
      <c r="AH822" s="441"/>
      <c r="AI822" s="441"/>
      <c r="AJ822" s="441"/>
      <c r="AK822" s="441"/>
      <c r="AL822" s="441"/>
      <c r="AM822" s="441"/>
      <c r="AN822" s="441"/>
      <c r="AO822" s="441"/>
      <c r="AP822" s="441"/>
      <c r="AQ822" s="441"/>
      <c r="AR822" s="441"/>
      <c r="AS822" s="441"/>
      <c r="AT822" s="441"/>
      <c r="AU822" s="441"/>
      <c r="AV822" s="441"/>
      <c r="AW822" s="441"/>
      <c r="AX822" s="441"/>
      <c r="AY822" s="441"/>
      <c r="AZ822" s="441"/>
      <c r="BA822" s="441"/>
    </row>
    <row r="823">
      <c r="A823" s="441"/>
      <c r="B823" s="441"/>
      <c r="C823" s="441"/>
      <c r="D823" s="441"/>
      <c r="E823" s="441"/>
      <c r="F823" s="441"/>
      <c r="G823" s="441"/>
      <c r="H823" s="441"/>
      <c r="I823" s="441"/>
      <c r="J823" s="441"/>
      <c r="K823" s="441"/>
      <c r="L823" s="441"/>
      <c r="M823" s="441"/>
      <c r="N823" s="441"/>
      <c r="O823" s="441"/>
      <c r="P823" s="441"/>
      <c r="Q823" s="441"/>
      <c r="R823" s="441"/>
      <c r="S823" s="441"/>
      <c r="T823" s="441"/>
      <c r="U823" s="441"/>
      <c r="V823" s="441"/>
      <c r="W823" s="441"/>
      <c r="X823" s="441"/>
      <c r="Y823" s="441"/>
      <c r="Z823" s="441"/>
      <c r="AA823" s="441"/>
      <c r="AB823" s="441"/>
      <c r="AC823" s="441"/>
      <c r="AD823" s="441"/>
      <c r="AE823" s="441"/>
      <c r="AF823" s="441"/>
      <c r="AG823" s="441"/>
      <c r="AH823" s="441"/>
      <c r="AI823" s="441"/>
      <c r="AJ823" s="441"/>
      <c r="AK823" s="441"/>
      <c r="AL823" s="441"/>
      <c r="AM823" s="441"/>
      <c r="AN823" s="441"/>
      <c r="AO823" s="441"/>
      <c r="AP823" s="441"/>
      <c r="AQ823" s="441"/>
      <c r="AR823" s="441"/>
      <c r="AS823" s="441"/>
      <c r="AT823" s="441"/>
      <c r="AU823" s="441"/>
      <c r="AV823" s="441"/>
      <c r="AW823" s="441"/>
      <c r="AX823" s="441"/>
      <c r="AY823" s="441"/>
      <c r="AZ823" s="441"/>
      <c r="BA823" s="441"/>
    </row>
    <row r="824">
      <c r="A824" s="441"/>
      <c r="B824" s="441"/>
      <c r="C824" s="441"/>
      <c r="D824" s="441"/>
      <c r="E824" s="441"/>
      <c r="F824" s="441"/>
      <c r="G824" s="441"/>
      <c r="H824" s="441"/>
      <c r="I824" s="441"/>
      <c r="J824" s="441"/>
      <c r="K824" s="441"/>
      <c r="L824" s="441"/>
      <c r="M824" s="441"/>
      <c r="N824" s="441"/>
      <c r="O824" s="441"/>
      <c r="P824" s="441"/>
      <c r="Q824" s="441"/>
      <c r="R824" s="441"/>
      <c r="S824" s="441"/>
      <c r="T824" s="441"/>
      <c r="U824" s="441"/>
      <c r="V824" s="441"/>
      <c r="W824" s="441"/>
      <c r="X824" s="441"/>
      <c r="Y824" s="441"/>
      <c r="Z824" s="441"/>
      <c r="AA824" s="441"/>
      <c r="AB824" s="441"/>
      <c r="AC824" s="441"/>
      <c r="AD824" s="441"/>
      <c r="AE824" s="441"/>
      <c r="AF824" s="441"/>
      <c r="AG824" s="441"/>
      <c r="AH824" s="441"/>
      <c r="AI824" s="441"/>
      <c r="AJ824" s="441"/>
      <c r="AK824" s="441"/>
      <c r="AL824" s="441"/>
      <c r="AM824" s="441"/>
      <c r="AN824" s="441"/>
      <c r="AO824" s="441"/>
      <c r="AP824" s="441"/>
      <c r="AQ824" s="441"/>
      <c r="AR824" s="441"/>
      <c r="AS824" s="441"/>
      <c r="AT824" s="441"/>
      <c r="AU824" s="441"/>
      <c r="AV824" s="441"/>
      <c r="AW824" s="441"/>
      <c r="AX824" s="441"/>
      <c r="AY824" s="441"/>
      <c r="AZ824" s="441"/>
      <c r="BA824" s="441"/>
    </row>
    <row r="825">
      <c r="A825" s="441"/>
      <c r="B825" s="441"/>
      <c r="C825" s="441"/>
      <c r="D825" s="441"/>
      <c r="E825" s="441"/>
      <c r="F825" s="441"/>
      <c r="G825" s="441"/>
      <c r="H825" s="441"/>
      <c r="I825" s="441"/>
      <c r="J825" s="441"/>
      <c r="K825" s="441"/>
      <c r="L825" s="441"/>
      <c r="M825" s="441"/>
      <c r="N825" s="441"/>
      <c r="O825" s="441"/>
      <c r="P825" s="441"/>
      <c r="Q825" s="441"/>
      <c r="R825" s="441"/>
      <c r="S825" s="441"/>
      <c r="T825" s="441"/>
      <c r="U825" s="441"/>
      <c r="V825" s="441"/>
      <c r="W825" s="441"/>
      <c r="X825" s="441"/>
      <c r="Y825" s="441"/>
      <c r="Z825" s="441"/>
      <c r="AA825" s="441"/>
      <c r="AB825" s="441"/>
      <c r="AC825" s="441"/>
      <c r="AD825" s="441"/>
      <c r="AE825" s="441"/>
      <c r="AF825" s="441"/>
      <c r="AG825" s="441"/>
      <c r="AH825" s="441"/>
      <c r="AI825" s="441"/>
      <c r="AJ825" s="441"/>
      <c r="AK825" s="441"/>
      <c r="AL825" s="441"/>
      <c r="AM825" s="441"/>
      <c r="AN825" s="441"/>
      <c r="AO825" s="441"/>
      <c r="AP825" s="441"/>
      <c r="AQ825" s="441"/>
      <c r="AR825" s="441"/>
      <c r="AS825" s="441"/>
      <c r="AT825" s="441"/>
      <c r="AU825" s="441"/>
      <c r="AV825" s="441"/>
      <c r="AW825" s="441"/>
      <c r="AX825" s="441"/>
      <c r="AY825" s="441"/>
      <c r="AZ825" s="441"/>
      <c r="BA825" s="441"/>
    </row>
    <row r="826">
      <c r="A826" s="441"/>
      <c r="B826" s="441"/>
      <c r="C826" s="441"/>
      <c r="D826" s="441"/>
      <c r="E826" s="441"/>
      <c r="F826" s="441"/>
      <c r="G826" s="441"/>
      <c r="H826" s="441"/>
      <c r="I826" s="441"/>
      <c r="J826" s="441"/>
      <c r="K826" s="441"/>
      <c r="L826" s="441"/>
      <c r="M826" s="441"/>
      <c r="N826" s="441"/>
      <c r="O826" s="441"/>
      <c r="P826" s="441"/>
      <c r="Q826" s="441"/>
      <c r="R826" s="441"/>
      <c r="S826" s="441"/>
      <c r="T826" s="441"/>
      <c r="U826" s="441"/>
      <c r="V826" s="441"/>
      <c r="W826" s="441"/>
      <c r="X826" s="441"/>
      <c r="Y826" s="441"/>
      <c r="Z826" s="441"/>
      <c r="AA826" s="441"/>
      <c r="AB826" s="441"/>
      <c r="AC826" s="441"/>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1"/>
      <c r="AY826" s="441"/>
      <c r="AZ826" s="441"/>
      <c r="BA826" s="441"/>
    </row>
    <row r="827">
      <c r="A827" s="441"/>
      <c r="B827" s="441"/>
      <c r="C827" s="441"/>
      <c r="D827" s="441"/>
      <c r="E827" s="441"/>
      <c r="F827" s="441"/>
      <c r="G827" s="441"/>
      <c r="H827" s="441"/>
      <c r="I827" s="441"/>
      <c r="J827" s="441"/>
      <c r="K827" s="441"/>
      <c r="L827" s="441"/>
      <c r="M827" s="441"/>
      <c r="N827" s="441"/>
      <c r="O827" s="441"/>
      <c r="P827" s="441"/>
      <c r="Q827" s="441"/>
      <c r="R827" s="441"/>
      <c r="S827" s="441"/>
      <c r="T827" s="441"/>
      <c r="U827" s="441"/>
      <c r="V827" s="441"/>
      <c r="W827" s="441"/>
      <c r="X827" s="441"/>
      <c r="Y827" s="441"/>
      <c r="Z827" s="441"/>
      <c r="AA827" s="441"/>
      <c r="AB827" s="441"/>
      <c r="AC827" s="441"/>
      <c r="AD827" s="441"/>
      <c r="AE827" s="441"/>
      <c r="AF827" s="441"/>
      <c r="AG827" s="441"/>
      <c r="AH827" s="441"/>
      <c r="AI827" s="441"/>
      <c r="AJ827" s="441"/>
      <c r="AK827" s="441"/>
      <c r="AL827" s="441"/>
      <c r="AM827" s="441"/>
      <c r="AN827" s="441"/>
      <c r="AO827" s="441"/>
      <c r="AP827" s="441"/>
      <c r="AQ827" s="441"/>
      <c r="AR827" s="441"/>
      <c r="AS827" s="441"/>
      <c r="AT827" s="441"/>
      <c r="AU827" s="441"/>
      <c r="AV827" s="441"/>
      <c r="AW827" s="441"/>
      <c r="AX827" s="441"/>
      <c r="AY827" s="441"/>
      <c r="AZ827" s="441"/>
      <c r="BA827" s="441"/>
    </row>
    <row r="828">
      <c r="A828" s="441"/>
      <c r="B828" s="441"/>
      <c r="C828" s="441"/>
      <c r="D828" s="441"/>
      <c r="E828" s="441"/>
      <c r="F828" s="441"/>
      <c r="G828" s="441"/>
      <c r="H828" s="441"/>
      <c r="I828" s="441"/>
      <c r="J828" s="441"/>
      <c r="K828" s="441"/>
      <c r="L828" s="441"/>
      <c r="M828" s="441"/>
      <c r="N828" s="441"/>
      <c r="O828" s="441"/>
      <c r="P828" s="441"/>
      <c r="Q828" s="441"/>
      <c r="R828" s="441"/>
      <c r="S828" s="441"/>
      <c r="T828" s="441"/>
      <c r="U828" s="441"/>
      <c r="V828" s="441"/>
      <c r="W828" s="441"/>
      <c r="X828" s="441"/>
      <c r="Y828" s="441"/>
      <c r="Z828" s="441"/>
      <c r="AA828" s="441"/>
      <c r="AB828" s="441"/>
      <c r="AC828" s="441"/>
      <c r="AD828" s="441"/>
      <c r="AE828" s="441"/>
      <c r="AF828" s="441"/>
      <c r="AG828" s="441"/>
      <c r="AH828" s="441"/>
      <c r="AI828" s="441"/>
      <c r="AJ828" s="441"/>
      <c r="AK828" s="441"/>
      <c r="AL828" s="441"/>
      <c r="AM828" s="441"/>
      <c r="AN828" s="441"/>
      <c r="AO828" s="441"/>
      <c r="AP828" s="441"/>
      <c r="AQ828" s="441"/>
      <c r="AR828" s="441"/>
      <c r="AS828" s="441"/>
      <c r="AT828" s="441"/>
      <c r="AU828" s="441"/>
      <c r="AV828" s="441"/>
      <c r="AW828" s="441"/>
      <c r="AX828" s="441"/>
      <c r="AY828" s="441"/>
      <c r="AZ828" s="441"/>
      <c r="BA828" s="441"/>
    </row>
    <row r="829">
      <c r="A829" s="441"/>
      <c r="B829" s="441"/>
      <c r="C829" s="441"/>
      <c r="D829" s="441"/>
      <c r="E829" s="441"/>
      <c r="F829" s="441"/>
      <c r="G829" s="441"/>
      <c r="H829" s="441"/>
      <c r="I829" s="441"/>
      <c r="J829" s="441"/>
      <c r="K829" s="441"/>
      <c r="L829" s="441"/>
      <c r="M829" s="441"/>
      <c r="N829" s="441"/>
      <c r="O829" s="441"/>
      <c r="P829" s="441"/>
      <c r="Q829" s="441"/>
      <c r="R829" s="441"/>
      <c r="S829" s="441"/>
      <c r="T829" s="441"/>
      <c r="U829" s="441"/>
      <c r="V829" s="441"/>
      <c r="W829" s="441"/>
      <c r="X829" s="441"/>
      <c r="Y829" s="441"/>
      <c r="Z829" s="441"/>
      <c r="AA829" s="441"/>
      <c r="AB829" s="441"/>
      <c r="AC829" s="441"/>
      <c r="AD829" s="441"/>
      <c r="AE829" s="441"/>
      <c r="AF829" s="441"/>
      <c r="AG829" s="441"/>
      <c r="AH829" s="441"/>
      <c r="AI829" s="441"/>
      <c r="AJ829" s="441"/>
      <c r="AK829" s="441"/>
      <c r="AL829" s="441"/>
      <c r="AM829" s="441"/>
      <c r="AN829" s="441"/>
      <c r="AO829" s="441"/>
      <c r="AP829" s="441"/>
      <c r="AQ829" s="441"/>
      <c r="AR829" s="441"/>
      <c r="AS829" s="441"/>
      <c r="AT829" s="441"/>
      <c r="AU829" s="441"/>
      <c r="AV829" s="441"/>
      <c r="AW829" s="441"/>
      <c r="AX829" s="441"/>
      <c r="AY829" s="441"/>
      <c r="AZ829" s="441"/>
      <c r="BA829" s="441"/>
    </row>
    <row r="830">
      <c r="A830" s="441"/>
      <c r="B830" s="441"/>
      <c r="C830" s="441"/>
      <c r="D830" s="441"/>
      <c r="E830" s="441"/>
      <c r="F830" s="441"/>
      <c r="G830" s="441"/>
      <c r="H830" s="441"/>
      <c r="I830" s="441"/>
      <c r="J830" s="441"/>
      <c r="K830" s="441"/>
      <c r="L830" s="441"/>
      <c r="M830" s="441"/>
      <c r="N830" s="441"/>
      <c r="O830" s="441"/>
      <c r="P830" s="441"/>
      <c r="Q830" s="441"/>
      <c r="R830" s="441"/>
      <c r="S830" s="441"/>
      <c r="T830" s="441"/>
      <c r="U830" s="441"/>
      <c r="V830" s="441"/>
      <c r="W830" s="441"/>
      <c r="X830" s="441"/>
      <c r="Y830" s="441"/>
      <c r="Z830" s="441"/>
      <c r="AA830" s="441"/>
      <c r="AB830" s="441"/>
      <c r="AC830" s="441"/>
      <c r="AD830" s="441"/>
      <c r="AE830" s="441"/>
      <c r="AF830" s="441"/>
      <c r="AG830" s="441"/>
      <c r="AH830" s="441"/>
      <c r="AI830" s="441"/>
      <c r="AJ830" s="441"/>
      <c r="AK830" s="441"/>
      <c r="AL830" s="441"/>
      <c r="AM830" s="441"/>
      <c r="AN830" s="441"/>
      <c r="AO830" s="441"/>
      <c r="AP830" s="441"/>
      <c r="AQ830" s="441"/>
      <c r="AR830" s="441"/>
      <c r="AS830" s="441"/>
      <c r="AT830" s="441"/>
      <c r="AU830" s="441"/>
      <c r="AV830" s="441"/>
      <c r="AW830" s="441"/>
      <c r="AX830" s="441"/>
      <c r="AY830" s="441"/>
      <c r="AZ830" s="441"/>
      <c r="BA830" s="441"/>
    </row>
    <row r="831">
      <c r="A831" s="441"/>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1"/>
      <c r="AL831" s="441"/>
      <c r="AM831" s="441"/>
      <c r="AN831" s="441"/>
      <c r="AO831" s="441"/>
      <c r="AP831" s="441"/>
      <c r="AQ831" s="441"/>
      <c r="AR831" s="441"/>
      <c r="AS831" s="441"/>
      <c r="AT831" s="441"/>
      <c r="AU831" s="441"/>
      <c r="AV831" s="441"/>
      <c r="AW831" s="441"/>
      <c r="AX831" s="441"/>
      <c r="AY831" s="441"/>
      <c r="AZ831" s="441"/>
      <c r="BA831" s="441"/>
    </row>
    <row r="832">
      <c r="A832" s="441"/>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1"/>
      <c r="AL832" s="441"/>
      <c r="AM832" s="441"/>
      <c r="AN832" s="441"/>
      <c r="AO832" s="441"/>
      <c r="AP832" s="441"/>
      <c r="AQ832" s="441"/>
      <c r="AR832" s="441"/>
      <c r="AS832" s="441"/>
      <c r="AT832" s="441"/>
      <c r="AU832" s="441"/>
      <c r="AV832" s="441"/>
      <c r="AW832" s="441"/>
      <c r="AX832" s="441"/>
      <c r="AY832" s="441"/>
      <c r="AZ832" s="441"/>
      <c r="BA832" s="441"/>
    </row>
    <row r="833">
      <c r="A833" s="441"/>
      <c r="B833" s="441"/>
      <c r="C833" s="441"/>
      <c r="D833" s="441"/>
      <c r="E833" s="441"/>
      <c r="F833" s="441"/>
      <c r="G833" s="441"/>
      <c r="H833" s="441"/>
      <c r="I833" s="441"/>
      <c r="J833" s="441"/>
      <c r="K833" s="441"/>
      <c r="L833" s="441"/>
      <c r="M833" s="441"/>
      <c r="N833" s="441"/>
      <c r="O833" s="441"/>
      <c r="P833" s="441"/>
      <c r="Q833" s="441"/>
      <c r="R833" s="441"/>
      <c r="S833" s="441"/>
      <c r="T833" s="441"/>
      <c r="U833" s="441"/>
      <c r="V833" s="441"/>
      <c r="W833" s="441"/>
      <c r="X833" s="441"/>
      <c r="Y833" s="441"/>
      <c r="Z833" s="441"/>
      <c r="AA833" s="441"/>
      <c r="AB833" s="441"/>
      <c r="AC833" s="441"/>
      <c r="AD833" s="441"/>
      <c r="AE833" s="441"/>
      <c r="AF833" s="441"/>
      <c r="AG833" s="441"/>
      <c r="AH833" s="441"/>
      <c r="AI833" s="441"/>
      <c r="AJ833" s="441"/>
      <c r="AK833" s="441"/>
      <c r="AL833" s="441"/>
      <c r="AM833" s="441"/>
      <c r="AN833" s="441"/>
      <c r="AO833" s="441"/>
      <c r="AP833" s="441"/>
      <c r="AQ833" s="441"/>
      <c r="AR833" s="441"/>
      <c r="AS833" s="441"/>
      <c r="AT833" s="441"/>
      <c r="AU833" s="441"/>
      <c r="AV833" s="441"/>
      <c r="AW833" s="441"/>
      <c r="AX833" s="441"/>
      <c r="AY833" s="441"/>
      <c r="AZ833" s="441"/>
      <c r="BA833" s="441"/>
    </row>
    <row r="834">
      <c r="A834" s="441"/>
      <c r="B834" s="441"/>
      <c r="C834" s="441"/>
      <c r="D834" s="441"/>
      <c r="E834" s="441"/>
      <c r="F834" s="441"/>
      <c r="G834" s="441"/>
      <c r="H834" s="441"/>
      <c r="I834" s="441"/>
      <c r="J834" s="441"/>
      <c r="K834" s="441"/>
      <c r="L834" s="441"/>
      <c r="M834" s="441"/>
      <c r="N834" s="441"/>
      <c r="O834" s="441"/>
      <c r="P834" s="441"/>
      <c r="Q834" s="441"/>
      <c r="R834" s="441"/>
      <c r="S834" s="441"/>
      <c r="T834" s="441"/>
      <c r="U834" s="441"/>
      <c r="V834" s="441"/>
      <c r="W834" s="441"/>
      <c r="X834" s="441"/>
      <c r="Y834" s="441"/>
      <c r="Z834" s="441"/>
      <c r="AA834" s="441"/>
      <c r="AB834" s="441"/>
      <c r="AC834" s="441"/>
      <c r="AD834" s="441"/>
      <c r="AE834" s="441"/>
      <c r="AF834" s="441"/>
      <c r="AG834" s="441"/>
      <c r="AH834" s="441"/>
      <c r="AI834" s="441"/>
      <c r="AJ834" s="441"/>
      <c r="AK834" s="441"/>
      <c r="AL834" s="441"/>
      <c r="AM834" s="441"/>
      <c r="AN834" s="441"/>
      <c r="AO834" s="441"/>
      <c r="AP834" s="441"/>
      <c r="AQ834" s="441"/>
      <c r="AR834" s="441"/>
      <c r="AS834" s="441"/>
      <c r="AT834" s="441"/>
      <c r="AU834" s="441"/>
      <c r="AV834" s="441"/>
      <c r="AW834" s="441"/>
      <c r="AX834" s="441"/>
      <c r="AY834" s="441"/>
      <c r="AZ834" s="441"/>
      <c r="BA834" s="441"/>
    </row>
    <row r="835">
      <c r="A835" s="441"/>
      <c r="B835" s="441"/>
      <c r="C835" s="441"/>
      <c r="D835" s="441"/>
      <c r="E835" s="441"/>
      <c r="F835" s="441"/>
      <c r="G835" s="441"/>
      <c r="H835" s="441"/>
      <c r="I835" s="441"/>
      <c r="J835" s="441"/>
      <c r="K835" s="441"/>
      <c r="L835" s="441"/>
      <c r="M835" s="441"/>
      <c r="N835" s="441"/>
      <c r="O835" s="441"/>
      <c r="P835" s="441"/>
      <c r="Q835" s="441"/>
      <c r="R835" s="441"/>
      <c r="S835" s="441"/>
      <c r="T835" s="441"/>
      <c r="U835" s="441"/>
      <c r="V835" s="441"/>
      <c r="W835" s="441"/>
      <c r="X835" s="441"/>
      <c r="Y835" s="441"/>
      <c r="Z835" s="441"/>
      <c r="AA835" s="441"/>
      <c r="AB835" s="441"/>
      <c r="AC835" s="441"/>
      <c r="AD835" s="441"/>
      <c r="AE835" s="441"/>
      <c r="AF835" s="441"/>
      <c r="AG835" s="441"/>
      <c r="AH835" s="441"/>
      <c r="AI835" s="441"/>
      <c r="AJ835" s="441"/>
      <c r="AK835" s="441"/>
      <c r="AL835" s="441"/>
      <c r="AM835" s="441"/>
      <c r="AN835" s="441"/>
      <c r="AO835" s="441"/>
      <c r="AP835" s="441"/>
      <c r="AQ835" s="441"/>
      <c r="AR835" s="441"/>
      <c r="AS835" s="441"/>
      <c r="AT835" s="441"/>
      <c r="AU835" s="441"/>
      <c r="AV835" s="441"/>
      <c r="AW835" s="441"/>
      <c r="AX835" s="441"/>
      <c r="AY835" s="441"/>
      <c r="AZ835" s="441"/>
      <c r="BA835" s="441"/>
    </row>
    <row r="836">
      <c r="A836" s="441"/>
      <c r="B836" s="441"/>
      <c r="C836" s="441"/>
      <c r="D836" s="441"/>
      <c r="E836" s="441"/>
      <c r="F836" s="441"/>
      <c r="G836" s="441"/>
      <c r="H836" s="441"/>
      <c r="I836" s="441"/>
      <c r="J836" s="441"/>
      <c r="K836" s="441"/>
      <c r="L836" s="441"/>
      <c r="M836" s="441"/>
      <c r="N836" s="441"/>
      <c r="O836" s="441"/>
      <c r="P836" s="441"/>
      <c r="Q836" s="441"/>
      <c r="R836" s="441"/>
      <c r="S836" s="441"/>
      <c r="T836" s="441"/>
      <c r="U836" s="441"/>
      <c r="V836" s="441"/>
      <c r="W836" s="441"/>
      <c r="X836" s="441"/>
      <c r="Y836" s="441"/>
      <c r="Z836" s="441"/>
      <c r="AA836" s="441"/>
      <c r="AB836" s="441"/>
      <c r="AC836" s="441"/>
      <c r="AD836" s="441"/>
      <c r="AE836" s="441"/>
      <c r="AF836" s="441"/>
      <c r="AG836" s="441"/>
      <c r="AH836" s="441"/>
      <c r="AI836" s="441"/>
      <c r="AJ836" s="441"/>
      <c r="AK836" s="441"/>
      <c r="AL836" s="441"/>
      <c r="AM836" s="441"/>
      <c r="AN836" s="441"/>
      <c r="AO836" s="441"/>
      <c r="AP836" s="441"/>
      <c r="AQ836" s="441"/>
      <c r="AR836" s="441"/>
      <c r="AS836" s="441"/>
      <c r="AT836" s="441"/>
      <c r="AU836" s="441"/>
      <c r="AV836" s="441"/>
      <c r="AW836" s="441"/>
      <c r="AX836" s="441"/>
      <c r="AY836" s="441"/>
      <c r="AZ836" s="441"/>
      <c r="BA836" s="441"/>
    </row>
    <row r="837">
      <c r="A837" s="441"/>
      <c r="B837" s="441"/>
      <c r="C837" s="441"/>
      <c r="D837" s="441"/>
      <c r="E837" s="441"/>
      <c r="F837" s="441"/>
      <c r="G837" s="441"/>
      <c r="H837" s="441"/>
      <c r="I837" s="441"/>
      <c r="J837" s="441"/>
      <c r="K837" s="441"/>
      <c r="L837" s="441"/>
      <c r="M837" s="441"/>
      <c r="N837" s="441"/>
      <c r="O837" s="441"/>
      <c r="P837" s="441"/>
      <c r="Q837" s="441"/>
      <c r="R837" s="441"/>
      <c r="S837" s="441"/>
      <c r="T837" s="441"/>
      <c r="U837" s="441"/>
      <c r="V837" s="441"/>
      <c r="W837" s="441"/>
      <c r="X837" s="441"/>
      <c r="Y837" s="441"/>
      <c r="Z837" s="441"/>
      <c r="AA837" s="441"/>
      <c r="AB837" s="441"/>
      <c r="AC837" s="441"/>
      <c r="AD837" s="441"/>
      <c r="AE837" s="441"/>
      <c r="AF837" s="441"/>
      <c r="AG837" s="441"/>
      <c r="AH837" s="441"/>
      <c r="AI837" s="441"/>
      <c r="AJ837" s="441"/>
      <c r="AK837" s="441"/>
      <c r="AL837" s="441"/>
      <c r="AM837" s="441"/>
      <c r="AN837" s="441"/>
      <c r="AO837" s="441"/>
      <c r="AP837" s="441"/>
      <c r="AQ837" s="441"/>
      <c r="AR837" s="441"/>
      <c r="AS837" s="441"/>
      <c r="AT837" s="441"/>
      <c r="AU837" s="441"/>
      <c r="AV837" s="441"/>
      <c r="AW837" s="441"/>
      <c r="AX837" s="441"/>
      <c r="AY837" s="441"/>
      <c r="AZ837" s="441"/>
      <c r="BA837" s="441"/>
    </row>
    <row r="838">
      <c r="A838" s="441"/>
      <c r="B838" s="441"/>
      <c r="C838" s="441"/>
      <c r="D838" s="441"/>
      <c r="E838" s="441"/>
      <c r="F838" s="441"/>
      <c r="G838" s="441"/>
      <c r="H838" s="441"/>
      <c r="I838" s="441"/>
      <c r="J838" s="441"/>
      <c r="K838" s="441"/>
      <c r="L838" s="441"/>
      <c r="M838" s="441"/>
      <c r="N838" s="441"/>
      <c r="O838" s="441"/>
      <c r="P838" s="441"/>
      <c r="Q838" s="441"/>
      <c r="R838" s="441"/>
      <c r="S838" s="441"/>
      <c r="T838" s="441"/>
      <c r="U838" s="441"/>
      <c r="V838" s="441"/>
      <c r="W838" s="441"/>
      <c r="X838" s="441"/>
      <c r="Y838" s="441"/>
      <c r="Z838" s="441"/>
      <c r="AA838" s="441"/>
      <c r="AB838" s="441"/>
      <c r="AC838" s="441"/>
      <c r="AD838" s="441"/>
      <c r="AE838" s="441"/>
      <c r="AF838" s="441"/>
      <c r="AG838" s="441"/>
      <c r="AH838" s="441"/>
      <c r="AI838" s="441"/>
      <c r="AJ838" s="441"/>
      <c r="AK838" s="441"/>
      <c r="AL838" s="441"/>
      <c r="AM838" s="441"/>
      <c r="AN838" s="441"/>
      <c r="AO838" s="441"/>
      <c r="AP838" s="441"/>
      <c r="AQ838" s="441"/>
      <c r="AR838" s="441"/>
      <c r="AS838" s="441"/>
      <c r="AT838" s="441"/>
      <c r="AU838" s="441"/>
      <c r="AV838" s="441"/>
      <c r="AW838" s="441"/>
      <c r="AX838" s="441"/>
      <c r="AY838" s="441"/>
      <c r="AZ838" s="441"/>
      <c r="BA838" s="441"/>
    </row>
    <row r="839">
      <c r="A839" s="441"/>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1"/>
      <c r="AL839" s="441"/>
      <c r="AM839" s="441"/>
      <c r="AN839" s="441"/>
      <c r="AO839" s="441"/>
      <c r="AP839" s="441"/>
      <c r="AQ839" s="441"/>
      <c r="AR839" s="441"/>
      <c r="AS839" s="441"/>
      <c r="AT839" s="441"/>
      <c r="AU839" s="441"/>
      <c r="AV839" s="441"/>
      <c r="AW839" s="441"/>
      <c r="AX839" s="441"/>
      <c r="AY839" s="441"/>
      <c r="AZ839" s="441"/>
      <c r="BA839" s="441"/>
    </row>
    <row r="840">
      <c r="A840" s="441"/>
      <c r="B840" s="441"/>
      <c r="C840" s="441"/>
      <c r="D840" s="441"/>
      <c r="E840" s="441"/>
      <c r="F840" s="441"/>
      <c r="G840" s="441"/>
      <c r="H840" s="441"/>
      <c r="I840" s="441"/>
      <c r="J840" s="441"/>
      <c r="K840" s="441"/>
      <c r="L840" s="441"/>
      <c r="M840" s="441"/>
      <c r="N840" s="441"/>
      <c r="O840" s="441"/>
      <c r="P840" s="441"/>
      <c r="Q840" s="441"/>
      <c r="R840" s="441"/>
      <c r="S840" s="441"/>
      <c r="T840" s="441"/>
      <c r="U840" s="441"/>
      <c r="V840" s="441"/>
      <c r="W840" s="441"/>
      <c r="X840" s="441"/>
      <c r="Y840" s="441"/>
      <c r="Z840" s="441"/>
      <c r="AA840" s="441"/>
      <c r="AB840" s="441"/>
      <c r="AC840" s="441"/>
      <c r="AD840" s="441"/>
      <c r="AE840" s="441"/>
      <c r="AF840" s="441"/>
      <c r="AG840" s="441"/>
      <c r="AH840" s="441"/>
      <c r="AI840" s="441"/>
      <c r="AJ840" s="441"/>
      <c r="AK840" s="441"/>
      <c r="AL840" s="441"/>
      <c r="AM840" s="441"/>
      <c r="AN840" s="441"/>
      <c r="AO840" s="441"/>
      <c r="AP840" s="441"/>
      <c r="AQ840" s="441"/>
      <c r="AR840" s="441"/>
      <c r="AS840" s="441"/>
      <c r="AT840" s="441"/>
      <c r="AU840" s="441"/>
      <c r="AV840" s="441"/>
      <c r="AW840" s="441"/>
      <c r="AX840" s="441"/>
      <c r="AY840" s="441"/>
      <c r="AZ840" s="441"/>
      <c r="BA840" s="441"/>
    </row>
    <row r="841">
      <c r="A841" s="441"/>
      <c r="B841" s="441"/>
      <c r="C841" s="441"/>
      <c r="D841" s="441"/>
      <c r="E841" s="441"/>
      <c r="F841" s="441"/>
      <c r="G841" s="441"/>
      <c r="H841" s="441"/>
      <c r="I841" s="441"/>
      <c r="J841" s="441"/>
      <c r="K841" s="441"/>
      <c r="L841" s="441"/>
      <c r="M841" s="441"/>
      <c r="N841" s="441"/>
      <c r="O841" s="441"/>
      <c r="P841" s="441"/>
      <c r="Q841" s="441"/>
      <c r="R841" s="441"/>
      <c r="S841" s="441"/>
      <c r="T841" s="441"/>
      <c r="U841" s="441"/>
      <c r="V841" s="441"/>
      <c r="W841" s="441"/>
      <c r="X841" s="441"/>
      <c r="Y841" s="441"/>
      <c r="Z841" s="441"/>
      <c r="AA841" s="441"/>
      <c r="AB841" s="441"/>
      <c r="AC841" s="441"/>
      <c r="AD841" s="441"/>
      <c r="AE841" s="441"/>
      <c r="AF841" s="441"/>
      <c r="AG841" s="441"/>
      <c r="AH841" s="441"/>
      <c r="AI841" s="441"/>
      <c r="AJ841" s="441"/>
      <c r="AK841" s="441"/>
      <c r="AL841" s="441"/>
      <c r="AM841" s="441"/>
      <c r="AN841" s="441"/>
      <c r="AO841" s="441"/>
      <c r="AP841" s="441"/>
      <c r="AQ841" s="441"/>
      <c r="AR841" s="441"/>
      <c r="AS841" s="441"/>
      <c r="AT841" s="441"/>
      <c r="AU841" s="441"/>
      <c r="AV841" s="441"/>
      <c r="AW841" s="441"/>
      <c r="AX841" s="441"/>
      <c r="AY841" s="441"/>
      <c r="AZ841" s="441"/>
      <c r="BA841" s="441"/>
    </row>
    <row r="842">
      <c r="A842" s="441"/>
      <c r="B842" s="441"/>
      <c r="C842" s="441"/>
      <c r="D842" s="441"/>
      <c r="E842" s="441"/>
      <c r="F842" s="441"/>
      <c r="G842" s="441"/>
      <c r="H842" s="441"/>
      <c r="I842" s="441"/>
      <c r="J842" s="441"/>
      <c r="K842" s="441"/>
      <c r="L842" s="441"/>
      <c r="M842" s="441"/>
      <c r="N842" s="441"/>
      <c r="O842" s="441"/>
      <c r="P842" s="441"/>
      <c r="Q842" s="441"/>
      <c r="R842" s="441"/>
      <c r="S842" s="441"/>
      <c r="T842" s="441"/>
      <c r="U842" s="441"/>
      <c r="V842" s="441"/>
      <c r="W842" s="441"/>
      <c r="X842" s="441"/>
      <c r="Y842" s="441"/>
      <c r="Z842" s="441"/>
      <c r="AA842" s="441"/>
      <c r="AB842" s="441"/>
      <c r="AC842" s="441"/>
      <c r="AD842" s="441"/>
      <c r="AE842" s="441"/>
      <c r="AF842" s="441"/>
      <c r="AG842" s="441"/>
      <c r="AH842" s="441"/>
      <c r="AI842" s="441"/>
      <c r="AJ842" s="441"/>
      <c r="AK842" s="441"/>
      <c r="AL842" s="441"/>
      <c r="AM842" s="441"/>
      <c r="AN842" s="441"/>
      <c r="AO842" s="441"/>
      <c r="AP842" s="441"/>
      <c r="AQ842" s="441"/>
      <c r="AR842" s="441"/>
      <c r="AS842" s="441"/>
      <c r="AT842" s="441"/>
      <c r="AU842" s="441"/>
      <c r="AV842" s="441"/>
      <c r="AW842" s="441"/>
      <c r="AX842" s="441"/>
      <c r="AY842" s="441"/>
      <c r="AZ842" s="441"/>
      <c r="BA842" s="441"/>
    </row>
    <row r="843">
      <c r="A843" s="441"/>
      <c r="B843" s="441"/>
      <c r="C843" s="441"/>
      <c r="D843" s="441"/>
      <c r="E843" s="441"/>
      <c r="F843" s="441"/>
      <c r="G843" s="441"/>
      <c r="H843" s="441"/>
      <c r="I843" s="441"/>
      <c r="J843" s="441"/>
      <c r="K843" s="441"/>
      <c r="L843" s="441"/>
      <c r="M843" s="441"/>
      <c r="N843" s="441"/>
      <c r="O843" s="441"/>
      <c r="P843" s="441"/>
      <c r="Q843" s="441"/>
      <c r="R843" s="441"/>
      <c r="S843" s="441"/>
      <c r="T843" s="441"/>
      <c r="U843" s="441"/>
      <c r="V843" s="441"/>
      <c r="W843" s="441"/>
      <c r="X843" s="441"/>
      <c r="Y843" s="441"/>
      <c r="Z843" s="441"/>
      <c r="AA843" s="441"/>
      <c r="AB843" s="441"/>
      <c r="AC843" s="441"/>
      <c r="AD843" s="441"/>
      <c r="AE843" s="441"/>
      <c r="AF843" s="441"/>
      <c r="AG843" s="441"/>
      <c r="AH843" s="441"/>
      <c r="AI843" s="441"/>
      <c r="AJ843" s="441"/>
      <c r="AK843" s="441"/>
      <c r="AL843" s="441"/>
      <c r="AM843" s="441"/>
      <c r="AN843" s="441"/>
      <c r="AO843" s="441"/>
      <c r="AP843" s="441"/>
      <c r="AQ843" s="441"/>
      <c r="AR843" s="441"/>
      <c r="AS843" s="441"/>
      <c r="AT843" s="441"/>
      <c r="AU843" s="441"/>
      <c r="AV843" s="441"/>
      <c r="AW843" s="441"/>
      <c r="AX843" s="441"/>
      <c r="AY843" s="441"/>
      <c r="AZ843" s="441"/>
      <c r="BA843" s="441"/>
    </row>
    <row r="844">
      <c r="A844" s="441"/>
      <c r="B844" s="441"/>
      <c r="C844" s="441"/>
      <c r="D844" s="441"/>
      <c r="E844" s="441"/>
      <c r="F844" s="441"/>
      <c r="G844" s="441"/>
      <c r="H844" s="441"/>
      <c r="I844" s="441"/>
      <c r="J844" s="441"/>
      <c r="K844" s="441"/>
      <c r="L844" s="441"/>
      <c r="M844" s="441"/>
      <c r="N844" s="441"/>
      <c r="O844" s="441"/>
      <c r="P844" s="441"/>
      <c r="Q844" s="441"/>
      <c r="R844" s="441"/>
      <c r="S844" s="441"/>
      <c r="T844" s="441"/>
      <c r="U844" s="441"/>
      <c r="V844" s="441"/>
      <c r="W844" s="441"/>
      <c r="X844" s="441"/>
      <c r="Y844" s="441"/>
      <c r="Z844" s="441"/>
      <c r="AA844" s="441"/>
      <c r="AB844" s="441"/>
      <c r="AC844" s="441"/>
      <c r="AD844" s="441"/>
      <c r="AE844" s="441"/>
      <c r="AF844" s="441"/>
      <c r="AG844" s="441"/>
      <c r="AH844" s="441"/>
      <c r="AI844" s="441"/>
      <c r="AJ844" s="441"/>
      <c r="AK844" s="441"/>
      <c r="AL844" s="441"/>
      <c r="AM844" s="441"/>
      <c r="AN844" s="441"/>
      <c r="AO844" s="441"/>
      <c r="AP844" s="441"/>
      <c r="AQ844" s="441"/>
      <c r="AR844" s="441"/>
      <c r="AS844" s="441"/>
      <c r="AT844" s="441"/>
      <c r="AU844" s="441"/>
      <c r="AV844" s="441"/>
      <c r="AW844" s="441"/>
      <c r="AX844" s="441"/>
      <c r="AY844" s="441"/>
      <c r="AZ844" s="441"/>
      <c r="BA844" s="441"/>
    </row>
    <row r="845">
      <c r="A845" s="441"/>
      <c r="B845" s="441"/>
      <c r="C845" s="441"/>
      <c r="D845" s="441"/>
      <c r="E845" s="441"/>
      <c r="F845" s="441"/>
      <c r="G845" s="441"/>
      <c r="H845" s="441"/>
      <c r="I845" s="441"/>
      <c r="J845" s="441"/>
      <c r="K845" s="441"/>
      <c r="L845" s="441"/>
      <c r="M845" s="441"/>
      <c r="N845" s="441"/>
      <c r="O845" s="441"/>
      <c r="P845" s="441"/>
      <c r="Q845" s="441"/>
      <c r="R845" s="441"/>
      <c r="S845" s="441"/>
      <c r="T845" s="441"/>
      <c r="U845" s="441"/>
      <c r="V845" s="441"/>
      <c r="W845" s="441"/>
      <c r="X845" s="441"/>
      <c r="Y845" s="441"/>
      <c r="Z845" s="441"/>
      <c r="AA845" s="441"/>
      <c r="AB845" s="441"/>
      <c r="AC845" s="441"/>
      <c r="AD845" s="441"/>
      <c r="AE845" s="441"/>
      <c r="AF845" s="441"/>
      <c r="AG845" s="441"/>
      <c r="AH845" s="441"/>
      <c r="AI845" s="441"/>
      <c r="AJ845" s="441"/>
      <c r="AK845" s="441"/>
      <c r="AL845" s="441"/>
      <c r="AM845" s="441"/>
      <c r="AN845" s="441"/>
      <c r="AO845" s="441"/>
      <c r="AP845" s="441"/>
      <c r="AQ845" s="441"/>
      <c r="AR845" s="441"/>
      <c r="AS845" s="441"/>
      <c r="AT845" s="441"/>
      <c r="AU845" s="441"/>
      <c r="AV845" s="441"/>
      <c r="AW845" s="441"/>
      <c r="AX845" s="441"/>
      <c r="AY845" s="441"/>
      <c r="AZ845" s="441"/>
      <c r="BA845" s="441"/>
    </row>
    <row r="846">
      <c r="A846" s="441"/>
      <c r="B846" s="441"/>
      <c r="C846" s="441"/>
      <c r="D846" s="441"/>
      <c r="E846" s="441"/>
      <c r="F846" s="441"/>
      <c r="G846" s="441"/>
      <c r="H846" s="441"/>
      <c r="I846" s="441"/>
      <c r="J846" s="441"/>
      <c r="K846" s="441"/>
      <c r="L846" s="441"/>
      <c r="M846" s="441"/>
      <c r="N846" s="441"/>
      <c r="O846" s="441"/>
      <c r="P846" s="441"/>
      <c r="Q846" s="441"/>
      <c r="R846" s="441"/>
      <c r="S846" s="441"/>
      <c r="T846" s="441"/>
      <c r="U846" s="441"/>
      <c r="V846" s="441"/>
      <c r="W846" s="441"/>
      <c r="X846" s="441"/>
      <c r="Y846" s="441"/>
      <c r="Z846" s="441"/>
      <c r="AA846" s="441"/>
      <c r="AB846" s="441"/>
      <c r="AC846" s="441"/>
      <c r="AD846" s="441"/>
      <c r="AE846" s="441"/>
      <c r="AF846" s="441"/>
      <c r="AG846" s="441"/>
      <c r="AH846" s="441"/>
      <c r="AI846" s="441"/>
      <c r="AJ846" s="441"/>
      <c r="AK846" s="441"/>
      <c r="AL846" s="441"/>
      <c r="AM846" s="441"/>
      <c r="AN846" s="441"/>
      <c r="AO846" s="441"/>
      <c r="AP846" s="441"/>
      <c r="AQ846" s="441"/>
      <c r="AR846" s="441"/>
      <c r="AS846" s="441"/>
      <c r="AT846" s="441"/>
      <c r="AU846" s="441"/>
      <c r="AV846" s="441"/>
      <c r="AW846" s="441"/>
      <c r="AX846" s="441"/>
      <c r="AY846" s="441"/>
      <c r="AZ846" s="441"/>
      <c r="BA846" s="441"/>
    </row>
    <row r="847">
      <c r="A847" s="441"/>
      <c r="B847" s="441"/>
      <c r="C847" s="441"/>
      <c r="D847" s="441"/>
      <c r="E847" s="441"/>
      <c r="F847" s="441"/>
      <c r="G847" s="441"/>
      <c r="H847" s="441"/>
      <c r="I847" s="441"/>
      <c r="J847" s="441"/>
      <c r="K847" s="441"/>
      <c r="L847" s="441"/>
      <c r="M847" s="441"/>
      <c r="N847" s="441"/>
      <c r="O847" s="441"/>
      <c r="P847" s="441"/>
      <c r="Q847" s="441"/>
      <c r="R847" s="441"/>
      <c r="S847" s="441"/>
      <c r="T847" s="441"/>
      <c r="U847" s="441"/>
      <c r="V847" s="441"/>
      <c r="W847" s="441"/>
      <c r="X847" s="441"/>
      <c r="Y847" s="441"/>
      <c r="Z847" s="441"/>
      <c r="AA847" s="441"/>
      <c r="AB847" s="441"/>
      <c r="AC847" s="441"/>
      <c r="AD847" s="441"/>
      <c r="AE847" s="441"/>
      <c r="AF847" s="441"/>
      <c r="AG847" s="441"/>
      <c r="AH847" s="441"/>
      <c r="AI847" s="441"/>
      <c r="AJ847" s="441"/>
      <c r="AK847" s="441"/>
      <c r="AL847" s="441"/>
      <c r="AM847" s="441"/>
      <c r="AN847" s="441"/>
      <c r="AO847" s="441"/>
      <c r="AP847" s="441"/>
      <c r="AQ847" s="441"/>
      <c r="AR847" s="441"/>
      <c r="AS847" s="441"/>
      <c r="AT847" s="441"/>
      <c r="AU847" s="441"/>
      <c r="AV847" s="441"/>
      <c r="AW847" s="441"/>
      <c r="AX847" s="441"/>
      <c r="AY847" s="441"/>
      <c r="AZ847" s="441"/>
      <c r="BA847" s="441"/>
    </row>
    <row r="848">
      <c r="A848" s="441"/>
      <c r="B848" s="441"/>
      <c r="C848" s="441"/>
      <c r="D848" s="441"/>
      <c r="E848" s="441"/>
      <c r="F848" s="441"/>
      <c r="G848" s="441"/>
      <c r="H848" s="441"/>
      <c r="I848" s="441"/>
      <c r="J848" s="441"/>
      <c r="K848" s="441"/>
      <c r="L848" s="441"/>
      <c r="M848" s="441"/>
      <c r="N848" s="441"/>
      <c r="O848" s="441"/>
      <c r="P848" s="441"/>
      <c r="Q848" s="441"/>
      <c r="R848" s="441"/>
      <c r="S848" s="441"/>
      <c r="T848" s="441"/>
      <c r="U848" s="441"/>
      <c r="V848" s="441"/>
      <c r="W848" s="441"/>
      <c r="X848" s="441"/>
      <c r="Y848" s="441"/>
      <c r="Z848" s="441"/>
      <c r="AA848" s="441"/>
      <c r="AB848" s="441"/>
      <c r="AC848" s="441"/>
      <c r="AD848" s="441"/>
      <c r="AE848" s="441"/>
      <c r="AF848" s="441"/>
      <c r="AG848" s="441"/>
      <c r="AH848" s="441"/>
      <c r="AI848" s="441"/>
      <c r="AJ848" s="441"/>
      <c r="AK848" s="441"/>
      <c r="AL848" s="441"/>
      <c r="AM848" s="441"/>
      <c r="AN848" s="441"/>
      <c r="AO848" s="441"/>
      <c r="AP848" s="441"/>
      <c r="AQ848" s="441"/>
      <c r="AR848" s="441"/>
      <c r="AS848" s="441"/>
      <c r="AT848" s="441"/>
      <c r="AU848" s="441"/>
      <c r="AV848" s="441"/>
      <c r="AW848" s="441"/>
      <c r="AX848" s="441"/>
      <c r="AY848" s="441"/>
      <c r="AZ848" s="441"/>
      <c r="BA848" s="441"/>
    </row>
    <row r="849">
      <c r="A849" s="441"/>
      <c r="B849" s="441"/>
      <c r="C849" s="441"/>
      <c r="D849" s="441"/>
      <c r="E849" s="441"/>
      <c r="F849" s="441"/>
      <c r="G849" s="441"/>
      <c r="H849" s="441"/>
      <c r="I849" s="441"/>
      <c r="J849" s="441"/>
      <c r="K849" s="441"/>
      <c r="L849" s="441"/>
      <c r="M849" s="441"/>
      <c r="N849" s="441"/>
      <c r="O849" s="441"/>
      <c r="P849" s="441"/>
      <c r="Q849" s="441"/>
      <c r="R849" s="441"/>
      <c r="S849" s="441"/>
      <c r="T849" s="441"/>
      <c r="U849" s="441"/>
      <c r="V849" s="441"/>
      <c r="W849" s="441"/>
      <c r="X849" s="441"/>
      <c r="Y849" s="441"/>
      <c r="Z849" s="441"/>
      <c r="AA849" s="441"/>
      <c r="AB849" s="441"/>
      <c r="AC849" s="441"/>
      <c r="AD849" s="441"/>
      <c r="AE849" s="441"/>
      <c r="AF849" s="441"/>
      <c r="AG849" s="441"/>
      <c r="AH849" s="441"/>
      <c r="AI849" s="441"/>
      <c r="AJ849" s="441"/>
      <c r="AK849" s="441"/>
      <c r="AL849" s="441"/>
      <c r="AM849" s="441"/>
      <c r="AN849" s="441"/>
      <c r="AO849" s="441"/>
      <c r="AP849" s="441"/>
      <c r="AQ849" s="441"/>
      <c r="AR849" s="441"/>
      <c r="AS849" s="441"/>
      <c r="AT849" s="441"/>
      <c r="AU849" s="441"/>
      <c r="AV849" s="441"/>
      <c r="AW849" s="441"/>
      <c r="AX849" s="441"/>
      <c r="AY849" s="441"/>
      <c r="AZ849" s="441"/>
      <c r="BA849" s="441"/>
    </row>
    <row r="850">
      <c r="A850" s="441"/>
      <c r="B850" s="441"/>
      <c r="C850" s="441"/>
      <c r="D850" s="441"/>
      <c r="E850" s="441"/>
      <c r="F850" s="441"/>
      <c r="G850" s="441"/>
      <c r="H850" s="441"/>
      <c r="I850" s="441"/>
      <c r="J850" s="441"/>
      <c r="K850" s="441"/>
      <c r="L850" s="441"/>
      <c r="M850" s="441"/>
      <c r="N850" s="441"/>
      <c r="O850" s="441"/>
      <c r="P850" s="441"/>
      <c r="Q850" s="441"/>
      <c r="R850" s="441"/>
      <c r="S850" s="441"/>
      <c r="T850" s="441"/>
      <c r="U850" s="441"/>
      <c r="V850" s="441"/>
      <c r="W850" s="441"/>
      <c r="X850" s="441"/>
      <c r="Y850" s="441"/>
      <c r="Z850" s="441"/>
      <c r="AA850" s="441"/>
      <c r="AB850" s="441"/>
      <c r="AC850" s="441"/>
      <c r="AD850" s="441"/>
      <c r="AE850" s="441"/>
      <c r="AF850" s="441"/>
      <c r="AG850" s="441"/>
      <c r="AH850" s="441"/>
      <c r="AI850" s="441"/>
      <c r="AJ850" s="441"/>
      <c r="AK850" s="441"/>
      <c r="AL850" s="441"/>
      <c r="AM850" s="441"/>
      <c r="AN850" s="441"/>
      <c r="AO850" s="441"/>
      <c r="AP850" s="441"/>
      <c r="AQ850" s="441"/>
      <c r="AR850" s="441"/>
      <c r="AS850" s="441"/>
      <c r="AT850" s="441"/>
      <c r="AU850" s="441"/>
      <c r="AV850" s="441"/>
      <c r="AW850" s="441"/>
      <c r="AX850" s="441"/>
      <c r="AY850" s="441"/>
      <c r="AZ850" s="441"/>
      <c r="BA850" s="441"/>
    </row>
    <row r="851">
      <c r="A851" s="441"/>
      <c r="B851" s="441"/>
      <c r="C851" s="441"/>
      <c r="D851" s="441"/>
      <c r="E851" s="441"/>
      <c r="F851" s="441"/>
      <c r="G851" s="441"/>
      <c r="H851" s="441"/>
      <c r="I851" s="441"/>
      <c r="J851" s="441"/>
      <c r="K851" s="441"/>
      <c r="L851" s="441"/>
      <c r="M851" s="441"/>
      <c r="N851" s="441"/>
      <c r="O851" s="441"/>
      <c r="P851" s="441"/>
      <c r="Q851" s="441"/>
      <c r="R851" s="441"/>
      <c r="S851" s="441"/>
      <c r="T851" s="441"/>
      <c r="U851" s="441"/>
      <c r="V851" s="441"/>
      <c r="W851" s="441"/>
      <c r="X851" s="441"/>
      <c r="Y851" s="441"/>
      <c r="Z851" s="441"/>
      <c r="AA851" s="441"/>
      <c r="AB851" s="441"/>
      <c r="AC851" s="441"/>
      <c r="AD851" s="441"/>
      <c r="AE851" s="441"/>
      <c r="AF851" s="441"/>
      <c r="AG851" s="441"/>
      <c r="AH851" s="441"/>
      <c r="AI851" s="441"/>
      <c r="AJ851" s="441"/>
      <c r="AK851" s="441"/>
      <c r="AL851" s="441"/>
      <c r="AM851" s="441"/>
      <c r="AN851" s="441"/>
      <c r="AO851" s="441"/>
      <c r="AP851" s="441"/>
      <c r="AQ851" s="441"/>
      <c r="AR851" s="441"/>
      <c r="AS851" s="441"/>
      <c r="AT851" s="441"/>
      <c r="AU851" s="441"/>
      <c r="AV851" s="441"/>
      <c r="AW851" s="441"/>
      <c r="AX851" s="441"/>
      <c r="AY851" s="441"/>
      <c r="AZ851" s="441"/>
      <c r="BA851" s="441"/>
    </row>
    <row r="852">
      <c r="A852" s="441"/>
      <c r="B852" s="441"/>
      <c r="C852" s="441"/>
      <c r="D852" s="441"/>
      <c r="E852" s="441"/>
      <c r="F852" s="441"/>
      <c r="G852" s="441"/>
      <c r="H852" s="441"/>
      <c r="I852" s="441"/>
      <c r="J852" s="441"/>
      <c r="K852" s="441"/>
      <c r="L852" s="441"/>
      <c r="M852" s="441"/>
      <c r="N852" s="441"/>
      <c r="O852" s="441"/>
      <c r="P852" s="441"/>
      <c r="Q852" s="441"/>
      <c r="R852" s="441"/>
      <c r="S852" s="441"/>
      <c r="T852" s="441"/>
      <c r="U852" s="441"/>
      <c r="V852" s="441"/>
      <c r="W852" s="441"/>
      <c r="X852" s="441"/>
      <c r="Y852" s="441"/>
      <c r="Z852" s="441"/>
      <c r="AA852" s="441"/>
      <c r="AB852" s="441"/>
      <c r="AC852" s="441"/>
      <c r="AD852" s="441"/>
      <c r="AE852" s="441"/>
      <c r="AF852" s="441"/>
      <c r="AG852" s="441"/>
      <c r="AH852" s="441"/>
      <c r="AI852" s="441"/>
      <c r="AJ852" s="441"/>
      <c r="AK852" s="441"/>
      <c r="AL852" s="441"/>
      <c r="AM852" s="441"/>
      <c r="AN852" s="441"/>
      <c r="AO852" s="441"/>
      <c r="AP852" s="441"/>
      <c r="AQ852" s="441"/>
      <c r="AR852" s="441"/>
      <c r="AS852" s="441"/>
      <c r="AT852" s="441"/>
      <c r="AU852" s="441"/>
      <c r="AV852" s="441"/>
      <c r="AW852" s="441"/>
      <c r="AX852" s="441"/>
      <c r="AY852" s="441"/>
      <c r="AZ852" s="441"/>
      <c r="BA852" s="441"/>
    </row>
    <row r="853">
      <c r="A853" s="441"/>
      <c r="B853" s="441"/>
      <c r="C853" s="441"/>
      <c r="D853" s="441"/>
      <c r="E853" s="441"/>
      <c r="F853" s="441"/>
      <c r="G853" s="441"/>
      <c r="H853" s="441"/>
      <c r="I853" s="441"/>
      <c r="J853" s="441"/>
      <c r="K853" s="441"/>
      <c r="L853" s="441"/>
      <c r="M853" s="441"/>
      <c r="N853" s="441"/>
      <c r="O853" s="441"/>
      <c r="P853" s="441"/>
      <c r="Q853" s="441"/>
      <c r="R853" s="441"/>
      <c r="S853" s="441"/>
      <c r="T853" s="441"/>
      <c r="U853" s="441"/>
      <c r="V853" s="441"/>
      <c r="W853" s="441"/>
      <c r="X853" s="441"/>
      <c r="Y853" s="441"/>
      <c r="Z853" s="441"/>
      <c r="AA853" s="441"/>
      <c r="AB853" s="441"/>
      <c r="AC853" s="441"/>
      <c r="AD853" s="441"/>
      <c r="AE853" s="441"/>
      <c r="AF853" s="441"/>
      <c r="AG853" s="441"/>
      <c r="AH853" s="441"/>
      <c r="AI853" s="441"/>
      <c r="AJ853" s="441"/>
      <c r="AK853" s="441"/>
      <c r="AL853" s="441"/>
      <c r="AM853" s="441"/>
      <c r="AN853" s="441"/>
      <c r="AO853" s="441"/>
      <c r="AP853" s="441"/>
      <c r="AQ853" s="441"/>
      <c r="AR853" s="441"/>
      <c r="AS853" s="441"/>
      <c r="AT853" s="441"/>
      <c r="AU853" s="441"/>
      <c r="AV853" s="441"/>
      <c r="AW853" s="441"/>
      <c r="AX853" s="441"/>
      <c r="AY853" s="441"/>
      <c r="AZ853" s="441"/>
      <c r="BA853" s="441"/>
    </row>
    <row r="854">
      <c r="A854" s="441"/>
      <c r="B854" s="441"/>
      <c r="C854" s="441"/>
      <c r="D854" s="441"/>
      <c r="E854" s="441"/>
      <c r="F854" s="441"/>
      <c r="G854" s="441"/>
      <c r="H854" s="441"/>
      <c r="I854" s="441"/>
      <c r="J854" s="441"/>
      <c r="K854" s="441"/>
      <c r="L854" s="441"/>
      <c r="M854" s="441"/>
      <c r="N854" s="441"/>
      <c r="O854" s="441"/>
      <c r="P854" s="441"/>
      <c r="Q854" s="441"/>
      <c r="R854" s="441"/>
      <c r="S854" s="441"/>
      <c r="T854" s="441"/>
      <c r="U854" s="441"/>
      <c r="V854" s="441"/>
      <c r="W854" s="441"/>
      <c r="X854" s="441"/>
      <c r="Y854" s="441"/>
      <c r="Z854" s="441"/>
      <c r="AA854" s="441"/>
      <c r="AB854" s="441"/>
      <c r="AC854" s="441"/>
      <c r="AD854" s="441"/>
      <c r="AE854" s="441"/>
      <c r="AF854" s="441"/>
      <c r="AG854" s="441"/>
      <c r="AH854" s="441"/>
      <c r="AI854" s="441"/>
      <c r="AJ854" s="441"/>
      <c r="AK854" s="441"/>
      <c r="AL854" s="441"/>
      <c r="AM854" s="441"/>
      <c r="AN854" s="441"/>
      <c r="AO854" s="441"/>
      <c r="AP854" s="441"/>
      <c r="AQ854" s="441"/>
      <c r="AR854" s="441"/>
      <c r="AS854" s="441"/>
      <c r="AT854" s="441"/>
      <c r="AU854" s="441"/>
      <c r="AV854" s="441"/>
      <c r="AW854" s="441"/>
      <c r="AX854" s="441"/>
      <c r="AY854" s="441"/>
      <c r="AZ854" s="441"/>
      <c r="BA854" s="441"/>
    </row>
    <row r="855">
      <c r="A855" s="441"/>
      <c r="B855" s="441"/>
      <c r="C855" s="441"/>
      <c r="D855" s="441"/>
      <c r="E855" s="441"/>
      <c r="F855" s="441"/>
      <c r="G855" s="441"/>
      <c r="H855" s="441"/>
      <c r="I855" s="441"/>
      <c r="J855" s="441"/>
      <c r="K855" s="441"/>
      <c r="L855" s="441"/>
      <c r="M855" s="441"/>
      <c r="N855" s="441"/>
      <c r="O855" s="441"/>
      <c r="P855" s="441"/>
      <c r="Q855" s="441"/>
      <c r="R855" s="441"/>
      <c r="S855" s="441"/>
      <c r="T855" s="441"/>
      <c r="U855" s="441"/>
      <c r="V855" s="441"/>
      <c r="W855" s="441"/>
      <c r="X855" s="441"/>
      <c r="Y855" s="441"/>
      <c r="Z855" s="441"/>
      <c r="AA855" s="441"/>
      <c r="AB855" s="441"/>
      <c r="AC855" s="441"/>
      <c r="AD855" s="441"/>
      <c r="AE855" s="441"/>
      <c r="AF855" s="441"/>
      <c r="AG855" s="441"/>
      <c r="AH855" s="441"/>
      <c r="AI855" s="441"/>
      <c r="AJ855" s="441"/>
      <c r="AK855" s="441"/>
      <c r="AL855" s="441"/>
      <c r="AM855" s="441"/>
      <c r="AN855" s="441"/>
      <c r="AO855" s="441"/>
      <c r="AP855" s="441"/>
      <c r="AQ855" s="441"/>
      <c r="AR855" s="441"/>
      <c r="AS855" s="441"/>
      <c r="AT855" s="441"/>
      <c r="AU855" s="441"/>
      <c r="AV855" s="441"/>
      <c r="AW855" s="441"/>
      <c r="AX855" s="441"/>
      <c r="AY855" s="441"/>
      <c r="AZ855" s="441"/>
      <c r="BA855" s="441"/>
    </row>
    <row r="856">
      <c r="A856" s="441"/>
      <c r="B856" s="441"/>
      <c r="C856" s="441"/>
      <c r="D856" s="441"/>
      <c r="E856" s="441"/>
      <c r="F856" s="441"/>
      <c r="G856" s="441"/>
      <c r="H856" s="441"/>
      <c r="I856" s="441"/>
      <c r="J856" s="441"/>
      <c r="K856" s="441"/>
      <c r="L856" s="441"/>
      <c r="M856" s="441"/>
      <c r="N856" s="441"/>
      <c r="O856" s="441"/>
      <c r="P856" s="441"/>
      <c r="Q856" s="441"/>
      <c r="R856" s="441"/>
      <c r="S856" s="441"/>
      <c r="T856" s="441"/>
      <c r="U856" s="441"/>
      <c r="V856" s="441"/>
      <c r="W856" s="441"/>
      <c r="X856" s="441"/>
      <c r="Y856" s="441"/>
      <c r="Z856" s="441"/>
      <c r="AA856" s="441"/>
      <c r="AB856" s="441"/>
      <c r="AC856" s="441"/>
      <c r="AD856" s="441"/>
      <c r="AE856" s="441"/>
      <c r="AF856" s="441"/>
      <c r="AG856" s="441"/>
      <c r="AH856" s="441"/>
      <c r="AI856" s="441"/>
      <c r="AJ856" s="441"/>
      <c r="AK856" s="441"/>
      <c r="AL856" s="441"/>
      <c r="AM856" s="441"/>
      <c r="AN856" s="441"/>
      <c r="AO856" s="441"/>
      <c r="AP856" s="441"/>
      <c r="AQ856" s="441"/>
      <c r="AR856" s="441"/>
      <c r="AS856" s="441"/>
      <c r="AT856" s="441"/>
      <c r="AU856" s="441"/>
      <c r="AV856" s="441"/>
      <c r="AW856" s="441"/>
      <c r="AX856" s="441"/>
      <c r="AY856" s="441"/>
      <c r="AZ856" s="441"/>
      <c r="BA856" s="441"/>
    </row>
    <row r="857">
      <c r="A857" s="441"/>
      <c r="B857" s="441"/>
      <c r="C857" s="441"/>
      <c r="D857" s="441"/>
      <c r="E857" s="441"/>
      <c r="F857" s="441"/>
      <c r="G857" s="441"/>
      <c r="H857" s="441"/>
      <c r="I857" s="441"/>
      <c r="J857" s="441"/>
      <c r="K857" s="441"/>
      <c r="L857" s="441"/>
      <c r="M857" s="441"/>
      <c r="N857" s="441"/>
      <c r="O857" s="441"/>
      <c r="P857" s="441"/>
      <c r="Q857" s="441"/>
      <c r="R857" s="441"/>
      <c r="S857" s="441"/>
      <c r="T857" s="441"/>
      <c r="U857" s="441"/>
      <c r="V857" s="441"/>
      <c r="W857" s="441"/>
      <c r="X857" s="441"/>
      <c r="Y857" s="441"/>
      <c r="Z857" s="441"/>
      <c r="AA857" s="441"/>
      <c r="AB857" s="441"/>
      <c r="AC857" s="441"/>
      <c r="AD857" s="441"/>
      <c r="AE857" s="441"/>
      <c r="AF857" s="441"/>
      <c r="AG857" s="441"/>
      <c r="AH857" s="441"/>
      <c r="AI857" s="441"/>
      <c r="AJ857" s="441"/>
      <c r="AK857" s="441"/>
      <c r="AL857" s="441"/>
      <c r="AM857" s="441"/>
      <c r="AN857" s="441"/>
      <c r="AO857" s="441"/>
      <c r="AP857" s="441"/>
      <c r="AQ857" s="441"/>
      <c r="AR857" s="441"/>
      <c r="AS857" s="441"/>
      <c r="AT857" s="441"/>
      <c r="AU857" s="441"/>
      <c r="AV857" s="441"/>
      <c r="AW857" s="441"/>
      <c r="AX857" s="441"/>
      <c r="AY857" s="441"/>
      <c r="AZ857" s="441"/>
      <c r="BA857" s="441"/>
    </row>
    <row r="858">
      <c r="A858" s="441"/>
      <c r="B858" s="441"/>
      <c r="C858" s="441"/>
      <c r="D858" s="441"/>
      <c r="E858" s="441"/>
      <c r="F858" s="441"/>
      <c r="G858" s="441"/>
      <c r="H858" s="441"/>
      <c r="I858" s="441"/>
      <c r="J858" s="441"/>
      <c r="K858" s="441"/>
      <c r="L858" s="441"/>
      <c r="M858" s="441"/>
      <c r="N858" s="441"/>
      <c r="O858" s="441"/>
      <c r="P858" s="441"/>
      <c r="Q858" s="441"/>
      <c r="R858" s="441"/>
      <c r="S858" s="441"/>
      <c r="T858" s="441"/>
      <c r="U858" s="441"/>
      <c r="V858" s="441"/>
      <c r="W858" s="441"/>
      <c r="X858" s="441"/>
      <c r="Y858" s="441"/>
      <c r="Z858" s="441"/>
      <c r="AA858" s="441"/>
      <c r="AB858" s="441"/>
      <c r="AC858" s="441"/>
      <c r="AD858" s="441"/>
      <c r="AE858" s="441"/>
      <c r="AF858" s="441"/>
      <c r="AG858" s="441"/>
      <c r="AH858" s="441"/>
      <c r="AI858" s="441"/>
      <c r="AJ858" s="441"/>
      <c r="AK858" s="441"/>
      <c r="AL858" s="441"/>
      <c r="AM858" s="441"/>
      <c r="AN858" s="441"/>
      <c r="AO858" s="441"/>
      <c r="AP858" s="441"/>
      <c r="AQ858" s="441"/>
      <c r="AR858" s="441"/>
      <c r="AS858" s="441"/>
      <c r="AT858" s="441"/>
      <c r="AU858" s="441"/>
      <c r="AV858" s="441"/>
      <c r="AW858" s="441"/>
      <c r="AX858" s="441"/>
      <c r="AY858" s="441"/>
      <c r="AZ858" s="441"/>
      <c r="BA858" s="441"/>
    </row>
    <row r="859">
      <c r="A859" s="441"/>
      <c r="B859" s="441"/>
      <c r="C859" s="441"/>
      <c r="D859" s="441"/>
      <c r="E859" s="441"/>
      <c r="F859" s="441"/>
      <c r="G859" s="441"/>
      <c r="H859" s="441"/>
      <c r="I859" s="441"/>
      <c r="J859" s="441"/>
      <c r="K859" s="441"/>
      <c r="L859" s="441"/>
      <c r="M859" s="441"/>
      <c r="N859" s="441"/>
      <c r="O859" s="441"/>
      <c r="P859" s="441"/>
      <c r="Q859" s="441"/>
      <c r="R859" s="441"/>
      <c r="S859" s="441"/>
      <c r="T859" s="441"/>
      <c r="U859" s="441"/>
      <c r="V859" s="441"/>
      <c r="W859" s="441"/>
      <c r="X859" s="441"/>
      <c r="Y859" s="441"/>
      <c r="Z859" s="441"/>
      <c r="AA859" s="441"/>
      <c r="AB859" s="441"/>
      <c r="AC859" s="441"/>
      <c r="AD859" s="441"/>
      <c r="AE859" s="441"/>
      <c r="AF859" s="441"/>
      <c r="AG859" s="441"/>
      <c r="AH859" s="441"/>
      <c r="AI859" s="441"/>
      <c r="AJ859" s="441"/>
      <c r="AK859" s="441"/>
      <c r="AL859" s="441"/>
      <c r="AM859" s="441"/>
      <c r="AN859" s="441"/>
      <c r="AO859" s="441"/>
      <c r="AP859" s="441"/>
      <c r="AQ859" s="441"/>
      <c r="AR859" s="441"/>
      <c r="AS859" s="441"/>
      <c r="AT859" s="441"/>
      <c r="AU859" s="441"/>
      <c r="AV859" s="441"/>
      <c r="AW859" s="441"/>
      <c r="AX859" s="441"/>
      <c r="AY859" s="441"/>
      <c r="AZ859" s="441"/>
      <c r="BA859" s="441"/>
    </row>
    <row r="860">
      <c r="A860" s="441"/>
      <c r="B860" s="441"/>
      <c r="C860" s="441"/>
      <c r="D860" s="441"/>
      <c r="E860" s="441"/>
      <c r="F860" s="441"/>
      <c r="G860" s="441"/>
      <c r="H860" s="441"/>
      <c r="I860" s="441"/>
      <c r="J860" s="441"/>
      <c r="K860" s="441"/>
      <c r="L860" s="441"/>
      <c r="M860" s="441"/>
      <c r="N860" s="441"/>
      <c r="O860" s="441"/>
      <c r="P860" s="441"/>
      <c r="Q860" s="441"/>
      <c r="R860" s="441"/>
      <c r="S860" s="441"/>
      <c r="T860" s="441"/>
      <c r="U860" s="441"/>
      <c r="V860" s="441"/>
      <c r="W860" s="441"/>
      <c r="X860" s="441"/>
      <c r="Y860" s="441"/>
      <c r="Z860" s="441"/>
      <c r="AA860" s="441"/>
      <c r="AB860" s="441"/>
      <c r="AC860" s="441"/>
      <c r="AD860" s="441"/>
      <c r="AE860" s="441"/>
      <c r="AF860" s="441"/>
      <c r="AG860" s="441"/>
      <c r="AH860" s="441"/>
      <c r="AI860" s="441"/>
      <c r="AJ860" s="441"/>
      <c r="AK860" s="441"/>
      <c r="AL860" s="441"/>
      <c r="AM860" s="441"/>
      <c r="AN860" s="441"/>
      <c r="AO860" s="441"/>
      <c r="AP860" s="441"/>
      <c r="AQ860" s="441"/>
      <c r="AR860" s="441"/>
      <c r="AS860" s="441"/>
      <c r="AT860" s="441"/>
      <c r="AU860" s="441"/>
      <c r="AV860" s="441"/>
      <c r="AW860" s="441"/>
      <c r="AX860" s="441"/>
      <c r="AY860" s="441"/>
      <c r="AZ860" s="441"/>
      <c r="BA860" s="441"/>
    </row>
    <row r="861">
      <c r="A861" s="441"/>
      <c r="B861" s="441"/>
      <c r="C861" s="441"/>
      <c r="D861" s="441"/>
      <c r="E861" s="441"/>
      <c r="F861" s="441"/>
      <c r="G861" s="441"/>
      <c r="H861" s="441"/>
      <c r="I861" s="441"/>
      <c r="J861" s="441"/>
      <c r="K861" s="441"/>
      <c r="L861" s="441"/>
      <c r="M861" s="441"/>
      <c r="N861" s="441"/>
      <c r="O861" s="441"/>
      <c r="P861" s="441"/>
      <c r="Q861" s="441"/>
      <c r="R861" s="441"/>
      <c r="S861" s="441"/>
      <c r="T861" s="441"/>
      <c r="U861" s="441"/>
      <c r="V861" s="441"/>
      <c r="W861" s="441"/>
      <c r="X861" s="441"/>
      <c r="Y861" s="441"/>
      <c r="Z861" s="441"/>
      <c r="AA861" s="441"/>
      <c r="AB861" s="441"/>
      <c r="AC861" s="441"/>
      <c r="AD861" s="441"/>
      <c r="AE861" s="441"/>
      <c r="AF861" s="441"/>
      <c r="AG861" s="441"/>
      <c r="AH861" s="441"/>
      <c r="AI861" s="441"/>
      <c r="AJ861" s="441"/>
      <c r="AK861" s="441"/>
      <c r="AL861" s="441"/>
      <c r="AM861" s="441"/>
      <c r="AN861" s="441"/>
      <c r="AO861" s="441"/>
      <c r="AP861" s="441"/>
      <c r="AQ861" s="441"/>
      <c r="AR861" s="441"/>
      <c r="AS861" s="441"/>
      <c r="AT861" s="441"/>
      <c r="AU861" s="441"/>
      <c r="AV861" s="441"/>
      <c r="AW861" s="441"/>
      <c r="AX861" s="441"/>
      <c r="AY861" s="441"/>
      <c r="AZ861" s="441"/>
      <c r="BA861" s="441"/>
    </row>
    <row r="862">
      <c r="A862" s="441"/>
      <c r="B862" s="441"/>
      <c r="C862" s="441"/>
      <c r="D862" s="441"/>
      <c r="E862" s="441"/>
      <c r="F862" s="441"/>
      <c r="G862" s="441"/>
      <c r="H862" s="441"/>
      <c r="I862" s="441"/>
      <c r="J862" s="441"/>
      <c r="K862" s="441"/>
      <c r="L862" s="441"/>
      <c r="M862" s="441"/>
      <c r="N862" s="441"/>
      <c r="O862" s="441"/>
      <c r="P862" s="441"/>
      <c r="Q862" s="441"/>
      <c r="R862" s="441"/>
      <c r="S862" s="441"/>
      <c r="T862" s="441"/>
      <c r="U862" s="441"/>
      <c r="V862" s="441"/>
      <c r="W862" s="441"/>
      <c r="X862" s="441"/>
      <c r="Y862" s="441"/>
      <c r="Z862" s="441"/>
      <c r="AA862" s="441"/>
      <c r="AB862" s="441"/>
      <c r="AC862" s="441"/>
      <c r="AD862" s="441"/>
      <c r="AE862" s="441"/>
      <c r="AF862" s="441"/>
      <c r="AG862" s="441"/>
      <c r="AH862" s="441"/>
      <c r="AI862" s="441"/>
      <c r="AJ862" s="441"/>
      <c r="AK862" s="441"/>
      <c r="AL862" s="441"/>
      <c r="AM862" s="441"/>
      <c r="AN862" s="441"/>
      <c r="AO862" s="441"/>
      <c r="AP862" s="441"/>
      <c r="AQ862" s="441"/>
      <c r="AR862" s="441"/>
      <c r="AS862" s="441"/>
      <c r="AT862" s="441"/>
      <c r="AU862" s="441"/>
      <c r="AV862" s="441"/>
      <c r="AW862" s="441"/>
      <c r="AX862" s="441"/>
      <c r="AY862" s="441"/>
      <c r="AZ862" s="441"/>
      <c r="BA862" s="441"/>
    </row>
    <row r="863">
      <c r="A863" s="441"/>
      <c r="B863" s="441"/>
      <c r="C863" s="441"/>
      <c r="D863" s="441"/>
      <c r="E863" s="441"/>
      <c r="F863" s="441"/>
      <c r="G863" s="441"/>
      <c r="H863" s="441"/>
      <c r="I863" s="441"/>
      <c r="J863" s="441"/>
      <c r="K863" s="441"/>
      <c r="L863" s="441"/>
      <c r="M863" s="441"/>
      <c r="N863" s="441"/>
      <c r="O863" s="441"/>
      <c r="P863" s="441"/>
      <c r="Q863" s="441"/>
      <c r="R863" s="441"/>
      <c r="S863" s="441"/>
      <c r="T863" s="441"/>
      <c r="U863" s="441"/>
      <c r="V863" s="441"/>
      <c r="W863" s="441"/>
      <c r="X863" s="441"/>
      <c r="Y863" s="441"/>
      <c r="Z863" s="441"/>
      <c r="AA863" s="441"/>
      <c r="AB863" s="441"/>
      <c r="AC863" s="441"/>
      <c r="AD863" s="441"/>
      <c r="AE863" s="441"/>
      <c r="AF863" s="441"/>
      <c r="AG863" s="441"/>
      <c r="AH863" s="441"/>
      <c r="AI863" s="441"/>
      <c r="AJ863" s="441"/>
      <c r="AK863" s="441"/>
      <c r="AL863" s="441"/>
      <c r="AM863" s="441"/>
      <c r="AN863" s="441"/>
      <c r="AO863" s="441"/>
      <c r="AP863" s="441"/>
      <c r="AQ863" s="441"/>
      <c r="AR863" s="441"/>
      <c r="AS863" s="441"/>
      <c r="AT863" s="441"/>
      <c r="AU863" s="441"/>
      <c r="AV863" s="441"/>
      <c r="AW863" s="441"/>
      <c r="AX863" s="441"/>
      <c r="AY863" s="441"/>
      <c r="AZ863" s="441"/>
      <c r="BA863" s="441"/>
    </row>
    <row r="864">
      <c r="A864" s="441"/>
      <c r="B864" s="441"/>
      <c r="C864" s="441"/>
      <c r="D864" s="441"/>
      <c r="E864" s="441"/>
      <c r="F864" s="441"/>
      <c r="G864" s="441"/>
      <c r="H864" s="441"/>
      <c r="I864" s="441"/>
      <c r="J864" s="441"/>
      <c r="K864" s="441"/>
      <c r="L864" s="441"/>
      <c r="M864" s="441"/>
      <c r="N864" s="441"/>
      <c r="O864" s="441"/>
      <c r="P864" s="441"/>
      <c r="Q864" s="441"/>
      <c r="R864" s="441"/>
      <c r="S864" s="441"/>
      <c r="T864" s="441"/>
      <c r="U864" s="441"/>
      <c r="V864" s="441"/>
      <c r="W864" s="441"/>
      <c r="X864" s="441"/>
      <c r="Y864" s="441"/>
      <c r="Z864" s="441"/>
      <c r="AA864" s="441"/>
      <c r="AB864" s="441"/>
      <c r="AC864" s="441"/>
      <c r="AD864" s="441"/>
      <c r="AE864" s="441"/>
      <c r="AF864" s="441"/>
      <c r="AG864" s="441"/>
      <c r="AH864" s="441"/>
      <c r="AI864" s="441"/>
      <c r="AJ864" s="441"/>
      <c r="AK864" s="441"/>
      <c r="AL864" s="441"/>
      <c r="AM864" s="441"/>
      <c r="AN864" s="441"/>
      <c r="AO864" s="441"/>
      <c r="AP864" s="441"/>
      <c r="AQ864" s="441"/>
      <c r="AR864" s="441"/>
      <c r="AS864" s="441"/>
      <c r="AT864" s="441"/>
      <c r="AU864" s="441"/>
      <c r="AV864" s="441"/>
      <c r="AW864" s="441"/>
      <c r="AX864" s="441"/>
      <c r="AY864" s="441"/>
      <c r="AZ864" s="441"/>
      <c r="BA864" s="441"/>
    </row>
    <row r="865">
      <c r="A865" s="441"/>
      <c r="B865" s="441"/>
      <c r="C865" s="441"/>
      <c r="D865" s="441"/>
      <c r="E865" s="441"/>
      <c r="F865" s="441"/>
      <c r="G865" s="441"/>
      <c r="H865" s="441"/>
      <c r="I865" s="441"/>
      <c r="J865" s="441"/>
      <c r="K865" s="441"/>
      <c r="L865" s="441"/>
      <c r="M865" s="441"/>
      <c r="N865" s="441"/>
      <c r="O865" s="441"/>
      <c r="P865" s="441"/>
      <c r="Q865" s="441"/>
      <c r="R865" s="441"/>
      <c r="S865" s="441"/>
      <c r="T865" s="441"/>
      <c r="U865" s="441"/>
      <c r="V865" s="441"/>
      <c r="W865" s="441"/>
      <c r="X865" s="441"/>
      <c r="Y865" s="441"/>
      <c r="Z865" s="441"/>
      <c r="AA865" s="441"/>
      <c r="AB865" s="441"/>
      <c r="AC865" s="441"/>
      <c r="AD865" s="441"/>
      <c r="AE865" s="441"/>
      <c r="AF865" s="441"/>
      <c r="AG865" s="441"/>
      <c r="AH865" s="441"/>
      <c r="AI865" s="441"/>
      <c r="AJ865" s="441"/>
      <c r="AK865" s="441"/>
      <c r="AL865" s="441"/>
      <c r="AM865" s="441"/>
      <c r="AN865" s="441"/>
      <c r="AO865" s="441"/>
      <c r="AP865" s="441"/>
      <c r="AQ865" s="441"/>
      <c r="AR865" s="441"/>
      <c r="AS865" s="441"/>
      <c r="AT865" s="441"/>
      <c r="AU865" s="441"/>
      <c r="AV865" s="441"/>
      <c r="AW865" s="441"/>
      <c r="AX865" s="441"/>
      <c r="AY865" s="441"/>
      <c r="AZ865" s="441"/>
      <c r="BA865" s="441"/>
    </row>
    <row r="866">
      <c r="A866" s="441"/>
      <c r="B866" s="441"/>
      <c r="C866" s="441"/>
      <c r="D866" s="441"/>
      <c r="E866" s="441"/>
      <c r="F866" s="441"/>
      <c r="G866" s="441"/>
      <c r="H866" s="441"/>
      <c r="I866" s="441"/>
      <c r="J866" s="441"/>
      <c r="K866" s="441"/>
      <c r="L866" s="441"/>
      <c r="M866" s="441"/>
      <c r="N866" s="441"/>
      <c r="O866" s="441"/>
      <c r="P866" s="441"/>
      <c r="Q866" s="441"/>
      <c r="R866" s="441"/>
      <c r="S866" s="441"/>
      <c r="T866" s="441"/>
      <c r="U866" s="441"/>
      <c r="V866" s="441"/>
      <c r="W866" s="441"/>
      <c r="X866" s="441"/>
      <c r="Y866" s="441"/>
      <c r="Z866" s="441"/>
      <c r="AA866" s="441"/>
      <c r="AB866" s="441"/>
      <c r="AC866" s="441"/>
      <c r="AD866" s="441"/>
      <c r="AE866" s="441"/>
      <c r="AF866" s="441"/>
      <c r="AG866" s="441"/>
      <c r="AH866" s="441"/>
      <c r="AI866" s="441"/>
      <c r="AJ866" s="441"/>
      <c r="AK866" s="441"/>
      <c r="AL866" s="441"/>
      <c r="AM866" s="441"/>
      <c r="AN866" s="441"/>
      <c r="AO866" s="441"/>
      <c r="AP866" s="441"/>
      <c r="AQ866" s="441"/>
      <c r="AR866" s="441"/>
      <c r="AS866" s="441"/>
      <c r="AT866" s="441"/>
      <c r="AU866" s="441"/>
      <c r="AV866" s="441"/>
      <c r="AW866" s="441"/>
      <c r="AX866" s="441"/>
      <c r="AY866" s="441"/>
      <c r="AZ866" s="441"/>
      <c r="BA866" s="441"/>
    </row>
    <row r="867">
      <c r="A867" s="441"/>
      <c r="B867" s="441"/>
      <c r="C867" s="441"/>
      <c r="D867" s="441"/>
      <c r="E867" s="441"/>
      <c r="F867" s="441"/>
      <c r="G867" s="441"/>
      <c r="H867" s="441"/>
      <c r="I867" s="441"/>
      <c r="J867" s="441"/>
      <c r="K867" s="441"/>
      <c r="L867" s="441"/>
      <c r="M867" s="441"/>
      <c r="N867" s="441"/>
      <c r="O867" s="441"/>
      <c r="P867" s="441"/>
      <c r="Q867" s="441"/>
      <c r="R867" s="441"/>
      <c r="S867" s="441"/>
      <c r="T867" s="441"/>
      <c r="U867" s="441"/>
      <c r="V867" s="441"/>
      <c r="W867" s="441"/>
      <c r="X867" s="441"/>
      <c r="Y867" s="441"/>
      <c r="Z867" s="441"/>
      <c r="AA867" s="441"/>
      <c r="AB867" s="441"/>
      <c r="AC867" s="441"/>
      <c r="AD867" s="441"/>
      <c r="AE867" s="441"/>
      <c r="AF867" s="441"/>
      <c r="AG867" s="441"/>
      <c r="AH867" s="441"/>
      <c r="AI867" s="441"/>
      <c r="AJ867" s="441"/>
      <c r="AK867" s="441"/>
      <c r="AL867" s="441"/>
      <c r="AM867" s="441"/>
      <c r="AN867" s="441"/>
      <c r="AO867" s="441"/>
      <c r="AP867" s="441"/>
      <c r="AQ867" s="441"/>
      <c r="AR867" s="441"/>
      <c r="AS867" s="441"/>
      <c r="AT867" s="441"/>
      <c r="AU867" s="441"/>
      <c r="AV867" s="441"/>
      <c r="AW867" s="441"/>
      <c r="AX867" s="441"/>
      <c r="AY867" s="441"/>
      <c r="AZ867" s="441"/>
      <c r="BA867" s="441"/>
    </row>
    <row r="868">
      <c r="A868" s="441"/>
      <c r="B868" s="441"/>
      <c r="C868" s="441"/>
      <c r="D868" s="441"/>
      <c r="E868" s="441"/>
      <c r="F868" s="441"/>
      <c r="G868" s="441"/>
      <c r="H868" s="441"/>
      <c r="I868" s="441"/>
      <c r="J868" s="441"/>
      <c r="K868" s="441"/>
      <c r="L868" s="441"/>
      <c r="M868" s="441"/>
      <c r="N868" s="441"/>
      <c r="O868" s="441"/>
      <c r="P868" s="441"/>
      <c r="Q868" s="441"/>
      <c r="R868" s="441"/>
      <c r="S868" s="441"/>
      <c r="T868" s="441"/>
      <c r="U868" s="441"/>
      <c r="V868" s="441"/>
      <c r="W868" s="441"/>
      <c r="X868" s="441"/>
      <c r="Y868" s="441"/>
      <c r="Z868" s="441"/>
      <c r="AA868" s="441"/>
      <c r="AB868" s="441"/>
      <c r="AC868" s="441"/>
      <c r="AD868" s="441"/>
      <c r="AE868" s="441"/>
      <c r="AF868" s="441"/>
      <c r="AG868" s="441"/>
      <c r="AH868" s="441"/>
      <c r="AI868" s="441"/>
      <c r="AJ868" s="441"/>
      <c r="AK868" s="441"/>
      <c r="AL868" s="441"/>
      <c r="AM868" s="441"/>
      <c r="AN868" s="441"/>
      <c r="AO868" s="441"/>
      <c r="AP868" s="441"/>
      <c r="AQ868" s="441"/>
      <c r="AR868" s="441"/>
      <c r="AS868" s="441"/>
      <c r="AT868" s="441"/>
      <c r="AU868" s="441"/>
      <c r="AV868" s="441"/>
      <c r="AW868" s="441"/>
      <c r="AX868" s="441"/>
      <c r="AY868" s="441"/>
      <c r="AZ868" s="441"/>
      <c r="BA868" s="441"/>
    </row>
    <row r="869">
      <c r="A869" s="441"/>
      <c r="B869" s="441"/>
      <c r="C869" s="441"/>
      <c r="D869" s="441"/>
      <c r="E869" s="441"/>
      <c r="F869" s="441"/>
      <c r="G869" s="441"/>
      <c r="H869" s="441"/>
      <c r="I869" s="441"/>
      <c r="J869" s="441"/>
      <c r="K869" s="441"/>
      <c r="L869" s="441"/>
      <c r="M869" s="441"/>
      <c r="N869" s="441"/>
      <c r="O869" s="441"/>
      <c r="P869" s="441"/>
      <c r="Q869" s="441"/>
      <c r="R869" s="441"/>
      <c r="S869" s="441"/>
      <c r="T869" s="441"/>
      <c r="U869" s="441"/>
      <c r="V869" s="441"/>
      <c r="W869" s="441"/>
      <c r="X869" s="441"/>
      <c r="Y869" s="441"/>
      <c r="Z869" s="441"/>
      <c r="AA869" s="441"/>
      <c r="AB869" s="441"/>
      <c r="AC869" s="441"/>
      <c r="AD869" s="441"/>
      <c r="AE869" s="441"/>
      <c r="AF869" s="441"/>
      <c r="AG869" s="441"/>
      <c r="AH869" s="441"/>
      <c r="AI869" s="441"/>
      <c r="AJ869" s="441"/>
      <c r="AK869" s="441"/>
      <c r="AL869" s="441"/>
      <c r="AM869" s="441"/>
      <c r="AN869" s="441"/>
      <c r="AO869" s="441"/>
      <c r="AP869" s="441"/>
      <c r="AQ869" s="441"/>
      <c r="AR869" s="441"/>
      <c r="AS869" s="441"/>
      <c r="AT869" s="441"/>
      <c r="AU869" s="441"/>
      <c r="AV869" s="441"/>
      <c r="AW869" s="441"/>
      <c r="AX869" s="441"/>
      <c r="AY869" s="441"/>
      <c r="AZ869" s="441"/>
      <c r="BA869" s="441"/>
    </row>
    <row r="870">
      <c r="A870" s="441"/>
      <c r="B870" s="441"/>
      <c r="C870" s="441"/>
      <c r="D870" s="441"/>
      <c r="E870" s="441"/>
      <c r="F870" s="441"/>
      <c r="G870" s="441"/>
      <c r="H870" s="441"/>
      <c r="I870" s="441"/>
      <c r="J870" s="441"/>
      <c r="K870" s="441"/>
      <c r="L870" s="441"/>
      <c r="M870" s="441"/>
      <c r="N870" s="441"/>
      <c r="O870" s="441"/>
      <c r="P870" s="441"/>
      <c r="Q870" s="441"/>
      <c r="R870" s="441"/>
      <c r="S870" s="441"/>
      <c r="T870" s="441"/>
      <c r="U870" s="441"/>
      <c r="V870" s="441"/>
      <c r="W870" s="441"/>
      <c r="X870" s="441"/>
      <c r="Y870" s="441"/>
      <c r="Z870" s="441"/>
      <c r="AA870" s="441"/>
      <c r="AB870" s="441"/>
      <c r="AC870" s="441"/>
      <c r="AD870" s="441"/>
      <c r="AE870" s="441"/>
      <c r="AF870" s="441"/>
      <c r="AG870" s="441"/>
      <c r="AH870" s="441"/>
      <c r="AI870" s="441"/>
      <c r="AJ870" s="441"/>
      <c r="AK870" s="441"/>
      <c r="AL870" s="441"/>
      <c r="AM870" s="441"/>
      <c r="AN870" s="441"/>
      <c r="AO870" s="441"/>
      <c r="AP870" s="441"/>
      <c r="AQ870" s="441"/>
      <c r="AR870" s="441"/>
      <c r="AS870" s="441"/>
      <c r="AT870" s="441"/>
      <c r="AU870" s="441"/>
      <c r="AV870" s="441"/>
      <c r="AW870" s="441"/>
      <c r="AX870" s="441"/>
      <c r="AY870" s="441"/>
      <c r="AZ870" s="441"/>
      <c r="BA870" s="441"/>
    </row>
    <row r="871">
      <c r="A871" s="441"/>
      <c r="B871" s="441"/>
      <c r="C871" s="441"/>
      <c r="D871" s="441"/>
      <c r="E871" s="441"/>
      <c r="F871" s="441"/>
      <c r="G871" s="441"/>
      <c r="H871" s="441"/>
      <c r="I871" s="441"/>
      <c r="J871" s="441"/>
      <c r="K871" s="441"/>
      <c r="L871" s="441"/>
      <c r="M871" s="441"/>
      <c r="N871" s="441"/>
      <c r="O871" s="441"/>
      <c r="P871" s="441"/>
      <c r="Q871" s="441"/>
      <c r="R871" s="441"/>
      <c r="S871" s="441"/>
      <c r="T871" s="441"/>
      <c r="U871" s="441"/>
      <c r="V871" s="441"/>
      <c r="W871" s="441"/>
      <c r="X871" s="441"/>
      <c r="Y871" s="441"/>
      <c r="Z871" s="441"/>
      <c r="AA871" s="441"/>
      <c r="AB871" s="441"/>
      <c r="AC871" s="441"/>
      <c r="AD871" s="441"/>
      <c r="AE871" s="441"/>
      <c r="AF871" s="441"/>
      <c r="AG871" s="441"/>
      <c r="AH871" s="441"/>
      <c r="AI871" s="441"/>
      <c r="AJ871" s="441"/>
      <c r="AK871" s="441"/>
      <c r="AL871" s="441"/>
      <c r="AM871" s="441"/>
      <c r="AN871" s="441"/>
      <c r="AO871" s="441"/>
      <c r="AP871" s="441"/>
      <c r="AQ871" s="441"/>
      <c r="AR871" s="441"/>
      <c r="AS871" s="441"/>
      <c r="AT871" s="441"/>
      <c r="AU871" s="441"/>
      <c r="AV871" s="441"/>
      <c r="AW871" s="441"/>
      <c r="AX871" s="441"/>
      <c r="AY871" s="441"/>
      <c r="AZ871" s="441"/>
      <c r="BA871" s="441"/>
    </row>
    <row r="872">
      <c r="A872" s="441"/>
      <c r="B872" s="441"/>
      <c r="C872" s="441"/>
      <c r="D872" s="441"/>
      <c r="E872" s="441"/>
      <c r="F872" s="441"/>
      <c r="G872" s="441"/>
      <c r="H872" s="441"/>
      <c r="I872" s="441"/>
      <c r="J872" s="441"/>
      <c r="K872" s="441"/>
      <c r="L872" s="441"/>
      <c r="M872" s="441"/>
      <c r="N872" s="441"/>
      <c r="O872" s="441"/>
      <c r="P872" s="441"/>
      <c r="Q872" s="441"/>
      <c r="R872" s="441"/>
      <c r="S872" s="441"/>
      <c r="T872" s="441"/>
      <c r="U872" s="441"/>
      <c r="V872" s="441"/>
      <c r="W872" s="441"/>
      <c r="X872" s="441"/>
      <c r="Y872" s="441"/>
      <c r="Z872" s="441"/>
      <c r="AA872" s="441"/>
      <c r="AB872" s="441"/>
      <c r="AC872" s="441"/>
      <c r="AD872" s="441"/>
      <c r="AE872" s="441"/>
      <c r="AF872" s="441"/>
      <c r="AG872" s="441"/>
      <c r="AH872" s="441"/>
      <c r="AI872" s="441"/>
      <c r="AJ872" s="441"/>
      <c r="AK872" s="441"/>
      <c r="AL872" s="441"/>
      <c r="AM872" s="441"/>
      <c r="AN872" s="441"/>
      <c r="AO872" s="441"/>
      <c r="AP872" s="441"/>
      <c r="AQ872" s="441"/>
      <c r="AR872" s="441"/>
      <c r="AS872" s="441"/>
      <c r="AT872" s="441"/>
      <c r="AU872" s="441"/>
      <c r="AV872" s="441"/>
      <c r="AW872" s="441"/>
      <c r="AX872" s="441"/>
      <c r="AY872" s="441"/>
      <c r="AZ872" s="441"/>
      <c r="BA872" s="441"/>
    </row>
    <row r="873">
      <c r="A873" s="441"/>
      <c r="B873" s="441"/>
      <c r="C873" s="441"/>
      <c r="D873" s="441"/>
      <c r="E873" s="441"/>
      <c r="F873" s="441"/>
      <c r="G873" s="441"/>
      <c r="H873" s="441"/>
      <c r="I873" s="441"/>
      <c r="J873" s="441"/>
      <c r="K873" s="441"/>
      <c r="L873" s="441"/>
      <c r="M873" s="441"/>
      <c r="N873" s="441"/>
      <c r="O873" s="441"/>
      <c r="P873" s="441"/>
      <c r="Q873" s="441"/>
      <c r="R873" s="441"/>
      <c r="S873" s="441"/>
      <c r="T873" s="441"/>
      <c r="U873" s="441"/>
      <c r="V873" s="441"/>
      <c r="W873" s="441"/>
      <c r="X873" s="441"/>
      <c r="Y873" s="441"/>
      <c r="Z873" s="441"/>
      <c r="AA873" s="441"/>
      <c r="AB873" s="441"/>
      <c r="AC873" s="441"/>
      <c r="AD873" s="441"/>
      <c r="AE873" s="441"/>
      <c r="AF873" s="441"/>
      <c r="AG873" s="441"/>
      <c r="AH873" s="441"/>
      <c r="AI873" s="441"/>
      <c r="AJ873" s="441"/>
      <c r="AK873" s="441"/>
      <c r="AL873" s="441"/>
      <c r="AM873" s="441"/>
      <c r="AN873" s="441"/>
      <c r="AO873" s="441"/>
      <c r="AP873" s="441"/>
      <c r="AQ873" s="441"/>
      <c r="AR873" s="441"/>
      <c r="AS873" s="441"/>
      <c r="AT873" s="441"/>
      <c r="AU873" s="441"/>
      <c r="AV873" s="441"/>
      <c r="AW873" s="441"/>
      <c r="AX873" s="441"/>
      <c r="AY873" s="441"/>
      <c r="AZ873" s="441"/>
      <c r="BA873" s="441"/>
    </row>
    <row r="874">
      <c r="A874" s="441"/>
      <c r="B874" s="441"/>
      <c r="C874" s="441"/>
      <c r="D874" s="441"/>
      <c r="E874" s="441"/>
      <c r="F874" s="441"/>
      <c r="G874" s="441"/>
      <c r="H874" s="441"/>
      <c r="I874" s="441"/>
      <c r="J874" s="441"/>
      <c r="K874" s="441"/>
      <c r="L874" s="441"/>
      <c r="M874" s="441"/>
      <c r="N874" s="441"/>
      <c r="O874" s="441"/>
      <c r="P874" s="441"/>
      <c r="Q874" s="441"/>
      <c r="R874" s="441"/>
      <c r="S874" s="441"/>
      <c r="T874" s="441"/>
      <c r="U874" s="441"/>
      <c r="V874" s="441"/>
      <c r="W874" s="441"/>
      <c r="X874" s="441"/>
      <c r="Y874" s="441"/>
      <c r="Z874" s="441"/>
      <c r="AA874" s="441"/>
      <c r="AB874" s="441"/>
      <c r="AC874" s="441"/>
      <c r="AD874" s="441"/>
      <c r="AE874" s="441"/>
      <c r="AF874" s="441"/>
      <c r="AG874" s="441"/>
      <c r="AH874" s="441"/>
      <c r="AI874" s="441"/>
      <c r="AJ874" s="441"/>
      <c r="AK874" s="441"/>
      <c r="AL874" s="441"/>
      <c r="AM874" s="441"/>
      <c r="AN874" s="441"/>
      <c r="AO874" s="441"/>
      <c r="AP874" s="441"/>
      <c r="AQ874" s="441"/>
      <c r="AR874" s="441"/>
      <c r="AS874" s="441"/>
      <c r="AT874" s="441"/>
      <c r="AU874" s="441"/>
      <c r="AV874" s="441"/>
      <c r="AW874" s="441"/>
      <c r="AX874" s="441"/>
      <c r="AY874" s="441"/>
      <c r="AZ874" s="441"/>
      <c r="BA874" s="441"/>
    </row>
    <row r="875">
      <c r="A875" s="441"/>
      <c r="B875" s="441"/>
      <c r="C875" s="441"/>
      <c r="D875" s="441"/>
      <c r="E875" s="441"/>
      <c r="F875" s="441"/>
      <c r="G875" s="441"/>
      <c r="H875" s="441"/>
      <c r="I875" s="441"/>
      <c r="J875" s="441"/>
      <c r="K875" s="441"/>
      <c r="L875" s="441"/>
      <c r="M875" s="441"/>
      <c r="N875" s="441"/>
      <c r="O875" s="441"/>
      <c r="P875" s="441"/>
      <c r="Q875" s="441"/>
      <c r="R875" s="441"/>
      <c r="S875" s="441"/>
      <c r="T875" s="441"/>
      <c r="U875" s="441"/>
      <c r="V875" s="441"/>
      <c r="W875" s="441"/>
      <c r="X875" s="441"/>
      <c r="Y875" s="441"/>
      <c r="Z875" s="441"/>
      <c r="AA875" s="441"/>
      <c r="AB875" s="441"/>
      <c r="AC875" s="441"/>
      <c r="AD875" s="441"/>
      <c r="AE875" s="441"/>
      <c r="AF875" s="441"/>
      <c r="AG875" s="441"/>
      <c r="AH875" s="441"/>
      <c r="AI875" s="441"/>
      <c r="AJ875" s="441"/>
      <c r="AK875" s="441"/>
      <c r="AL875" s="441"/>
      <c r="AM875" s="441"/>
      <c r="AN875" s="441"/>
      <c r="AO875" s="441"/>
      <c r="AP875" s="441"/>
      <c r="AQ875" s="441"/>
      <c r="AR875" s="441"/>
      <c r="AS875" s="441"/>
      <c r="AT875" s="441"/>
      <c r="AU875" s="441"/>
      <c r="AV875" s="441"/>
      <c r="AW875" s="441"/>
      <c r="AX875" s="441"/>
      <c r="AY875" s="441"/>
      <c r="AZ875" s="441"/>
      <c r="BA875" s="441"/>
    </row>
    <row r="876">
      <c r="A876" s="441"/>
      <c r="B876" s="441"/>
      <c r="C876" s="441"/>
      <c r="D876" s="441"/>
      <c r="E876" s="441"/>
      <c r="F876" s="441"/>
      <c r="G876" s="441"/>
      <c r="H876" s="441"/>
      <c r="I876" s="441"/>
      <c r="J876" s="441"/>
      <c r="K876" s="441"/>
      <c r="L876" s="441"/>
      <c r="M876" s="441"/>
      <c r="N876" s="441"/>
      <c r="O876" s="441"/>
      <c r="P876" s="441"/>
      <c r="Q876" s="441"/>
      <c r="R876" s="441"/>
      <c r="S876" s="441"/>
      <c r="T876" s="441"/>
      <c r="U876" s="441"/>
      <c r="V876" s="441"/>
      <c r="W876" s="441"/>
      <c r="X876" s="441"/>
      <c r="Y876" s="441"/>
      <c r="Z876" s="441"/>
      <c r="AA876" s="441"/>
      <c r="AB876" s="441"/>
      <c r="AC876" s="441"/>
      <c r="AD876" s="441"/>
      <c r="AE876" s="441"/>
      <c r="AF876" s="441"/>
      <c r="AG876" s="441"/>
      <c r="AH876" s="441"/>
      <c r="AI876" s="441"/>
      <c r="AJ876" s="441"/>
      <c r="AK876" s="441"/>
      <c r="AL876" s="441"/>
      <c r="AM876" s="441"/>
      <c r="AN876" s="441"/>
      <c r="AO876" s="441"/>
      <c r="AP876" s="441"/>
      <c r="AQ876" s="441"/>
      <c r="AR876" s="441"/>
      <c r="AS876" s="441"/>
      <c r="AT876" s="441"/>
      <c r="AU876" s="441"/>
      <c r="AV876" s="441"/>
      <c r="AW876" s="441"/>
      <c r="AX876" s="441"/>
      <c r="AY876" s="441"/>
      <c r="AZ876" s="441"/>
      <c r="BA876" s="441"/>
    </row>
    <row r="877">
      <c r="A877" s="441"/>
      <c r="B877" s="441"/>
      <c r="C877" s="441"/>
      <c r="D877" s="441"/>
      <c r="E877" s="441"/>
      <c r="F877" s="441"/>
      <c r="G877" s="441"/>
      <c r="H877" s="441"/>
      <c r="I877" s="441"/>
      <c r="J877" s="441"/>
      <c r="K877" s="441"/>
      <c r="L877" s="441"/>
      <c r="M877" s="441"/>
      <c r="N877" s="441"/>
      <c r="O877" s="441"/>
      <c r="P877" s="441"/>
      <c r="Q877" s="441"/>
      <c r="R877" s="441"/>
      <c r="S877" s="441"/>
      <c r="T877" s="441"/>
      <c r="U877" s="441"/>
      <c r="V877" s="441"/>
      <c r="W877" s="441"/>
      <c r="X877" s="441"/>
      <c r="Y877" s="441"/>
      <c r="Z877" s="441"/>
      <c r="AA877" s="441"/>
      <c r="AB877" s="441"/>
      <c r="AC877" s="441"/>
      <c r="AD877" s="441"/>
      <c r="AE877" s="441"/>
      <c r="AF877" s="441"/>
      <c r="AG877" s="441"/>
      <c r="AH877" s="441"/>
      <c r="AI877" s="441"/>
      <c r="AJ877" s="441"/>
      <c r="AK877" s="441"/>
      <c r="AL877" s="441"/>
      <c r="AM877" s="441"/>
      <c r="AN877" s="441"/>
      <c r="AO877" s="441"/>
      <c r="AP877" s="441"/>
      <c r="AQ877" s="441"/>
      <c r="AR877" s="441"/>
      <c r="AS877" s="441"/>
      <c r="AT877" s="441"/>
      <c r="AU877" s="441"/>
      <c r="AV877" s="441"/>
      <c r="AW877" s="441"/>
      <c r="AX877" s="441"/>
      <c r="AY877" s="441"/>
      <c r="AZ877" s="441"/>
      <c r="BA877" s="441"/>
    </row>
    <row r="878">
      <c r="A878" s="441"/>
      <c r="B878" s="441"/>
      <c r="C878" s="441"/>
      <c r="D878" s="441"/>
      <c r="E878" s="441"/>
      <c r="F878" s="441"/>
      <c r="G878" s="441"/>
      <c r="H878" s="441"/>
      <c r="I878" s="441"/>
      <c r="J878" s="441"/>
      <c r="K878" s="441"/>
      <c r="L878" s="441"/>
      <c r="M878" s="441"/>
      <c r="N878" s="441"/>
      <c r="O878" s="441"/>
      <c r="P878" s="441"/>
      <c r="Q878" s="441"/>
      <c r="R878" s="441"/>
      <c r="S878" s="441"/>
      <c r="T878" s="441"/>
      <c r="U878" s="441"/>
      <c r="V878" s="441"/>
      <c r="W878" s="441"/>
      <c r="X878" s="441"/>
      <c r="Y878" s="441"/>
      <c r="Z878" s="441"/>
      <c r="AA878" s="441"/>
      <c r="AB878" s="441"/>
      <c r="AC878" s="441"/>
      <c r="AD878" s="441"/>
      <c r="AE878" s="441"/>
      <c r="AF878" s="441"/>
      <c r="AG878" s="441"/>
      <c r="AH878" s="441"/>
      <c r="AI878" s="441"/>
      <c r="AJ878" s="441"/>
      <c r="AK878" s="441"/>
      <c r="AL878" s="441"/>
      <c r="AM878" s="441"/>
      <c r="AN878" s="441"/>
      <c r="AO878" s="441"/>
      <c r="AP878" s="441"/>
      <c r="AQ878" s="441"/>
      <c r="AR878" s="441"/>
      <c r="AS878" s="441"/>
      <c r="AT878" s="441"/>
      <c r="AU878" s="441"/>
      <c r="AV878" s="441"/>
      <c r="AW878" s="441"/>
      <c r="AX878" s="441"/>
      <c r="AY878" s="441"/>
      <c r="AZ878" s="441"/>
      <c r="BA878" s="441"/>
    </row>
    <row r="879">
      <c r="A879" s="441"/>
      <c r="B879" s="441"/>
      <c r="C879" s="441"/>
      <c r="D879" s="441"/>
      <c r="E879" s="441"/>
      <c r="F879" s="441"/>
      <c r="G879" s="441"/>
      <c r="H879" s="441"/>
      <c r="I879" s="441"/>
      <c r="J879" s="441"/>
      <c r="K879" s="441"/>
      <c r="L879" s="441"/>
      <c r="M879" s="441"/>
      <c r="N879" s="441"/>
      <c r="O879" s="441"/>
      <c r="P879" s="441"/>
      <c r="Q879" s="441"/>
      <c r="R879" s="441"/>
      <c r="S879" s="441"/>
      <c r="T879" s="441"/>
      <c r="U879" s="441"/>
      <c r="V879" s="441"/>
      <c r="W879" s="441"/>
      <c r="X879" s="441"/>
      <c r="Y879" s="441"/>
      <c r="Z879" s="441"/>
      <c r="AA879" s="441"/>
      <c r="AB879" s="441"/>
      <c r="AC879" s="441"/>
      <c r="AD879" s="441"/>
      <c r="AE879" s="441"/>
      <c r="AF879" s="441"/>
      <c r="AG879" s="441"/>
      <c r="AH879" s="441"/>
      <c r="AI879" s="441"/>
      <c r="AJ879" s="441"/>
      <c r="AK879" s="441"/>
      <c r="AL879" s="441"/>
      <c r="AM879" s="441"/>
      <c r="AN879" s="441"/>
      <c r="AO879" s="441"/>
      <c r="AP879" s="441"/>
      <c r="AQ879" s="441"/>
      <c r="AR879" s="441"/>
      <c r="AS879" s="441"/>
      <c r="AT879" s="441"/>
      <c r="AU879" s="441"/>
      <c r="AV879" s="441"/>
      <c r="AW879" s="441"/>
      <c r="AX879" s="441"/>
      <c r="AY879" s="441"/>
      <c r="AZ879" s="441"/>
      <c r="BA879" s="441"/>
    </row>
    <row r="880">
      <c r="A880" s="441"/>
      <c r="B880" s="441"/>
      <c r="C880" s="441"/>
      <c r="D880" s="441"/>
      <c r="E880" s="441"/>
      <c r="F880" s="441"/>
      <c r="G880" s="441"/>
      <c r="H880" s="441"/>
      <c r="I880" s="441"/>
      <c r="J880" s="441"/>
      <c r="K880" s="441"/>
      <c r="L880" s="441"/>
      <c r="M880" s="441"/>
      <c r="N880" s="441"/>
      <c r="O880" s="441"/>
      <c r="P880" s="441"/>
      <c r="Q880" s="441"/>
      <c r="R880" s="441"/>
      <c r="S880" s="441"/>
      <c r="T880" s="441"/>
      <c r="U880" s="441"/>
      <c r="V880" s="441"/>
      <c r="W880" s="441"/>
      <c r="X880" s="441"/>
      <c r="Y880" s="441"/>
      <c r="Z880" s="441"/>
      <c r="AA880" s="441"/>
      <c r="AB880" s="441"/>
      <c r="AC880" s="441"/>
      <c r="AD880" s="441"/>
      <c r="AE880" s="441"/>
      <c r="AF880" s="441"/>
      <c r="AG880" s="441"/>
      <c r="AH880" s="441"/>
      <c r="AI880" s="441"/>
      <c r="AJ880" s="441"/>
      <c r="AK880" s="441"/>
      <c r="AL880" s="441"/>
      <c r="AM880" s="441"/>
      <c r="AN880" s="441"/>
      <c r="AO880" s="441"/>
      <c r="AP880" s="441"/>
      <c r="AQ880" s="441"/>
      <c r="AR880" s="441"/>
      <c r="AS880" s="441"/>
      <c r="AT880" s="441"/>
      <c r="AU880" s="441"/>
      <c r="AV880" s="441"/>
      <c r="AW880" s="441"/>
      <c r="AX880" s="441"/>
      <c r="AY880" s="441"/>
      <c r="AZ880" s="441"/>
      <c r="BA880" s="441"/>
    </row>
    <row r="881">
      <c r="A881" s="441"/>
      <c r="B881" s="441"/>
      <c r="C881" s="441"/>
      <c r="D881" s="441"/>
      <c r="E881" s="441"/>
      <c r="F881" s="441"/>
      <c r="G881" s="441"/>
      <c r="H881" s="441"/>
      <c r="I881" s="441"/>
      <c r="J881" s="441"/>
      <c r="K881" s="441"/>
      <c r="L881" s="441"/>
      <c r="M881" s="441"/>
      <c r="N881" s="441"/>
      <c r="O881" s="441"/>
      <c r="P881" s="441"/>
      <c r="Q881" s="441"/>
      <c r="R881" s="441"/>
      <c r="S881" s="441"/>
      <c r="T881" s="441"/>
      <c r="U881" s="441"/>
      <c r="V881" s="441"/>
      <c r="W881" s="441"/>
      <c r="X881" s="441"/>
      <c r="Y881" s="441"/>
      <c r="Z881" s="441"/>
      <c r="AA881" s="441"/>
      <c r="AB881" s="441"/>
      <c r="AC881" s="441"/>
      <c r="AD881" s="441"/>
      <c r="AE881" s="441"/>
      <c r="AF881" s="441"/>
      <c r="AG881" s="441"/>
      <c r="AH881" s="441"/>
      <c r="AI881" s="441"/>
      <c r="AJ881" s="441"/>
      <c r="AK881" s="441"/>
      <c r="AL881" s="441"/>
      <c r="AM881" s="441"/>
      <c r="AN881" s="441"/>
      <c r="AO881" s="441"/>
      <c r="AP881" s="441"/>
      <c r="AQ881" s="441"/>
      <c r="AR881" s="441"/>
      <c r="AS881" s="441"/>
      <c r="AT881" s="441"/>
      <c r="AU881" s="441"/>
      <c r="AV881" s="441"/>
      <c r="AW881" s="441"/>
      <c r="AX881" s="441"/>
      <c r="AY881" s="441"/>
      <c r="AZ881" s="441"/>
      <c r="BA881" s="441"/>
    </row>
    <row r="882">
      <c r="A882" s="441"/>
      <c r="B882" s="441"/>
      <c r="C882" s="441"/>
      <c r="D882" s="441"/>
      <c r="E882" s="441"/>
      <c r="F882" s="441"/>
      <c r="G882" s="441"/>
      <c r="H882" s="441"/>
      <c r="I882" s="441"/>
      <c r="J882" s="441"/>
      <c r="K882" s="441"/>
      <c r="L882" s="441"/>
      <c r="M882" s="441"/>
      <c r="N882" s="441"/>
      <c r="O882" s="441"/>
      <c r="P882" s="441"/>
      <c r="Q882" s="441"/>
      <c r="R882" s="441"/>
      <c r="S882" s="441"/>
      <c r="T882" s="441"/>
      <c r="U882" s="441"/>
      <c r="V882" s="441"/>
      <c r="W882" s="441"/>
      <c r="X882" s="441"/>
      <c r="Y882" s="441"/>
      <c r="Z882" s="441"/>
      <c r="AA882" s="441"/>
      <c r="AB882" s="441"/>
      <c r="AC882" s="441"/>
      <c r="AD882" s="441"/>
      <c r="AE882" s="441"/>
      <c r="AF882" s="441"/>
      <c r="AG882" s="441"/>
      <c r="AH882" s="441"/>
      <c r="AI882" s="441"/>
      <c r="AJ882" s="441"/>
      <c r="AK882" s="441"/>
      <c r="AL882" s="441"/>
      <c r="AM882" s="441"/>
      <c r="AN882" s="441"/>
      <c r="AO882" s="441"/>
      <c r="AP882" s="441"/>
      <c r="AQ882" s="441"/>
      <c r="AR882" s="441"/>
      <c r="AS882" s="441"/>
      <c r="AT882" s="441"/>
      <c r="AU882" s="441"/>
      <c r="AV882" s="441"/>
      <c r="AW882" s="441"/>
      <c r="AX882" s="441"/>
      <c r="AY882" s="441"/>
      <c r="AZ882" s="441"/>
      <c r="BA882" s="441"/>
    </row>
    <row r="883">
      <c r="A883" s="441"/>
      <c r="B883" s="441"/>
      <c r="C883" s="441"/>
      <c r="D883" s="441"/>
      <c r="E883" s="441"/>
      <c r="F883" s="441"/>
      <c r="G883" s="441"/>
      <c r="H883" s="441"/>
      <c r="I883" s="441"/>
      <c r="J883" s="441"/>
      <c r="K883" s="441"/>
      <c r="L883" s="441"/>
      <c r="M883" s="441"/>
      <c r="N883" s="441"/>
      <c r="O883" s="441"/>
      <c r="P883" s="441"/>
      <c r="Q883" s="441"/>
      <c r="R883" s="441"/>
      <c r="S883" s="441"/>
      <c r="T883" s="441"/>
      <c r="U883" s="441"/>
      <c r="V883" s="441"/>
      <c r="W883" s="441"/>
      <c r="X883" s="441"/>
      <c r="Y883" s="441"/>
      <c r="Z883" s="441"/>
      <c r="AA883" s="441"/>
      <c r="AB883" s="441"/>
      <c r="AC883" s="441"/>
      <c r="AD883" s="441"/>
      <c r="AE883" s="441"/>
      <c r="AF883" s="441"/>
      <c r="AG883" s="441"/>
      <c r="AH883" s="441"/>
      <c r="AI883" s="441"/>
      <c r="AJ883" s="441"/>
      <c r="AK883" s="441"/>
      <c r="AL883" s="441"/>
      <c r="AM883" s="441"/>
      <c r="AN883" s="441"/>
      <c r="AO883" s="441"/>
      <c r="AP883" s="441"/>
      <c r="AQ883" s="441"/>
      <c r="AR883" s="441"/>
      <c r="AS883" s="441"/>
      <c r="AT883" s="441"/>
      <c r="AU883" s="441"/>
      <c r="AV883" s="441"/>
      <c r="AW883" s="441"/>
      <c r="AX883" s="441"/>
      <c r="AY883" s="441"/>
      <c r="AZ883" s="441"/>
      <c r="BA883" s="441"/>
    </row>
    <row r="884">
      <c r="A884" s="441"/>
      <c r="B884" s="441"/>
      <c r="C884" s="441"/>
      <c r="D884" s="441"/>
      <c r="E884" s="441"/>
      <c r="F884" s="441"/>
      <c r="G884" s="441"/>
      <c r="H884" s="441"/>
      <c r="I884" s="441"/>
      <c r="J884" s="441"/>
      <c r="K884" s="441"/>
      <c r="L884" s="441"/>
      <c r="M884" s="441"/>
      <c r="N884" s="441"/>
      <c r="O884" s="441"/>
      <c r="P884" s="441"/>
      <c r="Q884" s="441"/>
      <c r="R884" s="441"/>
      <c r="S884" s="441"/>
      <c r="T884" s="441"/>
      <c r="U884" s="441"/>
      <c r="V884" s="441"/>
      <c r="W884" s="441"/>
      <c r="X884" s="441"/>
      <c r="Y884" s="441"/>
      <c r="Z884" s="441"/>
      <c r="AA884" s="441"/>
      <c r="AB884" s="441"/>
      <c r="AC884" s="441"/>
      <c r="AD884" s="441"/>
      <c r="AE884" s="441"/>
      <c r="AF884" s="441"/>
      <c r="AG884" s="441"/>
      <c r="AH884" s="441"/>
      <c r="AI884" s="441"/>
      <c r="AJ884" s="441"/>
      <c r="AK884" s="441"/>
      <c r="AL884" s="441"/>
      <c r="AM884" s="441"/>
      <c r="AN884" s="441"/>
      <c r="AO884" s="441"/>
      <c r="AP884" s="441"/>
      <c r="AQ884" s="441"/>
      <c r="AR884" s="441"/>
      <c r="AS884" s="441"/>
      <c r="AT884" s="441"/>
      <c r="AU884" s="441"/>
      <c r="AV884" s="441"/>
      <c r="AW884" s="441"/>
      <c r="AX884" s="441"/>
      <c r="AY884" s="441"/>
      <c r="AZ884" s="441"/>
      <c r="BA884" s="441"/>
    </row>
    <row r="885">
      <c r="A885" s="441"/>
      <c r="B885" s="441"/>
      <c r="C885" s="441"/>
      <c r="D885" s="441"/>
      <c r="E885" s="441"/>
      <c r="F885" s="441"/>
      <c r="G885" s="441"/>
      <c r="H885" s="441"/>
      <c r="I885" s="441"/>
      <c r="J885" s="441"/>
      <c r="K885" s="441"/>
      <c r="L885" s="441"/>
      <c r="M885" s="441"/>
      <c r="N885" s="441"/>
      <c r="O885" s="441"/>
      <c r="P885" s="441"/>
      <c r="Q885" s="441"/>
      <c r="R885" s="441"/>
      <c r="S885" s="441"/>
      <c r="T885" s="441"/>
      <c r="U885" s="441"/>
      <c r="V885" s="441"/>
      <c r="W885" s="441"/>
      <c r="X885" s="441"/>
      <c r="Y885" s="441"/>
      <c r="Z885" s="441"/>
      <c r="AA885" s="441"/>
      <c r="AB885" s="441"/>
      <c r="AC885" s="441"/>
      <c r="AD885" s="441"/>
      <c r="AE885" s="441"/>
      <c r="AF885" s="441"/>
      <c r="AG885" s="441"/>
      <c r="AH885" s="441"/>
      <c r="AI885" s="441"/>
      <c r="AJ885" s="441"/>
      <c r="AK885" s="441"/>
      <c r="AL885" s="441"/>
      <c r="AM885" s="441"/>
      <c r="AN885" s="441"/>
      <c r="AO885" s="441"/>
      <c r="AP885" s="441"/>
      <c r="AQ885" s="441"/>
      <c r="AR885" s="441"/>
      <c r="AS885" s="441"/>
      <c r="AT885" s="441"/>
      <c r="AU885" s="441"/>
      <c r="AV885" s="441"/>
      <c r="AW885" s="441"/>
      <c r="AX885" s="441"/>
      <c r="AY885" s="441"/>
      <c r="AZ885" s="441"/>
      <c r="BA885" s="441"/>
    </row>
    <row r="886">
      <c r="A886" s="441"/>
      <c r="B886" s="441"/>
      <c r="C886" s="441"/>
      <c r="D886" s="441"/>
      <c r="E886" s="441"/>
      <c r="F886" s="441"/>
      <c r="G886" s="441"/>
      <c r="H886" s="441"/>
      <c r="I886" s="441"/>
      <c r="J886" s="441"/>
      <c r="K886" s="441"/>
      <c r="L886" s="441"/>
      <c r="M886" s="441"/>
      <c r="N886" s="441"/>
      <c r="O886" s="441"/>
      <c r="P886" s="441"/>
      <c r="Q886" s="441"/>
      <c r="R886" s="441"/>
      <c r="S886" s="441"/>
      <c r="T886" s="441"/>
      <c r="U886" s="441"/>
      <c r="V886" s="441"/>
      <c r="W886" s="441"/>
      <c r="X886" s="441"/>
      <c r="Y886" s="441"/>
      <c r="Z886" s="441"/>
      <c r="AA886" s="441"/>
      <c r="AB886" s="441"/>
      <c r="AC886" s="441"/>
      <c r="AD886" s="441"/>
      <c r="AE886" s="441"/>
      <c r="AF886" s="441"/>
      <c r="AG886" s="441"/>
      <c r="AH886" s="441"/>
      <c r="AI886" s="441"/>
      <c r="AJ886" s="441"/>
      <c r="AK886" s="441"/>
      <c r="AL886" s="441"/>
      <c r="AM886" s="441"/>
      <c r="AN886" s="441"/>
      <c r="AO886" s="441"/>
      <c r="AP886" s="441"/>
      <c r="AQ886" s="441"/>
      <c r="AR886" s="441"/>
      <c r="AS886" s="441"/>
      <c r="AT886" s="441"/>
      <c r="AU886" s="441"/>
      <c r="AV886" s="441"/>
      <c r="AW886" s="441"/>
      <c r="AX886" s="441"/>
      <c r="AY886" s="441"/>
      <c r="AZ886" s="441"/>
      <c r="BA886" s="441"/>
    </row>
    <row r="887">
      <c r="A887" s="441"/>
      <c r="B887" s="441"/>
      <c r="C887" s="441"/>
      <c r="D887" s="441"/>
      <c r="E887" s="441"/>
      <c r="F887" s="441"/>
      <c r="G887" s="441"/>
      <c r="H887" s="441"/>
      <c r="I887" s="441"/>
      <c r="J887" s="441"/>
      <c r="K887" s="441"/>
      <c r="L887" s="441"/>
      <c r="M887" s="441"/>
      <c r="N887" s="441"/>
      <c r="O887" s="441"/>
      <c r="P887" s="441"/>
      <c r="Q887" s="441"/>
      <c r="R887" s="441"/>
      <c r="S887" s="441"/>
      <c r="T887" s="441"/>
      <c r="U887" s="441"/>
      <c r="V887" s="441"/>
      <c r="W887" s="441"/>
      <c r="X887" s="441"/>
      <c r="Y887" s="441"/>
      <c r="Z887" s="441"/>
      <c r="AA887" s="441"/>
      <c r="AB887" s="441"/>
      <c r="AC887" s="441"/>
      <c r="AD887" s="441"/>
      <c r="AE887" s="441"/>
      <c r="AF887" s="441"/>
      <c r="AG887" s="441"/>
      <c r="AH887" s="441"/>
      <c r="AI887" s="441"/>
      <c r="AJ887" s="441"/>
      <c r="AK887" s="441"/>
      <c r="AL887" s="441"/>
      <c r="AM887" s="441"/>
      <c r="AN887" s="441"/>
      <c r="AO887" s="441"/>
      <c r="AP887" s="441"/>
      <c r="AQ887" s="441"/>
      <c r="AR887" s="441"/>
      <c r="AS887" s="441"/>
      <c r="AT887" s="441"/>
      <c r="AU887" s="441"/>
      <c r="AV887" s="441"/>
      <c r="AW887" s="441"/>
      <c r="AX887" s="441"/>
      <c r="AY887" s="441"/>
      <c r="AZ887" s="441"/>
      <c r="BA887" s="441"/>
    </row>
    <row r="888">
      <c r="A888" s="441"/>
      <c r="B888" s="441"/>
      <c r="C888" s="441"/>
      <c r="D888" s="441"/>
      <c r="E888" s="441"/>
      <c r="F888" s="441"/>
      <c r="G888" s="441"/>
      <c r="H888" s="441"/>
      <c r="I888" s="441"/>
      <c r="J888" s="441"/>
      <c r="K888" s="441"/>
      <c r="L888" s="441"/>
      <c r="M888" s="441"/>
      <c r="N888" s="441"/>
      <c r="O888" s="441"/>
      <c r="P888" s="441"/>
      <c r="Q888" s="441"/>
      <c r="R888" s="441"/>
      <c r="S888" s="441"/>
      <c r="T888" s="441"/>
      <c r="U888" s="441"/>
      <c r="V888" s="441"/>
      <c r="W888" s="441"/>
      <c r="X888" s="441"/>
      <c r="Y888" s="441"/>
      <c r="Z888" s="441"/>
      <c r="AA888" s="441"/>
      <c r="AB888" s="441"/>
      <c r="AC888" s="441"/>
      <c r="AD888" s="441"/>
      <c r="AE888" s="441"/>
      <c r="AF888" s="441"/>
      <c r="AG888" s="441"/>
      <c r="AH888" s="441"/>
      <c r="AI888" s="441"/>
      <c r="AJ888" s="441"/>
      <c r="AK888" s="441"/>
      <c r="AL888" s="441"/>
      <c r="AM888" s="441"/>
      <c r="AN888" s="441"/>
      <c r="AO888" s="441"/>
      <c r="AP888" s="441"/>
      <c r="AQ888" s="441"/>
      <c r="AR888" s="441"/>
      <c r="AS888" s="441"/>
      <c r="AT888" s="441"/>
      <c r="AU888" s="441"/>
      <c r="AV888" s="441"/>
      <c r="AW888" s="441"/>
      <c r="AX888" s="441"/>
      <c r="AY888" s="441"/>
      <c r="AZ888" s="441"/>
      <c r="BA888" s="441"/>
    </row>
    <row r="889">
      <c r="A889" s="441"/>
      <c r="B889" s="441"/>
      <c r="C889" s="441"/>
      <c r="D889" s="441"/>
      <c r="E889" s="441"/>
      <c r="F889" s="441"/>
      <c r="G889" s="441"/>
      <c r="H889" s="441"/>
      <c r="I889" s="441"/>
      <c r="J889" s="441"/>
      <c r="K889" s="441"/>
      <c r="L889" s="441"/>
      <c r="M889" s="441"/>
      <c r="N889" s="441"/>
      <c r="O889" s="441"/>
      <c r="P889" s="441"/>
      <c r="Q889" s="441"/>
      <c r="R889" s="441"/>
      <c r="S889" s="441"/>
      <c r="T889" s="441"/>
      <c r="U889" s="441"/>
      <c r="V889" s="441"/>
      <c r="W889" s="441"/>
      <c r="X889" s="441"/>
      <c r="Y889" s="441"/>
      <c r="Z889" s="441"/>
      <c r="AA889" s="441"/>
      <c r="AB889" s="441"/>
      <c r="AC889" s="441"/>
      <c r="AD889" s="441"/>
      <c r="AE889" s="441"/>
      <c r="AF889" s="441"/>
      <c r="AG889" s="441"/>
      <c r="AH889" s="441"/>
      <c r="AI889" s="441"/>
      <c r="AJ889" s="441"/>
      <c r="AK889" s="441"/>
      <c r="AL889" s="441"/>
      <c r="AM889" s="441"/>
      <c r="AN889" s="441"/>
      <c r="AO889" s="441"/>
      <c r="AP889" s="441"/>
      <c r="AQ889" s="441"/>
      <c r="AR889" s="441"/>
      <c r="AS889" s="441"/>
      <c r="AT889" s="441"/>
      <c r="AU889" s="441"/>
      <c r="AV889" s="441"/>
      <c r="AW889" s="441"/>
      <c r="AX889" s="441"/>
      <c r="AY889" s="441"/>
      <c r="AZ889" s="441"/>
      <c r="BA889" s="441"/>
    </row>
    <row r="890">
      <c r="A890" s="441"/>
      <c r="B890" s="441"/>
      <c r="C890" s="441"/>
      <c r="D890" s="441"/>
      <c r="E890" s="441"/>
      <c r="F890" s="441"/>
      <c r="G890" s="441"/>
      <c r="H890" s="441"/>
      <c r="I890" s="441"/>
      <c r="J890" s="441"/>
      <c r="K890" s="441"/>
      <c r="L890" s="441"/>
      <c r="M890" s="441"/>
      <c r="N890" s="441"/>
      <c r="O890" s="441"/>
      <c r="P890" s="441"/>
      <c r="Q890" s="441"/>
      <c r="R890" s="441"/>
      <c r="S890" s="441"/>
      <c r="T890" s="441"/>
      <c r="U890" s="441"/>
      <c r="V890" s="441"/>
      <c r="W890" s="441"/>
      <c r="X890" s="441"/>
      <c r="Y890" s="441"/>
      <c r="Z890" s="441"/>
      <c r="AA890" s="441"/>
      <c r="AB890" s="441"/>
      <c r="AC890" s="441"/>
      <c r="AD890" s="441"/>
      <c r="AE890" s="441"/>
      <c r="AF890" s="441"/>
      <c r="AG890" s="441"/>
      <c r="AH890" s="441"/>
      <c r="AI890" s="441"/>
      <c r="AJ890" s="441"/>
      <c r="AK890" s="441"/>
      <c r="AL890" s="441"/>
      <c r="AM890" s="441"/>
      <c r="AN890" s="441"/>
      <c r="AO890" s="441"/>
      <c r="AP890" s="441"/>
      <c r="AQ890" s="441"/>
      <c r="AR890" s="441"/>
      <c r="AS890" s="441"/>
      <c r="AT890" s="441"/>
      <c r="AU890" s="441"/>
      <c r="AV890" s="441"/>
      <c r="AW890" s="441"/>
      <c r="AX890" s="441"/>
      <c r="AY890" s="441"/>
      <c r="AZ890" s="441"/>
      <c r="BA890" s="441"/>
    </row>
    <row r="891">
      <c r="A891" s="441"/>
      <c r="B891" s="441"/>
      <c r="C891" s="441"/>
      <c r="D891" s="441"/>
      <c r="E891" s="441"/>
      <c r="F891" s="441"/>
      <c r="G891" s="441"/>
      <c r="H891" s="441"/>
      <c r="I891" s="441"/>
      <c r="J891" s="441"/>
      <c r="K891" s="441"/>
      <c r="L891" s="441"/>
      <c r="M891" s="441"/>
      <c r="N891" s="441"/>
      <c r="O891" s="441"/>
      <c r="P891" s="441"/>
      <c r="Q891" s="441"/>
      <c r="R891" s="441"/>
      <c r="S891" s="441"/>
      <c r="T891" s="441"/>
      <c r="U891" s="441"/>
      <c r="V891" s="441"/>
      <c r="W891" s="441"/>
      <c r="X891" s="441"/>
      <c r="Y891" s="441"/>
      <c r="Z891" s="441"/>
      <c r="AA891" s="441"/>
      <c r="AB891" s="441"/>
      <c r="AC891" s="441"/>
      <c r="AD891" s="441"/>
      <c r="AE891" s="441"/>
      <c r="AF891" s="441"/>
      <c r="AG891" s="441"/>
      <c r="AH891" s="441"/>
      <c r="AI891" s="441"/>
      <c r="AJ891" s="441"/>
      <c r="AK891" s="441"/>
      <c r="AL891" s="441"/>
      <c r="AM891" s="441"/>
      <c r="AN891" s="441"/>
      <c r="AO891" s="441"/>
      <c r="AP891" s="441"/>
      <c r="AQ891" s="441"/>
      <c r="AR891" s="441"/>
      <c r="AS891" s="441"/>
      <c r="AT891" s="441"/>
      <c r="AU891" s="441"/>
      <c r="AV891" s="441"/>
      <c r="AW891" s="441"/>
      <c r="AX891" s="441"/>
      <c r="AY891" s="441"/>
      <c r="AZ891" s="441"/>
      <c r="BA891" s="441"/>
    </row>
    <row r="892">
      <c r="A892" s="441"/>
      <c r="B892" s="441"/>
      <c r="C892" s="441"/>
      <c r="D892" s="441"/>
      <c r="E892" s="441"/>
      <c r="F892" s="441"/>
      <c r="G892" s="441"/>
      <c r="H892" s="441"/>
      <c r="I892" s="441"/>
      <c r="J892" s="441"/>
      <c r="K892" s="441"/>
      <c r="L892" s="441"/>
      <c r="M892" s="441"/>
      <c r="N892" s="441"/>
      <c r="O892" s="441"/>
      <c r="P892" s="441"/>
      <c r="Q892" s="441"/>
      <c r="R892" s="441"/>
      <c r="S892" s="441"/>
      <c r="T892" s="441"/>
      <c r="U892" s="441"/>
      <c r="V892" s="441"/>
      <c r="W892" s="441"/>
      <c r="X892" s="441"/>
      <c r="Y892" s="441"/>
      <c r="Z892" s="441"/>
      <c r="AA892" s="441"/>
      <c r="AB892" s="441"/>
      <c r="AC892" s="441"/>
      <c r="AD892" s="441"/>
      <c r="AE892" s="441"/>
      <c r="AF892" s="441"/>
      <c r="AG892" s="441"/>
      <c r="AH892" s="441"/>
      <c r="AI892" s="441"/>
      <c r="AJ892" s="441"/>
      <c r="AK892" s="441"/>
      <c r="AL892" s="441"/>
      <c r="AM892" s="441"/>
      <c r="AN892" s="441"/>
      <c r="AO892" s="441"/>
      <c r="AP892" s="441"/>
      <c r="AQ892" s="441"/>
      <c r="AR892" s="441"/>
      <c r="AS892" s="441"/>
      <c r="AT892" s="441"/>
      <c r="AU892" s="441"/>
      <c r="AV892" s="441"/>
      <c r="AW892" s="441"/>
      <c r="AX892" s="441"/>
      <c r="AY892" s="441"/>
      <c r="AZ892" s="441"/>
      <c r="BA892" s="441"/>
    </row>
    <row r="893">
      <c r="A893" s="441"/>
      <c r="B893" s="441"/>
      <c r="C893" s="441"/>
      <c r="D893" s="441"/>
      <c r="E893" s="441"/>
      <c r="F893" s="441"/>
      <c r="G893" s="441"/>
      <c r="H893" s="441"/>
      <c r="I893" s="441"/>
      <c r="J893" s="441"/>
      <c r="K893" s="441"/>
      <c r="L893" s="441"/>
      <c r="M893" s="441"/>
      <c r="N893" s="441"/>
      <c r="O893" s="441"/>
      <c r="P893" s="441"/>
      <c r="Q893" s="441"/>
      <c r="R893" s="441"/>
      <c r="S893" s="441"/>
      <c r="T893" s="441"/>
      <c r="U893" s="441"/>
      <c r="V893" s="441"/>
      <c r="W893" s="441"/>
      <c r="X893" s="441"/>
      <c r="Y893" s="441"/>
      <c r="Z893" s="441"/>
      <c r="AA893" s="441"/>
      <c r="AB893" s="441"/>
      <c r="AC893" s="441"/>
      <c r="AD893" s="441"/>
      <c r="AE893" s="441"/>
      <c r="AF893" s="441"/>
      <c r="AG893" s="441"/>
      <c r="AH893" s="441"/>
      <c r="AI893" s="441"/>
      <c r="AJ893" s="441"/>
      <c r="AK893" s="441"/>
      <c r="AL893" s="441"/>
      <c r="AM893" s="441"/>
      <c r="AN893" s="441"/>
      <c r="AO893" s="441"/>
      <c r="AP893" s="441"/>
      <c r="AQ893" s="441"/>
      <c r="AR893" s="441"/>
      <c r="AS893" s="441"/>
      <c r="AT893" s="441"/>
      <c r="AU893" s="441"/>
      <c r="AV893" s="441"/>
      <c r="AW893" s="441"/>
      <c r="AX893" s="441"/>
      <c r="AY893" s="441"/>
      <c r="AZ893" s="441"/>
      <c r="BA893" s="441"/>
    </row>
    <row r="894">
      <c r="A894" s="441"/>
      <c r="B894" s="441"/>
      <c r="C894" s="441"/>
      <c r="D894" s="441"/>
      <c r="E894" s="441"/>
      <c r="F894" s="441"/>
      <c r="G894" s="441"/>
      <c r="H894" s="441"/>
      <c r="I894" s="441"/>
      <c r="J894" s="441"/>
      <c r="K894" s="441"/>
      <c r="L894" s="441"/>
      <c r="M894" s="441"/>
      <c r="N894" s="441"/>
      <c r="O894" s="441"/>
      <c r="P894" s="441"/>
      <c r="Q894" s="441"/>
      <c r="R894" s="441"/>
      <c r="S894" s="441"/>
      <c r="T894" s="441"/>
      <c r="U894" s="441"/>
      <c r="V894" s="441"/>
      <c r="W894" s="441"/>
      <c r="X894" s="441"/>
      <c r="Y894" s="441"/>
      <c r="Z894" s="441"/>
      <c r="AA894" s="441"/>
      <c r="AB894" s="441"/>
      <c r="AC894" s="441"/>
      <c r="AD894" s="441"/>
      <c r="AE894" s="441"/>
      <c r="AF894" s="441"/>
      <c r="AG894" s="441"/>
      <c r="AH894" s="441"/>
      <c r="AI894" s="441"/>
      <c r="AJ894" s="441"/>
      <c r="AK894" s="441"/>
      <c r="AL894" s="441"/>
      <c r="AM894" s="441"/>
      <c r="AN894" s="441"/>
      <c r="AO894" s="441"/>
      <c r="AP894" s="441"/>
      <c r="AQ894" s="441"/>
      <c r="AR894" s="441"/>
      <c r="AS894" s="441"/>
      <c r="AT894" s="441"/>
      <c r="AU894" s="441"/>
      <c r="AV894" s="441"/>
      <c r="AW894" s="441"/>
      <c r="AX894" s="441"/>
      <c r="AY894" s="441"/>
      <c r="AZ894" s="441"/>
      <c r="BA894" s="441"/>
    </row>
    <row r="895">
      <c r="A895" s="441"/>
      <c r="B895" s="441"/>
      <c r="C895" s="441"/>
      <c r="D895" s="441"/>
      <c r="E895" s="441"/>
      <c r="F895" s="441"/>
      <c r="G895" s="441"/>
      <c r="H895" s="441"/>
      <c r="I895" s="441"/>
      <c r="J895" s="441"/>
      <c r="K895" s="441"/>
      <c r="L895" s="441"/>
      <c r="M895" s="441"/>
      <c r="N895" s="441"/>
      <c r="O895" s="441"/>
      <c r="P895" s="441"/>
      <c r="Q895" s="441"/>
      <c r="R895" s="441"/>
      <c r="S895" s="441"/>
      <c r="T895" s="441"/>
      <c r="U895" s="441"/>
      <c r="V895" s="441"/>
      <c r="W895" s="441"/>
      <c r="X895" s="441"/>
      <c r="Y895" s="441"/>
      <c r="Z895" s="441"/>
      <c r="AA895" s="441"/>
      <c r="AB895" s="441"/>
      <c r="AC895" s="441"/>
      <c r="AD895" s="441"/>
      <c r="AE895" s="441"/>
      <c r="AF895" s="441"/>
      <c r="AG895" s="441"/>
      <c r="AH895" s="441"/>
      <c r="AI895" s="441"/>
      <c r="AJ895" s="441"/>
      <c r="AK895" s="441"/>
      <c r="AL895" s="441"/>
      <c r="AM895" s="441"/>
      <c r="AN895" s="441"/>
      <c r="AO895" s="441"/>
      <c r="AP895" s="441"/>
      <c r="AQ895" s="441"/>
      <c r="AR895" s="441"/>
      <c r="AS895" s="441"/>
      <c r="AT895" s="441"/>
      <c r="AU895" s="441"/>
      <c r="AV895" s="441"/>
      <c r="AW895" s="441"/>
      <c r="AX895" s="441"/>
      <c r="AY895" s="441"/>
      <c r="AZ895" s="441"/>
      <c r="BA895" s="441"/>
    </row>
    <row r="896">
      <c r="A896" s="441"/>
      <c r="B896" s="441"/>
      <c r="C896" s="441"/>
      <c r="D896" s="441"/>
      <c r="E896" s="441"/>
      <c r="F896" s="441"/>
      <c r="G896" s="441"/>
      <c r="H896" s="441"/>
      <c r="I896" s="441"/>
      <c r="J896" s="441"/>
      <c r="K896" s="441"/>
      <c r="L896" s="441"/>
      <c r="M896" s="441"/>
      <c r="N896" s="441"/>
      <c r="O896" s="441"/>
      <c r="P896" s="441"/>
      <c r="Q896" s="441"/>
      <c r="R896" s="441"/>
      <c r="S896" s="441"/>
      <c r="T896" s="441"/>
      <c r="U896" s="441"/>
      <c r="V896" s="441"/>
      <c r="W896" s="441"/>
      <c r="X896" s="441"/>
      <c r="Y896" s="441"/>
      <c r="Z896" s="441"/>
      <c r="AA896" s="441"/>
      <c r="AB896" s="441"/>
      <c r="AC896" s="441"/>
      <c r="AD896" s="441"/>
      <c r="AE896" s="441"/>
      <c r="AF896" s="441"/>
      <c r="AG896" s="441"/>
      <c r="AH896" s="441"/>
      <c r="AI896" s="441"/>
      <c r="AJ896" s="441"/>
      <c r="AK896" s="441"/>
      <c r="AL896" s="441"/>
      <c r="AM896" s="441"/>
      <c r="AN896" s="441"/>
      <c r="AO896" s="441"/>
      <c r="AP896" s="441"/>
      <c r="AQ896" s="441"/>
      <c r="AR896" s="441"/>
      <c r="AS896" s="441"/>
      <c r="AT896" s="441"/>
      <c r="AU896" s="441"/>
      <c r="AV896" s="441"/>
      <c r="AW896" s="441"/>
      <c r="AX896" s="441"/>
      <c r="AY896" s="441"/>
      <c r="AZ896" s="441"/>
      <c r="BA896" s="441"/>
    </row>
    <row r="897">
      <c r="A897" s="441"/>
      <c r="B897" s="441"/>
      <c r="C897" s="441"/>
      <c r="D897" s="441"/>
      <c r="E897" s="441"/>
      <c r="F897" s="441"/>
      <c r="G897" s="441"/>
      <c r="H897" s="441"/>
      <c r="I897" s="441"/>
      <c r="J897" s="441"/>
      <c r="K897" s="441"/>
      <c r="L897" s="441"/>
      <c r="M897" s="441"/>
      <c r="N897" s="441"/>
      <c r="O897" s="441"/>
      <c r="P897" s="441"/>
      <c r="Q897" s="441"/>
      <c r="R897" s="441"/>
      <c r="S897" s="441"/>
      <c r="T897" s="441"/>
      <c r="U897" s="441"/>
      <c r="V897" s="441"/>
      <c r="W897" s="441"/>
      <c r="X897" s="441"/>
      <c r="Y897" s="441"/>
      <c r="Z897" s="441"/>
      <c r="AA897" s="441"/>
      <c r="AB897" s="441"/>
      <c r="AC897" s="441"/>
      <c r="AD897" s="441"/>
      <c r="AE897" s="441"/>
      <c r="AF897" s="441"/>
      <c r="AG897" s="441"/>
      <c r="AH897" s="441"/>
      <c r="AI897" s="441"/>
      <c r="AJ897" s="441"/>
      <c r="AK897" s="441"/>
      <c r="AL897" s="441"/>
      <c r="AM897" s="441"/>
      <c r="AN897" s="441"/>
      <c r="AO897" s="441"/>
      <c r="AP897" s="441"/>
      <c r="AQ897" s="441"/>
      <c r="AR897" s="441"/>
      <c r="AS897" s="441"/>
      <c r="AT897" s="441"/>
      <c r="AU897" s="441"/>
      <c r="AV897" s="441"/>
      <c r="AW897" s="441"/>
      <c r="AX897" s="441"/>
      <c r="AY897" s="441"/>
      <c r="AZ897" s="441"/>
      <c r="BA897" s="441"/>
    </row>
    <row r="898">
      <c r="A898" s="441"/>
      <c r="B898" s="441"/>
      <c r="C898" s="441"/>
      <c r="D898" s="441"/>
      <c r="E898" s="441"/>
      <c r="F898" s="441"/>
      <c r="G898" s="441"/>
      <c r="H898" s="441"/>
      <c r="I898" s="441"/>
      <c r="J898" s="441"/>
      <c r="K898" s="441"/>
      <c r="L898" s="441"/>
      <c r="M898" s="441"/>
      <c r="N898" s="441"/>
      <c r="O898" s="441"/>
      <c r="P898" s="441"/>
      <c r="Q898" s="441"/>
      <c r="R898" s="441"/>
      <c r="S898" s="441"/>
      <c r="T898" s="441"/>
      <c r="U898" s="441"/>
      <c r="V898" s="441"/>
      <c r="W898" s="441"/>
      <c r="X898" s="441"/>
      <c r="Y898" s="441"/>
      <c r="Z898" s="441"/>
      <c r="AA898" s="441"/>
      <c r="AB898" s="441"/>
      <c r="AC898" s="441"/>
      <c r="AD898" s="441"/>
      <c r="AE898" s="441"/>
      <c r="AF898" s="441"/>
      <c r="AG898" s="441"/>
      <c r="AH898" s="441"/>
      <c r="AI898" s="441"/>
      <c r="AJ898" s="441"/>
      <c r="AK898" s="441"/>
      <c r="AL898" s="441"/>
      <c r="AM898" s="441"/>
      <c r="AN898" s="441"/>
      <c r="AO898" s="441"/>
      <c r="AP898" s="441"/>
      <c r="AQ898" s="441"/>
      <c r="AR898" s="441"/>
      <c r="AS898" s="441"/>
      <c r="AT898" s="441"/>
      <c r="AU898" s="441"/>
      <c r="AV898" s="441"/>
      <c r="AW898" s="441"/>
      <c r="AX898" s="441"/>
      <c r="AY898" s="441"/>
      <c r="AZ898" s="441"/>
      <c r="BA898" s="441"/>
    </row>
    <row r="899">
      <c r="A899" s="441"/>
      <c r="B899" s="441"/>
      <c r="C899" s="441"/>
      <c r="D899" s="441"/>
      <c r="E899" s="441"/>
      <c r="F899" s="441"/>
      <c r="G899" s="441"/>
      <c r="H899" s="441"/>
      <c r="I899" s="441"/>
      <c r="J899" s="441"/>
      <c r="K899" s="441"/>
      <c r="L899" s="441"/>
      <c r="M899" s="441"/>
      <c r="N899" s="441"/>
      <c r="O899" s="441"/>
      <c r="P899" s="441"/>
      <c r="Q899" s="441"/>
      <c r="R899" s="441"/>
      <c r="S899" s="441"/>
      <c r="T899" s="441"/>
      <c r="U899" s="441"/>
      <c r="V899" s="441"/>
      <c r="W899" s="441"/>
      <c r="X899" s="441"/>
      <c r="Y899" s="441"/>
      <c r="Z899" s="441"/>
      <c r="AA899" s="441"/>
      <c r="AB899" s="441"/>
      <c r="AC899" s="441"/>
      <c r="AD899" s="441"/>
      <c r="AE899" s="441"/>
      <c r="AF899" s="441"/>
      <c r="AG899" s="441"/>
      <c r="AH899" s="441"/>
      <c r="AI899" s="441"/>
      <c r="AJ899" s="441"/>
      <c r="AK899" s="441"/>
      <c r="AL899" s="441"/>
      <c r="AM899" s="441"/>
      <c r="AN899" s="441"/>
      <c r="AO899" s="441"/>
      <c r="AP899" s="441"/>
      <c r="AQ899" s="441"/>
      <c r="AR899" s="441"/>
      <c r="AS899" s="441"/>
      <c r="AT899" s="441"/>
      <c r="AU899" s="441"/>
      <c r="AV899" s="441"/>
      <c r="AW899" s="441"/>
      <c r="AX899" s="441"/>
      <c r="AY899" s="441"/>
      <c r="AZ899" s="441"/>
      <c r="BA899" s="441"/>
    </row>
    <row r="900">
      <c r="A900" s="441"/>
      <c r="B900" s="441"/>
      <c r="C900" s="441"/>
      <c r="D900" s="441"/>
      <c r="E900" s="441"/>
      <c r="F900" s="441"/>
      <c r="G900" s="441"/>
      <c r="H900" s="441"/>
      <c r="I900" s="441"/>
      <c r="J900" s="441"/>
      <c r="K900" s="441"/>
      <c r="L900" s="441"/>
      <c r="M900" s="441"/>
      <c r="N900" s="441"/>
      <c r="O900" s="441"/>
      <c r="P900" s="441"/>
      <c r="Q900" s="441"/>
      <c r="R900" s="441"/>
      <c r="S900" s="441"/>
      <c r="T900" s="441"/>
      <c r="U900" s="441"/>
      <c r="V900" s="441"/>
      <c r="W900" s="441"/>
      <c r="X900" s="441"/>
      <c r="Y900" s="441"/>
      <c r="Z900" s="441"/>
      <c r="AA900" s="441"/>
      <c r="AB900" s="441"/>
      <c r="AC900" s="441"/>
      <c r="AD900" s="441"/>
      <c r="AE900" s="441"/>
      <c r="AF900" s="441"/>
      <c r="AG900" s="441"/>
      <c r="AH900" s="441"/>
      <c r="AI900" s="441"/>
      <c r="AJ900" s="441"/>
      <c r="AK900" s="441"/>
      <c r="AL900" s="441"/>
      <c r="AM900" s="441"/>
      <c r="AN900" s="441"/>
      <c r="AO900" s="441"/>
      <c r="AP900" s="441"/>
      <c r="AQ900" s="441"/>
      <c r="AR900" s="441"/>
      <c r="AS900" s="441"/>
      <c r="AT900" s="441"/>
      <c r="AU900" s="441"/>
      <c r="AV900" s="441"/>
      <c r="AW900" s="441"/>
      <c r="AX900" s="441"/>
      <c r="AY900" s="441"/>
      <c r="AZ900" s="441"/>
      <c r="BA900" s="441"/>
    </row>
    <row r="901">
      <c r="A901" s="441"/>
      <c r="B901" s="441"/>
      <c r="C901" s="441"/>
      <c r="D901" s="441"/>
      <c r="E901" s="441"/>
      <c r="F901" s="441"/>
      <c r="G901" s="441"/>
      <c r="H901" s="441"/>
      <c r="I901" s="441"/>
      <c r="J901" s="441"/>
      <c r="K901" s="441"/>
      <c r="L901" s="441"/>
      <c r="M901" s="441"/>
      <c r="N901" s="441"/>
      <c r="O901" s="441"/>
      <c r="P901" s="441"/>
      <c r="Q901" s="441"/>
      <c r="R901" s="441"/>
      <c r="S901" s="441"/>
      <c r="T901" s="441"/>
      <c r="U901" s="441"/>
      <c r="V901" s="441"/>
      <c r="W901" s="441"/>
      <c r="X901" s="441"/>
      <c r="Y901" s="441"/>
      <c r="Z901" s="441"/>
      <c r="AA901" s="441"/>
      <c r="AB901" s="441"/>
      <c r="AC901" s="441"/>
      <c r="AD901" s="441"/>
      <c r="AE901" s="441"/>
      <c r="AF901" s="441"/>
      <c r="AG901" s="441"/>
      <c r="AH901" s="441"/>
      <c r="AI901" s="441"/>
      <c r="AJ901" s="441"/>
      <c r="AK901" s="441"/>
      <c r="AL901" s="441"/>
      <c r="AM901" s="441"/>
      <c r="AN901" s="441"/>
      <c r="AO901" s="441"/>
      <c r="AP901" s="441"/>
      <c r="AQ901" s="441"/>
      <c r="AR901" s="441"/>
      <c r="AS901" s="441"/>
      <c r="AT901" s="441"/>
      <c r="AU901" s="441"/>
      <c r="AV901" s="441"/>
      <c r="AW901" s="441"/>
      <c r="AX901" s="441"/>
      <c r="AY901" s="441"/>
      <c r="AZ901" s="441"/>
      <c r="BA901" s="441"/>
    </row>
    <row r="902">
      <c r="A902" s="441"/>
      <c r="B902" s="441"/>
      <c r="C902" s="441"/>
      <c r="D902" s="441"/>
      <c r="E902" s="441"/>
      <c r="F902" s="441"/>
      <c r="G902" s="441"/>
      <c r="H902" s="441"/>
      <c r="I902" s="441"/>
      <c r="J902" s="441"/>
      <c r="K902" s="441"/>
      <c r="L902" s="441"/>
      <c r="M902" s="441"/>
      <c r="N902" s="441"/>
      <c r="O902" s="441"/>
      <c r="P902" s="441"/>
      <c r="Q902" s="441"/>
      <c r="R902" s="441"/>
      <c r="S902" s="441"/>
      <c r="T902" s="441"/>
      <c r="U902" s="441"/>
      <c r="V902" s="441"/>
      <c r="W902" s="441"/>
      <c r="X902" s="441"/>
      <c r="Y902" s="441"/>
      <c r="Z902" s="441"/>
      <c r="AA902" s="441"/>
      <c r="AB902" s="441"/>
      <c r="AC902" s="441"/>
      <c r="AD902" s="441"/>
      <c r="AE902" s="441"/>
      <c r="AF902" s="441"/>
      <c r="AG902" s="441"/>
      <c r="AH902" s="441"/>
      <c r="AI902" s="441"/>
      <c r="AJ902" s="441"/>
      <c r="AK902" s="441"/>
      <c r="AL902" s="441"/>
      <c r="AM902" s="441"/>
      <c r="AN902" s="441"/>
      <c r="AO902" s="441"/>
      <c r="AP902" s="441"/>
      <c r="AQ902" s="441"/>
      <c r="AR902" s="441"/>
      <c r="AS902" s="441"/>
      <c r="AT902" s="441"/>
      <c r="AU902" s="441"/>
      <c r="AV902" s="441"/>
      <c r="AW902" s="441"/>
      <c r="AX902" s="441"/>
      <c r="AY902" s="441"/>
      <c r="AZ902" s="441"/>
      <c r="BA902" s="441"/>
    </row>
    <row r="903">
      <c r="A903" s="441"/>
      <c r="B903" s="441"/>
      <c r="C903" s="441"/>
      <c r="D903" s="441"/>
      <c r="E903" s="441"/>
      <c r="F903" s="441"/>
      <c r="G903" s="441"/>
      <c r="H903" s="441"/>
      <c r="I903" s="441"/>
      <c r="J903" s="441"/>
      <c r="K903" s="441"/>
      <c r="L903" s="441"/>
      <c r="M903" s="441"/>
      <c r="N903" s="441"/>
      <c r="O903" s="441"/>
      <c r="P903" s="441"/>
      <c r="Q903" s="441"/>
      <c r="R903" s="441"/>
      <c r="S903" s="441"/>
      <c r="T903" s="441"/>
      <c r="U903" s="441"/>
      <c r="V903" s="441"/>
      <c r="W903" s="441"/>
      <c r="X903" s="441"/>
      <c r="Y903" s="441"/>
      <c r="Z903" s="441"/>
      <c r="AA903" s="441"/>
      <c r="AB903" s="441"/>
      <c r="AC903" s="441"/>
      <c r="AD903" s="441"/>
      <c r="AE903" s="441"/>
      <c r="AF903" s="441"/>
      <c r="AG903" s="441"/>
      <c r="AH903" s="441"/>
      <c r="AI903" s="441"/>
      <c r="AJ903" s="441"/>
      <c r="AK903" s="441"/>
      <c r="AL903" s="441"/>
      <c r="AM903" s="441"/>
      <c r="AN903" s="441"/>
      <c r="AO903" s="441"/>
      <c r="AP903" s="441"/>
      <c r="AQ903" s="441"/>
      <c r="AR903" s="441"/>
      <c r="AS903" s="441"/>
      <c r="AT903" s="441"/>
      <c r="AU903" s="441"/>
      <c r="AV903" s="441"/>
      <c r="AW903" s="441"/>
      <c r="AX903" s="441"/>
      <c r="AY903" s="441"/>
      <c r="AZ903" s="441"/>
      <c r="BA903" s="441"/>
    </row>
    <row r="904">
      <c r="A904" s="441"/>
      <c r="B904" s="441"/>
      <c r="C904" s="441"/>
      <c r="D904" s="441"/>
      <c r="E904" s="441"/>
      <c r="F904" s="441"/>
      <c r="G904" s="441"/>
      <c r="H904" s="441"/>
      <c r="I904" s="441"/>
      <c r="J904" s="441"/>
      <c r="K904" s="441"/>
      <c r="L904" s="441"/>
      <c r="M904" s="441"/>
      <c r="N904" s="441"/>
      <c r="O904" s="441"/>
      <c r="P904" s="441"/>
      <c r="Q904" s="441"/>
      <c r="R904" s="441"/>
      <c r="S904" s="441"/>
      <c r="T904" s="441"/>
      <c r="U904" s="441"/>
      <c r="V904" s="441"/>
      <c r="W904" s="441"/>
      <c r="X904" s="441"/>
      <c r="Y904" s="441"/>
      <c r="Z904" s="441"/>
      <c r="AA904" s="441"/>
      <c r="AB904" s="441"/>
      <c r="AC904" s="441"/>
      <c r="AD904" s="441"/>
      <c r="AE904" s="441"/>
      <c r="AF904" s="441"/>
      <c r="AG904" s="441"/>
      <c r="AH904" s="441"/>
      <c r="AI904" s="441"/>
      <c r="AJ904" s="441"/>
      <c r="AK904" s="441"/>
      <c r="AL904" s="441"/>
      <c r="AM904" s="441"/>
      <c r="AN904" s="441"/>
      <c r="AO904" s="441"/>
      <c r="AP904" s="441"/>
      <c r="AQ904" s="441"/>
      <c r="AR904" s="441"/>
      <c r="AS904" s="441"/>
      <c r="AT904" s="441"/>
      <c r="AU904" s="441"/>
      <c r="AV904" s="441"/>
      <c r="AW904" s="441"/>
      <c r="AX904" s="441"/>
      <c r="AY904" s="441"/>
      <c r="AZ904" s="441"/>
      <c r="BA904" s="441"/>
    </row>
    <row r="905">
      <c r="A905" s="441"/>
      <c r="B905" s="441"/>
      <c r="C905" s="441"/>
      <c r="D905" s="441"/>
      <c r="E905" s="441"/>
      <c r="F905" s="441"/>
      <c r="G905" s="441"/>
      <c r="H905" s="441"/>
      <c r="I905" s="441"/>
      <c r="J905" s="441"/>
      <c r="K905" s="441"/>
      <c r="L905" s="441"/>
      <c r="M905" s="441"/>
      <c r="N905" s="441"/>
      <c r="O905" s="441"/>
      <c r="P905" s="441"/>
      <c r="Q905" s="441"/>
      <c r="R905" s="441"/>
      <c r="S905" s="441"/>
      <c r="T905" s="441"/>
      <c r="U905" s="441"/>
      <c r="V905" s="441"/>
      <c r="W905" s="441"/>
      <c r="X905" s="441"/>
      <c r="Y905" s="441"/>
      <c r="Z905" s="441"/>
      <c r="AA905" s="441"/>
      <c r="AB905" s="441"/>
      <c r="AC905" s="441"/>
      <c r="AD905" s="441"/>
      <c r="AE905" s="441"/>
      <c r="AF905" s="441"/>
      <c r="AG905" s="441"/>
      <c r="AH905" s="441"/>
      <c r="AI905" s="441"/>
      <c r="AJ905" s="441"/>
      <c r="AK905" s="441"/>
      <c r="AL905" s="441"/>
      <c r="AM905" s="441"/>
      <c r="AN905" s="441"/>
      <c r="AO905" s="441"/>
      <c r="AP905" s="441"/>
      <c r="AQ905" s="441"/>
      <c r="AR905" s="441"/>
      <c r="AS905" s="441"/>
      <c r="AT905" s="441"/>
      <c r="AU905" s="441"/>
      <c r="AV905" s="441"/>
      <c r="AW905" s="441"/>
      <c r="AX905" s="441"/>
      <c r="AY905" s="441"/>
      <c r="AZ905" s="441"/>
      <c r="BA905" s="441"/>
    </row>
    <row r="906">
      <c r="A906" s="441"/>
      <c r="B906" s="441"/>
      <c r="C906" s="441"/>
      <c r="D906" s="441"/>
      <c r="E906" s="441"/>
      <c r="F906" s="441"/>
      <c r="G906" s="441"/>
      <c r="H906" s="441"/>
      <c r="I906" s="441"/>
      <c r="J906" s="441"/>
      <c r="K906" s="441"/>
      <c r="L906" s="441"/>
      <c r="M906" s="441"/>
      <c r="N906" s="441"/>
      <c r="O906" s="441"/>
      <c r="P906" s="441"/>
      <c r="Q906" s="441"/>
      <c r="R906" s="441"/>
      <c r="S906" s="441"/>
      <c r="T906" s="441"/>
      <c r="U906" s="441"/>
      <c r="V906" s="441"/>
      <c r="W906" s="441"/>
      <c r="X906" s="441"/>
      <c r="Y906" s="441"/>
      <c r="Z906" s="441"/>
      <c r="AA906" s="441"/>
      <c r="AB906" s="441"/>
      <c r="AC906" s="441"/>
      <c r="AD906" s="441"/>
      <c r="AE906" s="441"/>
      <c r="AF906" s="441"/>
      <c r="AG906" s="441"/>
      <c r="AH906" s="441"/>
      <c r="AI906" s="441"/>
      <c r="AJ906" s="441"/>
      <c r="AK906" s="441"/>
      <c r="AL906" s="441"/>
      <c r="AM906" s="441"/>
      <c r="AN906" s="441"/>
      <c r="AO906" s="441"/>
      <c r="AP906" s="441"/>
      <c r="AQ906" s="441"/>
      <c r="AR906" s="441"/>
      <c r="AS906" s="441"/>
      <c r="AT906" s="441"/>
      <c r="AU906" s="441"/>
      <c r="AV906" s="441"/>
      <c r="AW906" s="441"/>
      <c r="AX906" s="441"/>
      <c r="AY906" s="441"/>
      <c r="AZ906" s="441"/>
      <c r="BA906" s="441"/>
    </row>
    <row r="907">
      <c r="A907" s="441"/>
      <c r="B907" s="441"/>
      <c r="C907" s="441"/>
      <c r="D907" s="441"/>
      <c r="E907" s="441"/>
      <c r="F907" s="441"/>
      <c r="G907" s="441"/>
      <c r="H907" s="441"/>
      <c r="I907" s="441"/>
      <c r="J907" s="441"/>
      <c r="K907" s="441"/>
      <c r="L907" s="441"/>
      <c r="M907" s="441"/>
      <c r="N907" s="441"/>
      <c r="O907" s="441"/>
      <c r="P907" s="441"/>
      <c r="Q907" s="441"/>
      <c r="R907" s="441"/>
      <c r="S907" s="441"/>
      <c r="T907" s="441"/>
      <c r="U907" s="441"/>
      <c r="V907" s="441"/>
      <c r="W907" s="441"/>
      <c r="X907" s="441"/>
      <c r="Y907" s="441"/>
      <c r="Z907" s="441"/>
      <c r="AA907" s="441"/>
      <c r="AB907" s="441"/>
      <c r="AC907" s="441"/>
      <c r="AD907" s="441"/>
      <c r="AE907" s="441"/>
      <c r="AF907" s="441"/>
      <c r="AG907" s="441"/>
      <c r="AH907" s="441"/>
      <c r="AI907" s="441"/>
      <c r="AJ907" s="441"/>
      <c r="AK907" s="441"/>
      <c r="AL907" s="441"/>
      <c r="AM907" s="441"/>
      <c r="AN907" s="441"/>
      <c r="AO907" s="441"/>
      <c r="AP907" s="441"/>
      <c r="AQ907" s="441"/>
      <c r="AR907" s="441"/>
      <c r="AS907" s="441"/>
      <c r="AT907" s="441"/>
      <c r="AU907" s="441"/>
      <c r="AV907" s="441"/>
      <c r="AW907" s="441"/>
      <c r="AX907" s="441"/>
      <c r="AY907" s="441"/>
      <c r="AZ907" s="441"/>
      <c r="BA907" s="441"/>
    </row>
    <row r="908">
      <c r="A908" s="441"/>
      <c r="B908" s="441"/>
      <c r="C908" s="441"/>
      <c r="D908" s="441"/>
      <c r="E908" s="441"/>
      <c r="F908" s="441"/>
      <c r="G908" s="441"/>
      <c r="H908" s="441"/>
      <c r="I908" s="441"/>
      <c r="J908" s="441"/>
      <c r="K908" s="441"/>
      <c r="L908" s="441"/>
      <c r="M908" s="441"/>
      <c r="N908" s="441"/>
      <c r="O908" s="441"/>
      <c r="P908" s="441"/>
      <c r="Q908" s="441"/>
      <c r="R908" s="441"/>
      <c r="S908" s="441"/>
      <c r="T908" s="441"/>
      <c r="U908" s="441"/>
      <c r="V908" s="441"/>
      <c r="W908" s="441"/>
      <c r="X908" s="441"/>
      <c r="Y908" s="441"/>
      <c r="Z908" s="441"/>
      <c r="AA908" s="441"/>
      <c r="AB908" s="441"/>
      <c r="AC908" s="441"/>
      <c r="AD908" s="441"/>
      <c r="AE908" s="441"/>
      <c r="AF908" s="441"/>
      <c r="AG908" s="441"/>
      <c r="AH908" s="441"/>
      <c r="AI908" s="441"/>
      <c r="AJ908" s="441"/>
      <c r="AK908" s="441"/>
      <c r="AL908" s="441"/>
      <c r="AM908" s="441"/>
      <c r="AN908" s="441"/>
      <c r="AO908" s="441"/>
      <c r="AP908" s="441"/>
      <c r="AQ908" s="441"/>
      <c r="AR908" s="441"/>
      <c r="AS908" s="441"/>
      <c r="AT908" s="441"/>
      <c r="AU908" s="441"/>
      <c r="AV908" s="441"/>
      <c r="AW908" s="441"/>
      <c r="AX908" s="441"/>
      <c r="AY908" s="441"/>
      <c r="AZ908" s="441"/>
      <c r="BA908" s="441"/>
    </row>
    <row r="909">
      <c r="A909" s="441"/>
      <c r="B909" s="441"/>
      <c r="C909" s="441"/>
      <c r="D909" s="441"/>
      <c r="E909" s="441"/>
      <c r="F909" s="441"/>
      <c r="G909" s="441"/>
      <c r="H909" s="441"/>
      <c r="I909" s="441"/>
      <c r="J909" s="441"/>
      <c r="K909" s="441"/>
      <c r="L909" s="441"/>
      <c r="M909" s="441"/>
      <c r="N909" s="441"/>
      <c r="O909" s="441"/>
      <c r="P909" s="441"/>
      <c r="Q909" s="441"/>
      <c r="R909" s="441"/>
      <c r="S909" s="441"/>
      <c r="T909" s="441"/>
      <c r="U909" s="441"/>
      <c r="V909" s="441"/>
      <c r="W909" s="441"/>
      <c r="X909" s="441"/>
      <c r="Y909" s="441"/>
      <c r="Z909" s="441"/>
      <c r="AA909" s="441"/>
      <c r="AB909" s="441"/>
      <c r="AC909" s="441"/>
      <c r="AD909" s="441"/>
      <c r="AE909" s="441"/>
      <c r="AF909" s="441"/>
      <c r="AG909" s="441"/>
      <c r="AH909" s="441"/>
      <c r="AI909" s="441"/>
      <c r="AJ909" s="441"/>
      <c r="AK909" s="441"/>
      <c r="AL909" s="441"/>
      <c r="AM909" s="441"/>
      <c r="AN909" s="441"/>
      <c r="AO909" s="441"/>
      <c r="AP909" s="441"/>
      <c r="AQ909" s="441"/>
      <c r="AR909" s="441"/>
      <c r="AS909" s="441"/>
      <c r="AT909" s="441"/>
      <c r="AU909" s="441"/>
      <c r="AV909" s="441"/>
      <c r="AW909" s="441"/>
      <c r="AX909" s="441"/>
      <c r="AY909" s="441"/>
      <c r="AZ909" s="441"/>
      <c r="BA909" s="441"/>
    </row>
    <row r="910">
      <c r="A910" s="441"/>
      <c r="B910" s="441"/>
      <c r="C910" s="441"/>
      <c r="D910" s="441"/>
      <c r="E910" s="441"/>
      <c r="F910" s="441"/>
      <c r="G910" s="441"/>
      <c r="H910" s="441"/>
      <c r="I910" s="441"/>
      <c r="J910" s="441"/>
      <c r="K910" s="441"/>
      <c r="L910" s="441"/>
      <c r="M910" s="441"/>
      <c r="N910" s="441"/>
      <c r="O910" s="441"/>
      <c r="P910" s="441"/>
      <c r="Q910" s="441"/>
      <c r="R910" s="441"/>
      <c r="S910" s="441"/>
      <c r="T910" s="441"/>
      <c r="U910" s="441"/>
      <c r="V910" s="441"/>
      <c r="W910" s="441"/>
      <c r="X910" s="441"/>
      <c r="Y910" s="441"/>
      <c r="Z910" s="441"/>
      <c r="AA910" s="441"/>
      <c r="AB910" s="441"/>
      <c r="AC910" s="441"/>
      <c r="AD910" s="441"/>
      <c r="AE910" s="441"/>
      <c r="AF910" s="441"/>
      <c r="AG910" s="441"/>
      <c r="AH910" s="441"/>
      <c r="AI910" s="441"/>
      <c r="AJ910" s="441"/>
      <c r="AK910" s="441"/>
      <c r="AL910" s="441"/>
      <c r="AM910" s="441"/>
      <c r="AN910" s="441"/>
      <c r="AO910" s="441"/>
      <c r="AP910" s="441"/>
      <c r="AQ910" s="441"/>
      <c r="AR910" s="441"/>
      <c r="AS910" s="441"/>
      <c r="AT910" s="441"/>
      <c r="AU910" s="441"/>
      <c r="AV910" s="441"/>
      <c r="AW910" s="441"/>
      <c r="AX910" s="441"/>
      <c r="AY910" s="441"/>
      <c r="AZ910" s="441"/>
      <c r="BA910" s="441"/>
    </row>
    <row r="911">
      <c r="A911" s="441"/>
      <c r="B911" s="441"/>
      <c r="C911" s="441"/>
      <c r="D911" s="441"/>
      <c r="E911" s="441"/>
      <c r="F911" s="441"/>
      <c r="G911" s="441"/>
      <c r="H911" s="441"/>
      <c r="I911" s="441"/>
      <c r="J911" s="441"/>
      <c r="K911" s="441"/>
      <c r="L911" s="441"/>
      <c r="M911" s="441"/>
      <c r="N911" s="441"/>
      <c r="O911" s="441"/>
      <c r="P911" s="441"/>
      <c r="Q911" s="441"/>
      <c r="R911" s="441"/>
      <c r="S911" s="441"/>
      <c r="T911" s="441"/>
      <c r="U911" s="441"/>
      <c r="V911" s="441"/>
      <c r="W911" s="441"/>
      <c r="X911" s="441"/>
      <c r="Y911" s="441"/>
      <c r="Z911" s="441"/>
      <c r="AA911" s="441"/>
      <c r="AB911" s="441"/>
      <c r="AC911" s="441"/>
      <c r="AD911" s="441"/>
      <c r="AE911" s="441"/>
      <c r="AF911" s="441"/>
      <c r="AG911" s="441"/>
      <c r="AH911" s="441"/>
      <c r="AI911" s="441"/>
      <c r="AJ911" s="441"/>
      <c r="AK911" s="441"/>
      <c r="AL911" s="441"/>
      <c r="AM911" s="441"/>
      <c r="AN911" s="441"/>
      <c r="AO911" s="441"/>
      <c r="AP911" s="441"/>
      <c r="AQ911" s="441"/>
      <c r="AR911" s="441"/>
      <c r="AS911" s="441"/>
      <c r="AT911" s="441"/>
      <c r="AU911" s="441"/>
      <c r="AV911" s="441"/>
      <c r="AW911" s="441"/>
      <c r="AX911" s="441"/>
      <c r="AY911" s="441"/>
      <c r="AZ911" s="441"/>
      <c r="BA911" s="441"/>
    </row>
    <row r="912">
      <c r="A912" s="441"/>
      <c r="B912" s="441"/>
      <c r="C912" s="441"/>
      <c r="D912" s="441"/>
      <c r="E912" s="441"/>
      <c r="F912" s="441"/>
      <c r="G912" s="441"/>
      <c r="H912" s="441"/>
      <c r="I912" s="441"/>
      <c r="J912" s="441"/>
      <c r="K912" s="441"/>
      <c r="L912" s="441"/>
      <c r="M912" s="441"/>
      <c r="N912" s="441"/>
      <c r="O912" s="441"/>
      <c r="P912" s="441"/>
      <c r="Q912" s="441"/>
      <c r="R912" s="441"/>
      <c r="S912" s="441"/>
      <c r="T912" s="441"/>
      <c r="U912" s="441"/>
      <c r="V912" s="441"/>
      <c r="W912" s="441"/>
      <c r="X912" s="441"/>
      <c r="Y912" s="441"/>
      <c r="Z912" s="441"/>
      <c r="AA912" s="441"/>
      <c r="AB912" s="441"/>
      <c r="AC912" s="441"/>
      <c r="AD912" s="441"/>
      <c r="AE912" s="441"/>
      <c r="AF912" s="441"/>
      <c r="AG912" s="441"/>
      <c r="AH912" s="441"/>
      <c r="AI912" s="441"/>
      <c r="AJ912" s="441"/>
      <c r="AK912" s="441"/>
      <c r="AL912" s="441"/>
      <c r="AM912" s="441"/>
      <c r="AN912" s="441"/>
      <c r="AO912" s="441"/>
      <c r="AP912" s="441"/>
      <c r="AQ912" s="441"/>
      <c r="AR912" s="441"/>
      <c r="AS912" s="441"/>
      <c r="AT912" s="441"/>
      <c r="AU912" s="441"/>
      <c r="AV912" s="441"/>
      <c r="AW912" s="441"/>
      <c r="AX912" s="441"/>
      <c r="AY912" s="441"/>
      <c r="AZ912" s="441"/>
      <c r="BA912" s="441"/>
    </row>
    <row r="913">
      <c r="A913" s="441"/>
      <c r="B913" s="441"/>
      <c r="C913" s="441"/>
      <c r="D913" s="441"/>
      <c r="E913" s="441"/>
      <c r="F913" s="441"/>
      <c r="G913" s="441"/>
      <c r="H913" s="441"/>
      <c r="I913" s="441"/>
      <c r="J913" s="441"/>
      <c r="K913" s="441"/>
      <c r="L913" s="441"/>
      <c r="M913" s="441"/>
      <c r="N913" s="441"/>
      <c r="O913" s="441"/>
      <c r="P913" s="441"/>
      <c r="Q913" s="441"/>
      <c r="R913" s="441"/>
      <c r="S913" s="441"/>
      <c r="T913" s="441"/>
      <c r="U913" s="441"/>
      <c r="V913" s="441"/>
      <c r="W913" s="441"/>
      <c r="X913" s="441"/>
      <c r="Y913" s="441"/>
      <c r="Z913" s="441"/>
      <c r="AA913" s="441"/>
      <c r="AB913" s="441"/>
      <c r="AC913" s="441"/>
      <c r="AD913" s="441"/>
      <c r="AE913" s="441"/>
      <c r="AF913" s="441"/>
      <c r="AG913" s="441"/>
      <c r="AH913" s="441"/>
      <c r="AI913" s="441"/>
      <c r="AJ913" s="441"/>
      <c r="AK913" s="441"/>
      <c r="AL913" s="441"/>
      <c r="AM913" s="441"/>
      <c r="AN913" s="441"/>
      <c r="AO913" s="441"/>
      <c r="AP913" s="441"/>
      <c r="AQ913" s="441"/>
      <c r="AR913" s="441"/>
      <c r="AS913" s="441"/>
      <c r="AT913" s="441"/>
      <c r="AU913" s="441"/>
      <c r="AV913" s="441"/>
      <c r="AW913" s="441"/>
      <c r="AX913" s="441"/>
      <c r="AY913" s="441"/>
      <c r="AZ913" s="441"/>
      <c r="BA913" s="441"/>
    </row>
    <row r="914">
      <c r="A914" s="441"/>
      <c r="B914" s="441"/>
      <c r="C914" s="441"/>
      <c r="D914" s="441"/>
      <c r="E914" s="441"/>
      <c r="F914" s="441"/>
      <c r="G914" s="441"/>
      <c r="H914" s="441"/>
      <c r="I914" s="441"/>
      <c r="J914" s="441"/>
      <c r="K914" s="441"/>
      <c r="L914" s="441"/>
      <c r="M914" s="441"/>
      <c r="N914" s="441"/>
      <c r="O914" s="441"/>
      <c r="P914" s="441"/>
      <c r="Q914" s="441"/>
      <c r="R914" s="441"/>
      <c r="S914" s="441"/>
      <c r="T914" s="441"/>
      <c r="U914" s="441"/>
      <c r="V914" s="441"/>
      <c r="W914" s="441"/>
      <c r="X914" s="441"/>
      <c r="Y914" s="441"/>
      <c r="Z914" s="441"/>
      <c r="AA914" s="441"/>
      <c r="AB914" s="441"/>
      <c r="AC914" s="441"/>
      <c r="AD914" s="441"/>
      <c r="AE914" s="441"/>
      <c r="AF914" s="441"/>
      <c r="AG914" s="441"/>
      <c r="AH914" s="441"/>
      <c r="AI914" s="441"/>
      <c r="AJ914" s="441"/>
      <c r="AK914" s="441"/>
      <c r="AL914" s="441"/>
      <c r="AM914" s="441"/>
      <c r="AN914" s="441"/>
      <c r="AO914" s="441"/>
      <c r="AP914" s="441"/>
      <c r="AQ914" s="441"/>
      <c r="AR914" s="441"/>
      <c r="AS914" s="441"/>
      <c r="AT914" s="441"/>
      <c r="AU914" s="441"/>
      <c r="AV914" s="441"/>
      <c r="AW914" s="441"/>
      <c r="AX914" s="441"/>
      <c r="AY914" s="441"/>
      <c r="AZ914" s="441"/>
      <c r="BA914" s="441"/>
    </row>
    <row r="915">
      <c r="A915" s="441"/>
      <c r="B915" s="441"/>
      <c r="C915" s="441"/>
      <c r="D915" s="441"/>
      <c r="E915" s="441"/>
      <c r="F915" s="441"/>
      <c r="G915" s="441"/>
      <c r="H915" s="441"/>
      <c r="I915" s="441"/>
      <c r="J915" s="441"/>
      <c r="K915" s="441"/>
      <c r="L915" s="441"/>
      <c r="M915" s="441"/>
      <c r="N915" s="441"/>
      <c r="O915" s="441"/>
      <c r="P915" s="441"/>
      <c r="Q915" s="441"/>
      <c r="R915" s="441"/>
      <c r="S915" s="441"/>
      <c r="T915" s="441"/>
      <c r="U915" s="441"/>
      <c r="V915" s="441"/>
      <c r="W915" s="441"/>
      <c r="X915" s="441"/>
      <c r="Y915" s="441"/>
      <c r="Z915" s="441"/>
      <c r="AA915" s="441"/>
      <c r="AB915" s="441"/>
      <c r="AC915" s="441"/>
      <c r="AD915" s="441"/>
      <c r="AE915" s="441"/>
      <c r="AF915" s="441"/>
      <c r="AG915" s="441"/>
      <c r="AH915" s="441"/>
      <c r="AI915" s="441"/>
      <c r="AJ915" s="441"/>
      <c r="AK915" s="441"/>
      <c r="AL915" s="441"/>
      <c r="AM915" s="441"/>
      <c r="AN915" s="441"/>
      <c r="AO915" s="441"/>
      <c r="AP915" s="441"/>
      <c r="AQ915" s="441"/>
      <c r="AR915" s="441"/>
      <c r="AS915" s="441"/>
      <c r="AT915" s="441"/>
      <c r="AU915" s="441"/>
      <c r="AV915" s="441"/>
      <c r="AW915" s="441"/>
      <c r="AX915" s="441"/>
      <c r="AY915" s="441"/>
      <c r="AZ915" s="441"/>
      <c r="BA915" s="441"/>
    </row>
    <row r="916">
      <c r="A916" s="441"/>
      <c r="B916" s="441"/>
      <c r="C916" s="441"/>
      <c r="D916" s="441"/>
      <c r="E916" s="441"/>
      <c r="F916" s="441"/>
      <c r="G916" s="441"/>
      <c r="H916" s="441"/>
      <c r="I916" s="441"/>
      <c r="J916" s="441"/>
      <c r="K916" s="441"/>
      <c r="L916" s="441"/>
      <c r="M916" s="441"/>
      <c r="N916" s="441"/>
      <c r="O916" s="441"/>
      <c r="P916" s="441"/>
      <c r="Q916" s="441"/>
      <c r="R916" s="441"/>
      <c r="S916" s="441"/>
      <c r="T916" s="441"/>
      <c r="U916" s="441"/>
      <c r="V916" s="441"/>
      <c r="W916" s="441"/>
      <c r="X916" s="441"/>
      <c r="Y916" s="441"/>
      <c r="Z916" s="441"/>
      <c r="AA916" s="441"/>
      <c r="AB916" s="441"/>
      <c r="AC916" s="441"/>
      <c r="AD916" s="441"/>
      <c r="AE916" s="441"/>
      <c r="AF916" s="441"/>
      <c r="AG916" s="441"/>
      <c r="AH916" s="441"/>
      <c r="AI916" s="441"/>
      <c r="AJ916" s="441"/>
      <c r="AK916" s="441"/>
      <c r="AL916" s="441"/>
      <c r="AM916" s="441"/>
      <c r="AN916" s="441"/>
      <c r="AO916" s="441"/>
      <c r="AP916" s="441"/>
      <c r="AQ916" s="441"/>
      <c r="AR916" s="441"/>
      <c r="AS916" s="441"/>
      <c r="AT916" s="441"/>
      <c r="AU916" s="441"/>
      <c r="AV916" s="441"/>
      <c r="AW916" s="441"/>
      <c r="AX916" s="441"/>
      <c r="AY916" s="441"/>
      <c r="AZ916" s="441"/>
      <c r="BA916" s="441"/>
    </row>
    <row r="917">
      <c r="A917" s="441"/>
      <c r="B917" s="441"/>
      <c r="C917" s="441"/>
      <c r="D917" s="441"/>
      <c r="E917" s="441"/>
      <c r="F917" s="441"/>
      <c r="G917" s="441"/>
      <c r="H917" s="441"/>
      <c r="I917" s="441"/>
      <c r="J917" s="441"/>
      <c r="K917" s="441"/>
      <c r="L917" s="441"/>
      <c r="M917" s="441"/>
      <c r="N917" s="441"/>
      <c r="O917" s="441"/>
      <c r="P917" s="441"/>
      <c r="Q917" s="441"/>
      <c r="R917" s="441"/>
      <c r="S917" s="441"/>
      <c r="T917" s="441"/>
      <c r="U917" s="441"/>
      <c r="V917" s="441"/>
      <c r="W917" s="441"/>
      <c r="X917" s="441"/>
      <c r="Y917" s="441"/>
      <c r="Z917" s="441"/>
      <c r="AA917" s="441"/>
      <c r="AB917" s="441"/>
      <c r="AC917" s="441"/>
      <c r="AD917" s="441"/>
      <c r="AE917" s="441"/>
      <c r="AF917" s="441"/>
      <c r="AG917" s="441"/>
      <c r="AH917" s="441"/>
      <c r="AI917" s="441"/>
      <c r="AJ917" s="441"/>
      <c r="AK917" s="441"/>
      <c r="AL917" s="441"/>
      <c r="AM917" s="441"/>
      <c r="AN917" s="441"/>
      <c r="AO917" s="441"/>
      <c r="AP917" s="441"/>
      <c r="AQ917" s="441"/>
      <c r="AR917" s="441"/>
      <c r="AS917" s="441"/>
      <c r="AT917" s="441"/>
      <c r="AU917" s="441"/>
      <c r="AV917" s="441"/>
      <c r="AW917" s="441"/>
      <c r="AX917" s="441"/>
      <c r="AY917" s="441"/>
      <c r="AZ917" s="441"/>
      <c r="BA917" s="441"/>
    </row>
    <row r="918">
      <c r="A918" s="441"/>
      <c r="B918" s="441"/>
      <c r="C918" s="441"/>
      <c r="D918" s="441"/>
      <c r="E918" s="441"/>
      <c r="F918" s="441"/>
      <c r="G918" s="441"/>
      <c r="H918" s="441"/>
      <c r="I918" s="441"/>
      <c r="J918" s="441"/>
      <c r="K918" s="441"/>
      <c r="L918" s="441"/>
      <c r="M918" s="441"/>
      <c r="N918" s="441"/>
      <c r="O918" s="441"/>
      <c r="P918" s="441"/>
      <c r="Q918" s="441"/>
      <c r="R918" s="441"/>
      <c r="S918" s="441"/>
      <c r="T918" s="441"/>
      <c r="U918" s="441"/>
      <c r="V918" s="441"/>
      <c r="W918" s="441"/>
      <c r="X918" s="441"/>
      <c r="Y918" s="441"/>
      <c r="Z918" s="441"/>
      <c r="AA918" s="441"/>
      <c r="AB918" s="441"/>
      <c r="AC918" s="441"/>
      <c r="AD918" s="441"/>
      <c r="AE918" s="441"/>
      <c r="AF918" s="441"/>
      <c r="AG918" s="441"/>
      <c r="AH918" s="441"/>
      <c r="AI918" s="441"/>
      <c r="AJ918" s="441"/>
      <c r="AK918" s="441"/>
      <c r="AL918" s="441"/>
      <c r="AM918" s="441"/>
      <c r="AN918" s="441"/>
      <c r="AO918" s="441"/>
      <c r="AP918" s="441"/>
      <c r="AQ918" s="441"/>
      <c r="AR918" s="441"/>
      <c r="AS918" s="441"/>
      <c r="AT918" s="441"/>
      <c r="AU918" s="441"/>
      <c r="AV918" s="441"/>
      <c r="AW918" s="441"/>
      <c r="AX918" s="441"/>
      <c r="AY918" s="441"/>
      <c r="AZ918" s="441"/>
      <c r="BA918" s="441"/>
    </row>
    <row r="919">
      <c r="A919" s="441"/>
      <c r="B919" s="441"/>
      <c r="C919" s="441"/>
      <c r="D919" s="441"/>
      <c r="E919" s="441"/>
      <c r="F919" s="441"/>
      <c r="G919" s="441"/>
      <c r="H919" s="441"/>
      <c r="I919" s="441"/>
      <c r="J919" s="441"/>
      <c r="K919" s="441"/>
      <c r="L919" s="441"/>
      <c r="M919" s="441"/>
      <c r="N919" s="441"/>
      <c r="O919" s="441"/>
      <c r="P919" s="441"/>
      <c r="Q919" s="441"/>
      <c r="R919" s="441"/>
      <c r="S919" s="441"/>
      <c r="T919" s="441"/>
      <c r="U919" s="441"/>
      <c r="V919" s="441"/>
      <c r="W919" s="441"/>
      <c r="X919" s="441"/>
      <c r="Y919" s="441"/>
      <c r="Z919" s="441"/>
      <c r="AA919" s="441"/>
      <c r="AB919" s="441"/>
      <c r="AC919" s="441"/>
      <c r="AD919" s="441"/>
      <c r="AE919" s="441"/>
      <c r="AF919" s="441"/>
      <c r="AG919" s="441"/>
      <c r="AH919" s="441"/>
      <c r="AI919" s="441"/>
      <c r="AJ919" s="441"/>
      <c r="AK919" s="441"/>
      <c r="AL919" s="441"/>
      <c r="AM919" s="441"/>
      <c r="AN919" s="441"/>
      <c r="AO919" s="441"/>
      <c r="AP919" s="441"/>
      <c r="AQ919" s="441"/>
      <c r="AR919" s="441"/>
      <c r="AS919" s="441"/>
      <c r="AT919" s="441"/>
      <c r="AU919" s="441"/>
      <c r="AV919" s="441"/>
      <c r="AW919" s="441"/>
      <c r="AX919" s="441"/>
      <c r="AY919" s="441"/>
      <c r="AZ919" s="441"/>
      <c r="BA919" s="441"/>
    </row>
    <row r="920">
      <c r="A920" s="441"/>
      <c r="B920" s="441"/>
      <c r="C920" s="441"/>
      <c r="D920" s="441"/>
      <c r="E920" s="441"/>
      <c r="F920" s="441"/>
      <c r="G920" s="441"/>
      <c r="H920" s="441"/>
      <c r="I920" s="441"/>
      <c r="J920" s="441"/>
      <c r="K920" s="441"/>
      <c r="L920" s="441"/>
      <c r="M920" s="441"/>
      <c r="N920" s="441"/>
      <c r="O920" s="441"/>
      <c r="P920" s="441"/>
      <c r="Q920" s="441"/>
      <c r="R920" s="441"/>
      <c r="S920" s="441"/>
      <c r="T920" s="441"/>
      <c r="U920" s="441"/>
      <c r="V920" s="441"/>
      <c r="W920" s="441"/>
      <c r="X920" s="441"/>
      <c r="Y920" s="441"/>
      <c r="Z920" s="441"/>
      <c r="AA920" s="441"/>
      <c r="AB920" s="441"/>
      <c r="AC920" s="441"/>
      <c r="AD920" s="441"/>
      <c r="AE920" s="441"/>
      <c r="AF920" s="441"/>
      <c r="AG920" s="441"/>
      <c r="AH920" s="441"/>
      <c r="AI920" s="441"/>
      <c r="AJ920" s="441"/>
      <c r="AK920" s="441"/>
      <c r="AL920" s="441"/>
      <c r="AM920" s="441"/>
      <c r="AN920" s="441"/>
      <c r="AO920" s="441"/>
      <c r="AP920" s="441"/>
      <c r="AQ920" s="441"/>
      <c r="AR920" s="441"/>
      <c r="AS920" s="441"/>
      <c r="AT920" s="441"/>
      <c r="AU920" s="441"/>
      <c r="AV920" s="441"/>
      <c r="AW920" s="441"/>
      <c r="AX920" s="441"/>
      <c r="AY920" s="441"/>
      <c r="AZ920" s="441"/>
      <c r="BA920" s="441"/>
    </row>
    <row r="921">
      <c r="A921" s="441"/>
      <c r="B921" s="441"/>
      <c r="C921" s="441"/>
      <c r="D921" s="441"/>
      <c r="E921" s="441"/>
      <c r="F921" s="441"/>
      <c r="G921" s="441"/>
      <c r="H921" s="441"/>
      <c r="I921" s="441"/>
      <c r="J921" s="441"/>
      <c r="K921" s="441"/>
      <c r="L921" s="441"/>
      <c r="M921" s="441"/>
      <c r="N921" s="441"/>
      <c r="O921" s="441"/>
      <c r="P921" s="441"/>
      <c r="Q921" s="441"/>
      <c r="R921" s="441"/>
      <c r="S921" s="441"/>
      <c r="T921" s="441"/>
      <c r="U921" s="441"/>
      <c r="V921" s="441"/>
      <c r="W921" s="441"/>
      <c r="X921" s="441"/>
      <c r="Y921" s="441"/>
      <c r="Z921" s="441"/>
      <c r="AA921" s="441"/>
      <c r="AB921" s="441"/>
      <c r="AC921" s="441"/>
      <c r="AD921" s="441"/>
      <c r="AE921" s="441"/>
      <c r="AF921" s="441"/>
      <c r="AG921" s="441"/>
      <c r="AH921" s="441"/>
      <c r="AI921" s="441"/>
      <c r="AJ921" s="441"/>
      <c r="AK921" s="441"/>
      <c r="AL921" s="441"/>
      <c r="AM921" s="441"/>
      <c r="AN921" s="441"/>
      <c r="AO921" s="441"/>
      <c r="AP921" s="441"/>
      <c r="AQ921" s="441"/>
      <c r="AR921" s="441"/>
      <c r="AS921" s="441"/>
      <c r="AT921" s="441"/>
      <c r="AU921" s="441"/>
      <c r="AV921" s="441"/>
      <c r="AW921" s="441"/>
      <c r="AX921" s="441"/>
      <c r="AY921" s="441"/>
      <c r="AZ921" s="441"/>
      <c r="BA921" s="441"/>
    </row>
    <row r="922">
      <c r="A922" s="441"/>
      <c r="B922" s="441"/>
      <c r="C922" s="441"/>
      <c r="D922" s="441"/>
      <c r="E922" s="441"/>
      <c r="F922" s="441"/>
      <c r="G922" s="441"/>
      <c r="H922" s="441"/>
      <c r="I922" s="441"/>
      <c r="J922" s="441"/>
      <c r="K922" s="441"/>
      <c r="L922" s="441"/>
      <c r="M922" s="441"/>
      <c r="N922" s="441"/>
      <c r="O922" s="441"/>
      <c r="P922" s="441"/>
      <c r="Q922" s="441"/>
      <c r="R922" s="441"/>
      <c r="S922" s="441"/>
      <c r="T922" s="441"/>
      <c r="U922" s="441"/>
      <c r="V922" s="441"/>
      <c r="W922" s="441"/>
      <c r="X922" s="441"/>
      <c r="Y922" s="441"/>
      <c r="Z922" s="441"/>
      <c r="AA922" s="441"/>
      <c r="AB922" s="441"/>
      <c r="AC922" s="441"/>
      <c r="AD922" s="441"/>
      <c r="AE922" s="441"/>
      <c r="AF922" s="441"/>
      <c r="AG922" s="441"/>
      <c r="AH922" s="441"/>
      <c r="AI922" s="441"/>
      <c r="AJ922" s="441"/>
      <c r="AK922" s="441"/>
      <c r="AL922" s="441"/>
      <c r="AM922" s="441"/>
      <c r="AN922" s="441"/>
      <c r="AO922" s="441"/>
      <c r="AP922" s="441"/>
      <c r="AQ922" s="441"/>
      <c r="AR922" s="441"/>
      <c r="AS922" s="441"/>
      <c r="AT922" s="441"/>
      <c r="AU922" s="441"/>
      <c r="AV922" s="441"/>
      <c r="AW922" s="441"/>
      <c r="AX922" s="441"/>
      <c r="AY922" s="441"/>
      <c r="AZ922" s="441"/>
      <c r="BA922" s="441"/>
    </row>
    <row r="923">
      <c r="A923" s="441"/>
      <c r="B923" s="441"/>
      <c r="C923" s="441"/>
      <c r="D923" s="441"/>
      <c r="E923" s="441"/>
      <c r="F923" s="441"/>
      <c r="G923" s="441"/>
      <c r="H923" s="441"/>
      <c r="I923" s="441"/>
      <c r="J923" s="441"/>
      <c r="K923" s="441"/>
      <c r="L923" s="441"/>
      <c r="M923" s="441"/>
      <c r="N923" s="441"/>
      <c r="O923" s="441"/>
      <c r="P923" s="441"/>
      <c r="Q923" s="441"/>
      <c r="R923" s="441"/>
      <c r="S923" s="441"/>
      <c r="T923" s="441"/>
      <c r="U923" s="441"/>
      <c r="V923" s="441"/>
      <c r="W923" s="441"/>
      <c r="X923" s="441"/>
      <c r="Y923" s="441"/>
      <c r="Z923" s="441"/>
      <c r="AA923" s="441"/>
      <c r="AB923" s="441"/>
      <c r="AC923" s="441"/>
      <c r="AD923" s="441"/>
      <c r="AE923" s="441"/>
      <c r="AF923" s="441"/>
      <c r="AG923" s="441"/>
      <c r="AH923" s="441"/>
      <c r="AI923" s="441"/>
      <c r="AJ923" s="441"/>
      <c r="AK923" s="441"/>
      <c r="AL923" s="441"/>
      <c r="AM923" s="441"/>
      <c r="AN923" s="441"/>
      <c r="AO923" s="441"/>
      <c r="AP923" s="441"/>
      <c r="AQ923" s="441"/>
      <c r="AR923" s="441"/>
      <c r="AS923" s="441"/>
      <c r="AT923" s="441"/>
      <c r="AU923" s="441"/>
      <c r="AV923" s="441"/>
      <c r="AW923" s="441"/>
      <c r="AX923" s="441"/>
      <c r="AY923" s="441"/>
      <c r="AZ923" s="441"/>
      <c r="BA923" s="441"/>
    </row>
    <row r="924">
      <c r="A924" s="441"/>
      <c r="B924" s="441"/>
      <c r="C924" s="441"/>
      <c r="D924" s="441"/>
      <c r="E924" s="441"/>
      <c r="F924" s="441"/>
      <c r="G924" s="441"/>
      <c r="H924" s="441"/>
      <c r="I924" s="441"/>
      <c r="J924" s="441"/>
      <c r="K924" s="441"/>
      <c r="L924" s="441"/>
      <c r="M924" s="441"/>
      <c r="N924" s="441"/>
      <c r="O924" s="441"/>
      <c r="P924" s="441"/>
      <c r="Q924" s="441"/>
      <c r="R924" s="441"/>
      <c r="S924" s="441"/>
      <c r="T924" s="441"/>
      <c r="U924" s="441"/>
      <c r="V924" s="441"/>
      <c r="W924" s="441"/>
      <c r="X924" s="441"/>
      <c r="Y924" s="441"/>
      <c r="Z924" s="441"/>
      <c r="AA924" s="441"/>
      <c r="AB924" s="441"/>
      <c r="AC924" s="441"/>
      <c r="AD924" s="441"/>
      <c r="AE924" s="441"/>
      <c r="AF924" s="441"/>
      <c r="AG924" s="441"/>
      <c r="AH924" s="441"/>
      <c r="AI924" s="441"/>
      <c r="AJ924" s="441"/>
      <c r="AK924" s="441"/>
      <c r="AL924" s="441"/>
      <c r="AM924" s="441"/>
      <c r="AN924" s="441"/>
      <c r="AO924" s="441"/>
      <c r="AP924" s="441"/>
      <c r="AQ924" s="441"/>
      <c r="AR924" s="441"/>
      <c r="AS924" s="441"/>
      <c r="AT924" s="441"/>
      <c r="AU924" s="441"/>
      <c r="AV924" s="441"/>
      <c r="AW924" s="441"/>
      <c r="AX924" s="441"/>
      <c r="AY924" s="441"/>
      <c r="AZ924" s="441"/>
      <c r="BA924" s="441"/>
    </row>
    <row r="925">
      <c r="A925" s="441"/>
      <c r="B925" s="441"/>
      <c r="C925" s="441"/>
      <c r="D925" s="441"/>
      <c r="E925" s="441"/>
      <c r="F925" s="441"/>
      <c r="G925" s="441"/>
      <c r="H925" s="441"/>
      <c r="I925" s="441"/>
      <c r="J925" s="441"/>
      <c r="K925" s="441"/>
      <c r="L925" s="441"/>
      <c r="M925" s="441"/>
      <c r="N925" s="441"/>
      <c r="O925" s="441"/>
      <c r="P925" s="441"/>
      <c r="Q925" s="441"/>
      <c r="R925" s="441"/>
      <c r="S925" s="441"/>
      <c r="T925" s="441"/>
      <c r="U925" s="441"/>
      <c r="V925" s="441"/>
      <c r="W925" s="441"/>
      <c r="X925" s="441"/>
      <c r="Y925" s="441"/>
      <c r="Z925" s="441"/>
      <c r="AA925" s="441"/>
      <c r="AB925" s="441"/>
      <c r="AC925" s="441"/>
      <c r="AD925" s="441"/>
      <c r="AE925" s="441"/>
      <c r="AF925" s="441"/>
      <c r="AG925" s="441"/>
      <c r="AH925" s="441"/>
      <c r="AI925" s="441"/>
      <c r="AJ925" s="441"/>
      <c r="AK925" s="441"/>
      <c r="AL925" s="441"/>
      <c r="AM925" s="441"/>
      <c r="AN925" s="441"/>
      <c r="AO925" s="441"/>
      <c r="AP925" s="441"/>
      <c r="AQ925" s="441"/>
      <c r="AR925" s="441"/>
      <c r="AS925" s="441"/>
      <c r="AT925" s="441"/>
      <c r="AU925" s="441"/>
      <c r="AV925" s="441"/>
      <c r="AW925" s="441"/>
      <c r="AX925" s="441"/>
      <c r="AY925" s="441"/>
      <c r="AZ925" s="441"/>
      <c r="BA925" s="441"/>
    </row>
    <row r="926">
      <c r="A926" s="441"/>
      <c r="B926" s="441"/>
      <c r="C926" s="441"/>
      <c r="D926" s="441"/>
      <c r="E926" s="441"/>
      <c r="F926" s="441"/>
      <c r="G926" s="441"/>
      <c r="H926" s="441"/>
      <c r="I926" s="441"/>
      <c r="J926" s="441"/>
      <c r="K926" s="441"/>
      <c r="L926" s="441"/>
      <c r="M926" s="441"/>
      <c r="N926" s="441"/>
      <c r="O926" s="441"/>
      <c r="P926" s="441"/>
      <c r="Q926" s="441"/>
      <c r="R926" s="441"/>
      <c r="S926" s="441"/>
      <c r="T926" s="441"/>
      <c r="U926" s="441"/>
      <c r="V926" s="441"/>
      <c r="W926" s="441"/>
      <c r="X926" s="441"/>
      <c r="Y926" s="441"/>
      <c r="Z926" s="441"/>
      <c r="AA926" s="441"/>
      <c r="AB926" s="441"/>
      <c r="AC926" s="441"/>
      <c r="AD926" s="441"/>
      <c r="AE926" s="441"/>
      <c r="AF926" s="441"/>
      <c r="AG926" s="441"/>
      <c r="AH926" s="441"/>
      <c r="AI926" s="441"/>
      <c r="AJ926" s="441"/>
      <c r="AK926" s="441"/>
      <c r="AL926" s="441"/>
      <c r="AM926" s="441"/>
      <c r="AN926" s="441"/>
      <c r="AO926" s="441"/>
      <c r="AP926" s="441"/>
      <c r="AQ926" s="441"/>
      <c r="AR926" s="441"/>
      <c r="AS926" s="441"/>
      <c r="AT926" s="441"/>
      <c r="AU926" s="441"/>
      <c r="AV926" s="441"/>
      <c r="AW926" s="441"/>
      <c r="AX926" s="441"/>
      <c r="AY926" s="441"/>
      <c r="AZ926" s="441"/>
      <c r="BA926" s="441"/>
    </row>
    <row r="927">
      <c r="A927" s="441"/>
      <c r="B927" s="441"/>
      <c r="C927" s="441"/>
      <c r="D927" s="441"/>
      <c r="E927" s="441"/>
      <c r="F927" s="441"/>
      <c r="G927" s="441"/>
      <c r="H927" s="441"/>
      <c r="I927" s="441"/>
      <c r="J927" s="441"/>
      <c r="K927" s="441"/>
      <c r="L927" s="441"/>
      <c r="M927" s="441"/>
      <c r="N927" s="441"/>
      <c r="O927" s="441"/>
      <c r="P927" s="441"/>
      <c r="Q927" s="441"/>
      <c r="R927" s="441"/>
      <c r="S927" s="441"/>
      <c r="T927" s="441"/>
      <c r="U927" s="441"/>
      <c r="V927" s="441"/>
      <c r="W927" s="441"/>
      <c r="X927" s="441"/>
      <c r="Y927" s="441"/>
      <c r="Z927" s="441"/>
      <c r="AA927" s="441"/>
      <c r="AB927" s="441"/>
      <c r="AC927" s="441"/>
      <c r="AD927" s="441"/>
      <c r="AE927" s="441"/>
      <c r="AF927" s="441"/>
      <c r="AG927" s="441"/>
      <c r="AH927" s="441"/>
      <c r="AI927" s="441"/>
      <c r="AJ927" s="441"/>
      <c r="AK927" s="441"/>
      <c r="AL927" s="441"/>
      <c r="AM927" s="441"/>
      <c r="AN927" s="441"/>
      <c r="AO927" s="441"/>
      <c r="AP927" s="441"/>
      <c r="AQ927" s="441"/>
      <c r="AR927" s="441"/>
      <c r="AS927" s="441"/>
      <c r="AT927" s="441"/>
      <c r="AU927" s="441"/>
      <c r="AV927" s="441"/>
      <c r="AW927" s="441"/>
      <c r="AX927" s="441"/>
      <c r="AY927" s="441"/>
      <c r="AZ927" s="441"/>
      <c r="BA927" s="441"/>
    </row>
    <row r="928">
      <c r="A928" s="441"/>
      <c r="B928" s="441"/>
      <c r="C928" s="441"/>
      <c r="D928" s="441"/>
      <c r="E928" s="441"/>
      <c r="F928" s="441"/>
      <c r="G928" s="441"/>
      <c r="H928" s="441"/>
      <c r="I928" s="441"/>
      <c r="J928" s="441"/>
      <c r="K928" s="441"/>
      <c r="L928" s="441"/>
      <c r="M928" s="441"/>
      <c r="N928" s="441"/>
      <c r="O928" s="441"/>
      <c r="P928" s="441"/>
      <c r="Q928" s="441"/>
      <c r="R928" s="441"/>
      <c r="S928" s="441"/>
      <c r="T928" s="441"/>
      <c r="U928" s="441"/>
      <c r="V928" s="441"/>
      <c r="W928" s="441"/>
      <c r="X928" s="441"/>
      <c r="Y928" s="441"/>
      <c r="Z928" s="441"/>
      <c r="AA928" s="441"/>
      <c r="AB928" s="441"/>
      <c r="AC928" s="441"/>
      <c r="AD928" s="441"/>
      <c r="AE928" s="441"/>
      <c r="AF928" s="441"/>
      <c r="AG928" s="441"/>
      <c r="AH928" s="441"/>
      <c r="AI928" s="441"/>
      <c r="AJ928" s="441"/>
      <c r="AK928" s="441"/>
      <c r="AL928" s="441"/>
      <c r="AM928" s="441"/>
      <c r="AN928" s="441"/>
      <c r="AO928" s="441"/>
      <c r="AP928" s="441"/>
      <c r="AQ928" s="441"/>
      <c r="AR928" s="441"/>
      <c r="AS928" s="441"/>
      <c r="AT928" s="441"/>
      <c r="AU928" s="441"/>
      <c r="AV928" s="441"/>
      <c r="AW928" s="441"/>
      <c r="AX928" s="441"/>
      <c r="AY928" s="441"/>
      <c r="AZ928" s="441"/>
      <c r="BA928" s="441"/>
    </row>
    <row r="929">
      <c r="A929" s="441"/>
      <c r="B929" s="441"/>
      <c r="C929" s="441"/>
      <c r="D929" s="441"/>
      <c r="E929" s="441"/>
      <c r="F929" s="441"/>
      <c r="G929" s="441"/>
      <c r="H929" s="441"/>
      <c r="I929" s="441"/>
      <c r="J929" s="441"/>
      <c r="K929" s="441"/>
      <c r="L929" s="441"/>
      <c r="M929" s="441"/>
      <c r="N929" s="441"/>
      <c r="O929" s="441"/>
      <c r="P929" s="441"/>
      <c r="Q929" s="441"/>
      <c r="R929" s="441"/>
      <c r="S929" s="441"/>
      <c r="T929" s="441"/>
      <c r="U929" s="441"/>
      <c r="V929" s="441"/>
      <c r="W929" s="441"/>
      <c r="X929" s="441"/>
      <c r="Y929" s="441"/>
      <c r="Z929" s="441"/>
      <c r="AA929" s="441"/>
      <c r="AB929" s="441"/>
      <c r="AC929" s="441"/>
      <c r="AD929" s="441"/>
      <c r="AE929" s="441"/>
      <c r="AF929" s="441"/>
      <c r="AG929" s="441"/>
      <c r="AH929" s="441"/>
      <c r="AI929" s="441"/>
      <c r="AJ929" s="441"/>
      <c r="AK929" s="441"/>
      <c r="AL929" s="441"/>
      <c r="AM929" s="441"/>
      <c r="AN929" s="441"/>
      <c r="AO929" s="441"/>
      <c r="AP929" s="441"/>
      <c r="AQ929" s="441"/>
      <c r="AR929" s="441"/>
      <c r="AS929" s="441"/>
      <c r="AT929" s="441"/>
      <c r="AU929" s="441"/>
      <c r="AV929" s="441"/>
      <c r="AW929" s="441"/>
      <c r="AX929" s="441"/>
      <c r="AY929" s="441"/>
      <c r="AZ929" s="441"/>
      <c r="BA929" s="441"/>
    </row>
    <row r="930">
      <c r="A930" s="441"/>
      <c r="B930" s="441"/>
      <c r="C930" s="441"/>
      <c r="D930" s="441"/>
      <c r="E930" s="441"/>
      <c r="F930" s="441"/>
      <c r="G930" s="441"/>
      <c r="H930" s="441"/>
      <c r="I930" s="441"/>
      <c r="J930" s="441"/>
      <c r="K930" s="441"/>
      <c r="L930" s="441"/>
      <c r="M930" s="441"/>
      <c r="N930" s="441"/>
      <c r="O930" s="441"/>
      <c r="P930" s="441"/>
      <c r="Q930" s="441"/>
      <c r="R930" s="441"/>
      <c r="S930" s="441"/>
      <c r="T930" s="441"/>
      <c r="U930" s="441"/>
      <c r="V930" s="441"/>
      <c r="W930" s="441"/>
      <c r="X930" s="441"/>
      <c r="Y930" s="441"/>
      <c r="Z930" s="441"/>
      <c r="AA930" s="441"/>
      <c r="AB930" s="441"/>
      <c r="AC930" s="441"/>
      <c r="AD930" s="441"/>
      <c r="AE930" s="441"/>
      <c r="AF930" s="441"/>
      <c r="AG930" s="441"/>
      <c r="AH930" s="441"/>
      <c r="AI930" s="441"/>
      <c r="AJ930" s="441"/>
      <c r="AK930" s="441"/>
      <c r="AL930" s="441"/>
      <c r="AM930" s="441"/>
      <c r="AN930" s="441"/>
      <c r="AO930" s="441"/>
      <c r="AP930" s="441"/>
      <c r="AQ930" s="441"/>
      <c r="AR930" s="441"/>
      <c r="AS930" s="441"/>
      <c r="AT930" s="441"/>
      <c r="AU930" s="441"/>
      <c r="AV930" s="441"/>
      <c r="AW930" s="441"/>
      <c r="AX930" s="441"/>
      <c r="AY930" s="441"/>
      <c r="AZ930" s="441"/>
      <c r="BA930" s="441"/>
    </row>
    <row r="931">
      <c r="A931" s="441"/>
      <c r="B931" s="441"/>
      <c r="C931" s="441"/>
      <c r="D931" s="441"/>
      <c r="E931" s="441"/>
      <c r="F931" s="441"/>
      <c r="G931" s="441"/>
      <c r="H931" s="441"/>
      <c r="I931" s="441"/>
      <c r="J931" s="441"/>
      <c r="K931" s="441"/>
      <c r="L931" s="441"/>
      <c r="M931" s="441"/>
      <c r="N931" s="441"/>
      <c r="O931" s="441"/>
      <c r="P931" s="441"/>
      <c r="Q931" s="441"/>
      <c r="R931" s="441"/>
      <c r="S931" s="441"/>
      <c r="T931" s="441"/>
      <c r="U931" s="441"/>
      <c r="V931" s="441"/>
      <c r="W931" s="441"/>
      <c r="X931" s="441"/>
      <c r="Y931" s="441"/>
      <c r="Z931" s="441"/>
      <c r="AA931" s="441"/>
      <c r="AB931" s="441"/>
      <c r="AC931" s="441"/>
      <c r="AD931" s="441"/>
      <c r="AE931" s="441"/>
      <c r="AF931" s="441"/>
      <c r="AG931" s="441"/>
      <c r="AH931" s="441"/>
      <c r="AI931" s="441"/>
      <c r="AJ931" s="441"/>
      <c r="AK931" s="441"/>
      <c r="AL931" s="441"/>
      <c r="AM931" s="441"/>
      <c r="AN931" s="441"/>
      <c r="AO931" s="441"/>
      <c r="AP931" s="441"/>
      <c r="AQ931" s="441"/>
      <c r="AR931" s="441"/>
      <c r="AS931" s="441"/>
      <c r="AT931" s="441"/>
      <c r="AU931" s="441"/>
      <c r="AV931" s="441"/>
      <c r="AW931" s="441"/>
      <c r="AX931" s="441"/>
      <c r="AY931" s="441"/>
      <c r="AZ931" s="441"/>
      <c r="BA931" s="441"/>
    </row>
    <row r="932">
      <c r="A932" s="441"/>
      <c r="B932" s="441"/>
      <c r="C932" s="441"/>
      <c r="D932" s="441"/>
      <c r="E932" s="441"/>
      <c r="F932" s="441"/>
      <c r="G932" s="441"/>
      <c r="H932" s="441"/>
      <c r="I932" s="441"/>
      <c r="J932" s="441"/>
      <c r="K932" s="441"/>
      <c r="L932" s="441"/>
      <c r="M932" s="441"/>
      <c r="N932" s="441"/>
      <c r="O932" s="441"/>
      <c r="P932" s="441"/>
      <c r="Q932" s="441"/>
      <c r="R932" s="441"/>
      <c r="S932" s="441"/>
      <c r="T932" s="441"/>
      <c r="U932" s="441"/>
      <c r="V932" s="441"/>
      <c r="W932" s="441"/>
      <c r="X932" s="441"/>
      <c r="Y932" s="441"/>
      <c r="Z932" s="441"/>
      <c r="AA932" s="441"/>
      <c r="AB932" s="441"/>
      <c r="AC932" s="441"/>
      <c r="AD932" s="441"/>
      <c r="AE932" s="441"/>
      <c r="AF932" s="441"/>
      <c r="AG932" s="441"/>
      <c r="AH932" s="441"/>
      <c r="AI932" s="441"/>
      <c r="AJ932" s="441"/>
      <c r="AK932" s="441"/>
      <c r="AL932" s="441"/>
      <c r="AM932" s="441"/>
      <c r="AN932" s="441"/>
      <c r="AO932" s="441"/>
      <c r="AP932" s="441"/>
      <c r="AQ932" s="441"/>
      <c r="AR932" s="441"/>
      <c r="AS932" s="441"/>
      <c r="AT932" s="441"/>
      <c r="AU932" s="441"/>
      <c r="AV932" s="441"/>
      <c r="AW932" s="441"/>
      <c r="AX932" s="441"/>
      <c r="AY932" s="441"/>
      <c r="AZ932" s="441"/>
      <c r="BA932" s="441"/>
    </row>
    <row r="933">
      <c r="A933" s="441"/>
      <c r="B933" s="441"/>
      <c r="C933" s="441"/>
      <c r="D933" s="441"/>
      <c r="E933" s="441"/>
      <c r="F933" s="441"/>
      <c r="G933" s="441"/>
      <c r="H933" s="441"/>
      <c r="I933" s="441"/>
      <c r="J933" s="441"/>
      <c r="K933" s="441"/>
      <c r="L933" s="441"/>
      <c r="M933" s="441"/>
      <c r="N933" s="441"/>
      <c r="O933" s="441"/>
      <c r="P933" s="441"/>
      <c r="Q933" s="441"/>
      <c r="R933" s="441"/>
      <c r="S933" s="441"/>
      <c r="T933" s="441"/>
      <c r="U933" s="441"/>
      <c r="V933" s="441"/>
      <c r="W933" s="441"/>
      <c r="X933" s="441"/>
      <c r="Y933" s="441"/>
      <c r="Z933" s="441"/>
      <c r="AA933" s="441"/>
      <c r="AB933" s="441"/>
      <c r="AC933" s="441"/>
      <c r="AD933" s="441"/>
      <c r="AE933" s="441"/>
      <c r="AF933" s="441"/>
      <c r="AG933" s="441"/>
      <c r="AH933" s="441"/>
      <c r="AI933" s="441"/>
      <c r="AJ933" s="441"/>
      <c r="AK933" s="441"/>
      <c r="AL933" s="441"/>
      <c r="AM933" s="441"/>
      <c r="AN933" s="441"/>
      <c r="AO933" s="441"/>
      <c r="AP933" s="441"/>
      <c r="AQ933" s="441"/>
      <c r="AR933" s="441"/>
      <c r="AS933" s="441"/>
      <c r="AT933" s="441"/>
      <c r="AU933" s="441"/>
      <c r="AV933" s="441"/>
      <c r="AW933" s="441"/>
      <c r="AX933" s="441"/>
      <c r="AY933" s="441"/>
      <c r="AZ933" s="441"/>
      <c r="BA933" s="441"/>
    </row>
  </sheetData>
  <mergeCells count="298">
    <mergeCell ref="M126:M127"/>
    <mergeCell ref="N126:N127"/>
    <mergeCell ref="J124:J125"/>
    <mergeCell ref="K124:K125"/>
    <mergeCell ref="L124:L125"/>
    <mergeCell ref="M124:M125"/>
    <mergeCell ref="N124:N125"/>
    <mergeCell ref="O124:O125"/>
    <mergeCell ref="J126:J127"/>
    <mergeCell ref="O126:O127"/>
    <mergeCell ref="K102:K103"/>
    <mergeCell ref="L102:L103"/>
    <mergeCell ref="J104:J105"/>
    <mergeCell ref="K104:K105"/>
    <mergeCell ref="L104:L105"/>
    <mergeCell ref="K106:K107"/>
    <mergeCell ref="L106:L107"/>
    <mergeCell ref="J106:J107"/>
    <mergeCell ref="J110:J111"/>
    <mergeCell ref="K110:K111"/>
    <mergeCell ref="L110:L111"/>
    <mergeCell ref="M110:M111"/>
    <mergeCell ref="N110:N111"/>
    <mergeCell ref="O110:O111"/>
    <mergeCell ref="M116:M117"/>
    <mergeCell ref="N116:N117"/>
    <mergeCell ref="J114:J115"/>
    <mergeCell ref="K114:K115"/>
    <mergeCell ref="L114:L115"/>
    <mergeCell ref="M114:M115"/>
    <mergeCell ref="N114:N115"/>
    <mergeCell ref="O114:O115"/>
    <mergeCell ref="J116:J117"/>
    <mergeCell ref="O116:O117"/>
    <mergeCell ref="K116:K117"/>
    <mergeCell ref="L116:L117"/>
    <mergeCell ref="K120:K121"/>
    <mergeCell ref="L120:L121"/>
    <mergeCell ref="M120:M121"/>
    <mergeCell ref="N120:N121"/>
    <mergeCell ref="O120:O121"/>
    <mergeCell ref="J120:J121"/>
    <mergeCell ref="J122:J123"/>
    <mergeCell ref="K122:K123"/>
    <mergeCell ref="L122:L123"/>
    <mergeCell ref="M122:M123"/>
    <mergeCell ref="N122:N123"/>
    <mergeCell ref="O122:O123"/>
    <mergeCell ref="K126:K127"/>
    <mergeCell ref="L126:L127"/>
    <mergeCell ref="B4:H4"/>
    <mergeCell ref="I8:I9"/>
    <mergeCell ref="J8:J9"/>
    <mergeCell ref="K8:K9"/>
    <mergeCell ref="L8:L9"/>
    <mergeCell ref="M8:M9"/>
    <mergeCell ref="N8:N9"/>
    <mergeCell ref="L12:L13"/>
    <mergeCell ref="M12:M13"/>
    <mergeCell ref="L14:L15"/>
    <mergeCell ref="M14:M15"/>
    <mergeCell ref="N14:N15"/>
    <mergeCell ref="I10:I11"/>
    <mergeCell ref="J10:J11"/>
    <mergeCell ref="K10:K11"/>
    <mergeCell ref="L10:L11"/>
    <mergeCell ref="M10:M11"/>
    <mergeCell ref="N10:N11"/>
    <mergeCell ref="I12:I13"/>
    <mergeCell ref="N12:N13"/>
    <mergeCell ref="K17:K18"/>
    <mergeCell ref="L17:L18"/>
    <mergeCell ref="M17:M18"/>
    <mergeCell ref="N17:N18"/>
    <mergeCell ref="I19:I20"/>
    <mergeCell ref="J19:J20"/>
    <mergeCell ref="K19:K20"/>
    <mergeCell ref="L19:L20"/>
    <mergeCell ref="M19:M20"/>
    <mergeCell ref="N19:N20"/>
    <mergeCell ref="J12:J13"/>
    <mergeCell ref="K12:K13"/>
    <mergeCell ref="I14:I15"/>
    <mergeCell ref="J14:J15"/>
    <mergeCell ref="K14:K15"/>
    <mergeCell ref="I17:I18"/>
    <mergeCell ref="J17:J18"/>
    <mergeCell ref="J23:J24"/>
    <mergeCell ref="K23:K24"/>
    <mergeCell ref="L23:L24"/>
    <mergeCell ref="M23:M24"/>
    <mergeCell ref="I21:I22"/>
    <mergeCell ref="J21:J22"/>
    <mergeCell ref="K21:K22"/>
    <mergeCell ref="L21:L22"/>
    <mergeCell ref="M21:M22"/>
    <mergeCell ref="N21:N22"/>
    <mergeCell ref="N23:N24"/>
    <mergeCell ref="I23:I24"/>
    <mergeCell ref="I26:I27"/>
    <mergeCell ref="J26:J27"/>
    <mergeCell ref="K26:K27"/>
    <mergeCell ref="L26:L27"/>
    <mergeCell ref="M26:M27"/>
    <mergeCell ref="N26:N27"/>
    <mergeCell ref="L30:L31"/>
    <mergeCell ref="M30:M31"/>
    <mergeCell ref="L32:L33"/>
    <mergeCell ref="M32:M33"/>
    <mergeCell ref="N32:N33"/>
    <mergeCell ref="I28:I29"/>
    <mergeCell ref="J28:J29"/>
    <mergeCell ref="K28:K29"/>
    <mergeCell ref="L28:L29"/>
    <mergeCell ref="M28:M29"/>
    <mergeCell ref="N28:N29"/>
    <mergeCell ref="I30:I31"/>
    <mergeCell ref="N30:N31"/>
    <mergeCell ref="J30:J31"/>
    <mergeCell ref="K30:K31"/>
    <mergeCell ref="I32:I33"/>
    <mergeCell ref="J32:J33"/>
    <mergeCell ref="K32:K33"/>
    <mergeCell ref="B35:H35"/>
    <mergeCell ref="I38:I39"/>
    <mergeCell ref="K40:K41"/>
    <mergeCell ref="L40:L41"/>
    <mergeCell ref="M40:M41"/>
    <mergeCell ref="N40:N41"/>
    <mergeCell ref="J38:J39"/>
    <mergeCell ref="K38:K39"/>
    <mergeCell ref="L38:L39"/>
    <mergeCell ref="M38:M39"/>
    <mergeCell ref="N38:N39"/>
    <mergeCell ref="I40:I41"/>
    <mergeCell ref="J40:J41"/>
    <mergeCell ref="L44:L45"/>
    <mergeCell ref="M44:M45"/>
    <mergeCell ref="I42:I43"/>
    <mergeCell ref="J42:J43"/>
    <mergeCell ref="K42:K43"/>
    <mergeCell ref="L42:L43"/>
    <mergeCell ref="M42:M43"/>
    <mergeCell ref="N42:N43"/>
    <mergeCell ref="I44:I45"/>
    <mergeCell ref="N44:N45"/>
    <mergeCell ref="N48:N49"/>
    <mergeCell ref="Q48:W48"/>
    <mergeCell ref="J44:J45"/>
    <mergeCell ref="K44:K45"/>
    <mergeCell ref="I48:I49"/>
    <mergeCell ref="J48:J49"/>
    <mergeCell ref="K48:K49"/>
    <mergeCell ref="L48:L49"/>
    <mergeCell ref="M48:M49"/>
    <mergeCell ref="J52:J53"/>
    <mergeCell ref="K52:K53"/>
    <mergeCell ref="Q52:Q53"/>
    <mergeCell ref="T55:V55"/>
    <mergeCell ref="T57:V57"/>
    <mergeCell ref="L60:L61"/>
    <mergeCell ref="M60:M61"/>
    <mergeCell ref="L62:L63"/>
    <mergeCell ref="M62:M63"/>
    <mergeCell ref="N62:N63"/>
    <mergeCell ref="L64:L65"/>
    <mergeCell ref="M64:M65"/>
    <mergeCell ref="N64:N65"/>
    <mergeCell ref="J60:J61"/>
    <mergeCell ref="K60:K61"/>
    <mergeCell ref="I62:I63"/>
    <mergeCell ref="J62:J63"/>
    <mergeCell ref="K62:K63"/>
    <mergeCell ref="J64:J65"/>
    <mergeCell ref="K64:K65"/>
    <mergeCell ref="L52:L53"/>
    <mergeCell ref="M52:M53"/>
    <mergeCell ref="I50:I51"/>
    <mergeCell ref="J50:J51"/>
    <mergeCell ref="K50:K51"/>
    <mergeCell ref="L50:L51"/>
    <mergeCell ref="M50:M51"/>
    <mergeCell ref="N50:N51"/>
    <mergeCell ref="N52:N53"/>
    <mergeCell ref="Q54:Q55"/>
    <mergeCell ref="Q56:Q57"/>
    <mergeCell ref="I52:I53"/>
    <mergeCell ref="I54:I55"/>
    <mergeCell ref="J54:J55"/>
    <mergeCell ref="K54:K55"/>
    <mergeCell ref="L54:L55"/>
    <mergeCell ref="M54:M55"/>
    <mergeCell ref="N54:N55"/>
    <mergeCell ref="I58:I59"/>
    <mergeCell ref="J58:J59"/>
    <mergeCell ref="K58:K59"/>
    <mergeCell ref="L58:L59"/>
    <mergeCell ref="M58:M59"/>
    <mergeCell ref="N58:N59"/>
    <mergeCell ref="I60:I61"/>
    <mergeCell ref="N60:N61"/>
    <mergeCell ref="I64:I65"/>
    <mergeCell ref="B67:H67"/>
    <mergeCell ref="K72:K73"/>
    <mergeCell ref="L72:L73"/>
    <mergeCell ref="M72:M73"/>
    <mergeCell ref="N72:N73"/>
    <mergeCell ref="J70:J71"/>
    <mergeCell ref="K70:K71"/>
    <mergeCell ref="L70:L71"/>
    <mergeCell ref="M70:M71"/>
    <mergeCell ref="N70:N71"/>
    <mergeCell ref="O70:O71"/>
    <mergeCell ref="O72:O73"/>
    <mergeCell ref="J72:J73"/>
    <mergeCell ref="J74:J75"/>
    <mergeCell ref="K74:K75"/>
    <mergeCell ref="L74:L75"/>
    <mergeCell ref="M74:M75"/>
    <mergeCell ref="N74:N75"/>
    <mergeCell ref="O74:O75"/>
    <mergeCell ref="M79:M80"/>
    <mergeCell ref="N79:N80"/>
    <mergeCell ref="M81:M82"/>
    <mergeCell ref="N81:N82"/>
    <mergeCell ref="O81:O82"/>
    <mergeCell ref="M83:M84"/>
    <mergeCell ref="N83:N84"/>
    <mergeCell ref="O83:O84"/>
    <mergeCell ref="J76:J77"/>
    <mergeCell ref="K76:K77"/>
    <mergeCell ref="L76:L77"/>
    <mergeCell ref="M76:M77"/>
    <mergeCell ref="N76:N77"/>
    <mergeCell ref="O76:O77"/>
    <mergeCell ref="J79:J80"/>
    <mergeCell ref="O79:O80"/>
    <mergeCell ref="J83:J84"/>
    <mergeCell ref="J85:J86"/>
    <mergeCell ref="K85:K86"/>
    <mergeCell ref="L85:L86"/>
    <mergeCell ref="M85:M86"/>
    <mergeCell ref="N85:N86"/>
    <mergeCell ref="O85:O86"/>
    <mergeCell ref="K79:K80"/>
    <mergeCell ref="L79:L80"/>
    <mergeCell ref="J81:J82"/>
    <mergeCell ref="K81:K82"/>
    <mergeCell ref="L81:L82"/>
    <mergeCell ref="K83:K84"/>
    <mergeCell ref="L83:L84"/>
    <mergeCell ref="M90:M91"/>
    <mergeCell ref="N90:N91"/>
    <mergeCell ref="M92:M93"/>
    <mergeCell ref="N92:N93"/>
    <mergeCell ref="O92:O93"/>
    <mergeCell ref="M94:M95"/>
    <mergeCell ref="N94:N95"/>
    <mergeCell ref="O94:O95"/>
    <mergeCell ref="J88:J89"/>
    <mergeCell ref="K88:K89"/>
    <mergeCell ref="L88:L89"/>
    <mergeCell ref="M88:M89"/>
    <mergeCell ref="N88:N89"/>
    <mergeCell ref="O88:O89"/>
    <mergeCell ref="J90:J91"/>
    <mergeCell ref="O90:O91"/>
    <mergeCell ref="J94:J95"/>
    <mergeCell ref="B97:I97"/>
    <mergeCell ref="K90:K91"/>
    <mergeCell ref="L90:L91"/>
    <mergeCell ref="J92:J93"/>
    <mergeCell ref="K92:K93"/>
    <mergeCell ref="L92:L93"/>
    <mergeCell ref="K94:K95"/>
    <mergeCell ref="L94:L95"/>
    <mergeCell ref="M102:M103"/>
    <mergeCell ref="N102:N103"/>
    <mergeCell ref="M104:M105"/>
    <mergeCell ref="N104:N105"/>
    <mergeCell ref="O104:O105"/>
    <mergeCell ref="M106:M107"/>
    <mergeCell ref="N106:N107"/>
    <mergeCell ref="O106:O107"/>
    <mergeCell ref="J100:J101"/>
    <mergeCell ref="K100:K101"/>
    <mergeCell ref="L100:L101"/>
    <mergeCell ref="M100:M101"/>
    <mergeCell ref="N100:N101"/>
    <mergeCell ref="O100:O101"/>
    <mergeCell ref="J102:J103"/>
    <mergeCell ref="O102:O103"/>
    <mergeCell ref="J112:J113"/>
    <mergeCell ref="K112:K113"/>
    <mergeCell ref="L112:L113"/>
    <mergeCell ref="M112:M113"/>
    <mergeCell ref="N112:N113"/>
    <mergeCell ref="O112:O113"/>
  </mergeCells>
  <printOptions/>
  <pageMargins bottom="0.75" footer="0.0" header="0.0" left="0.7" right="0.7" top="0.75"/>
  <pageSetup paperSize="9" orientation="portrait"/>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2" width="7.63"/>
    <col customWidth="1" min="3" max="3" width="21.13"/>
    <col customWidth="1" min="4" max="4" width="14.88"/>
    <col customWidth="1" min="5" max="5" width="13.5"/>
    <col customWidth="1" min="6" max="6" width="11.38"/>
    <col customWidth="1" min="7" max="7" width="12.0"/>
    <col customWidth="1" min="8" max="8" width="11.63"/>
    <col customWidth="1" min="9" max="9" width="11.75"/>
    <col customWidth="1" min="10" max="10" width="11.88"/>
    <col customWidth="1" min="11" max="12" width="10.0"/>
    <col customWidth="1" min="13" max="13" width="10.13"/>
    <col customWidth="1" min="14" max="14" width="7.63"/>
    <col customWidth="1" min="15" max="15" width="9.38"/>
    <col customWidth="1" min="16" max="26" width="7.63"/>
  </cols>
  <sheetData>
    <row r="1" ht="12.75" customHeight="1"/>
    <row r="2" ht="12.75" customHeight="1">
      <c r="C2" s="406" t="s">
        <v>2182</v>
      </c>
    </row>
    <row r="3" ht="12.75" customHeight="1"/>
    <row r="4" ht="12.75" customHeight="1">
      <c r="C4" s="1725" t="s">
        <v>2183</v>
      </c>
      <c r="D4" s="1726"/>
      <c r="E4" s="1726"/>
      <c r="F4" s="1726"/>
      <c r="G4" s="1726"/>
      <c r="H4" s="1726"/>
      <c r="I4" s="1726"/>
      <c r="L4" s="1727"/>
    </row>
    <row r="5" ht="12.75" customHeight="1">
      <c r="C5" s="1427" t="s">
        <v>130</v>
      </c>
      <c r="D5" s="1428" t="s">
        <v>1803</v>
      </c>
      <c r="E5" s="1428" t="s">
        <v>131</v>
      </c>
      <c r="F5" s="1428" t="s">
        <v>1755</v>
      </c>
      <c r="G5" s="1428" t="s">
        <v>1756</v>
      </c>
      <c r="H5" s="1428" t="s">
        <v>1794</v>
      </c>
      <c r="I5" s="1428" t="s">
        <v>1804</v>
      </c>
      <c r="J5" s="1428" t="s">
        <v>1760</v>
      </c>
    </row>
    <row r="6" ht="12.75" customHeight="1">
      <c r="C6" s="1490" t="s">
        <v>2184</v>
      </c>
      <c r="D6" s="1020">
        <v>0.01</v>
      </c>
      <c r="E6" s="1728">
        <v>0.04</v>
      </c>
      <c r="F6" s="1728">
        <f t="shared" ref="F6:H6" si="1">E6*2</f>
        <v>0.08</v>
      </c>
      <c r="G6" s="1728">
        <f t="shared" si="1"/>
        <v>0.16</v>
      </c>
      <c r="H6" s="1728">
        <f t="shared" si="1"/>
        <v>0.32</v>
      </c>
      <c r="I6" s="1729">
        <f>G6*42</f>
        <v>6.72</v>
      </c>
      <c r="J6" s="1728">
        <f>I6*4</f>
        <v>26.88</v>
      </c>
    </row>
    <row r="7" ht="12.75" customHeight="1">
      <c r="C7" s="1730"/>
      <c r="D7" s="1726"/>
      <c r="E7" s="1726"/>
      <c r="F7" s="1726"/>
      <c r="G7" s="1726"/>
      <c r="H7" s="1726"/>
      <c r="I7" s="1726"/>
    </row>
    <row r="8" ht="12.75" customHeight="1">
      <c r="C8" s="1731" t="s">
        <v>2185</v>
      </c>
      <c r="D8" s="1732"/>
      <c r="E8" s="1733"/>
      <c r="F8" s="1734" t="s">
        <v>731</v>
      </c>
      <c r="H8" s="1726"/>
      <c r="I8" s="1726"/>
    </row>
    <row r="9" ht="12.75" customHeight="1">
      <c r="C9" s="1735" t="s">
        <v>2186</v>
      </c>
      <c r="D9" s="1736"/>
      <c r="E9" s="1737"/>
      <c r="F9" s="1738">
        <v>0.3</v>
      </c>
      <c r="H9" s="1726"/>
      <c r="I9" s="1726"/>
    </row>
    <row r="10" ht="12.75" customHeight="1">
      <c r="C10" s="1735" t="s">
        <v>2187</v>
      </c>
      <c r="D10" s="1736"/>
      <c r="E10" s="1737"/>
      <c r="F10" s="1738">
        <v>3.0</v>
      </c>
      <c r="H10" s="1726"/>
      <c r="I10" s="1726"/>
    </row>
    <row r="11" ht="12.75" customHeight="1">
      <c r="C11" s="1735" t="s">
        <v>2188</v>
      </c>
      <c r="D11" s="1736"/>
      <c r="E11" s="1737"/>
      <c r="F11" s="1738">
        <v>30.0</v>
      </c>
      <c r="H11" s="1726"/>
      <c r="I11" s="1726"/>
    </row>
    <row r="12" ht="12.75" customHeight="1">
      <c r="C12" s="1730"/>
      <c r="D12" s="1726"/>
      <c r="E12" s="1726"/>
      <c r="F12" s="1726"/>
      <c r="G12" s="1726"/>
      <c r="H12" s="1726"/>
      <c r="I12" s="1726"/>
    </row>
    <row r="13" ht="12.75" customHeight="1">
      <c r="C13" s="1725" t="s">
        <v>2189</v>
      </c>
    </row>
    <row r="14" ht="12.75" customHeight="1">
      <c r="C14" s="1057" t="s">
        <v>130</v>
      </c>
      <c r="D14" s="1069" t="s">
        <v>1431</v>
      </c>
      <c r="E14" s="1069" t="s">
        <v>1418</v>
      </c>
      <c r="F14" s="1069" t="s">
        <v>1432</v>
      </c>
      <c r="G14" s="1069" t="s">
        <v>1419</v>
      </c>
      <c r="H14" s="1069" t="s">
        <v>1433</v>
      </c>
      <c r="I14" s="1069" t="s">
        <v>1420</v>
      </c>
    </row>
    <row r="15" ht="12.75" customHeight="1">
      <c r="C15" s="1490" t="s">
        <v>2184</v>
      </c>
      <c r="D15" s="1728">
        <v>0.08</v>
      </c>
      <c r="E15" s="1729">
        <f>'Кожевник'!C7</f>
        <v>0.48</v>
      </c>
      <c r="F15" s="1728">
        <v>0.72</v>
      </c>
      <c r="G15" s="1729">
        <f>'Кожевник'!D7</f>
        <v>6.56</v>
      </c>
      <c r="H15" s="1728">
        <v>19.439999999999998</v>
      </c>
      <c r="I15" s="1729">
        <f>'Кожевник'!E7</f>
        <v>58.32</v>
      </c>
    </row>
    <row r="16" ht="12.75" customHeight="1">
      <c r="C16" s="1739"/>
      <c r="D16" s="1740"/>
      <c r="E16" s="1740"/>
      <c r="F16" s="1740"/>
      <c r="G16" s="1740"/>
      <c r="H16" s="1740"/>
      <c r="I16" s="1740"/>
    </row>
    <row r="17" ht="12.75" customHeight="1">
      <c r="C17" s="1741" t="s">
        <v>2185</v>
      </c>
      <c r="D17" s="1742"/>
      <c r="E17" s="1743"/>
      <c r="F17" s="1744" t="s">
        <v>731</v>
      </c>
      <c r="G17" s="1740"/>
      <c r="H17" s="1740"/>
      <c r="I17" s="1740"/>
    </row>
    <row r="18" ht="12.75" customHeight="1">
      <c r="C18" s="1735" t="s">
        <v>2190</v>
      </c>
      <c r="D18" s="1736"/>
      <c r="E18" s="1737"/>
      <c r="F18" s="1738">
        <v>0.3</v>
      </c>
      <c r="G18" s="1740"/>
      <c r="H18" s="1740"/>
      <c r="I18" s="1740"/>
    </row>
    <row r="19" ht="12.75" customHeight="1">
      <c r="C19" s="1735" t="s">
        <v>2191</v>
      </c>
      <c r="D19" s="1736"/>
      <c r="E19" s="1737"/>
      <c r="F19" s="1738">
        <v>3.0</v>
      </c>
      <c r="G19" s="1740"/>
      <c r="H19" s="1740"/>
      <c r="I19" s="1740"/>
    </row>
    <row r="20" ht="12.75" customHeight="1">
      <c r="C20" s="1735" t="s">
        <v>2192</v>
      </c>
      <c r="D20" s="1736"/>
      <c r="E20" s="1737"/>
      <c r="F20" s="1738">
        <v>30.0</v>
      </c>
      <c r="G20" s="1740"/>
      <c r="H20" s="1740"/>
      <c r="I20" s="1740"/>
    </row>
    <row r="21" ht="12.75" customHeight="1">
      <c r="C21" s="1730"/>
      <c r="D21" s="1726"/>
      <c r="E21" s="1726"/>
      <c r="F21" s="1726"/>
      <c r="G21" s="1726"/>
      <c r="H21" s="1726"/>
      <c r="I21" s="1726"/>
    </row>
    <row r="22" ht="12.75" customHeight="1">
      <c r="C22" s="1725" t="s">
        <v>2193</v>
      </c>
      <c r="D22" s="1726"/>
      <c r="E22" s="1726"/>
      <c r="F22" s="1726"/>
      <c r="G22" s="1726"/>
      <c r="H22" s="1726"/>
      <c r="I22" s="1726"/>
      <c r="L22" s="1727"/>
    </row>
    <row r="23" ht="12.75" customHeight="1">
      <c r="C23" s="1106" t="s">
        <v>130</v>
      </c>
      <c r="D23" s="1107" t="s">
        <v>172</v>
      </c>
      <c r="E23" s="1107" t="s">
        <v>738</v>
      </c>
      <c r="F23" s="1107" t="s">
        <v>739</v>
      </c>
      <c r="G23" s="1107" t="s">
        <v>740</v>
      </c>
      <c r="H23" s="1107" t="s">
        <v>741</v>
      </c>
      <c r="I23" s="1107" t="s">
        <v>742</v>
      </c>
      <c r="J23" s="1107" t="s">
        <v>743</v>
      </c>
      <c r="L23" s="407"/>
    </row>
    <row r="24" ht="12.75" customHeight="1">
      <c r="C24" s="1490" t="s">
        <v>2184</v>
      </c>
      <c r="D24" s="1745">
        <f>'Рудокоп'!C66</f>
        <v>0.5</v>
      </c>
      <c r="E24" s="1729">
        <f>'Рудокоп'!H51</f>
        <v>1.51</v>
      </c>
      <c r="F24" s="1729">
        <f>'Рудокоп'!D66</f>
        <v>4.57</v>
      </c>
      <c r="G24" s="1729">
        <f>'Рудокоп'!E66</f>
        <v>13.784</v>
      </c>
      <c r="H24" s="1729">
        <f>'Рудокоп'!L51</f>
        <v>41.55</v>
      </c>
      <c r="I24" s="1729">
        <f>'Рудокоп'!M51</f>
        <v>124.72</v>
      </c>
      <c r="J24" s="1729">
        <f>'Рудокоп'!N51</f>
        <v>374.71</v>
      </c>
    </row>
    <row r="25" ht="12.75" customHeight="1">
      <c r="C25" s="1739"/>
      <c r="D25" s="1740"/>
      <c r="E25" s="1740"/>
      <c r="F25" s="1740"/>
      <c r="G25" s="1740"/>
      <c r="H25" s="1740"/>
      <c r="I25" s="1740"/>
      <c r="J25" s="1746"/>
    </row>
    <row r="26" ht="12.75" customHeight="1">
      <c r="C26" s="1747" t="s">
        <v>2185</v>
      </c>
      <c r="D26" s="1748"/>
      <c r="E26" s="1749"/>
      <c r="F26" s="1750" t="s">
        <v>731</v>
      </c>
      <c r="G26" s="1740"/>
      <c r="H26" s="1740"/>
      <c r="I26" s="1740"/>
      <c r="J26" s="1746"/>
    </row>
    <row r="27" ht="12.75" customHeight="1">
      <c r="C27" s="1735" t="s">
        <v>2194</v>
      </c>
      <c r="D27" s="1736"/>
      <c r="E27" s="1737"/>
      <c r="F27" s="1738">
        <v>0.3</v>
      </c>
      <c r="G27" s="1740"/>
      <c r="H27" s="1740"/>
      <c r="I27" s="1740"/>
      <c r="J27" s="1746"/>
    </row>
    <row r="28" ht="12.75" customHeight="1">
      <c r="C28" s="1735" t="s">
        <v>2195</v>
      </c>
      <c r="D28" s="1736"/>
      <c r="E28" s="1737"/>
      <c r="F28" s="1738">
        <v>3.0</v>
      </c>
      <c r="G28" s="1740"/>
      <c r="H28" s="1740"/>
      <c r="I28" s="1740"/>
      <c r="J28" s="1746"/>
    </row>
    <row r="29" ht="12.75" customHeight="1">
      <c r="C29" s="1735" t="s">
        <v>2196</v>
      </c>
      <c r="D29" s="1736"/>
      <c r="E29" s="1737"/>
      <c r="F29" s="1738">
        <v>30.0</v>
      </c>
      <c r="G29" s="1740"/>
      <c r="H29" s="1740"/>
      <c r="I29" s="1740"/>
      <c r="J29" s="1746"/>
    </row>
    <row r="30" ht="12.75" customHeight="1">
      <c r="C30" s="1730"/>
      <c r="D30" s="1726"/>
      <c r="E30" s="1726"/>
      <c r="F30" s="1726"/>
      <c r="G30" s="1726"/>
      <c r="H30" s="1726"/>
      <c r="I30" s="1726"/>
    </row>
    <row r="31" ht="12.75" customHeight="1">
      <c r="C31" s="1725" t="s">
        <v>2130</v>
      </c>
      <c r="D31" s="1726"/>
      <c r="E31" s="1726"/>
      <c r="F31" s="1726"/>
      <c r="G31" s="1726"/>
      <c r="H31" s="1726"/>
      <c r="I31" s="1726"/>
    </row>
    <row r="32" ht="12.75" customHeight="1">
      <c r="C32" s="1751" t="s">
        <v>130</v>
      </c>
      <c r="D32" s="1752" t="s">
        <v>86</v>
      </c>
      <c r="E32" s="1752" t="s">
        <v>85</v>
      </c>
      <c r="F32" s="1752" t="s">
        <v>84</v>
      </c>
      <c r="G32" s="1752" t="s">
        <v>2065</v>
      </c>
      <c r="H32" s="1301"/>
      <c r="I32" s="1301"/>
      <c r="J32" s="1301"/>
      <c r="K32" s="1301"/>
      <c r="L32" s="1301"/>
    </row>
    <row r="33" ht="12.75" customHeight="1">
      <c r="C33" s="1490" t="s">
        <v>2184</v>
      </c>
      <c r="D33" s="1753">
        <f>'Рудокоп'!G51</f>
        <v>0.33</v>
      </c>
      <c r="E33" s="1753">
        <f>'Рудокоп'!J51</f>
        <v>10.22</v>
      </c>
      <c r="F33" s="1753">
        <f>'Рудокоп'!K51</f>
        <v>1000.35</v>
      </c>
      <c r="G33" s="1753">
        <f>'Рудокоп'!O51</f>
        <v>10000.85</v>
      </c>
      <c r="H33" s="1301"/>
      <c r="I33" s="1301"/>
      <c r="J33" s="1301"/>
      <c r="K33" s="1301"/>
      <c r="L33" s="1301"/>
    </row>
    <row r="34" ht="12.75" customHeight="1">
      <c r="C34" s="1739"/>
      <c r="D34" s="1754"/>
      <c r="E34" s="1754"/>
      <c r="F34" s="1754"/>
      <c r="G34" s="1754"/>
      <c r="H34" s="1754"/>
      <c r="I34" s="1754"/>
      <c r="J34" s="1755"/>
      <c r="K34" s="1301"/>
      <c r="L34" s="1301"/>
    </row>
    <row r="35" ht="12.75" customHeight="1">
      <c r="C35" s="1751" t="s">
        <v>130</v>
      </c>
      <c r="D35" s="1752" t="s">
        <v>1827</v>
      </c>
      <c r="E35" s="1752" t="s">
        <v>1829</v>
      </c>
      <c r="F35" s="1752" t="s">
        <v>1831</v>
      </c>
      <c r="G35" s="1752" t="s">
        <v>1833</v>
      </c>
      <c r="H35" s="1752" t="s">
        <v>1835</v>
      </c>
      <c r="I35" s="1752" t="s">
        <v>2197</v>
      </c>
      <c r="J35" s="1752" t="s">
        <v>1839</v>
      </c>
      <c r="K35" s="1301"/>
      <c r="L35" s="1301"/>
    </row>
    <row r="36" ht="12.75" customHeight="1">
      <c r="C36" s="1490" t="s">
        <v>2184</v>
      </c>
      <c r="D36" s="1753">
        <v>0.4</v>
      </c>
      <c r="E36" s="1753">
        <f t="shared" ref="E36:F36" si="2">D36*3</f>
        <v>1.2</v>
      </c>
      <c r="F36" s="1753">
        <f t="shared" si="2"/>
        <v>3.6</v>
      </c>
      <c r="G36" s="1753">
        <f t="shared" ref="G36:J36" si="3">F36*9</f>
        <v>32.4</v>
      </c>
      <c r="H36" s="1753">
        <f t="shared" si="3"/>
        <v>291.6</v>
      </c>
      <c r="I36" s="1753">
        <f t="shared" si="3"/>
        <v>2624.4</v>
      </c>
      <c r="J36" s="1753">
        <f t="shared" si="3"/>
        <v>23619.6</v>
      </c>
      <c r="K36" s="1301"/>
      <c r="L36" s="1301"/>
    </row>
    <row r="37" ht="12.75" customHeight="1">
      <c r="C37" s="1739"/>
      <c r="D37" s="1754"/>
      <c r="E37" s="1754"/>
      <c r="F37" s="1754"/>
      <c r="G37" s="1754"/>
      <c r="H37" s="1754"/>
      <c r="I37" s="1754"/>
      <c r="J37" s="1755"/>
      <c r="K37" s="1301"/>
      <c r="L37" s="1301"/>
    </row>
    <row r="38" ht="12.75" customHeight="1">
      <c r="C38" s="1756" t="s">
        <v>2185</v>
      </c>
      <c r="D38" s="1757"/>
      <c r="E38" s="1758"/>
      <c r="F38" s="1759" t="s">
        <v>731</v>
      </c>
      <c r="G38" s="1754"/>
      <c r="H38" s="1754"/>
      <c r="I38" s="1754"/>
      <c r="J38" s="1755"/>
      <c r="K38" s="1301"/>
      <c r="L38" s="1301"/>
    </row>
    <row r="39" ht="12.75" customHeight="1">
      <c r="C39" s="1735" t="s">
        <v>2198</v>
      </c>
      <c r="D39" s="1760"/>
      <c r="E39" s="1761"/>
      <c r="F39" s="1738">
        <v>0.3</v>
      </c>
      <c r="G39" s="1754"/>
      <c r="H39" s="1754"/>
      <c r="I39" s="1754"/>
      <c r="J39" s="1755"/>
      <c r="K39" s="1301"/>
      <c r="L39" s="1301"/>
    </row>
    <row r="40" ht="12.75" customHeight="1">
      <c r="C40" s="1735" t="s">
        <v>2199</v>
      </c>
      <c r="D40" s="1760"/>
      <c r="E40" s="1761"/>
      <c r="F40" s="1738">
        <v>3.0</v>
      </c>
      <c r="G40" s="1754"/>
      <c r="H40" s="1754"/>
      <c r="I40" s="1754"/>
      <c r="J40" s="1755"/>
      <c r="K40" s="1301"/>
      <c r="L40" s="1301"/>
    </row>
    <row r="41" ht="12.75" customHeight="1">
      <c r="C41" s="1735" t="s">
        <v>2200</v>
      </c>
      <c r="D41" s="1760"/>
      <c r="E41" s="1761"/>
      <c r="F41" s="1738">
        <v>30.0</v>
      </c>
      <c r="G41" s="1754"/>
      <c r="H41" s="1754"/>
      <c r="I41" s="1754"/>
      <c r="J41" s="1755"/>
      <c r="K41" s="1301"/>
      <c r="L41" s="1301"/>
    </row>
    <row r="42" ht="12.75" customHeight="1">
      <c r="C42" s="1730"/>
      <c r="D42" s="1762"/>
      <c r="E42" s="1762"/>
      <c r="F42" s="1762"/>
      <c r="G42" s="1762"/>
      <c r="H42" s="1762"/>
      <c r="I42" s="1762"/>
      <c r="J42" s="1301"/>
      <c r="K42" s="1301"/>
      <c r="L42" s="1301"/>
    </row>
    <row r="43" ht="12.75" customHeight="1">
      <c r="C43" s="1725" t="s">
        <v>2201</v>
      </c>
      <c r="D43" s="1762"/>
      <c r="E43" s="1762"/>
      <c r="F43" s="1762"/>
      <c r="G43" s="1762"/>
      <c r="H43" s="1762"/>
      <c r="I43" s="1762"/>
      <c r="J43" s="1301"/>
      <c r="K43" s="1301"/>
      <c r="L43" s="1301"/>
    </row>
    <row r="44" ht="12.75" customHeight="1">
      <c r="C44" s="1763" t="s">
        <v>130</v>
      </c>
      <c r="D44" s="1764" t="s">
        <v>2111</v>
      </c>
      <c r="E44" s="1764" t="s">
        <v>2202</v>
      </c>
      <c r="F44" s="1764" t="s">
        <v>2203</v>
      </c>
      <c r="G44" s="1762"/>
      <c r="H44" s="1762"/>
      <c r="I44" s="1762"/>
      <c r="J44" s="1301"/>
      <c r="K44" s="1301"/>
      <c r="L44" s="1301"/>
    </row>
    <row r="45" ht="12.75" customHeight="1">
      <c r="C45" s="1490" t="s">
        <v>2184</v>
      </c>
      <c r="D45" s="1497">
        <v>0.03</v>
      </c>
      <c r="E45" s="1753">
        <f>D45*50</f>
        <v>1.5</v>
      </c>
      <c r="F45" s="1753">
        <f>E45*3</f>
        <v>4.5</v>
      </c>
      <c r="G45" s="1762"/>
      <c r="H45" s="1762"/>
      <c r="I45" s="1762"/>
      <c r="J45" s="1301"/>
      <c r="K45" s="1301"/>
      <c r="L45" s="1301"/>
    </row>
    <row r="46" ht="12.75" customHeight="1">
      <c r="C46" s="1730"/>
      <c r="D46" s="1762"/>
      <c r="E46" s="1762"/>
      <c r="F46" s="1762"/>
      <c r="G46" s="1762"/>
      <c r="H46" s="1762"/>
      <c r="I46" s="1762"/>
      <c r="J46" s="1301"/>
      <c r="K46" s="1301"/>
      <c r="L46" s="1301"/>
    </row>
    <row r="47" ht="12.75" customHeight="1">
      <c r="C47" s="1765" t="s">
        <v>2185</v>
      </c>
      <c r="D47" s="1766"/>
      <c r="E47" s="1767"/>
      <c r="F47" s="1768" t="s">
        <v>731</v>
      </c>
      <c r="G47" s="1762"/>
      <c r="H47" s="1762"/>
      <c r="I47" s="1762"/>
      <c r="J47" s="1301"/>
      <c r="K47" s="1301"/>
      <c r="L47" s="1301"/>
    </row>
    <row r="48" ht="12.75" customHeight="1">
      <c r="C48" s="1735" t="s">
        <v>2204</v>
      </c>
      <c r="D48" s="1760"/>
      <c r="E48" s="1761"/>
      <c r="F48" s="1738">
        <v>0.3</v>
      </c>
      <c r="G48" s="1762"/>
      <c r="H48" s="1762"/>
      <c r="I48" s="1762"/>
      <c r="J48" s="1301"/>
      <c r="K48" s="1301"/>
      <c r="L48" s="1301"/>
    </row>
    <row r="49" ht="12.75" customHeight="1">
      <c r="C49" s="1735" t="s">
        <v>2205</v>
      </c>
      <c r="D49" s="1760"/>
      <c r="E49" s="1761"/>
      <c r="F49" s="1738">
        <v>3.0</v>
      </c>
      <c r="G49" s="1762"/>
      <c r="H49" s="1762"/>
      <c r="I49" s="1762"/>
      <c r="J49" s="1301"/>
      <c r="K49" s="1301"/>
      <c r="L49" s="1301"/>
    </row>
    <row r="50" ht="12.75" customHeight="1">
      <c r="C50" s="1735" t="s">
        <v>2206</v>
      </c>
      <c r="D50" s="1760"/>
      <c r="E50" s="1761"/>
      <c r="F50" s="1738">
        <v>30.0</v>
      </c>
      <c r="G50" s="1762"/>
      <c r="H50" s="1762"/>
      <c r="I50" s="1762"/>
      <c r="J50" s="1301"/>
      <c r="K50" s="1301"/>
      <c r="L50" s="1301"/>
    </row>
    <row r="51" ht="12.75" customHeight="1">
      <c r="C51" s="1769"/>
      <c r="D51" s="1762"/>
      <c r="E51" s="1762"/>
      <c r="F51" s="1762"/>
      <c r="G51" s="1762"/>
      <c r="H51" s="1762"/>
      <c r="I51" s="1762"/>
      <c r="J51" s="1301"/>
      <c r="K51" s="1301"/>
      <c r="L51" s="1301"/>
    </row>
    <row r="52" ht="12.75" customHeight="1">
      <c r="C52" s="1725" t="s">
        <v>2207</v>
      </c>
      <c r="D52" s="1762"/>
      <c r="E52" s="1762"/>
      <c r="F52" s="1762"/>
      <c r="G52" s="1762"/>
      <c r="H52" s="1762"/>
      <c r="I52" s="1762"/>
      <c r="J52" s="1301"/>
      <c r="K52" s="1301"/>
      <c r="L52" s="1301"/>
    </row>
    <row r="53" ht="12.75" customHeight="1">
      <c r="C53" s="1770" t="s">
        <v>130</v>
      </c>
      <c r="D53" s="1771" t="s">
        <v>2208</v>
      </c>
      <c r="E53" s="1771" t="s">
        <v>2209</v>
      </c>
      <c r="F53" s="1755"/>
      <c r="G53" s="1755"/>
      <c r="H53" s="1755"/>
      <c r="I53" s="1755"/>
      <c r="J53" s="1755"/>
      <c r="K53" s="1301"/>
      <c r="L53" s="1301"/>
    </row>
    <row r="54" ht="12.75" customHeight="1">
      <c r="C54" s="1490" t="s">
        <v>2184</v>
      </c>
      <c r="D54" s="1772">
        <f>'Алхимик'!O80</f>
        <v>0.03051</v>
      </c>
      <c r="E54" s="1772">
        <f>'Алхимик'!O84</f>
        <v>1.96793</v>
      </c>
      <c r="F54" s="1755"/>
      <c r="G54" s="1755"/>
      <c r="H54" s="1755"/>
      <c r="I54" s="1755"/>
      <c r="J54" s="1755"/>
      <c r="K54" s="1301"/>
      <c r="L54" s="1301"/>
    </row>
    <row r="55" ht="12.75" customHeight="1">
      <c r="C55" s="1773"/>
      <c r="D55" s="1755"/>
      <c r="E55" s="1755"/>
      <c r="F55" s="1755"/>
      <c r="G55" s="1755"/>
      <c r="H55" s="1755"/>
      <c r="I55" s="1755"/>
      <c r="J55" s="1755"/>
      <c r="K55" s="1301"/>
      <c r="L55" s="1301"/>
    </row>
    <row r="56" ht="12.75" customHeight="1">
      <c r="C56" s="1774" t="s">
        <v>2185</v>
      </c>
      <c r="D56" s="1775"/>
      <c r="E56" s="1776"/>
      <c r="F56" s="1777" t="s">
        <v>731</v>
      </c>
      <c r="G56" s="1755"/>
      <c r="H56" s="1755"/>
      <c r="I56" s="1755"/>
      <c r="J56" s="1755"/>
      <c r="K56" s="1301"/>
      <c r="L56" s="1301"/>
    </row>
    <row r="57" ht="12.75" customHeight="1">
      <c r="C57" s="1735" t="s">
        <v>2210</v>
      </c>
      <c r="D57" s="1760"/>
      <c r="E57" s="1761"/>
      <c r="F57" s="1738">
        <v>0.3</v>
      </c>
      <c r="G57" s="1755"/>
      <c r="H57" s="1755"/>
      <c r="I57" s="1755"/>
      <c r="J57" s="1755"/>
      <c r="K57" s="1301"/>
      <c r="L57" s="1301"/>
    </row>
    <row r="58" ht="12.75" customHeight="1">
      <c r="C58" s="1735" t="s">
        <v>2211</v>
      </c>
      <c r="D58" s="1760"/>
      <c r="E58" s="1761"/>
      <c r="F58" s="1738">
        <v>3.0</v>
      </c>
      <c r="G58" s="1755"/>
      <c r="H58" s="1755"/>
      <c r="I58" s="1755"/>
      <c r="J58" s="1755"/>
      <c r="K58" s="1301"/>
      <c r="L58" s="1301"/>
    </row>
    <row r="59" ht="12.75" customHeight="1">
      <c r="C59" s="1735" t="s">
        <v>2212</v>
      </c>
      <c r="D59" s="1760"/>
      <c r="E59" s="1761"/>
      <c r="F59" s="1738">
        <v>30.0</v>
      </c>
      <c r="G59" s="1755"/>
      <c r="H59" s="1755"/>
      <c r="I59" s="1755"/>
      <c r="J59" s="1755"/>
      <c r="K59" s="1301"/>
      <c r="L59" s="1301"/>
    </row>
    <row r="60" ht="12.75" customHeight="1">
      <c r="C60" s="1778"/>
      <c r="D60" s="1301"/>
      <c r="E60" s="1301"/>
      <c r="F60" s="1301"/>
      <c r="G60" s="1301"/>
      <c r="H60" s="1301"/>
      <c r="I60" s="1301"/>
      <c r="J60" s="1301"/>
      <c r="K60" s="1301"/>
      <c r="L60" s="1301"/>
    </row>
    <row r="61" ht="12.75" customHeight="1">
      <c r="C61" s="1725" t="s">
        <v>2213</v>
      </c>
      <c r="D61" s="1301"/>
      <c r="E61" s="1301"/>
      <c r="F61" s="1301"/>
      <c r="G61" s="1301"/>
      <c r="H61" s="1301"/>
      <c r="I61" s="1301"/>
      <c r="J61" s="1301"/>
      <c r="K61" s="1301"/>
      <c r="L61" s="1301"/>
    </row>
    <row r="62" ht="12.75" customHeight="1">
      <c r="C62" s="1302" t="s">
        <v>130</v>
      </c>
      <c r="D62" s="1303" t="s">
        <v>2214</v>
      </c>
      <c r="E62" s="1303" t="s">
        <v>1148</v>
      </c>
      <c r="F62" s="1303" t="s">
        <v>1149</v>
      </c>
      <c r="G62" s="1303" t="s">
        <v>1150</v>
      </c>
      <c r="H62" s="1303" t="s">
        <v>1151</v>
      </c>
      <c r="I62" s="1303" t="s">
        <v>1152</v>
      </c>
      <c r="J62" s="1303" t="s">
        <v>1153</v>
      </c>
      <c r="K62" s="1303" t="s">
        <v>1154</v>
      </c>
      <c r="L62" s="1301"/>
    </row>
    <row r="63" ht="12.75" customHeight="1">
      <c r="C63" s="1490" t="s">
        <v>2184</v>
      </c>
      <c r="D63" s="1491">
        <v>0.01</v>
      </c>
      <c r="E63" s="1491">
        <v>0.12</v>
      </c>
      <c r="F63" s="1779">
        <f t="shared" ref="F63:K63" si="4">E63*3</f>
        <v>0.36</v>
      </c>
      <c r="G63" s="1779">
        <f t="shared" si="4"/>
        <v>1.08</v>
      </c>
      <c r="H63" s="1779">
        <f t="shared" si="4"/>
        <v>3.24</v>
      </c>
      <c r="I63" s="1779">
        <f t="shared" si="4"/>
        <v>9.72</v>
      </c>
      <c r="J63" s="1779">
        <f t="shared" si="4"/>
        <v>29.16</v>
      </c>
      <c r="K63" s="1779">
        <f t="shared" si="4"/>
        <v>87.48</v>
      </c>
      <c r="L63" s="1301"/>
    </row>
    <row r="64" ht="12.75" customHeight="1">
      <c r="C64" s="1773"/>
      <c r="D64" s="1755"/>
      <c r="E64" s="1755"/>
      <c r="F64" s="1755"/>
      <c r="G64" s="1755"/>
      <c r="H64" s="1755"/>
      <c r="I64" s="1755"/>
      <c r="J64" s="1755"/>
      <c r="K64" s="1301"/>
      <c r="L64" s="1301"/>
    </row>
    <row r="65" ht="12.75" customHeight="1">
      <c r="C65" s="1780" t="s">
        <v>2185</v>
      </c>
      <c r="D65" s="1781"/>
      <c r="E65" s="1782"/>
      <c r="F65" s="1783" t="s">
        <v>731</v>
      </c>
      <c r="G65" s="1755"/>
      <c r="H65" s="1755"/>
      <c r="I65" s="1755"/>
      <c r="J65" s="1755"/>
      <c r="K65" s="1301"/>
      <c r="L65" s="1301"/>
    </row>
    <row r="66" ht="12.75" customHeight="1">
      <c r="C66" s="1735" t="s">
        <v>2215</v>
      </c>
      <c r="D66" s="1760"/>
      <c r="E66" s="1761"/>
      <c r="F66" s="1738">
        <v>0.3</v>
      </c>
      <c r="G66" s="1755"/>
      <c r="H66" s="1755"/>
      <c r="I66" s="1755"/>
      <c r="J66" s="1755"/>
      <c r="K66" s="1301"/>
      <c r="L66" s="1301"/>
    </row>
    <row r="67" ht="12.75" customHeight="1">
      <c r="C67" s="1735" t="s">
        <v>2216</v>
      </c>
      <c r="D67" s="1760"/>
      <c r="E67" s="1761"/>
      <c r="F67" s="1738">
        <v>3.0</v>
      </c>
      <c r="G67" s="1755"/>
      <c r="H67" s="1755"/>
      <c r="I67" s="1755"/>
      <c r="J67" s="1755"/>
      <c r="K67" s="1301"/>
      <c r="L67" s="1301"/>
    </row>
    <row r="68" ht="12.75" customHeight="1">
      <c r="C68" s="1735" t="s">
        <v>2217</v>
      </c>
      <c r="D68" s="1760"/>
      <c r="E68" s="1761"/>
      <c r="F68" s="1738">
        <v>30.0</v>
      </c>
      <c r="G68" s="1755"/>
      <c r="H68" s="1755"/>
      <c r="I68" s="1755"/>
      <c r="J68" s="1755"/>
      <c r="K68" s="1301"/>
      <c r="L68" s="1301"/>
    </row>
    <row r="69" ht="12.75" customHeight="1">
      <c r="C69" s="1778"/>
      <c r="D69" s="1301"/>
      <c r="E69" s="1301"/>
      <c r="F69" s="1301"/>
      <c r="G69" s="1301"/>
      <c r="H69" s="1301"/>
      <c r="I69" s="1301"/>
      <c r="J69" s="1301"/>
      <c r="K69" s="1301"/>
      <c r="L69" s="1301"/>
    </row>
    <row r="70" ht="12.75" customHeight="1">
      <c r="C70" s="1784" t="s">
        <v>1215</v>
      </c>
      <c r="D70" s="1301"/>
      <c r="E70" s="1301"/>
      <c r="F70" s="1301"/>
      <c r="G70" s="1301"/>
      <c r="H70" s="1301"/>
      <c r="I70" s="1301"/>
      <c r="J70" s="1301"/>
      <c r="K70" s="1301"/>
      <c r="L70" s="1301"/>
    </row>
    <row r="71" ht="12.75" customHeight="1">
      <c r="C71" s="1785" t="s">
        <v>2185</v>
      </c>
      <c r="D71" s="1786"/>
      <c r="E71" s="1786"/>
      <c r="F71" s="1787" t="s">
        <v>731</v>
      </c>
      <c r="G71" s="1755"/>
      <c r="H71" s="1755"/>
      <c r="I71" s="1755"/>
      <c r="J71" s="1301"/>
      <c r="K71" s="1301"/>
      <c r="L71" s="1301"/>
    </row>
    <row r="72" ht="12.75" customHeight="1">
      <c r="C72" s="1735" t="s">
        <v>2218</v>
      </c>
      <c r="D72" s="1760"/>
      <c r="E72" s="1760"/>
      <c r="F72" s="1738">
        <v>0.6</v>
      </c>
      <c r="G72" s="1755"/>
      <c r="H72" s="1755"/>
      <c r="I72" s="1755"/>
      <c r="J72" s="1301"/>
      <c r="K72" s="1301"/>
      <c r="L72" s="1301"/>
    </row>
    <row r="73" ht="12.75" customHeight="1">
      <c r="C73" s="1735" t="s">
        <v>2219</v>
      </c>
      <c r="D73" s="1760"/>
      <c r="E73" s="1760"/>
      <c r="F73" s="1738">
        <v>6.0</v>
      </c>
      <c r="G73" s="1755"/>
      <c r="H73" s="1755"/>
      <c r="I73" s="1755"/>
      <c r="J73" s="1301"/>
      <c r="K73" s="1301"/>
      <c r="L73" s="1301"/>
    </row>
    <row r="74" ht="12.75" customHeight="1">
      <c r="C74" s="1735" t="s">
        <v>2220</v>
      </c>
      <c r="D74" s="1760"/>
      <c r="E74" s="1760"/>
      <c r="F74" s="1738">
        <v>60.0</v>
      </c>
      <c r="G74" s="1755"/>
      <c r="H74" s="1755"/>
      <c r="I74" s="1755"/>
      <c r="J74" s="1301"/>
      <c r="K74" s="1301"/>
      <c r="L74" s="1301"/>
    </row>
    <row r="75" ht="12.75" customHeight="1">
      <c r="C75" s="1735" t="s">
        <v>2221</v>
      </c>
      <c r="D75" s="1760"/>
      <c r="E75" s="1760"/>
      <c r="F75" s="1738">
        <f>'Стеклодув'!F13</f>
        <v>0.152</v>
      </c>
      <c r="G75" s="1755"/>
      <c r="H75" s="1755"/>
      <c r="I75" s="1755"/>
      <c r="J75" s="1301"/>
      <c r="K75" s="1301"/>
      <c r="L75" s="1301"/>
    </row>
    <row r="76" ht="12.75" customHeight="1">
      <c r="C76" s="1773"/>
      <c r="D76" s="1755"/>
      <c r="E76" s="1755"/>
      <c r="F76" s="1755"/>
      <c r="G76" s="1755"/>
      <c r="H76" s="1755"/>
      <c r="I76" s="1755"/>
      <c r="J76" s="1301"/>
      <c r="K76" s="1301"/>
      <c r="L76" s="1301"/>
    </row>
    <row r="77" ht="12.75" customHeight="1">
      <c r="C77" s="1788" t="s">
        <v>2222</v>
      </c>
      <c r="D77" s="1789"/>
      <c r="E77" s="1789"/>
      <c r="F77" s="1789"/>
      <c r="G77" s="1789"/>
      <c r="H77" s="1789"/>
      <c r="I77" s="1301"/>
      <c r="J77" s="1301"/>
      <c r="K77" s="1301"/>
      <c r="L77" s="1301"/>
    </row>
    <row r="78" ht="12.75" customHeight="1">
      <c r="C78" s="1790" t="s">
        <v>130</v>
      </c>
      <c r="D78" s="1791" t="s">
        <v>1236</v>
      </c>
      <c r="E78" s="1791" t="s">
        <v>1240</v>
      </c>
      <c r="F78" s="1791" t="s">
        <v>1242</v>
      </c>
      <c r="G78" s="1791" t="s">
        <v>1244</v>
      </c>
      <c r="H78" s="1791" t="s">
        <v>1246</v>
      </c>
      <c r="I78" s="1791" t="s">
        <v>2223</v>
      </c>
      <c r="J78" s="1301"/>
      <c r="K78" s="1301"/>
      <c r="L78" s="1301"/>
    </row>
    <row r="79" ht="12.75" customHeight="1">
      <c r="C79" s="1490" t="s">
        <v>2184</v>
      </c>
      <c r="D79" s="1779">
        <v>0.06</v>
      </c>
      <c r="E79" s="1779">
        <f t="shared" ref="E79:I79" si="5">D79*3</f>
        <v>0.18</v>
      </c>
      <c r="F79" s="1779">
        <f t="shared" si="5"/>
        <v>0.54</v>
      </c>
      <c r="G79" s="1779">
        <f t="shared" si="5"/>
        <v>1.62</v>
      </c>
      <c r="H79" s="1779">
        <f t="shared" si="5"/>
        <v>4.86</v>
      </c>
      <c r="I79" s="1779">
        <f t="shared" si="5"/>
        <v>14.58</v>
      </c>
      <c r="J79" s="1301"/>
      <c r="K79" s="1301"/>
      <c r="L79" s="1301"/>
    </row>
    <row r="80" ht="12.75" customHeight="1">
      <c r="C80" s="1778"/>
      <c r="D80" s="1301"/>
      <c r="E80" s="1301"/>
      <c r="F80" s="1301"/>
      <c r="G80" s="1301"/>
      <c r="H80" s="1301"/>
      <c r="I80" s="1301"/>
      <c r="J80" s="1301"/>
      <c r="K80" s="1301"/>
      <c r="L80" s="1301"/>
    </row>
    <row r="81" ht="12.75" customHeight="1">
      <c r="C81" s="1788" t="s">
        <v>2224</v>
      </c>
      <c r="D81" s="1789"/>
      <c r="E81" s="1789"/>
      <c r="F81" s="1789"/>
      <c r="G81" s="1789"/>
      <c r="H81" s="1789"/>
      <c r="I81" s="1301"/>
      <c r="J81" s="1301"/>
      <c r="K81" s="1301"/>
      <c r="L81" s="1301"/>
    </row>
    <row r="82" ht="12.75" customHeight="1">
      <c r="C82" s="1790" t="s">
        <v>130</v>
      </c>
      <c r="D82" s="1791" t="s">
        <v>1251</v>
      </c>
      <c r="E82" s="1791" t="s">
        <v>1253</v>
      </c>
      <c r="F82" s="1791" t="s">
        <v>1255</v>
      </c>
      <c r="G82" s="1791" t="s">
        <v>1257</v>
      </c>
      <c r="H82" s="1791" t="s">
        <v>1259</v>
      </c>
      <c r="I82" s="1791" t="s">
        <v>1261</v>
      </c>
      <c r="J82" s="1301"/>
      <c r="K82" s="1301"/>
      <c r="L82" s="1301"/>
    </row>
    <row r="83" ht="12.75" customHeight="1">
      <c r="C83" s="1490" t="s">
        <v>2184</v>
      </c>
      <c r="D83" s="1779">
        <v>0.06</v>
      </c>
      <c r="E83" s="1779">
        <f t="shared" ref="E83:I83" si="6">D83*3</f>
        <v>0.18</v>
      </c>
      <c r="F83" s="1779">
        <f t="shared" si="6"/>
        <v>0.54</v>
      </c>
      <c r="G83" s="1779">
        <f t="shared" si="6"/>
        <v>1.62</v>
      </c>
      <c r="H83" s="1779">
        <f t="shared" si="6"/>
        <v>4.86</v>
      </c>
      <c r="I83" s="1779">
        <f t="shared" si="6"/>
        <v>14.58</v>
      </c>
      <c r="J83" s="1301"/>
      <c r="K83" s="1301"/>
      <c r="L83" s="1301"/>
    </row>
    <row r="84" ht="12.75" customHeight="1">
      <c r="C84" s="1778"/>
      <c r="D84" s="1301"/>
      <c r="E84" s="1301"/>
      <c r="F84" s="1301"/>
      <c r="G84" s="1301"/>
      <c r="H84" s="1301"/>
      <c r="I84" s="1301"/>
      <c r="J84" s="1301"/>
      <c r="K84" s="1301"/>
      <c r="L84" s="1301"/>
    </row>
    <row r="85" ht="12.75" customHeight="1">
      <c r="C85" s="1788" t="s">
        <v>2225</v>
      </c>
      <c r="D85" s="1789"/>
      <c r="E85" s="1789"/>
      <c r="F85" s="1789"/>
      <c r="G85" s="1789"/>
      <c r="H85" s="1789"/>
      <c r="I85" s="1301"/>
      <c r="J85" s="1301"/>
      <c r="K85" s="1301"/>
      <c r="L85" s="1301"/>
    </row>
    <row r="86" ht="12.75" customHeight="1">
      <c r="C86" s="1790" t="s">
        <v>130</v>
      </c>
      <c r="D86" s="1791" t="s">
        <v>1264</v>
      </c>
      <c r="E86" s="1791" t="s">
        <v>1266</v>
      </c>
      <c r="F86" s="1791" t="s">
        <v>1268</v>
      </c>
      <c r="G86" s="1791" t="s">
        <v>1270</v>
      </c>
      <c r="H86" s="1791" t="s">
        <v>1272</v>
      </c>
      <c r="I86" s="1301"/>
      <c r="J86" s="1301"/>
      <c r="K86" s="1301"/>
      <c r="L86" s="1301"/>
    </row>
    <row r="87" ht="12.75" customHeight="1">
      <c r="C87" s="1490" t="s">
        <v>2184</v>
      </c>
      <c r="D87" s="1779">
        <v>0.08</v>
      </c>
      <c r="E87" s="1779">
        <f t="shared" ref="E87:H87" si="7">D87*3</f>
        <v>0.24</v>
      </c>
      <c r="F87" s="1779">
        <f t="shared" si="7"/>
        <v>0.72</v>
      </c>
      <c r="G87" s="1779">
        <f t="shared" si="7"/>
        <v>2.16</v>
      </c>
      <c r="H87" s="1779">
        <f t="shared" si="7"/>
        <v>6.48</v>
      </c>
      <c r="I87" s="1301"/>
      <c r="J87" s="1301"/>
      <c r="K87" s="1301"/>
      <c r="L87" s="1301"/>
    </row>
    <row r="88" ht="12.75" customHeight="1">
      <c r="C88" s="1790" t="s">
        <v>130</v>
      </c>
      <c r="D88" s="1791" t="s">
        <v>1274</v>
      </c>
      <c r="E88" s="1791" t="s">
        <v>1276</v>
      </c>
      <c r="F88" s="1791" t="s">
        <v>1278</v>
      </c>
      <c r="G88" s="1791" t="s">
        <v>1280</v>
      </c>
      <c r="H88" s="1301"/>
      <c r="I88" s="1301"/>
      <c r="J88" s="1301"/>
      <c r="K88" s="1301"/>
      <c r="L88" s="1301"/>
    </row>
    <row r="89" ht="12.75" customHeight="1">
      <c r="C89" s="1490" t="s">
        <v>2184</v>
      </c>
      <c r="D89" s="1779">
        <f>H87*3</f>
        <v>19.44</v>
      </c>
      <c r="E89" s="1779">
        <f t="shared" ref="E89:G89" si="8">D89*3</f>
        <v>58.32</v>
      </c>
      <c r="F89" s="1779">
        <f t="shared" si="8"/>
        <v>174.96</v>
      </c>
      <c r="G89" s="1779">
        <f t="shared" si="8"/>
        <v>524.88</v>
      </c>
      <c r="H89" s="1301"/>
      <c r="I89" s="1301"/>
      <c r="J89" s="1301"/>
      <c r="K89" s="1301"/>
      <c r="L89" s="1301"/>
    </row>
    <row r="90" ht="12.75" customHeight="1">
      <c r="C90" s="1778"/>
      <c r="D90" s="1301"/>
      <c r="E90" s="1301"/>
      <c r="F90" s="1301"/>
      <c r="G90" s="1301"/>
      <c r="H90" s="1301"/>
      <c r="I90" s="1301"/>
      <c r="J90" s="1301"/>
      <c r="K90" s="1301"/>
      <c r="L90" s="1301"/>
    </row>
    <row r="91" ht="12.75" customHeight="1">
      <c r="C91" s="1788" t="s">
        <v>2226</v>
      </c>
      <c r="D91" s="1789"/>
      <c r="E91" s="1789"/>
      <c r="F91" s="1789"/>
      <c r="G91" s="1789"/>
      <c r="H91" s="1789"/>
      <c r="I91" s="1754"/>
      <c r="J91" s="1301"/>
      <c r="K91" s="1301"/>
      <c r="L91" s="1301"/>
    </row>
    <row r="92" ht="12.75" customHeight="1">
      <c r="C92" s="1790" t="s">
        <v>130</v>
      </c>
      <c r="D92" s="1791" t="s">
        <v>1282</v>
      </c>
      <c r="E92" s="1791" t="s">
        <v>1284</v>
      </c>
      <c r="F92" s="1791" t="s">
        <v>1286</v>
      </c>
      <c r="G92" s="1791" t="s">
        <v>1288</v>
      </c>
      <c r="H92" s="1791" t="s">
        <v>1290</v>
      </c>
      <c r="I92" s="1792"/>
      <c r="J92" s="1301"/>
      <c r="K92" s="1301"/>
      <c r="L92" s="1301"/>
    </row>
    <row r="93" ht="12.75" customHeight="1">
      <c r="C93" s="1490" t="s">
        <v>2184</v>
      </c>
      <c r="D93" s="1779">
        <v>0.05</v>
      </c>
      <c r="E93" s="1779">
        <f t="shared" ref="E93:H93" si="9">D93*3</f>
        <v>0.15</v>
      </c>
      <c r="F93" s="1779">
        <f t="shared" si="9"/>
        <v>0.45</v>
      </c>
      <c r="G93" s="1779">
        <f t="shared" si="9"/>
        <v>1.35</v>
      </c>
      <c r="H93" s="1779">
        <f t="shared" si="9"/>
        <v>4.05</v>
      </c>
      <c r="I93" s="1301"/>
      <c r="J93" s="1301"/>
      <c r="K93" s="1301"/>
      <c r="L93" s="1301"/>
    </row>
    <row r="94" ht="12.75" customHeight="1">
      <c r="C94" s="1790" t="s">
        <v>130</v>
      </c>
      <c r="D94" s="1791" t="s">
        <v>1292</v>
      </c>
      <c r="E94" s="1791" t="s">
        <v>1294</v>
      </c>
      <c r="F94" s="1791" t="s">
        <v>1296</v>
      </c>
      <c r="G94" s="1791" t="s">
        <v>1298</v>
      </c>
      <c r="H94" s="1301"/>
      <c r="I94" s="1301"/>
      <c r="J94" s="1301"/>
      <c r="K94" s="1301"/>
      <c r="L94" s="1301"/>
    </row>
    <row r="95" ht="12.75" customHeight="1">
      <c r="C95" s="1490" t="s">
        <v>2184</v>
      </c>
      <c r="D95" s="1779">
        <f>H93*3</f>
        <v>12.15</v>
      </c>
      <c r="E95" s="1779">
        <f t="shared" ref="E95:G95" si="10">D95*3</f>
        <v>36.45</v>
      </c>
      <c r="F95" s="1779">
        <f t="shared" si="10"/>
        <v>109.35</v>
      </c>
      <c r="G95" s="1779">
        <f t="shared" si="10"/>
        <v>328.05</v>
      </c>
      <c r="H95" s="1301"/>
      <c r="I95" s="1301"/>
      <c r="J95" s="1301"/>
      <c r="K95" s="1301"/>
      <c r="L95" s="1301"/>
    </row>
    <row r="96" ht="12.75" customHeight="1">
      <c r="C96" s="1778"/>
      <c r="D96" s="1301"/>
      <c r="E96" s="1301"/>
      <c r="F96" s="1301"/>
      <c r="G96" s="1301"/>
      <c r="H96" s="1301"/>
      <c r="I96" s="1301"/>
      <c r="J96" s="1301"/>
      <c r="K96" s="1301"/>
      <c r="L96" s="1301"/>
    </row>
    <row r="97" ht="12.75" customHeight="1">
      <c r="C97" s="1784" t="s">
        <v>2227</v>
      </c>
      <c r="D97" s="1301"/>
      <c r="E97" s="1301"/>
      <c r="F97" s="1301"/>
      <c r="G97" s="1301"/>
      <c r="H97" s="1301"/>
      <c r="I97" s="1301"/>
      <c r="J97" s="1301"/>
      <c r="K97" s="1301"/>
      <c r="L97" s="1301"/>
    </row>
    <row r="98" ht="12.75" customHeight="1">
      <c r="C98" s="1793" t="s">
        <v>2185</v>
      </c>
      <c r="D98" s="1794"/>
      <c r="E98" s="1794"/>
      <c r="F98" s="1795" t="s">
        <v>731</v>
      </c>
      <c r="G98" s="1301"/>
      <c r="H98" s="1301"/>
      <c r="I98" s="1301"/>
      <c r="J98" s="1301"/>
      <c r="K98" s="1301"/>
      <c r="L98" s="1301"/>
    </row>
    <row r="99" ht="12.75" customHeight="1">
      <c r="C99" s="1735" t="s">
        <v>2228</v>
      </c>
      <c r="D99" s="1760"/>
      <c r="E99" s="1760"/>
      <c r="F99" s="1738">
        <v>0.6</v>
      </c>
      <c r="G99" s="1301"/>
      <c r="H99" s="1301"/>
      <c r="I99" s="1301"/>
      <c r="J99" s="1301"/>
      <c r="K99" s="1301"/>
      <c r="L99" s="1301"/>
    </row>
    <row r="100" ht="12.75" customHeight="1">
      <c r="C100" s="1735" t="s">
        <v>2229</v>
      </c>
      <c r="D100" s="1760"/>
      <c r="E100" s="1760"/>
      <c r="F100" s="1738">
        <v>6.0</v>
      </c>
      <c r="G100" s="1301"/>
      <c r="H100" s="1301"/>
      <c r="I100" s="1301"/>
      <c r="J100" s="1301"/>
      <c r="K100" s="1301"/>
      <c r="L100" s="1301"/>
    </row>
    <row r="101" ht="12.75" customHeight="1">
      <c r="C101" s="1735" t="s">
        <v>2230</v>
      </c>
      <c r="D101" s="1760"/>
      <c r="E101" s="1760"/>
      <c r="F101" s="1738">
        <v>60.0</v>
      </c>
      <c r="G101" s="1301"/>
      <c r="H101" s="1301"/>
      <c r="I101" s="1301"/>
      <c r="J101" s="1301"/>
      <c r="K101" s="1301"/>
      <c r="L101" s="1301"/>
    </row>
    <row r="102" ht="12.75" customHeight="1">
      <c r="C102" s="1778"/>
      <c r="D102" s="1301"/>
      <c r="E102" s="1301"/>
      <c r="F102" s="1301"/>
      <c r="G102" s="1301"/>
      <c r="H102" s="1301"/>
      <c r="I102" s="1301"/>
      <c r="J102" s="1301"/>
      <c r="K102" s="1301"/>
      <c r="L102" s="1301"/>
    </row>
    <row r="103" ht="12.75" customHeight="1">
      <c r="C103" s="1784" t="s">
        <v>2231</v>
      </c>
      <c r="D103" s="1301"/>
      <c r="E103" s="1301"/>
      <c r="F103" s="1301"/>
      <c r="G103" s="1301"/>
      <c r="H103" s="1301"/>
      <c r="I103" s="1301"/>
      <c r="J103" s="1301"/>
      <c r="K103" s="1301"/>
      <c r="L103" s="1301"/>
    </row>
    <row r="104" ht="12.75" customHeight="1">
      <c r="C104" s="1796" t="s">
        <v>2185</v>
      </c>
      <c r="D104" s="1797"/>
      <c r="E104" s="1798"/>
      <c r="F104" s="1799" t="s">
        <v>731</v>
      </c>
      <c r="G104" s="1301"/>
      <c r="H104" s="1301"/>
      <c r="I104" s="1301"/>
      <c r="J104" s="1301"/>
      <c r="K104" s="1301"/>
      <c r="L104" s="1301"/>
    </row>
    <row r="105" ht="12.75" customHeight="1">
      <c r="C105" s="1735" t="s">
        <v>2232</v>
      </c>
      <c r="D105" s="1760"/>
      <c r="E105" s="1761"/>
      <c r="F105" s="1738">
        <f>'Путешествия, еда, магические пр'!E25-D111*3</f>
        <v>0.3</v>
      </c>
      <c r="G105" s="1301"/>
      <c r="H105" s="1301"/>
      <c r="I105" s="1301"/>
      <c r="J105" s="1301"/>
      <c r="K105" s="1301"/>
      <c r="L105" s="1301"/>
    </row>
    <row r="106" ht="12.75" customHeight="1">
      <c r="C106" s="1735" t="s">
        <v>2233</v>
      </c>
      <c r="D106" s="1760"/>
      <c r="E106" s="1761"/>
      <c r="F106" s="1738">
        <v>3.0</v>
      </c>
      <c r="G106" s="1301"/>
      <c r="H106" s="1301"/>
      <c r="I106" s="1301"/>
      <c r="J106" s="1301"/>
      <c r="K106" s="1301"/>
      <c r="L106" s="1301"/>
    </row>
    <row r="107" ht="12.75" customHeight="1">
      <c r="C107" s="1735" t="s">
        <v>2234</v>
      </c>
      <c r="D107" s="1760"/>
      <c r="E107" s="1761"/>
      <c r="F107" s="1738">
        <v>30.0</v>
      </c>
      <c r="G107" s="1301"/>
      <c r="H107" s="1301"/>
      <c r="I107" s="1301"/>
      <c r="J107" s="1301"/>
      <c r="K107" s="1301"/>
      <c r="L107" s="1301"/>
    </row>
    <row r="108" ht="12.75" customHeight="1">
      <c r="C108" s="1778"/>
      <c r="D108" s="1301"/>
      <c r="E108" s="1301"/>
      <c r="F108" s="1301"/>
      <c r="G108" s="1301"/>
      <c r="H108" s="1301"/>
      <c r="I108" s="1301"/>
      <c r="J108" s="1301"/>
      <c r="K108" s="1301"/>
      <c r="L108" s="1301"/>
    </row>
    <row r="109" ht="12.75" customHeight="1">
      <c r="C109" s="1788" t="s">
        <v>2235</v>
      </c>
      <c r="D109" s="1789"/>
      <c r="E109" s="1789"/>
      <c r="F109" s="1789"/>
      <c r="G109" s="1301"/>
      <c r="H109" s="1301"/>
      <c r="I109" s="1301"/>
      <c r="J109" s="1301"/>
      <c r="K109" s="1301"/>
      <c r="L109" s="1301"/>
    </row>
    <row r="110" ht="12.75" customHeight="1">
      <c r="C110" s="1800" t="s">
        <v>130</v>
      </c>
      <c r="D110" s="1801" t="s">
        <v>1421</v>
      </c>
      <c r="E110" s="1801" t="s">
        <v>1668</v>
      </c>
      <c r="F110" s="1801" t="s">
        <v>1793</v>
      </c>
      <c r="G110" s="1301"/>
      <c r="H110" s="1301"/>
      <c r="I110" s="1301"/>
      <c r="J110" s="1301"/>
      <c r="K110" s="1301"/>
      <c r="L110" s="1301"/>
    </row>
    <row r="111" ht="12.75" customHeight="1">
      <c r="C111" s="1490" t="s">
        <v>2236</v>
      </c>
      <c r="D111" s="1494">
        <f>'Кожевник'!N7</f>
        <v>0.03</v>
      </c>
      <c r="E111" s="1753">
        <f>'Портной'!K77</f>
        <v>0.1</v>
      </c>
      <c r="F111" s="1753">
        <f>'Портной'!L77</f>
        <v>0.295</v>
      </c>
      <c r="G111" s="1301"/>
      <c r="H111" s="1301"/>
      <c r="I111" s="1301"/>
      <c r="J111" s="1301"/>
      <c r="K111" s="1301"/>
      <c r="L111" s="1301"/>
    </row>
    <row r="112" ht="12.75" customHeight="1">
      <c r="C112" s="1778"/>
      <c r="D112" s="1301"/>
      <c r="E112" s="1301"/>
      <c r="F112" s="1301"/>
      <c r="G112" s="1301"/>
      <c r="H112" s="1301"/>
      <c r="I112" s="1301"/>
      <c r="J112" s="1301"/>
      <c r="K112" s="1301"/>
      <c r="L112" s="1301"/>
    </row>
    <row r="113" ht="12.75" customHeight="1">
      <c r="C113" s="1784" t="s">
        <v>2237</v>
      </c>
      <c r="D113" s="1301"/>
      <c r="E113" s="1301"/>
      <c r="F113" s="1301"/>
      <c r="G113" s="1301"/>
      <c r="H113" s="1301"/>
      <c r="I113" s="1301"/>
      <c r="J113" s="1301"/>
      <c r="K113" s="1301"/>
      <c r="L113" s="1301"/>
    </row>
    <row r="114" ht="12.75" customHeight="1">
      <c r="C114" s="1802" t="s">
        <v>2185</v>
      </c>
      <c r="D114" s="1803"/>
      <c r="E114" s="1804"/>
      <c r="F114" s="1805" t="s">
        <v>731</v>
      </c>
      <c r="G114" s="1301"/>
      <c r="H114" s="1301"/>
      <c r="I114" s="1301"/>
      <c r="J114" s="1301"/>
      <c r="K114" s="1301"/>
      <c r="L114" s="1301"/>
    </row>
    <row r="115" ht="12.75" customHeight="1">
      <c r="C115" s="1735" t="s">
        <v>2238</v>
      </c>
      <c r="D115" s="1760"/>
      <c r="E115" s="1761"/>
      <c r="F115" s="1738">
        <v>0.3</v>
      </c>
      <c r="G115" s="1301"/>
      <c r="H115" s="1301"/>
      <c r="I115" s="1301"/>
      <c r="J115" s="1301"/>
      <c r="K115" s="1301"/>
      <c r="L115" s="1301"/>
    </row>
    <row r="116" ht="12.75" customHeight="1">
      <c r="C116" s="1735" t="s">
        <v>2239</v>
      </c>
      <c r="D116" s="1760"/>
      <c r="E116" s="1761"/>
      <c r="F116" s="1738">
        <v>3.0</v>
      </c>
      <c r="G116" s="1301"/>
      <c r="H116" s="1301"/>
      <c r="I116" s="1301"/>
      <c r="J116" s="1301"/>
      <c r="K116" s="1301"/>
      <c r="L116" s="1301"/>
    </row>
    <row r="117" ht="12.75" customHeight="1">
      <c r="C117" s="1735" t="s">
        <v>2240</v>
      </c>
      <c r="D117" s="1760"/>
      <c r="E117" s="1761"/>
      <c r="F117" s="1738">
        <v>30.0</v>
      </c>
      <c r="G117" s="1301"/>
      <c r="H117" s="1301"/>
      <c r="I117" s="1301"/>
      <c r="J117" s="1301"/>
      <c r="K117" s="1301"/>
      <c r="L117" s="1301"/>
    </row>
    <row r="118" ht="12.75" customHeight="1">
      <c r="C118" s="1778"/>
      <c r="D118" s="1301"/>
      <c r="E118" s="1301"/>
      <c r="F118" s="1301"/>
      <c r="G118" s="1301"/>
      <c r="H118" s="1301"/>
      <c r="I118" s="1301"/>
      <c r="J118" s="1301"/>
      <c r="K118" s="1301"/>
      <c r="L118" s="1301"/>
    </row>
    <row r="119" ht="12.75" customHeight="1">
      <c r="C119" s="1784" t="s">
        <v>1888</v>
      </c>
      <c r="D119" s="1301"/>
      <c r="E119" s="1301"/>
      <c r="F119" s="1301"/>
      <c r="G119" s="1301"/>
      <c r="H119" s="1301"/>
      <c r="I119" s="1301"/>
      <c r="J119" s="1301"/>
      <c r="K119" s="1301"/>
      <c r="L119" s="1301"/>
    </row>
    <row r="120" ht="12.75" customHeight="1">
      <c r="C120" s="1806" t="s">
        <v>2185</v>
      </c>
      <c r="D120" s="1807"/>
      <c r="E120" s="1808"/>
      <c r="F120" s="1809" t="s">
        <v>731</v>
      </c>
      <c r="G120" s="1301"/>
      <c r="H120" s="1301"/>
      <c r="I120" s="1301"/>
      <c r="J120" s="1301"/>
      <c r="K120" s="1301"/>
      <c r="L120" s="1301"/>
    </row>
    <row r="121" ht="12.75" customHeight="1">
      <c r="C121" s="1735" t="s">
        <v>2241</v>
      </c>
      <c r="D121" s="1760"/>
      <c r="E121" s="1761"/>
      <c r="F121" s="1738">
        <v>0.3</v>
      </c>
      <c r="G121" s="1301"/>
      <c r="H121" s="1301"/>
      <c r="I121" s="1301"/>
      <c r="J121" s="1301"/>
      <c r="K121" s="1301"/>
      <c r="L121" s="1301"/>
    </row>
    <row r="122" ht="12.75" customHeight="1">
      <c r="C122" s="1735" t="s">
        <v>2242</v>
      </c>
      <c r="D122" s="1760"/>
      <c r="E122" s="1761"/>
      <c r="F122" s="1738">
        <v>3.0</v>
      </c>
      <c r="G122" s="1301"/>
      <c r="H122" s="1301"/>
      <c r="I122" s="1301"/>
      <c r="J122" s="1301"/>
      <c r="K122" s="1301"/>
      <c r="L122" s="1301"/>
    </row>
    <row r="123" ht="12.75" customHeight="1">
      <c r="C123" s="1735" t="s">
        <v>2243</v>
      </c>
      <c r="D123" s="1760"/>
      <c r="E123" s="1761"/>
      <c r="F123" s="1738">
        <v>30.0</v>
      </c>
      <c r="G123" s="1301"/>
      <c r="H123" s="1301"/>
      <c r="I123" s="1301"/>
      <c r="J123" s="1301"/>
      <c r="K123" s="1301"/>
      <c r="L123" s="1301"/>
    </row>
    <row r="124" ht="12.75" customHeight="1">
      <c r="C124" s="1778"/>
      <c r="D124" s="1301"/>
      <c r="E124" s="1301"/>
      <c r="F124" s="1301"/>
      <c r="G124" s="1301"/>
      <c r="H124" s="1301"/>
      <c r="I124" s="1301"/>
      <c r="J124" s="1301"/>
      <c r="K124" s="1301"/>
      <c r="L124" s="1301"/>
    </row>
    <row r="125" ht="12.75" customHeight="1">
      <c r="C125" s="1788" t="s">
        <v>2244</v>
      </c>
      <c r="D125" s="1789"/>
      <c r="E125" s="1789"/>
      <c r="F125" s="1789"/>
      <c r="G125" s="1301"/>
      <c r="H125" s="1301"/>
      <c r="I125" s="1301"/>
      <c r="J125" s="1301"/>
      <c r="K125" s="1301"/>
      <c r="L125" s="1301"/>
    </row>
    <row r="126" ht="12.75" customHeight="1">
      <c r="C126" s="1810" t="s">
        <v>130</v>
      </c>
      <c r="D126" s="1811" t="s">
        <v>1981</v>
      </c>
      <c r="E126" s="1811" t="s">
        <v>1987</v>
      </c>
      <c r="F126" s="1811" t="s">
        <v>1988</v>
      </c>
      <c r="G126" s="1811" t="s">
        <v>1986</v>
      </c>
      <c r="H126" s="1301"/>
      <c r="I126" s="1301"/>
      <c r="J126" s="1301"/>
      <c r="K126" s="1301"/>
      <c r="L126" s="1301"/>
    </row>
    <row r="127" ht="12.75" customHeight="1">
      <c r="C127" s="1490" t="s">
        <v>2184</v>
      </c>
      <c r="D127" s="1491">
        <v>0.03</v>
      </c>
      <c r="E127" s="1491">
        <v>0.1</v>
      </c>
      <c r="F127" s="1491">
        <v>0.01</v>
      </c>
      <c r="G127" s="1494">
        <f>'Рудокоп'!D51</f>
        <v>0.12</v>
      </c>
      <c r="H127" s="1301"/>
      <c r="I127" s="1301"/>
      <c r="J127" s="1301"/>
      <c r="K127" s="1301"/>
      <c r="L127" s="1301"/>
    </row>
    <row r="128" ht="12.75" customHeight="1">
      <c r="C128" s="1778"/>
      <c r="D128" s="1301"/>
      <c r="E128" s="1301"/>
      <c r="F128" s="1301"/>
      <c r="G128" s="1301"/>
      <c r="H128" s="1301"/>
      <c r="I128" s="1301"/>
      <c r="J128" s="1301"/>
      <c r="K128" s="1301"/>
      <c r="L128" s="1301"/>
    </row>
    <row r="129" ht="12.75" customHeight="1">
      <c r="C129" s="1784" t="s">
        <v>2245</v>
      </c>
      <c r="D129" s="1301"/>
      <c r="E129" s="1301"/>
      <c r="F129" s="1301"/>
      <c r="G129" s="1301"/>
      <c r="H129" s="1301"/>
      <c r="I129" s="1301"/>
      <c r="J129" s="1301"/>
      <c r="K129" s="1301"/>
      <c r="L129" s="1301"/>
    </row>
    <row r="130" ht="12.75" customHeight="1">
      <c r="C130" s="1812" t="s">
        <v>130</v>
      </c>
      <c r="D130" s="1813" t="s">
        <v>2246</v>
      </c>
      <c r="E130" s="1813" t="s">
        <v>1723</v>
      </c>
      <c r="F130" s="1813" t="s">
        <v>1724</v>
      </c>
      <c r="G130" s="1813" t="s">
        <v>2247</v>
      </c>
      <c r="H130" s="1813" t="s">
        <v>2248</v>
      </c>
      <c r="I130" s="1813" t="s">
        <v>2249</v>
      </c>
      <c r="J130" s="1813" t="s">
        <v>2250</v>
      </c>
      <c r="K130" s="1813" t="s">
        <v>1725</v>
      </c>
      <c r="L130" s="1301"/>
    </row>
    <row r="131" ht="12.75" customHeight="1">
      <c r="C131" s="1490" t="s">
        <v>2184</v>
      </c>
      <c r="D131" s="1491">
        <v>0.01</v>
      </c>
      <c r="E131" s="1497">
        <f>'Плотник'!O95</f>
        <v>0.03</v>
      </c>
      <c r="F131" s="1497">
        <f>'Плотник'!P95</f>
        <v>0.08</v>
      </c>
      <c r="G131" s="1497">
        <f>'Гончар'!F8</f>
        <v>0.102</v>
      </c>
      <c r="H131" s="1494">
        <f>'Рудокоп'!C39</f>
        <v>0.05</v>
      </c>
      <c r="I131" s="1494">
        <f>'Рудокоп'!D39</f>
        <v>0.6</v>
      </c>
      <c r="J131" s="1497">
        <f>'Стеклодув'!H37</f>
        <v>5</v>
      </c>
      <c r="K131" s="1497">
        <f>'Плотник'!Q95</f>
        <v>0.78</v>
      </c>
      <c r="L131" s="1301"/>
    </row>
    <row r="132" ht="12.75" customHeight="1">
      <c r="C132" s="1778"/>
      <c r="D132" s="1301"/>
      <c r="E132" s="1301"/>
      <c r="F132" s="1301"/>
      <c r="G132" s="1301"/>
      <c r="H132" s="1301"/>
      <c r="I132" s="1301"/>
      <c r="J132" s="1301"/>
      <c r="K132" s="1301"/>
      <c r="L132" s="1301"/>
    </row>
    <row r="133" ht="12.75" customHeight="1">
      <c r="C133" s="1814" t="s">
        <v>2185</v>
      </c>
      <c r="D133" s="1815"/>
      <c r="E133" s="1816"/>
      <c r="F133" s="1817" t="s">
        <v>731</v>
      </c>
      <c r="G133" s="1301"/>
      <c r="H133" s="1301"/>
      <c r="I133" s="1301"/>
      <c r="J133" s="1301"/>
      <c r="K133" s="1301"/>
      <c r="L133" s="1301"/>
    </row>
    <row r="134" ht="12.75" customHeight="1">
      <c r="C134" s="1735" t="s">
        <v>2251</v>
      </c>
      <c r="D134" s="1760"/>
      <c r="E134" s="1761"/>
      <c r="F134" s="1738">
        <v>0.3</v>
      </c>
      <c r="G134" s="1301"/>
      <c r="H134" s="1301"/>
      <c r="I134" s="1301"/>
      <c r="J134" s="1301"/>
      <c r="K134" s="1301"/>
      <c r="L134" s="1301"/>
    </row>
    <row r="135" ht="12.75" customHeight="1">
      <c r="C135" s="1735" t="s">
        <v>2252</v>
      </c>
      <c r="D135" s="1760"/>
      <c r="E135" s="1761"/>
      <c r="F135" s="1738">
        <v>3.0</v>
      </c>
      <c r="G135" s="1301"/>
      <c r="H135" s="1301"/>
      <c r="I135" s="1301"/>
      <c r="J135" s="1301"/>
      <c r="K135" s="1301"/>
      <c r="L135" s="1301"/>
    </row>
    <row r="136" ht="12.75" customHeight="1">
      <c r="C136" s="1735" t="s">
        <v>2253</v>
      </c>
      <c r="D136" s="1760"/>
      <c r="E136" s="1761"/>
      <c r="F136" s="1738">
        <v>30.0</v>
      </c>
      <c r="G136" s="1301"/>
      <c r="H136" s="1301"/>
      <c r="I136" s="1301"/>
      <c r="J136" s="1301"/>
      <c r="K136" s="1301"/>
      <c r="L136" s="1301"/>
    </row>
    <row r="137" ht="12.75" customHeight="1">
      <c r="C137" s="1778"/>
      <c r="D137" s="1301"/>
      <c r="E137" s="1301"/>
      <c r="F137" s="1301"/>
      <c r="G137" s="1301"/>
      <c r="H137" s="1301"/>
      <c r="I137" s="1301"/>
      <c r="J137" s="1301"/>
      <c r="K137" s="1301"/>
      <c r="L137" s="1301"/>
    </row>
    <row r="138" ht="12.75" customHeight="1">
      <c r="C138" s="1784" t="s">
        <v>2254</v>
      </c>
      <c r="D138" s="1301"/>
      <c r="E138" s="1301"/>
      <c r="F138" s="1301"/>
      <c r="G138" s="1301"/>
      <c r="H138" s="1301"/>
      <c r="I138" s="1301"/>
      <c r="J138" s="1301"/>
      <c r="K138" s="1301"/>
      <c r="L138" s="1301"/>
    </row>
    <row r="139" ht="12.75" customHeight="1">
      <c r="C139" s="1818" t="s">
        <v>130</v>
      </c>
      <c r="D139" s="1819" t="s">
        <v>1863</v>
      </c>
      <c r="E139" s="1819" t="s">
        <v>1847</v>
      </c>
      <c r="F139" s="1819" t="s">
        <v>1848</v>
      </c>
      <c r="G139" s="1819" t="s">
        <v>1850</v>
      </c>
      <c r="H139" s="1819" t="s">
        <v>1852</v>
      </c>
      <c r="I139" s="1819" t="s">
        <v>1853</v>
      </c>
      <c r="J139" s="1819" t="s">
        <v>2255</v>
      </c>
      <c r="K139" s="1819" t="s">
        <v>1855</v>
      </c>
      <c r="L139" s="1819" t="s">
        <v>1857</v>
      </c>
      <c r="M139" s="1819" t="s">
        <v>1859</v>
      </c>
      <c r="N139" s="1819" t="s">
        <v>1856</v>
      </c>
      <c r="O139" s="1819" t="s">
        <v>1858</v>
      </c>
    </row>
    <row r="140" ht="12.75" customHeight="1">
      <c r="C140" s="1490" t="s">
        <v>2184</v>
      </c>
      <c r="D140" s="1494">
        <f>'Рудокоп'!E19</f>
        <v>0.01</v>
      </c>
      <c r="E140" s="1494">
        <f>'Рудокоп'!E22</f>
        <v>0.05</v>
      </c>
      <c r="F140" s="1494">
        <f>'Рудокоп'!E23</f>
        <v>0.09</v>
      </c>
      <c r="G140" s="1494">
        <f>'Рудокоп'!E25</f>
        <v>0.38</v>
      </c>
      <c r="H140" s="1494">
        <f>'Рудокоп'!E28</f>
        <v>0.52</v>
      </c>
      <c r="I140" s="1494">
        <f>'Рудокоп'!E29</f>
        <v>0.9</v>
      </c>
      <c r="J140" s="1494">
        <f>'Рудокоп'!E30</f>
        <v>2.67</v>
      </c>
      <c r="K140" s="1494">
        <f>'Рудокоп'!E31</f>
        <v>12.95</v>
      </c>
      <c r="L140" s="1494">
        <f>'Рудокоп'!E33</f>
        <v>39.9</v>
      </c>
      <c r="M140" s="1494">
        <f>'Рудокоп'!E35</f>
        <v>123.97</v>
      </c>
      <c r="N140" s="1494">
        <f>'Рудокоп'!E32</f>
        <v>332.9</v>
      </c>
      <c r="O140" s="1497">
        <f>'Рудокоп'!E34</f>
        <v>3331.05</v>
      </c>
    </row>
    <row r="141" ht="12.75" customHeight="1">
      <c r="C141" s="1778"/>
      <c r="D141" s="1301"/>
      <c r="E141" s="1301"/>
      <c r="F141" s="1301"/>
      <c r="G141" s="1301"/>
      <c r="H141" s="1301"/>
      <c r="I141" s="1301"/>
      <c r="J141" s="1301"/>
      <c r="K141" s="1301"/>
      <c r="L141" s="1301"/>
    </row>
    <row r="142" ht="12.75" customHeight="1">
      <c r="C142" s="1820" t="s">
        <v>2185</v>
      </c>
      <c r="D142" s="1821"/>
      <c r="E142" s="1822"/>
      <c r="F142" s="1823" t="s">
        <v>731</v>
      </c>
      <c r="G142" s="1301"/>
      <c r="H142" s="1301"/>
      <c r="I142" s="1301"/>
      <c r="J142" s="1301"/>
      <c r="K142" s="1301"/>
      <c r="L142" s="1301"/>
    </row>
    <row r="143" ht="12.75" customHeight="1">
      <c r="C143" s="1735" t="s">
        <v>2256</v>
      </c>
      <c r="D143" s="1760"/>
      <c r="E143" s="1761"/>
      <c r="F143" s="1738">
        <v>0.3</v>
      </c>
      <c r="G143" s="1301"/>
      <c r="H143" s="1301"/>
      <c r="I143" s="1301"/>
      <c r="J143" s="1301"/>
      <c r="K143" s="1301"/>
      <c r="L143" s="1301"/>
    </row>
    <row r="144" ht="12.75" customHeight="1">
      <c r="C144" s="1735" t="s">
        <v>2257</v>
      </c>
      <c r="D144" s="1760"/>
      <c r="E144" s="1761"/>
      <c r="F144" s="1738">
        <v>3.0</v>
      </c>
      <c r="G144" s="1301"/>
      <c r="H144" s="1301"/>
      <c r="I144" s="1301"/>
      <c r="J144" s="1301"/>
      <c r="K144" s="1301"/>
      <c r="L144" s="1301"/>
    </row>
    <row r="145" ht="12.75" customHeight="1">
      <c r="C145" s="1735" t="s">
        <v>2258</v>
      </c>
      <c r="D145" s="1760"/>
      <c r="E145" s="1761"/>
      <c r="F145" s="1738">
        <v>30.0</v>
      </c>
      <c r="G145" s="1301"/>
      <c r="H145" s="1301"/>
      <c r="I145" s="1301"/>
      <c r="J145" s="1301"/>
      <c r="K145" s="1301"/>
      <c r="L145" s="1301"/>
    </row>
    <row r="146" ht="12.75" customHeight="1"/>
    <row r="147" ht="12.75" customHeight="1">
      <c r="C147" s="1824" t="s">
        <v>2259</v>
      </c>
      <c r="D147" s="1105"/>
      <c r="E147" s="1105"/>
      <c r="F147" s="1105"/>
    </row>
    <row r="148" ht="12.75" customHeight="1">
      <c r="C148" s="1825" t="s">
        <v>2259</v>
      </c>
      <c r="D148" s="1826" t="s">
        <v>1616</v>
      </c>
      <c r="E148" s="1826" t="s">
        <v>1732</v>
      </c>
      <c r="F148" s="1826" t="s">
        <v>2260</v>
      </c>
    </row>
    <row r="149" ht="12.75" customHeight="1">
      <c r="C149" s="1827" t="s">
        <v>2261</v>
      </c>
      <c r="D149" s="1115">
        <f>D63</f>
        <v>0.01</v>
      </c>
      <c r="E149" s="1828">
        <f>'Плотник'!N173</f>
        <v>0.07</v>
      </c>
      <c r="F149" s="1115">
        <v>0.14</v>
      </c>
    </row>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printOptions/>
  <pageMargins bottom="0.75" footer="0.0" header="0.0" left="0.7" right="0.7" top="0.75"/>
  <pageSetup orientation="portrait"/>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7.63"/>
    <col customWidth="1" min="2" max="2" width="21.5"/>
    <col customWidth="1" min="3" max="3" width="8.63"/>
    <col customWidth="1" min="4" max="4" width="29.88"/>
    <col customWidth="1" min="5" max="5" width="10.88"/>
    <col customWidth="1" min="6" max="6" width="26.13"/>
    <col customWidth="1" min="7" max="7" width="10.88"/>
    <col customWidth="1" min="8" max="8" width="10.63"/>
    <col customWidth="1" min="9" max="9" width="41.63"/>
    <col customWidth="1" min="10" max="10" width="10.88"/>
    <col customWidth="1" min="11" max="11" width="24.25"/>
    <col customWidth="1" min="12" max="12" width="13.25"/>
    <col customWidth="1" min="13" max="13" width="7.63"/>
    <col customWidth="1" min="14" max="14" width="30.38"/>
    <col customWidth="1" min="15" max="26" width="7.63"/>
  </cols>
  <sheetData>
    <row r="1">
      <c r="A1" s="441"/>
      <c r="B1" s="426"/>
      <c r="C1" s="1829"/>
      <c r="D1" s="1829"/>
      <c r="E1" s="1829"/>
      <c r="F1" s="1829"/>
      <c r="G1" s="1829"/>
      <c r="H1" s="1829"/>
      <c r="I1" s="426"/>
      <c r="J1" s="426"/>
      <c r="K1" s="441"/>
      <c r="L1" s="441"/>
      <c r="M1" s="426"/>
      <c r="N1" s="426"/>
      <c r="O1" s="441"/>
      <c r="P1" s="441"/>
      <c r="Q1" s="441"/>
      <c r="R1" s="441"/>
      <c r="S1" s="441"/>
      <c r="T1" s="441"/>
      <c r="U1" s="441"/>
      <c r="V1" s="441"/>
      <c r="W1" s="441"/>
      <c r="X1" s="441"/>
      <c r="Y1" s="441"/>
      <c r="Z1" s="441"/>
    </row>
    <row r="2">
      <c r="A2" s="441"/>
      <c r="B2" s="426"/>
      <c r="C2" s="1829"/>
      <c r="D2" s="930" t="s">
        <v>2262</v>
      </c>
      <c r="E2" s="1829"/>
      <c r="F2" s="1829"/>
      <c r="G2" s="1829"/>
      <c r="H2" s="1829"/>
      <c r="I2" s="930" t="s">
        <v>2263</v>
      </c>
      <c r="J2" s="426"/>
      <c r="K2" s="441"/>
      <c r="L2" s="441"/>
      <c r="M2" s="426"/>
      <c r="N2" s="441"/>
      <c r="O2" s="441"/>
      <c r="P2" s="441"/>
      <c r="Q2" s="441"/>
      <c r="R2" s="441"/>
      <c r="S2" s="441"/>
      <c r="T2" s="441"/>
      <c r="U2" s="441"/>
      <c r="V2" s="441"/>
      <c r="W2" s="441"/>
      <c r="X2" s="441"/>
      <c r="Y2" s="441"/>
      <c r="Z2" s="441"/>
    </row>
    <row r="3">
      <c r="A3" s="441"/>
      <c r="B3" s="426"/>
      <c r="C3" s="1829"/>
      <c r="D3" s="1829"/>
      <c r="E3" s="1829"/>
      <c r="F3" s="1829"/>
      <c r="G3" s="1829"/>
      <c r="H3" s="1829"/>
      <c r="I3" s="426"/>
      <c r="J3" s="426"/>
      <c r="K3" s="441"/>
      <c r="L3" s="441"/>
      <c r="M3" s="426"/>
      <c r="N3" s="441"/>
      <c r="O3" s="441"/>
      <c r="P3" s="441"/>
      <c r="Q3" s="441"/>
      <c r="R3" s="441"/>
      <c r="S3" s="441"/>
      <c r="T3" s="441"/>
      <c r="U3" s="441"/>
      <c r="V3" s="441"/>
      <c r="W3" s="441"/>
      <c r="X3" s="441"/>
      <c r="Y3" s="441"/>
      <c r="Z3" s="441"/>
    </row>
    <row r="4">
      <c r="A4" s="441"/>
      <c r="B4" s="426"/>
      <c r="C4" s="1829"/>
      <c r="D4" s="1829"/>
      <c r="E4" s="1829"/>
      <c r="F4" s="1829"/>
      <c r="G4" s="1829"/>
      <c r="H4" s="1829"/>
      <c r="I4" s="426"/>
      <c r="J4" s="426"/>
      <c r="K4" s="441"/>
      <c r="L4" s="441"/>
      <c r="M4" s="426"/>
      <c r="N4" s="441"/>
      <c r="O4" s="441"/>
      <c r="P4" s="441"/>
      <c r="Q4" s="441"/>
      <c r="R4" s="441"/>
      <c r="S4" s="441"/>
      <c r="T4" s="441"/>
      <c r="U4" s="441"/>
      <c r="V4" s="441"/>
      <c r="W4" s="441"/>
      <c r="X4" s="441"/>
      <c r="Y4" s="441"/>
      <c r="Z4" s="441"/>
    </row>
    <row r="5">
      <c r="A5" s="441"/>
      <c r="B5" s="1626"/>
      <c r="C5" s="1830"/>
      <c r="D5" s="1831" t="s">
        <v>2264</v>
      </c>
      <c r="E5" s="1832" t="s">
        <v>731</v>
      </c>
      <c r="F5" s="1833" t="s">
        <v>2265</v>
      </c>
      <c r="G5" s="1834" t="s">
        <v>731</v>
      </c>
      <c r="H5" s="1829"/>
      <c r="I5" s="1835" t="s">
        <v>2263</v>
      </c>
      <c r="J5" s="1836" t="s">
        <v>731</v>
      </c>
      <c r="K5" s="441"/>
      <c r="L5" s="441"/>
      <c r="M5" s="426"/>
      <c r="N5" s="441"/>
      <c r="O5" s="441"/>
      <c r="P5" s="441"/>
      <c r="Q5" s="441"/>
      <c r="R5" s="441"/>
      <c r="S5" s="441"/>
      <c r="T5" s="441"/>
      <c r="U5" s="441"/>
      <c r="V5" s="441"/>
      <c r="W5" s="441"/>
      <c r="X5" s="441"/>
      <c r="Y5" s="441"/>
      <c r="Z5" s="441"/>
    </row>
    <row r="6">
      <c r="A6" s="441"/>
      <c r="B6" s="1626"/>
      <c r="C6" s="1830"/>
      <c r="D6" s="895" t="s">
        <v>2266</v>
      </c>
      <c r="E6" s="1837">
        <f>'Кожевник'!K19</f>
        <v>0.5</v>
      </c>
      <c r="F6" s="1838" t="s">
        <v>2267</v>
      </c>
      <c r="G6" s="1839"/>
      <c r="H6" s="1829"/>
      <c r="I6" s="895" t="s">
        <v>2268</v>
      </c>
      <c r="J6" s="1837">
        <f>'Чародей'!C149</f>
        <v>1.73</v>
      </c>
      <c r="K6" s="441"/>
      <c r="L6" s="441"/>
      <c r="M6" s="426"/>
      <c r="N6" s="441"/>
      <c r="O6" s="441"/>
      <c r="P6" s="441"/>
      <c r="Q6" s="441"/>
      <c r="R6" s="441"/>
      <c r="S6" s="441"/>
      <c r="T6" s="441"/>
      <c r="U6" s="441"/>
      <c r="V6" s="441"/>
      <c r="W6" s="441"/>
      <c r="X6" s="441"/>
      <c r="Y6" s="441"/>
      <c r="Z6" s="441"/>
    </row>
    <row r="7">
      <c r="A7" s="441"/>
      <c r="B7" s="1626"/>
      <c r="C7" s="1830"/>
      <c r="D7" s="895" t="s">
        <v>1722</v>
      </c>
      <c r="E7" s="1837">
        <f>'Плотник'!N95</f>
        <v>0.02</v>
      </c>
      <c r="F7" s="1840" t="s">
        <v>2269</v>
      </c>
      <c r="G7" s="1837">
        <v>0.02</v>
      </c>
      <c r="H7" s="1829"/>
      <c r="I7" s="895" t="s">
        <v>2270</v>
      </c>
      <c r="J7" s="1837">
        <f>'Чародей'!D149</f>
        <v>7.52</v>
      </c>
      <c r="K7" s="441"/>
      <c r="L7" s="441"/>
      <c r="M7" s="426"/>
      <c r="N7" s="441"/>
      <c r="O7" s="441"/>
      <c r="P7" s="441"/>
      <c r="Q7" s="441"/>
      <c r="R7" s="441"/>
      <c r="S7" s="441"/>
      <c r="T7" s="441"/>
      <c r="U7" s="441"/>
      <c r="V7" s="441"/>
      <c r="W7" s="441"/>
      <c r="X7" s="441"/>
      <c r="Y7" s="441"/>
      <c r="Z7" s="441"/>
    </row>
    <row r="8">
      <c r="A8" s="441"/>
      <c r="B8" s="1626"/>
      <c r="C8" s="1830"/>
      <c r="D8" s="895" t="s">
        <v>2271</v>
      </c>
      <c r="E8" s="1841">
        <f>'Портной'!C119</f>
        <v>0.06</v>
      </c>
      <c r="F8" s="1840" t="s">
        <v>2272</v>
      </c>
      <c r="G8" s="1842">
        <v>0.06</v>
      </c>
      <c r="H8" s="1829"/>
      <c r="I8" s="895" t="s">
        <v>2273</v>
      </c>
      <c r="J8" s="1837">
        <v>2.0</v>
      </c>
      <c r="K8" s="441"/>
      <c r="L8" s="441"/>
      <c r="M8" s="426"/>
      <c r="N8" s="441"/>
      <c r="O8" s="441"/>
      <c r="P8" s="441"/>
      <c r="Q8" s="441"/>
      <c r="R8" s="441"/>
      <c r="S8" s="441"/>
      <c r="T8" s="441"/>
      <c r="U8" s="441"/>
      <c r="V8" s="441"/>
      <c r="W8" s="441"/>
      <c r="X8" s="441"/>
      <c r="Y8" s="441"/>
      <c r="Z8" s="441"/>
    </row>
    <row r="9">
      <c r="A9" s="441"/>
      <c r="B9" s="1626"/>
      <c r="C9" s="1830"/>
      <c r="D9" s="895" t="s">
        <v>2274</v>
      </c>
      <c r="E9" s="1841">
        <f>'Портной'!D119</f>
        <v>0.32</v>
      </c>
      <c r="F9" s="1840" t="s">
        <v>2275</v>
      </c>
      <c r="G9" s="1837">
        <v>0.2</v>
      </c>
      <c r="H9" s="1829"/>
      <c r="I9" s="1838" t="s">
        <v>2276</v>
      </c>
      <c r="J9" s="1843" t="s">
        <v>2277</v>
      </c>
      <c r="K9" s="441"/>
      <c r="L9" s="441"/>
      <c r="M9" s="426"/>
      <c r="N9" s="441"/>
      <c r="O9" s="441"/>
      <c r="P9" s="441"/>
      <c r="Q9" s="441"/>
      <c r="R9" s="441"/>
      <c r="S9" s="441"/>
      <c r="T9" s="441"/>
      <c r="U9" s="441"/>
      <c r="V9" s="441"/>
      <c r="W9" s="441"/>
      <c r="X9" s="441"/>
      <c r="Y9" s="441"/>
      <c r="Z9" s="441"/>
    </row>
    <row r="10">
      <c r="A10" s="441"/>
      <c r="B10" s="1626"/>
      <c r="C10" s="1830"/>
      <c r="D10" s="895" t="s">
        <v>2278</v>
      </c>
      <c r="E10" s="1841">
        <f>'Портной'!E119</f>
        <v>1.36</v>
      </c>
      <c r="F10" s="1844" t="s">
        <v>2279</v>
      </c>
      <c r="G10" s="1839"/>
      <c r="H10" s="1829"/>
      <c r="I10" s="1838" t="s">
        <v>2280</v>
      </c>
      <c r="J10" s="1842">
        <f>'Чародей'!C65</f>
        <v>0.467</v>
      </c>
      <c r="K10" s="441"/>
      <c r="L10" s="441"/>
      <c r="M10" s="426"/>
      <c r="N10" s="441"/>
      <c r="O10" s="441"/>
      <c r="P10" s="441"/>
      <c r="Q10" s="441"/>
      <c r="R10" s="441"/>
      <c r="S10" s="441"/>
      <c r="T10" s="441"/>
      <c r="U10" s="441"/>
      <c r="V10" s="441"/>
      <c r="W10" s="441"/>
      <c r="X10" s="441"/>
      <c r="Y10" s="441"/>
      <c r="Z10" s="441"/>
    </row>
    <row r="11">
      <c r="A11" s="441"/>
      <c r="B11" s="1626"/>
      <c r="C11" s="1830"/>
      <c r="D11" s="895" t="s">
        <v>2281</v>
      </c>
      <c r="E11" s="1841">
        <f>'Портной'!F119</f>
        <v>15.36</v>
      </c>
      <c r="F11" s="1840" t="s">
        <v>2269</v>
      </c>
      <c r="G11" s="1837">
        <v>0.1</v>
      </c>
      <c r="H11" s="1829"/>
      <c r="I11" s="1838" t="s">
        <v>2282</v>
      </c>
      <c r="J11" s="1842">
        <f>'Чародей'!C74</f>
        <v>2.787</v>
      </c>
      <c r="K11" s="441"/>
      <c r="L11" s="441"/>
      <c r="M11" s="426"/>
      <c r="N11" s="441"/>
      <c r="O11" s="441"/>
      <c r="P11" s="441"/>
      <c r="Q11" s="441"/>
      <c r="R11" s="441"/>
      <c r="S11" s="441"/>
      <c r="T11" s="441"/>
      <c r="U11" s="441"/>
      <c r="V11" s="441"/>
      <c r="W11" s="441"/>
      <c r="X11" s="441"/>
      <c r="Y11" s="441"/>
      <c r="Z11" s="441"/>
    </row>
    <row r="12">
      <c r="A12" s="441"/>
      <c r="B12" s="1626"/>
      <c r="C12" s="1830"/>
      <c r="D12" s="895" t="s">
        <v>1801</v>
      </c>
      <c r="E12" s="1841">
        <f>'Портной'!H110</f>
        <v>0.12</v>
      </c>
      <c r="F12" s="1840" t="s">
        <v>2272</v>
      </c>
      <c r="G12" s="1842">
        <f>G11*3</f>
        <v>0.3</v>
      </c>
      <c r="H12" s="1829"/>
      <c r="I12" s="1838" t="s">
        <v>2283</v>
      </c>
      <c r="J12" s="1842">
        <f>'Чародей'!C82</f>
        <v>8.507</v>
      </c>
      <c r="K12" s="441"/>
      <c r="L12" s="441"/>
      <c r="M12" s="426"/>
      <c r="N12" s="441"/>
      <c r="O12" s="441"/>
      <c r="P12" s="441"/>
      <c r="Q12" s="441"/>
      <c r="R12" s="441"/>
      <c r="S12" s="441"/>
      <c r="T12" s="441"/>
      <c r="U12" s="441"/>
      <c r="V12" s="441"/>
      <c r="W12" s="441"/>
      <c r="X12" s="441"/>
      <c r="Y12" s="441"/>
      <c r="Z12" s="441"/>
    </row>
    <row r="13">
      <c r="A13" s="441"/>
      <c r="B13" s="1626"/>
      <c r="C13" s="1830"/>
      <c r="D13" s="895" t="s">
        <v>1583</v>
      </c>
      <c r="E13" s="1837">
        <f>'Кузнец'!N144</f>
        <v>1.98</v>
      </c>
      <c r="F13" s="1840" t="s">
        <v>2275</v>
      </c>
      <c r="G13" s="1837">
        <f>G11*10</f>
        <v>1</v>
      </c>
      <c r="H13" s="1829"/>
      <c r="I13" s="1838" t="s">
        <v>2284</v>
      </c>
      <c r="J13" s="1842">
        <f>'Чародей'!C65</f>
        <v>0.467</v>
      </c>
      <c r="K13" s="441"/>
      <c r="L13" s="441"/>
      <c r="M13" s="426"/>
      <c r="N13" s="441"/>
      <c r="O13" s="441"/>
      <c r="P13" s="441"/>
      <c r="Q13" s="441"/>
      <c r="R13" s="441"/>
      <c r="S13" s="441"/>
      <c r="T13" s="441"/>
      <c r="U13" s="441"/>
      <c r="V13" s="441"/>
      <c r="W13" s="441"/>
      <c r="X13" s="441"/>
      <c r="Y13" s="441"/>
      <c r="Z13" s="441"/>
    </row>
    <row r="14">
      <c r="A14" s="441"/>
      <c r="B14" s="1626"/>
      <c r="C14" s="1830"/>
      <c r="D14" s="895" t="s">
        <v>1912</v>
      </c>
      <c r="E14" s="1837">
        <f>'Стеклодув'!J37</f>
        <v>2</v>
      </c>
      <c r="F14" s="1844" t="s">
        <v>2285</v>
      </c>
      <c r="G14" s="1839"/>
      <c r="H14" s="1829"/>
      <c r="I14" s="1838" t="s">
        <v>2286</v>
      </c>
      <c r="J14" s="1842">
        <f>'Чародей'!C74</f>
        <v>2.787</v>
      </c>
      <c r="K14" s="441"/>
      <c r="L14" s="441"/>
      <c r="M14" s="426"/>
      <c r="N14" s="441"/>
      <c r="O14" s="441"/>
      <c r="P14" s="441"/>
      <c r="Q14" s="441"/>
      <c r="R14" s="441"/>
      <c r="S14" s="441"/>
      <c r="T14" s="441"/>
      <c r="U14" s="441"/>
      <c r="V14" s="441"/>
      <c r="W14" s="441"/>
      <c r="X14" s="441"/>
      <c r="Y14" s="441"/>
      <c r="Z14" s="441"/>
    </row>
    <row r="15">
      <c r="A15" s="441"/>
      <c r="B15" s="1626"/>
      <c r="C15" s="1830"/>
      <c r="D15" s="895" t="s">
        <v>1911</v>
      </c>
      <c r="E15" s="1837">
        <f>'Стеклодув'!I37</f>
        <v>1.77</v>
      </c>
      <c r="F15" s="1840" t="s">
        <v>2269</v>
      </c>
      <c r="G15" s="1841">
        <v>0.08</v>
      </c>
      <c r="H15" s="1829"/>
      <c r="I15" s="1838" t="s">
        <v>2287</v>
      </c>
      <c r="J15" s="1842">
        <f>'Чародей'!C82</f>
        <v>8.507</v>
      </c>
      <c r="K15" s="441"/>
      <c r="L15" s="441"/>
      <c r="M15" s="426"/>
      <c r="N15" s="441"/>
      <c r="O15" s="441"/>
      <c r="P15" s="441"/>
      <c r="Q15" s="441"/>
      <c r="R15" s="441"/>
      <c r="S15" s="441"/>
      <c r="T15" s="441"/>
      <c r="U15" s="441"/>
      <c r="V15" s="441"/>
      <c r="W15" s="441"/>
      <c r="X15" s="441"/>
      <c r="Y15" s="441"/>
      <c r="Z15" s="441"/>
    </row>
    <row r="16">
      <c r="A16" s="441"/>
      <c r="B16" s="1626"/>
      <c r="C16" s="1830"/>
      <c r="D16" s="895" t="s">
        <v>2288</v>
      </c>
      <c r="E16" s="1837">
        <f>'Механик'!M52</f>
        <v>2.08</v>
      </c>
      <c r="F16" s="1840" t="s">
        <v>2272</v>
      </c>
      <c r="G16" s="1843">
        <v>0.24</v>
      </c>
      <c r="H16" s="1829"/>
      <c r="I16" s="1838" t="s">
        <v>2289</v>
      </c>
      <c r="J16" s="1842">
        <f>'Чародей'!D65</f>
        <v>2.623</v>
      </c>
      <c r="K16" s="441"/>
      <c r="L16" s="441"/>
      <c r="M16" s="426"/>
      <c r="N16" s="441"/>
      <c r="O16" s="441"/>
      <c r="P16" s="441"/>
      <c r="Q16" s="441"/>
      <c r="R16" s="441"/>
      <c r="S16" s="441"/>
      <c r="T16" s="441"/>
      <c r="U16" s="441"/>
      <c r="V16" s="441"/>
      <c r="W16" s="441"/>
      <c r="X16" s="441"/>
      <c r="Y16" s="441"/>
      <c r="Z16" s="441"/>
    </row>
    <row r="17">
      <c r="A17" s="441"/>
      <c r="B17" s="1626"/>
      <c r="C17" s="1830"/>
      <c r="D17" s="895" t="s">
        <v>2290</v>
      </c>
      <c r="E17" s="1837">
        <f>'Гончар'!C8</f>
        <v>0.13</v>
      </c>
      <c r="F17" s="1840" t="s">
        <v>2275</v>
      </c>
      <c r="G17" s="1841">
        <v>0.8</v>
      </c>
      <c r="H17" s="1829"/>
      <c r="I17" s="1838" t="s">
        <v>2291</v>
      </c>
      <c r="J17" s="1842">
        <f>'Чародей'!D74</f>
        <v>8.083</v>
      </c>
      <c r="K17" s="441"/>
      <c r="L17" s="441"/>
      <c r="M17" s="426"/>
      <c r="N17" s="441"/>
      <c r="O17" s="441"/>
      <c r="P17" s="441"/>
      <c r="Q17" s="441"/>
      <c r="R17" s="441"/>
      <c r="S17" s="441"/>
      <c r="T17" s="441"/>
      <c r="U17" s="441"/>
      <c r="V17" s="441"/>
      <c r="W17" s="441"/>
      <c r="X17" s="441"/>
      <c r="Y17" s="441"/>
      <c r="Z17" s="441"/>
    </row>
    <row r="18">
      <c r="A18" s="441"/>
      <c r="B18" s="1626"/>
      <c r="C18" s="1830"/>
      <c r="D18" s="895" t="s">
        <v>2292</v>
      </c>
      <c r="E18" s="1837">
        <f>'Стеклодув'!F13</f>
        <v>0.152</v>
      </c>
      <c r="F18" s="1844" t="s">
        <v>2293</v>
      </c>
      <c r="G18" s="1845">
        <v>2.5</v>
      </c>
      <c r="H18" s="1829"/>
      <c r="I18" s="1838" t="s">
        <v>2294</v>
      </c>
      <c r="J18" s="1842">
        <f>'Чародей'!D82</f>
        <v>19.243</v>
      </c>
      <c r="K18" s="441"/>
      <c r="L18" s="441"/>
      <c r="M18" s="426"/>
      <c r="N18" s="441"/>
      <c r="O18" s="441"/>
      <c r="P18" s="441"/>
      <c r="Q18" s="441"/>
      <c r="R18" s="441"/>
      <c r="S18" s="441"/>
      <c r="T18" s="441"/>
      <c r="U18" s="441"/>
      <c r="V18" s="441"/>
      <c r="W18" s="441"/>
      <c r="X18" s="441"/>
      <c r="Y18" s="441"/>
      <c r="Z18" s="441"/>
    </row>
    <row r="19">
      <c r="A19" s="441"/>
      <c r="B19" s="1626"/>
      <c r="C19" s="1830"/>
      <c r="D19" s="895" t="s">
        <v>2295</v>
      </c>
      <c r="E19" s="1837">
        <f>E18+0.15</f>
        <v>0.302</v>
      </c>
      <c r="F19" s="1833" t="s">
        <v>2296</v>
      </c>
      <c r="G19" s="1846"/>
      <c r="H19" s="1829"/>
      <c r="I19" s="1838" t="s">
        <v>2297</v>
      </c>
      <c r="J19" s="1842">
        <f>'Чародей'!X65</f>
        <v>2.623</v>
      </c>
      <c r="K19" s="441"/>
      <c r="L19" s="441"/>
      <c r="M19" s="426"/>
      <c r="N19" s="441"/>
      <c r="O19" s="441"/>
      <c r="P19" s="441"/>
      <c r="Q19" s="441"/>
      <c r="R19" s="441"/>
      <c r="S19" s="441"/>
      <c r="T19" s="441"/>
      <c r="U19" s="441"/>
      <c r="V19" s="441"/>
      <c r="W19" s="441"/>
      <c r="X19" s="441"/>
      <c r="Y19" s="441"/>
      <c r="Z19" s="441"/>
    </row>
    <row r="20">
      <c r="A20" s="441"/>
      <c r="B20" s="1626"/>
      <c r="C20" s="1830"/>
      <c r="D20" s="895" t="s">
        <v>1785</v>
      </c>
      <c r="E20" s="1837">
        <f>'Портной'!K44</f>
        <v>1.1136</v>
      </c>
      <c r="F20" s="1838" t="s">
        <v>2298</v>
      </c>
      <c r="G20" s="1839">
        <v>0.01</v>
      </c>
      <c r="H20" s="1829"/>
      <c r="I20" s="1838" t="s">
        <v>2299</v>
      </c>
      <c r="J20" s="1842">
        <f>'Чародей'!X74</f>
        <v>8.003</v>
      </c>
      <c r="K20" s="441"/>
      <c r="L20" s="441"/>
      <c r="M20" s="426"/>
      <c r="N20" s="441"/>
      <c r="O20" s="441"/>
      <c r="P20" s="441"/>
      <c r="Q20" s="441"/>
      <c r="R20" s="441"/>
      <c r="S20" s="441"/>
      <c r="T20" s="441"/>
      <c r="U20" s="441"/>
      <c r="V20" s="441"/>
      <c r="W20" s="441"/>
      <c r="X20" s="441"/>
      <c r="Y20" s="441"/>
      <c r="Z20" s="441"/>
    </row>
    <row r="21">
      <c r="A21" s="441"/>
      <c r="B21" s="1626"/>
      <c r="C21" s="1830"/>
      <c r="D21" s="895" t="s">
        <v>2300</v>
      </c>
      <c r="E21" s="1837">
        <f>'Портной'!N44</f>
        <v>0.3</v>
      </c>
      <c r="F21" s="1838" t="s">
        <v>2301</v>
      </c>
      <c r="G21" s="1845">
        <v>0.02</v>
      </c>
      <c r="H21" s="1829"/>
      <c r="I21" s="1838" t="s">
        <v>2302</v>
      </c>
      <c r="J21" s="1842">
        <f>'Чародей'!X82</f>
        <v>19.163</v>
      </c>
      <c r="K21" s="441"/>
      <c r="L21" s="441"/>
      <c r="M21" s="426"/>
      <c r="N21" s="441"/>
      <c r="O21" s="441"/>
      <c r="P21" s="441"/>
      <c r="Q21" s="441"/>
      <c r="R21" s="441"/>
      <c r="S21" s="441"/>
      <c r="T21" s="441"/>
      <c r="U21" s="441"/>
      <c r="V21" s="441"/>
      <c r="W21" s="441"/>
      <c r="X21" s="441"/>
      <c r="Y21" s="441"/>
      <c r="Z21" s="441"/>
    </row>
    <row r="22">
      <c r="A22" s="441"/>
      <c r="B22" s="1626"/>
      <c r="C22" s="1830"/>
      <c r="D22" s="895" t="s">
        <v>2303</v>
      </c>
      <c r="E22" s="1837">
        <v>3.75</v>
      </c>
      <c r="F22" s="1838" t="s">
        <v>2304</v>
      </c>
      <c r="G22" s="1845">
        <v>0.03</v>
      </c>
      <c r="H22" s="1829"/>
      <c r="I22" s="1838" t="s">
        <v>2305</v>
      </c>
      <c r="J22" s="1842">
        <f>'Чародей'!D93</f>
        <v>5.789</v>
      </c>
      <c r="K22" s="441"/>
      <c r="L22" s="441"/>
      <c r="M22" s="426"/>
      <c r="N22" s="441"/>
      <c r="O22" s="441"/>
      <c r="P22" s="441"/>
      <c r="Q22" s="441"/>
      <c r="R22" s="441"/>
      <c r="S22" s="441"/>
      <c r="T22" s="441"/>
      <c r="U22" s="441"/>
      <c r="V22" s="441"/>
      <c r="W22" s="441"/>
      <c r="X22" s="441"/>
      <c r="Y22" s="441"/>
      <c r="Z22" s="441"/>
    </row>
    <row r="23">
      <c r="A23" s="441"/>
      <c r="B23" s="1626"/>
      <c r="C23" s="1626"/>
      <c r="D23" s="895" t="s">
        <v>2306</v>
      </c>
      <c r="E23" s="1841">
        <v>0.02</v>
      </c>
      <c r="F23" s="1838" t="s">
        <v>2307</v>
      </c>
      <c r="G23" s="1839">
        <v>0.06</v>
      </c>
      <c r="H23" s="1829"/>
      <c r="I23" s="1838" t="s">
        <v>2308</v>
      </c>
      <c r="J23" s="1842">
        <f>'Чародей'!D102</f>
        <v>13.049</v>
      </c>
      <c r="K23" s="441"/>
      <c r="L23" s="441"/>
      <c r="M23" s="426"/>
      <c r="N23" s="441"/>
      <c r="O23" s="441"/>
      <c r="P23" s="441"/>
      <c r="Q23" s="441"/>
      <c r="R23" s="441"/>
      <c r="S23" s="441"/>
      <c r="T23" s="441"/>
      <c r="U23" s="441"/>
      <c r="V23" s="441"/>
      <c r="W23" s="441"/>
      <c r="X23" s="441"/>
      <c r="Y23" s="441"/>
      <c r="Z23" s="441"/>
    </row>
    <row r="24">
      <c r="A24" s="441"/>
      <c r="B24" s="1626"/>
      <c r="C24" s="1830"/>
      <c r="D24" s="895" t="s">
        <v>2309</v>
      </c>
      <c r="E24" s="1841">
        <v>0.5</v>
      </c>
      <c r="F24" s="1838" t="s">
        <v>2310</v>
      </c>
      <c r="G24" s="1839">
        <v>0.15</v>
      </c>
      <c r="H24" s="1829"/>
      <c r="I24" s="1838" t="s">
        <v>2311</v>
      </c>
      <c r="J24" s="1842">
        <f>'Чародей'!D110</f>
        <v>27.329</v>
      </c>
      <c r="K24" s="441"/>
      <c r="L24" s="441"/>
      <c r="M24" s="426"/>
      <c r="N24" s="441"/>
      <c r="O24" s="441"/>
      <c r="P24" s="441"/>
      <c r="Q24" s="441"/>
      <c r="R24" s="441"/>
      <c r="S24" s="441"/>
      <c r="T24" s="441"/>
      <c r="U24" s="441"/>
      <c r="V24" s="441"/>
      <c r="W24" s="441"/>
      <c r="X24" s="441"/>
      <c r="Y24" s="441"/>
      <c r="Z24" s="441"/>
    </row>
    <row r="25">
      <c r="A25" s="441"/>
      <c r="B25" s="1626"/>
      <c r="C25" s="1830"/>
      <c r="D25" s="895" t="s">
        <v>2312</v>
      </c>
      <c r="E25" s="1837">
        <f>'Материалы и инструменты'!D111*3+0.3</f>
        <v>0.39</v>
      </c>
      <c r="F25" s="1830"/>
      <c r="G25" s="1830"/>
      <c r="H25" s="1829"/>
      <c r="I25" s="1838" t="s">
        <v>2313</v>
      </c>
      <c r="J25" s="1842">
        <f>'Чародей'!D121</f>
        <v>4.206</v>
      </c>
      <c r="K25" s="441"/>
      <c r="L25" s="441"/>
      <c r="M25" s="426"/>
      <c r="N25" s="441"/>
      <c r="O25" s="441"/>
      <c r="P25" s="441"/>
      <c r="Q25" s="441"/>
      <c r="R25" s="441"/>
      <c r="S25" s="441"/>
      <c r="T25" s="441"/>
      <c r="U25" s="441"/>
      <c r="V25" s="441"/>
      <c r="W25" s="441"/>
      <c r="X25" s="441"/>
      <c r="Y25" s="441"/>
      <c r="Z25" s="441"/>
    </row>
    <row r="26">
      <c r="A26" s="441"/>
      <c r="B26" s="1626"/>
      <c r="C26" s="1830"/>
      <c r="D26" s="895" t="s">
        <v>2314</v>
      </c>
      <c r="E26" s="1837">
        <f>'Кузнец'!O144</f>
        <v>3.35</v>
      </c>
      <c r="F26" s="1830"/>
      <c r="G26" s="1830"/>
      <c r="H26" s="1829"/>
      <c r="I26" s="1838" t="s">
        <v>2315</v>
      </c>
      <c r="J26" s="1842">
        <f>'Чародей'!D130</f>
        <v>11.766</v>
      </c>
      <c r="K26" s="441"/>
      <c r="L26" s="441"/>
      <c r="M26" s="426"/>
      <c r="N26" s="441"/>
      <c r="O26" s="441"/>
      <c r="P26" s="441"/>
      <c r="Q26" s="441"/>
      <c r="R26" s="441"/>
      <c r="S26" s="441"/>
      <c r="T26" s="441"/>
      <c r="U26" s="441"/>
      <c r="V26" s="441"/>
      <c r="W26" s="441"/>
      <c r="X26" s="441"/>
      <c r="Y26" s="441"/>
      <c r="Z26" s="441"/>
    </row>
    <row r="27">
      <c r="A27" s="441"/>
      <c r="B27" s="1626"/>
      <c r="C27" s="1830"/>
      <c r="D27" s="895" t="s">
        <v>2316</v>
      </c>
      <c r="E27" s="1837">
        <v>0.15</v>
      </c>
      <c r="F27" s="1830"/>
      <c r="G27" s="1830"/>
      <c r="H27" s="1829"/>
      <c r="I27" s="1838" t="s">
        <v>2317</v>
      </c>
      <c r="J27" s="1842">
        <f>'Чародей'!D138</f>
        <v>26.886</v>
      </c>
      <c r="K27" s="441"/>
      <c r="L27" s="441"/>
      <c r="M27" s="426"/>
      <c r="N27" s="441"/>
      <c r="O27" s="441"/>
      <c r="P27" s="441"/>
      <c r="Q27" s="441"/>
      <c r="R27" s="441"/>
      <c r="S27" s="441"/>
      <c r="T27" s="441"/>
      <c r="U27" s="441"/>
      <c r="V27" s="441"/>
      <c r="W27" s="441"/>
      <c r="X27" s="441"/>
      <c r="Y27" s="441"/>
      <c r="Z27" s="441"/>
    </row>
    <row r="28">
      <c r="A28" s="441"/>
      <c r="B28" s="1626"/>
      <c r="C28" s="1830"/>
      <c r="D28" s="895" t="s">
        <v>1587</v>
      </c>
      <c r="E28" s="1837">
        <f>'Кузнец'!U144</f>
        <v>2.96</v>
      </c>
      <c r="F28" s="1830"/>
      <c r="G28" s="1830"/>
      <c r="H28" s="1829"/>
      <c r="I28" s="1838" t="s">
        <v>2318</v>
      </c>
      <c r="J28" s="1842">
        <f>'Чародей'!C165</f>
        <v>0.93</v>
      </c>
      <c r="K28" s="441"/>
      <c r="L28" s="441"/>
      <c r="M28" s="426"/>
      <c r="N28" s="441"/>
      <c r="O28" s="441"/>
      <c r="P28" s="441"/>
      <c r="Q28" s="441"/>
      <c r="R28" s="441"/>
      <c r="S28" s="441"/>
      <c r="T28" s="441"/>
      <c r="U28" s="441"/>
      <c r="V28" s="441"/>
      <c r="W28" s="441"/>
      <c r="X28" s="441"/>
      <c r="Y28" s="441"/>
      <c r="Z28" s="441"/>
    </row>
    <row r="29">
      <c r="A29" s="441"/>
      <c r="B29" s="1626"/>
      <c r="C29" s="1830"/>
      <c r="D29" s="1830"/>
      <c r="E29" s="1830"/>
      <c r="F29" s="1830"/>
      <c r="G29" s="1830"/>
      <c r="H29" s="1829"/>
      <c r="I29" s="1838" t="s">
        <v>2319</v>
      </c>
      <c r="J29" s="1842">
        <f>'Чародей'!C175</f>
        <v>1.42</v>
      </c>
      <c r="K29" s="935"/>
      <c r="L29" s="935"/>
      <c r="M29" s="426"/>
      <c r="N29" s="441"/>
      <c r="O29" s="441"/>
      <c r="P29" s="441"/>
      <c r="Q29" s="441"/>
      <c r="R29" s="441"/>
      <c r="S29" s="441"/>
      <c r="T29" s="441"/>
      <c r="U29" s="441"/>
      <c r="V29" s="441"/>
      <c r="W29" s="441"/>
      <c r="X29" s="441"/>
      <c r="Y29" s="441"/>
      <c r="Z29" s="441"/>
    </row>
    <row r="30">
      <c r="A30" s="441"/>
      <c r="B30" s="1626"/>
      <c r="C30" s="1830"/>
      <c r="D30" s="441"/>
      <c r="E30" s="441"/>
      <c r="F30" s="1830"/>
      <c r="G30" s="1830"/>
      <c r="H30" s="1829"/>
      <c r="I30" s="1838" t="s">
        <v>2320</v>
      </c>
      <c r="J30" s="1842">
        <f>'Чародей'!C184</f>
        <v>2.96</v>
      </c>
      <c r="K30" s="935"/>
      <c r="L30" s="935"/>
      <c r="M30" s="426"/>
      <c r="N30" s="441"/>
      <c r="O30" s="441"/>
      <c r="P30" s="441"/>
      <c r="Q30" s="441"/>
      <c r="R30" s="441"/>
      <c r="S30" s="441"/>
      <c r="T30" s="441"/>
      <c r="U30" s="441"/>
      <c r="V30" s="441"/>
      <c r="W30" s="441"/>
      <c r="X30" s="441"/>
      <c r="Y30" s="441"/>
      <c r="Z30" s="441"/>
    </row>
    <row r="31">
      <c r="A31" s="441"/>
      <c r="B31" s="1626"/>
      <c r="C31" s="1830"/>
      <c r="D31" s="441"/>
      <c r="E31" s="441"/>
      <c r="F31" s="1830"/>
      <c r="G31" s="1830"/>
      <c r="H31" s="935"/>
      <c r="I31" s="441"/>
      <c r="J31" s="441"/>
      <c r="K31" s="935"/>
      <c r="L31" s="935"/>
      <c r="M31" s="426"/>
      <c r="N31" s="441"/>
      <c r="O31" s="441"/>
      <c r="P31" s="441"/>
      <c r="Q31" s="441"/>
      <c r="R31" s="441"/>
      <c r="S31" s="441"/>
      <c r="T31" s="441"/>
      <c r="U31" s="441"/>
      <c r="V31" s="441"/>
      <c r="W31" s="441"/>
      <c r="X31" s="441"/>
      <c r="Y31" s="441"/>
      <c r="Z31" s="441"/>
    </row>
    <row r="32">
      <c r="A32" s="441"/>
      <c r="B32" s="1626"/>
      <c r="C32" s="1830"/>
      <c r="D32" s="441"/>
      <c r="E32" s="441"/>
      <c r="F32" s="1830"/>
      <c r="G32" s="1830"/>
      <c r="H32" s="935"/>
      <c r="I32" s="441"/>
      <c r="J32" s="441"/>
      <c r="K32" s="935"/>
      <c r="L32" s="935"/>
      <c r="M32" s="426"/>
      <c r="N32" s="441"/>
      <c r="O32" s="441"/>
      <c r="P32" s="441"/>
      <c r="Q32" s="441"/>
      <c r="R32" s="441"/>
      <c r="S32" s="441"/>
      <c r="T32" s="441"/>
      <c r="U32" s="441"/>
      <c r="V32" s="441"/>
      <c r="W32" s="441"/>
      <c r="X32" s="441"/>
      <c r="Y32" s="441"/>
      <c r="Z32" s="441"/>
    </row>
    <row r="33">
      <c r="A33" s="441"/>
      <c r="B33" s="1626"/>
      <c r="C33" s="1830"/>
      <c r="D33" s="441"/>
      <c r="E33" s="441"/>
      <c r="F33" s="1830"/>
      <c r="G33" s="1830"/>
      <c r="H33" s="935"/>
      <c r="I33" s="441"/>
      <c r="J33" s="441"/>
      <c r="K33" s="935"/>
      <c r="L33" s="935"/>
      <c r="M33" s="426"/>
      <c r="N33" s="441"/>
      <c r="O33" s="441"/>
      <c r="P33" s="441"/>
      <c r="Q33" s="441"/>
      <c r="R33" s="441"/>
      <c r="S33" s="441"/>
      <c r="T33" s="441"/>
      <c r="U33" s="441"/>
      <c r="V33" s="441"/>
      <c r="W33" s="441"/>
      <c r="X33" s="441"/>
      <c r="Y33" s="441"/>
      <c r="Z33" s="441"/>
    </row>
    <row r="34">
      <c r="A34" s="441"/>
      <c r="B34" s="1626"/>
      <c r="C34" s="1830"/>
      <c r="D34" s="441"/>
      <c r="E34" s="441"/>
      <c r="F34" s="1830"/>
      <c r="G34" s="1830"/>
      <c r="H34" s="935"/>
      <c r="I34" s="441"/>
      <c r="J34" s="441"/>
      <c r="K34" s="935"/>
      <c r="L34" s="935"/>
      <c r="M34" s="426"/>
      <c r="N34" s="441"/>
      <c r="O34" s="441"/>
      <c r="P34" s="441"/>
      <c r="Q34" s="441"/>
      <c r="R34" s="441"/>
      <c r="S34" s="441"/>
      <c r="T34" s="441"/>
      <c r="U34" s="441"/>
      <c r="V34" s="441"/>
      <c r="W34" s="441"/>
      <c r="X34" s="441"/>
      <c r="Y34" s="441"/>
      <c r="Z34" s="441"/>
    </row>
    <row r="35">
      <c r="A35" s="441"/>
      <c r="B35" s="1626"/>
      <c r="C35" s="1830"/>
      <c r="D35" s="441"/>
      <c r="E35" s="441"/>
      <c r="F35" s="1830"/>
      <c r="G35" s="1830"/>
      <c r="H35" s="935"/>
      <c r="I35" s="441"/>
      <c r="J35" s="441"/>
      <c r="K35" s="935"/>
      <c r="L35" s="935"/>
      <c r="M35" s="426"/>
      <c r="N35" s="441"/>
      <c r="O35" s="441"/>
      <c r="P35" s="441"/>
      <c r="Q35" s="441"/>
      <c r="R35" s="441"/>
      <c r="S35" s="441"/>
      <c r="T35" s="441"/>
      <c r="U35" s="441"/>
      <c r="V35" s="441"/>
      <c r="W35" s="441"/>
      <c r="X35" s="441"/>
      <c r="Y35" s="441"/>
      <c r="Z35" s="441"/>
    </row>
    <row r="36">
      <c r="A36" s="441"/>
      <c r="B36" s="1626"/>
      <c r="C36" s="1830"/>
      <c r="D36" s="441"/>
      <c r="E36" s="441"/>
      <c r="F36" s="1830"/>
      <c r="G36" s="1830"/>
      <c r="H36" s="935"/>
      <c r="I36" s="441"/>
      <c r="J36" s="441"/>
      <c r="K36" s="935"/>
      <c r="L36" s="935"/>
      <c r="M36" s="426"/>
      <c r="N36" s="441"/>
      <c r="O36" s="441"/>
      <c r="P36" s="441"/>
      <c r="Q36" s="441"/>
      <c r="R36" s="441"/>
      <c r="S36" s="441"/>
      <c r="T36" s="441"/>
      <c r="U36" s="441"/>
      <c r="V36" s="441"/>
      <c r="W36" s="441"/>
      <c r="X36" s="441"/>
      <c r="Y36" s="441"/>
      <c r="Z36" s="441"/>
    </row>
    <row r="37">
      <c r="A37" s="441"/>
      <c r="B37" s="1626"/>
      <c r="C37" s="1830"/>
      <c r="D37" s="1847" t="s">
        <v>2321</v>
      </c>
      <c r="E37" s="505"/>
      <c r="F37" s="1848"/>
      <c r="G37" s="1848"/>
      <c r="H37" s="935"/>
      <c r="I37" s="441"/>
      <c r="J37" s="441"/>
      <c r="K37" s="935"/>
      <c r="L37" s="935"/>
      <c r="M37" s="426"/>
      <c r="N37" s="441"/>
      <c r="O37" s="441"/>
      <c r="P37" s="441"/>
      <c r="Q37" s="441"/>
      <c r="R37" s="441"/>
      <c r="S37" s="441"/>
      <c r="T37" s="441"/>
      <c r="U37" s="441"/>
      <c r="V37" s="441"/>
      <c r="W37" s="441"/>
      <c r="X37" s="441"/>
      <c r="Y37" s="441"/>
      <c r="Z37" s="441"/>
    </row>
    <row r="38">
      <c r="A38" s="441"/>
      <c r="B38" s="1626"/>
      <c r="C38" s="1830"/>
      <c r="D38" s="505"/>
      <c r="E38" s="505"/>
      <c r="F38" s="1848"/>
      <c r="G38" s="1848"/>
      <c r="H38" s="935"/>
      <c r="I38" s="441"/>
      <c r="J38" s="441"/>
      <c r="K38" s="1849"/>
      <c r="L38" s="1849"/>
      <c r="M38" s="426"/>
      <c r="N38" s="441"/>
      <c r="O38" s="441"/>
      <c r="P38" s="441"/>
      <c r="Q38" s="441"/>
      <c r="R38" s="441"/>
      <c r="S38" s="441"/>
      <c r="T38" s="441"/>
      <c r="U38" s="441"/>
      <c r="V38" s="441"/>
      <c r="W38" s="441"/>
      <c r="X38" s="441"/>
      <c r="Y38" s="441"/>
      <c r="Z38" s="441"/>
    </row>
    <row r="39">
      <c r="A39" s="441"/>
      <c r="B39" s="1626"/>
      <c r="C39" s="1830"/>
      <c r="D39" s="1343"/>
      <c r="E39" s="1343"/>
      <c r="F39" s="1850"/>
      <c r="G39" s="1850"/>
      <c r="H39" s="935"/>
      <c r="I39" s="441"/>
      <c r="J39" s="441"/>
      <c r="K39" s="1849"/>
      <c r="L39" s="1849"/>
      <c r="M39" s="426"/>
      <c r="N39" s="441"/>
      <c r="O39" s="441"/>
      <c r="P39" s="441"/>
      <c r="Q39" s="441"/>
      <c r="R39" s="441"/>
      <c r="S39" s="441"/>
      <c r="T39" s="441"/>
      <c r="U39" s="441"/>
      <c r="V39" s="441"/>
      <c r="W39" s="441"/>
      <c r="X39" s="441"/>
      <c r="Y39" s="441"/>
      <c r="Z39" s="441"/>
    </row>
    <row r="40">
      <c r="A40" s="441"/>
      <c r="B40" s="1626"/>
      <c r="C40" s="1830"/>
      <c r="D40" s="1851" t="s">
        <v>2322</v>
      </c>
      <c r="E40" s="1852" t="s">
        <v>2323</v>
      </c>
      <c r="F40" s="228"/>
      <c r="G40" s="228"/>
      <c r="H40" s="228"/>
      <c r="I40" s="665"/>
      <c r="K40" s="1849"/>
      <c r="L40" s="1849"/>
      <c r="M40" s="426"/>
      <c r="N40" s="441"/>
      <c r="O40" s="441"/>
      <c r="P40" s="441"/>
      <c r="Q40" s="441"/>
      <c r="R40" s="441"/>
      <c r="S40" s="441"/>
      <c r="T40" s="441"/>
      <c r="U40" s="441"/>
      <c r="V40" s="441"/>
      <c r="W40" s="441"/>
      <c r="X40" s="441"/>
      <c r="Y40" s="441"/>
      <c r="Z40" s="441"/>
    </row>
    <row r="41">
      <c r="A41" s="441"/>
      <c r="B41" s="1626"/>
      <c r="C41" s="1830"/>
      <c r="D41" s="428"/>
      <c r="E41" s="1853" t="s">
        <v>2324</v>
      </c>
      <c r="F41" s="672"/>
      <c r="G41" s="1854" t="s">
        <v>2325</v>
      </c>
      <c r="H41" s="672"/>
      <c r="I41" s="1855" t="s">
        <v>2326</v>
      </c>
      <c r="K41" s="1849"/>
      <c r="L41" s="1849"/>
      <c r="M41" s="426"/>
      <c r="N41" s="441"/>
      <c r="O41" s="441"/>
      <c r="P41" s="441"/>
      <c r="Q41" s="441"/>
      <c r="R41" s="441"/>
      <c r="S41" s="441"/>
      <c r="T41" s="441"/>
      <c r="U41" s="441"/>
      <c r="V41" s="441"/>
      <c r="W41" s="441"/>
      <c r="X41" s="441"/>
      <c r="Y41" s="441"/>
      <c r="Z41" s="441"/>
    </row>
    <row r="42">
      <c r="A42" s="441"/>
      <c r="B42" s="1626"/>
      <c r="C42" s="1830"/>
      <c r="D42" s="1856" t="s">
        <v>2327</v>
      </c>
      <c r="E42" s="1651">
        <v>0.05</v>
      </c>
      <c r="F42" s="672"/>
      <c r="G42" s="1857">
        <v>0.08</v>
      </c>
      <c r="H42" s="672"/>
      <c r="I42" s="1858">
        <v>0.1</v>
      </c>
      <c r="K42" s="1849"/>
      <c r="L42" s="1849"/>
      <c r="M42" s="426"/>
      <c r="N42" s="441"/>
      <c r="O42" s="441"/>
      <c r="P42" s="441"/>
      <c r="Q42" s="441"/>
      <c r="R42" s="441"/>
      <c r="S42" s="441"/>
      <c r="T42" s="441"/>
      <c r="U42" s="441"/>
      <c r="V42" s="441"/>
      <c r="W42" s="441"/>
      <c r="X42" s="441"/>
      <c r="Y42" s="441"/>
      <c r="Z42" s="441"/>
    </row>
    <row r="43">
      <c r="A43" s="441"/>
      <c r="B43" s="1626"/>
      <c r="C43" s="1830"/>
      <c r="D43" s="1856" t="s">
        <v>2328</v>
      </c>
      <c r="E43" s="1651">
        <v>0.15</v>
      </c>
      <c r="F43" s="672"/>
      <c r="G43" s="1857">
        <v>0.24</v>
      </c>
      <c r="H43" s="672"/>
      <c r="I43" s="1858">
        <v>0.3</v>
      </c>
      <c r="K43" s="1849"/>
      <c r="L43" s="1849"/>
      <c r="M43" s="426"/>
      <c r="N43" s="441"/>
      <c r="O43" s="441"/>
      <c r="P43" s="441"/>
      <c r="Q43" s="441"/>
      <c r="R43" s="441"/>
      <c r="S43" s="441"/>
      <c r="T43" s="441"/>
      <c r="U43" s="441"/>
      <c r="V43" s="441"/>
      <c r="W43" s="441"/>
      <c r="X43" s="441"/>
      <c r="Y43" s="441"/>
      <c r="Z43" s="441"/>
    </row>
    <row r="44">
      <c r="A44" s="441"/>
      <c r="B44" s="1626"/>
      <c r="C44" s="1830"/>
      <c r="D44" s="1856" t="s">
        <v>2329</v>
      </c>
      <c r="E44" s="1859">
        <v>0.4</v>
      </c>
      <c r="F44" s="672"/>
      <c r="G44" s="1857">
        <v>0.64</v>
      </c>
      <c r="H44" s="672"/>
      <c r="I44" s="1858">
        <v>0.8</v>
      </c>
      <c r="K44" s="1849"/>
      <c r="L44" s="1849"/>
      <c r="M44" s="426"/>
      <c r="N44" s="441"/>
      <c r="O44" s="441"/>
      <c r="P44" s="441"/>
      <c r="Q44" s="441"/>
      <c r="R44" s="441"/>
      <c r="S44" s="441"/>
      <c r="T44" s="441"/>
      <c r="U44" s="441"/>
      <c r="V44" s="441"/>
      <c r="W44" s="441"/>
      <c r="X44" s="441"/>
      <c r="Y44" s="441"/>
      <c r="Z44" s="441"/>
    </row>
    <row r="45">
      <c r="A45" s="441"/>
      <c r="B45" s="1626"/>
      <c r="C45" s="1830"/>
      <c r="D45" s="441"/>
      <c r="E45" s="441"/>
      <c r="F45" s="1830"/>
      <c r="G45" s="1830"/>
      <c r="H45" s="935"/>
      <c r="J45" s="441"/>
      <c r="K45" s="1849"/>
      <c r="L45" s="1849"/>
      <c r="M45" s="426"/>
      <c r="N45" s="441"/>
      <c r="O45" s="441"/>
      <c r="P45" s="441"/>
      <c r="Q45" s="441"/>
      <c r="R45" s="441"/>
      <c r="S45" s="441"/>
      <c r="T45" s="441"/>
      <c r="U45" s="441"/>
      <c r="V45" s="441"/>
      <c r="W45" s="441"/>
      <c r="X45" s="441"/>
      <c r="Y45" s="441"/>
      <c r="Z45" s="441"/>
    </row>
    <row r="46">
      <c r="A46" s="441"/>
      <c r="B46" s="1626"/>
      <c r="C46" s="1830"/>
      <c r="D46" s="441"/>
      <c r="E46" s="441"/>
      <c r="F46" s="1830"/>
      <c r="G46" s="1830"/>
      <c r="H46" s="935"/>
      <c r="J46" s="441"/>
      <c r="K46" s="1849"/>
      <c r="L46" s="1849"/>
      <c r="M46" s="426"/>
      <c r="N46" s="441"/>
      <c r="O46" s="441"/>
      <c r="P46" s="441"/>
      <c r="Q46" s="441"/>
      <c r="R46" s="441"/>
      <c r="S46" s="441"/>
      <c r="T46" s="441"/>
      <c r="U46" s="441"/>
      <c r="V46" s="441"/>
      <c r="W46" s="441"/>
      <c r="X46" s="441"/>
      <c r="Y46" s="441"/>
      <c r="Z46" s="441"/>
    </row>
    <row r="47">
      <c r="A47" s="441"/>
      <c r="B47" s="1626"/>
      <c r="C47" s="1830"/>
      <c r="D47" s="441"/>
      <c r="E47" s="441"/>
      <c r="F47" s="1830"/>
      <c r="G47" s="1830"/>
      <c r="H47" s="935"/>
      <c r="J47" s="441"/>
      <c r="K47" s="1849"/>
      <c r="L47" s="1849"/>
      <c r="M47" s="426"/>
      <c r="N47" s="441"/>
      <c r="O47" s="441"/>
      <c r="P47" s="441"/>
      <c r="Q47" s="441"/>
      <c r="R47" s="441"/>
      <c r="S47" s="441"/>
      <c r="T47" s="441"/>
      <c r="U47" s="441"/>
      <c r="V47" s="441"/>
      <c r="W47" s="441"/>
      <c r="X47" s="441"/>
      <c r="Y47" s="441"/>
      <c r="Z47" s="441"/>
    </row>
    <row r="48">
      <c r="A48" s="441"/>
      <c r="B48" s="1626"/>
      <c r="C48" s="1830"/>
      <c r="D48" s="441"/>
      <c r="E48" s="441"/>
      <c r="F48" s="1830"/>
      <c r="G48" s="1830"/>
      <c r="H48" s="935"/>
      <c r="J48" s="441"/>
      <c r="K48" s="1849"/>
      <c r="L48" s="1849"/>
      <c r="M48" s="426"/>
      <c r="N48" s="441"/>
      <c r="O48" s="441"/>
      <c r="P48" s="441"/>
      <c r="Q48" s="441"/>
      <c r="R48" s="441"/>
      <c r="S48" s="441"/>
      <c r="T48" s="441"/>
      <c r="U48" s="441"/>
      <c r="V48" s="441"/>
      <c r="W48" s="441"/>
      <c r="X48" s="441"/>
      <c r="Y48" s="441"/>
      <c r="Z48" s="441"/>
    </row>
    <row r="49">
      <c r="A49" s="441"/>
      <c r="B49" s="1626"/>
      <c r="C49" s="1830"/>
      <c r="D49" s="441"/>
      <c r="E49" s="441"/>
      <c r="F49" s="1830"/>
      <c r="G49" s="1830"/>
      <c r="H49" s="1830"/>
      <c r="I49" s="441"/>
      <c r="J49" s="441"/>
      <c r="K49" s="1860"/>
      <c r="L49" s="1860"/>
      <c r="M49" s="426"/>
      <c r="N49" s="441"/>
      <c r="O49" s="441"/>
      <c r="P49" s="441"/>
      <c r="Q49" s="441"/>
      <c r="R49" s="441"/>
      <c r="S49" s="441"/>
      <c r="T49" s="441"/>
      <c r="U49" s="441"/>
      <c r="V49" s="441"/>
      <c r="W49" s="441"/>
      <c r="X49" s="441"/>
      <c r="Y49" s="441"/>
      <c r="Z49" s="441"/>
    </row>
    <row r="50">
      <c r="A50" s="441"/>
      <c r="B50" s="1626"/>
      <c r="C50" s="1830"/>
      <c r="D50" s="441"/>
      <c r="E50" s="441"/>
      <c r="F50" s="1830"/>
      <c r="G50" s="1830"/>
      <c r="H50" s="1830"/>
      <c r="I50" s="441"/>
      <c r="J50" s="441"/>
      <c r="K50" s="1860"/>
      <c r="L50" s="1860"/>
      <c r="M50" s="441"/>
      <c r="N50" s="441"/>
      <c r="O50" s="441"/>
      <c r="P50" s="441"/>
      <c r="Q50" s="441"/>
      <c r="R50" s="441"/>
      <c r="S50" s="441"/>
      <c r="T50" s="441"/>
      <c r="U50" s="441"/>
      <c r="V50" s="441"/>
      <c r="W50" s="441"/>
      <c r="X50" s="441"/>
      <c r="Y50" s="441"/>
      <c r="Z50" s="441"/>
    </row>
    <row r="51">
      <c r="A51" s="441"/>
      <c r="B51" s="1626"/>
      <c r="C51" s="1830"/>
      <c r="D51" s="441"/>
      <c r="E51" s="441"/>
      <c r="F51" s="1830"/>
      <c r="G51" s="1830"/>
      <c r="H51" s="1830"/>
      <c r="I51" s="1626"/>
      <c r="J51" s="1860"/>
      <c r="K51" s="1860"/>
      <c r="L51" s="1860"/>
      <c r="M51" s="441"/>
      <c r="N51" s="441"/>
      <c r="O51" s="441"/>
      <c r="P51" s="441"/>
      <c r="Q51" s="441"/>
      <c r="R51" s="441"/>
      <c r="S51" s="441"/>
      <c r="T51" s="441"/>
      <c r="U51" s="441"/>
      <c r="V51" s="441"/>
      <c r="W51" s="441"/>
      <c r="X51" s="441"/>
      <c r="Y51" s="441"/>
      <c r="Z51" s="441"/>
    </row>
    <row r="52">
      <c r="A52" s="441"/>
      <c r="B52" s="1626"/>
      <c r="C52" s="1830"/>
      <c r="D52" s="441"/>
      <c r="E52" s="441"/>
      <c r="F52" s="1830"/>
      <c r="G52" s="1830"/>
      <c r="H52" s="1830"/>
      <c r="I52" s="1626"/>
      <c r="J52" s="1860"/>
      <c r="K52" s="1860"/>
      <c r="L52" s="1860"/>
      <c r="M52" s="441"/>
      <c r="N52" s="441"/>
      <c r="O52" s="441"/>
      <c r="P52" s="441"/>
      <c r="Q52" s="441"/>
      <c r="R52" s="441"/>
      <c r="S52" s="441"/>
      <c r="T52" s="441"/>
      <c r="U52" s="441"/>
      <c r="V52" s="441"/>
      <c r="W52" s="441"/>
      <c r="X52" s="441"/>
      <c r="Y52" s="441"/>
      <c r="Z52" s="441"/>
    </row>
    <row r="53">
      <c r="A53" s="441"/>
      <c r="B53" s="1626"/>
      <c r="C53" s="1830"/>
      <c r="D53" s="441"/>
      <c r="E53" s="441"/>
      <c r="F53" s="1830"/>
      <c r="G53" s="1830"/>
      <c r="H53" s="1830"/>
      <c r="I53" s="1626"/>
      <c r="J53" s="1860"/>
      <c r="K53" s="1860"/>
      <c r="L53" s="1860"/>
      <c r="M53" s="441"/>
      <c r="N53" s="441"/>
      <c r="O53" s="441"/>
      <c r="P53" s="441"/>
      <c r="Q53" s="441"/>
      <c r="R53" s="441"/>
      <c r="S53" s="441"/>
      <c r="T53" s="441"/>
      <c r="U53" s="441"/>
      <c r="V53" s="441"/>
      <c r="W53" s="441"/>
      <c r="X53" s="441"/>
      <c r="Y53" s="441"/>
      <c r="Z53" s="441"/>
    </row>
    <row r="54">
      <c r="A54" s="441"/>
      <c r="B54" s="1626"/>
      <c r="C54" s="1830"/>
      <c r="D54" s="441"/>
      <c r="E54" s="441"/>
      <c r="F54" s="1830"/>
      <c r="G54" s="1830"/>
      <c r="H54" s="1830"/>
      <c r="I54" s="1626"/>
      <c r="J54" s="1860"/>
      <c r="K54" s="1860"/>
      <c r="L54" s="1860"/>
      <c r="M54" s="441"/>
      <c r="N54" s="441"/>
      <c r="O54" s="441"/>
      <c r="P54" s="441"/>
      <c r="Q54" s="441"/>
      <c r="R54" s="441"/>
      <c r="S54" s="441"/>
      <c r="T54" s="441"/>
      <c r="U54" s="441"/>
      <c r="V54" s="441"/>
      <c r="W54" s="441"/>
      <c r="X54" s="441"/>
      <c r="Y54" s="441"/>
      <c r="Z54" s="441"/>
    </row>
    <row r="55">
      <c r="A55" s="441"/>
      <c r="B55" s="1626"/>
      <c r="C55" s="1830"/>
      <c r="D55" s="1830"/>
      <c r="E55" s="1830"/>
      <c r="F55" s="1830"/>
      <c r="G55" s="1830"/>
      <c r="H55" s="1830"/>
      <c r="I55" s="1626"/>
      <c r="J55" s="1860"/>
      <c r="K55" s="1860"/>
      <c r="L55" s="1860"/>
      <c r="M55" s="441"/>
      <c r="N55" s="441"/>
      <c r="O55" s="441"/>
      <c r="P55" s="441"/>
      <c r="Q55" s="441"/>
      <c r="R55" s="441"/>
      <c r="S55" s="441"/>
      <c r="T55" s="441"/>
      <c r="U55" s="441"/>
      <c r="V55" s="441"/>
      <c r="W55" s="441"/>
      <c r="X55" s="441"/>
      <c r="Y55" s="441"/>
      <c r="Z55" s="441"/>
    </row>
    <row r="56">
      <c r="A56" s="441"/>
      <c r="B56" s="1626"/>
      <c r="C56" s="1830"/>
      <c r="D56" s="1830"/>
      <c r="E56" s="1830"/>
      <c r="F56" s="1830"/>
      <c r="G56" s="1830"/>
      <c r="H56" s="1830"/>
      <c r="I56" s="1626"/>
      <c r="J56" s="1860"/>
      <c r="K56" s="1860"/>
      <c r="L56" s="1860"/>
      <c r="M56" s="441"/>
      <c r="N56" s="441"/>
      <c r="O56" s="441"/>
      <c r="P56" s="441"/>
      <c r="Q56" s="441"/>
      <c r="R56" s="441"/>
      <c r="S56" s="441"/>
      <c r="T56" s="441"/>
      <c r="U56" s="441"/>
      <c r="V56" s="441"/>
      <c r="W56" s="441"/>
      <c r="X56" s="441"/>
      <c r="Y56" s="441"/>
      <c r="Z56" s="441"/>
    </row>
    <row r="57">
      <c r="A57" s="441"/>
      <c r="B57" s="1626"/>
      <c r="C57" s="1830"/>
      <c r="D57" s="1830"/>
      <c r="E57" s="1830"/>
      <c r="F57" s="1830"/>
      <c r="G57" s="1830"/>
      <c r="H57" s="1830"/>
      <c r="I57" s="1626"/>
      <c r="J57" s="1860"/>
      <c r="K57" s="1860"/>
      <c r="L57" s="1860"/>
      <c r="M57" s="441"/>
      <c r="N57" s="441"/>
      <c r="O57" s="441"/>
      <c r="P57" s="441"/>
      <c r="Q57" s="441"/>
      <c r="R57" s="441"/>
      <c r="S57" s="441"/>
      <c r="T57" s="441"/>
      <c r="U57" s="441"/>
      <c r="V57" s="441"/>
      <c r="W57" s="441"/>
      <c r="X57" s="441"/>
      <c r="Y57" s="441"/>
      <c r="Z57" s="441"/>
    </row>
    <row r="58">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row>
    <row r="59">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row>
    <row r="60">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row>
    <row r="61">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row>
    <row r="6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row>
    <row r="63">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row>
    <row r="64">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row>
    <row r="65">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row>
    <row r="66">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row>
    <row r="67">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row>
    <row r="68">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row>
    <row r="69">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row>
    <row r="70">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row>
    <row r="71">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row>
    <row r="7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row>
    <row r="73">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row>
    <row r="74">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row>
    <row r="75">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row>
    <row r="76">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row>
    <row r="77">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row>
    <row r="78">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row>
    <row r="79">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row>
    <row r="80">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row>
    <row r="81">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row>
    <row r="82">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row>
    <row r="83">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row>
    <row r="84">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row>
    <row r="85">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row>
    <row r="86">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row>
    <row r="87">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row>
    <row r="88">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row>
    <row r="89">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row>
    <row r="90">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row>
    <row r="91">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row>
    <row r="92">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row>
    <row r="93">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row>
    <row r="94">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row>
    <row r="95">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row>
    <row r="96">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row>
    <row r="97">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row>
    <row r="98">
      <c r="A98" s="4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row>
    <row r="99">
      <c r="A99" s="441"/>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row>
    <row r="100">
      <c r="A100" s="441"/>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row>
    <row r="101">
      <c r="A101" s="4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row>
    <row r="102">
      <c r="A102" s="441"/>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row>
    <row r="103">
      <c r="A103" s="441"/>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row>
    <row r="104">
      <c r="A104" s="441"/>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row>
    <row r="105">
      <c r="A105" s="441"/>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row>
    <row r="106">
      <c r="A106" s="441"/>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row>
    <row r="107">
      <c r="A107" s="441"/>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row>
    <row r="108">
      <c r="A108" s="441"/>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row>
    <row r="109">
      <c r="A109" s="441"/>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row>
    <row r="110">
      <c r="A110" s="441"/>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row>
    <row r="111">
      <c r="A111" s="441"/>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row>
    <row r="112">
      <c r="A112" s="441"/>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row>
    <row r="113">
      <c r="A113" s="441"/>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row>
    <row r="114">
      <c r="A114" s="441"/>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row>
    <row r="115">
      <c r="A115" s="441"/>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row>
    <row r="116">
      <c r="A116" s="441"/>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row>
    <row r="117">
      <c r="A117" s="441"/>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row>
    <row r="118">
      <c r="A118" s="441"/>
      <c r="B118" s="441"/>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row>
    <row r="119">
      <c r="A119" s="441"/>
      <c r="B119" s="441"/>
      <c r="C119" s="441"/>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row>
    <row r="120">
      <c r="A120" s="441"/>
      <c r="B120" s="441"/>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row>
    <row r="121">
      <c r="A121" s="441"/>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row>
    <row r="122">
      <c r="A122" s="441"/>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row>
    <row r="123">
      <c r="A123" s="441"/>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row>
    <row r="124">
      <c r="A124" s="441"/>
      <c r="B124" s="441"/>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row>
    <row r="125">
      <c r="A125" s="441"/>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row>
    <row r="126">
      <c r="A126" s="441"/>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row>
    <row r="127">
      <c r="A127" s="441"/>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row>
    <row r="128">
      <c r="A128" s="441"/>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row>
    <row r="129">
      <c r="A129" s="441"/>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row>
    <row r="130">
      <c r="A130" s="441"/>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row>
    <row r="131">
      <c r="A131" s="441"/>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row>
    <row r="132">
      <c r="A132" s="441"/>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row>
    <row r="133">
      <c r="A133" s="441"/>
      <c r="B133" s="441"/>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row>
    <row r="134">
      <c r="A134" s="441"/>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row>
    <row r="135">
      <c r="A135" s="441"/>
      <c r="B135" s="441"/>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row>
    <row r="136">
      <c r="A136" s="441"/>
      <c r="B136" s="441"/>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row>
    <row r="137">
      <c r="A137" s="441"/>
      <c r="B137" s="441"/>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row>
    <row r="138">
      <c r="A138" s="441"/>
      <c r="B138" s="441"/>
      <c r="C138" s="441"/>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row>
    <row r="139">
      <c r="A139" s="441"/>
      <c r="B139" s="441"/>
      <c r="C139" s="441"/>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row>
    <row r="140">
      <c r="A140" s="441"/>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row>
    <row r="141">
      <c r="A141" s="441"/>
      <c r="B141" s="441"/>
      <c r="C141" s="441"/>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row>
    <row r="142">
      <c r="A142" s="441"/>
      <c r="B142" s="441"/>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row>
    <row r="143">
      <c r="A143" s="441"/>
      <c r="B143" s="441"/>
      <c r="C143" s="441"/>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row>
    <row r="144">
      <c r="A144" s="441"/>
      <c r="B144" s="441"/>
      <c r="C144" s="441"/>
      <c r="D144" s="441"/>
      <c r="E144" s="441"/>
      <c r="F144" s="441"/>
      <c r="G144" s="441"/>
      <c r="H144" s="441"/>
      <c r="I144" s="441"/>
      <c r="J144" s="441"/>
      <c r="K144" s="441"/>
      <c r="L144" s="441"/>
      <c r="M144" s="441"/>
      <c r="N144" s="441"/>
      <c r="O144" s="441"/>
      <c r="P144" s="441"/>
      <c r="Q144" s="441"/>
      <c r="R144" s="441"/>
      <c r="S144" s="441"/>
      <c r="T144" s="441"/>
      <c r="U144" s="441"/>
      <c r="V144" s="441"/>
      <c r="W144" s="441"/>
      <c r="X144" s="441"/>
      <c r="Y144" s="441"/>
      <c r="Z144" s="441"/>
    </row>
    <row r="145">
      <c r="A145" s="441"/>
      <c r="B145" s="441"/>
      <c r="C145" s="441"/>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row>
    <row r="146">
      <c r="A146" s="441"/>
      <c r="B146" s="441"/>
      <c r="C146" s="441"/>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row>
    <row r="147">
      <c r="A147" s="441"/>
      <c r="B147" s="441"/>
      <c r="C147" s="441"/>
      <c r="D147" s="441"/>
      <c r="E147" s="441"/>
      <c r="F147" s="441"/>
      <c r="G147" s="441"/>
      <c r="H147" s="441"/>
      <c r="I147" s="441"/>
      <c r="J147" s="441"/>
      <c r="K147" s="441"/>
      <c r="L147" s="441"/>
      <c r="M147" s="441"/>
      <c r="N147" s="441"/>
      <c r="O147" s="441"/>
      <c r="P147" s="441"/>
      <c r="Q147" s="441"/>
      <c r="R147" s="441"/>
      <c r="S147" s="441"/>
      <c r="T147" s="441"/>
      <c r="U147" s="441"/>
      <c r="V147" s="441"/>
      <c r="W147" s="441"/>
      <c r="X147" s="441"/>
      <c r="Y147" s="441"/>
      <c r="Z147" s="441"/>
    </row>
    <row r="148">
      <c r="A148" s="441"/>
      <c r="B148" s="441"/>
      <c r="C148" s="441"/>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row>
    <row r="149">
      <c r="A149" s="441"/>
      <c r="B149" s="441"/>
      <c r="C149" s="441"/>
      <c r="D149" s="441"/>
      <c r="E149" s="441"/>
      <c r="F149" s="441"/>
      <c r="G149" s="441"/>
      <c r="H149" s="441"/>
      <c r="I149" s="441"/>
      <c r="J149" s="441"/>
      <c r="K149" s="441"/>
      <c r="L149" s="441"/>
      <c r="M149" s="441"/>
      <c r="N149" s="441"/>
      <c r="O149" s="441"/>
      <c r="P149" s="441"/>
      <c r="Q149" s="441"/>
      <c r="R149" s="441"/>
      <c r="S149" s="441"/>
      <c r="T149" s="441"/>
      <c r="U149" s="441"/>
      <c r="V149" s="441"/>
      <c r="W149" s="441"/>
      <c r="X149" s="441"/>
      <c r="Y149" s="441"/>
      <c r="Z149" s="441"/>
    </row>
    <row r="150">
      <c r="A150" s="441"/>
      <c r="B150" s="441"/>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row>
    <row r="151">
      <c r="A151" s="441"/>
      <c r="B151" s="441"/>
      <c r="C151" s="441"/>
      <c r="D151" s="441"/>
      <c r="E151" s="441"/>
      <c r="F151" s="441"/>
      <c r="G151" s="441"/>
      <c r="H151" s="441"/>
      <c r="I151" s="441"/>
      <c r="J151" s="441"/>
      <c r="K151" s="441"/>
      <c r="L151" s="441"/>
      <c r="M151" s="441"/>
      <c r="N151" s="441"/>
      <c r="O151" s="441"/>
      <c r="P151" s="441"/>
      <c r="Q151" s="441"/>
      <c r="R151" s="441"/>
      <c r="S151" s="441"/>
      <c r="T151" s="441"/>
      <c r="U151" s="441"/>
      <c r="V151" s="441"/>
      <c r="W151" s="441"/>
      <c r="X151" s="441"/>
      <c r="Y151" s="441"/>
      <c r="Z151" s="441"/>
    </row>
    <row r="152">
      <c r="A152" s="441"/>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row>
    <row r="153">
      <c r="A153" s="4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row>
    <row r="154">
      <c r="A154" s="4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row>
    <row r="155">
      <c r="A155" s="4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row>
    <row r="156">
      <c r="A156" s="4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row>
    <row r="157">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row>
    <row r="158">
      <c r="A158" s="4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row>
    <row r="159">
      <c r="A159" s="4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row>
    <row r="160">
      <c r="A160" s="4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row>
    <row r="161">
      <c r="A161" s="4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row>
    <row r="162">
      <c r="A162" s="4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row>
    <row r="163">
      <c r="A163" s="4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row>
    <row r="164">
      <c r="A164" s="4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row>
    <row r="165">
      <c r="A165" s="4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row>
    <row r="166">
      <c r="A166" s="4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row>
    <row r="167">
      <c r="A167" s="4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row>
    <row r="168">
      <c r="A168" s="4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row>
    <row r="169">
      <c r="A169" s="4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row>
    <row r="170">
      <c r="A170" s="4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row>
    <row r="171">
      <c r="A171" s="441"/>
      <c r="B171" s="441"/>
      <c r="C171" s="441"/>
      <c r="D171" s="441"/>
      <c r="E171" s="441"/>
      <c r="F171" s="441"/>
      <c r="G171" s="441"/>
      <c r="H171" s="441"/>
      <c r="I171" s="441"/>
      <c r="J171" s="441"/>
      <c r="K171" s="441"/>
      <c r="L171" s="441"/>
      <c r="M171" s="441"/>
      <c r="N171" s="441"/>
      <c r="O171" s="441"/>
      <c r="P171" s="441"/>
      <c r="Q171" s="441"/>
      <c r="R171" s="441"/>
      <c r="S171" s="441"/>
      <c r="T171" s="441"/>
      <c r="U171" s="441"/>
      <c r="V171" s="441"/>
      <c r="W171" s="441"/>
      <c r="X171" s="441"/>
      <c r="Y171" s="441"/>
      <c r="Z171" s="441"/>
    </row>
    <row r="172">
      <c r="A172" s="441"/>
      <c r="B172" s="441"/>
      <c r="C172" s="441"/>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1"/>
      <c r="Z172" s="441"/>
    </row>
    <row r="173">
      <c r="A173" s="441"/>
      <c r="B173" s="441"/>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row>
    <row r="174">
      <c r="A174" s="441"/>
      <c r="B174" s="441"/>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row>
    <row r="175">
      <c r="A175" s="441"/>
      <c r="B175" s="441"/>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row>
    <row r="176">
      <c r="A176" s="441"/>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row>
    <row r="177">
      <c r="A177" s="441"/>
      <c r="B177" s="441"/>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row>
    <row r="178">
      <c r="A178" s="441"/>
      <c r="B178" s="441"/>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row>
    <row r="179">
      <c r="A179" s="441"/>
      <c r="B179" s="441"/>
      <c r="C179" s="441"/>
      <c r="D179" s="441"/>
      <c r="E179" s="441"/>
      <c r="F179" s="441"/>
      <c r="G179" s="441"/>
      <c r="H179" s="441"/>
      <c r="I179" s="441"/>
      <c r="J179" s="441"/>
      <c r="K179" s="441"/>
      <c r="L179" s="441"/>
      <c r="M179" s="441"/>
      <c r="N179" s="441"/>
      <c r="O179" s="441"/>
      <c r="P179" s="441"/>
      <c r="Q179" s="441"/>
      <c r="R179" s="441"/>
      <c r="S179" s="441"/>
      <c r="T179" s="441"/>
      <c r="U179" s="441"/>
      <c r="V179" s="441"/>
      <c r="W179" s="441"/>
      <c r="X179" s="441"/>
      <c r="Y179" s="441"/>
      <c r="Z179" s="441"/>
    </row>
    <row r="180">
      <c r="A180" s="441"/>
      <c r="B180" s="441"/>
      <c r="C180" s="441"/>
      <c r="D180" s="441"/>
      <c r="E180" s="441"/>
      <c r="F180" s="441"/>
      <c r="G180" s="441"/>
      <c r="H180" s="441"/>
      <c r="I180" s="441"/>
      <c r="J180" s="441"/>
      <c r="K180" s="441"/>
      <c r="L180" s="441"/>
      <c r="M180" s="441"/>
      <c r="N180" s="441"/>
      <c r="O180" s="441"/>
      <c r="P180" s="441"/>
      <c r="Q180" s="441"/>
      <c r="R180" s="441"/>
      <c r="S180" s="441"/>
      <c r="T180" s="441"/>
      <c r="U180" s="441"/>
      <c r="V180" s="441"/>
      <c r="W180" s="441"/>
      <c r="X180" s="441"/>
      <c r="Y180" s="441"/>
      <c r="Z180" s="441"/>
    </row>
    <row r="181">
      <c r="A181" s="441"/>
      <c r="B181" s="441"/>
      <c r="C181" s="441"/>
      <c r="D181" s="441"/>
      <c r="E181" s="441"/>
      <c r="F181" s="441"/>
      <c r="G181" s="441"/>
      <c r="H181" s="441"/>
      <c r="I181" s="441"/>
      <c r="J181" s="441"/>
      <c r="K181" s="441"/>
      <c r="L181" s="441"/>
      <c r="M181" s="441"/>
      <c r="N181" s="441"/>
      <c r="O181" s="441"/>
      <c r="P181" s="441"/>
      <c r="Q181" s="441"/>
      <c r="R181" s="441"/>
      <c r="S181" s="441"/>
      <c r="T181" s="441"/>
      <c r="U181" s="441"/>
      <c r="V181" s="441"/>
      <c r="W181" s="441"/>
      <c r="X181" s="441"/>
      <c r="Y181" s="441"/>
      <c r="Z181" s="441"/>
    </row>
    <row r="182">
      <c r="A182" s="441"/>
      <c r="B182" s="441"/>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1"/>
    </row>
    <row r="183">
      <c r="A183" s="441"/>
      <c r="B183" s="441"/>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row>
    <row r="184">
      <c r="A184" s="441"/>
      <c r="B184" s="441"/>
      <c r="C184" s="441"/>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1"/>
    </row>
    <row r="185">
      <c r="A185" s="441"/>
      <c r="B185" s="441"/>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1"/>
    </row>
    <row r="186">
      <c r="A186" s="441"/>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row>
    <row r="187">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row>
    <row r="188">
      <c r="A188" s="441"/>
      <c r="B188" s="441"/>
      <c r="C188" s="441"/>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1"/>
    </row>
    <row r="189">
      <c r="A189" s="441"/>
      <c r="B189" s="441"/>
      <c r="C189" s="441"/>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1"/>
      <c r="Z189" s="441"/>
    </row>
    <row r="190">
      <c r="A190" s="441"/>
      <c r="B190" s="441"/>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row>
    <row r="191">
      <c r="A191" s="441"/>
      <c r="B191" s="441"/>
      <c r="C191" s="441"/>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row>
    <row r="192">
      <c r="A192" s="441"/>
      <c r="B192" s="441"/>
      <c r="C192" s="441"/>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row>
    <row r="193">
      <c r="A193" s="441"/>
      <c r="B193" s="441"/>
      <c r="C193" s="441"/>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row>
    <row r="194">
      <c r="A194" s="441"/>
      <c r="B194" s="441"/>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row>
    <row r="195">
      <c r="A195" s="441"/>
      <c r="B195" s="441"/>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row>
    <row r="196">
      <c r="A196" s="441"/>
      <c r="B196" s="441"/>
      <c r="C196" s="441"/>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row>
    <row r="197">
      <c r="A197" s="441"/>
      <c r="B197" s="441"/>
      <c r="C197" s="441"/>
      <c r="D197" s="441"/>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1"/>
    </row>
    <row r="198">
      <c r="A198" s="441"/>
      <c r="B198" s="441"/>
      <c r="C198" s="441"/>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1"/>
    </row>
    <row r="199">
      <c r="A199" s="441"/>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row>
    <row r="200">
      <c r="A200" s="441"/>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row>
    <row r="201">
      <c r="A201" s="441"/>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row>
    <row r="202">
      <c r="A202" s="441"/>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row>
    <row r="203">
      <c r="A203" s="441"/>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row>
    <row r="204">
      <c r="A204" s="441"/>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row>
    <row r="205">
      <c r="A205" s="441"/>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row>
    <row r="206">
      <c r="A206" s="441"/>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row>
    <row r="207">
      <c r="A207" s="441"/>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row>
    <row r="208">
      <c r="A208" s="441"/>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row>
    <row r="209">
      <c r="A209" s="441"/>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row>
    <row r="210">
      <c r="A210" s="4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row>
    <row r="211">
      <c r="A211" s="441"/>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row>
    <row r="212">
      <c r="A212" s="441"/>
      <c r="B212" s="441"/>
      <c r="C212" s="441"/>
      <c r="D212" s="441"/>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1"/>
    </row>
    <row r="213">
      <c r="A213" s="441"/>
      <c r="B213" s="441"/>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row>
    <row r="214">
      <c r="A214" s="441"/>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row>
    <row r="215">
      <c r="A215" s="441"/>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row>
    <row r="216">
      <c r="A216" s="441"/>
      <c r="B216" s="441"/>
      <c r="C216" s="441"/>
      <c r="D216" s="441"/>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1"/>
    </row>
    <row r="217">
      <c r="A217" s="441"/>
      <c r="B217" s="441"/>
      <c r="C217" s="441"/>
      <c r="D217" s="441"/>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1"/>
    </row>
    <row r="218">
      <c r="A218" s="441"/>
      <c r="B218" s="441"/>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row>
    <row r="219">
      <c r="A219" s="441"/>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row>
    <row r="220">
      <c r="A220" s="441"/>
      <c r="B220" s="441"/>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row>
    <row r="221">
      <c r="A221" s="441"/>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row>
    <row r="222">
      <c r="A222" s="441"/>
      <c r="B222" s="441"/>
      <c r="C222" s="441"/>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441"/>
    </row>
    <row r="223">
      <c r="A223" s="441"/>
      <c r="B223" s="441"/>
      <c r="C223" s="441"/>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row>
    <row r="224">
      <c r="A224" s="441"/>
      <c r="B224" s="441"/>
      <c r="C224" s="441"/>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row>
    <row r="225">
      <c r="A225" s="441"/>
      <c r="B225" s="441"/>
      <c r="C225" s="441"/>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row>
    <row r="226">
      <c r="A226" s="441"/>
      <c r="B226" s="441"/>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row>
    <row r="227">
      <c r="A227" s="441"/>
      <c r="B227" s="441"/>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row>
    <row r="228">
      <c r="A228" s="441"/>
      <c r="B228" s="441"/>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row>
    <row r="229">
      <c r="A229" s="441"/>
      <c r="B229" s="441"/>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row>
    <row r="230">
      <c r="A230" s="441"/>
      <c r="B230" s="441"/>
      <c r="C230" s="441"/>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row>
    <row r="231">
      <c r="A231" s="441"/>
      <c r="B231" s="441"/>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row>
    <row r="232">
      <c r="A232" s="441"/>
      <c r="B232" s="441"/>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row>
    <row r="233">
      <c r="A233" s="441"/>
      <c r="B233" s="441"/>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row>
    <row r="234">
      <c r="A234" s="441"/>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row>
    <row r="235">
      <c r="A235" s="441"/>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row>
    <row r="236">
      <c r="A236" s="441"/>
      <c r="B236" s="441"/>
      <c r="C236" s="441"/>
      <c r="D236" s="441"/>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1"/>
    </row>
    <row r="237">
      <c r="A237" s="441"/>
      <c r="B237" s="441"/>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row>
    <row r="238">
      <c r="A238" s="441"/>
      <c r="B238" s="4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row>
    <row r="239">
      <c r="A239" s="441"/>
      <c r="B239" s="441"/>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row>
    <row r="240">
      <c r="A240" s="441"/>
      <c r="B240" s="441"/>
      <c r="C240" s="441"/>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row>
    <row r="241">
      <c r="A241" s="441"/>
      <c r="B241" s="441"/>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1"/>
    </row>
    <row r="242">
      <c r="A242" s="441"/>
      <c r="B242" s="441"/>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1"/>
    </row>
    <row r="243">
      <c r="A243" s="441"/>
      <c r="B243" s="441"/>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41"/>
    </row>
    <row r="244">
      <c r="A244" s="441"/>
      <c r="B244" s="441"/>
      <c r="C244" s="441"/>
      <c r="D244" s="441"/>
      <c r="E244" s="441"/>
      <c r="F244" s="441"/>
      <c r="G244" s="441"/>
      <c r="H244" s="441"/>
      <c r="I244" s="441"/>
      <c r="J244" s="441"/>
      <c r="K244" s="441"/>
      <c r="L244" s="441"/>
      <c r="M244" s="441"/>
      <c r="N244" s="441"/>
      <c r="O244" s="441"/>
      <c r="P244" s="441"/>
      <c r="Q244" s="441"/>
      <c r="R244" s="441"/>
      <c r="S244" s="441"/>
      <c r="T244" s="441"/>
      <c r="U244" s="441"/>
      <c r="V244" s="441"/>
      <c r="W244" s="441"/>
      <c r="X244" s="441"/>
      <c r="Y244" s="441"/>
      <c r="Z244" s="441"/>
    </row>
    <row r="245">
      <c r="A245" s="441"/>
      <c r="B245" s="441"/>
      <c r="C245" s="441"/>
      <c r="D245" s="441"/>
      <c r="E245" s="441"/>
      <c r="F245" s="441"/>
      <c r="G245" s="441"/>
      <c r="H245" s="441"/>
      <c r="I245" s="441"/>
      <c r="J245" s="441"/>
      <c r="K245" s="441"/>
      <c r="L245" s="441"/>
      <c r="M245" s="441"/>
      <c r="N245" s="441"/>
      <c r="O245" s="441"/>
      <c r="P245" s="441"/>
      <c r="Q245" s="441"/>
      <c r="R245" s="441"/>
      <c r="S245" s="441"/>
      <c r="T245" s="441"/>
      <c r="U245" s="441"/>
      <c r="V245" s="441"/>
      <c r="W245" s="441"/>
      <c r="X245" s="441"/>
      <c r="Y245" s="441"/>
      <c r="Z245" s="441"/>
    </row>
    <row r="246">
      <c r="A246" s="441"/>
      <c r="B246" s="441"/>
      <c r="C246" s="441"/>
      <c r="D246" s="441"/>
      <c r="E246" s="441"/>
      <c r="F246" s="441"/>
      <c r="G246" s="441"/>
      <c r="H246" s="441"/>
      <c r="I246" s="441"/>
      <c r="J246" s="441"/>
      <c r="K246" s="441"/>
      <c r="L246" s="441"/>
      <c r="M246" s="441"/>
      <c r="N246" s="441"/>
      <c r="O246" s="441"/>
      <c r="P246" s="441"/>
      <c r="Q246" s="441"/>
      <c r="R246" s="441"/>
      <c r="S246" s="441"/>
      <c r="T246" s="441"/>
      <c r="U246" s="441"/>
      <c r="V246" s="441"/>
      <c r="W246" s="441"/>
      <c r="X246" s="441"/>
      <c r="Y246" s="441"/>
      <c r="Z246" s="441"/>
    </row>
    <row r="247">
      <c r="A247" s="441"/>
      <c r="B247" s="441"/>
      <c r="C247" s="441"/>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1"/>
    </row>
    <row r="248">
      <c r="A248" s="441"/>
      <c r="B248" s="441"/>
      <c r="C248" s="441"/>
      <c r="D248" s="441"/>
      <c r="E248" s="441"/>
      <c r="F248" s="441"/>
      <c r="G248" s="441"/>
      <c r="H248" s="441"/>
      <c r="I248" s="441"/>
      <c r="J248" s="441"/>
      <c r="K248" s="441"/>
      <c r="L248" s="441"/>
      <c r="M248" s="441"/>
      <c r="N248" s="441"/>
      <c r="O248" s="441"/>
      <c r="P248" s="441"/>
      <c r="Q248" s="441"/>
      <c r="R248" s="441"/>
      <c r="S248" s="441"/>
      <c r="T248" s="441"/>
      <c r="U248" s="441"/>
      <c r="V248" s="441"/>
      <c r="W248" s="441"/>
      <c r="X248" s="441"/>
      <c r="Y248" s="441"/>
      <c r="Z248" s="441"/>
    </row>
    <row r="249">
      <c r="A249" s="441"/>
      <c r="B249" s="441"/>
      <c r="C249" s="441"/>
      <c r="D249" s="441"/>
      <c r="E249" s="441"/>
      <c r="F249" s="441"/>
      <c r="G249" s="441"/>
      <c r="H249" s="441"/>
      <c r="I249" s="441"/>
      <c r="J249" s="441"/>
      <c r="K249" s="441"/>
      <c r="L249" s="441"/>
      <c r="M249" s="441"/>
      <c r="N249" s="441"/>
      <c r="O249" s="441"/>
      <c r="P249" s="441"/>
      <c r="Q249" s="441"/>
      <c r="R249" s="441"/>
      <c r="S249" s="441"/>
      <c r="T249" s="441"/>
      <c r="U249" s="441"/>
      <c r="V249" s="441"/>
      <c r="W249" s="441"/>
      <c r="X249" s="441"/>
      <c r="Y249" s="441"/>
      <c r="Z249" s="441"/>
    </row>
    <row r="250">
      <c r="A250" s="441"/>
      <c r="B250" s="441"/>
      <c r="C250" s="441"/>
      <c r="D250" s="441"/>
      <c r="E250" s="441"/>
      <c r="F250" s="441"/>
      <c r="G250" s="441"/>
      <c r="H250" s="441"/>
      <c r="I250" s="441"/>
      <c r="J250" s="441"/>
      <c r="K250" s="441"/>
      <c r="L250" s="441"/>
      <c r="M250" s="441"/>
      <c r="N250" s="441"/>
      <c r="O250" s="441"/>
      <c r="P250" s="441"/>
      <c r="Q250" s="441"/>
      <c r="R250" s="441"/>
      <c r="S250" s="441"/>
      <c r="T250" s="441"/>
      <c r="U250" s="441"/>
      <c r="V250" s="441"/>
      <c r="W250" s="441"/>
      <c r="X250" s="441"/>
      <c r="Y250" s="441"/>
      <c r="Z250" s="441"/>
    </row>
    <row r="251">
      <c r="A251" s="441"/>
      <c r="B251" s="441"/>
      <c r="C251" s="441"/>
      <c r="D251" s="441"/>
      <c r="E251" s="441"/>
      <c r="F251" s="441"/>
      <c r="G251" s="441"/>
      <c r="H251" s="441"/>
      <c r="I251" s="441"/>
      <c r="J251" s="441"/>
      <c r="K251" s="441"/>
      <c r="L251" s="441"/>
      <c r="M251" s="441"/>
      <c r="N251" s="441"/>
      <c r="O251" s="441"/>
      <c r="P251" s="441"/>
      <c r="Q251" s="441"/>
      <c r="R251" s="441"/>
      <c r="S251" s="441"/>
      <c r="T251" s="441"/>
      <c r="U251" s="441"/>
      <c r="V251" s="441"/>
      <c r="W251" s="441"/>
      <c r="X251" s="441"/>
      <c r="Y251" s="441"/>
      <c r="Z251" s="441"/>
    </row>
    <row r="252">
      <c r="A252" s="441"/>
      <c r="B252" s="441"/>
      <c r="C252" s="441"/>
      <c r="D252" s="441"/>
      <c r="E252" s="441"/>
      <c r="F252" s="441"/>
      <c r="G252" s="441"/>
      <c r="H252" s="441"/>
      <c r="I252" s="441"/>
      <c r="J252" s="441"/>
      <c r="K252" s="441"/>
      <c r="L252" s="441"/>
      <c r="M252" s="441"/>
      <c r="N252" s="441"/>
      <c r="O252" s="441"/>
      <c r="P252" s="441"/>
      <c r="Q252" s="441"/>
      <c r="R252" s="441"/>
      <c r="S252" s="441"/>
      <c r="T252" s="441"/>
      <c r="U252" s="441"/>
      <c r="V252" s="441"/>
      <c r="W252" s="441"/>
      <c r="X252" s="441"/>
      <c r="Y252" s="441"/>
      <c r="Z252" s="441"/>
    </row>
    <row r="253">
      <c r="A253" s="441"/>
      <c r="B253" s="441"/>
      <c r="C253" s="441"/>
      <c r="D253" s="441"/>
      <c r="E253" s="441"/>
      <c r="F253" s="441"/>
      <c r="G253" s="441"/>
      <c r="H253" s="441"/>
      <c r="I253" s="441"/>
      <c r="J253" s="441"/>
      <c r="K253" s="441"/>
      <c r="L253" s="441"/>
      <c r="M253" s="441"/>
      <c r="N253" s="441"/>
      <c r="O253" s="441"/>
      <c r="P253" s="441"/>
      <c r="Q253" s="441"/>
      <c r="R253" s="441"/>
      <c r="S253" s="441"/>
      <c r="T253" s="441"/>
      <c r="U253" s="441"/>
      <c r="V253" s="441"/>
      <c r="W253" s="441"/>
      <c r="X253" s="441"/>
      <c r="Y253" s="441"/>
      <c r="Z253" s="441"/>
    </row>
    <row r="254">
      <c r="A254" s="441"/>
      <c r="B254" s="441"/>
      <c r="C254" s="441"/>
      <c r="D254" s="441"/>
      <c r="E254" s="441"/>
      <c r="F254" s="441"/>
      <c r="G254" s="441"/>
      <c r="H254" s="441"/>
      <c r="I254" s="441"/>
      <c r="J254" s="441"/>
      <c r="K254" s="441"/>
      <c r="L254" s="441"/>
      <c r="M254" s="441"/>
      <c r="N254" s="441"/>
      <c r="O254" s="441"/>
      <c r="P254" s="441"/>
      <c r="Q254" s="441"/>
      <c r="R254" s="441"/>
      <c r="S254" s="441"/>
      <c r="T254" s="441"/>
      <c r="U254" s="441"/>
      <c r="V254" s="441"/>
      <c r="W254" s="441"/>
      <c r="X254" s="441"/>
      <c r="Y254" s="441"/>
      <c r="Z254" s="441"/>
    </row>
    <row r="255">
      <c r="A255" s="441"/>
      <c r="B255" s="441"/>
      <c r="C255" s="441"/>
      <c r="D255" s="441"/>
      <c r="E255" s="441"/>
      <c r="F255" s="441"/>
      <c r="G255" s="441"/>
      <c r="H255" s="441"/>
      <c r="I255" s="441"/>
      <c r="J255" s="441"/>
      <c r="K255" s="441"/>
      <c r="L255" s="441"/>
      <c r="M255" s="441"/>
      <c r="N255" s="441"/>
      <c r="O255" s="441"/>
      <c r="P255" s="441"/>
      <c r="Q255" s="441"/>
      <c r="R255" s="441"/>
      <c r="S255" s="441"/>
      <c r="T255" s="441"/>
      <c r="U255" s="441"/>
      <c r="V255" s="441"/>
      <c r="W255" s="441"/>
      <c r="X255" s="441"/>
      <c r="Y255" s="441"/>
      <c r="Z255" s="441"/>
    </row>
    <row r="256">
      <c r="A256" s="441"/>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row>
    <row r="257">
      <c r="A257" s="441"/>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1"/>
      <c r="Z257" s="441"/>
    </row>
    <row r="258">
      <c r="A258" s="441"/>
      <c r="B258" s="441"/>
      <c r="C258" s="441"/>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1"/>
    </row>
    <row r="259">
      <c r="A259" s="441"/>
      <c r="B259" s="441"/>
      <c r="C259" s="441"/>
      <c r="D259" s="441"/>
      <c r="E259" s="441"/>
      <c r="F259" s="441"/>
      <c r="G259" s="441"/>
      <c r="H259" s="441"/>
      <c r="I259" s="441"/>
      <c r="J259" s="441"/>
      <c r="K259" s="441"/>
      <c r="L259" s="441"/>
      <c r="M259" s="441"/>
      <c r="N259" s="441"/>
      <c r="O259" s="441"/>
      <c r="P259" s="441"/>
      <c r="Q259" s="441"/>
      <c r="R259" s="441"/>
      <c r="S259" s="441"/>
      <c r="T259" s="441"/>
      <c r="U259" s="441"/>
      <c r="V259" s="441"/>
      <c r="W259" s="441"/>
      <c r="X259" s="441"/>
      <c r="Y259" s="441"/>
      <c r="Z259" s="441"/>
    </row>
    <row r="260">
      <c r="A260" s="441"/>
      <c r="B260" s="441"/>
      <c r="C260" s="441"/>
      <c r="D260" s="441"/>
      <c r="E260" s="441"/>
      <c r="F260" s="441"/>
      <c r="G260" s="441"/>
      <c r="H260" s="441"/>
      <c r="I260" s="441"/>
      <c r="J260" s="441"/>
      <c r="K260" s="441"/>
      <c r="L260" s="441"/>
      <c r="M260" s="441"/>
      <c r="N260" s="441"/>
      <c r="O260" s="441"/>
      <c r="P260" s="441"/>
      <c r="Q260" s="441"/>
      <c r="R260" s="441"/>
      <c r="S260" s="441"/>
      <c r="T260" s="441"/>
      <c r="U260" s="441"/>
      <c r="V260" s="441"/>
      <c r="W260" s="441"/>
      <c r="X260" s="441"/>
      <c r="Y260" s="441"/>
      <c r="Z260" s="441"/>
    </row>
    <row r="261">
      <c r="A261" s="441"/>
      <c r="B261" s="441"/>
      <c r="C261" s="441"/>
      <c r="D261" s="441"/>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row>
    <row r="262">
      <c r="A262" s="441"/>
      <c r="B262" s="441"/>
      <c r="C262" s="441"/>
      <c r="D262" s="441"/>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1"/>
    </row>
    <row r="263">
      <c r="A263" s="441"/>
      <c r="B263" s="441"/>
      <c r="C263" s="441"/>
      <c r="D263" s="441"/>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1"/>
    </row>
    <row r="264">
      <c r="A264" s="441"/>
      <c r="B264" s="441"/>
      <c r="C264" s="441"/>
      <c r="D264" s="441"/>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1"/>
    </row>
    <row r="265">
      <c r="A265" s="441"/>
      <c r="B265" s="441"/>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row>
    <row r="266">
      <c r="A266" s="441"/>
      <c r="B266" s="441"/>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row>
    <row r="267">
      <c r="A267" s="441"/>
      <c r="B267" s="441"/>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row>
    <row r="268">
      <c r="A268" s="441"/>
      <c r="B268" s="441"/>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row>
    <row r="269">
      <c r="A269" s="441"/>
      <c r="B269" s="441"/>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1"/>
    </row>
    <row r="270">
      <c r="A270" s="441"/>
      <c r="B270" s="441"/>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1"/>
    </row>
    <row r="271">
      <c r="A271" s="441"/>
      <c r="B271" s="441"/>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1"/>
    </row>
    <row r="272">
      <c r="A272" s="441"/>
      <c r="B272" s="441"/>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1"/>
    </row>
    <row r="273">
      <c r="A273" s="441"/>
      <c r="B273" s="441"/>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row>
    <row r="274">
      <c r="A274" s="441"/>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row>
    <row r="275">
      <c r="A275" s="441"/>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row>
    <row r="276">
      <c r="A276" s="441"/>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row>
    <row r="277">
      <c r="A277" s="441"/>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row>
    <row r="278">
      <c r="A278" s="441"/>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row>
    <row r="279">
      <c r="A279" s="441"/>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row>
    <row r="280">
      <c r="A280" s="441"/>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row>
    <row r="281">
      <c r="A281" s="441"/>
      <c r="B281" s="441"/>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row>
    <row r="282">
      <c r="A282" s="441"/>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row>
    <row r="283">
      <c r="A283" s="441"/>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row>
    <row r="284">
      <c r="A284" s="441"/>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row>
    <row r="285">
      <c r="A285" s="441"/>
      <c r="B285" s="441"/>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1"/>
      <c r="Z285" s="441"/>
    </row>
    <row r="286">
      <c r="A286" s="441"/>
      <c r="B286" s="441"/>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row>
    <row r="287">
      <c r="A287" s="441"/>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row>
    <row r="288">
      <c r="A288" s="441"/>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row>
    <row r="289">
      <c r="A289" s="441"/>
      <c r="B289" s="441"/>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row>
    <row r="290">
      <c r="A290" s="441"/>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row>
    <row r="291">
      <c r="A291" s="441"/>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row>
    <row r="292">
      <c r="A292" s="441"/>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row>
    <row r="293">
      <c r="A293" s="441"/>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row>
    <row r="294">
      <c r="A294" s="441"/>
      <c r="B294" s="4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1"/>
    </row>
    <row r="295">
      <c r="A295" s="441"/>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1"/>
    </row>
    <row r="296">
      <c r="A296" s="441"/>
      <c r="B296" s="441"/>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1"/>
      <c r="Z296" s="441"/>
    </row>
    <row r="297">
      <c r="A297" s="441"/>
      <c r="B297" s="441"/>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1"/>
    </row>
    <row r="298">
      <c r="A298" s="441"/>
      <c r="B298" s="441"/>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1"/>
      <c r="Z298" s="441"/>
    </row>
    <row r="299">
      <c r="A299" s="441"/>
      <c r="B299" s="441"/>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1"/>
      <c r="Z299" s="441"/>
    </row>
    <row r="300">
      <c r="A300" s="441"/>
      <c r="B300" s="441"/>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1"/>
      <c r="Z300" s="441"/>
    </row>
    <row r="301">
      <c r="A301" s="441"/>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1"/>
    </row>
    <row r="302">
      <c r="A302" s="441"/>
      <c r="B302" s="441"/>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1"/>
      <c r="Z302" s="441"/>
    </row>
    <row r="303">
      <c r="A303" s="441"/>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1"/>
    </row>
    <row r="304">
      <c r="A304" s="441"/>
      <c r="B304" s="441"/>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1"/>
      <c r="Z304" s="441"/>
    </row>
    <row r="305">
      <c r="A305" s="441"/>
      <c r="B305" s="441"/>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row>
    <row r="306">
      <c r="A306" s="441"/>
      <c r="B306" s="441"/>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row>
    <row r="307">
      <c r="A307" s="441"/>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row>
    <row r="308">
      <c r="A308" s="441"/>
      <c r="B308" s="441"/>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row>
    <row r="309">
      <c r="A309" s="441"/>
      <c r="B309" s="441"/>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row>
    <row r="310">
      <c r="A310" s="441"/>
      <c r="B310" s="441"/>
      <c r="C310" s="441"/>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row>
    <row r="311">
      <c r="A311" s="441"/>
      <c r="B311" s="441"/>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row>
    <row r="312">
      <c r="A312" s="441"/>
      <c r="B312" s="441"/>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1"/>
      <c r="Z312" s="441"/>
    </row>
    <row r="313">
      <c r="A313" s="441"/>
      <c r="B313" s="441"/>
      <c r="C313" s="441"/>
      <c r="D313" s="441"/>
      <c r="E313" s="441"/>
      <c r="F313" s="441"/>
      <c r="G313" s="441"/>
      <c r="H313" s="441"/>
      <c r="I313" s="441"/>
      <c r="J313" s="441"/>
      <c r="K313" s="441"/>
      <c r="L313" s="441"/>
      <c r="M313" s="441"/>
      <c r="N313" s="441"/>
      <c r="O313" s="441"/>
      <c r="P313" s="441"/>
      <c r="Q313" s="441"/>
      <c r="R313" s="441"/>
      <c r="S313" s="441"/>
      <c r="T313" s="441"/>
      <c r="U313" s="441"/>
      <c r="V313" s="441"/>
      <c r="W313" s="441"/>
      <c r="X313" s="441"/>
      <c r="Y313" s="441"/>
      <c r="Z313" s="441"/>
    </row>
    <row r="314">
      <c r="A314" s="441"/>
      <c r="B314" s="441"/>
      <c r="C314" s="441"/>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1"/>
      <c r="Z314" s="441"/>
    </row>
    <row r="315">
      <c r="A315" s="441"/>
      <c r="B315" s="441"/>
      <c r="C315" s="441"/>
      <c r="D315" s="441"/>
      <c r="E315" s="441"/>
      <c r="F315" s="441"/>
      <c r="G315" s="441"/>
      <c r="H315" s="441"/>
      <c r="I315" s="441"/>
      <c r="J315" s="441"/>
      <c r="K315" s="441"/>
      <c r="L315" s="441"/>
      <c r="M315" s="441"/>
      <c r="N315" s="441"/>
      <c r="O315" s="441"/>
      <c r="P315" s="441"/>
      <c r="Q315" s="441"/>
      <c r="R315" s="441"/>
      <c r="S315" s="441"/>
      <c r="T315" s="441"/>
      <c r="U315" s="441"/>
      <c r="V315" s="441"/>
      <c r="W315" s="441"/>
      <c r="X315" s="441"/>
      <c r="Y315" s="441"/>
      <c r="Z315" s="441"/>
    </row>
    <row r="316">
      <c r="A316" s="441"/>
      <c r="B316" s="441"/>
      <c r="C316" s="441"/>
      <c r="D316" s="441"/>
      <c r="E316" s="441"/>
      <c r="F316" s="441"/>
      <c r="G316" s="441"/>
      <c r="H316" s="441"/>
      <c r="I316" s="441"/>
      <c r="J316" s="441"/>
      <c r="K316" s="441"/>
      <c r="L316" s="441"/>
      <c r="M316" s="441"/>
      <c r="N316" s="441"/>
      <c r="O316" s="441"/>
      <c r="P316" s="441"/>
      <c r="Q316" s="441"/>
      <c r="R316" s="441"/>
      <c r="S316" s="441"/>
      <c r="T316" s="441"/>
      <c r="U316" s="441"/>
      <c r="V316" s="441"/>
      <c r="W316" s="441"/>
      <c r="X316" s="441"/>
      <c r="Y316" s="441"/>
      <c r="Z316" s="441"/>
    </row>
    <row r="317">
      <c r="A317" s="441"/>
      <c r="B317" s="441"/>
      <c r="C317" s="441"/>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1"/>
    </row>
    <row r="318">
      <c r="A318" s="441"/>
      <c r="B318" s="441"/>
      <c r="C318" s="441"/>
      <c r="D318" s="441"/>
      <c r="E318" s="441"/>
      <c r="F318" s="441"/>
      <c r="G318" s="441"/>
      <c r="H318" s="441"/>
      <c r="I318" s="441"/>
      <c r="J318" s="441"/>
      <c r="K318" s="441"/>
      <c r="L318" s="441"/>
      <c r="M318" s="441"/>
      <c r="N318" s="441"/>
      <c r="O318" s="441"/>
      <c r="P318" s="441"/>
      <c r="Q318" s="441"/>
      <c r="R318" s="441"/>
      <c r="S318" s="441"/>
      <c r="T318" s="441"/>
      <c r="U318" s="441"/>
      <c r="V318" s="441"/>
      <c r="W318" s="441"/>
      <c r="X318" s="441"/>
      <c r="Y318" s="441"/>
      <c r="Z318" s="441"/>
    </row>
    <row r="319">
      <c r="A319" s="441"/>
      <c r="B319" s="441"/>
      <c r="C319" s="441"/>
      <c r="D319" s="441"/>
      <c r="E319" s="441"/>
      <c r="F319" s="441"/>
      <c r="G319" s="441"/>
      <c r="H319" s="441"/>
      <c r="I319" s="441"/>
      <c r="J319" s="441"/>
      <c r="K319" s="441"/>
      <c r="L319" s="441"/>
      <c r="M319" s="441"/>
      <c r="N319" s="441"/>
      <c r="O319" s="441"/>
      <c r="P319" s="441"/>
      <c r="Q319" s="441"/>
      <c r="R319" s="441"/>
      <c r="S319" s="441"/>
      <c r="T319" s="441"/>
      <c r="U319" s="441"/>
      <c r="V319" s="441"/>
      <c r="W319" s="441"/>
      <c r="X319" s="441"/>
      <c r="Y319" s="441"/>
      <c r="Z319" s="441"/>
    </row>
    <row r="320">
      <c r="A320" s="441"/>
      <c r="B320" s="441"/>
      <c r="C320" s="441"/>
      <c r="D320" s="441"/>
      <c r="E320" s="441"/>
      <c r="F320" s="441"/>
      <c r="G320" s="441"/>
      <c r="H320" s="441"/>
      <c r="I320" s="441"/>
      <c r="J320" s="441"/>
      <c r="K320" s="441"/>
      <c r="L320" s="441"/>
      <c r="M320" s="441"/>
      <c r="N320" s="441"/>
      <c r="O320" s="441"/>
      <c r="P320" s="441"/>
      <c r="Q320" s="441"/>
      <c r="R320" s="441"/>
      <c r="S320" s="441"/>
      <c r="T320" s="441"/>
      <c r="U320" s="441"/>
      <c r="V320" s="441"/>
      <c r="W320" s="441"/>
      <c r="X320" s="441"/>
      <c r="Y320" s="441"/>
      <c r="Z320" s="441"/>
    </row>
    <row r="321">
      <c r="A321" s="441"/>
      <c r="B321" s="441"/>
      <c r="C321" s="441"/>
      <c r="D321" s="441"/>
      <c r="E321" s="441"/>
      <c r="F321" s="441"/>
      <c r="G321" s="441"/>
      <c r="H321" s="441"/>
      <c r="I321" s="441"/>
      <c r="J321" s="441"/>
      <c r="K321" s="441"/>
      <c r="L321" s="441"/>
      <c r="M321" s="441"/>
      <c r="N321" s="441"/>
      <c r="O321" s="441"/>
      <c r="P321" s="441"/>
      <c r="Q321" s="441"/>
      <c r="R321" s="441"/>
      <c r="S321" s="441"/>
      <c r="T321" s="441"/>
      <c r="U321" s="441"/>
      <c r="V321" s="441"/>
      <c r="W321" s="441"/>
      <c r="X321" s="441"/>
      <c r="Y321" s="441"/>
      <c r="Z321" s="441"/>
    </row>
    <row r="322">
      <c r="A322" s="441"/>
      <c r="B322" s="441"/>
      <c r="C322" s="441"/>
      <c r="D322" s="441"/>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row>
    <row r="323">
      <c r="A323" s="441"/>
      <c r="B323" s="441"/>
      <c r="C323" s="441"/>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row>
    <row r="324">
      <c r="A324" s="441"/>
      <c r="B324" s="441"/>
      <c r="C324" s="441"/>
      <c r="D324" s="441"/>
      <c r="E324" s="441"/>
      <c r="F324" s="441"/>
      <c r="G324" s="441"/>
      <c r="H324" s="441"/>
      <c r="I324" s="441"/>
      <c r="J324" s="441"/>
      <c r="K324" s="441"/>
      <c r="L324" s="441"/>
      <c r="M324" s="441"/>
      <c r="N324" s="441"/>
      <c r="O324" s="441"/>
      <c r="P324" s="441"/>
      <c r="Q324" s="441"/>
      <c r="R324" s="441"/>
      <c r="S324" s="441"/>
      <c r="T324" s="441"/>
      <c r="U324" s="441"/>
      <c r="V324" s="441"/>
      <c r="W324" s="441"/>
      <c r="X324" s="441"/>
      <c r="Y324" s="441"/>
      <c r="Z324" s="441"/>
    </row>
    <row r="325">
      <c r="A325" s="441"/>
      <c r="B325" s="441"/>
      <c r="C325" s="441"/>
      <c r="D325" s="441"/>
      <c r="E325" s="441"/>
      <c r="F325" s="441"/>
      <c r="G325" s="441"/>
      <c r="H325" s="441"/>
      <c r="I325" s="441"/>
      <c r="J325" s="441"/>
      <c r="K325" s="441"/>
      <c r="L325" s="441"/>
      <c r="M325" s="441"/>
      <c r="N325" s="441"/>
      <c r="O325" s="441"/>
      <c r="P325" s="441"/>
      <c r="Q325" s="441"/>
      <c r="R325" s="441"/>
      <c r="S325" s="441"/>
      <c r="T325" s="441"/>
      <c r="U325" s="441"/>
      <c r="V325" s="441"/>
      <c r="W325" s="441"/>
      <c r="X325" s="441"/>
      <c r="Y325" s="441"/>
      <c r="Z325" s="441"/>
    </row>
    <row r="326">
      <c r="A326" s="441"/>
      <c r="B326" s="441"/>
      <c r="C326" s="441"/>
      <c r="D326" s="441"/>
      <c r="E326" s="441"/>
      <c r="F326" s="441"/>
      <c r="G326" s="441"/>
      <c r="H326" s="441"/>
      <c r="I326" s="441"/>
      <c r="J326" s="441"/>
      <c r="K326" s="441"/>
      <c r="L326" s="441"/>
      <c r="M326" s="441"/>
      <c r="N326" s="441"/>
      <c r="O326" s="441"/>
      <c r="P326" s="441"/>
      <c r="Q326" s="441"/>
      <c r="R326" s="441"/>
      <c r="S326" s="441"/>
      <c r="T326" s="441"/>
      <c r="U326" s="441"/>
      <c r="V326" s="441"/>
      <c r="W326" s="441"/>
      <c r="X326" s="441"/>
      <c r="Y326" s="441"/>
      <c r="Z326" s="441"/>
    </row>
    <row r="327">
      <c r="A327" s="441"/>
      <c r="B327" s="441"/>
      <c r="C327" s="441"/>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1"/>
    </row>
    <row r="328">
      <c r="A328" s="441"/>
      <c r="B328" s="441"/>
      <c r="C328" s="441"/>
      <c r="D328" s="441"/>
      <c r="E328" s="441"/>
      <c r="F328" s="441"/>
      <c r="G328" s="441"/>
      <c r="H328" s="441"/>
      <c r="I328" s="441"/>
      <c r="J328" s="441"/>
      <c r="K328" s="441"/>
      <c r="L328" s="441"/>
      <c r="M328" s="441"/>
      <c r="N328" s="441"/>
      <c r="O328" s="441"/>
      <c r="P328" s="441"/>
      <c r="Q328" s="441"/>
      <c r="R328" s="441"/>
      <c r="S328" s="441"/>
      <c r="T328" s="441"/>
      <c r="U328" s="441"/>
      <c r="V328" s="441"/>
      <c r="W328" s="441"/>
      <c r="X328" s="441"/>
      <c r="Y328" s="441"/>
      <c r="Z328" s="441"/>
    </row>
    <row r="329">
      <c r="A329" s="441"/>
      <c r="B329" s="441"/>
      <c r="C329" s="441"/>
      <c r="D329" s="441"/>
      <c r="E329" s="441"/>
      <c r="F329" s="441"/>
      <c r="G329" s="441"/>
      <c r="H329" s="441"/>
      <c r="I329" s="441"/>
      <c r="J329" s="441"/>
      <c r="K329" s="441"/>
      <c r="L329" s="441"/>
      <c r="M329" s="441"/>
      <c r="N329" s="441"/>
      <c r="O329" s="441"/>
      <c r="P329" s="441"/>
      <c r="Q329" s="441"/>
      <c r="R329" s="441"/>
      <c r="S329" s="441"/>
      <c r="T329" s="441"/>
      <c r="U329" s="441"/>
      <c r="V329" s="441"/>
      <c r="W329" s="441"/>
      <c r="X329" s="441"/>
      <c r="Y329" s="441"/>
      <c r="Z329" s="441"/>
    </row>
    <row r="330">
      <c r="A330" s="441"/>
      <c r="B330" s="441"/>
      <c r="C330" s="441"/>
      <c r="D330" s="441"/>
      <c r="E330" s="441"/>
      <c r="F330" s="441"/>
      <c r="G330" s="441"/>
      <c r="H330" s="441"/>
      <c r="I330" s="441"/>
      <c r="J330" s="441"/>
      <c r="K330" s="441"/>
      <c r="L330" s="441"/>
      <c r="M330" s="441"/>
      <c r="N330" s="441"/>
      <c r="O330" s="441"/>
      <c r="P330" s="441"/>
      <c r="Q330" s="441"/>
      <c r="R330" s="441"/>
      <c r="S330" s="441"/>
      <c r="T330" s="441"/>
      <c r="U330" s="441"/>
      <c r="V330" s="441"/>
      <c r="W330" s="441"/>
      <c r="X330" s="441"/>
      <c r="Y330" s="441"/>
      <c r="Z330" s="441"/>
    </row>
    <row r="331">
      <c r="A331" s="441"/>
      <c r="B331" s="441"/>
      <c r="C331" s="441"/>
      <c r="D331" s="441"/>
      <c r="E331" s="441"/>
      <c r="F331" s="441"/>
      <c r="G331" s="441"/>
      <c r="H331" s="441"/>
      <c r="I331" s="441"/>
      <c r="J331" s="441"/>
      <c r="K331" s="441"/>
      <c r="L331" s="441"/>
      <c r="M331" s="441"/>
      <c r="N331" s="441"/>
      <c r="O331" s="441"/>
      <c r="P331" s="441"/>
      <c r="Q331" s="441"/>
      <c r="R331" s="441"/>
      <c r="S331" s="441"/>
      <c r="T331" s="441"/>
      <c r="U331" s="441"/>
      <c r="V331" s="441"/>
      <c r="W331" s="441"/>
      <c r="X331" s="441"/>
      <c r="Y331" s="441"/>
      <c r="Z331" s="441"/>
    </row>
    <row r="332">
      <c r="A332" s="441"/>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row>
    <row r="333">
      <c r="A333" s="441"/>
      <c r="B333" s="441"/>
      <c r="C333" s="441"/>
      <c r="D333" s="441"/>
      <c r="E333" s="441"/>
      <c r="F333" s="441"/>
      <c r="G333" s="441"/>
      <c r="H333" s="441"/>
      <c r="I333" s="441"/>
      <c r="J333" s="441"/>
      <c r="K333" s="441"/>
      <c r="L333" s="441"/>
      <c r="M333" s="441"/>
      <c r="N333" s="441"/>
      <c r="O333" s="441"/>
      <c r="P333" s="441"/>
      <c r="Q333" s="441"/>
      <c r="R333" s="441"/>
      <c r="S333" s="441"/>
      <c r="T333" s="441"/>
      <c r="U333" s="441"/>
      <c r="V333" s="441"/>
      <c r="W333" s="441"/>
      <c r="X333" s="441"/>
      <c r="Y333" s="441"/>
      <c r="Z333" s="441"/>
    </row>
    <row r="334">
      <c r="A334" s="441"/>
      <c r="B334" s="441"/>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1"/>
    </row>
    <row r="335">
      <c r="A335" s="441"/>
      <c r="B335" s="441"/>
      <c r="C335" s="441"/>
      <c r="D335" s="441"/>
      <c r="E335" s="441"/>
      <c r="F335" s="441"/>
      <c r="G335" s="441"/>
      <c r="H335" s="441"/>
      <c r="I335" s="441"/>
      <c r="J335" s="441"/>
      <c r="K335" s="441"/>
      <c r="L335" s="441"/>
      <c r="M335" s="441"/>
      <c r="N335" s="441"/>
      <c r="O335" s="441"/>
      <c r="P335" s="441"/>
      <c r="Q335" s="441"/>
      <c r="R335" s="441"/>
      <c r="S335" s="441"/>
      <c r="T335" s="441"/>
      <c r="U335" s="441"/>
      <c r="V335" s="441"/>
      <c r="W335" s="441"/>
      <c r="X335" s="441"/>
      <c r="Y335" s="441"/>
      <c r="Z335" s="441"/>
    </row>
    <row r="336">
      <c r="A336" s="441"/>
      <c r="B336" s="441"/>
      <c r="C336" s="441"/>
      <c r="D336" s="441"/>
      <c r="E336" s="441"/>
      <c r="F336" s="441"/>
      <c r="G336" s="441"/>
      <c r="H336" s="441"/>
      <c r="I336" s="441"/>
      <c r="J336" s="441"/>
      <c r="K336" s="441"/>
      <c r="L336" s="441"/>
      <c r="M336" s="441"/>
      <c r="N336" s="441"/>
      <c r="O336" s="441"/>
      <c r="P336" s="441"/>
      <c r="Q336" s="441"/>
      <c r="R336" s="441"/>
      <c r="S336" s="441"/>
      <c r="T336" s="441"/>
      <c r="U336" s="441"/>
      <c r="V336" s="441"/>
      <c r="W336" s="441"/>
      <c r="X336" s="441"/>
      <c r="Y336" s="441"/>
      <c r="Z336" s="441"/>
    </row>
    <row r="337">
      <c r="A337" s="441"/>
      <c r="B337" s="441"/>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1"/>
    </row>
    <row r="338">
      <c r="A338" s="441"/>
      <c r="B338" s="441"/>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row>
    <row r="339">
      <c r="A339" s="441"/>
      <c r="B339" s="441"/>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row>
    <row r="340">
      <c r="A340" s="441"/>
      <c r="B340" s="441"/>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row>
    <row r="341">
      <c r="A341" s="441"/>
      <c r="B341" s="441"/>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row>
    <row r="342">
      <c r="A342" s="441"/>
      <c r="B342" s="441"/>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row>
    <row r="343">
      <c r="A343" s="441"/>
      <c r="B343" s="441"/>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row>
    <row r="344">
      <c r="A344" s="441"/>
      <c r="B344" s="441"/>
      <c r="C344" s="441"/>
      <c r="D344" s="441"/>
      <c r="E344" s="441"/>
      <c r="F344" s="441"/>
      <c r="G344" s="441"/>
      <c r="H344" s="441"/>
      <c r="I344" s="441"/>
      <c r="J344" s="441"/>
      <c r="K344" s="441"/>
      <c r="L344" s="441"/>
      <c r="M344" s="441"/>
      <c r="N344" s="441"/>
      <c r="O344" s="441"/>
      <c r="P344" s="441"/>
      <c r="Q344" s="441"/>
      <c r="R344" s="441"/>
      <c r="S344" s="441"/>
      <c r="T344" s="441"/>
      <c r="U344" s="441"/>
      <c r="V344" s="441"/>
      <c r="W344" s="441"/>
      <c r="X344" s="441"/>
      <c r="Y344" s="441"/>
      <c r="Z344" s="441"/>
    </row>
    <row r="345">
      <c r="A345" s="441"/>
      <c r="B345" s="441"/>
      <c r="C345" s="441"/>
      <c r="D345" s="441"/>
      <c r="E345" s="441"/>
      <c r="F345" s="441"/>
      <c r="G345" s="441"/>
      <c r="H345" s="441"/>
      <c r="I345" s="441"/>
      <c r="J345" s="441"/>
      <c r="K345" s="441"/>
      <c r="L345" s="441"/>
      <c r="M345" s="441"/>
      <c r="N345" s="441"/>
      <c r="O345" s="441"/>
      <c r="P345" s="441"/>
      <c r="Q345" s="441"/>
      <c r="R345" s="441"/>
      <c r="S345" s="441"/>
      <c r="T345" s="441"/>
      <c r="U345" s="441"/>
      <c r="V345" s="441"/>
      <c r="W345" s="441"/>
      <c r="X345" s="441"/>
      <c r="Y345" s="441"/>
      <c r="Z345" s="441"/>
    </row>
    <row r="346">
      <c r="A346" s="441"/>
      <c r="B346" s="441"/>
      <c r="C346" s="441"/>
      <c r="D346" s="441"/>
      <c r="E346" s="441"/>
      <c r="F346" s="441"/>
      <c r="G346" s="441"/>
      <c r="H346" s="441"/>
      <c r="I346" s="441"/>
      <c r="J346" s="441"/>
      <c r="K346" s="441"/>
      <c r="L346" s="441"/>
      <c r="M346" s="441"/>
      <c r="N346" s="441"/>
      <c r="O346" s="441"/>
      <c r="P346" s="441"/>
      <c r="Q346" s="441"/>
      <c r="R346" s="441"/>
      <c r="S346" s="441"/>
      <c r="T346" s="441"/>
      <c r="U346" s="441"/>
      <c r="V346" s="441"/>
      <c r="W346" s="441"/>
      <c r="X346" s="441"/>
      <c r="Y346" s="441"/>
      <c r="Z346" s="441"/>
    </row>
    <row r="347">
      <c r="A347" s="441"/>
      <c r="B347" s="441"/>
      <c r="C347" s="441"/>
      <c r="D347" s="441"/>
      <c r="E347" s="441"/>
      <c r="F347" s="441"/>
      <c r="G347" s="441"/>
      <c r="H347" s="441"/>
      <c r="I347" s="441"/>
      <c r="J347" s="441"/>
      <c r="K347" s="441"/>
      <c r="L347" s="441"/>
      <c r="M347" s="441"/>
      <c r="N347" s="441"/>
      <c r="O347" s="441"/>
      <c r="P347" s="441"/>
      <c r="Q347" s="441"/>
      <c r="R347" s="441"/>
      <c r="S347" s="441"/>
      <c r="T347" s="441"/>
      <c r="U347" s="441"/>
      <c r="V347" s="441"/>
      <c r="W347" s="441"/>
      <c r="X347" s="441"/>
      <c r="Y347" s="441"/>
      <c r="Z347" s="441"/>
    </row>
    <row r="348">
      <c r="A348" s="441"/>
      <c r="B348" s="441"/>
      <c r="C348" s="441"/>
      <c r="D348" s="441"/>
      <c r="E348" s="441"/>
      <c r="F348" s="441"/>
      <c r="G348" s="441"/>
      <c r="H348" s="441"/>
      <c r="I348" s="441"/>
      <c r="J348" s="441"/>
      <c r="K348" s="441"/>
      <c r="L348" s="441"/>
      <c r="M348" s="441"/>
      <c r="N348" s="441"/>
      <c r="O348" s="441"/>
      <c r="P348" s="441"/>
      <c r="Q348" s="441"/>
      <c r="R348" s="441"/>
      <c r="S348" s="441"/>
      <c r="T348" s="441"/>
      <c r="U348" s="441"/>
      <c r="V348" s="441"/>
      <c r="W348" s="441"/>
      <c r="X348" s="441"/>
      <c r="Y348" s="441"/>
      <c r="Z348" s="441"/>
    </row>
    <row r="349">
      <c r="A349" s="441"/>
      <c r="B349" s="441"/>
      <c r="C349" s="441"/>
      <c r="D349" s="441"/>
      <c r="E349" s="441"/>
      <c r="F349" s="441"/>
      <c r="G349" s="441"/>
      <c r="H349" s="441"/>
      <c r="I349" s="441"/>
      <c r="J349" s="441"/>
      <c r="K349" s="441"/>
      <c r="L349" s="441"/>
      <c r="M349" s="441"/>
      <c r="N349" s="441"/>
      <c r="O349" s="441"/>
      <c r="P349" s="441"/>
      <c r="Q349" s="441"/>
      <c r="R349" s="441"/>
      <c r="S349" s="441"/>
      <c r="T349" s="441"/>
      <c r="U349" s="441"/>
      <c r="V349" s="441"/>
      <c r="W349" s="441"/>
      <c r="X349" s="441"/>
      <c r="Y349" s="441"/>
      <c r="Z349" s="441"/>
    </row>
    <row r="350">
      <c r="A350" s="441"/>
      <c r="B350" s="441"/>
      <c r="C350" s="441"/>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1"/>
    </row>
    <row r="351">
      <c r="A351" s="441"/>
      <c r="B351" s="441"/>
      <c r="C351" s="441"/>
      <c r="D351" s="441"/>
      <c r="E351" s="441"/>
      <c r="F351" s="441"/>
      <c r="G351" s="441"/>
      <c r="H351" s="441"/>
      <c r="I351" s="441"/>
      <c r="J351" s="441"/>
      <c r="K351" s="441"/>
      <c r="L351" s="441"/>
      <c r="M351" s="441"/>
      <c r="N351" s="441"/>
      <c r="O351" s="441"/>
      <c r="P351" s="441"/>
      <c r="Q351" s="441"/>
      <c r="R351" s="441"/>
      <c r="S351" s="441"/>
      <c r="T351" s="441"/>
      <c r="U351" s="441"/>
      <c r="V351" s="441"/>
      <c r="W351" s="441"/>
      <c r="X351" s="441"/>
      <c r="Y351" s="441"/>
      <c r="Z351" s="441"/>
    </row>
    <row r="352">
      <c r="A352" s="441"/>
      <c r="B352" s="441"/>
      <c r="C352" s="441"/>
      <c r="D352" s="441"/>
      <c r="E352" s="441"/>
      <c r="F352" s="441"/>
      <c r="G352" s="441"/>
      <c r="H352" s="441"/>
      <c r="I352" s="441"/>
      <c r="J352" s="441"/>
      <c r="K352" s="441"/>
      <c r="L352" s="441"/>
      <c r="M352" s="441"/>
      <c r="N352" s="441"/>
      <c r="O352" s="441"/>
      <c r="P352" s="441"/>
      <c r="Q352" s="441"/>
      <c r="R352" s="441"/>
      <c r="S352" s="441"/>
      <c r="T352" s="441"/>
      <c r="U352" s="441"/>
      <c r="V352" s="441"/>
      <c r="W352" s="441"/>
      <c r="X352" s="441"/>
      <c r="Y352" s="441"/>
      <c r="Z352" s="441"/>
    </row>
    <row r="353">
      <c r="A353" s="441"/>
      <c r="B353" s="441"/>
      <c r="C353" s="441"/>
      <c r="D353" s="441"/>
      <c r="E353" s="441"/>
      <c r="F353" s="441"/>
      <c r="G353" s="441"/>
      <c r="H353" s="441"/>
      <c r="I353" s="441"/>
      <c r="J353" s="441"/>
      <c r="K353" s="441"/>
      <c r="L353" s="441"/>
      <c r="M353" s="441"/>
      <c r="N353" s="441"/>
      <c r="O353" s="441"/>
      <c r="P353" s="441"/>
      <c r="Q353" s="441"/>
      <c r="R353" s="441"/>
      <c r="S353" s="441"/>
      <c r="T353" s="441"/>
      <c r="U353" s="441"/>
      <c r="V353" s="441"/>
      <c r="W353" s="441"/>
      <c r="X353" s="441"/>
      <c r="Y353" s="441"/>
      <c r="Z353" s="441"/>
    </row>
    <row r="354">
      <c r="A354" s="441"/>
      <c r="B354" s="441"/>
      <c r="C354" s="441"/>
      <c r="D354" s="441"/>
      <c r="E354" s="441"/>
      <c r="F354" s="441"/>
      <c r="G354" s="441"/>
      <c r="H354" s="441"/>
      <c r="I354" s="441"/>
      <c r="J354" s="441"/>
      <c r="K354" s="441"/>
      <c r="L354" s="441"/>
      <c r="M354" s="441"/>
      <c r="N354" s="441"/>
      <c r="O354" s="441"/>
      <c r="P354" s="441"/>
      <c r="Q354" s="441"/>
      <c r="R354" s="441"/>
      <c r="S354" s="441"/>
      <c r="T354" s="441"/>
      <c r="U354" s="441"/>
      <c r="V354" s="441"/>
      <c r="W354" s="441"/>
      <c r="X354" s="441"/>
      <c r="Y354" s="441"/>
      <c r="Z354" s="441"/>
    </row>
    <row r="355">
      <c r="A355" s="441"/>
      <c r="B355" s="441"/>
      <c r="C355" s="441"/>
      <c r="D355" s="441"/>
      <c r="E355" s="441"/>
      <c r="F355" s="441"/>
      <c r="G355" s="441"/>
      <c r="H355" s="441"/>
      <c r="I355" s="441"/>
      <c r="J355" s="441"/>
      <c r="K355" s="441"/>
      <c r="L355" s="441"/>
      <c r="M355" s="441"/>
      <c r="N355" s="441"/>
      <c r="O355" s="441"/>
      <c r="P355" s="441"/>
      <c r="Q355" s="441"/>
      <c r="R355" s="441"/>
      <c r="S355" s="441"/>
      <c r="T355" s="441"/>
      <c r="U355" s="441"/>
      <c r="V355" s="441"/>
      <c r="W355" s="441"/>
      <c r="X355" s="441"/>
      <c r="Y355" s="441"/>
      <c r="Z355" s="441"/>
    </row>
    <row r="356">
      <c r="A356" s="441"/>
      <c r="B356" s="441"/>
      <c r="C356" s="441"/>
      <c r="D356" s="441"/>
      <c r="E356" s="441"/>
      <c r="F356" s="441"/>
      <c r="G356" s="441"/>
      <c r="H356" s="441"/>
      <c r="I356" s="441"/>
      <c r="J356" s="441"/>
      <c r="K356" s="441"/>
      <c r="L356" s="441"/>
      <c r="M356" s="441"/>
      <c r="N356" s="441"/>
      <c r="O356" s="441"/>
      <c r="P356" s="441"/>
      <c r="Q356" s="441"/>
      <c r="R356" s="441"/>
      <c r="S356" s="441"/>
      <c r="T356" s="441"/>
      <c r="U356" s="441"/>
      <c r="V356" s="441"/>
      <c r="W356" s="441"/>
      <c r="X356" s="441"/>
      <c r="Y356" s="441"/>
      <c r="Z356" s="441"/>
    </row>
    <row r="357">
      <c r="A357" s="441"/>
      <c r="B357" s="441"/>
      <c r="C357" s="441"/>
      <c r="D357" s="441"/>
      <c r="E357" s="441"/>
      <c r="F357" s="441"/>
      <c r="G357" s="441"/>
      <c r="H357" s="441"/>
      <c r="I357" s="441"/>
      <c r="J357" s="441"/>
      <c r="K357" s="441"/>
      <c r="L357" s="441"/>
      <c r="M357" s="441"/>
      <c r="N357" s="441"/>
      <c r="O357" s="441"/>
      <c r="P357" s="441"/>
      <c r="Q357" s="441"/>
      <c r="R357" s="441"/>
      <c r="S357" s="441"/>
      <c r="T357" s="441"/>
      <c r="U357" s="441"/>
      <c r="V357" s="441"/>
      <c r="W357" s="441"/>
      <c r="X357" s="441"/>
      <c r="Y357" s="441"/>
      <c r="Z357" s="441"/>
    </row>
    <row r="358">
      <c r="A358" s="441"/>
      <c r="B358" s="441"/>
      <c r="C358" s="441"/>
      <c r="D358" s="441"/>
      <c r="E358" s="441"/>
      <c r="F358" s="441"/>
      <c r="G358" s="441"/>
      <c r="H358" s="441"/>
      <c r="I358" s="441"/>
      <c r="J358" s="441"/>
      <c r="K358" s="441"/>
      <c r="L358" s="441"/>
      <c r="M358" s="441"/>
      <c r="N358" s="441"/>
      <c r="O358" s="441"/>
      <c r="P358" s="441"/>
      <c r="Q358" s="441"/>
      <c r="R358" s="441"/>
      <c r="S358" s="441"/>
      <c r="T358" s="441"/>
      <c r="U358" s="441"/>
      <c r="V358" s="441"/>
      <c r="W358" s="441"/>
      <c r="X358" s="441"/>
      <c r="Y358" s="441"/>
      <c r="Z358" s="441"/>
    </row>
    <row r="359">
      <c r="A359" s="441"/>
      <c r="B359" s="441"/>
      <c r="C359" s="441"/>
      <c r="D359" s="441"/>
      <c r="E359" s="441"/>
      <c r="F359" s="441"/>
      <c r="G359" s="441"/>
      <c r="H359" s="441"/>
      <c r="I359" s="441"/>
      <c r="J359" s="441"/>
      <c r="K359" s="441"/>
      <c r="L359" s="441"/>
      <c r="M359" s="441"/>
      <c r="N359" s="441"/>
      <c r="O359" s="441"/>
      <c r="P359" s="441"/>
      <c r="Q359" s="441"/>
      <c r="R359" s="441"/>
      <c r="S359" s="441"/>
      <c r="T359" s="441"/>
      <c r="U359" s="441"/>
      <c r="V359" s="441"/>
      <c r="W359" s="441"/>
      <c r="X359" s="441"/>
      <c r="Y359" s="441"/>
      <c r="Z359" s="441"/>
    </row>
    <row r="360">
      <c r="A360" s="441"/>
      <c r="B360" s="441"/>
      <c r="C360" s="441"/>
      <c r="D360" s="441"/>
      <c r="E360" s="441"/>
      <c r="F360" s="441"/>
      <c r="G360" s="441"/>
      <c r="H360" s="441"/>
      <c r="I360" s="441"/>
      <c r="J360" s="441"/>
      <c r="K360" s="441"/>
      <c r="L360" s="441"/>
      <c r="M360" s="441"/>
      <c r="N360" s="441"/>
      <c r="O360" s="441"/>
      <c r="P360" s="441"/>
      <c r="Q360" s="441"/>
      <c r="R360" s="441"/>
      <c r="S360" s="441"/>
      <c r="T360" s="441"/>
      <c r="U360" s="441"/>
      <c r="V360" s="441"/>
      <c r="W360" s="441"/>
      <c r="X360" s="441"/>
      <c r="Y360" s="441"/>
      <c r="Z360" s="441"/>
    </row>
    <row r="361">
      <c r="A361" s="441"/>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1"/>
    </row>
    <row r="362">
      <c r="A362" s="441"/>
      <c r="B362" s="441"/>
      <c r="C362" s="441"/>
      <c r="D362" s="441"/>
      <c r="E362" s="441"/>
      <c r="F362" s="441"/>
      <c r="G362" s="441"/>
      <c r="H362" s="441"/>
      <c r="I362" s="441"/>
      <c r="J362" s="441"/>
      <c r="K362" s="441"/>
      <c r="L362" s="441"/>
      <c r="M362" s="441"/>
      <c r="N362" s="441"/>
      <c r="O362" s="441"/>
      <c r="P362" s="441"/>
      <c r="Q362" s="441"/>
      <c r="R362" s="441"/>
      <c r="S362" s="441"/>
      <c r="T362" s="441"/>
      <c r="U362" s="441"/>
      <c r="V362" s="441"/>
      <c r="W362" s="441"/>
      <c r="X362" s="441"/>
      <c r="Y362" s="441"/>
      <c r="Z362" s="441"/>
    </row>
    <row r="363">
      <c r="A363" s="441"/>
      <c r="B363" s="441"/>
      <c r="C363" s="441"/>
      <c r="D363" s="441"/>
      <c r="E363" s="441"/>
      <c r="F363" s="441"/>
      <c r="G363" s="441"/>
      <c r="H363" s="441"/>
      <c r="I363" s="441"/>
      <c r="J363" s="441"/>
      <c r="K363" s="441"/>
      <c r="L363" s="441"/>
      <c r="M363" s="441"/>
      <c r="N363" s="441"/>
      <c r="O363" s="441"/>
      <c r="P363" s="441"/>
      <c r="Q363" s="441"/>
      <c r="R363" s="441"/>
      <c r="S363" s="441"/>
      <c r="T363" s="441"/>
      <c r="U363" s="441"/>
      <c r="V363" s="441"/>
      <c r="W363" s="441"/>
      <c r="X363" s="441"/>
      <c r="Y363" s="441"/>
      <c r="Z363" s="441"/>
    </row>
    <row r="364">
      <c r="A364" s="441"/>
      <c r="B364" s="441"/>
      <c r="C364" s="441"/>
      <c r="D364" s="441"/>
      <c r="E364" s="441"/>
      <c r="F364" s="441"/>
      <c r="G364" s="441"/>
      <c r="H364" s="441"/>
      <c r="I364" s="441"/>
      <c r="J364" s="441"/>
      <c r="K364" s="441"/>
      <c r="L364" s="441"/>
      <c r="M364" s="441"/>
      <c r="N364" s="441"/>
      <c r="O364" s="441"/>
      <c r="P364" s="441"/>
      <c r="Q364" s="441"/>
      <c r="R364" s="441"/>
      <c r="S364" s="441"/>
      <c r="T364" s="441"/>
      <c r="U364" s="441"/>
      <c r="V364" s="441"/>
      <c r="W364" s="441"/>
      <c r="X364" s="441"/>
      <c r="Y364" s="441"/>
      <c r="Z364" s="441"/>
    </row>
    <row r="365">
      <c r="A365" s="441"/>
      <c r="B365" s="441"/>
      <c r="C365" s="441"/>
      <c r="D365" s="441"/>
      <c r="E365" s="441"/>
      <c r="F365" s="441"/>
      <c r="G365" s="441"/>
      <c r="H365" s="441"/>
      <c r="I365" s="441"/>
      <c r="J365" s="441"/>
      <c r="K365" s="441"/>
      <c r="L365" s="441"/>
      <c r="M365" s="441"/>
      <c r="N365" s="441"/>
      <c r="O365" s="441"/>
      <c r="P365" s="441"/>
      <c r="Q365" s="441"/>
      <c r="R365" s="441"/>
      <c r="S365" s="441"/>
      <c r="T365" s="441"/>
      <c r="U365" s="441"/>
      <c r="V365" s="441"/>
      <c r="W365" s="441"/>
      <c r="X365" s="441"/>
      <c r="Y365" s="441"/>
      <c r="Z365" s="441"/>
    </row>
    <row r="366">
      <c r="A366" s="441"/>
      <c r="B366" s="441"/>
      <c r="C366" s="441"/>
      <c r="D366" s="441"/>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row>
    <row r="367">
      <c r="A367" s="441"/>
      <c r="B367" s="441"/>
      <c r="C367" s="441"/>
      <c r="D367" s="441"/>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row>
    <row r="368">
      <c r="A368" s="441"/>
      <c r="B368" s="441"/>
      <c r="C368" s="441"/>
      <c r="D368" s="441"/>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row>
    <row r="369">
      <c r="A369" s="441"/>
      <c r="B369" s="441"/>
      <c r="C369" s="441"/>
      <c r="D369" s="441"/>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row>
    <row r="370">
      <c r="A370" s="441"/>
      <c r="B370" s="441"/>
      <c r="C370" s="441"/>
      <c r="D370" s="441"/>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row>
    <row r="371">
      <c r="A371" s="441"/>
      <c r="B371" s="441"/>
      <c r="C371" s="441"/>
      <c r="D371" s="441"/>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row>
    <row r="372">
      <c r="A372" s="441"/>
      <c r="B372" s="441"/>
      <c r="C372" s="441"/>
      <c r="D372" s="441"/>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row>
    <row r="373">
      <c r="A373" s="441"/>
      <c r="B373" s="441"/>
      <c r="C373" s="441"/>
      <c r="D373" s="441"/>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row>
    <row r="374">
      <c r="A374" s="441"/>
      <c r="B374" s="441"/>
      <c r="C374" s="441"/>
      <c r="D374" s="441"/>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row>
    <row r="375">
      <c r="A375" s="441"/>
      <c r="B375" s="441"/>
      <c r="C375" s="441"/>
      <c r="D375" s="441"/>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row>
    <row r="376">
      <c r="A376" s="441"/>
      <c r="B376" s="441"/>
      <c r="C376" s="441"/>
      <c r="D376" s="441"/>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row>
    <row r="377">
      <c r="A377" s="441"/>
      <c r="B377" s="441"/>
      <c r="C377" s="441"/>
      <c r="D377" s="441"/>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row>
    <row r="378">
      <c r="A378" s="441"/>
      <c r="B378" s="441"/>
      <c r="C378" s="441"/>
      <c r="D378" s="441"/>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row>
    <row r="379">
      <c r="A379" s="441"/>
      <c r="B379" s="441"/>
      <c r="C379" s="441"/>
      <c r="D379" s="441"/>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row>
    <row r="380">
      <c r="A380" s="441"/>
      <c r="B380" s="441"/>
      <c r="C380" s="441"/>
      <c r="D380" s="441"/>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row>
    <row r="381">
      <c r="A381" s="441"/>
      <c r="B381" s="441"/>
      <c r="C381" s="441"/>
      <c r="D381" s="441"/>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row>
    <row r="382">
      <c r="A382" s="441"/>
      <c r="B382" s="441"/>
      <c r="C382" s="441"/>
      <c r="D382" s="441"/>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row>
    <row r="383">
      <c r="A383" s="441"/>
      <c r="B383" s="441"/>
      <c r="C383" s="441"/>
      <c r="D383" s="441"/>
      <c r="E383" s="441"/>
      <c r="F383" s="441"/>
      <c r="G383" s="441"/>
      <c r="H383" s="441"/>
      <c r="I383" s="441"/>
      <c r="J383" s="441"/>
      <c r="K383" s="441"/>
      <c r="L383" s="441"/>
      <c r="M383" s="441"/>
      <c r="N383" s="441"/>
      <c r="O383" s="441"/>
      <c r="P383" s="441"/>
      <c r="Q383" s="441"/>
      <c r="R383" s="441"/>
      <c r="S383" s="441"/>
      <c r="T383" s="441"/>
      <c r="U383" s="441"/>
      <c r="V383" s="441"/>
      <c r="W383" s="441"/>
      <c r="X383" s="441"/>
      <c r="Y383" s="441"/>
      <c r="Z383" s="441"/>
    </row>
    <row r="384">
      <c r="A384" s="441"/>
      <c r="B384" s="441"/>
      <c r="C384" s="441"/>
      <c r="D384" s="441"/>
      <c r="E384" s="441"/>
      <c r="F384" s="441"/>
      <c r="G384" s="441"/>
      <c r="H384" s="441"/>
      <c r="I384" s="441"/>
      <c r="J384" s="441"/>
      <c r="K384" s="441"/>
      <c r="L384" s="441"/>
      <c r="M384" s="441"/>
      <c r="N384" s="441"/>
      <c r="O384" s="441"/>
      <c r="P384" s="441"/>
      <c r="Q384" s="441"/>
      <c r="R384" s="441"/>
      <c r="S384" s="441"/>
      <c r="T384" s="441"/>
      <c r="U384" s="441"/>
      <c r="V384" s="441"/>
      <c r="W384" s="441"/>
      <c r="X384" s="441"/>
      <c r="Y384" s="441"/>
      <c r="Z384" s="441"/>
    </row>
    <row r="385">
      <c r="A385" s="441"/>
      <c r="B385" s="441"/>
      <c r="C385" s="441"/>
      <c r="D385" s="441"/>
      <c r="E385" s="441"/>
      <c r="F385" s="441"/>
      <c r="G385" s="441"/>
      <c r="H385" s="441"/>
      <c r="I385" s="441"/>
      <c r="J385" s="441"/>
      <c r="K385" s="441"/>
      <c r="L385" s="441"/>
      <c r="M385" s="441"/>
      <c r="N385" s="441"/>
      <c r="O385" s="441"/>
      <c r="P385" s="441"/>
      <c r="Q385" s="441"/>
      <c r="R385" s="441"/>
      <c r="S385" s="441"/>
      <c r="T385" s="441"/>
      <c r="U385" s="441"/>
      <c r="V385" s="441"/>
      <c r="W385" s="441"/>
      <c r="X385" s="441"/>
      <c r="Y385" s="441"/>
      <c r="Z385" s="441"/>
    </row>
    <row r="386">
      <c r="A386" s="441"/>
      <c r="B386" s="441"/>
      <c r="C386" s="441"/>
      <c r="D386" s="441"/>
      <c r="E386" s="441"/>
      <c r="F386" s="441"/>
      <c r="G386" s="441"/>
      <c r="H386" s="441"/>
      <c r="I386" s="441"/>
      <c r="J386" s="441"/>
      <c r="K386" s="441"/>
      <c r="L386" s="441"/>
      <c r="M386" s="441"/>
      <c r="N386" s="441"/>
      <c r="O386" s="441"/>
      <c r="P386" s="441"/>
      <c r="Q386" s="441"/>
      <c r="R386" s="441"/>
      <c r="S386" s="441"/>
      <c r="T386" s="441"/>
      <c r="U386" s="441"/>
      <c r="V386" s="441"/>
      <c r="W386" s="441"/>
      <c r="X386" s="441"/>
      <c r="Y386" s="441"/>
      <c r="Z386" s="441"/>
    </row>
    <row r="387">
      <c r="A387" s="441"/>
      <c r="B387" s="441"/>
      <c r="C387" s="441"/>
      <c r="D387" s="441"/>
      <c r="E387" s="441"/>
      <c r="F387" s="441"/>
      <c r="G387" s="441"/>
      <c r="H387" s="441"/>
      <c r="I387" s="441"/>
      <c r="J387" s="441"/>
      <c r="K387" s="441"/>
      <c r="L387" s="441"/>
      <c r="M387" s="441"/>
      <c r="N387" s="441"/>
      <c r="O387" s="441"/>
      <c r="P387" s="441"/>
      <c r="Q387" s="441"/>
      <c r="R387" s="441"/>
      <c r="S387" s="441"/>
      <c r="T387" s="441"/>
      <c r="U387" s="441"/>
      <c r="V387" s="441"/>
      <c r="W387" s="441"/>
      <c r="X387" s="441"/>
      <c r="Y387" s="441"/>
      <c r="Z387" s="441"/>
    </row>
    <row r="388">
      <c r="A388" s="441"/>
      <c r="B388" s="441"/>
      <c r="C388" s="441"/>
      <c r="D388" s="441"/>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row>
    <row r="389">
      <c r="A389" s="441"/>
      <c r="B389" s="441"/>
      <c r="C389" s="44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row>
    <row r="390">
      <c r="A390" s="441"/>
      <c r="B390" s="441"/>
      <c r="C390" s="441"/>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row>
    <row r="391">
      <c r="A391" s="441"/>
      <c r="B391" s="441"/>
      <c r="C391" s="441"/>
      <c r="D391" s="441"/>
      <c r="E391" s="441"/>
      <c r="F391" s="441"/>
      <c r="G391" s="441"/>
      <c r="H391" s="441"/>
      <c r="I391" s="441"/>
      <c r="J391" s="441"/>
      <c r="K391" s="441"/>
      <c r="L391" s="441"/>
      <c r="M391" s="441"/>
      <c r="N391" s="441"/>
      <c r="O391" s="441"/>
      <c r="P391" s="441"/>
      <c r="Q391" s="441"/>
      <c r="R391" s="441"/>
      <c r="S391" s="441"/>
      <c r="T391" s="441"/>
      <c r="U391" s="441"/>
      <c r="V391" s="441"/>
      <c r="W391" s="441"/>
      <c r="X391" s="441"/>
      <c r="Y391" s="441"/>
      <c r="Z391" s="441"/>
    </row>
    <row r="392">
      <c r="A392" s="441"/>
      <c r="B392" s="441"/>
      <c r="C392" s="441"/>
      <c r="D392" s="441"/>
      <c r="E392" s="441"/>
      <c r="F392" s="441"/>
      <c r="G392" s="441"/>
      <c r="H392" s="441"/>
      <c r="I392" s="441"/>
      <c r="J392" s="441"/>
      <c r="K392" s="441"/>
      <c r="L392" s="441"/>
      <c r="M392" s="441"/>
      <c r="N392" s="441"/>
      <c r="O392" s="441"/>
      <c r="P392" s="441"/>
      <c r="Q392" s="441"/>
      <c r="R392" s="441"/>
      <c r="S392" s="441"/>
      <c r="T392" s="441"/>
      <c r="U392" s="441"/>
      <c r="V392" s="441"/>
      <c r="W392" s="441"/>
      <c r="X392" s="441"/>
      <c r="Y392" s="441"/>
      <c r="Z392" s="441"/>
    </row>
    <row r="393">
      <c r="A393" s="441"/>
      <c r="B393" s="441"/>
      <c r="C393" s="441"/>
      <c r="D393" s="441"/>
      <c r="E393" s="441"/>
      <c r="F393" s="441"/>
      <c r="G393" s="441"/>
      <c r="H393" s="441"/>
      <c r="I393" s="441"/>
      <c r="J393" s="441"/>
      <c r="K393" s="441"/>
      <c r="L393" s="441"/>
      <c r="M393" s="441"/>
      <c r="N393" s="441"/>
      <c r="O393" s="441"/>
      <c r="P393" s="441"/>
      <c r="Q393" s="441"/>
      <c r="R393" s="441"/>
      <c r="S393" s="441"/>
      <c r="T393" s="441"/>
      <c r="U393" s="441"/>
      <c r="V393" s="441"/>
      <c r="W393" s="441"/>
      <c r="X393" s="441"/>
      <c r="Y393" s="441"/>
      <c r="Z393" s="441"/>
    </row>
    <row r="394">
      <c r="A394" s="441"/>
      <c r="B394" s="441"/>
      <c r="C394" s="441"/>
      <c r="D394" s="441"/>
      <c r="E394" s="441"/>
      <c r="F394" s="441"/>
      <c r="G394" s="441"/>
      <c r="H394" s="441"/>
      <c r="I394" s="441"/>
      <c r="J394" s="441"/>
      <c r="K394" s="441"/>
      <c r="L394" s="441"/>
      <c r="M394" s="441"/>
      <c r="N394" s="441"/>
      <c r="O394" s="441"/>
      <c r="P394" s="441"/>
      <c r="Q394" s="441"/>
      <c r="R394" s="441"/>
      <c r="S394" s="441"/>
      <c r="T394" s="441"/>
      <c r="U394" s="441"/>
      <c r="V394" s="441"/>
      <c r="W394" s="441"/>
      <c r="X394" s="441"/>
      <c r="Y394" s="441"/>
      <c r="Z394" s="441"/>
    </row>
    <row r="395">
      <c r="A395" s="441"/>
      <c r="B395" s="441"/>
      <c r="C395" s="441"/>
      <c r="D395" s="441"/>
      <c r="E395" s="441"/>
      <c r="F395" s="441"/>
      <c r="G395" s="441"/>
      <c r="H395" s="441"/>
      <c r="I395" s="441"/>
      <c r="J395" s="441"/>
      <c r="K395" s="441"/>
      <c r="L395" s="441"/>
      <c r="M395" s="441"/>
      <c r="N395" s="441"/>
      <c r="O395" s="441"/>
      <c r="P395" s="441"/>
      <c r="Q395" s="441"/>
      <c r="R395" s="441"/>
      <c r="S395" s="441"/>
      <c r="T395" s="441"/>
      <c r="U395" s="441"/>
      <c r="V395" s="441"/>
      <c r="W395" s="441"/>
      <c r="X395" s="441"/>
      <c r="Y395" s="441"/>
      <c r="Z395" s="441"/>
    </row>
    <row r="396">
      <c r="A396" s="441"/>
      <c r="B396" s="441"/>
      <c r="C396" s="441"/>
      <c r="D396" s="441"/>
      <c r="E396" s="441"/>
      <c r="F396" s="441"/>
      <c r="G396" s="441"/>
      <c r="H396" s="441"/>
      <c r="I396" s="441"/>
      <c r="J396" s="441"/>
      <c r="K396" s="441"/>
      <c r="L396" s="441"/>
      <c r="M396" s="441"/>
      <c r="N396" s="441"/>
      <c r="O396" s="441"/>
      <c r="P396" s="441"/>
      <c r="Q396" s="441"/>
      <c r="R396" s="441"/>
      <c r="S396" s="441"/>
      <c r="T396" s="441"/>
      <c r="U396" s="441"/>
      <c r="V396" s="441"/>
      <c r="W396" s="441"/>
      <c r="X396" s="441"/>
      <c r="Y396" s="441"/>
      <c r="Z396" s="441"/>
    </row>
    <row r="397">
      <c r="A397" s="441"/>
      <c r="B397" s="441"/>
      <c r="C397" s="441"/>
      <c r="D397" s="441"/>
      <c r="E397" s="441"/>
      <c r="F397" s="441"/>
      <c r="G397" s="441"/>
      <c r="H397" s="441"/>
      <c r="I397" s="441"/>
      <c r="J397" s="441"/>
      <c r="K397" s="441"/>
      <c r="L397" s="441"/>
      <c r="M397" s="441"/>
      <c r="N397" s="441"/>
      <c r="O397" s="441"/>
      <c r="P397" s="441"/>
      <c r="Q397" s="441"/>
      <c r="R397" s="441"/>
      <c r="S397" s="441"/>
      <c r="T397" s="441"/>
      <c r="U397" s="441"/>
      <c r="V397" s="441"/>
      <c r="W397" s="441"/>
      <c r="X397" s="441"/>
      <c r="Y397" s="441"/>
      <c r="Z397" s="441"/>
    </row>
    <row r="398">
      <c r="A398" s="441"/>
      <c r="B398" s="441"/>
      <c r="C398" s="441"/>
      <c r="D398" s="441"/>
      <c r="E398" s="441"/>
      <c r="F398" s="441"/>
      <c r="G398" s="441"/>
      <c r="H398" s="441"/>
      <c r="I398" s="441"/>
      <c r="J398" s="441"/>
      <c r="K398" s="441"/>
      <c r="L398" s="441"/>
      <c r="M398" s="441"/>
      <c r="N398" s="441"/>
      <c r="O398" s="441"/>
      <c r="P398" s="441"/>
      <c r="Q398" s="441"/>
      <c r="R398" s="441"/>
      <c r="S398" s="441"/>
      <c r="T398" s="441"/>
      <c r="U398" s="441"/>
      <c r="V398" s="441"/>
      <c r="W398" s="441"/>
      <c r="X398" s="441"/>
      <c r="Y398" s="441"/>
      <c r="Z398" s="441"/>
    </row>
    <row r="399">
      <c r="A399" s="441"/>
      <c r="B399" s="441"/>
      <c r="C399" s="441"/>
      <c r="D399" s="441"/>
      <c r="E399" s="441"/>
      <c r="F399" s="441"/>
      <c r="G399" s="441"/>
      <c r="H399" s="441"/>
      <c r="I399" s="441"/>
      <c r="J399" s="441"/>
      <c r="K399" s="441"/>
      <c r="L399" s="441"/>
      <c r="M399" s="441"/>
      <c r="N399" s="441"/>
      <c r="O399" s="441"/>
      <c r="P399" s="441"/>
      <c r="Q399" s="441"/>
      <c r="R399" s="441"/>
      <c r="S399" s="441"/>
      <c r="T399" s="441"/>
      <c r="U399" s="441"/>
      <c r="V399" s="441"/>
      <c r="W399" s="441"/>
      <c r="X399" s="441"/>
      <c r="Y399" s="441"/>
      <c r="Z399" s="441"/>
    </row>
    <row r="400">
      <c r="A400" s="441"/>
      <c r="B400" s="441"/>
      <c r="C400" s="441"/>
      <c r="D400" s="441"/>
      <c r="E400" s="441"/>
      <c r="F400" s="441"/>
      <c r="G400" s="441"/>
      <c r="H400" s="441"/>
      <c r="I400" s="441"/>
      <c r="J400" s="441"/>
      <c r="K400" s="441"/>
      <c r="L400" s="441"/>
      <c r="M400" s="441"/>
      <c r="N400" s="441"/>
      <c r="O400" s="441"/>
      <c r="P400" s="441"/>
      <c r="Q400" s="441"/>
      <c r="R400" s="441"/>
      <c r="S400" s="441"/>
      <c r="T400" s="441"/>
      <c r="U400" s="441"/>
      <c r="V400" s="441"/>
      <c r="W400" s="441"/>
      <c r="X400" s="441"/>
      <c r="Y400" s="441"/>
      <c r="Z400" s="441"/>
    </row>
    <row r="401">
      <c r="A401" s="441"/>
      <c r="B401" s="441"/>
      <c r="C401" s="441"/>
      <c r="D401" s="441"/>
      <c r="E401" s="441"/>
      <c r="F401" s="441"/>
      <c r="G401" s="441"/>
      <c r="H401" s="441"/>
      <c r="I401" s="441"/>
      <c r="J401" s="441"/>
      <c r="K401" s="441"/>
      <c r="L401" s="441"/>
      <c r="M401" s="441"/>
      <c r="N401" s="441"/>
      <c r="O401" s="441"/>
      <c r="P401" s="441"/>
      <c r="Q401" s="441"/>
      <c r="R401" s="441"/>
      <c r="S401" s="441"/>
      <c r="T401" s="441"/>
      <c r="U401" s="441"/>
      <c r="V401" s="441"/>
      <c r="W401" s="441"/>
      <c r="X401" s="441"/>
      <c r="Y401" s="441"/>
      <c r="Z401" s="441"/>
    </row>
    <row r="402">
      <c r="A402" s="441"/>
      <c r="B402" s="441"/>
      <c r="C402" s="441"/>
      <c r="D402" s="441"/>
      <c r="E402" s="441"/>
      <c r="F402" s="441"/>
      <c r="G402" s="441"/>
      <c r="H402" s="441"/>
      <c r="I402" s="441"/>
      <c r="J402" s="441"/>
      <c r="K402" s="441"/>
      <c r="L402" s="441"/>
      <c r="M402" s="441"/>
      <c r="N402" s="441"/>
      <c r="O402" s="441"/>
      <c r="P402" s="441"/>
      <c r="Q402" s="441"/>
      <c r="R402" s="441"/>
      <c r="S402" s="441"/>
      <c r="T402" s="441"/>
      <c r="U402" s="441"/>
      <c r="V402" s="441"/>
      <c r="W402" s="441"/>
      <c r="X402" s="441"/>
      <c r="Y402" s="441"/>
      <c r="Z402" s="441"/>
    </row>
    <row r="403">
      <c r="A403" s="441"/>
      <c r="B403" s="441"/>
      <c r="C403" s="441"/>
      <c r="D403" s="441"/>
      <c r="E403" s="441"/>
      <c r="F403" s="441"/>
      <c r="G403" s="441"/>
      <c r="H403" s="441"/>
      <c r="I403" s="441"/>
      <c r="J403" s="441"/>
      <c r="K403" s="441"/>
      <c r="L403" s="441"/>
      <c r="M403" s="441"/>
      <c r="N403" s="441"/>
      <c r="O403" s="441"/>
      <c r="P403" s="441"/>
      <c r="Q403" s="441"/>
      <c r="R403" s="441"/>
      <c r="S403" s="441"/>
      <c r="T403" s="441"/>
      <c r="U403" s="441"/>
      <c r="V403" s="441"/>
      <c r="W403" s="441"/>
      <c r="X403" s="441"/>
      <c r="Y403" s="441"/>
      <c r="Z403" s="441"/>
    </row>
    <row r="404">
      <c r="A404" s="441"/>
      <c r="B404" s="441"/>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row>
    <row r="405">
      <c r="A405" s="441"/>
      <c r="B405" s="441"/>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row>
    <row r="406">
      <c r="A406" s="441"/>
      <c r="B406" s="441"/>
      <c r="C406" s="441"/>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row>
    <row r="407">
      <c r="A407" s="441"/>
      <c r="B407" s="441"/>
      <c r="C407" s="441"/>
      <c r="D407" s="441"/>
      <c r="E407" s="441"/>
      <c r="F407" s="441"/>
      <c r="G407" s="441"/>
      <c r="H407" s="441"/>
      <c r="I407" s="441"/>
      <c r="J407" s="441"/>
      <c r="K407" s="441"/>
      <c r="L407" s="441"/>
      <c r="M407" s="441"/>
      <c r="N407" s="441"/>
      <c r="O407" s="441"/>
      <c r="P407" s="441"/>
      <c r="Q407" s="441"/>
      <c r="R407" s="441"/>
      <c r="S407" s="441"/>
      <c r="T407" s="441"/>
      <c r="U407" s="441"/>
      <c r="V407" s="441"/>
      <c r="W407" s="441"/>
      <c r="X407" s="441"/>
      <c r="Y407" s="441"/>
      <c r="Z407" s="441"/>
    </row>
    <row r="408">
      <c r="A408" s="441"/>
      <c r="B408" s="441"/>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row>
    <row r="409">
      <c r="A409" s="441"/>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row>
    <row r="410">
      <c r="A410" s="441"/>
      <c r="B410" s="441"/>
      <c r="C410" s="441"/>
      <c r="D410" s="441"/>
      <c r="E410" s="441"/>
      <c r="F410" s="441"/>
      <c r="G410" s="441"/>
      <c r="H410" s="441"/>
      <c r="I410" s="441"/>
      <c r="J410" s="441"/>
      <c r="K410" s="441"/>
      <c r="L410" s="441"/>
      <c r="M410" s="441"/>
      <c r="N410" s="441"/>
      <c r="O410" s="441"/>
      <c r="P410" s="441"/>
      <c r="Q410" s="441"/>
      <c r="R410" s="441"/>
      <c r="S410" s="441"/>
      <c r="T410" s="441"/>
      <c r="U410" s="441"/>
      <c r="V410" s="441"/>
      <c r="W410" s="441"/>
      <c r="X410" s="441"/>
      <c r="Y410" s="441"/>
      <c r="Z410" s="441"/>
    </row>
    <row r="411">
      <c r="A411" s="441"/>
      <c r="B411" s="441"/>
      <c r="C411" s="441"/>
      <c r="D411" s="441"/>
      <c r="E411" s="441"/>
      <c r="F411" s="441"/>
      <c r="G411" s="441"/>
      <c r="H411" s="441"/>
      <c r="I411" s="441"/>
      <c r="J411" s="441"/>
      <c r="K411" s="441"/>
      <c r="L411" s="441"/>
      <c r="M411" s="441"/>
      <c r="N411" s="441"/>
      <c r="O411" s="441"/>
      <c r="P411" s="441"/>
      <c r="Q411" s="441"/>
      <c r="R411" s="441"/>
      <c r="S411" s="441"/>
      <c r="T411" s="441"/>
      <c r="U411" s="441"/>
      <c r="V411" s="441"/>
      <c r="W411" s="441"/>
      <c r="X411" s="441"/>
      <c r="Y411" s="441"/>
      <c r="Z411" s="441"/>
    </row>
    <row r="412">
      <c r="A412" s="441"/>
      <c r="B412" s="441"/>
      <c r="C412" s="441"/>
      <c r="D412" s="441"/>
      <c r="E412" s="441"/>
      <c r="F412" s="441"/>
      <c r="G412" s="441"/>
      <c r="H412" s="441"/>
      <c r="I412" s="441"/>
      <c r="J412" s="441"/>
      <c r="K412" s="441"/>
      <c r="L412" s="441"/>
      <c r="M412" s="441"/>
      <c r="N412" s="441"/>
      <c r="O412" s="441"/>
      <c r="P412" s="441"/>
      <c r="Q412" s="441"/>
      <c r="R412" s="441"/>
      <c r="S412" s="441"/>
      <c r="T412" s="441"/>
      <c r="U412" s="441"/>
      <c r="V412" s="441"/>
      <c r="W412" s="441"/>
      <c r="X412" s="441"/>
      <c r="Y412" s="441"/>
      <c r="Z412" s="441"/>
    </row>
    <row r="413">
      <c r="A413" s="441"/>
      <c r="B413" s="441"/>
      <c r="C413" s="441"/>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row>
    <row r="414">
      <c r="A414" s="441"/>
      <c r="B414" s="441"/>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row>
    <row r="415">
      <c r="A415" s="441"/>
      <c r="B415" s="441"/>
      <c r="C415" s="441"/>
      <c r="D415" s="441"/>
      <c r="E415" s="441"/>
      <c r="F415" s="441"/>
      <c r="G415" s="441"/>
      <c r="H415" s="441"/>
      <c r="I415" s="441"/>
      <c r="J415" s="441"/>
      <c r="K415" s="441"/>
      <c r="L415" s="441"/>
      <c r="M415" s="441"/>
      <c r="N415" s="441"/>
      <c r="O415" s="441"/>
      <c r="P415" s="441"/>
      <c r="Q415" s="441"/>
      <c r="R415" s="441"/>
      <c r="S415" s="441"/>
      <c r="T415" s="441"/>
      <c r="U415" s="441"/>
      <c r="V415" s="441"/>
      <c r="W415" s="441"/>
      <c r="X415" s="441"/>
      <c r="Y415" s="441"/>
      <c r="Z415" s="441"/>
    </row>
    <row r="416">
      <c r="A416" s="441"/>
      <c r="B416" s="441"/>
      <c r="C416" s="441"/>
      <c r="D416" s="441"/>
      <c r="E416" s="441"/>
      <c r="F416" s="441"/>
      <c r="G416" s="441"/>
      <c r="H416" s="441"/>
      <c r="I416" s="441"/>
      <c r="J416" s="441"/>
      <c r="K416" s="441"/>
      <c r="L416" s="441"/>
      <c r="M416" s="441"/>
      <c r="N416" s="441"/>
      <c r="O416" s="441"/>
      <c r="P416" s="441"/>
      <c r="Q416" s="441"/>
      <c r="R416" s="441"/>
      <c r="S416" s="441"/>
      <c r="T416" s="441"/>
      <c r="U416" s="441"/>
      <c r="V416" s="441"/>
      <c r="W416" s="441"/>
      <c r="X416" s="441"/>
      <c r="Y416" s="441"/>
      <c r="Z416" s="441"/>
    </row>
    <row r="417">
      <c r="A417" s="441"/>
      <c r="B417" s="441"/>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c r="Z417" s="441"/>
    </row>
    <row r="418">
      <c r="A418" s="441"/>
      <c r="B418" s="441"/>
      <c r="C418" s="441"/>
      <c r="D418" s="441"/>
      <c r="E418" s="441"/>
      <c r="F418" s="441"/>
      <c r="G418" s="441"/>
      <c r="H418" s="441"/>
      <c r="I418" s="441"/>
      <c r="J418" s="441"/>
      <c r="K418" s="441"/>
      <c r="L418" s="441"/>
      <c r="M418" s="441"/>
      <c r="N418" s="441"/>
      <c r="O418" s="441"/>
      <c r="P418" s="441"/>
      <c r="Q418" s="441"/>
      <c r="R418" s="441"/>
      <c r="S418" s="441"/>
      <c r="T418" s="441"/>
      <c r="U418" s="441"/>
      <c r="V418" s="441"/>
      <c r="W418" s="441"/>
      <c r="X418" s="441"/>
      <c r="Y418" s="441"/>
      <c r="Z418" s="441"/>
    </row>
    <row r="419">
      <c r="A419" s="441"/>
      <c r="B419" s="441"/>
      <c r="C419" s="441"/>
      <c r="D419" s="441"/>
      <c r="E419" s="441"/>
      <c r="F419" s="441"/>
      <c r="G419" s="441"/>
      <c r="H419" s="441"/>
      <c r="I419" s="441"/>
      <c r="J419" s="441"/>
      <c r="K419" s="441"/>
      <c r="L419" s="441"/>
      <c r="M419" s="441"/>
      <c r="N419" s="441"/>
      <c r="O419" s="441"/>
      <c r="P419" s="441"/>
      <c r="Q419" s="441"/>
      <c r="R419" s="441"/>
      <c r="S419" s="441"/>
      <c r="T419" s="441"/>
      <c r="U419" s="441"/>
      <c r="V419" s="441"/>
      <c r="W419" s="441"/>
      <c r="X419" s="441"/>
      <c r="Y419" s="441"/>
      <c r="Z419" s="441"/>
    </row>
    <row r="420">
      <c r="A420" s="441"/>
      <c r="B420" s="441"/>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row>
    <row r="421">
      <c r="A421" s="441"/>
      <c r="B421" s="441"/>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row>
    <row r="422">
      <c r="A422" s="441"/>
      <c r="B422" s="441"/>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row>
    <row r="423">
      <c r="A423" s="441"/>
      <c r="B423" s="441"/>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1"/>
      <c r="Z423" s="441"/>
    </row>
    <row r="424">
      <c r="A424" s="441"/>
      <c r="B424" s="441"/>
      <c r="C424" s="441"/>
      <c r="D424" s="441"/>
      <c r="E424" s="441"/>
      <c r="F424" s="441"/>
      <c r="G424" s="441"/>
      <c r="H424" s="441"/>
      <c r="I424" s="441"/>
      <c r="J424" s="441"/>
      <c r="K424" s="441"/>
      <c r="L424" s="441"/>
      <c r="M424" s="441"/>
      <c r="N424" s="441"/>
      <c r="O424" s="441"/>
      <c r="P424" s="441"/>
      <c r="Q424" s="441"/>
      <c r="R424" s="441"/>
      <c r="S424" s="441"/>
      <c r="T424" s="441"/>
      <c r="U424" s="441"/>
      <c r="V424" s="441"/>
      <c r="W424" s="441"/>
      <c r="X424" s="441"/>
      <c r="Y424" s="441"/>
      <c r="Z424" s="441"/>
    </row>
    <row r="425">
      <c r="A425" s="441"/>
      <c r="B425" s="441"/>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row>
    <row r="426">
      <c r="A426" s="441"/>
      <c r="B426" s="441"/>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row>
    <row r="427">
      <c r="A427" s="441"/>
      <c r="B427" s="441"/>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row>
    <row r="428">
      <c r="A428" s="441"/>
      <c r="B428" s="441"/>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row>
    <row r="429">
      <c r="A429" s="441"/>
      <c r="B429" s="441"/>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row>
    <row r="430">
      <c r="A430" s="441"/>
      <c r="B430" s="441"/>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row>
    <row r="431">
      <c r="A431" s="441"/>
      <c r="B431" s="441"/>
      <c r="C431" s="441"/>
      <c r="D431" s="441"/>
      <c r="E431" s="441"/>
      <c r="F431" s="441"/>
      <c r="G431" s="441"/>
      <c r="H431" s="441"/>
      <c r="I431" s="441"/>
      <c r="J431" s="441"/>
      <c r="K431" s="441"/>
      <c r="L431" s="441"/>
      <c r="M431" s="441"/>
      <c r="N431" s="441"/>
      <c r="O431" s="441"/>
      <c r="P431" s="441"/>
      <c r="Q431" s="441"/>
      <c r="R431" s="441"/>
      <c r="S431" s="441"/>
      <c r="T431" s="441"/>
      <c r="U431" s="441"/>
      <c r="V431" s="441"/>
      <c r="W431" s="441"/>
      <c r="X431" s="441"/>
      <c r="Y431" s="441"/>
      <c r="Z431" s="441"/>
    </row>
    <row r="432">
      <c r="A432" s="441"/>
      <c r="B432" s="441"/>
      <c r="C432" s="441"/>
      <c r="D432" s="441"/>
      <c r="E432" s="441"/>
      <c r="F432" s="441"/>
      <c r="G432" s="441"/>
      <c r="H432" s="441"/>
      <c r="I432" s="441"/>
      <c r="J432" s="441"/>
      <c r="K432" s="441"/>
      <c r="L432" s="441"/>
      <c r="M432" s="441"/>
      <c r="N432" s="441"/>
      <c r="O432" s="441"/>
      <c r="P432" s="441"/>
      <c r="Q432" s="441"/>
      <c r="R432" s="441"/>
      <c r="S432" s="441"/>
      <c r="T432" s="441"/>
      <c r="U432" s="441"/>
      <c r="V432" s="441"/>
      <c r="W432" s="441"/>
      <c r="X432" s="441"/>
      <c r="Y432" s="441"/>
      <c r="Z432" s="441"/>
    </row>
    <row r="433">
      <c r="A433" s="441"/>
      <c r="B433" s="441"/>
      <c r="C433" s="441"/>
      <c r="D433" s="441"/>
      <c r="E433" s="441"/>
      <c r="F433" s="441"/>
      <c r="G433" s="441"/>
      <c r="H433" s="441"/>
      <c r="I433" s="441"/>
      <c r="J433" s="441"/>
      <c r="K433" s="441"/>
      <c r="L433" s="441"/>
      <c r="M433" s="441"/>
      <c r="N433" s="441"/>
      <c r="O433" s="441"/>
      <c r="P433" s="441"/>
      <c r="Q433" s="441"/>
      <c r="R433" s="441"/>
      <c r="S433" s="441"/>
      <c r="T433" s="441"/>
      <c r="U433" s="441"/>
      <c r="V433" s="441"/>
      <c r="W433" s="441"/>
      <c r="X433" s="441"/>
      <c r="Y433" s="441"/>
      <c r="Z433" s="441"/>
    </row>
    <row r="434">
      <c r="A434" s="441"/>
      <c r="B434" s="441"/>
      <c r="C434" s="441"/>
      <c r="D434" s="441"/>
      <c r="E434" s="441"/>
      <c r="F434" s="441"/>
      <c r="G434" s="441"/>
      <c r="H434" s="441"/>
      <c r="I434" s="441"/>
      <c r="J434" s="441"/>
      <c r="K434" s="441"/>
      <c r="L434" s="441"/>
      <c r="M434" s="441"/>
      <c r="N434" s="441"/>
      <c r="O434" s="441"/>
      <c r="P434" s="441"/>
      <c r="Q434" s="441"/>
      <c r="R434" s="441"/>
      <c r="S434" s="441"/>
      <c r="T434" s="441"/>
      <c r="U434" s="441"/>
      <c r="V434" s="441"/>
      <c r="W434" s="441"/>
      <c r="X434" s="441"/>
      <c r="Y434" s="441"/>
      <c r="Z434" s="441"/>
    </row>
    <row r="435">
      <c r="A435" s="441"/>
      <c r="B435" s="441"/>
      <c r="C435" s="441"/>
      <c r="D435" s="441"/>
      <c r="E435" s="441"/>
      <c r="F435" s="441"/>
      <c r="G435" s="441"/>
      <c r="H435" s="441"/>
      <c r="I435" s="441"/>
      <c r="J435" s="441"/>
      <c r="K435" s="441"/>
      <c r="L435" s="441"/>
      <c r="M435" s="441"/>
      <c r="N435" s="441"/>
      <c r="O435" s="441"/>
      <c r="P435" s="441"/>
      <c r="Q435" s="441"/>
      <c r="R435" s="441"/>
      <c r="S435" s="441"/>
      <c r="T435" s="441"/>
      <c r="U435" s="441"/>
      <c r="V435" s="441"/>
      <c r="W435" s="441"/>
      <c r="X435" s="441"/>
      <c r="Y435" s="441"/>
      <c r="Z435" s="441"/>
    </row>
    <row r="436">
      <c r="A436" s="441"/>
      <c r="B436" s="441"/>
      <c r="C436" s="441"/>
      <c r="D436" s="441"/>
      <c r="E436" s="441"/>
      <c r="F436" s="441"/>
      <c r="G436" s="441"/>
      <c r="H436" s="441"/>
      <c r="I436" s="441"/>
      <c r="J436" s="441"/>
      <c r="K436" s="441"/>
      <c r="L436" s="441"/>
      <c r="M436" s="441"/>
      <c r="N436" s="441"/>
      <c r="O436" s="441"/>
      <c r="P436" s="441"/>
      <c r="Q436" s="441"/>
      <c r="R436" s="441"/>
      <c r="S436" s="441"/>
      <c r="T436" s="441"/>
      <c r="U436" s="441"/>
      <c r="V436" s="441"/>
      <c r="W436" s="441"/>
      <c r="X436" s="441"/>
      <c r="Y436" s="441"/>
      <c r="Z436" s="441"/>
    </row>
    <row r="437">
      <c r="A437" s="441"/>
      <c r="B437" s="441"/>
      <c r="C437" s="441"/>
      <c r="D437" s="441"/>
      <c r="E437" s="441"/>
      <c r="F437" s="441"/>
      <c r="G437" s="441"/>
      <c r="H437" s="441"/>
      <c r="I437" s="441"/>
      <c r="J437" s="441"/>
      <c r="K437" s="441"/>
      <c r="L437" s="441"/>
      <c r="M437" s="441"/>
      <c r="N437" s="441"/>
      <c r="O437" s="441"/>
      <c r="P437" s="441"/>
      <c r="Q437" s="441"/>
      <c r="R437" s="441"/>
      <c r="S437" s="441"/>
      <c r="T437" s="441"/>
      <c r="U437" s="441"/>
      <c r="V437" s="441"/>
      <c r="W437" s="441"/>
      <c r="X437" s="441"/>
      <c r="Y437" s="441"/>
      <c r="Z437" s="441"/>
    </row>
    <row r="438">
      <c r="A438" s="441"/>
      <c r="B438" s="441"/>
      <c r="C438" s="441"/>
      <c r="D438" s="441"/>
      <c r="E438" s="441"/>
      <c r="F438" s="441"/>
      <c r="G438" s="441"/>
      <c r="H438" s="441"/>
      <c r="I438" s="441"/>
      <c r="J438" s="441"/>
      <c r="K438" s="441"/>
      <c r="L438" s="441"/>
      <c r="M438" s="441"/>
      <c r="N438" s="441"/>
      <c r="O438" s="441"/>
      <c r="P438" s="441"/>
      <c r="Q438" s="441"/>
      <c r="R438" s="441"/>
      <c r="S438" s="441"/>
      <c r="T438" s="441"/>
      <c r="U438" s="441"/>
      <c r="V438" s="441"/>
      <c r="W438" s="441"/>
      <c r="X438" s="441"/>
      <c r="Y438" s="441"/>
      <c r="Z438" s="441"/>
    </row>
    <row r="439">
      <c r="A439" s="441"/>
      <c r="B439" s="441"/>
      <c r="C439" s="441"/>
      <c r="D439" s="441"/>
      <c r="E439" s="441"/>
      <c r="F439" s="441"/>
      <c r="G439" s="441"/>
      <c r="H439" s="441"/>
      <c r="I439" s="441"/>
      <c r="J439" s="441"/>
      <c r="K439" s="441"/>
      <c r="L439" s="441"/>
      <c r="M439" s="441"/>
      <c r="N439" s="441"/>
      <c r="O439" s="441"/>
      <c r="P439" s="441"/>
      <c r="Q439" s="441"/>
      <c r="R439" s="441"/>
      <c r="S439" s="441"/>
      <c r="T439" s="441"/>
      <c r="U439" s="441"/>
      <c r="V439" s="441"/>
      <c r="W439" s="441"/>
      <c r="X439" s="441"/>
      <c r="Y439" s="441"/>
      <c r="Z439" s="441"/>
    </row>
    <row r="440">
      <c r="A440" s="441"/>
      <c r="B440" s="441"/>
      <c r="C440" s="441"/>
      <c r="D440" s="441"/>
      <c r="E440" s="441"/>
      <c r="F440" s="441"/>
      <c r="G440" s="441"/>
      <c r="H440" s="441"/>
      <c r="I440" s="441"/>
      <c r="J440" s="441"/>
      <c r="K440" s="441"/>
      <c r="L440" s="441"/>
      <c r="M440" s="441"/>
      <c r="N440" s="441"/>
      <c r="O440" s="441"/>
      <c r="P440" s="441"/>
      <c r="Q440" s="441"/>
      <c r="R440" s="441"/>
      <c r="S440" s="441"/>
      <c r="T440" s="441"/>
      <c r="U440" s="441"/>
      <c r="V440" s="441"/>
      <c r="W440" s="441"/>
      <c r="X440" s="441"/>
      <c r="Y440" s="441"/>
      <c r="Z440" s="441"/>
    </row>
    <row r="441">
      <c r="A441" s="441"/>
      <c r="B441" s="441"/>
      <c r="C441" s="441"/>
      <c r="D441" s="441"/>
      <c r="E441" s="441"/>
      <c r="F441" s="441"/>
      <c r="G441" s="441"/>
      <c r="H441" s="441"/>
      <c r="I441" s="441"/>
      <c r="J441" s="441"/>
      <c r="K441" s="441"/>
      <c r="L441" s="441"/>
      <c r="M441" s="441"/>
      <c r="N441" s="441"/>
      <c r="O441" s="441"/>
      <c r="P441" s="441"/>
      <c r="Q441" s="441"/>
      <c r="R441" s="441"/>
      <c r="S441" s="441"/>
      <c r="T441" s="441"/>
      <c r="U441" s="441"/>
      <c r="V441" s="441"/>
      <c r="W441" s="441"/>
      <c r="X441" s="441"/>
      <c r="Y441" s="441"/>
      <c r="Z441" s="441"/>
    </row>
    <row r="442">
      <c r="A442" s="441"/>
      <c r="B442" s="441"/>
      <c r="C442" s="441"/>
      <c r="D442" s="441"/>
      <c r="E442" s="441"/>
      <c r="F442" s="441"/>
      <c r="G442" s="441"/>
      <c r="H442" s="441"/>
      <c r="I442" s="441"/>
      <c r="J442" s="441"/>
      <c r="K442" s="441"/>
      <c r="L442" s="441"/>
      <c r="M442" s="441"/>
      <c r="N442" s="441"/>
      <c r="O442" s="441"/>
      <c r="P442" s="441"/>
      <c r="Q442" s="441"/>
      <c r="R442" s="441"/>
      <c r="S442" s="441"/>
      <c r="T442" s="441"/>
      <c r="U442" s="441"/>
      <c r="V442" s="441"/>
      <c r="W442" s="441"/>
      <c r="X442" s="441"/>
      <c r="Y442" s="441"/>
      <c r="Z442" s="441"/>
    </row>
    <row r="443">
      <c r="A443" s="441"/>
      <c r="B443" s="441"/>
      <c r="C443" s="441"/>
      <c r="D443" s="441"/>
      <c r="E443" s="441"/>
      <c r="F443" s="441"/>
      <c r="G443" s="441"/>
      <c r="H443" s="441"/>
      <c r="I443" s="441"/>
      <c r="J443" s="441"/>
      <c r="K443" s="441"/>
      <c r="L443" s="441"/>
      <c r="M443" s="441"/>
      <c r="N443" s="441"/>
      <c r="O443" s="441"/>
      <c r="P443" s="441"/>
      <c r="Q443" s="441"/>
      <c r="R443" s="441"/>
      <c r="S443" s="441"/>
      <c r="T443" s="441"/>
      <c r="U443" s="441"/>
      <c r="V443" s="441"/>
      <c r="W443" s="441"/>
      <c r="X443" s="441"/>
      <c r="Y443" s="441"/>
      <c r="Z443" s="441"/>
    </row>
    <row r="444">
      <c r="A444" s="441"/>
      <c r="B444" s="441"/>
      <c r="C444" s="441"/>
      <c r="D444" s="441"/>
      <c r="E444" s="441"/>
      <c r="F444" s="441"/>
      <c r="G444" s="441"/>
      <c r="H444" s="441"/>
      <c r="I444" s="441"/>
      <c r="J444" s="441"/>
      <c r="K444" s="441"/>
      <c r="L444" s="441"/>
      <c r="M444" s="441"/>
      <c r="N444" s="441"/>
      <c r="O444" s="441"/>
      <c r="P444" s="441"/>
      <c r="Q444" s="441"/>
      <c r="R444" s="441"/>
      <c r="S444" s="441"/>
      <c r="T444" s="441"/>
      <c r="U444" s="441"/>
      <c r="V444" s="441"/>
      <c r="W444" s="441"/>
      <c r="X444" s="441"/>
      <c r="Y444" s="441"/>
      <c r="Z444" s="441"/>
    </row>
    <row r="445">
      <c r="A445" s="441"/>
      <c r="B445" s="441"/>
      <c r="C445" s="441"/>
      <c r="D445" s="441"/>
      <c r="E445" s="441"/>
      <c r="F445" s="441"/>
      <c r="G445" s="441"/>
      <c r="H445" s="441"/>
      <c r="I445" s="441"/>
      <c r="J445" s="441"/>
      <c r="K445" s="441"/>
      <c r="L445" s="441"/>
      <c r="M445" s="441"/>
      <c r="N445" s="441"/>
      <c r="O445" s="441"/>
      <c r="P445" s="441"/>
      <c r="Q445" s="441"/>
      <c r="R445" s="441"/>
      <c r="S445" s="441"/>
      <c r="T445" s="441"/>
      <c r="U445" s="441"/>
      <c r="V445" s="441"/>
      <c r="W445" s="441"/>
      <c r="X445" s="441"/>
      <c r="Y445" s="441"/>
      <c r="Z445" s="441"/>
    </row>
    <row r="446">
      <c r="A446" s="441"/>
      <c r="B446" s="441"/>
      <c r="C446" s="441"/>
      <c r="D446" s="441"/>
      <c r="E446" s="441"/>
      <c r="F446" s="441"/>
      <c r="G446" s="441"/>
      <c r="H446" s="441"/>
      <c r="I446" s="441"/>
      <c r="J446" s="441"/>
      <c r="K446" s="441"/>
      <c r="L446" s="441"/>
      <c r="M446" s="441"/>
      <c r="N446" s="441"/>
      <c r="O446" s="441"/>
      <c r="P446" s="441"/>
      <c r="Q446" s="441"/>
      <c r="R446" s="441"/>
      <c r="S446" s="441"/>
      <c r="T446" s="441"/>
      <c r="U446" s="441"/>
      <c r="V446" s="441"/>
      <c r="W446" s="441"/>
      <c r="X446" s="441"/>
      <c r="Y446" s="441"/>
      <c r="Z446" s="441"/>
    </row>
    <row r="447">
      <c r="A447" s="441"/>
      <c r="B447" s="441"/>
      <c r="C447" s="441"/>
      <c r="D447" s="441"/>
      <c r="E447" s="441"/>
      <c r="F447" s="441"/>
      <c r="G447" s="441"/>
      <c r="H447" s="441"/>
      <c r="I447" s="441"/>
      <c r="J447" s="441"/>
      <c r="K447" s="441"/>
      <c r="L447" s="441"/>
      <c r="M447" s="441"/>
      <c r="N447" s="441"/>
      <c r="O447" s="441"/>
      <c r="P447" s="441"/>
      <c r="Q447" s="441"/>
      <c r="R447" s="441"/>
      <c r="S447" s="441"/>
      <c r="T447" s="441"/>
      <c r="U447" s="441"/>
      <c r="V447" s="441"/>
      <c r="W447" s="441"/>
      <c r="X447" s="441"/>
      <c r="Y447" s="441"/>
      <c r="Z447" s="441"/>
    </row>
    <row r="448">
      <c r="A448" s="441"/>
      <c r="B448" s="441"/>
      <c r="C448" s="441"/>
      <c r="D448" s="441"/>
      <c r="E448" s="441"/>
      <c r="F448" s="441"/>
      <c r="G448" s="441"/>
      <c r="H448" s="441"/>
      <c r="I448" s="441"/>
      <c r="J448" s="441"/>
      <c r="K448" s="441"/>
      <c r="L448" s="441"/>
      <c r="M448" s="441"/>
      <c r="N448" s="441"/>
      <c r="O448" s="441"/>
      <c r="P448" s="441"/>
      <c r="Q448" s="441"/>
      <c r="R448" s="441"/>
      <c r="S448" s="441"/>
      <c r="T448" s="441"/>
      <c r="U448" s="441"/>
      <c r="V448" s="441"/>
      <c r="W448" s="441"/>
      <c r="X448" s="441"/>
      <c r="Y448" s="441"/>
      <c r="Z448" s="441"/>
    </row>
    <row r="449">
      <c r="A449" s="441"/>
      <c r="B449" s="441"/>
      <c r="C449" s="441"/>
      <c r="D449" s="441"/>
      <c r="E449" s="441"/>
      <c r="F449" s="441"/>
      <c r="G449" s="441"/>
      <c r="H449" s="441"/>
      <c r="I449" s="441"/>
      <c r="J449" s="441"/>
      <c r="K449" s="441"/>
      <c r="L449" s="441"/>
      <c r="M449" s="441"/>
      <c r="N449" s="441"/>
      <c r="O449" s="441"/>
      <c r="P449" s="441"/>
      <c r="Q449" s="441"/>
      <c r="R449" s="441"/>
      <c r="S449" s="441"/>
      <c r="T449" s="441"/>
      <c r="U449" s="441"/>
      <c r="V449" s="441"/>
      <c r="W449" s="441"/>
      <c r="X449" s="441"/>
      <c r="Y449" s="441"/>
      <c r="Z449" s="441"/>
    </row>
    <row r="450">
      <c r="A450" s="441"/>
      <c r="B450" s="441"/>
      <c r="C450" s="441"/>
      <c r="D450" s="441"/>
      <c r="E450" s="441"/>
      <c r="F450" s="441"/>
      <c r="G450" s="441"/>
      <c r="H450" s="441"/>
      <c r="I450" s="441"/>
      <c r="J450" s="441"/>
      <c r="K450" s="441"/>
      <c r="L450" s="441"/>
      <c r="M450" s="441"/>
      <c r="N450" s="441"/>
      <c r="O450" s="441"/>
      <c r="P450" s="441"/>
      <c r="Q450" s="441"/>
      <c r="R450" s="441"/>
      <c r="S450" s="441"/>
      <c r="T450" s="441"/>
      <c r="U450" s="441"/>
      <c r="V450" s="441"/>
      <c r="W450" s="441"/>
      <c r="X450" s="441"/>
      <c r="Y450" s="441"/>
      <c r="Z450" s="441"/>
    </row>
    <row r="451">
      <c r="A451" s="441"/>
      <c r="B451" s="441"/>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row>
    <row r="452">
      <c r="A452" s="441"/>
      <c r="B452" s="441"/>
      <c r="C452" s="441"/>
      <c r="D452" s="441"/>
      <c r="E452" s="441"/>
      <c r="F452" s="441"/>
      <c r="G452" s="441"/>
      <c r="H452" s="441"/>
      <c r="I452" s="441"/>
      <c r="J452" s="441"/>
      <c r="K452" s="441"/>
      <c r="L452" s="441"/>
      <c r="M452" s="441"/>
      <c r="N452" s="441"/>
      <c r="O452" s="441"/>
      <c r="P452" s="441"/>
      <c r="Q452" s="441"/>
      <c r="R452" s="441"/>
      <c r="S452" s="441"/>
      <c r="T452" s="441"/>
      <c r="U452" s="441"/>
      <c r="V452" s="441"/>
      <c r="W452" s="441"/>
      <c r="X452" s="441"/>
      <c r="Y452" s="441"/>
      <c r="Z452" s="441"/>
    </row>
    <row r="453">
      <c r="A453" s="441"/>
      <c r="B453" s="441"/>
      <c r="C453" s="441"/>
      <c r="D453" s="441"/>
      <c r="E453" s="441"/>
      <c r="F453" s="441"/>
      <c r="G453" s="441"/>
      <c r="H453" s="441"/>
      <c r="I453" s="441"/>
      <c r="J453" s="441"/>
      <c r="K453" s="441"/>
      <c r="L453" s="441"/>
      <c r="M453" s="441"/>
      <c r="N453" s="441"/>
      <c r="O453" s="441"/>
      <c r="P453" s="441"/>
      <c r="Q453" s="441"/>
      <c r="R453" s="441"/>
      <c r="S453" s="441"/>
      <c r="T453" s="441"/>
      <c r="U453" s="441"/>
      <c r="V453" s="441"/>
      <c r="W453" s="441"/>
      <c r="X453" s="441"/>
      <c r="Y453" s="441"/>
      <c r="Z453" s="441"/>
    </row>
    <row r="454">
      <c r="A454" s="441"/>
      <c r="B454" s="441"/>
      <c r="C454" s="441"/>
      <c r="D454" s="441"/>
      <c r="E454" s="441"/>
      <c r="F454" s="441"/>
      <c r="G454" s="441"/>
      <c r="H454" s="441"/>
      <c r="I454" s="441"/>
      <c r="J454" s="441"/>
      <c r="K454" s="441"/>
      <c r="L454" s="441"/>
      <c r="M454" s="441"/>
      <c r="N454" s="441"/>
      <c r="O454" s="441"/>
      <c r="P454" s="441"/>
      <c r="Q454" s="441"/>
      <c r="R454" s="441"/>
      <c r="S454" s="441"/>
      <c r="T454" s="441"/>
      <c r="U454" s="441"/>
      <c r="V454" s="441"/>
      <c r="W454" s="441"/>
      <c r="X454" s="441"/>
      <c r="Y454" s="441"/>
      <c r="Z454" s="441"/>
    </row>
    <row r="455">
      <c r="A455" s="441"/>
      <c r="B455" s="441"/>
      <c r="C455" s="441"/>
      <c r="D455" s="441"/>
      <c r="E455" s="441"/>
      <c r="F455" s="441"/>
      <c r="G455" s="441"/>
      <c r="H455" s="441"/>
      <c r="I455" s="441"/>
      <c r="J455" s="441"/>
      <c r="K455" s="441"/>
      <c r="L455" s="441"/>
      <c r="M455" s="441"/>
      <c r="N455" s="441"/>
      <c r="O455" s="441"/>
      <c r="P455" s="441"/>
      <c r="Q455" s="441"/>
      <c r="R455" s="441"/>
      <c r="S455" s="441"/>
      <c r="T455" s="441"/>
      <c r="U455" s="441"/>
      <c r="V455" s="441"/>
      <c r="W455" s="441"/>
      <c r="X455" s="441"/>
      <c r="Y455" s="441"/>
      <c r="Z455" s="441"/>
    </row>
    <row r="456">
      <c r="A456" s="441"/>
      <c r="B456" s="441"/>
      <c r="C456" s="441"/>
      <c r="D456" s="441"/>
      <c r="E456" s="441"/>
      <c r="F456" s="441"/>
      <c r="G456" s="441"/>
      <c r="H456" s="441"/>
      <c r="I456" s="441"/>
      <c r="J456" s="441"/>
      <c r="K456" s="441"/>
      <c r="L456" s="441"/>
      <c r="M456" s="441"/>
      <c r="N456" s="441"/>
      <c r="O456" s="441"/>
      <c r="P456" s="441"/>
      <c r="Q456" s="441"/>
      <c r="R456" s="441"/>
      <c r="S456" s="441"/>
      <c r="T456" s="441"/>
      <c r="U456" s="441"/>
      <c r="V456" s="441"/>
      <c r="W456" s="441"/>
      <c r="X456" s="441"/>
      <c r="Y456" s="441"/>
      <c r="Z456" s="441"/>
    </row>
    <row r="457">
      <c r="A457" s="441"/>
      <c r="B457" s="441"/>
      <c r="C457" s="441"/>
      <c r="D457" s="441"/>
      <c r="E457" s="441"/>
      <c r="F457" s="441"/>
      <c r="G457" s="441"/>
      <c r="H457" s="441"/>
      <c r="I457" s="441"/>
      <c r="J457" s="441"/>
      <c r="K457" s="441"/>
      <c r="L457" s="441"/>
      <c r="M457" s="441"/>
      <c r="N457" s="441"/>
      <c r="O457" s="441"/>
      <c r="P457" s="441"/>
      <c r="Q457" s="441"/>
      <c r="R457" s="441"/>
      <c r="S457" s="441"/>
      <c r="T457" s="441"/>
      <c r="U457" s="441"/>
      <c r="V457" s="441"/>
      <c r="W457" s="441"/>
      <c r="X457" s="441"/>
      <c r="Y457" s="441"/>
      <c r="Z457" s="441"/>
    </row>
    <row r="458">
      <c r="A458" s="441"/>
      <c r="B458" s="441"/>
      <c r="C458" s="441"/>
      <c r="D458" s="441"/>
      <c r="E458" s="441"/>
      <c r="F458" s="441"/>
      <c r="G458" s="441"/>
      <c r="H458" s="441"/>
      <c r="I458" s="441"/>
      <c r="J458" s="441"/>
      <c r="K458" s="441"/>
      <c r="L458" s="441"/>
      <c r="M458" s="441"/>
      <c r="N458" s="441"/>
      <c r="O458" s="441"/>
      <c r="P458" s="441"/>
      <c r="Q458" s="441"/>
      <c r="R458" s="441"/>
      <c r="S458" s="441"/>
      <c r="T458" s="441"/>
      <c r="U458" s="441"/>
      <c r="V458" s="441"/>
      <c r="W458" s="441"/>
      <c r="X458" s="441"/>
      <c r="Y458" s="441"/>
      <c r="Z458" s="441"/>
    </row>
    <row r="459">
      <c r="A459" s="441"/>
      <c r="B459" s="441"/>
      <c r="C459" s="441"/>
      <c r="D459" s="441"/>
      <c r="E459" s="441"/>
      <c r="F459" s="441"/>
      <c r="G459" s="441"/>
      <c r="H459" s="441"/>
      <c r="I459" s="441"/>
      <c r="J459" s="441"/>
      <c r="K459" s="441"/>
      <c r="L459" s="441"/>
      <c r="M459" s="441"/>
      <c r="N459" s="441"/>
      <c r="O459" s="441"/>
      <c r="P459" s="441"/>
      <c r="Q459" s="441"/>
      <c r="R459" s="441"/>
      <c r="S459" s="441"/>
      <c r="T459" s="441"/>
      <c r="U459" s="441"/>
      <c r="V459" s="441"/>
      <c r="W459" s="441"/>
      <c r="X459" s="441"/>
      <c r="Y459" s="441"/>
      <c r="Z459" s="441"/>
    </row>
    <row r="460">
      <c r="A460" s="441"/>
      <c r="B460" s="441"/>
      <c r="C460" s="441"/>
      <c r="D460" s="441"/>
      <c r="E460" s="441"/>
      <c r="F460" s="441"/>
      <c r="G460" s="441"/>
      <c r="H460" s="441"/>
      <c r="I460" s="441"/>
      <c r="J460" s="441"/>
      <c r="K460" s="441"/>
      <c r="L460" s="441"/>
      <c r="M460" s="441"/>
      <c r="N460" s="441"/>
      <c r="O460" s="441"/>
      <c r="P460" s="441"/>
      <c r="Q460" s="441"/>
      <c r="R460" s="441"/>
      <c r="S460" s="441"/>
      <c r="T460" s="441"/>
      <c r="U460" s="441"/>
      <c r="V460" s="441"/>
      <c r="W460" s="441"/>
      <c r="X460" s="441"/>
      <c r="Y460" s="441"/>
      <c r="Z460" s="441"/>
    </row>
    <row r="461">
      <c r="A461" s="441"/>
      <c r="B461" s="441"/>
      <c r="C461" s="441"/>
      <c r="D461" s="441"/>
      <c r="E461" s="441"/>
      <c r="F461" s="441"/>
      <c r="G461" s="441"/>
      <c r="H461" s="441"/>
      <c r="I461" s="441"/>
      <c r="J461" s="441"/>
      <c r="K461" s="441"/>
      <c r="L461" s="441"/>
      <c r="M461" s="441"/>
      <c r="N461" s="441"/>
      <c r="O461" s="441"/>
      <c r="P461" s="441"/>
      <c r="Q461" s="441"/>
      <c r="R461" s="441"/>
      <c r="S461" s="441"/>
      <c r="T461" s="441"/>
      <c r="U461" s="441"/>
      <c r="V461" s="441"/>
      <c r="W461" s="441"/>
      <c r="X461" s="441"/>
      <c r="Y461" s="441"/>
      <c r="Z461" s="441"/>
    </row>
    <row r="462">
      <c r="A462" s="441"/>
      <c r="B462" s="441"/>
      <c r="C462" s="441"/>
      <c r="D462" s="441"/>
      <c r="E462" s="441"/>
      <c r="F462" s="441"/>
      <c r="G462" s="441"/>
      <c r="H462" s="441"/>
      <c r="I462" s="441"/>
      <c r="J462" s="441"/>
      <c r="K462" s="441"/>
      <c r="L462" s="441"/>
      <c r="M462" s="441"/>
      <c r="N462" s="441"/>
      <c r="O462" s="441"/>
      <c r="P462" s="441"/>
      <c r="Q462" s="441"/>
      <c r="R462" s="441"/>
      <c r="S462" s="441"/>
      <c r="T462" s="441"/>
      <c r="U462" s="441"/>
      <c r="V462" s="441"/>
      <c r="W462" s="441"/>
      <c r="X462" s="441"/>
      <c r="Y462" s="441"/>
      <c r="Z462" s="441"/>
    </row>
    <row r="463">
      <c r="A463" s="441"/>
      <c r="B463" s="441"/>
      <c r="C463" s="441"/>
      <c r="D463" s="441"/>
      <c r="E463" s="441"/>
      <c r="F463" s="441"/>
      <c r="G463" s="441"/>
      <c r="H463" s="441"/>
      <c r="I463" s="441"/>
      <c r="J463" s="441"/>
      <c r="K463" s="441"/>
      <c r="L463" s="441"/>
      <c r="M463" s="441"/>
      <c r="N463" s="441"/>
      <c r="O463" s="441"/>
      <c r="P463" s="441"/>
      <c r="Q463" s="441"/>
      <c r="R463" s="441"/>
      <c r="S463" s="441"/>
      <c r="T463" s="441"/>
      <c r="U463" s="441"/>
      <c r="V463" s="441"/>
      <c r="W463" s="441"/>
      <c r="X463" s="441"/>
      <c r="Y463" s="441"/>
      <c r="Z463" s="441"/>
    </row>
    <row r="464">
      <c r="A464" s="441"/>
      <c r="B464" s="441"/>
      <c r="C464" s="441"/>
      <c r="D464" s="441"/>
      <c r="E464" s="441"/>
      <c r="F464" s="441"/>
      <c r="G464" s="441"/>
      <c r="H464" s="441"/>
      <c r="I464" s="441"/>
      <c r="J464" s="441"/>
      <c r="K464" s="441"/>
      <c r="L464" s="441"/>
      <c r="M464" s="441"/>
      <c r="N464" s="441"/>
      <c r="O464" s="441"/>
      <c r="P464" s="441"/>
      <c r="Q464" s="441"/>
      <c r="R464" s="441"/>
      <c r="S464" s="441"/>
      <c r="T464" s="441"/>
      <c r="U464" s="441"/>
      <c r="V464" s="441"/>
      <c r="W464" s="441"/>
      <c r="X464" s="441"/>
      <c r="Y464" s="441"/>
      <c r="Z464" s="441"/>
    </row>
    <row r="465">
      <c r="A465" s="441"/>
      <c r="B465" s="441"/>
      <c r="C465" s="441"/>
      <c r="D465" s="441"/>
      <c r="E465" s="441"/>
      <c r="F465" s="441"/>
      <c r="G465" s="441"/>
      <c r="H465" s="441"/>
      <c r="I465" s="441"/>
      <c r="J465" s="441"/>
      <c r="K465" s="441"/>
      <c r="L465" s="441"/>
      <c r="M465" s="441"/>
      <c r="N465" s="441"/>
      <c r="O465" s="441"/>
      <c r="P465" s="441"/>
      <c r="Q465" s="441"/>
      <c r="R465" s="441"/>
      <c r="S465" s="441"/>
      <c r="T465" s="441"/>
      <c r="U465" s="441"/>
      <c r="V465" s="441"/>
      <c r="W465" s="441"/>
      <c r="X465" s="441"/>
      <c r="Y465" s="441"/>
      <c r="Z465" s="441"/>
    </row>
    <row r="466">
      <c r="A466" s="441"/>
      <c r="B466" s="441"/>
      <c r="C466" s="441"/>
      <c r="D466" s="441"/>
      <c r="E466" s="441"/>
      <c r="F466" s="441"/>
      <c r="G466" s="441"/>
      <c r="H466" s="441"/>
      <c r="I466" s="441"/>
      <c r="J466" s="441"/>
      <c r="K466" s="441"/>
      <c r="L466" s="441"/>
      <c r="M466" s="441"/>
      <c r="N466" s="441"/>
      <c r="O466" s="441"/>
      <c r="P466" s="441"/>
      <c r="Q466" s="441"/>
      <c r="R466" s="441"/>
      <c r="S466" s="441"/>
      <c r="T466" s="441"/>
      <c r="U466" s="441"/>
      <c r="V466" s="441"/>
      <c r="W466" s="441"/>
      <c r="X466" s="441"/>
      <c r="Y466" s="441"/>
      <c r="Z466" s="441"/>
    </row>
    <row r="467">
      <c r="A467" s="441"/>
      <c r="B467" s="441"/>
      <c r="C467" s="441"/>
      <c r="D467" s="441"/>
      <c r="E467" s="441"/>
      <c r="F467" s="441"/>
      <c r="G467" s="441"/>
      <c r="H467" s="441"/>
      <c r="I467" s="441"/>
      <c r="J467" s="441"/>
      <c r="K467" s="441"/>
      <c r="L467" s="441"/>
      <c r="M467" s="441"/>
      <c r="N467" s="441"/>
      <c r="O467" s="441"/>
      <c r="P467" s="441"/>
      <c r="Q467" s="441"/>
      <c r="R467" s="441"/>
      <c r="S467" s="441"/>
      <c r="T467" s="441"/>
      <c r="U467" s="441"/>
      <c r="V467" s="441"/>
      <c r="W467" s="441"/>
      <c r="X467" s="441"/>
      <c r="Y467" s="441"/>
      <c r="Z467" s="441"/>
    </row>
    <row r="468">
      <c r="A468" s="441"/>
      <c r="B468" s="441"/>
      <c r="C468" s="441"/>
      <c r="D468" s="441"/>
      <c r="E468" s="441"/>
      <c r="F468" s="441"/>
      <c r="G468" s="441"/>
      <c r="H468" s="441"/>
      <c r="I468" s="441"/>
      <c r="J468" s="441"/>
      <c r="K468" s="441"/>
      <c r="L468" s="441"/>
      <c r="M468" s="441"/>
      <c r="N468" s="441"/>
      <c r="O468" s="441"/>
      <c r="P468" s="441"/>
      <c r="Q468" s="441"/>
      <c r="R468" s="441"/>
      <c r="S468" s="441"/>
      <c r="T468" s="441"/>
      <c r="U468" s="441"/>
      <c r="V468" s="441"/>
      <c r="W468" s="441"/>
      <c r="X468" s="441"/>
      <c r="Y468" s="441"/>
      <c r="Z468" s="441"/>
    </row>
    <row r="469">
      <c r="A469" s="441"/>
      <c r="B469" s="441"/>
      <c r="C469" s="441"/>
      <c r="D469" s="441"/>
      <c r="E469" s="441"/>
      <c r="F469" s="441"/>
      <c r="G469" s="441"/>
      <c r="H469" s="441"/>
      <c r="I469" s="441"/>
      <c r="J469" s="441"/>
      <c r="K469" s="441"/>
      <c r="L469" s="441"/>
      <c r="M469" s="441"/>
      <c r="N469" s="441"/>
      <c r="O469" s="441"/>
      <c r="P469" s="441"/>
      <c r="Q469" s="441"/>
      <c r="R469" s="441"/>
      <c r="S469" s="441"/>
      <c r="T469" s="441"/>
      <c r="U469" s="441"/>
      <c r="V469" s="441"/>
      <c r="W469" s="441"/>
      <c r="X469" s="441"/>
      <c r="Y469" s="441"/>
      <c r="Z469" s="441"/>
    </row>
    <row r="470">
      <c r="A470" s="441"/>
      <c r="B470" s="441"/>
      <c r="C470" s="441"/>
      <c r="D470" s="441"/>
      <c r="E470" s="441"/>
      <c r="F470" s="441"/>
      <c r="G470" s="441"/>
      <c r="H470" s="441"/>
      <c r="I470" s="441"/>
      <c r="J470" s="441"/>
      <c r="K470" s="441"/>
      <c r="L470" s="441"/>
      <c r="M470" s="441"/>
      <c r="N470" s="441"/>
      <c r="O470" s="441"/>
      <c r="P470" s="441"/>
      <c r="Q470" s="441"/>
      <c r="R470" s="441"/>
      <c r="S470" s="441"/>
      <c r="T470" s="441"/>
      <c r="U470" s="441"/>
      <c r="V470" s="441"/>
      <c r="W470" s="441"/>
      <c r="X470" s="441"/>
      <c r="Y470" s="441"/>
      <c r="Z470" s="441"/>
    </row>
    <row r="471">
      <c r="A471" s="441"/>
      <c r="B471" s="441"/>
      <c r="C471" s="441"/>
      <c r="D471" s="441"/>
      <c r="E471" s="441"/>
      <c r="F471" s="441"/>
      <c r="G471" s="441"/>
      <c r="H471" s="441"/>
      <c r="I471" s="441"/>
      <c r="J471" s="441"/>
      <c r="K471" s="441"/>
      <c r="L471" s="441"/>
      <c r="M471" s="441"/>
      <c r="N471" s="441"/>
      <c r="O471" s="441"/>
      <c r="P471" s="441"/>
      <c r="Q471" s="441"/>
      <c r="R471" s="441"/>
      <c r="S471" s="441"/>
      <c r="T471" s="441"/>
      <c r="U471" s="441"/>
      <c r="V471" s="441"/>
      <c r="W471" s="441"/>
      <c r="X471" s="441"/>
      <c r="Y471" s="441"/>
      <c r="Z471" s="441"/>
    </row>
    <row r="472">
      <c r="A472" s="441"/>
      <c r="B472" s="441"/>
      <c r="C472" s="441"/>
      <c r="D472" s="441"/>
      <c r="E472" s="441"/>
      <c r="F472" s="441"/>
      <c r="G472" s="441"/>
      <c r="H472" s="441"/>
      <c r="I472" s="441"/>
      <c r="J472" s="441"/>
      <c r="K472" s="441"/>
      <c r="L472" s="441"/>
      <c r="M472" s="441"/>
      <c r="N472" s="441"/>
      <c r="O472" s="441"/>
      <c r="P472" s="441"/>
      <c r="Q472" s="441"/>
      <c r="R472" s="441"/>
      <c r="S472" s="441"/>
      <c r="T472" s="441"/>
      <c r="U472" s="441"/>
      <c r="V472" s="441"/>
      <c r="W472" s="441"/>
      <c r="X472" s="441"/>
      <c r="Y472" s="441"/>
      <c r="Z472" s="441"/>
    </row>
    <row r="473">
      <c r="A473" s="441"/>
      <c r="B473" s="441"/>
      <c r="C473" s="441"/>
      <c r="D473" s="441"/>
      <c r="E473" s="441"/>
      <c r="F473" s="441"/>
      <c r="G473" s="441"/>
      <c r="H473" s="441"/>
      <c r="I473" s="441"/>
      <c r="J473" s="441"/>
      <c r="K473" s="441"/>
      <c r="L473" s="441"/>
      <c r="M473" s="441"/>
      <c r="N473" s="441"/>
      <c r="O473" s="441"/>
      <c r="P473" s="441"/>
      <c r="Q473" s="441"/>
      <c r="R473" s="441"/>
      <c r="S473" s="441"/>
      <c r="T473" s="441"/>
      <c r="U473" s="441"/>
      <c r="V473" s="441"/>
      <c r="W473" s="441"/>
      <c r="X473" s="441"/>
      <c r="Y473" s="441"/>
      <c r="Z473" s="441"/>
    </row>
    <row r="474">
      <c r="A474" s="441"/>
      <c r="B474" s="441"/>
      <c r="C474" s="441"/>
      <c r="D474" s="441"/>
      <c r="E474" s="441"/>
      <c r="F474" s="441"/>
      <c r="G474" s="441"/>
      <c r="H474" s="441"/>
      <c r="I474" s="441"/>
      <c r="J474" s="441"/>
      <c r="K474" s="441"/>
      <c r="L474" s="441"/>
      <c r="M474" s="441"/>
      <c r="N474" s="441"/>
      <c r="O474" s="441"/>
      <c r="P474" s="441"/>
      <c r="Q474" s="441"/>
      <c r="R474" s="441"/>
      <c r="S474" s="441"/>
      <c r="T474" s="441"/>
      <c r="U474" s="441"/>
      <c r="V474" s="441"/>
      <c r="W474" s="441"/>
      <c r="X474" s="441"/>
      <c r="Y474" s="441"/>
      <c r="Z474" s="441"/>
    </row>
    <row r="475">
      <c r="A475" s="441"/>
      <c r="B475" s="441"/>
      <c r="C475" s="441"/>
      <c r="D475" s="441"/>
      <c r="E475" s="441"/>
      <c r="F475" s="441"/>
      <c r="G475" s="441"/>
      <c r="H475" s="441"/>
      <c r="I475" s="441"/>
      <c r="J475" s="441"/>
      <c r="K475" s="441"/>
      <c r="L475" s="441"/>
      <c r="M475" s="441"/>
      <c r="N475" s="441"/>
      <c r="O475" s="441"/>
      <c r="P475" s="441"/>
      <c r="Q475" s="441"/>
      <c r="R475" s="441"/>
      <c r="S475" s="441"/>
      <c r="T475" s="441"/>
      <c r="U475" s="441"/>
      <c r="V475" s="441"/>
      <c r="W475" s="441"/>
      <c r="X475" s="441"/>
      <c r="Y475" s="441"/>
      <c r="Z475" s="441"/>
    </row>
    <row r="476">
      <c r="A476" s="441"/>
      <c r="B476" s="441"/>
      <c r="C476" s="441"/>
      <c r="D476" s="441"/>
      <c r="E476" s="441"/>
      <c r="F476" s="441"/>
      <c r="G476" s="441"/>
      <c r="H476" s="441"/>
      <c r="I476" s="441"/>
      <c r="J476" s="441"/>
      <c r="K476" s="441"/>
      <c r="L476" s="441"/>
      <c r="M476" s="441"/>
      <c r="N476" s="441"/>
      <c r="O476" s="441"/>
      <c r="P476" s="441"/>
      <c r="Q476" s="441"/>
      <c r="R476" s="441"/>
      <c r="S476" s="441"/>
      <c r="T476" s="441"/>
      <c r="U476" s="441"/>
      <c r="V476" s="441"/>
      <c r="W476" s="441"/>
      <c r="X476" s="441"/>
      <c r="Y476" s="441"/>
      <c r="Z476" s="441"/>
    </row>
    <row r="477">
      <c r="A477" s="441"/>
      <c r="B477" s="441"/>
      <c r="C477" s="441"/>
      <c r="D477" s="441"/>
      <c r="E477" s="441"/>
      <c r="F477" s="441"/>
      <c r="G477" s="441"/>
      <c r="H477" s="441"/>
      <c r="I477" s="441"/>
      <c r="J477" s="441"/>
      <c r="K477" s="441"/>
      <c r="L477" s="441"/>
      <c r="M477" s="441"/>
      <c r="N477" s="441"/>
      <c r="O477" s="441"/>
      <c r="P477" s="441"/>
      <c r="Q477" s="441"/>
      <c r="R477" s="441"/>
      <c r="S477" s="441"/>
      <c r="T477" s="441"/>
      <c r="U477" s="441"/>
      <c r="V477" s="441"/>
      <c r="W477" s="441"/>
      <c r="X477" s="441"/>
      <c r="Y477" s="441"/>
      <c r="Z477" s="441"/>
    </row>
    <row r="478">
      <c r="A478" s="441"/>
      <c r="B478" s="441"/>
      <c r="C478" s="441"/>
      <c r="D478" s="441"/>
      <c r="E478" s="441"/>
      <c r="F478" s="441"/>
      <c r="G478" s="441"/>
      <c r="H478" s="441"/>
      <c r="I478" s="441"/>
      <c r="J478" s="441"/>
      <c r="K478" s="441"/>
      <c r="L478" s="441"/>
      <c r="M478" s="441"/>
      <c r="N478" s="441"/>
      <c r="O478" s="441"/>
      <c r="P478" s="441"/>
      <c r="Q478" s="441"/>
      <c r="R478" s="441"/>
      <c r="S478" s="441"/>
      <c r="T478" s="441"/>
      <c r="U478" s="441"/>
      <c r="V478" s="441"/>
      <c r="W478" s="441"/>
      <c r="X478" s="441"/>
      <c r="Y478" s="441"/>
      <c r="Z478" s="441"/>
    </row>
    <row r="479">
      <c r="A479" s="441"/>
      <c r="B479" s="441"/>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41"/>
      <c r="Z479" s="441"/>
    </row>
    <row r="480">
      <c r="A480" s="441"/>
      <c r="B480" s="441"/>
      <c r="C480" s="441"/>
      <c r="D480" s="441"/>
      <c r="E480" s="441"/>
      <c r="F480" s="441"/>
      <c r="G480" s="441"/>
      <c r="H480" s="441"/>
      <c r="I480" s="441"/>
      <c r="J480" s="441"/>
      <c r="K480" s="441"/>
      <c r="L480" s="441"/>
      <c r="M480" s="441"/>
      <c r="N480" s="441"/>
      <c r="O480" s="441"/>
      <c r="P480" s="441"/>
      <c r="Q480" s="441"/>
      <c r="R480" s="441"/>
      <c r="S480" s="441"/>
      <c r="T480" s="441"/>
      <c r="U480" s="441"/>
      <c r="V480" s="441"/>
      <c r="W480" s="441"/>
      <c r="X480" s="441"/>
      <c r="Y480" s="441"/>
      <c r="Z480" s="441"/>
    </row>
    <row r="481">
      <c r="A481" s="441"/>
      <c r="B481" s="441"/>
      <c r="C481" s="441"/>
      <c r="D481" s="441"/>
      <c r="E481" s="441"/>
      <c r="F481" s="441"/>
      <c r="G481" s="441"/>
      <c r="H481" s="441"/>
      <c r="I481" s="441"/>
      <c r="J481" s="441"/>
      <c r="K481" s="441"/>
      <c r="L481" s="441"/>
      <c r="M481" s="441"/>
      <c r="N481" s="441"/>
      <c r="O481" s="441"/>
      <c r="P481" s="441"/>
      <c r="Q481" s="441"/>
      <c r="R481" s="441"/>
      <c r="S481" s="441"/>
      <c r="T481" s="441"/>
      <c r="U481" s="441"/>
      <c r="V481" s="441"/>
      <c r="W481" s="441"/>
      <c r="X481" s="441"/>
      <c r="Y481" s="441"/>
      <c r="Z481" s="441"/>
    </row>
    <row r="482">
      <c r="A482" s="441"/>
      <c r="B482" s="441"/>
      <c r="C482" s="441"/>
      <c r="D482" s="441"/>
      <c r="E482" s="441"/>
      <c r="F482" s="441"/>
      <c r="G482" s="441"/>
      <c r="H482" s="441"/>
      <c r="I482" s="441"/>
      <c r="J482" s="441"/>
      <c r="K482" s="441"/>
      <c r="L482" s="441"/>
      <c r="M482" s="441"/>
      <c r="N482" s="441"/>
      <c r="O482" s="441"/>
      <c r="P482" s="441"/>
      <c r="Q482" s="441"/>
      <c r="R482" s="441"/>
      <c r="S482" s="441"/>
      <c r="T482" s="441"/>
      <c r="U482" s="441"/>
      <c r="V482" s="441"/>
      <c r="W482" s="441"/>
      <c r="X482" s="441"/>
      <c r="Y482" s="441"/>
      <c r="Z482" s="441"/>
    </row>
    <row r="483">
      <c r="A483" s="441"/>
      <c r="B483" s="441"/>
      <c r="C483" s="441"/>
      <c r="D483" s="441"/>
      <c r="E483" s="441"/>
      <c r="F483" s="441"/>
      <c r="G483" s="441"/>
      <c r="H483" s="441"/>
      <c r="I483" s="441"/>
      <c r="J483" s="441"/>
      <c r="K483" s="441"/>
      <c r="L483" s="441"/>
      <c r="M483" s="441"/>
      <c r="N483" s="441"/>
      <c r="O483" s="441"/>
      <c r="P483" s="441"/>
      <c r="Q483" s="441"/>
      <c r="R483" s="441"/>
      <c r="S483" s="441"/>
      <c r="T483" s="441"/>
      <c r="U483" s="441"/>
      <c r="V483" s="441"/>
      <c r="W483" s="441"/>
      <c r="X483" s="441"/>
      <c r="Y483" s="441"/>
      <c r="Z483" s="441"/>
    </row>
    <row r="484">
      <c r="A484" s="441"/>
      <c r="B484" s="441"/>
      <c r="C484" s="441"/>
      <c r="D484" s="441"/>
      <c r="E484" s="441"/>
      <c r="F484" s="441"/>
      <c r="G484" s="441"/>
      <c r="H484" s="441"/>
      <c r="I484" s="441"/>
      <c r="J484" s="441"/>
      <c r="K484" s="441"/>
      <c r="L484" s="441"/>
      <c r="M484" s="441"/>
      <c r="N484" s="441"/>
      <c r="O484" s="441"/>
      <c r="P484" s="441"/>
      <c r="Q484" s="441"/>
      <c r="R484" s="441"/>
      <c r="S484" s="441"/>
      <c r="T484" s="441"/>
      <c r="U484" s="441"/>
      <c r="V484" s="441"/>
      <c r="W484" s="441"/>
      <c r="X484" s="441"/>
      <c r="Y484" s="441"/>
      <c r="Z484" s="441"/>
    </row>
    <row r="485">
      <c r="A485" s="441"/>
      <c r="B485" s="441"/>
      <c r="C485" s="441"/>
      <c r="D485" s="441"/>
      <c r="E485" s="441"/>
      <c r="F485" s="441"/>
      <c r="G485" s="441"/>
      <c r="H485" s="441"/>
      <c r="I485" s="441"/>
      <c r="J485" s="441"/>
      <c r="K485" s="441"/>
      <c r="L485" s="441"/>
      <c r="M485" s="441"/>
      <c r="N485" s="441"/>
      <c r="O485" s="441"/>
      <c r="P485" s="441"/>
      <c r="Q485" s="441"/>
      <c r="R485" s="441"/>
      <c r="S485" s="441"/>
      <c r="T485" s="441"/>
      <c r="U485" s="441"/>
      <c r="V485" s="441"/>
      <c r="W485" s="441"/>
      <c r="X485" s="441"/>
      <c r="Y485" s="441"/>
      <c r="Z485" s="441"/>
    </row>
    <row r="486">
      <c r="A486" s="441"/>
      <c r="B486" s="441"/>
      <c r="C486" s="441"/>
      <c r="D486" s="441"/>
      <c r="E486" s="441"/>
      <c r="F486" s="441"/>
      <c r="G486" s="441"/>
      <c r="H486" s="441"/>
      <c r="I486" s="441"/>
      <c r="J486" s="441"/>
      <c r="K486" s="441"/>
      <c r="L486" s="441"/>
      <c r="M486" s="441"/>
      <c r="N486" s="441"/>
      <c r="O486" s="441"/>
      <c r="P486" s="441"/>
      <c r="Q486" s="441"/>
      <c r="R486" s="441"/>
      <c r="S486" s="441"/>
      <c r="T486" s="441"/>
      <c r="U486" s="441"/>
      <c r="V486" s="441"/>
      <c r="W486" s="441"/>
      <c r="X486" s="441"/>
      <c r="Y486" s="441"/>
      <c r="Z486" s="441"/>
    </row>
    <row r="487">
      <c r="A487" s="441"/>
      <c r="B487" s="441"/>
      <c r="C487" s="441"/>
      <c r="D487" s="441"/>
      <c r="E487" s="441"/>
      <c r="F487" s="441"/>
      <c r="G487" s="441"/>
      <c r="H487" s="441"/>
      <c r="I487" s="441"/>
      <c r="J487" s="441"/>
      <c r="K487" s="441"/>
      <c r="L487" s="441"/>
      <c r="M487" s="441"/>
      <c r="N487" s="441"/>
      <c r="O487" s="441"/>
      <c r="P487" s="441"/>
      <c r="Q487" s="441"/>
      <c r="R487" s="441"/>
      <c r="S487" s="441"/>
      <c r="T487" s="441"/>
      <c r="U487" s="441"/>
      <c r="V487" s="441"/>
      <c r="W487" s="441"/>
      <c r="X487" s="441"/>
      <c r="Y487" s="441"/>
      <c r="Z487" s="441"/>
    </row>
    <row r="488">
      <c r="A488" s="441"/>
      <c r="B488" s="441"/>
      <c r="C488" s="441"/>
      <c r="D488" s="441"/>
      <c r="E488" s="441"/>
      <c r="F488" s="441"/>
      <c r="G488" s="441"/>
      <c r="H488" s="441"/>
      <c r="I488" s="441"/>
      <c r="J488" s="441"/>
      <c r="K488" s="441"/>
      <c r="L488" s="441"/>
      <c r="M488" s="441"/>
      <c r="N488" s="441"/>
      <c r="O488" s="441"/>
      <c r="P488" s="441"/>
      <c r="Q488" s="441"/>
      <c r="R488" s="441"/>
      <c r="S488" s="441"/>
      <c r="T488" s="441"/>
      <c r="U488" s="441"/>
      <c r="V488" s="441"/>
      <c r="W488" s="441"/>
      <c r="X488" s="441"/>
      <c r="Y488" s="441"/>
      <c r="Z488" s="441"/>
    </row>
    <row r="489">
      <c r="A489" s="441"/>
      <c r="B489" s="441"/>
      <c r="C489" s="441"/>
      <c r="D489" s="441"/>
      <c r="E489" s="441"/>
      <c r="F489" s="441"/>
      <c r="G489" s="441"/>
      <c r="H489" s="441"/>
      <c r="I489" s="441"/>
      <c r="J489" s="441"/>
      <c r="K489" s="441"/>
      <c r="L489" s="441"/>
      <c r="M489" s="441"/>
      <c r="N489" s="441"/>
      <c r="O489" s="441"/>
      <c r="P489" s="441"/>
      <c r="Q489" s="441"/>
      <c r="R489" s="441"/>
      <c r="S489" s="441"/>
      <c r="T489" s="441"/>
      <c r="U489" s="441"/>
      <c r="V489" s="441"/>
      <c r="W489" s="441"/>
      <c r="X489" s="441"/>
      <c r="Y489" s="441"/>
      <c r="Z489" s="441"/>
    </row>
    <row r="490">
      <c r="A490" s="441"/>
      <c r="B490" s="441"/>
      <c r="C490" s="441"/>
      <c r="D490" s="441"/>
      <c r="E490" s="441"/>
      <c r="F490" s="441"/>
      <c r="G490" s="441"/>
      <c r="H490" s="441"/>
      <c r="I490" s="441"/>
      <c r="J490" s="441"/>
      <c r="K490" s="441"/>
      <c r="L490" s="441"/>
      <c r="M490" s="441"/>
      <c r="N490" s="441"/>
      <c r="O490" s="441"/>
      <c r="P490" s="441"/>
      <c r="Q490" s="441"/>
      <c r="R490" s="441"/>
      <c r="S490" s="441"/>
      <c r="T490" s="441"/>
      <c r="U490" s="441"/>
      <c r="V490" s="441"/>
      <c r="W490" s="441"/>
      <c r="X490" s="441"/>
      <c r="Y490" s="441"/>
      <c r="Z490" s="441"/>
    </row>
    <row r="491">
      <c r="A491" s="441"/>
      <c r="B491" s="441"/>
      <c r="C491" s="441"/>
      <c r="D491" s="441"/>
      <c r="E491" s="441"/>
      <c r="F491" s="441"/>
      <c r="G491" s="441"/>
      <c r="H491" s="441"/>
      <c r="I491" s="441"/>
      <c r="J491" s="441"/>
      <c r="K491" s="441"/>
      <c r="L491" s="441"/>
      <c r="M491" s="441"/>
      <c r="N491" s="441"/>
      <c r="O491" s="441"/>
      <c r="P491" s="441"/>
      <c r="Q491" s="441"/>
      <c r="R491" s="441"/>
      <c r="S491" s="441"/>
      <c r="T491" s="441"/>
      <c r="U491" s="441"/>
      <c r="V491" s="441"/>
      <c r="W491" s="441"/>
      <c r="X491" s="441"/>
      <c r="Y491" s="441"/>
      <c r="Z491" s="441"/>
    </row>
    <row r="492">
      <c r="A492" s="441"/>
      <c r="B492" s="441"/>
      <c r="C492" s="441"/>
      <c r="D492" s="441"/>
      <c r="E492" s="441"/>
      <c r="F492" s="441"/>
      <c r="G492" s="441"/>
      <c r="H492" s="441"/>
      <c r="I492" s="441"/>
      <c r="J492" s="441"/>
      <c r="K492" s="441"/>
      <c r="L492" s="441"/>
      <c r="M492" s="441"/>
      <c r="N492" s="441"/>
      <c r="O492" s="441"/>
      <c r="P492" s="441"/>
      <c r="Q492" s="441"/>
      <c r="R492" s="441"/>
      <c r="S492" s="441"/>
      <c r="T492" s="441"/>
      <c r="U492" s="441"/>
      <c r="V492" s="441"/>
      <c r="W492" s="441"/>
      <c r="X492" s="441"/>
      <c r="Y492" s="441"/>
      <c r="Z492" s="441"/>
    </row>
    <row r="493">
      <c r="A493" s="441"/>
      <c r="B493" s="441"/>
      <c r="C493" s="441"/>
      <c r="D493" s="441"/>
      <c r="E493" s="441"/>
      <c r="F493" s="441"/>
      <c r="G493" s="441"/>
      <c r="H493" s="441"/>
      <c r="I493" s="441"/>
      <c r="J493" s="441"/>
      <c r="K493" s="441"/>
      <c r="L493" s="441"/>
      <c r="M493" s="441"/>
      <c r="N493" s="441"/>
      <c r="O493" s="441"/>
      <c r="P493" s="441"/>
      <c r="Q493" s="441"/>
      <c r="R493" s="441"/>
      <c r="S493" s="441"/>
      <c r="T493" s="441"/>
      <c r="U493" s="441"/>
      <c r="V493" s="441"/>
      <c r="W493" s="441"/>
      <c r="X493" s="441"/>
      <c r="Y493" s="441"/>
      <c r="Z493" s="441"/>
    </row>
    <row r="494">
      <c r="A494" s="441"/>
      <c r="B494" s="441"/>
      <c r="C494" s="441"/>
      <c r="D494" s="441"/>
      <c r="E494" s="441"/>
      <c r="F494" s="441"/>
      <c r="G494" s="441"/>
      <c r="H494" s="441"/>
      <c r="I494" s="441"/>
      <c r="J494" s="441"/>
      <c r="K494" s="441"/>
      <c r="L494" s="441"/>
      <c r="M494" s="441"/>
      <c r="N494" s="441"/>
      <c r="O494" s="441"/>
      <c r="P494" s="441"/>
      <c r="Q494" s="441"/>
      <c r="R494" s="441"/>
      <c r="S494" s="441"/>
      <c r="T494" s="441"/>
      <c r="U494" s="441"/>
      <c r="V494" s="441"/>
      <c r="W494" s="441"/>
      <c r="X494" s="441"/>
      <c r="Y494" s="441"/>
      <c r="Z494" s="441"/>
    </row>
    <row r="495">
      <c r="A495" s="441"/>
      <c r="B495" s="441"/>
      <c r="C495" s="441"/>
      <c r="D495" s="441"/>
      <c r="E495" s="441"/>
      <c r="F495" s="441"/>
      <c r="G495" s="441"/>
      <c r="H495" s="441"/>
      <c r="I495" s="441"/>
      <c r="J495" s="441"/>
      <c r="K495" s="441"/>
      <c r="L495" s="441"/>
      <c r="M495" s="441"/>
      <c r="N495" s="441"/>
      <c r="O495" s="441"/>
      <c r="P495" s="441"/>
      <c r="Q495" s="441"/>
      <c r="R495" s="441"/>
      <c r="S495" s="441"/>
      <c r="T495" s="441"/>
      <c r="U495" s="441"/>
      <c r="V495" s="441"/>
      <c r="W495" s="441"/>
      <c r="X495" s="441"/>
      <c r="Y495" s="441"/>
      <c r="Z495" s="441"/>
    </row>
    <row r="496">
      <c r="A496" s="441"/>
      <c r="B496" s="441"/>
      <c r="C496" s="441"/>
      <c r="D496" s="441"/>
      <c r="E496" s="441"/>
      <c r="F496" s="441"/>
      <c r="G496" s="441"/>
      <c r="H496" s="441"/>
      <c r="I496" s="441"/>
      <c r="J496" s="441"/>
      <c r="K496" s="441"/>
      <c r="L496" s="441"/>
      <c r="M496" s="441"/>
      <c r="N496" s="441"/>
      <c r="O496" s="441"/>
      <c r="P496" s="441"/>
      <c r="Q496" s="441"/>
      <c r="R496" s="441"/>
      <c r="S496" s="441"/>
      <c r="T496" s="441"/>
      <c r="U496" s="441"/>
      <c r="V496" s="441"/>
      <c r="W496" s="441"/>
      <c r="X496" s="441"/>
      <c r="Y496" s="441"/>
      <c r="Z496" s="441"/>
    </row>
    <row r="497">
      <c r="A497" s="441"/>
      <c r="B497" s="441"/>
      <c r="C497" s="441"/>
      <c r="D497" s="441"/>
      <c r="E497" s="441"/>
      <c r="F497" s="441"/>
      <c r="G497" s="441"/>
      <c r="H497" s="441"/>
      <c r="I497" s="441"/>
      <c r="J497" s="441"/>
      <c r="K497" s="441"/>
      <c r="L497" s="441"/>
      <c r="M497" s="441"/>
      <c r="N497" s="441"/>
      <c r="O497" s="441"/>
      <c r="P497" s="441"/>
      <c r="Q497" s="441"/>
      <c r="R497" s="441"/>
      <c r="S497" s="441"/>
      <c r="T497" s="441"/>
      <c r="U497" s="441"/>
      <c r="V497" s="441"/>
      <c r="W497" s="441"/>
      <c r="X497" s="441"/>
      <c r="Y497" s="441"/>
      <c r="Z497" s="441"/>
    </row>
    <row r="498">
      <c r="A498" s="441"/>
      <c r="B498" s="441"/>
      <c r="C498" s="441"/>
      <c r="D498" s="441"/>
      <c r="E498" s="441"/>
      <c r="F498" s="441"/>
      <c r="G498" s="441"/>
      <c r="H498" s="441"/>
      <c r="I498" s="441"/>
      <c r="J498" s="441"/>
      <c r="K498" s="441"/>
      <c r="L498" s="441"/>
      <c r="M498" s="441"/>
      <c r="N498" s="441"/>
      <c r="O498" s="441"/>
      <c r="P498" s="441"/>
      <c r="Q498" s="441"/>
      <c r="R498" s="441"/>
      <c r="S498" s="441"/>
      <c r="T498" s="441"/>
      <c r="U498" s="441"/>
      <c r="V498" s="441"/>
      <c r="W498" s="441"/>
      <c r="X498" s="441"/>
      <c r="Y498" s="441"/>
      <c r="Z498" s="441"/>
    </row>
    <row r="499">
      <c r="A499" s="441"/>
      <c r="B499" s="441"/>
      <c r="C499" s="441"/>
      <c r="D499" s="441"/>
      <c r="E499" s="441"/>
      <c r="F499" s="441"/>
      <c r="G499" s="441"/>
      <c r="H499" s="441"/>
      <c r="I499" s="441"/>
      <c r="J499" s="441"/>
      <c r="K499" s="441"/>
      <c r="L499" s="441"/>
      <c r="M499" s="441"/>
      <c r="N499" s="441"/>
      <c r="O499" s="441"/>
      <c r="P499" s="441"/>
      <c r="Q499" s="441"/>
      <c r="R499" s="441"/>
      <c r="S499" s="441"/>
      <c r="T499" s="441"/>
      <c r="U499" s="441"/>
      <c r="V499" s="441"/>
      <c r="W499" s="441"/>
      <c r="X499" s="441"/>
      <c r="Y499" s="441"/>
      <c r="Z499" s="441"/>
    </row>
    <row r="500">
      <c r="A500" s="441"/>
      <c r="B500" s="441"/>
      <c r="C500" s="441"/>
      <c r="D500" s="441"/>
      <c r="E500" s="441"/>
      <c r="F500" s="441"/>
      <c r="G500" s="441"/>
      <c r="H500" s="441"/>
      <c r="I500" s="441"/>
      <c r="J500" s="441"/>
      <c r="K500" s="441"/>
      <c r="L500" s="441"/>
      <c r="M500" s="441"/>
      <c r="N500" s="441"/>
      <c r="O500" s="441"/>
      <c r="P500" s="441"/>
      <c r="Q500" s="441"/>
      <c r="R500" s="441"/>
      <c r="S500" s="441"/>
      <c r="T500" s="441"/>
      <c r="U500" s="441"/>
      <c r="V500" s="441"/>
      <c r="W500" s="441"/>
      <c r="X500" s="441"/>
      <c r="Y500" s="441"/>
      <c r="Z500" s="441"/>
    </row>
    <row r="501">
      <c r="A501" s="441"/>
      <c r="B501" s="441"/>
      <c r="C501" s="441"/>
      <c r="D501" s="441"/>
      <c r="E501" s="441"/>
      <c r="F501" s="441"/>
      <c r="G501" s="441"/>
      <c r="H501" s="441"/>
      <c r="I501" s="441"/>
      <c r="J501" s="441"/>
      <c r="K501" s="441"/>
      <c r="L501" s="441"/>
      <c r="M501" s="441"/>
      <c r="N501" s="441"/>
      <c r="O501" s="441"/>
      <c r="P501" s="441"/>
      <c r="Q501" s="441"/>
      <c r="R501" s="441"/>
      <c r="S501" s="441"/>
      <c r="T501" s="441"/>
      <c r="U501" s="441"/>
      <c r="V501" s="441"/>
      <c r="W501" s="441"/>
      <c r="X501" s="441"/>
      <c r="Y501" s="441"/>
      <c r="Z501" s="441"/>
    </row>
    <row r="502">
      <c r="A502" s="441"/>
      <c r="B502" s="441"/>
      <c r="C502" s="441"/>
      <c r="D502" s="441"/>
      <c r="E502" s="441"/>
      <c r="F502" s="441"/>
      <c r="G502" s="441"/>
      <c r="H502" s="441"/>
      <c r="I502" s="441"/>
      <c r="J502" s="441"/>
      <c r="K502" s="441"/>
      <c r="L502" s="441"/>
      <c r="M502" s="441"/>
      <c r="N502" s="441"/>
      <c r="O502" s="441"/>
      <c r="P502" s="441"/>
      <c r="Q502" s="441"/>
      <c r="R502" s="441"/>
      <c r="S502" s="441"/>
      <c r="T502" s="441"/>
      <c r="U502" s="441"/>
      <c r="V502" s="441"/>
      <c r="W502" s="441"/>
      <c r="X502" s="441"/>
      <c r="Y502" s="441"/>
      <c r="Z502" s="441"/>
    </row>
    <row r="503">
      <c r="A503" s="441"/>
      <c r="B503" s="441"/>
      <c r="C503" s="441"/>
      <c r="D503" s="441"/>
      <c r="E503" s="441"/>
      <c r="F503" s="441"/>
      <c r="G503" s="441"/>
      <c r="H503" s="441"/>
      <c r="I503" s="441"/>
      <c r="J503" s="441"/>
      <c r="K503" s="441"/>
      <c r="L503" s="441"/>
      <c r="M503" s="441"/>
      <c r="N503" s="441"/>
      <c r="O503" s="441"/>
      <c r="P503" s="441"/>
      <c r="Q503" s="441"/>
      <c r="R503" s="441"/>
      <c r="S503" s="441"/>
      <c r="T503" s="441"/>
      <c r="U503" s="441"/>
      <c r="V503" s="441"/>
      <c r="W503" s="441"/>
      <c r="X503" s="441"/>
      <c r="Y503" s="441"/>
      <c r="Z503" s="441"/>
    </row>
    <row r="504">
      <c r="A504" s="441"/>
      <c r="B504" s="441"/>
      <c r="C504" s="441"/>
      <c r="D504" s="441"/>
      <c r="E504" s="441"/>
      <c r="F504" s="441"/>
      <c r="G504" s="441"/>
      <c r="H504" s="441"/>
      <c r="I504" s="441"/>
      <c r="J504" s="441"/>
      <c r="K504" s="441"/>
      <c r="L504" s="441"/>
      <c r="M504" s="441"/>
      <c r="N504" s="441"/>
      <c r="O504" s="441"/>
      <c r="P504" s="441"/>
      <c r="Q504" s="441"/>
      <c r="R504" s="441"/>
      <c r="S504" s="441"/>
      <c r="T504" s="441"/>
      <c r="U504" s="441"/>
      <c r="V504" s="441"/>
      <c r="W504" s="441"/>
      <c r="X504" s="441"/>
      <c r="Y504" s="441"/>
      <c r="Z504" s="441"/>
    </row>
    <row r="505">
      <c r="A505" s="441"/>
      <c r="B505" s="441"/>
      <c r="C505" s="441"/>
      <c r="D505" s="441"/>
      <c r="E505" s="441"/>
      <c r="F505" s="441"/>
      <c r="G505" s="441"/>
      <c r="H505" s="441"/>
      <c r="I505" s="441"/>
      <c r="J505" s="441"/>
      <c r="K505" s="441"/>
      <c r="L505" s="441"/>
      <c r="M505" s="441"/>
      <c r="N505" s="441"/>
      <c r="O505" s="441"/>
      <c r="P505" s="441"/>
      <c r="Q505" s="441"/>
      <c r="R505" s="441"/>
      <c r="S505" s="441"/>
      <c r="T505" s="441"/>
      <c r="U505" s="441"/>
      <c r="V505" s="441"/>
      <c r="W505" s="441"/>
      <c r="X505" s="441"/>
      <c r="Y505" s="441"/>
      <c r="Z505" s="441"/>
    </row>
    <row r="506">
      <c r="A506" s="441"/>
      <c r="B506" s="441"/>
      <c r="C506" s="441"/>
      <c r="D506" s="441"/>
      <c r="E506" s="441"/>
      <c r="F506" s="441"/>
      <c r="G506" s="441"/>
      <c r="H506" s="441"/>
      <c r="I506" s="441"/>
      <c r="J506" s="441"/>
      <c r="K506" s="441"/>
      <c r="L506" s="441"/>
      <c r="M506" s="441"/>
      <c r="N506" s="441"/>
      <c r="O506" s="441"/>
      <c r="P506" s="441"/>
      <c r="Q506" s="441"/>
      <c r="R506" s="441"/>
      <c r="S506" s="441"/>
      <c r="T506" s="441"/>
      <c r="U506" s="441"/>
      <c r="V506" s="441"/>
      <c r="W506" s="441"/>
      <c r="X506" s="441"/>
      <c r="Y506" s="441"/>
      <c r="Z506" s="441"/>
    </row>
    <row r="507">
      <c r="A507" s="441"/>
      <c r="B507" s="441"/>
      <c r="C507" s="441"/>
      <c r="D507" s="441"/>
      <c r="E507" s="441"/>
      <c r="F507" s="441"/>
      <c r="G507" s="441"/>
      <c r="H507" s="441"/>
      <c r="I507" s="441"/>
      <c r="J507" s="441"/>
      <c r="K507" s="441"/>
      <c r="L507" s="441"/>
      <c r="M507" s="441"/>
      <c r="N507" s="441"/>
      <c r="O507" s="441"/>
      <c r="P507" s="441"/>
      <c r="Q507" s="441"/>
      <c r="R507" s="441"/>
      <c r="S507" s="441"/>
      <c r="T507" s="441"/>
      <c r="U507" s="441"/>
      <c r="V507" s="441"/>
      <c r="W507" s="441"/>
      <c r="X507" s="441"/>
      <c r="Y507" s="441"/>
      <c r="Z507" s="441"/>
    </row>
    <row r="508">
      <c r="A508" s="441"/>
      <c r="B508" s="441"/>
      <c r="C508" s="441"/>
      <c r="D508" s="441"/>
      <c r="E508" s="441"/>
      <c r="F508" s="441"/>
      <c r="G508" s="441"/>
      <c r="H508" s="441"/>
      <c r="I508" s="441"/>
      <c r="J508" s="441"/>
      <c r="K508" s="441"/>
      <c r="L508" s="441"/>
      <c r="M508" s="441"/>
      <c r="N508" s="441"/>
      <c r="O508" s="441"/>
      <c r="P508" s="441"/>
      <c r="Q508" s="441"/>
      <c r="R508" s="441"/>
      <c r="S508" s="441"/>
      <c r="T508" s="441"/>
      <c r="U508" s="441"/>
      <c r="V508" s="441"/>
      <c r="W508" s="441"/>
      <c r="X508" s="441"/>
      <c r="Y508" s="441"/>
      <c r="Z508" s="441"/>
    </row>
    <row r="509">
      <c r="A509" s="441"/>
      <c r="B509" s="441"/>
      <c r="C509" s="441"/>
      <c r="D509" s="441"/>
      <c r="E509" s="441"/>
      <c r="F509" s="441"/>
      <c r="G509" s="441"/>
      <c r="H509" s="441"/>
      <c r="I509" s="441"/>
      <c r="J509" s="441"/>
      <c r="K509" s="441"/>
      <c r="L509" s="441"/>
      <c r="M509" s="441"/>
      <c r="N509" s="441"/>
      <c r="O509" s="441"/>
      <c r="P509" s="441"/>
      <c r="Q509" s="441"/>
      <c r="R509" s="441"/>
      <c r="S509" s="441"/>
      <c r="T509" s="441"/>
      <c r="U509" s="441"/>
      <c r="V509" s="441"/>
      <c r="W509" s="441"/>
      <c r="X509" s="441"/>
      <c r="Y509" s="441"/>
      <c r="Z509" s="441"/>
    </row>
    <row r="510">
      <c r="A510" s="441"/>
      <c r="B510" s="441"/>
      <c r="C510" s="441"/>
      <c r="D510" s="441"/>
      <c r="E510" s="441"/>
      <c r="F510" s="441"/>
      <c r="G510" s="441"/>
      <c r="H510" s="441"/>
      <c r="I510" s="441"/>
      <c r="J510" s="441"/>
      <c r="K510" s="441"/>
      <c r="L510" s="441"/>
      <c r="M510" s="441"/>
      <c r="N510" s="441"/>
      <c r="O510" s="441"/>
      <c r="P510" s="441"/>
      <c r="Q510" s="441"/>
      <c r="R510" s="441"/>
      <c r="S510" s="441"/>
      <c r="T510" s="441"/>
      <c r="U510" s="441"/>
      <c r="V510" s="441"/>
      <c r="W510" s="441"/>
      <c r="X510" s="441"/>
      <c r="Y510" s="441"/>
      <c r="Z510" s="441"/>
    </row>
    <row r="511">
      <c r="A511" s="441"/>
      <c r="B511" s="441"/>
      <c r="C511" s="441"/>
      <c r="D511" s="441"/>
      <c r="E511" s="441"/>
      <c r="F511" s="441"/>
      <c r="G511" s="441"/>
      <c r="H511" s="441"/>
      <c r="I511" s="441"/>
      <c r="J511" s="441"/>
      <c r="K511" s="441"/>
      <c r="L511" s="441"/>
      <c r="M511" s="441"/>
      <c r="N511" s="441"/>
      <c r="O511" s="441"/>
      <c r="P511" s="441"/>
      <c r="Q511" s="441"/>
      <c r="R511" s="441"/>
      <c r="S511" s="441"/>
      <c r="T511" s="441"/>
      <c r="U511" s="441"/>
      <c r="V511" s="441"/>
      <c r="W511" s="441"/>
      <c r="X511" s="441"/>
      <c r="Y511" s="441"/>
      <c r="Z511" s="441"/>
    </row>
    <row r="512">
      <c r="A512" s="441"/>
      <c r="B512" s="441"/>
      <c r="C512" s="441"/>
      <c r="D512" s="441"/>
      <c r="E512" s="441"/>
      <c r="F512" s="441"/>
      <c r="G512" s="441"/>
      <c r="H512" s="441"/>
      <c r="I512" s="441"/>
      <c r="J512" s="441"/>
      <c r="K512" s="441"/>
      <c r="L512" s="441"/>
      <c r="M512" s="441"/>
      <c r="N512" s="441"/>
      <c r="O512" s="441"/>
      <c r="P512" s="441"/>
      <c r="Q512" s="441"/>
      <c r="R512" s="441"/>
      <c r="S512" s="441"/>
      <c r="T512" s="441"/>
      <c r="U512" s="441"/>
      <c r="V512" s="441"/>
      <c r="W512" s="441"/>
      <c r="X512" s="441"/>
      <c r="Y512" s="441"/>
      <c r="Z512" s="441"/>
    </row>
    <row r="513">
      <c r="A513" s="441"/>
      <c r="B513" s="441"/>
      <c r="C513" s="441"/>
      <c r="D513" s="441"/>
      <c r="E513" s="441"/>
      <c r="F513" s="441"/>
      <c r="G513" s="441"/>
      <c r="H513" s="441"/>
      <c r="I513" s="441"/>
      <c r="J513" s="441"/>
      <c r="K513" s="441"/>
      <c r="L513" s="441"/>
      <c r="M513" s="441"/>
      <c r="N513" s="441"/>
      <c r="O513" s="441"/>
      <c r="P513" s="441"/>
      <c r="Q513" s="441"/>
      <c r="R513" s="441"/>
      <c r="S513" s="441"/>
      <c r="T513" s="441"/>
      <c r="U513" s="441"/>
      <c r="V513" s="441"/>
      <c r="W513" s="441"/>
      <c r="X513" s="441"/>
      <c r="Y513" s="441"/>
      <c r="Z513" s="441"/>
    </row>
    <row r="514">
      <c r="A514" s="441"/>
      <c r="B514" s="441"/>
      <c r="C514" s="441"/>
      <c r="D514" s="441"/>
      <c r="E514" s="441"/>
      <c r="F514" s="441"/>
      <c r="G514" s="441"/>
      <c r="H514" s="441"/>
      <c r="I514" s="441"/>
      <c r="J514" s="441"/>
      <c r="K514" s="441"/>
      <c r="L514" s="441"/>
      <c r="M514" s="441"/>
      <c r="N514" s="441"/>
      <c r="O514" s="441"/>
      <c r="P514" s="441"/>
      <c r="Q514" s="441"/>
      <c r="R514" s="441"/>
      <c r="S514" s="441"/>
      <c r="T514" s="441"/>
      <c r="U514" s="441"/>
      <c r="V514" s="441"/>
      <c r="W514" s="441"/>
      <c r="X514" s="441"/>
      <c r="Y514" s="441"/>
      <c r="Z514" s="441"/>
    </row>
    <row r="515">
      <c r="A515" s="441"/>
      <c r="B515" s="441"/>
      <c r="C515" s="441"/>
      <c r="D515" s="441"/>
      <c r="E515" s="441"/>
      <c r="F515" s="441"/>
      <c r="G515" s="441"/>
      <c r="H515" s="441"/>
      <c r="I515" s="441"/>
      <c r="J515" s="441"/>
      <c r="K515" s="441"/>
      <c r="L515" s="441"/>
      <c r="M515" s="441"/>
      <c r="N515" s="441"/>
      <c r="O515" s="441"/>
      <c r="P515" s="441"/>
      <c r="Q515" s="441"/>
      <c r="R515" s="441"/>
      <c r="S515" s="441"/>
      <c r="T515" s="441"/>
      <c r="U515" s="441"/>
      <c r="V515" s="441"/>
      <c r="W515" s="441"/>
      <c r="X515" s="441"/>
      <c r="Y515" s="441"/>
      <c r="Z515" s="441"/>
    </row>
    <row r="516">
      <c r="A516" s="441"/>
      <c r="B516" s="441"/>
      <c r="C516" s="441"/>
      <c r="D516" s="441"/>
      <c r="E516" s="441"/>
      <c r="F516" s="441"/>
      <c r="G516" s="441"/>
      <c r="H516" s="441"/>
      <c r="I516" s="441"/>
      <c r="J516" s="441"/>
      <c r="K516" s="441"/>
      <c r="L516" s="441"/>
      <c r="M516" s="441"/>
      <c r="N516" s="441"/>
      <c r="O516" s="441"/>
      <c r="P516" s="441"/>
      <c r="Q516" s="441"/>
      <c r="R516" s="441"/>
      <c r="S516" s="441"/>
      <c r="T516" s="441"/>
      <c r="U516" s="441"/>
      <c r="V516" s="441"/>
      <c r="W516" s="441"/>
      <c r="X516" s="441"/>
      <c r="Y516" s="441"/>
      <c r="Z516" s="441"/>
    </row>
    <row r="517">
      <c r="A517" s="441"/>
      <c r="B517" s="441"/>
      <c r="C517" s="441"/>
      <c r="D517" s="441"/>
      <c r="E517" s="441"/>
      <c r="F517" s="441"/>
      <c r="G517" s="441"/>
      <c r="H517" s="441"/>
      <c r="I517" s="441"/>
      <c r="J517" s="441"/>
      <c r="K517" s="441"/>
      <c r="L517" s="441"/>
      <c r="M517" s="441"/>
      <c r="N517" s="441"/>
      <c r="O517" s="441"/>
      <c r="P517" s="441"/>
      <c r="Q517" s="441"/>
      <c r="R517" s="441"/>
      <c r="S517" s="441"/>
      <c r="T517" s="441"/>
      <c r="U517" s="441"/>
      <c r="V517" s="441"/>
      <c r="W517" s="441"/>
      <c r="X517" s="441"/>
      <c r="Y517" s="441"/>
      <c r="Z517" s="441"/>
    </row>
    <row r="518">
      <c r="A518" s="441"/>
      <c r="B518" s="441"/>
      <c r="C518" s="441"/>
      <c r="D518" s="441"/>
      <c r="E518" s="441"/>
      <c r="F518" s="441"/>
      <c r="G518" s="441"/>
      <c r="H518" s="441"/>
      <c r="I518" s="441"/>
      <c r="J518" s="441"/>
      <c r="K518" s="441"/>
      <c r="L518" s="441"/>
      <c r="M518" s="441"/>
      <c r="N518" s="441"/>
      <c r="O518" s="441"/>
      <c r="P518" s="441"/>
      <c r="Q518" s="441"/>
      <c r="R518" s="441"/>
      <c r="S518" s="441"/>
      <c r="T518" s="441"/>
      <c r="U518" s="441"/>
      <c r="V518" s="441"/>
      <c r="W518" s="441"/>
      <c r="X518" s="441"/>
      <c r="Y518" s="441"/>
      <c r="Z518" s="441"/>
    </row>
    <row r="519">
      <c r="A519" s="441"/>
      <c r="B519" s="441"/>
      <c r="C519" s="441"/>
      <c r="D519" s="441"/>
      <c r="E519" s="441"/>
      <c r="F519" s="441"/>
      <c r="G519" s="441"/>
      <c r="H519" s="441"/>
      <c r="I519" s="441"/>
      <c r="J519" s="441"/>
      <c r="K519" s="441"/>
      <c r="L519" s="441"/>
      <c r="M519" s="441"/>
      <c r="N519" s="441"/>
      <c r="O519" s="441"/>
      <c r="P519" s="441"/>
      <c r="Q519" s="441"/>
      <c r="R519" s="441"/>
      <c r="S519" s="441"/>
      <c r="T519" s="441"/>
      <c r="U519" s="441"/>
      <c r="V519" s="441"/>
      <c r="W519" s="441"/>
      <c r="X519" s="441"/>
      <c r="Y519" s="441"/>
      <c r="Z519" s="441"/>
    </row>
    <row r="520">
      <c r="A520" s="441"/>
      <c r="B520" s="441"/>
      <c r="C520" s="441"/>
      <c r="D520" s="441"/>
      <c r="E520" s="441"/>
      <c r="F520" s="441"/>
      <c r="G520" s="441"/>
      <c r="H520" s="441"/>
      <c r="I520" s="441"/>
      <c r="J520" s="441"/>
      <c r="K520" s="441"/>
      <c r="L520" s="441"/>
      <c r="M520" s="441"/>
      <c r="N520" s="441"/>
      <c r="O520" s="441"/>
      <c r="P520" s="441"/>
      <c r="Q520" s="441"/>
      <c r="R520" s="441"/>
      <c r="S520" s="441"/>
      <c r="T520" s="441"/>
      <c r="U520" s="441"/>
      <c r="V520" s="441"/>
      <c r="W520" s="441"/>
      <c r="X520" s="441"/>
      <c r="Y520" s="441"/>
      <c r="Z520" s="441"/>
    </row>
    <row r="521">
      <c r="A521" s="441"/>
      <c r="B521" s="441"/>
      <c r="C521" s="441"/>
      <c r="D521" s="441"/>
      <c r="E521" s="441"/>
      <c r="F521" s="441"/>
      <c r="G521" s="441"/>
      <c r="H521" s="441"/>
      <c r="I521" s="441"/>
      <c r="J521" s="441"/>
      <c r="K521" s="441"/>
      <c r="L521" s="441"/>
      <c r="M521" s="441"/>
      <c r="N521" s="441"/>
      <c r="O521" s="441"/>
      <c r="P521" s="441"/>
      <c r="Q521" s="441"/>
      <c r="R521" s="441"/>
      <c r="S521" s="441"/>
      <c r="T521" s="441"/>
      <c r="U521" s="441"/>
      <c r="V521" s="441"/>
      <c r="W521" s="441"/>
      <c r="X521" s="441"/>
      <c r="Y521" s="441"/>
      <c r="Z521" s="441"/>
    </row>
    <row r="522">
      <c r="A522" s="441"/>
      <c r="B522" s="441"/>
      <c r="C522" s="441"/>
      <c r="D522" s="441"/>
      <c r="E522" s="441"/>
      <c r="F522" s="441"/>
      <c r="G522" s="441"/>
      <c r="H522" s="441"/>
      <c r="I522" s="441"/>
      <c r="J522" s="441"/>
      <c r="K522" s="441"/>
      <c r="L522" s="441"/>
      <c r="M522" s="441"/>
      <c r="N522" s="441"/>
      <c r="O522" s="441"/>
      <c r="P522" s="441"/>
      <c r="Q522" s="441"/>
      <c r="R522" s="441"/>
      <c r="S522" s="441"/>
      <c r="T522" s="441"/>
      <c r="U522" s="441"/>
      <c r="V522" s="441"/>
      <c r="W522" s="441"/>
      <c r="X522" s="441"/>
      <c r="Y522" s="441"/>
      <c r="Z522" s="441"/>
    </row>
    <row r="523">
      <c r="A523" s="441"/>
      <c r="B523" s="441"/>
      <c r="C523" s="441"/>
      <c r="D523" s="441"/>
      <c r="E523" s="441"/>
      <c r="F523" s="441"/>
      <c r="G523" s="441"/>
      <c r="H523" s="441"/>
      <c r="I523" s="441"/>
      <c r="J523" s="441"/>
      <c r="K523" s="441"/>
      <c r="L523" s="441"/>
      <c r="M523" s="441"/>
      <c r="N523" s="441"/>
      <c r="O523" s="441"/>
      <c r="P523" s="441"/>
      <c r="Q523" s="441"/>
      <c r="R523" s="441"/>
      <c r="S523" s="441"/>
      <c r="T523" s="441"/>
      <c r="U523" s="441"/>
      <c r="V523" s="441"/>
      <c r="W523" s="441"/>
      <c r="X523" s="441"/>
      <c r="Y523" s="441"/>
      <c r="Z523" s="441"/>
    </row>
    <row r="524">
      <c r="A524" s="441"/>
      <c r="B524" s="441"/>
      <c r="C524" s="441"/>
      <c r="D524" s="441"/>
      <c r="E524" s="441"/>
      <c r="F524" s="441"/>
      <c r="G524" s="441"/>
      <c r="H524" s="441"/>
      <c r="I524" s="441"/>
      <c r="J524" s="441"/>
      <c r="K524" s="441"/>
      <c r="L524" s="441"/>
      <c r="M524" s="441"/>
      <c r="N524" s="441"/>
      <c r="O524" s="441"/>
      <c r="P524" s="441"/>
      <c r="Q524" s="441"/>
      <c r="R524" s="441"/>
      <c r="S524" s="441"/>
      <c r="T524" s="441"/>
      <c r="U524" s="441"/>
      <c r="V524" s="441"/>
      <c r="W524" s="441"/>
      <c r="X524" s="441"/>
      <c r="Y524" s="441"/>
      <c r="Z524" s="441"/>
    </row>
    <row r="525">
      <c r="A525" s="441"/>
      <c r="B525" s="441"/>
      <c r="C525" s="441"/>
      <c r="D525" s="441"/>
      <c r="E525" s="441"/>
      <c r="F525" s="441"/>
      <c r="G525" s="441"/>
      <c r="H525" s="441"/>
      <c r="I525" s="441"/>
      <c r="J525" s="441"/>
      <c r="K525" s="441"/>
      <c r="L525" s="441"/>
      <c r="M525" s="441"/>
      <c r="N525" s="441"/>
      <c r="O525" s="441"/>
      <c r="P525" s="441"/>
      <c r="Q525" s="441"/>
      <c r="R525" s="441"/>
      <c r="S525" s="441"/>
      <c r="T525" s="441"/>
      <c r="U525" s="441"/>
      <c r="V525" s="441"/>
      <c r="W525" s="441"/>
      <c r="X525" s="441"/>
      <c r="Y525" s="441"/>
      <c r="Z525" s="441"/>
    </row>
    <row r="526">
      <c r="A526" s="441"/>
      <c r="B526" s="441"/>
      <c r="C526" s="441"/>
      <c r="D526" s="441"/>
      <c r="E526" s="441"/>
      <c r="F526" s="441"/>
      <c r="G526" s="441"/>
      <c r="H526" s="441"/>
      <c r="I526" s="441"/>
      <c r="J526" s="441"/>
      <c r="K526" s="441"/>
      <c r="L526" s="441"/>
      <c r="M526" s="441"/>
      <c r="N526" s="441"/>
      <c r="O526" s="441"/>
      <c r="P526" s="441"/>
      <c r="Q526" s="441"/>
      <c r="R526" s="441"/>
      <c r="S526" s="441"/>
      <c r="T526" s="441"/>
      <c r="U526" s="441"/>
      <c r="V526" s="441"/>
      <c r="W526" s="441"/>
      <c r="X526" s="441"/>
      <c r="Y526" s="441"/>
      <c r="Z526" s="441"/>
    </row>
    <row r="527">
      <c r="A527" s="441"/>
      <c r="B527" s="441"/>
      <c r="C527" s="441"/>
      <c r="D527" s="441"/>
      <c r="E527" s="441"/>
      <c r="F527" s="441"/>
      <c r="G527" s="441"/>
      <c r="H527" s="441"/>
      <c r="I527" s="441"/>
      <c r="J527" s="441"/>
      <c r="K527" s="441"/>
      <c r="L527" s="441"/>
      <c r="M527" s="441"/>
      <c r="N527" s="441"/>
      <c r="O527" s="441"/>
      <c r="P527" s="441"/>
      <c r="Q527" s="441"/>
      <c r="R527" s="441"/>
      <c r="S527" s="441"/>
      <c r="T527" s="441"/>
      <c r="U527" s="441"/>
      <c r="V527" s="441"/>
      <c r="W527" s="441"/>
      <c r="X527" s="441"/>
      <c r="Y527" s="441"/>
      <c r="Z527" s="441"/>
    </row>
    <row r="528">
      <c r="A528" s="441"/>
      <c r="B528" s="441"/>
      <c r="C528" s="441"/>
      <c r="D528" s="441"/>
      <c r="E528" s="441"/>
      <c r="F528" s="441"/>
      <c r="G528" s="441"/>
      <c r="H528" s="441"/>
      <c r="I528" s="441"/>
      <c r="J528" s="441"/>
      <c r="K528" s="441"/>
      <c r="L528" s="441"/>
      <c r="M528" s="441"/>
      <c r="N528" s="441"/>
      <c r="O528" s="441"/>
      <c r="P528" s="441"/>
      <c r="Q528" s="441"/>
      <c r="R528" s="441"/>
      <c r="S528" s="441"/>
      <c r="T528" s="441"/>
      <c r="U528" s="441"/>
      <c r="V528" s="441"/>
      <c r="W528" s="441"/>
      <c r="X528" s="441"/>
      <c r="Y528" s="441"/>
      <c r="Z528" s="441"/>
    </row>
    <row r="529">
      <c r="A529" s="441"/>
      <c r="B529" s="441"/>
      <c r="C529" s="441"/>
      <c r="D529" s="441"/>
      <c r="E529" s="441"/>
      <c r="F529" s="441"/>
      <c r="G529" s="441"/>
      <c r="H529" s="441"/>
      <c r="I529" s="441"/>
      <c r="J529" s="441"/>
      <c r="K529" s="441"/>
      <c r="L529" s="441"/>
      <c r="M529" s="441"/>
      <c r="N529" s="441"/>
      <c r="O529" s="441"/>
      <c r="P529" s="441"/>
      <c r="Q529" s="441"/>
      <c r="R529" s="441"/>
      <c r="S529" s="441"/>
      <c r="T529" s="441"/>
      <c r="U529" s="441"/>
      <c r="V529" s="441"/>
      <c r="W529" s="441"/>
      <c r="X529" s="441"/>
      <c r="Y529" s="441"/>
      <c r="Z529" s="441"/>
    </row>
    <row r="530">
      <c r="A530" s="441"/>
      <c r="B530" s="441"/>
      <c r="C530" s="441"/>
      <c r="D530" s="441"/>
      <c r="E530" s="441"/>
      <c r="F530" s="441"/>
      <c r="G530" s="441"/>
      <c r="H530" s="441"/>
      <c r="I530" s="441"/>
      <c r="J530" s="441"/>
      <c r="K530" s="441"/>
      <c r="L530" s="441"/>
      <c r="M530" s="441"/>
      <c r="N530" s="441"/>
      <c r="O530" s="441"/>
      <c r="P530" s="441"/>
      <c r="Q530" s="441"/>
      <c r="R530" s="441"/>
      <c r="S530" s="441"/>
      <c r="T530" s="441"/>
      <c r="U530" s="441"/>
      <c r="V530" s="441"/>
      <c r="W530" s="441"/>
      <c r="X530" s="441"/>
      <c r="Y530" s="441"/>
      <c r="Z530" s="441"/>
    </row>
    <row r="531">
      <c r="A531" s="441"/>
      <c r="B531" s="441"/>
      <c r="C531" s="441"/>
      <c r="D531" s="441"/>
      <c r="E531" s="441"/>
      <c r="F531" s="441"/>
      <c r="G531" s="441"/>
      <c r="H531" s="441"/>
      <c r="I531" s="441"/>
      <c r="J531" s="441"/>
      <c r="K531" s="441"/>
      <c r="L531" s="441"/>
      <c r="M531" s="441"/>
      <c r="N531" s="441"/>
      <c r="O531" s="441"/>
      <c r="P531" s="441"/>
      <c r="Q531" s="441"/>
      <c r="R531" s="441"/>
      <c r="S531" s="441"/>
      <c r="T531" s="441"/>
      <c r="U531" s="441"/>
      <c r="V531" s="441"/>
      <c r="W531" s="441"/>
      <c r="X531" s="441"/>
      <c r="Y531" s="441"/>
      <c r="Z531" s="441"/>
    </row>
    <row r="532">
      <c r="A532" s="441"/>
      <c r="B532" s="441"/>
      <c r="C532" s="441"/>
      <c r="D532" s="441"/>
      <c r="E532" s="441"/>
      <c r="F532" s="441"/>
      <c r="G532" s="441"/>
      <c r="H532" s="441"/>
      <c r="I532" s="441"/>
      <c r="J532" s="441"/>
      <c r="K532" s="441"/>
      <c r="L532" s="441"/>
      <c r="M532" s="441"/>
      <c r="N532" s="441"/>
      <c r="O532" s="441"/>
      <c r="P532" s="441"/>
      <c r="Q532" s="441"/>
      <c r="R532" s="441"/>
      <c r="S532" s="441"/>
      <c r="T532" s="441"/>
      <c r="U532" s="441"/>
      <c r="V532" s="441"/>
      <c r="W532" s="441"/>
      <c r="X532" s="441"/>
      <c r="Y532" s="441"/>
      <c r="Z532" s="441"/>
    </row>
    <row r="533">
      <c r="A533" s="441"/>
      <c r="B533" s="441"/>
      <c r="C533" s="441"/>
      <c r="D533" s="441"/>
      <c r="E533" s="441"/>
      <c r="F533" s="441"/>
      <c r="G533" s="441"/>
      <c r="H533" s="441"/>
      <c r="I533" s="441"/>
      <c r="J533" s="441"/>
      <c r="K533" s="441"/>
      <c r="L533" s="441"/>
      <c r="M533" s="441"/>
      <c r="N533" s="441"/>
      <c r="O533" s="441"/>
      <c r="P533" s="441"/>
      <c r="Q533" s="441"/>
      <c r="R533" s="441"/>
      <c r="S533" s="441"/>
      <c r="T533" s="441"/>
      <c r="U533" s="441"/>
      <c r="V533" s="441"/>
      <c r="W533" s="441"/>
      <c r="X533" s="441"/>
      <c r="Y533" s="441"/>
      <c r="Z533" s="441"/>
    </row>
    <row r="534">
      <c r="A534" s="441"/>
      <c r="B534" s="441"/>
      <c r="C534" s="441"/>
      <c r="D534" s="441"/>
      <c r="E534" s="441"/>
      <c r="F534" s="441"/>
      <c r="G534" s="441"/>
      <c r="H534" s="441"/>
      <c r="I534" s="441"/>
      <c r="J534" s="441"/>
      <c r="K534" s="441"/>
      <c r="L534" s="441"/>
      <c r="M534" s="441"/>
      <c r="N534" s="441"/>
      <c r="O534" s="441"/>
      <c r="P534" s="441"/>
      <c r="Q534" s="441"/>
      <c r="R534" s="441"/>
      <c r="S534" s="441"/>
      <c r="T534" s="441"/>
      <c r="U534" s="441"/>
      <c r="V534" s="441"/>
      <c r="W534" s="441"/>
      <c r="X534" s="441"/>
      <c r="Y534" s="441"/>
      <c r="Z534" s="441"/>
    </row>
    <row r="535">
      <c r="A535" s="441"/>
      <c r="B535" s="441"/>
      <c r="C535" s="441"/>
      <c r="D535" s="441"/>
      <c r="E535" s="441"/>
      <c r="F535" s="441"/>
      <c r="G535" s="441"/>
      <c r="H535" s="441"/>
      <c r="I535" s="441"/>
      <c r="J535" s="441"/>
      <c r="K535" s="441"/>
      <c r="L535" s="441"/>
      <c r="M535" s="441"/>
      <c r="N535" s="441"/>
      <c r="O535" s="441"/>
      <c r="P535" s="441"/>
      <c r="Q535" s="441"/>
      <c r="R535" s="441"/>
      <c r="S535" s="441"/>
      <c r="T535" s="441"/>
      <c r="U535" s="441"/>
      <c r="V535" s="441"/>
      <c r="W535" s="441"/>
      <c r="X535" s="441"/>
      <c r="Y535" s="441"/>
      <c r="Z535" s="441"/>
    </row>
    <row r="536">
      <c r="A536" s="441"/>
      <c r="B536" s="441"/>
      <c r="C536" s="441"/>
      <c r="D536" s="441"/>
      <c r="E536" s="441"/>
      <c r="F536" s="441"/>
      <c r="G536" s="441"/>
      <c r="H536" s="441"/>
      <c r="I536" s="441"/>
      <c r="J536" s="441"/>
      <c r="K536" s="441"/>
      <c r="L536" s="441"/>
      <c r="M536" s="441"/>
      <c r="N536" s="441"/>
      <c r="O536" s="441"/>
      <c r="P536" s="441"/>
      <c r="Q536" s="441"/>
      <c r="R536" s="441"/>
      <c r="S536" s="441"/>
      <c r="T536" s="441"/>
      <c r="U536" s="441"/>
      <c r="V536" s="441"/>
      <c r="W536" s="441"/>
      <c r="X536" s="441"/>
      <c r="Y536" s="441"/>
      <c r="Z536" s="441"/>
    </row>
    <row r="537">
      <c r="A537" s="441"/>
      <c r="B537" s="441"/>
      <c r="C537" s="441"/>
      <c r="D537" s="441"/>
      <c r="E537" s="441"/>
      <c r="F537" s="441"/>
      <c r="G537" s="441"/>
      <c r="H537" s="441"/>
      <c r="I537" s="441"/>
      <c r="J537" s="441"/>
      <c r="K537" s="441"/>
      <c r="L537" s="441"/>
      <c r="M537" s="441"/>
      <c r="N537" s="441"/>
      <c r="O537" s="441"/>
      <c r="P537" s="441"/>
      <c r="Q537" s="441"/>
      <c r="R537" s="441"/>
      <c r="S537" s="441"/>
      <c r="T537" s="441"/>
      <c r="U537" s="441"/>
      <c r="V537" s="441"/>
      <c r="W537" s="441"/>
      <c r="X537" s="441"/>
      <c r="Y537" s="441"/>
      <c r="Z537" s="441"/>
    </row>
    <row r="538">
      <c r="A538" s="441"/>
      <c r="B538" s="441"/>
      <c r="C538" s="441"/>
      <c r="D538" s="441"/>
      <c r="E538" s="441"/>
      <c r="F538" s="441"/>
      <c r="G538" s="441"/>
      <c r="H538" s="441"/>
      <c r="I538" s="441"/>
      <c r="J538" s="441"/>
      <c r="K538" s="441"/>
      <c r="L538" s="441"/>
      <c r="M538" s="441"/>
      <c r="N538" s="441"/>
      <c r="O538" s="441"/>
      <c r="P538" s="441"/>
      <c r="Q538" s="441"/>
      <c r="R538" s="441"/>
      <c r="S538" s="441"/>
      <c r="T538" s="441"/>
      <c r="U538" s="441"/>
      <c r="V538" s="441"/>
      <c r="W538" s="441"/>
      <c r="X538" s="441"/>
      <c r="Y538" s="441"/>
      <c r="Z538" s="441"/>
    </row>
    <row r="539">
      <c r="A539" s="441"/>
      <c r="B539" s="441"/>
      <c r="C539" s="441"/>
      <c r="D539" s="441"/>
      <c r="E539" s="441"/>
      <c r="F539" s="441"/>
      <c r="G539" s="441"/>
      <c r="H539" s="441"/>
      <c r="I539" s="441"/>
      <c r="J539" s="441"/>
      <c r="K539" s="441"/>
      <c r="L539" s="441"/>
      <c r="M539" s="441"/>
      <c r="N539" s="441"/>
      <c r="O539" s="441"/>
      <c r="P539" s="441"/>
      <c r="Q539" s="441"/>
      <c r="R539" s="441"/>
      <c r="S539" s="441"/>
      <c r="T539" s="441"/>
      <c r="U539" s="441"/>
      <c r="V539" s="441"/>
      <c r="W539" s="441"/>
      <c r="X539" s="441"/>
      <c r="Y539" s="441"/>
      <c r="Z539" s="441"/>
    </row>
    <row r="540">
      <c r="A540" s="441"/>
      <c r="B540" s="441"/>
      <c r="C540" s="441"/>
      <c r="D540" s="441"/>
      <c r="E540" s="441"/>
      <c r="F540" s="441"/>
      <c r="G540" s="441"/>
      <c r="H540" s="441"/>
      <c r="I540" s="441"/>
      <c r="J540" s="441"/>
      <c r="K540" s="441"/>
      <c r="L540" s="441"/>
      <c r="M540" s="441"/>
      <c r="N540" s="441"/>
      <c r="O540" s="441"/>
      <c r="P540" s="441"/>
      <c r="Q540" s="441"/>
      <c r="R540" s="441"/>
      <c r="S540" s="441"/>
      <c r="T540" s="441"/>
      <c r="U540" s="441"/>
      <c r="V540" s="441"/>
      <c r="W540" s="441"/>
      <c r="X540" s="441"/>
      <c r="Y540" s="441"/>
      <c r="Z540" s="441"/>
    </row>
    <row r="541">
      <c r="A541" s="441"/>
      <c r="B541" s="441"/>
      <c r="C541" s="441"/>
      <c r="D541" s="441"/>
      <c r="E541" s="441"/>
      <c r="F541" s="441"/>
      <c r="G541" s="441"/>
      <c r="H541" s="441"/>
      <c r="I541" s="441"/>
      <c r="J541" s="441"/>
      <c r="K541" s="441"/>
      <c r="L541" s="441"/>
      <c r="M541" s="441"/>
      <c r="N541" s="441"/>
      <c r="O541" s="441"/>
      <c r="P541" s="441"/>
      <c r="Q541" s="441"/>
      <c r="R541" s="441"/>
      <c r="S541" s="441"/>
      <c r="T541" s="441"/>
      <c r="U541" s="441"/>
      <c r="V541" s="441"/>
      <c r="W541" s="441"/>
      <c r="X541" s="441"/>
      <c r="Y541" s="441"/>
      <c r="Z541" s="441"/>
    </row>
    <row r="542">
      <c r="A542" s="441"/>
      <c r="B542" s="441"/>
      <c r="C542" s="441"/>
      <c r="D542" s="441"/>
      <c r="E542" s="441"/>
      <c r="F542" s="441"/>
      <c r="G542" s="441"/>
      <c r="H542" s="441"/>
      <c r="I542" s="441"/>
      <c r="J542" s="441"/>
      <c r="K542" s="441"/>
      <c r="L542" s="441"/>
      <c r="M542" s="441"/>
      <c r="N542" s="441"/>
      <c r="O542" s="441"/>
      <c r="P542" s="441"/>
      <c r="Q542" s="441"/>
      <c r="R542" s="441"/>
      <c r="S542" s="441"/>
      <c r="T542" s="441"/>
      <c r="U542" s="441"/>
      <c r="V542" s="441"/>
      <c r="W542" s="441"/>
      <c r="X542" s="441"/>
      <c r="Y542" s="441"/>
      <c r="Z542" s="441"/>
    </row>
    <row r="543">
      <c r="A543" s="441"/>
      <c r="B543" s="441"/>
      <c r="C543" s="441"/>
      <c r="D543" s="441"/>
      <c r="E543" s="441"/>
      <c r="F543" s="441"/>
      <c r="G543" s="441"/>
      <c r="H543" s="441"/>
      <c r="I543" s="441"/>
      <c r="J543" s="441"/>
      <c r="K543" s="441"/>
      <c r="L543" s="441"/>
      <c r="M543" s="441"/>
      <c r="N543" s="441"/>
      <c r="O543" s="441"/>
      <c r="P543" s="441"/>
      <c r="Q543" s="441"/>
      <c r="R543" s="441"/>
      <c r="S543" s="441"/>
      <c r="T543" s="441"/>
      <c r="U543" s="441"/>
      <c r="V543" s="441"/>
      <c r="W543" s="441"/>
      <c r="X543" s="441"/>
      <c r="Y543" s="441"/>
      <c r="Z543" s="441"/>
    </row>
    <row r="544">
      <c r="A544" s="441"/>
      <c r="B544" s="441"/>
      <c r="C544" s="441"/>
      <c r="D544" s="441"/>
      <c r="E544" s="441"/>
      <c r="F544" s="441"/>
      <c r="G544" s="441"/>
      <c r="H544" s="441"/>
      <c r="I544" s="441"/>
      <c r="J544" s="441"/>
      <c r="K544" s="441"/>
      <c r="L544" s="441"/>
      <c r="M544" s="441"/>
      <c r="N544" s="441"/>
      <c r="O544" s="441"/>
      <c r="P544" s="441"/>
      <c r="Q544" s="441"/>
      <c r="R544" s="441"/>
      <c r="S544" s="441"/>
      <c r="T544" s="441"/>
      <c r="U544" s="441"/>
      <c r="V544" s="441"/>
      <c r="W544" s="441"/>
      <c r="X544" s="441"/>
      <c r="Y544" s="441"/>
      <c r="Z544" s="441"/>
    </row>
    <row r="545">
      <c r="A545" s="441"/>
      <c r="B545" s="441"/>
      <c r="C545" s="441"/>
      <c r="D545" s="441"/>
      <c r="E545" s="441"/>
      <c r="F545" s="441"/>
      <c r="G545" s="441"/>
      <c r="H545" s="441"/>
      <c r="I545" s="441"/>
      <c r="J545" s="441"/>
      <c r="K545" s="441"/>
      <c r="L545" s="441"/>
      <c r="M545" s="441"/>
      <c r="N545" s="441"/>
      <c r="O545" s="441"/>
      <c r="P545" s="441"/>
      <c r="Q545" s="441"/>
      <c r="R545" s="441"/>
      <c r="S545" s="441"/>
      <c r="T545" s="441"/>
      <c r="U545" s="441"/>
      <c r="V545" s="441"/>
      <c r="W545" s="441"/>
      <c r="X545" s="441"/>
      <c r="Y545" s="441"/>
      <c r="Z545" s="441"/>
    </row>
    <row r="546">
      <c r="A546" s="441"/>
      <c r="B546" s="441"/>
      <c r="C546" s="441"/>
      <c r="D546" s="441"/>
      <c r="E546" s="441"/>
      <c r="F546" s="441"/>
      <c r="G546" s="441"/>
      <c r="H546" s="441"/>
      <c r="I546" s="441"/>
      <c r="J546" s="441"/>
      <c r="K546" s="441"/>
      <c r="L546" s="441"/>
      <c r="M546" s="441"/>
      <c r="N546" s="441"/>
      <c r="O546" s="441"/>
      <c r="P546" s="441"/>
      <c r="Q546" s="441"/>
      <c r="R546" s="441"/>
      <c r="S546" s="441"/>
      <c r="T546" s="441"/>
      <c r="U546" s="441"/>
      <c r="V546" s="441"/>
      <c r="W546" s="441"/>
      <c r="X546" s="441"/>
      <c r="Y546" s="441"/>
      <c r="Z546" s="441"/>
    </row>
    <row r="547">
      <c r="A547" s="441"/>
      <c r="B547" s="441"/>
      <c r="C547" s="441"/>
      <c r="D547" s="441"/>
      <c r="E547" s="441"/>
      <c r="F547" s="441"/>
      <c r="G547" s="441"/>
      <c r="H547" s="441"/>
      <c r="I547" s="441"/>
      <c r="J547" s="441"/>
      <c r="K547" s="441"/>
      <c r="L547" s="441"/>
      <c r="M547" s="441"/>
      <c r="N547" s="441"/>
      <c r="O547" s="441"/>
      <c r="P547" s="441"/>
      <c r="Q547" s="441"/>
      <c r="R547" s="441"/>
      <c r="S547" s="441"/>
      <c r="T547" s="441"/>
      <c r="U547" s="441"/>
      <c r="V547" s="441"/>
      <c r="W547" s="441"/>
      <c r="X547" s="441"/>
      <c r="Y547" s="441"/>
      <c r="Z547" s="441"/>
    </row>
    <row r="548">
      <c r="A548" s="441"/>
      <c r="B548" s="441"/>
      <c r="C548" s="441"/>
      <c r="D548" s="441"/>
      <c r="E548" s="441"/>
      <c r="F548" s="441"/>
      <c r="G548" s="441"/>
      <c r="H548" s="441"/>
      <c r="I548" s="441"/>
      <c r="J548" s="441"/>
      <c r="K548" s="441"/>
      <c r="L548" s="441"/>
      <c r="M548" s="441"/>
      <c r="N548" s="441"/>
      <c r="O548" s="441"/>
      <c r="P548" s="441"/>
      <c r="Q548" s="441"/>
      <c r="R548" s="441"/>
      <c r="S548" s="441"/>
      <c r="T548" s="441"/>
      <c r="U548" s="441"/>
      <c r="V548" s="441"/>
      <c r="W548" s="441"/>
      <c r="X548" s="441"/>
      <c r="Y548" s="441"/>
      <c r="Z548" s="441"/>
    </row>
    <row r="549">
      <c r="A549" s="441"/>
      <c r="B549" s="441"/>
      <c r="C549" s="441"/>
      <c r="D549" s="441"/>
      <c r="E549" s="441"/>
      <c r="F549" s="441"/>
      <c r="G549" s="441"/>
      <c r="H549" s="441"/>
      <c r="I549" s="441"/>
      <c r="J549" s="441"/>
      <c r="K549" s="441"/>
      <c r="L549" s="441"/>
      <c r="M549" s="441"/>
      <c r="N549" s="441"/>
      <c r="O549" s="441"/>
      <c r="P549" s="441"/>
      <c r="Q549" s="441"/>
      <c r="R549" s="441"/>
      <c r="S549" s="441"/>
      <c r="T549" s="441"/>
      <c r="U549" s="441"/>
      <c r="V549" s="441"/>
      <c r="W549" s="441"/>
      <c r="X549" s="441"/>
      <c r="Y549" s="441"/>
      <c r="Z549" s="441"/>
    </row>
    <row r="550">
      <c r="A550" s="441"/>
      <c r="B550" s="441"/>
      <c r="C550" s="441"/>
      <c r="D550" s="441"/>
      <c r="E550" s="441"/>
      <c r="F550" s="441"/>
      <c r="G550" s="441"/>
      <c r="H550" s="441"/>
      <c r="I550" s="441"/>
      <c r="J550" s="441"/>
      <c r="K550" s="441"/>
      <c r="L550" s="441"/>
      <c r="M550" s="441"/>
      <c r="N550" s="441"/>
      <c r="O550" s="441"/>
      <c r="P550" s="441"/>
      <c r="Q550" s="441"/>
      <c r="R550" s="441"/>
      <c r="S550" s="441"/>
      <c r="T550" s="441"/>
      <c r="U550" s="441"/>
      <c r="V550" s="441"/>
      <c r="W550" s="441"/>
      <c r="X550" s="441"/>
      <c r="Y550" s="441"/>
      <c r="Z550" s="441"/>
    </row>
    <row r="551">
      <c r="A551" s="441"/>
      <c r="B551" s="441"/>
      <c r="C551" s="441"/>
      <c r="D551" s="441"/>
      <c r="E551" s="441"/>
      <c r="F551" s="441"/>
      <c r="G551" s="441"/>
      <c r="H551" s="441"/>
      <c r="I551" s="441"/>
      <c r="J551" s="441"/>
      <c r="K551" s="441"/>
      <c r="L551" s="441"/>
      <c r="M551" s="441"/>
      <c r="N551" s="441"/>
      <c r="O551" s="441"/>
      <c r="P551" s="441"/>
      <c r="Q551" s="441"/>
      <c r="R551" s="441"/>
      <c r="S551" s="441"/>
      <c r="T551" s="441"/>
      <c r="U551" s="441"/>
      <c r="V551" s="441"/>
      <c r="W551" s="441"/>
      <c r="X551" s="441"/>
      <c r="Y551" s="441"/>
      <c r="Z551" s="441"/>
    </row>
    <row r="552">
      <c r="A552" s="441"/>
      <c r="B552" s="441"/>
      <c r="C552" s="441"/>
      <c r="D552" s="441"/>
      <c r="E552" s="441"/>
      <c r="F552" s="441"/>
      <c r="G552" s="441"/>
      <c r="H552" s="441"/>
      <c r="I552" s="441"/>
      <c r="J552" s="441"/>
      <c r="K552" s="441"/>
      <c r="L552" s="441"/>
      <c r="M552" s="441"/>
      <c r="N552" s="441"/>
      <c r="O552" s="441"/>
      <c r="P552" s="441"/>
      <c r="Q552" s="441"/>
      <c r="R552" s="441"/>
      <c r="S552" s="441"/>
      <c r="T552" s="441"/>
      <c r="U552" s="441"/>
      <c r="V552" s="441"/>
      <c r="W552" s="441"/>
      <c r="X552" s="441"/>
      <c r="Y552" s="441"/>
      <c r="Z552" s="441"/>
    </row>
    <row r="553">
      <c r="A553" s="441"/>
      <c r="B553" s="441"/>
      <c r="C553" s="441"/>
      <c r="D553" s="441"/>
      <c r="E553" s="441"/>
      <c r="F553" s="441"/>
      <c r="G553" s="441"/>
      <c r="H553" s="441"/>
      <c r="I553" s="441"/>
      <c r="J553" s="441"/>
      <c r="K553" s="441"/>
      <c r="L553" s="441"/>
      <c r="M553" s="441"/>
      <c r="N553" s="441"/>
      <c r="O553" s="441"/>
      <c r="P553" s="441"/>
      <c r="Q553" s="441"/>
      <c r="R553" s="441"/>
      <c r="S553" s="441"/>
      <c r="T553" s="441"/>
      <c r="U553" s="441"/>
      <c r="V553" s="441"/>
      <c r="W553" s="441"/>
      <c r="X553" s="441"/>
      <c r="Y553" s="441"/>
      <c r="Z553" s="441"/>
    </row>
    <row r="554">
      <c r="A554" s="441"/>
      <c r="B554" s="441"/>
      <c r="C554" s="441"/>
      <c r="D554" s="441"/>
      <c r="E554" s="441"/>
      <c r="F554" s="441"/>
      <c r="G554" s="441"/>
      <c r="H554" s="441"/>
      <c r="I554" s="441"/>
      <c r="J554" s="441"/>
      <c r="K554" s="441"/>
      <c r="L554" s="441"/>
      <c r="M554" s="441"/>
      <c r="N554" s="441"/>
      <c r="O554" s="441"/>
      <c r="P554" s="441"/>
      <c r="Q554" s="441"/>
      <c r="R554" s="441"/>
      <c r="S554" s="441"/>
      <c r="T554" s="441"/>
      <c r="U554" s="441"/>
      <c r="V554" s="441"/>
      <c r="W554" s="441"/>
      <c r="X554" s="441"/>
      <c r="Y554" s="441"/>
      <c r="Z554" s="441"/>
    </row>
    <row r="555">
      <c r="A555" s="441"/>
      <c r="B555" s="441"/>
      <c r="C555" s="441"/>
      <c r="D555" s="441"/>
      <c r="E555" s="441"/>
      <c r="F555" s="441"/>
      <c r="G555" s="441"/>
      <c r="H555" s="441"/>
      <c r="I555" s="441"/>
      <c r="J555" s="441"/>
      <c r="K555" s="441"/>
      <c r="L555" s="441"/>
      <c r="M555" s="441"/>
      <c r="N555" s="441"/>
      <c r="O555" s="441"/>
      <c r="P555" s="441"/>
      <c r="Q555" s="441"/>
      <c r="R555" s="441"/>
      <c r="S555" s="441"/>
      <c r="T555" s="441"/>
      <c r="U555" s="441"/>
      <c r="V555" s="441"/>
      <c r="W555" s="441"/>
      <c r="X555" s="441"/>
      <c r="Y555" s="441"/>
      <c r="Z555" s="441"/>
    </row>
    <row r="556">
      <c r="A556" s="441"/>
      <c r="B556" s="441"/>
      <c r="C556" s="441"/>
      <c r="D556" s="441"/>
      <c r="E556" s="441"/>
      <c r="F556" s="441"/>
      <c r="G556" s="441"/>
      <c r="H556" s="441"/>
      <c r="I556" s="441"/>
      <c r="J556" s="441"/>
      <c r="K556" s="441"/>
      <c r="L556" s="441"/>
      <c r="M556" s="441"/>
      <c r="N556" s="441"/>
      <c r="O556" s="441"/>
      <c r="P556" s="441"/>
      <c r="Q556" s="441"/>
      <c r="R556" s="441"/>
      <c r="S556" s="441"/>
      <c r="T556" s="441"/>
      <c r="U556" s="441"/>
      <c r="V556" s="441"/>
      <c r="W556" s="441"/>
      <c r="X556" s="441"/>
      <c r="Y556" s="441"/>
      <c r="Z556" s="441"/>
    </row>
    <row r="557">
      <c r="A557" s="441"/>
      <c r="B557" s="441"/>
      <c r="C557" s="441"/>
      <c r="D557" s="441"/>
      <c r="E557" s="441"/>
      <c r="F557" s="441"/>
      <c r="G557" s="441"/>
      <c r="H557" s="441"/>
      <c r="I557" s="441"/>
      <c r="J557" s="441"/>
      <c r="K557" s="441"/>
      <c r="L557" s="441"/>
      <c r="M557" s="441"/>
      <c r="N557" s="441"/>
      <c r="O557" s="441"/>
      <c r="P557" s="441"/>
      <c r="Q557" s="441"/>
      <c r="R557" s="441"/>
      <c r="S557" s="441"/>
      <c r="T557" s="441"/>
      <c r="U557" s="441"/>
      <c r="V557" s="441"/>
      <c r="W557" s="441"/>
      <c r="X557" s="441"/>
      <c r="Y557" s="441"/>
      <c r="Z557" s="441"/>
    </row>
    <row r="558">
      <c r="A558" s="441"/>
      <c r="B558" s="441"/>
      <c r="C558" s="441"/>
      <c r="D558" s="441"/>
      <c r="E558" s="441"/>
      <c r="F558" s="441"/>
      <c r="G558" s="441"/>
      <c r="H558" s="441"/>
      <c r="I558" s="441"/>
      <c r="J558" s="441"/>
      <c r="K558" s="441"/>
      <c r="L558" s="441"/>
      <c r="M558" s="441"/>
      <c r="N558" s="441"/>
      <c r="O558" s="441"/>
      <c r="P558" s="441"/>
      <c r="Q558" s="441"/>
      <c r="R558" s="441"/>
      <c r="S558" s="441"/>
      <c r="T558" s="441"/>
      <c r="U558" s="441"/>
      <c r="V558" s="441"/>
      <c r="W558" s="441"/>
      <c r="X558" s="441"/>
      <c r="Y558" s="441"/>
      <c r="Z558" s="441"/>
    </row>
    <row r="559">
      <c r="A559" s="441"/>
      <c r="B559" s="441"/>
      <c r="C559" s="441"/>
      <c r="D559" s="441"/>
      <c r="E559" s="441"/>
      <c r="F559" s="441"/>
      <c r="G559" s="441"/>
      <c r="H559" s="441"/>
      <c r="I559" s="441"/>
      <c r="J559" s="441"/>
      <c r="K559" s="441"/>
      <c r="L559" s="441"/>
      <c r="M559" s="441"/>
      <c r="N559" s="441"/>
      <c r="O559" s="441"/>
      <c r="P559" s="441"/>
      <c r="Q559" s="441"/>
      <c r="R559" s="441"/>
      <c r="S559" s="441"/>
      <c r="T559" s="441"/>
      <c r="U559" s="441"/>
      <c r="V559" s="441"/>
      <c r="W559" s="441"/>
      <c r="X559" s="441"/>
      <c r="Y559" s="441"/>
      <c r="Z559" s="441"/>
    </row>
    <row r="560">
      <c r="A560" s="441"/>
      <c r="B560" s="441"/>
      <c r="C560" s="441"/>
      <c r="D560" s="441"/>
      <c r="E560" s="441"/>
      <c r="F560" s="441"/>
      <c r="G560" s="441"/>
      <c r="H560" s="441"/>
      <c r="I560" s="441"/>
      <c r="J560" s="441"/>
      <c r="K560" s="441"/>
      <c r="L560" s="441"/>
      <c r="M560" s="441"/>
      <c r="N560" s="441"/>
      <c r="O560" s="441"/>
      <c r="P560" s="441"/>
      <c r="Q560" s="441"/>
      <c r="R560" s="441"/>
      <c r="S560" s="441"/>
      <c r="T560" s="441"/>
      <c r="U560" s="441"/>
      <c r="V560" s="441"/>
      <c r="W560" s="441"/>
      <c r="X560" s="441"/>
      <c r="Y560" s="441"/>
      <c r="Z560" s="441"/>
    </row>
    <row r="561">
      <c r="A561" s="441"/>
      <c r="B561" s="441"/>
      <c r="C561" s="441"/>
      <c r="D561" s="441"/>
      <c r="E561" s="441"/>
      <c r="F561" s="441"/>
      <c r="G561" s="441"/>
      <c r="H561" s="441"/>
      <c r="I561" s="441"/>
      <c r="J561" s="441"/>
      <c r="K561" s="441"/>
      <c r="L561" s="441"/>
      <c r="M561" s="441"/>
      <c r="N561" s="441"/>
      <c r="O561" s="441"/>
      <c r="P561" s="441"/>
      <c r="Q561" s="441"/>
      <c r="R561" s="441"/>
      <c r="S561" s="441"/>
      <c r="T561" s="441"/>
      <c r="U561" s="441"/>
      <c r="V561" s="441"/>
      <c r="W561" s="441"/>
      <c r="X561" s="441"/>
      <c r="Y561" s="441"/>
      <c r="Z561" s="441"/>
    </row>
    <row r="562">
      <c r="A562" s="441"/>
      <c r="B562" s="441"/>
      <c r="C562" s="441"/>
      <c r="D562" s="441"/>
      <c r="E562" s="441"/>
      <c r="F562" s="441"/>
      <c r="G562" s="441"/>
      <c r="H562" s="441"/>
      <c r="I562" s="441"/>
      <c r="J562" s="441"/>
      <c r="K562" s="441"/>
      <c r="L562" s="441"/>
      <c r="M562" s="441"/>
      <c r="N562" s="441"/>
      <c r="O562" s="441"/>
      <c r="P562" s="441"/>
      <c r="Q562" s="441"/>
      <c r="R562" s="441"/>
      <c r="S562" s="441"/>
      <c r="T562" s="441"/>
      <c r="U562" s="441"/>
      <c r="V562" s="441"/>
      <c r="W562" s="441"/>
      <c r="X562" s="441"/>
      <c r="Y562" s="441"/>
      <c r="Z562" s="441"/>
    </row>
    <row r="563">
      <c r="A563" s="441"/>
      <c r="B563" s="441"/>
      <c r="C563" s="441"/>
      <c r="D563" s="441"/>
      <c r="E563" s="441"/>
      <c r="F563" s="441"/>
      <c r="G563" s="441"/>
      <c r="H563" s="441"/>
      <c r="I563" s="441"/>
      <c r="J563" s="441"/>
      <c r="K563" s="441"/>
      <c r="L563" s="441"/>
      <c r="M563" s="441"/>
      <c r="N563" s="441"/>
      <c r="O563" s="441"/>
      <c r="P563" s="441"/>
      <c r="Q563" s="441"/>
      <c r="R563" s="441"/>
      <c r="S563" s="441"/>
      <c r="T563" s="441"/>
      <c r="U563" s="441"/>
      <c r="V563" s="441"/>
      <c r="W563" s="441"/>
      <c r="X563" s="441"/>
      <c r="Y563" s="441"/>
      <c r="Z563" s="441"/>
    </row>
    <row r="564">
      <c r="A564" s="441"/>
      <c r="B564" s="441"/>
      <c r="C564" s="441"/>
      <c r="D564" s="441"/>
      <c r="E564" s="441"/>
      <c r="F564" s="441"/>
      <c r="G564" s="441"/>
      <c r="H564" s="441"/>
      <c r="I564" s="441"/>
      <c r="J564" s="441"/>
      <c r="K564" s="441"/>
      <c r="L564" s="441"/>
      <c r="M564" s="441"/>
      <c r="N564" s="441"/>
      <c r="O564" s="441"/>
      <c r="P564" s="441"/>
      <c r="Q564" s="441"/>
      <c r="R564" s="441"/>
      <c r="S564" s="441"/>
      <c r="T564" s="441"/>
      <c r="U564" s="441"/>
      <c r="V564" s="441"/>
      <c r="W564" s="441"/>
      <c r="X564" s="441"/>
      <c r="Y564" s="441"/>
      <c r="Z564" s="441"/>
    </row>
    <row r="565">
      <c r="A565" s="441"/>
      <c r="B565" s="441"/>
      <c r="C565" s="441"/>
      <c r="D565" s="441"/>
      <c r="E565" s="441"/>
      <c r="F565" s="441"/>
      <c r="G565" s="441"/>
      <c r="H565" s="441"/>
      <c r="I565" s="441"/>
      <c r="J565" s="441"/>
      <c r="K565" s="441"/>
      <c r="L565" s="441"/>
      <c r="M565" s="441"/>
      <c r="N565" s="441"/>
      <c r="O565" s="441"/>
      <c r="P565" s="441"/>
      <c r="Q565" s="441"/>
      <c r="R565" s="441"/>
      <c r="S565" s="441"/>
      <c r="T565" s="441"/>
      <c r="U565" s="441"/>
      <c r="V565" s="441"/>
      <c r="W565" s="441"/>
      <c r="X565" s="441"/>
      <c r="Y565" s="441"/>
      <c r="Z565" s="441"/>
    </row>
    <row r="566">
      <c r="A566" s="441"/>
      <c r="B566" s="441"/>
      <c r="C566" s="441"/>
      <c r="D566" s="441"/>
      <c r="E566" s="441"/>
      <c r="F566" s="441"/>
      <c r="G566" s="441"/>
      <c r="H566" s="441"/>
      <c r="I566" s="441"/>
      <c r="J566" s="441"/>
      <c r="K566" s="441"/>
      <c r="L566" s="441"/>
      <c r="M566" s="441"/>
      <c r="N566" s="441"/>
      <c r="O566" s="441"/>
      <c r="P566" s="441"/>
      <c r="Q566" s="441"/>
      <c r="R566" s="441"/>
      <c r="S566" s="441"/>
      <c r="T566" s="441"/>
      <c r="U566" s="441"/>
      <c r="V566" s="441"/>
      <c r="W566" s="441"/>
      <c r="X566" s="441"/>
      <c r="Y566" s="441"/>
      <c r="Z566" s="441"/>
    </row>
    <row r="567">
      <c r="A567" s="441"/>
      <c r="B567" s="441"/>
      <c r="C567" s="441"/>
      <c r="D567" s="441"/>
      <c r="E567" s="441"/>
      <c r="F567" s="441"/>
      <c r="G567" s="441"/>
      <c r="H567" s="441"/>
      <c r="I567" s="441"/>
      <c r="J567" s="441"/>
      <c r="K567" s="441"/>
      <c r="L567" s="441"/>
      <c r="M567" s="441"/>
      <c r="N567" s="441"/>
      <c r="O567" s="441"/>
      <c r="P567" s="441"/>
      <c r="Q567" s="441"/>
      <c r="R567" s="441"/>
      <c r="S567" s="441"/>
      <c r="T567" s="441"/>
      <c r="U567" s="441"/>
      <c r="V567" s="441"/>
      <c r="W567" s="441"/>
      <c r="X567" s="441"/>
      <c r="Y567" s="441"/>
      <c r="Z567" s="441"/>
    </row>
    <row r="568">
      <c r="A568" s="441"/>
      <c r="B568" s="441"/>
      <c r="C568" s="441"/>
      <c r="D568" s="441"/>
      <c r="E568" s="441"/>
      <c r="F568" s="441"/>
      <c r="G568" s="441"/>
      <c r="H568" s="441"/>
      <c r="I568" s="441"/>
      <c r="J568" s="441"/>
      <c r="K568" s="441"/>
      <c r="L568" s="441"/>
      <c r="M568" s="441"/>
      <c r="N568" s="441"/>
      <c r="O568" s="441"/>
      <c r="P568" s="441"/>
      <c r="Q568" s="441"/>
      <c r="R568" s="441"/>
      <c r="S568" s="441"/>
      <c r="T568" s="441"/>
      <c r="U568" s="441"/>
      <c r="V568" s="441"/>
      <c r="W568" s="441"/>
      <c r="X568" s="441"/>
      <c r="Y568" s="441"/>
      <c r="Z568" s="441"/>
    </row>
    <row r="569">
      <c r="A569" s="441"/>
      <c r="B569" s="441"/>
      <c r="C569" s="441"/>
      <c r="D569" s="441"/>
      <c r="E569" s="441"/>
      <c r="F569" s="441"/>
      <c r="G569" s="441"/>
      <c r="H569" s="441"/>
      <c r="I569" s="441"/>
      <c r="J569" s="441"/>
      <c r="K569" s="441"/>
      <c r="L569" s="441"/>
      <c r="M569" s="441"/>
      <c r="N569" s="441"/>
      <c r="O569" s="441"/>
      <c r="P569" s="441"/>
      <c r="Q569" s="441"/>
      <c r="R569" s="441"/>
      <c r="S569" s="441"/>
      <c r="T569" s="441"/>
      <c r="U569" s="441"/>
      <c r="V569" s="441"/>
      <c r="W569" s="441"/>
      <c r="X569" s="441"/>
      <c r="Y569" s="441"/>
      <c r="Z569" s="441"/>
    </row>
    <row r="570">
      <c r="A570" s="441"/>
      <c r="B570" s="441"/>
      <c r="C570" s="441"/>
      <c r="D570" s="441"/>
      <c r="E570" s="441"/>
      <c r="F570" s="441"/>
      <c r="G570" s="441"/>
      <c r="H570" s="441"/>
      <c r="I570" s="441"/>
      <c r="J570" s="441"/>
      <c r="K570" s="441"/>
      <c r="L570" s="441"/>
      <c r="M570" s="441"/>
      <c r="N570" s="441"/>
      <c r="O570" s="441"/>
      <c r="P570" s="441"/>
      <c r="Q570" s="441"/>
      <c r="R570" s="441"/>
      <c r="S570" s="441"/>
      <c r="T570" s="441"/>
      <c r="U570" s="441"/>
      <c r="V570" s="441"/>
      <c r="W570" s="441"/>
      <c r="X570" s="441"/>
      <c r="Y570" s="441"/>
      <c r="Z570" s="441"/>
    </row>
    <row r="571">
      <c r="A571" s="441"/>
      <c r="B571" s="441"/>
      <c r="C571" s="441"/>
      <c r="D571" s="441"/>
      <c r="E571" s="441"/>
      <c r="F571" s="441"/>
      <c r="G571" s="441"/>
      <c r="H571" s="441"/>
      <c r="I571" s="441"/>
      <c r="J571" s="441"/>
      <c r="K571" s="441"/>
      <c r="L571" s="441"/>
      <c r="M571" s="441"/>
      <c r="N571" s="441"/>
      <c r="O571" s="441"/>
      <c r="P571" s="441"/>
      <c r="Q571" s="441"/>
      <c r="R571" s="441"/>
      <c r="S571" s="441"/>
      <c r="T571" s="441"/>
      <c r="U571" s="441"/>
      <c r="V571" s="441"/>
      <c r="W571" s="441"/>
      <c r="X571" s="441"/>
      <c r="Y571" s="441"/>
      <c r="Z571" s="441"/>
    </row>
    <row r="572">
      <c r="A572" s="441"/>
      <c r="B572" s="441"/>
      <c r="C572" s="441"/>
      <c r="D572" s="441"/>
      <c r="E572" s="441"/>
      <c r="F572" s="441"/>
      <c r="G572" s="441"/>
      <c r="H572" s="441"/>
      <c r="I572" s="441"/>
      <c r="J572" s="441"/>
      <c r="K572" s="441"/>
      <c r="L572" s="441"/>
      <c r="M572" s="441"/>
      <c r="N572" s="441"/>
      <c r="O572" s="441"/>
      <c r="P572" s="441"/>
      <c r="Q572" s="441"/>
      <c r="R572" s="441"/>
      <c r="S572" s="441"/>
      <c r="T572" s="441"/>
      <c r="U572" s="441"/>
      <c r="V572" s="441"/>
      <c r="W572" s="441"/>
      <c r="X572" s="441"/>
      <c r="Y572" s="441"/>
      <c r="Z572" s="441"/>
    </row>
    <row r="573">
      <c r="A573" s="441"/>
      <c r="B573" s="441"/>
      <c r="C573" s="441"/>
      <c r="D573" s="441"/>
      <c r="E573" s="441"/>
      <c r="F573" s="441"/>
      <c r="G573" s="441"/>
      <c r="H573" s="441"/>
      <c r="I573" s="441"/>
      <c r="J573" s="441"/>
      <c r="K573" s="441"/>
      <c r="L573" s="441"/>
      <c r="M573" s="441"/>
      <c r="N573" s="441"/>
      <c r="O573" s="441"/>
      <c r="P573" s="441"/>
      <c r="Q573" s="441"/>
      <c r="R573" s="441"/>
      <c r="S573" s="441"/>
      <c r="T573" s="441"/>
      <c r="U573" s="441"/>
      <c r="V573" s="441"/>
      <c r="W573" s="441"/>
      <c r="X573" s="441"/>
      <c r="Y573" s="441"/>
      <c r="Z573" s="441"/>
    </row>
    <row r="574">
      <c r="A574" s="441"/>
      <c r="B574" s="441"/>
      <c r="C574" s="441"/>
      <c r="D574" s="441"/>
      <c r="E574" s="441"/>
      <c r="F574" s="441"/>
      <c r="G574" s="441"/>
      <c r="H574" s="441"/>
      <c r="I574" s="441"/>
      <c r="J574" s="441"/>
      <c r="K574" s="441"/>
      <c r="L574" s="441"/>
      <c r="M574" s="441"/>
      <c r="N574" s="441"/>
      <c r="O574" s="441"/>
      <c r="P574" s="441"/>
      <c r="Q574" s="441"/>
      <c r="R574" s="441"/>
      <c r="S574" s="441"/>
      <c r="T574" s="441"/>
      <c r="U574" s="441"/>
      <c r="V574" s="441"/>
      <c r="W574" s="441"/>
      <c r="X574" s="441"/>
      <c r="Y574" s="441"/>
      <c r="Z574" s="441"/>
    </row>
    <row r="575">
      <c r="A575" s="441"/>
      <c r="B575" s="441"/>
      <c r="C575" s="441"/>
      <c r="D575" s="441"/>
      <c r="E575" s="441"/>
      <c r="F575" s="441"/>
      <c r="G575" s="441"/>
      <c r="H575" s="441"/>
      <c r="I575" s="441"/>
      <c r="J575" s="441"/>
      <c r="K575" s="441"/>
      <c r="L575" s="441"/>
      <c r="M575" s="441"/>
      <c r="N575" s="441"/>
      <c r="O575" s="441"/>
      <c r="P575" s="441"/>
      <c r="Q575" s="441"/>
      <c r="R575" s="441"/>
      <c r="S575" s="441"/>
      <c r="T575" s="441"/>
      <c r="U575" s="441"/>
      <c r="V575" s="441"/>
      <c r="W575" s="441"/>
      <c r="X575" s="441"/>
      <c r="Y575" s="441"/>
      <c r="Z575" s="441"/>
    </row>
    <row r="576">
      <c r="A576" s="441"/>
      <c r="B576" s="441"/>
      <c r="C576" s="441"/>
      <c r="D576" s="441"/>
      <c r="E576" s="441"/>
      <c r="F576" s="441"/>
      <c r="G576" s="441"/>
      <c r="H576" s="441"/>
      <c r="I576" s="441"/>
      <c r="J576" s="441"/>
      <c r="K576" s="441"/>
      <c r="L576" s="441"/>
      <c r="M576" s="441"/>
      <c r="N576" s="441"/>
      <c r="O576" s="441"/>
      <c r="P576" s="441"/>
      <c r="Q576" s="441"/>
      <c r="R576" s="441"/>
      <c r="S576" s="441"/>
      <c r="T576" s="441"/>
      <c r="U576" s="441"/>
      <c r="V576" s="441"/>
      <c r="W576" s="441"/>
      <c r="X576" s="441"/>
      <c r="Y576" s="441"/>
      <c r="Z576" s="441"/>
    </row>
    <row r="577">
      <c r="A577" s="441"/>
      <c r="B577" s="441"/>
      <c r="C577" s="441"/>
      <c r="D577" s="441"/>
      <c r="E577" s="441"/>
      <c r="F577" s="441"/>
      <c r="G577" s="441"/>
      <c r="H577" s="441"/>
      <c r="I577" s="441"/>
      <c r="J577" s="441"/>
      <c r="K577" s="441"/>
      <c r="L577" s="441"/>
      <c r="M577" s="441"/>
      <c r="N577" s="441"/>
      <c r="O577" s="441"/>
      <c r="P577" s="441"/>
      <c r="Q577" s="441"/>
      <c r="R577" s="441"/>
      <c r="S577" s="441"/>
      <c r="T577" s="441"/>
      <c r="U577" s="441"/>
      <c r="V577" s="441"/>
      <c r="W577" s="441"/>
      <c r="X577" s="441"/>
      <c r="Y577" s="441"/>
      <c r="Z577" s="441"/>
    </row>
    <row r="578">
      <c r="A578" s="441"/>
      <c r="B578" s="441"/>
      <c r="C578" s="441"/>
      <c r="D578" s="441"/>
      <c r="E578" s="441"/>
      <c r="F578" s="441"/>
      <c r="G578" s="441"/>
      <c r="H578" s="441"/>
      <c r="I578" s="441"/>
      <c r="J578" s="441"/>
      <c r="K578" s="441"/>
      <c r="L578" s="441"/>
      <c r="M578" s="441"/>
      <c r="N578" s="441"/>
      <c r="O578" s="441"/>
      <c r="P578" s="441"/>
      <c r="Q578" s="441"/>
      <c r="R578" s="441"/>
      <c r="S578" s="441"/>
      <c r="T578" s="441"/>
      <c r="U578" s="441"/>
      <c r="V578" s="441"/>
      <c r="W578" s="441"/>
      <c r="X578" s="441"/>
      <c r="Y578" s="441"/>
      <c r="Z578" s="441"/>
    </row>
    <row r="579">
      <c r="A579" s="441"/>
      <c r="B579" s="441"/>
      <c r="C579" s="441"/>
      <c r="D579" s="441"/>
      <c r="E579" s="441"/>
      <c r="F579" s="441"/>
      <c r="G579" s="441"/>
      <c r="H579" s="441"/>
      <c r="I579" s="441"/>
      <c r="J579" s="441"/>
      <c r="K579" s="441"/>
      <c r="L579" s="441"/>
      <c r="M579" s="441"/>
      <c r="N579" s="441"/>
      <c r="O579" s="441"/>
      <c r="P579" s="441"/>
      <c r="Q579" s="441"/>
      <c r="R579" s="441"/>
      <c r="S579" s="441"/>
      <c r="T579" s="441"/>
      <c r="U579" s="441"/>
      <c r="V579" s="441"/>
      <c r="W579" s="441"/>
      <c r="X579" s="441"/>
      <c r="Y579" s="441"/>
      <c r="Z579" s="441"/>
    </row>
    <row r="580">
      <c r="A580" s="441"/>
      <c r="B580" s="441"/>
      <c r="C580" s="441"/>
      <c r="D580" s="441"/>
      <c r="E580" s="441"/>
      <c r="F580" s="441"/>
      <c r="G580" s="441"/>
      <c r="H580" s="441"/>
      <c r="I580" s="441"/>
      <c r="J580" s="441"/>
      <c r="K580" s="441"/>
      <c r="L580" s="441"/>
      <c r="M580" s="441"/>
      <c r="N580" s="441"/>
      <c r="O580" s="441"/>
      <c r="P580" s="441"/>
      <c r="Q580" s="441"/>
      <c r="R580" s="441"/>
      <c r="S580" s="441"/>
      <c r="T580" s="441"/>
      <c r="U580" s="441"/>
      <c r="V580" s="441"/>
      <c r="W580" s="441"/>
      <c r="X580" s="441"/>
      <c r="Y580" s="441"/>
      <c r="Z580" s="441"/>
    </row>
    <row r="581">
      <c r="A581" s="441"/>
      <c r="B581" s="441"/>
      <c r="C581" s="441"/>
      <c r="D581" s="441"/>
      <c r="E581" s="441"/>
      <c r="F581" s="441"/>
      <c r="G581" s="441"/>
      <c r="H581" s="441"/>
      <c r="I581" s="441"/>
      <c r="J581" s="441"/>
      <c r="K581" s="441"/>
      <c r="L581" s="441"/>
      <c r="M581" s="441"/>
      <c r="N581" s="441"/>
      <c r="O581" s="441"/>
      <c r="P581" s="441"/>
      <c r="Q581" s="441"/>
      <c r="R581" s="441"/>
      <c r="S581" s="441"/>
      <c r="T581" s="441"/>
      <c r="U581" s="441"/>
      <c r="V581" s="441"/>
      <c r="W581" s="441"/>
      <c r="X581" s="441"/>
      <c r="Y581" s="441"/>
      <c r="Z581" s="441"/>
    </row>
    <row r="582">
      <c r="A582" s="441"/>
      <c r="B582" s="441"/>
      <c r="C582" s="441"/>
      <c r="D582" s="441"/>
      <c r="E582" s="441"/>
      <c r="F582" s="441"/>
      <c r="G582" s="441"/>
      <c r="H582" s="441"/>
      <c r="I582" s="441"/>
      <c r="J582" s="441"/>
      <c r="K582" s="441"/>
      <c r="L582" s="441"/>
      <c r="M582" s="441"/>
      <c r="N582" s="441"/>
      <c r="O582" s="441"/>
      <c r="P582" s="441"/>
      <c r="Q582" s="441"/>
      <c r="R582" s="441"/>
      <c r="S582" s="441"/>
      <c r="T582" s="441"/>
      <c r="U582" s="441"/>
      <c r="V582" s="441"/>
      <c r="W582" s="441"/>
      <c r="X582" s="441"/>
      <c r="Y582" s="441"/>
      <c r="Z582" s="441"/>
    </row>
    <row r="583">
      <c r="A583" s="441"/>
      <c r="B583" s="441"/>
      <c r="C583" s="441"/>
      <c r="D583" s="441"/>
      <c r="E583" s="441"/>
      <c r="F583" s="441"/>
      <c r="G583" s="441"/>
      <c r="H583" s="441"/>
      <c r="I583" s="441"/>
      <c r="J583" s="441"/>
      <c r="K583" s="441"/>
      <c r="L583" s="441"/>
      <c r="M583" s="441"/>
      <c r="N583" s="441"/>
      <c r="O583" s="441"/>
      <c r="P583" s="441"/>
      <c r="Q583" s="441"/>
      <c r="R583" s="441"/>
      <c r="S583" s="441"/>
      <c r="T583" s="441"/>
      <c r="U583" s="441"/>
      <c r="V583" s="441"/>
      <c r="W583" s="441"/>
      <c r="X583" s="441"/>
      <c r="Y583" s="441"/>
      <c r="Z583" s="441"/>
    </row>
    <row r="584">
      <c r="A584" s="441"/>
      <c r="B584" s="441"/>
      <c r="C584" s="441"/>
      <c r="D584" s="441"/>
      <c r="E584" s="441"/>
      <c r="F584" s="441"/>
      <c r="G584" s="441"/>
      <c r="H584" s="441"/>
      <c r="I584" s="441"/>
      <c r="J584" s="441"/>
      <c r="K584" s="441"/>
      <c r="L584" s="441"/>
      <c r="M584" s="441"/>
      <c r="N584" s="441"/>
      <c r="O584" s="441"/>
      <c r="P584" s="441"/>
      <c r="Q584" s="441"/>
      <c r="R584" s="441"/>
      <c r="S584" s="441"/>
      <c r="T584" s="441"/>
      <c r="U584" s="441"/>
      <c r="V584" s="441"/>
      <c r="W584" s="441"/>
      <c r="X584" s="441"/>
      <c r="Y584" s="441"/>
      <c r="Z584" s="441"/>
    </row>
    <row r="585">
      <c r="A585" s="441"/>
      <c r="B585" s="441"/>
      <c r="C585" s="441"/>
      <c r="D585" s="441"/>
      <c r="E585" s="441"/>
      <c r="F585" s="441"/>
      <c r="G585" s="441"/>
      <c r="H585" s="441"/>
      <c r="I585" s="441"/>
      <c r="J585" s="441"/>
      <c r="K585" s="441"/>
      <c r="L585" s="441"/>
      <c r="M585" s="441"/>
      <c r="N585" s="441"/>
      <c r="O585" s="441"/>
      <c r="P585" s="441"/>
      <c r="Q585" s="441"/>
      <c r="R585" s="441"/>
      <c r="S585" s="441"/>
      <c r="T585" s="441"/>
      <c r="U585" s="441"/>
      <c r="V585" s="441"/>
      <c r="W585" s="441"/>
      <c r="X585" s="441"/>
      <c r="Y585" s="441"/>
      <c r="Z585" s="441"/>
    </row>
    <row r="586">
      <c r="A586" s="441"/>
      <c r="B586" s="441"/>
      <c r="C586" s="441"/>
      <c r="D586" s="441"/>
      <c r="E586" s="441"/>
      <c r="F586" s="441"/>
      <c r="G586" s="441"/>
      <c r="H586" s="441"/>
      <c r="I586" s="441"/>
      <c r="J586" s="441"/>
      <c r="K586" s="441"/>
      <c r="L586" s="441"/>
      <c r="M586" s="441"/>
      <c r="N586" s="441"/>
      <c r="O586" s="441"/>
      <c r="P586" s="441"/>
      <c r="Q586" s="441"/>
      <c r="R586" s="441"/>
      <c r="S586" s="441"/>
      <c r="T586" s="441"/>
      <c r="U586" s="441"/>
      <c r="V586" s="441"/>
      <c r="W586" s="441"/>
      <c r="X586" s="441"/>
      <c r="Y586" s="441"/>
      <c r="Z586" s="441"/>
    </row>
    <row r="587">
      <c r="A587" s="441"/>
      <c r="B587" s="441"/>
      <c r="C587" s="441"/>
      <c r="D587" s="441"/>
      <c r="E587" s="441"/>
      <c r="F587" s="441"/>
      <c r="G587" s="441"/>
      <c r="H587" s="441"/>
      <c r="I587" s="441"/>
      <c r="J587" s="441"/>
      <c r="K587" s="441"/>
      <c r="L587" s="441"/>
      <c r="M587" s="441"/>
      <c r="N587" s="441"/>
      <c r="O587" s="441"/>
      <c r="P587" s="441"/>
      <c r="Q587" s="441"/>
      <c r="R587" s="441"/>
      <c r="S587" s="441"/>
      <c r="T587" s="441"/>
      <c r="U587" s="441"/>
      <c r="V587" s="441"/>
      <c r="W587" s="441"/>
      <c r="X587" s="441"/>
      <c r="Y587" s="441"/>
      <c r="Z587" s="441"/>
    </row>
    <row r="588">
      <c r="A588" s="441"/>
      <c r="B588" s="441"/>
      <c r="C588" s="441"/>
      <c r="D588" s="441"/>
      <c r="E588" s="441"/>
      <c r="F588" s="441"/>
      <c r="G588" s="441"/>
      <c r="H588" s="441"/>
      <c r="I588" s="441"/>
      <c r="J588" s="441"/>
      <c r="K588" s="441"/>
      <c r="L588" s="441"/>
      <c r="M588" s="441"/>
      <c r="N588" s="441"/>
      <c r="O588" s="441"/>
      <c r="P588" s="441"/>
      <c r="Q588" s="441"/>
      <c r="R588" s="441"/>
      <c r="S588" s="441"/>
      <c r="T588" s="441"/>
      <c r="U588" s="441"/>
      <c r="V588" s="441"/>
      <c r="W588" s="441"/>
      <c r="X588" s="441"/>
      <c r="Y588" s="441"/>
      <c r="Z588" s="441"/>
    </row>
    <row r="589">
      <c r="A589" s="441"/>
      <c r="B589" s="441"/>
      <c r="C589" s="441"/>
      <c r="D589" s="441"/>
      <c r="E589" s="441"/>
      <c r="F589" s="441"/>
      <c r="G589" s="441"/>
      <c r="H589" s="441"/>
      <c r="I589" s="441"/>
      <c r="J589" s="441"/>
      <c r="K589" s="441"/>
      <c r="L589" s="441"/>
      <c r="M589" s="441"/>
      <c r="N589" s="441"/>
      <c r="O589" s="441"/>
      <c r="P589" s="441"/>
      <c r="Q589" s="441"/>
      <c r="R589" s="441"/>
      <c r="S589" s="441"/>
      <c r="T589" s="441"/>
      <c r="U589" s="441"/>
      <c r="V589" s="441"/>
      <c r="W589" s="441"/>
      <c r="X589" s="441"/>
      <c r="Y589" s="441"/>
      <c r="Z589" s="441"/>
    </row>
    <row r="590">
      <c r="A590" s="441"/>
      <c r="B590" s="441"/>
      <c r="C590" s="441"/>
      <c r="D590" s="441"/>
      <c r="E590" s="441"/>
      <c r="F590" s="441"/>
      <c r="G590" s="441"/>
      <c r="H590" s="441"/>
      <c r="I590" s="441"/>
      <c r="J590" s="441"/>
      <c r="K590" s="441"/>
      <c r="L590" s="441"/>
      <c r="M590" s="441"/>
      <c r="N590" s="441"/>
      <c r="O590" s="441"/>
      <c r="P590" s="441"/>
      <c r="Q590" s="441"/>
      <c r="R590" s="441"/>
      <c r="S590" s="441"/>
      <c r="T590" s="441"/>
      <c r="U590" s="441"/>
      <c r="V590" s="441"/>
      <c r="W590" s="441"/>
      <c r="X590" s="441"/>
      <c r="Y590" s="441"/>
      <c r="Z590" s="441"/>
    </row>
    <row r="591">
      <c r="A591" s="441"/>
      <c r="B591" s="441"/>
      <c r="C591" s="441"/>
      <c r="D591" s="441"/>
      <c r="E591" s="441"/>
      <c r="F591" s="441"/>
      <c r="G591" s="441"/>
      <c r="H591" s="441"/>
      <c r="I591" s="441"/>
      <c r="J591" s="441"/>
      <c r="K591" s="441"/>
      <c r="L591" s="441"/>
      <c r="M591" s="441"/>
      <c r="N591" s="441"/>
      <c r="O591" s="441"/>
      <c r="P591" s="441"/>
      <c r="Q591" s="441"/>
      <c r="R591" s="441"/>
      <c r="S591" s="441"/>
      <c r="T591" s="441"/>
      <c r="U591" s="441"/>
      <c r="V591" s="441"/>
      <c r="W591" s="441"/>
      <c r="X591" s="441"/>
      <c r="Y591" s="441"/>
      <c r="Z591" s="441"/>
    </row>
    <row r="592">
      <c r="A592" s="441"/>
      <c r="B592" s="441"/>
      <c r="C592" s="441"/>
      <c r="D592" s="441"/>
      <c r="E592" s="441"/>
      <c r="F592" s="441"/>
      <c r="G592" s="441"/>
      <c r="H592" s="441"/>
      <c r="I592" s="441"/>
      <c r="J592" s="441"/>
      <c r="K592" s="441"/>
      <c r="L592" s="441"/>
      <c r="M592" s="441"/>
      <c r="N592" s="441"/>
      <c r="O592" s="441"/>
      <c r="P592" s="441"/>
      <c r="Q592" s="441"/>
      <c r="R592" s="441"/>
      <c r="S592" s="441"/>
      <c r="T592" s="441"/>
      <c r="U592" s="441"/>
      <c r="V592" s="441"/>
      <c r="W592" s="441"/>
      <c r="X592" s="441"/>
      <c r="Y592" s="441"/>
      <c r="Z592" s="441"/>
    </row>
    <row r="593">
      <c r="A593" s="441"/>
      <c r="B593" s="441"/>
      <c r="C593" s="441"/>
      <c r="D593" s="441"/>
      <c r="E593" s="441"/>
      <c r="F593" s="441"/>
      <c r="G593" s="441"/>
      <c r="H593" s="441"/>
      <c r="I593" s="441"/>
      <c r="J593" s="441"/>
      <c r="K593" s="441"/>
      <c r="L593" s="441"/>
      <c r="M593" s="441"/>
      <c r="N593" s="441"/>
      <c r="O593" s="441"/>
      <c r="P593" s="441"/>
      <c r="Q593" s="441"/>
      <c r="R593" s="441"/>
      <c r="S593" s="441"/>
      <c r="T593" s="441"/>
      <c r="U593" s="441"/>
      <c r="V593" s="441"/>
      <c r="W593" s="441"/>
      <c r="X593" s="441"/>
      <c r="Y593" s="441"/>
      <c r="Z593" s="441"/>
    </row>
    <row r="594">
      <c r="A594" s="441"/>
      <c r="B594" s="441"/>
      <c r="C594" s="441"/>
      <c r="D594" s="441"/>
      <c r="E594" s="441"/>
      <c r="F594" s="441"/>
      <c r="G594" s="441"/>
      <c r="H594" s="441"/>
      <c r="I594" s="441"/>
      <c r="J594" s="441"/>
      <c r="K594" s="441"/>
      <c r="L594" s="441"/>
      <c r="M594" s="441"/>
      <c r="N594" s="441"/>
      <c r="O594" s="441"/>
      <c r="P594" s="441"/>
      <c r="Q594" s="441"/>
      <c r="R594" s="441"/>
      <c r="S594" s="441"/>
      <c r="T594" s="441"/>
      <c r="U594" s="441"/>
      <c r="V594" s="441"/>
      <c r="W594" s="441"/>
      <c r="X594" s="441"/>
      <c r="Y594" s="441"/>
      <c r="Z594" s="441"/>
    </row>
    <row r="595">
      <c r="A595" s="441"/>
      <c r="B595" s="441"/>
      <c r="C595" s="441"/>
      <c r="D595" s="441"/>
      <c r="E595" s="441"/>
      <c r="F595" s="441"/>
      <c r="G595" s="441"/>
      <c r="H595" s="441"/>
      <c r="I595" s="441"/>
      <c r="J595" s="441"/>
      <c r="K595" s="441"/>
      <c r="L595" s="441"/>
      <c r="M595" s="441"/>
      <c r="N595" s="441"/>
      <c r="O595" s="441"/>
      <c r="P595" s="441"/>
      <c r="Q595" s="441"/>
      <c r="R595" s="441"/>
      <c r="S595" s="441"/>
      <c r="T595" s="441"/>
      <c r="U595" s="441"/>
      <c r="V595" s="441"/>
      <c r="W595" s="441"/>
      <c r="X595" s="441"/>
      <c r="Y595" s="441"/>
      <c r="Z595" s="441"/>
    </row>
    <row r="596">
      <c r="A596" s="441"/>
      <c r="B596" s="441"/>
      <c r="C596" s="441"/>
      <c r="D596" s="441"/>
      <c r="E596" s="441"/>
      <c r="F596" s="441"/>
      <c r="G596" s="441"/>
      <c r="H596" s="441"/>
      <c r="I596" s="441"/>
      <c r="J596" s="441"/>
      <c r="K596" s="441"/>
      <c r="L596" s="441"/>
      <c r="M596" s="441"/>
      <c r="N596" s="441"/>
      <c r="O596" s="441"/>
      <c r="P596" s="441"/>
      <c r="Q596" s="441"/>
      <c r="R596" s="441"/>
      <c r="S596" s="441"/>
      <c r="T596" s="441"/>
      <c r="U596" s="441"/>
      <c r="V596" s="441"/>
      <c r="W596" s="441"/>
      <c r="X596" s="441"/>
      <c r="Y596" s="441"/>
      <c r="Z596" s="441"/>
    </row>
    <row r="597">
      <c r="A597" s="441"/>
      <c r="B597" s="441"/>
      <c r="C597" s="441"/>
      <c r="D597" s="441"/>
      <c r="E597" s="441"/>
      <c r="F597" s="441"/>
      <c r="G597" s="441"/>
      <c r="H597" s="441"/>
      <c r="I597" s="441"/>
      <c r="J597" s="441"/>
      <c r="K597" s="441"/>
      <c r="L597" s="441"/>
      <c r="M597" s="441"/>
      <c r="N597" s="441"/>
      <c r="O597" s="441"/>
      <c r="P597" s="441"/>
      <c r="Q597" s="441"/>
      <c r="R597" s="441"/>
      <c r="S597" s="441"/>
      <c r="T597" s="441"/>
      <c r="U597" s="441"/>
      <c r="V597" s="441"/>
      <c r="W597" s="441"/>
      <c r="X597" s="441"/>
      <c r="Y597" s="441"/>
      <c r="Z597" s="441"/>
    </row>
    <row r="598">
      <c r="A598" s="441"/>
      <c r="B598" s="441"/>
      <c r="C598" s="441"/>
      <c r="D598" s="441"/>
      <c r="E598" s="441"/>
      <c r="F598" s="441"/>
      <c r="G598" s="441"/>
      <c r="H598" s="441"/>
      <c r="I598" s="441"/>
      <c r="J598" s="441"/>
      <c r="K598" s="441"/>
      <c r="L598" s="441"/>
      <c r="M598" s="441"/>
      <c r="N598" s="441"/>
      <c r="O598" s="441"/>
      <c r="P598" s="441"/>
      <c r="Q598" s="441"/>
      <c r="R598" s="441"/>
      <c r="S598" s="441"/>
      <c r="T598" s="441"/>
      <c r="U598" s="441"/>
      <c r="V598" s="441"/>
      <c r="W598" s="441"/>
      <c r="X598" s="441"/>
      <c r="Y598" s="441"/>
      <c r="Z598" s="441"/>
    </row>
    <row r="599">
      <c r="A599" s="441"/>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c r="Z599" s="441"/>
    </row>
    <row r="600">
      <c r="A600" s="441"/>
      <c r="B600" s="441"/>
      <c r="C600" s="441"/>
      <c r="D600" s="441"/>
      <c r="E600" s="441"/>
      <c r="F600" s="441"/>
      <c r="G600" s="441"/>
      <c r="H600" s="441"/>
      <c r="I600" s="441"/>
      <c r="J600" s="441"/>
      <c r="K600" s="441"/>
      <c r="L600" s="441"/>
      <c r="M600" s="441"/>
      <c r="N600" s="441"/>
      <c r="O600" s="441"/>
      <c r="P600" s="441"/>
      <c r="Q600" s="441"/>
      <c r="R600" s="441"/>
      <c r="S600" s="441"/>
      <c r="T600" s="441"/>
      <c r="U600" s="441"/>
      <c r="V600" s="441"/>
      <c r="W600" s="441"/>
      <c r="X600" s="441"/>
      <c r="Y600" s="441"/>
      <c r="Z600" s="441"/>
    </row>
    <row r="601">
      <c r="A601" s="441"/>
      <c r="B601" s="441"/>
      <c r="C601" s="441"/>
      <c r="D601" s="441"/>
      <c r="E601" s="441"/>
      <c r="F601" s="441"/>
      <c r="G601" s="441"/>
      <c r="H601" s="441"/>
      <c r="I601" s="441"/>
      <c r="J601" s="441"/>
      <c r="K601" s="441"/>
      <c r="L601" s="441"/>
      <c r="M601" s="441"/>
      <c r="N601" s="441"/>
      <c r="O601" s="441"/>
      <c r="P601" s="441"/>
      <c r="Q601" s="441"/>
      <c r="R601" s="441"/>
      <c r="S601" s="441"/>
      <c r="T601" s="441"/>
      <c r="U601" s="441"/>
      <c r="V601" s="441"/>
      <c r="W601" s="441"/>
      <c r="X601" s="441"/>
      <c r="Y601" s="441"/>
      <c r="Z601" s="441"/>
    </row>
    <row r="602">
      <c r="A602" s="441"/>
      <c r="B602" s="441"/>
      <c r="C602" s="441"/>
      <c r="D602" s="441"/>
      <c r="E602" s="441"/>
      <c r="F602" s="441"/>
      <c r="G602" s="441"/>
      <c r="H602" s="441"/>
      <c r="I602" s="441"/>
      <c r="J602" s="441"/>
      <c r="K602" s="441"/>
      <c r="L602" s="441"/>
      <c r="M602" s="441"/>
      <c r="N602" s="441"/>
      <c r="O602" s="441"/>
      <c r="P602" s="441"/>
      <c r="Q602" s="441"/>
      <c r="R602" s="441"/>
      <c r="S602" s="441"/>
      <c r="T602" s="441"/>
      <c r="U602" s="441"/>
      <c r="V602" s="441"/>
      <c r="W602" s="441"/>
      <c r="X602" s="441"/>
      <c r="Y602" s="441"/>
      <c r="Z602" s="441"/>
    </row>
    <row r="603">
      <c r="A603" s="441"/>
      <c r="B603" s="441"/>
      <c r="C603" s="441"/>
      <c r="D603" s="441"/>
      <c r="E603" s="441"/>
      <c r="F603" s="441"/>
      <c r="G603" s="441"/>
      <c r="H603" s="441"/>
      <c r="I603" s="441"/>
      <c r="J603" s="441"/>
      <c r="K603" s="441"/>
      <c r="L603" s="441"/>
      <c r="M603" s="441"/>
      <c r="N603" s="441"/>
      <c r="O603" s="441"/>
      <c r="P603" s="441"/>
      <c r="Q603" s="441"/>
      <c r="R603" s="441"/>
      <c r="S603" s="441"/>
      <c r="T603" s="441"/>
      <c r="U603" s="441"/>
      <c r="V603" s="441"/>
      <c r="W603" s="441"/>
      <c r="X603" s="441"/>
      <c r="Y603" s="441"/>
      <c r="Z603" s="441"/>
    </row>
    <row r="604">
      <c r="A604" s="441"/>
      <c r="B604" s="441"/>
      <c r="C604" s="441"/>
      <c r="D604" s="441"/>
      <c r="E604" s="441"/>
      <c r="F604" s="441"/>
      <c r="G604" s="441"/>
      <c r="H604" s="441"/>
      <c r="I604" s="441"/>
      <c r="J604" s="441"/>
      <c r="K604" s="441"/>
      <c r="L604" s="441"/>
      <c r="M604" s="441"/>
      <c r="N604" s="441"/>
      <c r="O604" s="441"/>
      <c r="P604" s="441"/>
      <c r="Q604" s="441"/>
      <c r="R604" s="441"/>
      <c r="S604" s="441"/>
      <c r="T604" s="441"/>
      <c r="U604" s="441"/>
      <c r="V604" s="441"/>
      <c r="W604" s="441"/>
      <c r="X604" s="441"/>
      <c r="Y604" s="441"/>
      <c r="Z604" s="441"/>
    </row>
    <row r="605">
      <c r="A605" s="441"/>
      <c r="B605" s="441"/>
      <c r="C605" s="441"/>
      <c r="D605" s="441"/>
      <c r="E605" s="441"/>
      <c r="F605" s="441"/>
      <c r="G605" s="441"/>
      <c r="H605" s="441"/>
      <c r="I605" s="441"/>
      <c r="J605" s="441"/>
      <c r="K605" s="441"/>
      <c r="L605" s="441"/>
      <c r="M605" s="441"/>
      <c r="N605" s="441"/>
      <c r="O605" s="441"/>
      <c r="P605" s="441"/>
      <c r="Q605" s="441"/>
      <c r="R605" s="441"/>
      <c r="S605" s="441"/>
      <c r="T605" s="441"/>
      <c r="U605" s="441"/>
      <c r="V605" s="441"/>
      <c r="W605" s="441"/>
      <c r="X605" s="441"/>
      <c r="Y605" s="441"/>
      <c r="Z605" s="441"/>
    </row>
    <row r="606">
      <c r="A606" s="441"/>
      <c r="B606" s="441"/>
      <c r="C606" s="441"/>
      <c r="D606" s="441"/>
      <c r="E606" s="441"/>
      <c r="F606" s="441"/>
      <c r="G606" s="441"/>
      <c r="H606" s="441"/>
      <c r="I606" s="441"/>
      <c r="J606" s="441"/>
      <c r="K606" s="441"/>
      <c r="L606" s="441"/>
      <c r="M606" s="441"/>
      <c r="N606" s="441"/>
      <c r="O606" s="441"/>
      <c r="P606" s="441"/>
      <c r="Q606" s="441"/>
      <c r="R606" s="441"/>
      <c r="S606" s="441"/>
      <c r="T606" s="441"/>
      <c r="U606" s="441"/>
      <c r="V606" s="441"/>
      <c r="W606" s="441"/>
      <c r="X606" s="441"/>
      <c r="Y606" s="441"/>
      <c r="Z606" s="441"/>
    </row>
    <row r="607">
      <c r="A607" s="441"/>
      <c r="B607" s="441"/>
      <c r="C607" s="441"/>
      <c r="D607" s="441"/>
      <c r="E607" s="441"/>
      <c r="F607" s="441"/>
      <c r="G607" s="441"/>
      <c r="H607" s="441"/>
      <c r="I607" s="441"/>
      <c r="J607" s="441"/>
      <c r="K607" s="441"/>
      <c r="L607" s="441"/>
      <c r="M607" s="441"/>
      <c r="N607" s="441"/>
      <c r="O607" s="441"/>
      <c r="P607" s="441"/>
      <c r="Q607" s="441"/>
      <c r="R607" s="441"/>
      <c r="S607" s="441"/>
      <c r="T607" s="441"/>
      <c r="U607" s="441"/>
      <c r="V607" s="441"/>
      <c r="W607" s="441"/>
      <c r="X607" s="441"/>
      <c r="Y607" s="441"/>
      <c r="Z607" s="441"/>
    </row>
    <row r="608">
      <c r="A608" s="441"/>
      <c r="B608" s="441"/>
      <c r="C608" s="441"/>
      <c r="D608" s="441"/>
      <c r="E608" s="441"/>
      <c r="F608" s="441"/>
      <c r="G608" s="441"/>
      <c r="H608" s="441"/>
      <c r="I608" s="441"/>
      <c r="J608" s="441"/>
      <c r="K608" s="441"/>
      <c r="L608" s="441"/>
      <c r="M608" s="441"/>
      <c r="N608" s="441"/>
      <c r="O608" s="441"/>
      <c r="P608" s="441"/>
      <c r="Q608" s="441"/>
      <c r="R608" s="441"/>
      <c r="S608" s="441"/>
      <c r="T608" s="441"/>
      <c r="U608" s="441"/>
      <c r="V608" s="441"/>
      <c r="W608" s="441"/>
      <c r="X608" s="441"/>
      <c r="Y608" s="441"/>
      <c r="Z608" s="441"/>
    </row>
    <row r="609">
      <c r="A609" s="441"/>
      <c r="B609" s="441"/>
      <c r="C609" s="441"/>
      <c r="D609" s="441"/>
      <c r="E609" s="441"/>
      <c r="F609" s="441"/>
      <c r="G609" s="441"/>
      <c r="H609" s="441"/>
      <c r="I609" s="441"/>
      <c r="J609" s="441"/>
      <c r="K609" s="441"/>
      <c r="L609" s="441"/>
      <c r="M609" s="441"/>
      <c r="N609" s="441"/>
      <c r="O609" s="441"/>
      <c r="P609" s="441"/>
      <c r="Q609" s="441"/>
      <c r="R609" s="441"/>
      <c r="S609" s="441"/>
      <c r="T609" s="441"/>
      <c r="U609" s="441"/>
      <c r="V609" s="441"/>
      <c r="W609" s="441"/>
      <c r="X609" s="441"/>
      <c r="Y609" s="441"/>
      <c r="Z609" s="441"/>
    </row>
    <row r="610">
      <c r="A610" s="441"/>
      <c r="B610" s="441"/>
      <c r="C610" s="441"/>
      <c r="D610" s="441"/>
      <c r="E610" s="441"/>
      <c r="F610" s="441"/>
      <c r="G610" s="441"/>
      <c r="H610" s="441"/>
      <c r="I610" s="441"/>
      <c r="J610" s="441"/>
      <c r="K610" s="441"/>
      <c r="L610" s="441"/>
      <c r="M610" s="441"/>
      <c r="N610" s="441"/>
      <c r="O610" s="441"/>
      <c r="P610" s="441"/>
      <c r="Q610" s="441"/>
      <c r="R610" s="441"/>
      <c r="S610" s="441"/>
      <c r="T610" s="441"/>
      <c r="U610" s="441"/>
      <c r="V610" s="441"/>
      <c r="W610" s="441"/>
      <c r="X610" s="441"/>
      <c r="Y610" s="441"/>
      <c r="Z610" s="441"/>
    </row>
    <row r="611">
      <c r="A611" s="441"/>
      <c r="B611" s="441"/>
      <c r="C611" s="441"/>
      <c r="D611" s="441"/>
      <c r="E611" s="441"/>
      <c r="F611" s="441"/>
      <c r="G611" s="441"/>
      <c r="H611" s="441"/>
      <c r="I611" s="441"/>
      <c r="J611" s="441"/>
      <c r="K611" s="441"/>
      <c r="L611" s="441"/>
      <c r="M611" s="441"/>
      <c r="N611" s="441"/>
      <c r="O611" s="441"/>
      <c r="P611" s="441"/>
      <c r="Q611" s="441"/>
      <c r="R611" s="441"/>
      <c r="S611" s="441"/>
      <c r="T611" s="441"/>
      <c r="U611" s="441"/>
      <c r="V611" s="441"/>
      <c r="W611" s="441"/>
      <c r="X611" s="441"/>
      <c r="Y611" s="441"/>
      <c r="Z611" s="441"/>
    </row>
    <row r="612">
      <c r="A612" s="441"/>
      <c r="B612" s="441"/>
      <c r="C612" s="441"/>
      <c r="D612" s="441"/>
      <c r="E612" s="441"/>
      <c r="F612" s="441"/>
      <c r="G612" s="441"/>
      <c r="H612" s="441"/>
      <c r="I612" s="441"/>
      <c r="J612" s="441"/>
      <c r="K612" s="441"/>
      <c r="L612" s="441"/>
      <c r="M612" s="441"/>
      <c r="N612" s="441"/>
      <c r="O612" s="441"/>
      <c r="P612" s="441"/>
      <c r="Q612" s="441"/>
      <c r="R612" s="441"/>
      <c r="S612" s="441"/>
      <c r="T612" s="441"/>
      <c r="U612" s="441"/>
      <c r="V612" s="441"/>
      <c r="W612" s="441"/>
      <c r="X612" s="441"/>
      <c r="Y612" s="441"/>
      <c r="Z612" s="441"/>
    </row>
    <row r="613">
      <c r="A613" s="441"/>
      <c r="B613" s="441"/>
      <c r="C613" s="441"/>
      <c r="D613" s="441"/>
      <c r="E613" s="441"/>
      <c r="F613" s="441"/>
      <c r="G613" s="441"/>
      <c r="H613" s="441"/>
      <c r="I613" s="441"/>
      <c r="J613" s="441"/>
      <c r="K613" s="441"/>
      <c r="L613" s="441"/>
      <c r="M613" s="441"/>
      <c r="N613" s="441"/>
      <c r="O613" s="441"/>
      <c r="P613" s="441"/>
      <c r="Q613" s="441"/>
      <c r="R613" s="441"/>
      <c r="S613" s="441"/>
      <c r="T613" s="441"/>
      <c r="U613" s="441"/>
      <c r="V613" s="441"/>
      <c r="W613" s="441"/>
      <c r="X613" s="441"/>
      <c r="Y613" s="441"/>
      <c r="Z613" s="441"/>
    </row>
    <row r="614">
      <c r="A614" s="441"/>
      <c r="B614" s="441"/>
      <c r="C614" s="441"/>
      <c r="D614" s="441"/>
      <c r="E614" s="441"/>
      <c r="F614" s="441"/>
      <c r="G614" s="441"/>
      <c r="H614" s="441"/>
      <c r="I614" s="441"/>
      <c r="J614" s="441"/>
      <c r="K614" s="441"/>
      <c r="L614" s="441"/>
      <c r="M614" s="441"/>
      <c r="N614" s="441"/>
      <c r="O614" s="441"/>
      <c r="P614" s="441"/>
      <c r="Q614" s="441"/>
      <c r="R614" s="441"/>
      <c r="S614" s="441"/>
      <c r="T614" s="441"/>
      <c r="U614" s="441"/>
      <c r="V614" s="441"/>
      <c r="W614" s="441"/>
      <c r="X614" s="441"/>
      <c r="Y614" s="441"/>
      <c r="Z614" s="441"/>
    </row>
    <row r="615">
      <c r="A615" s="441"/>
      <c r="B615" s="441"/>
      <c r="C615" s="441"/>
      <c r="D615" s="441"/>
      <c r="E615" s="441"/>
      <c r="F615" s="441"/>
      <c r="G615" s="441"/>
      <c r="H615" s="441"/>
      <c r="I615" s="441"/>
      <c r="J615" s="441"/>
      <c r="K615" s="441"/>
      <c r="L615" s="441"/>
      <c r="M615" s="441"/>
      <c r="N615" s="441"/>
      <c r="O615" s="441"/>
      <c r="P615" s="441"/>
      <c r="Q615" s="441"/>
      <c r="R615" s="441"/>
      <c r="S615" s="441"/>
      <c r="T615" s="441"/>
      <c r="U615" s="441"/>
      <c r="V615" s="441"/>
      <c r="W615" s="441"/>
      <c r="X615" s="441"/>
      <c r="Y615" s="441"/>
      <c r="Z615" s="441"/>
    </row>
    <row r="616">
      <c r="A616" s="441"/>
      <c r="B616" s="441"/>
      <c r="C616" s="441"/>
      <c r="D616" s="441"/>
      <c r="E616" s="441"/>
      <c r="F616" s="441"/>
      <c r="G616" s="441"/>
      <c r="H616" s="441"/>
      <c r="I616" s="441"/>
      <c r="J616" s="441"/>
      <c r="K616" s="441"/>
      <c r="L616" s="441"/>
      <c r="M616" s="441"/>
      <c r="N616" s="441"/>
      <c r="O616" s="441"/>
      <c r="P616" s="441"/>
      <c r="Q616" s="441"/>
      <c r="R616" s="441"/>
      <c r="S616" s="441"/>
      <c r="T616" s="441"/>
      <c r="U616" s="441"/>
      <c r="V616" s="441"/>
      <c r="W616" s="441"/>
      <c r="X616" s="441"/>
      <c r="Y616" s="441"/>
      <c r="Z616" s="441"/>
    </row>
    <row r="617">
      <c r="A617" s="441"/>
      <c r="B617" s="441"/>
      <c r="C617" s="441"/>
      <c r="D617" s="441"/>
      <c r="E617" s="441"/>
      <c r="F617" s="441"/>
      <c r="G617" s="441"/>
      <c r="H617" s="441"/>
      <c r="I617" s="441"/>
      <c r="J617" s="441"/>
      <c r="K617" s="441"/>
      <c r="L617" s="441"/>
      <c r="M617" s="441"/>
      <c r="N617" s="441"/>
      <c r="O617" s="441"/>
      <c r="P617" s="441"/>
      <c r="Q617" s="441"/>
      <c r="R617" s="441"/>
      <c r="S617" s="441"/>
      <c r="T617" s="441"/>
      <c r="U617" s="441"/>
      <c r="V617" s="441"/>
      <c r="W617" s="441"/>
      <c r="X617" s="441"/>
      <c r="Y617" s="441"/>
      <c r="Z617" s="441"/>
    </row>
    <row r="618">
      <c r="A618" s="441"/>
      <c r="B618" s="441"/>
      <c r="C618" s="441"/>
      <c r="D618" s="441"/>
      <c r="E618" s="441"/>
      <c r="F618" s="441"/>
      <c r="G618" s="441"/>
      <c r="H618" s="441"/>
      <c r="I618" s="441"/>
      <c r="J618" s="441"/>
      <c r="K618" s="441"/>
      <c r="L618" s="441"/>
      <c r="M618" s="441"/>
      <c r="N618" s="441"/>
      <c r="O618" s="441"/>
      <c r="P618" s="441"/>
      <c r="Q618" s="441"/>
      <c r="R618" s="441"/>
      <c r="S618" s="441"/>
      <c r="T618" s="441"/>
      <c r="U618" s="441"/>
      <c r="V618" s="441"/>
      <c r="W618" s="441"/>
      <c r="X618" s="441"/>
      <c r="Y618" s="441"/>
      <c r="Z618" s="441"/>
    </row>
    <row r="619">
      <c r="A619" s="441"/>
      <c r="B619" s="441"/>
      <c r="C619" s="441"/>
      <c r="D619" s="441"/>
      <c r="E619" s="441"/>
      <c r="F619" s="441"/>
      <c r="G619" s="441"/>
      <c r="H619" s="441"/>
      <c r="I619" s="441"/>
      <c r="J619" s="441"/>
      <c r="K619" s="441"/>
      <c r="L619" s="441"/>
      <c r="M619" s="441"/>
      <c r="N619" s="441"/>
      <c r="O619" s="441"/>
      <c r="P619" s="441"/>
      <c r="Q619" s="441"/>
      <c r="R619" s="441"/>
      <c r="S619" s="441"/>
      <c r="T619" s="441"/>
      <c r="U619" s="441"/>
      <c r="V619" s="441"/>
      <c r="W619" s="441"/>
      <c r="X619" s="441"/>
      <c r="Y619" s="441"/>
      <c r="Z619" s="441"/>
    </row>
    <row r="620">
      <c r="A620" s="441"/>
      <c r="B620" s="441"/>
      <c r="C620" s="441"/>
      <c r="D620" s="441"/>
      <c r="E620" s="441"/>
      <c r="F620" s="441"/>
      <c r="G620" s="441"/>
      <c r="H620" s="441"/>
      <c r="I620" s="441"/>
      <c r="J620" s="441"/>
      <c r="K620" s="441"/>
      <c r="L620" s="441"/>
      <c r="M620" s="441"/>
      <c r="N620" s="441"/>
      <c r="O620" s="441"/>
      <c r="P620" s="441"/>
      <c r="Q620" s="441"/>
      <c r="R620" s="441"/>
      <c r="S620" s="441"/>
      <c r="T620" s="441"/>
      <c r="U620" s="441"/>
      <c r="V620" s="441"/>
      <c r="W620" s="441"/>
      <c r="X620" s="441"/>
      <c r="Y620" s="441"/>
      <c r="Z620" s="441"/>
    </row>
    <row r="621">
      <c r="A621" s="441"/>
      <c r="B621" s="441"/>
      <c r="C621" s="441"/>
      <c r="D621" s="441"/>
      <c r="E621" s="441"/>
      <c r="F621" s="441"/>
      <c r="G621" s="441"/>
      <c r="H621" s="441"/>
      <c r="I621" s="441"/>
      <c r="J621" s="441"/>
      <c r="K621" s="441"/>
      <c r="L621" s="441"/>
      <c r="M621" s="441"/>
      <c r="N621" s="441"/>
      <c r="O621" s="441"/>
      <c r="P621" s="441"/>
      <c r="Q621" s="441"/>
      <c r="R621" s="441"/>
      <c r="S621" s="441"/>
      <c r="T621" s="441"/>
      <c r="U621" s="441"/>
      <c r="V621" s="441"/>
      <c r="W621" s="441"/>
      <c r="X621" s="441"/>
      <c r="Y621" s="441"/>
      <c r="Z621" s="441"/>
    </row>
    <row r="622">
      <c r="A622" s="441"/>
      <c r="B622" s="441"/>
      <c r="C622" s="441"/>
      <c r="D622" s="441"/>
      <c r="E622" s="441"/>
      <c r="F622" s="441"/>
      <c r="G622" s="441"/>
      <c r="H622" s="441"/>
      <c r="I622" s="441"/>
      <c r="J622" s="441"/>
      <c r="K622" s="441"/>
      <c r="L622" s="441"/>
      <c r="M622" s="441"/>
      <c r="N622" s="441"/>
      <c r="O622" s="441"/>
      <c r="P622" s="441"/>
      <c r="Q622" s="441"/>
      <c r="R622" s="441"/>
      <c r="S622" s="441"/>
      <c r="T622" s="441"/>
      <c r="U622" s="441"/>
      <c r="V622" s="441"/>
      <c r="W622" s="441"/>
      <c r="X622" s="441"/>
      <c r="Y622" s="441"/>
      <c r="Z622" s="441"/>
    </row>
    <row r="623">
      <c r="A623" s="441"/>
      <c r="B623" s="441"/>
      <c r="C623" s="441"/>
      <c r="D623" s="441"/>
      <c r="E623" s="441"/>
      <c r="F623" s="441"/>
      <c r="G623" s="441"/>
      <c r="H623" s="441"/>
      <c r="I623" s="441"/>
      <c r="J623" s="441"/>
      <c r="K623" s="441"/>
      <c r="L623" s="441"/>
      <c r="M623" s="441"/>
      <c r="N623" s="441"/>
      <c r="O623" s="441"/>
      <c r="P623" s="441"/>
      <c r="Q623" s="441"/>
      <c r="R623" s="441"/>
      <c r="S623" s="441"/>
      <c r="T623" s="441"/>
      <c r="U623" s="441"/>
      <c r="V623" s="441"/>
      <c r="W623" s="441"/>
      <c r="X623" s="441"/>
      <c r="Y623" s="441"/>
      <c r="Z623" s="441"/>
    </row>
    <row r="624">
      <c r="A624" s="441"/>
      <c r="B624" s="441"/>
      <c r="C624" s="441"/>
      <c r="D624" s="441"/>
      <c r="E624" s="441"/>
      <c r="F624" s="441"/>
      <c r="G624" s="441"/>
      <c r="H624" s="441"/>
      <c r="I624" s="441"/>
      <c r="J624" s="441"/>
      <c r="K624" s="441"/>
      <c r="L624" s="441"/>
      <c r="M624" s="441"/>
      <c r="N624" s="441"/>
      <c r="O624" s="441"/>
      <c r="P624" s="441"/>
      <c r="Q624" s="441"/>
      <c r="R624" s="441"/>
      <c r="S624" s="441"/>
      <c r="T624" s="441"/>
      <c r="U624" s="441"/>
      <c r="V624" s="441"/>
      <c r="W624" s="441"/>
      <c r="X624" s="441"/>
      <c r="Y624" s="441"/>
      <c r="Z624" s="441"/>
    </row>
    <row r="625">
      <c r="A625" s="441"/>
      <c r="B625" s="441"/>
      <c r="C625" s="441"/>
      <c r="D625" s="441"/>
      <c r="E625" s="441"/>
      <c r="F625" s="441"/>
      <c r="G625" s="441"/>
      <c r="H625" s="441"/>
      <c r="I625" s="441"/>
      <c r="J625" s="441"/>
      <c r="K625" s="441"/>
      <c r="L625" s="441"/>
      <c r="M625" s="441"/>
      <c r="N625" s="441"/>
      <c r="O625" s="441"/>
      <c r="P625" s="441"/>
      <c r="Q625" s="441"/>
      <c r="R625" s="441"/>
      <c r="S625" s="441"/>
      <c r="T625" s="441"/>
      <c r="U625" s="441"/>
      <c r="V625" s="441"/>
      <c r="W625" s="441"/>
      <c r="X625" s="441"/>
      <c r="Y625" s="441"/>
      <c r="Z625" s="441"/>
    </row>
    <row r="626">
      <c r="A626" s="441"/>
      <c r="B626" s="441"/>
      <c r="C626" s="441"/>
      <c r="D626" s="441"/>
      <c r="E626" s="441"/>
      <c r="F626" s="441"/>
      <c r="G626" s="441"/>
      <c r="H626" s="441"/>
      <c r="I626" s="441"/>
      <c r="J626" s="441"/>
      <c r="K626" s="441"/>
      <c r="L626" s="441"/>
      <c r="M626" s="441"/>
      <c r="N626" s="441"/>
      <c r="O626" s="441"/>
      <c r="P626" s="441"/>
      <c r="Q626" s="441"/>
      <c r="R626" s="441"/>
      <c r="S626" s="441"/>
      <c r="T626" s="441"/>
      <c r="U626" s="441"/>
      <c r="V626" s="441"/>
      <c r="W626" s="441"/>
      <c r="X626" s="441"/>
      <c r="Y626" s="441"/>
      <c r="Z626" s="441"/>
    </row>
    <row r="627">
      <c r="A627" s="441"/>
      <c r="B627" s="441"/>
      <c r="C627" s="441"/>
      <c r="D627" s="441"/>
      <c r="E627" s="441"/>
      <c r="F627" s="441"/>
      <c r="G627" s="441"/>
      <c r="H627" s="441"/>
      <c r="I627" s="441"/>
      <c r="J627" s="441"/>
      <c r="K627" s="441"/>
      <c r="L627" s="441"/>
      <c r="M627" s="441"/>
      <c r="N627" s="441"/>
      <c r="O627" s="441"/>
      <c r="P627" s="441"/>
      <c r="Q627" s="441"/>
      <c r="R627" s="441"/>
      <c r="S627" s="441"/>
      <c r="T627" s="441"/>
      <c r="U627" s="441"/>
      <c r="V627" s="441"/>
      <c r="W627" s="441"/>
      <c r="X627" s="441"/>
      <c r="Y627" s="441"/>
      <c r="Z627" s="441"/>
    </row>
    <row r="628">
      <c r="A628" s="441"/>
      <c r="B628" s="441"/>
      <c r="C628" s="441"/>
      <c r="D628" s="441"/>
      <c r="E628" s="441"/>
      <c r="F628" s="441"/>
      <c r="G628" s="441"/>
      <c r="H628" s="441"/>
      <c r="I628" s="441"/>
      <c r="J628" s="441"/>
      <c r="K628" s="441"/>
      <c r="L628" s="441"/>
      <c r="M628" s="441"/>
      <c r="N628" s="441"/>
      <c r="O628" s="441"/>
      <c r="P628" s="441"/>
      <c r="Q628" s="441"/>
      <c r="R628" s="441"/>
      <c r="S628" s="441"/>
      <c r="T628" s="441"/>
      <c r="U628" s="441"/>
      <c r="V628" s="441"/>
      <c r="W628" s="441"/>
      <c r="X628" s="441"/>
      <c r="Y628" s="441"/>
      <c r="Z628" s="441"/>
    </row>
    <row r="629">
      <c r="A629" s="441"/>
      <c r="B629" s="441"/>
      <c r="C629" s="441"/>
      <c r="D629" s="441"/>
      <c r="E629" s="441"/>
      <c r="F629" s="441"/>
      <c r="G629" s="441"/>
      <c r="H629" s="441"/>
      <c r="I629" s="441"/>
      <c r="J629" s="441"/>
      <c r="K629" s="441"/>
      <c r="L629" s="441"/>
      <c r="M629" s="441"/>
      <c r="N629" s="441"/>
      <c r="O629" s="441"/>
      <c r="P629" s="441"/>
      <c r="Q629" s="441"/>
      <c r="R629" s="441"/>
      <c r="S629" s="441"/>
      <c r="T629" s="441"/>
      <c r="U629" s="441"/>
      <c r="V629" s="441"/>
      <c r="W629" s="441"/>
      <c r="X629" s="441"/>
      <c r="Y629" s="441"/>
      <c r="Z629" s="441"/>
    </row>
    <row r="630">
      <c r="A630" s="441"/>
      <c r="B630" s="441"/>
      <c r="C630" s="441"/>
      <c r="D630" s="441"/>
      <c r="E630" s="441"/>
      <c r="F630" s="441"/>
      <c r="G630" s="441"/>
      <c r="H630" s="441"/>
      <c r="I630" s="441"/>
      <c r="J630" s="441"/>
      <c r="K630" s="441"/>
      <c r="L630" s="441"/>
      <c r="M630" s="441"/>
      <c r="N630" s="441"/>
      <c r="O630" s="441"/>
      <c r="P630" s="441"/>
      <c r="Q630" s="441"/>
      <c r="R630" s="441"/>
      <c r="S630" s="441"/>
      <c r="T630" s="441"/>
      <c r="U630" s="441"/>
      <c r="V630" s="441"/>
      <c r="W630" s="441"/>
      <c r="X630" s="441"/>
      <c r="Y630" s="441"/>
      <c r="Z630" s="441"/>
    </row>
    <row r="631">
      <c r="A631" s="441"/>
      <c r="B631" s="441"/>
      <c r="C631" s="441"/>
      <c r="D631" s="441"/>
      <c r="E631" s="441"/>
      <c r="F631" s="441"/>
      <c r="G631" s="441"/>
      <c r="H631" s="441"/>
      <c r="I631" s="441"/>
      <c r="J631" s="441"/>
      <c r="K631" s="441"/>
      <c r="L631" s="441"/>
      <c r="M631" s="441"/>
      <c r="N631" s="441"/>
      <c r="O631" s="441"/>
      <c r="P631" s="441"/>
      <c r="Q631" s="441"/>
      <c r="R631" s="441"/>
      <c r="S631" s="441"/>
      <c r="T631" s="441"/>
      <c r="U631" s="441"/>
      <c r="V631" s="441"/>
      <c r="W631" s="441"/>
      <c r="X631" s="441"/>
      <c r="Y631" s="441"/>
      <c r="Z631" s="441"/>
    </row>
    <row r="632">
      <c r="A632" s="441"/>
      <c r="B632" s="441"/>
      <c r="C632" s="441"/>
      <c r="D632" s="441"/>
      <c r="E632" s="441"/>
      <c r="F632" s="441"/>
      <c r="G632" s="441"/>
      <c r="H632" s="441"/>
      <c r="I632" s="441"/>
      <c r="J632" s="441"/>
      <c r="K632" s="441"/>
      <c r="L632" s="441"/>
      <c r="M632" s="441"/>
      <c r="N632" s="441"/>
      <c r="O632" s="441"/>
      <c r="P632" s="441"/>
      <c r="Q632" s="441"/>
      <c r="R632" s="441"/>
      <c r="S632" s="441"/>
      <c r="T632" s="441"/>
      <c r="U632" s="441"/>
      <c r="V632" s="441"/>
      <c r="W632" s="441"/>
      <c r="X632" s="441"/>
      <c r="Y632" s="441"/>
      <c r="Z632" s="441"/>
    </row>
    <row r="633">
      <c r="A633" s="441"/>
      <c r="B633" s="441"/>
      <c r="C633" s="441"/>
      <c r="D633" s="441"/>
      <c r="E633" s="441"/>
      <c r="F633" s="441"/>
      <c r="G633" s="441"/>
      <c r="H633" s="441"/>
      <c r="I633" s="441"/>
      <c r="J633" s="441"/>
      <c r="K633" s="441"/>
      <c r="L633" s="441"/>
      <c r="M633" s="441"/>
      <c r="N633" s="441"/>
      <c r="O633" s="441"/>
      <c r="P633" s="441"/>
      <c r="Q633" s="441"/>
      <c r="R633" s="441"/>
      <c r="S633" s="441"/>
      <c r="T633" s="441"/>
      <c r="U633" s="441"/>
      <c r="V633" s="441"/>
      <c r="W633" s="441"/>
      <c r="X633" s="441"/>
      <c r="Y633" s="441"/>
      <c r="Z633" s="441"/>
    </row>
    <row r="634">
      <c r="A634" s="441"/>
      <c r="B634" s="441"/>
      <c r="C634" s="441"/>
      <c r="D634" s="441"/>
      <c r="E634" s="441"/>
      <c r="F634" s="441"/>
      <c r="G634" s="441"/>
      <c r="H634" s="441"/>
      <c r="I634" s="441"/>
      <c r="J634" s="441"/>
      <c r="K634" s="441"/>
      <c r="L634" s="441"/>
      <c r="M634" s="441"/>
      <c r="N634" s="441"/>
      <c r="O634" s="441"/>
      <c r="P634" s="441"/>
      <c r="Q634" s="441"/>
      <c r="R634" s="441"/>
      <c r="S634" s="441"/>
      <c r="T634" s="441"/>
      <c r="U634" s="441"/>
      <c r="V634" s="441"/>
      <c r="W634" s="441"/>
      <c r="X634" s="441"/>
      <c r="Y634" s="441"/>
      <c r="Z634" s="441"/>
    </row>
    <row r="635">
      <c r="A635" s="441"/>
      <c r="B635" s="441"/>
      <c r="C635" s="441"/>
      <c r="D635" s="441"/>
      <c r="E635" s="441"/>
      <c r="F635" s="441"/>
      <c r="G635" s="441"/>
      <c r="H635" s="441"/>
      <c r="I635" s="441"/>
      <c r="J635" s="441"/>
      <c r="K635" s="441"/>
      <c r="L635" s="441"/>
      <c r="M635" s="441"/>
      <c r="N635" s="441"/>
      <c r="O635" s="441"/>
      <c r="P635" s="441"/>
      <c r="Q635" s="441"/>
      <c r="R635" s="441"/>
      <c r="S635" s="441"/>
      <c r="T635" s="441"/>
      <c r="U635" s="441"/>
      <c r="V635" s="441"/>
      <c r="W635" s="441"/>
      <c r="X635" s="441"/>
      <c r="Y635" s="441"/>
      <c r="Z635" s="441"/>
    </row>
    <row r="636">
      <c r="A636" s="441"/>
      <c r="B636" s="441"/>
      <c r="C636" s="441"/>
      <c r="D636" s="441"/>
      <c r="E636" s="441"/>
      <c r="F636" s="441"/>
      <c r="G636" s="441"/>
      <c r="H636" s="441"/>
      <c r="I636" s="441"/>
      <c r="J636" s="441"/>
      <c r="K636" s="441"/>
      <c r="L636" s="441"/>
      <c r="M636" s="441"/>
      <c r="N636" s="441"/>
      <c r="O636" s="441"/>
      <c r="P636" s="441"/>
      <c r="Q636" s="441"/>
      <c r="R636" s="441"/>
      <c r="S636" s="441"/>
      <c r="T636" s="441"/>
      <c r="U636" s="441"/>
      <c r="V636" s="441"/>
      <c r="W636" s="441"/>
      <c r="X636" s="441"/>
      <c r="Y636" s="441"/>
      <c r="Z636" s="441"/>
    </row>
    <row r="637">
      <c r="A637" s="441"/>
      <c r="B637" s="441"/>
      <c r="C637" s="441"/>
      <c r="D637" s="441"/>
      <c r="E637" s="441"/>
      <c r="F637" s="441"/>
      <c r="G637" s="441"/>
      <c r="H637" s="441"/>
      <c r="I637" s="441"/>
      <c r="J637" s="441"/>
      <c r="K637" s="441"/>
      <c r="L637" s="441"/>
      <c r="M637" s="441"/>
      <c r="N637" s="441"/>
      <c r="O637" s="441"/>
      <c r="P637" s="441"/>
      <c r="Q637" s="441"/>
      <c r="R637" s="441"/>
      <c r="S637" s="441"/>
      <c r="T637" s="441"/>
      <c r="U637" s="441"/>
      <c r="V637" s="441"/>
      <c r="W637" s="441"/>
      <c r="X637" s="441"/>
      <c r="Y637" s="441"/>
      <c r="Z637" s="441"/>
    </row>
    <row r="638">
      <c r="A638" s="441"/>
      <c r="B638" s="441"/>
      <c r="C638" s="441"/>
      <c r="D638" s="441"/>
      <c r="E638" s="441"/>
      <c r="F638" s="441"/>
      <c r="G638" s="441"/>
      <c r="H638" s="441"/>
      <c r="I638" s="441"/>
      <c r="J638" s="441"/>
      <c r="K638" s="441"/>
      <c r="L638" s="441"/>
      <c r="M638" s="441"/>
      <c r="N638" s="441"/>
      <c r="O638" s="441"/>
      <c r="P638" s="441"/>
      <c r="Q638" s="441"/>
      <c r="R638" s="441"/>
      <c r="S638" s="441"/>
      <c r="T638" s="441"/>
      <c r="U638" s="441"/>
      <c r="V638" s="441"/>
      <c r="W638" s="441"/>
      <c r="X638" s="441"/>
      <c r="Y638" s="441"/>
      <c r="Z638" s="441"/>
    </row>
    <row r="639">
      <c r="A639" s="441"/>
      <c r="B639" s="441"/>
      <c r="C639" s="441"/>
      <c r="D639" s="441"/>
      <c r="E639" s="441"/>
      <c r="F639" s="441"/>
      <c r="G639" s="441"/>
      <c r="H639" s="441"/>
      <c r="I639" s="441"/>
      <c r="J639" s="441"/>
      <c r="K639" s="441"/>
      <c r="L639" s="441"/>
      <c r="M639" s="441"/>
      <c r="N639" s="441"/>
      <c r="O639" s="441"/>
      <c r="P639" s="441"/>
      <c r="Q639" s="441"/>
      <c r="R639" s="441"/>
      <c r="S639" s="441"/>
      <c r="T639" s="441"/>
      <c r="U639" s="441"/>
      <c r="V639" s="441"/>
      <c r="W639" s="441"/>
      <c r="X639" s="441"/>
      <c r="Y639" s="441"/>
      <c r="Z639" s="441"/>
    </row>
    <row r="640">
      <c r="A640" s="441"/>
      <c r="B640" s="441"/>
      <c r="C640" s="441"/>
      <c r="D640" s="441"/>
      <c r="E640" s="441"/>
      <c r="F640" s="441"/>
      <c r="G640" s="441"/>
      <c r="H640" s="441"/>
      <c r="I640" s="441"/>
      <c r="J640" s="441"/>
      <c r="K640" s="441"/>
      <c r="L640" s="441"/>
      <c r="M640" s="441"/>
      <c r="N640" s="441"/>
      <c r="O640" s="441"/>
      <c r="P640" s="441"/>
      <c r="Q640" s="441"/>
      <c r="R640" s="441"/>
      <c r="S640" s="441"/>
      <c r="T640" s="441"/>
      <c r="U640" s="441"/>
      <c r="V640" s="441"/>
      <c r="W640" s="441"/>
      <c r="X640" s="441"/>
      <c r="Y640" s="441"/>
      <c r="Z640" s="441"/>
    </row>
    <row r="641">
      <c r="A641" s="441"/>
      <c r="B641" s="441"/>
      <c r="C641" s="441"/>
      <c r="D641" s="441"/>
      <c r="E641" s="441"/>
      <c r="F641" s="441"/>
      <c r="G641" s="441"/>
      <c r="H641" s="441"/>
      <c r="I641" s="441"/>
      <c r="J641" s="441"/>
      <c r="K641" s="441"/>
      <c r="L641" s="441"/>
      <c r="M641" s="441"/>
      <c r="N641" s="441"/>
      <c r="O641" s="441"/>
      <c r="P641" s="441"/>
      <c r="Q641" s="441"/>
      <c r="R641" s="441"/>
      <c r="S641" s="441"/>
      <c r="T641" s="441"/>
      <c r="U641" s="441"/>
      <c r="V641" s="441"/>
      <c r="W641" s="441"/>
      <c r="X641" s="441"/>
      <c r="Y641" s="441"/>
      <c r="Z641" s="441"/>
    </row>
    <row r="642">
      <c r="A642" s="441"/>
      <c r="B642" s="441"/>
      <c r="C642" s="441"/>
      <c r="D642" s="441"/>
      <c r="E642" s="441"/>
      <c r="F642" s="441"/>
      <c r="G642" s="441"/>
      <c r="H642" s="441"/>
      <c r="I642" s="441"/>
      <c r="J642" s="441"/>
      <c r="K642" s="441"/>
      <c r="L642" s="441"/>
      <c r="M642" s="441"/>
      <c r="N642" s="441"/>
      <c r="O642" s="441"/>
      <c r="P642" s="441"/>
      <c r="Q642" s="441"/>
      <c r="R642" s="441"/>
      <c r="S642" s="441"/>
      <c r="T642" s="441"/>
      <c r="U642" s="441"/>
      <c r="V642" s="441"/>
      <c r="W642" s="441"/>
      <c r="X642" s="441"/>
      <c r="Y642" s="441"/>
      <c r="Z642" s="441"/>
    </row>
    <row r="643">
      <c r="A643" s="441"/>
      <c r="B643" s="441"/>
      <c r="C643" s="441"/>
      <c r="D643" s="441"/>
      <c r="E643" s="441"/>
      <c r="F643" s="441"/>
      <c r="G643" s="441"/>
      <c r="H643" s="441"/>
      <c r="I643" s="441"/>
      <c r="J643" s="441"/>
      <c r="K643" s="441"/>
      <c r="L643" s="441"/>
      <c r="M643" s="441"/>
      <c r="N643" s="441"/>
      <c r="O643" s="441"/>
      <c r="P643" s="441"/>
      <c r="Q643" s="441"/>
      <c r="R643" s="441"/>
      <c r="S643" s="441"/>
      <c r="T643" s="441"/>
      <c r="U643" s="441"/>
      <c r="V643" s="441"/>
      <c r="W643" s="441"/>
      <c r="X643" s="441"/>
      <c r="Y643" s="441"/>
      <c r="Z643" s="441"/>
    </row>
    <row r="644">
      <c r="A644" s="441"/>
      <c r="B644" s="441"/>
      <c r="C644" s="441"/>
      <c r="D644" s="441"/>
      <c r="E644" s="441"/>
      <c r="F644" s="441"/>
      <c r="G644" s="441"/>
      <c r="H644" s="441"/>
      <c r="I644" s="441"/>
      <c r="J644" s="441"/>
      <c r="K644" s="441"/>
      <c r="L644" s="441"/>
      <c r="M644" s="441"/>
      <c r="N644" s="441"/>
      <c r="O644" s="441"/>
      <c r="P644" s="441"/>
      <c r="Q644" s="441"/>
      <c r="R644" s="441"/>
      <c r="S644" s="441"/>
      <c r="T644" s="441"/>
      <c r="U644" s="441"/>
      <c r="V644" s="441"/>
      <c r="W644" s="441"/>
      <c r="X644" s="441"/>
      <c r="Y644" s="441"/>
      <c r="Z644" s="441"/>
    </row>
    <row r="645">
      <c r="A645" s="441"/>
      <c r="B645" s="441"/>
      <c r="C645" s="441"/>
      <c r="D645" s="441"/>
      <c r="E645" s="441"/>
      <c r="F645" s="441"/>
      <c r="G645" s="441"/>
      <c r="H645" s="441"/>
      <c r="I645" s="441"/>
      <c r="J645" s="441"/>
      <c r="K645" s="441"/>
      <c r="L645" s="441"/>
      <c r="M645" s="441"/>
      <c r="N645" s="441"/>
      <c r="O645" s="441"/>
      <c r="P645" s="441"/>
      <c r="Q645" s="441"/>
      <c r="R645" s="441"/>
      <c r="S645" s="441"/>
      <c r="T645" s="441"/>
      <c r="U645" s="441"/>
      <c r="V645" s="441"/>
      <c r="W645" s="441"/>
      <c r="X645" s="441"/>
      <c r="Y645" s="441"/>
      <c r="Z645" s="441"/>
    </row>
    <row r="646">
      <c r="A646" s="441"/>
      <c r="B646" s="441"/>
      <c r="C646" s="441"/>
      <c r="D646" s="441"/>
      <c r="E646" s="441"/>
      <c r="F646" s="441"/>
      <c r="G646" s="441"/>
      <c r="H646" s="441"/>
      <c r="I646" s="441"/>
      <c r="J646" s="441"/>
      <c r="K646" s="441"/>
      <c r="L646" s="441"/>
      <c r="M646" s="441"/>
      <c r="N646" s="441"/>
      <c r="O646" s="441"/>
      <c r="P646" s="441"/>
      <c r="Q646" s="441"/>
      <c r="R646" s="441"/>
      <c r="S646" s="441"/>
      <c r="T646" s="441"/>
      <c r="U646" s="441"/>
      <c r="V646" s="441"/>
      <c r="W646" s="441"/>
      <c r="X646" s="441"/>
      <c r="Y646" s="441"/>
      <c r="Z646" s="441"/>
    </row>
    <row r="647">
      <c r="A647" s="441"/>
      <c r="B647" s="441"/>
      <c r="C647" s="441"/>
      <c r="D647" s="441"/>
      <c r="E647" s="441"/>
      <c r="F647" s="441"/>
      <c r="G647" s="441"/>
      <c r="H647" s="441"/>
      <c r="I647" s="441"/>
      <c r="J647" s="441"/>
      <c r="K647" s="441"/>
      <c r="L647" s="441"/>
      <c r="M647" s="441"/>
      <c r="N647" s="441"/>
      <c r="O647" s="441"/>
      <c r="P647" s="441"/>
      <c r="Q647" s="441"/>
      <c r="R647" s="441"/>
      <c r="S647" s="441"/>
      <c r="T647" s="441"/>
      <c r="U647" s="441"/>
      <c r="V647" s="441"/>
      <c r="W647" s="441"/>
      <c r="X647" s="441"/>
      <c r="Y647" s="441"/>
      <c r="Z647" s="441"/>
    </row>
    <row r="648">
      <c r="A648" s="441"/>
      <c r="B648" s="441"/>
      <c r="C648" s="441"/>
      <c r="D648" s="441"/>
      <c r="E648" s="441"/>
      <c r="F648" s="441"/>
      <c r="G648" s="441"/>
      <c r="H648" s="441"/>
      <c r="I648" s="441"/>
      <c r="J648" s="441"/>
      <c r="K648" s="441"/>
      <c r="L648" s="441"/>
      <c r="M648" s="441"/>
      <c r="N648" s="441"/>
      <c r="O648" s="441"/>
      <c r="P648" s="441"/>
      <c r="Q648" s="441"/>
      <c r="R648" s="441"/>
      <c r="S648" s="441"/>
      <c r="T648" s="441"/>
      <c r="U648" s="441"/>
      <c r="V648" s="441"/>
      <c r="W648" s="441"/>
      <c r="X648" s="441"/>
      <c r="Y648" s="441"/>
      <c r="Z648" s="441"/>
    </row>
    <row r="649">
      <c r="A649" s="441"/>
      <c r="B649" s="441"/>
      <c r="C649" s="441"/>
      <c r="D649" s="441"/>
      <c r="E649" s="441"/>
      <c r="F649" s="441"/>
      <c r="G649" s="441"/>
      <c r="H649" s="441"/>
      <c r="I649" s="441"/>
      <c r="J649" s="441"/>
      <c r="K649" s="441"/>
      <c r="L649" s="441"/>
      <c r="M649" s="441"/>
      <c r="N649" s="441"/>
      <c r="O649" s="441"/>
      <c r="P649" s="441"/>
      <c r="Q649" s="441"/>
      <c r="R649" s="441"/>
      <c r="S649" s="441"/>
      <c r="T649" s="441"/>
      <c r="U649" s="441"/>
      <c r="V649" s="441"/>
      <c r="W649" s="441"/>
      <c r="X649" s="441"/>
      <c r="Y649" s="441"/>
      <c r="Z649" s="441"/>
    </row>
    <row r="650">
      <c r="A650" s="441"/>
      <c r="B650" s="441"/>
      <c r="C650" s="441"/>
      <c r="D650" s="441"/>
      <c r="E650" s="441"/>
      <c r="F650" s="441"/>
      <c r="G650" s="441"/>
      <c r="H650" s="441"/>
      <c r="I650" s="441"/>
      <c r="J650" s="441"/>
      <c r="K650" s="441"/>
      <c r="L650" s="441"/>
      <c r="M650" s="441"/>
      <c r="N650" s="441"/>
      <c r="O650" s="441"/>
      <c r="P650" s="441"/>
      <c r="Q650" s="441"/>
      <c r="R650" s="441"/>
      <c r="S650" s="441"/>
      <c r="T650" s="441"/>
      <c r="U650" s="441"/>
      <c r="V650" s="441"/>
      <c r="W650" s="441"/>
      <c r="X650" s="441"/>
      <c r="Y650" s="441"/>
      <c r="Z650" s="441"/>
    </row>
    <row r="651">
      <c r="A651" s="441"/>
      <c r="B651" s="441"/>
      <c r="C651" s="441"/>
      <c r="D651" s="441"/>
      <c r="E651" s="441"/>
      <c r="F651" s="441"/>
      <c r="G651" s="441"/>
      <c r="H651" s="441"/>
      <c r="I651" s="441"/>
      <c r="J651" s="441"/>
      <c r="K651" s="441"/>
      <c r="L651" s="441"/>
      <c r="M651" s="441"/>
      <c r="N651" s="441"/>
      <c r="O651" s="441"/>
      <c r="P651" s="441"/>
      <c r="Q651" s="441"/>
      <c r="R651" s="441"/>
      <c r="S651" s="441"/>
      <c r="T651" s="441"/>
      <c r="U651" s="441"/>
      <c r="V651" s="441"/>
      <c r="W651" s="441"/>
      <c r="X651" s="441"/>
      <c r="Y651" s="441"/>
      <c r="Z651" s="441"/>
    </row>
    <row r="652">
      <c r="A652" s="441"/>
      <c r="B652" s="441"/>
      <c r="C652" s="441"/>
      <c r="D652" s="441"/>
      <c r="E652" s="441"/>
      <c r="F652" s="441"/>
      <c r="G652" s="441"/>
      <c r="H652" s="441"/>
      <c r="I652" s="441"/>
      <c r="J652" s="441"/>
      <c r="K652" s="441"/>
      <c r="L652" s="441"/>
      <c r="M652" s="441"/>
      <c r="N652" s="441"/>
      <c r="O652" s="441"/>
      <c r="P652" s="441"/>
      <c r="Q652" s="441"/>
      <c r="R652" s="441"/>
      <c r="S652" s="441"/>
      <c r="T652" s="441"/>
      <c r="U652" s="441"/>
      <c r="V652" s="441"/>
      <c r="W652" s="441"/>
      <c r="X652" s="441"/>
      <c r="Y652" s="441"/>
      <c r="Z652" s="441"/>
    </row>
    <row r="653">
      <c r="A653" s="441"/>
      <c r="B653" s="441"/>
      <c r="C653" s="441"/>
      <c r="D653" s="441"/>
      <c r="E653" s="441"/>
      <c r="F653" s="441"/>
      <c r="G653" s="441"/>
      <c r="H653" s="441"/>
      <c r="I653" s="441"/>
      <c r="J653" s="441"/>
      <c r="K653" s="441"/>
      <c r="L653" s="441"/>
      <c r="M653" s="441"/>
      <c r="N653" s="441"/>
      <c r="O653" s="441"/>
      <c r="P653" s="441"/>
      <c r="Q653" s="441"/>
      <c r="R653" s="441"/>
      <c r="S653" s="441"/>
      <c r="T653" s="441"/>
      <c r="U653" s="441"/>
      <c r="V653" s="441"/>
      <c r="W653" s="441"/>
      <c r="X653" s="441"/>
      <c r="Y653" s="441"/>
      <c r="Z653" s="441"/>
    </row>
    <row r="654">
      <c r="A654" s="441"/>
      <c r="B654" s="441"/>
      <c r="C654" s="441"/>
      <c r="D654" s="441"/>
      <c r="E654" s="441"/>
      <c r="F654" s="441"/>
      <c r="G654" s="441"/>
      <c r="H654" s="441"/>
      <c r="I654" s="441"/>
      <c r="J654" s="441"/>
      <c r="K654" s="441"/>
      <c r="L654" s="441"/>
      <c r="M654" s="441"/>
      <c r="N654" s="441"/>
      <c r="O654" s="441"/>
      <c r="P654" s="441"/>
      <c r="Q654" s="441"/>
      <c r="R654" s="441"/>
      <c r="S654" s="441"/>
      <c r="T654" s="441"/>
      <c r="U654" s="441"/>
      <c r="V654" s="441"/>
      <c r="W654" s="441"/>
      <c r="X654" s="441"/>
      <c r="Y654" s="441"/>
      <c r="Z654" s="441"/>
    </row>
    <row r="655">
      <c r="A655" s="441"/>
      <c r="B655" s="441"/>
      <c r="C655" s="441"/>
      <c r="D655" s="441"/>
      <c r="E655" s="441"/>
      <c r="F655" s="441"/>
      <c r="G655" s="441"/>
      <c r="H655" s="441"/>
      <c r="I655" s="441"/>
      <c r="J655" s="441"/>
      <c r="K655" s="441"/>
      <c r="L655" s="441"/>
      <c r="M655" s="441"/>
      <c r="N655" s="441"/>
      <c r="O655" s="441"/>
      <c r="P655" s="441"/>
      <c r="Q655" s="441"/>
      <c r="R655" s="441"/>
      <c r="S655" s="441"/>
      <c r="T655" s="441"/>
      <c r="U655" s="441"/>
      <c r="V655" s="441"/>
      <c r="W655" s="441"/>
      <c r="X655" s="441"/>
      <c r="Y655" s="441"/>
      <c r="Z655" s="441"/>
    </row>
    <row r="656">
      <c r="A656" s="441"/>
      <c r="B656" s="441"/>
      <c r="C656" s="441"/>
      <c r="D656" s="441"/>
      <c r="E656" s="441"/>
      <c r="F656" s="441"/>
      <c r="G656" s="441"/>
      <c r="H656" s="441"/>
      <c r="I656" s="441"/>
      <c r="J656" s="441"/>
      <c r="K656" s="441"/>
      <c r="L656" s="441"/>
      <c r="M656" s="441"/>
      <c r="N656" s="441"/>
      <c r="O656" s="441"/>
      <c r="P656" s="441"/>
      <c r="Q656" s="441"/>
      <c r="R656" s="441"/>
      <c r="S656" s="441"/>
      <c r="T656" s="441"/>
      <c r="U656" s="441"/>
      <c r="V656" s="441"/>
      <c r="W656" s="441"/>
      <c r="X656" s="441"/>
      <c r="Y656" s="441"/>
      <c r="Z656" s="441"/>
    </row>
    <row r="657">
      <c r="A657" s="441"/>
      <c r="B657" s="441"/>
      <c r="C657" s="441"/>
      <c r="D657" s="44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row>
    <row r="658">
      <c r="A658" s="441"/>
      <c r="B658" s="441"/>
      <c r="C658" s="441"/>
      <c r="D658" s="441"/>
      <c r="E658" s="441"/>
      <c r="F658" s="441"/>
      <c r="G658" s="441"/>
      <c r="H658" s="441"/>
      <c r="I658" s="441"/>
      <c r="J658" s="441"/>
      <c r="K658" s="441"/>
      <c r="L658" s="441"/>
      <c r="M658" s="441"/>
      <c r="N658" s="441"/>
      <c r="O658" s="441"/>
      <c r="P658" s="441"/>
      <c r="Q658" s="441"/>
      <c r="R658" s="441"/>
      <c r="S658" s="441"/>
      <c r="T658" s="441"/>
      <c r="U658" s="441"/>
      <c r="V658" s="441"/>
      <c r="W658" s="441"/>
      <c r="X658" s="441"/>
      <c r="Y658" s="441"/>
      <c r="Z658" s="441"/>
    </row>
    <row r="659">
      <c r="A659" s="441"/>
      <c r="B659" s="441"/>
      <c r="C659" s="441"/>
      <c r="D659" s="441"/>
      <c r="E659" s="441"/>
      <c r="F659" s="441"/>
      <c r="G659" s="441"/>
      <c r="H659" s="441"/>
      <c r="I659" s="441"/>
      <c r="J659" s="441"/>
      <c r="K659" s="441"/>
      <c r="L659" s="441"/>
      <c r="M659" s="441"/>
      <c r="N659" s="441"/>
      <c r="O659" s="441"/>
      <c r="P659" s="441"/>
      <c r="Q659" s="441"/>
      <c r="R659" s="441"/>
      <c r="S659" s="441"/>
      <c r="T659" s="441"/>
      <c r="U659" s="441"/>
      <c r="V659" s="441"/>
      <c r="W659" s="441"/>
      <c r="X659" s="441"/>
      <c r="Y659" s="441"/>
      <c r="Z659" s="441"/>
    </row>
    <row r="660">
      <c r="A660" s="441"/>
      <c r="B660" s="441"/>
      <c r="C660" s="441"/>
      <c r="D660" s="441"/>
      <c r="E660" s="441"/>
      <c r="F660" s="441"/>
      <c r="G660" s="441"/>
      <c r="H660" s="441"/>
      <c r="I660" s="441"/>
      <c r="J660" s="441"/>
      <c r="K660" s="441"/>
      <c r="L660" s="441"/>
      <c r="M660" s="441"/>
      <c r="N660" s="441"/>
      <c r="O660" s="441"/>
      <c r="P660" s="441"/>
      <c r="Q660" s="441"/>
      <c r="R660" s="441"/>
      <c r="S660" s="441"/>
      <c r="T660" s="441"/>
      <c r="U660" s="441"/>
      <c r="V660" s="441"/>
      <c r="W660" s="441"/>
      <c r="X660" s="441"/>
      <c r="Y660" s="441"/>
      <c r="Z660" s="441"/>
    </row>
    <row r="661">
      <c r="A661" s="441"/>
      <c r="B661" s="441"/>
      <c r="C661" s="441"/>
      <c r="D661" s="441"/>
      <c r="E661" s="441"/>
      <c r="F661" s="441"/>
      <c r="G661" s="441"/>
      <c r="H661" s="441"/>
      <c r="I661" s="441"/>
      <c r="J661" s="441"/>
      <c r="K661" s="441"/>
      <c r="L661" s="441"/>
      <c r="M661" s="441"/>
      <c r="N661" s="441"/>
      <c r="O661" s="441"/>
      <c r="P661" s="441"/>
      <c r="Q661" s="441"/>
      <c r="R661" s="441"/>
      <c r="S661" s="441"/>
      <c r="T661" s="441"/>
      <c r="U661" s="441"/>
      <c r="V661" s="441"/>
      <c r="W661" s="441"/>
      <c r="X661" s="441"/>
      <c r="Y661" s="441"/>
      <c r="Z661" s="441"/>
    </row>
    <row r="662">
      <c r="A662" s="441"/>
      <c r="B662" s="441"/>
      <c r="C662" s="441"/>
      <c r="D662" s="441"/>
      <c r="E662" s="441"/>
      <c r="F662" s="441"/>
      <c r="G662" s="441"/>
      <c r="H662" s="441"/>
      <c r="I662" s="441"/>
      <c r="J662" s="441"/>
      <c r="K662" s="441"/>
      <c r="L662" s="441"/>
      <c r="M662" s="441"/>
      <c r="N662" s="441"/>
      <c r="O662" s="441"/>
      <c r="P662" s="441"/>
      <c r="Q662" s="441"/>
      <c r="R662" s="441"/>
      <c r="S662" s="441"/>
      <c r="T662" s="441"/>
      <c r="U662" s="441"/>
      <c r="V662" s="441"/>
      <c r="W662" s="441"/>
      <c r="X662" s="441"/>
      <c r="Y662" s="441"/>
      <c r="Z662" s="441"/>
    </row>
    <row r="663">
      <c r="A663" s="441"/>
      <c r="B663" s="441"/>
      <c r="C663" s="441"/>
      <c r="D663" s="441"/>
      <c r="E663" s="441"/>
      <c r="F663" s="441"/>
      <c r="G663" s="441"/>
      <c r="H663" s="441"/>
      <c r="I663" s="441"/>
      <c r="J663" s="441"/>
      <c r="K663" s="441"/>
      <c r="L663" s="441"/>
      <c r="M663" s="441"/>
      <c r="N663" s="441"/>
      <c r="O663" s="441"/>
      <c r="P663" s="441"/>
      <c r="Q663" s="441"/>
      <c r="R663" s="441"/>
      <c r="S663" s="441"/>
      <c r="T663" s="441"/>
      <c r="U663" s="441"/>
      <c r="V663" s="441"/>
      <c r="W663" s="441"/>
      <c r="X663" s="441"/>
      <c r="Y663" s="441"/>
      <c r="Z663" s="441"/>
    </row>
    <row r="664">
      <c r="A664" s="441"/>
      <c r="B664" s="441"/>
      <c r="C664" s="441"/>
      <c r="D664" s="441"/>
      <c r="E664" s="441"/>
      <c r="F664" s="441"/>
      <c r="G664" s="441"/>
      <c r="H664" s="441"/>
      <c r="I664" s="441"/>
      <c r="J664" s="441"/>
      <c r="K664" s="441"/>
      <c r="L664" s="441"/>
      <c r="M664" s="441"/>
      <c r="N664" s="441"/>
      <c r="O664" s="441"/>
      <c r="P664" s="441"/>
      <c r="Q664" s="441"/>
      <c r="R664" s="441"/>
      <c r="S664" s="441"/>
      <c r="T664" s="441"/>
      <c r="U664" s="441"/>
      <c r="V664" s="441"/>
      <c r="W664" s="441"/>
      <c r="X664" s="441"/>
      <c r="Y664" s="441"/>
      <c r="Z664" s="441"/>
    </row>
    <row r="665">
      <c r="A665" s="441"/>
      <c r="B665" s="441"/>
      <c r="C665" s="441"/>
      <c r="D665" s="441"/>
      <c r="E665" s="441"/>
      <c r="F665" s="441"/>
      <c r="G665" s="441"/>
      <c r="H665" s="441"/>
      <c r="I665" s="441"/>
      <c r="J665" s="441"/>
      <c r="K665" s="441"/>
      <c r="L665" s="441"/>
      <c r="M665" s="441"/>
      <c r="N665" s="441"/>
      <c r="O665" s="441"/>
      <c r="P665" s="441"/>
      <c r="Q665" s="441"/>
      <c r="R665" s="441"/>
      <c r="S665" s="441"/>
      <c r="T665" s="441"/>
      <c r="U665" s="441"/>
      <c r="V665" s="441"/>
      <c r="W665" s="441"/>
      <c r="X665" s="441"/>
      <c r="Y665" s="441"/>
      <c r="Z665" s="441"/>
    </row>
    <row r="666">
      <c r="A666" s="441"/>
      <c r="B666" s="441"/>
      <c r="C666" s="441"/>
      <c r="D666" s="441"/>
      <c r="E666" s="441"/>
      <c r="F666" s="441"/>
      <c r="G666" s="441"/>
      <c r="H666" s="441"/>
      <c r="I666" s="441"/>
      <c r="J666" s="441"/>
      <c r="K666" s="441"/>
      <c r="L666" s="441"/>
      <c r="M666" s="441"/>
      <c r="N666" s="441"/>
      <c r="O666" s="441"/>
      <c r="P666" s="441"/>
      <c r="Q666" s="441"/>
      <c r="R666" s="441"/>
      <c r="S666" s="441"/>
      <c r="T666" s="441"/>
      <c r="U666" s="441"/>
      <c r="V666" s="441"/>
      <c r="W666" s="441"/>
      <c r="X666" s="441"/>
      <c r="Y666" s="441"/>
      <c r="Z666" s="441"/>
    </row>
    <row r="667">
      <c r="A667" s="441"/>
      <c r="B667" s="441"/>
      <c r="C667" s="441"/>
      <c r="D667" s="441"/>
      <c r="E667" s="441"/>
      <c r="F667" s="441"/>
      <c r="G667" s="441"/>
      <c r="H667" s="441"/>
      <c r="I667" s="441"/>
      <c r="J667" s="441"/>
      <c r="K667" s="441"/>
      <c r="L667" s="441"/>
      <c r="M667" s="441"/>
      <c r="N667" s="441"/>
      <c r="O667" s="441"/>
      <c r="P667" s="441"/>
      <c r="Q667" s="441"/>
      <c r="R667" s="441"/>
      <c r="S667" s="441"/>
      <c r="T667" s="441"/>
      <c r="U667" s="441"/>
      <c r="V667" s="441"/>
      <c r="W667" s="441"/>
      <c r="X667" s="441"/>
      <c r="Y667" s="441"/>
      <c r="Z667" s="441"/>
    </row>
    <row r="668">
      <c r="A668" s="441"/>
      <c r="B668" s="441"/>
      <c r="C668" s="441"/>
      <c r="D668" s="441"/>
      <c r="E668" s="441"/>
      <c r="F668" s="441"/>
      <c r="G668" s="441"/>
      <c r="H668" s="441"/>
      <c r="I668" s="441"/>
      <c r="J668" s="441"/>
      <c r="K668" s="441"/>
      <c r="L668" s="441"/>
      <c r="M668" s="441"/>
      <c r="N668" s="441"/>
      <c r="O668" s="441"/>
      <c r="P668" s="441"/>
      <c r="Q668" s="441"/>
      <c r="R668" s="441"/>
      <c r="S668" s="441"/>
      <c r="T668" s="441"/>
      <c r="U668" s="441"/>
      <c r="V668" s="441"/>
      <c r="W668" s="441"/>
      <c r="X668" s="441"/>
      <c r="Y668" s="441"/>
      <c r="Z668" s="441"/>
    </row>
    <row r="669">
      <c r="A669" s="441"/>
      <c r="B669" s="441"/>
      <c r="C669" s="441"/>
      <c r="D669" s="441"/>
      <c r="E669" s="441"/>
      <c r="F669" s="441"/>
      <c r="G669" s="441"/>
      <c r="H669" s="441"/>
      <c r="I669" s="441"/>
      <c r="J669" s="441"/>
      <c r="K669" s="441"/>
      <c r="L669" s="441"/>
      <c r="M669" s="441"/>
      <c r="N669" s="441"/>
      <c r="O669" s="441"/>
      <c r="P669" s="441"/>
      <c r="Q669" s="441"/>
      <c r="R669" s="441"/>
      <c r="S669" s="441"/>
      <c r="T669" s="441"/>
      <c r="U669" s="441"/>
      <c r="V669" s="441"/>
      <c r="W669" s="441"/>
      <c r="X669" s="441"/>
      <c r="Y669" s="441"/>
      <c r="Z669" s="441"/>
    </row>
    <row r="670">
      <c r="A670" s="441"/>
      <c r="B670" s="441"/>
      <c r="C670" s="441"/>
      <c r="D670" s="441"/>
      <c r="E670" s="441"/>
      <c r="F670" s="441"/>
      <c r="G670" s="441"/>
      <c r="H670" s="441"/>
      <c r="I670" s="441"/>
      <c r="J670" s="441"/>
      <c r="K670" s="441"/>
      <c r="L670" s="441"/>
      <c r="M670" s="441"/>
      <c r="N670" s="441"/>
      <c r="O670" s="441"/>
      <c r="P670" s="441"/>
      <c r="Q670" s="441"/>
      <c r="R670" s="441"/>
      <c r="S670" s="441"/>
      <c r="T670" s="441"/>
      <c r="U670" s="441"/>
      <c r="V670" s="441"/>
      <c r="W670" s="441"/>
      <c r="X670" s="441"/>
      <c r="Y670" s="441"/>
      <c r="Z670" s="441"/>
    </row>
    <row r="671">
      <c r="A671" s="441"/>
      <c r="B671" s="441"/>
      <c r="C671" s="441"/>
      <c r="D671" s="441"/>
      <c r="E671" s="441"/>
      <c r="F671" s="441"/>
      <c r="G671" s="441"/>
      <c r="H671" s="441"/>
      <c r="I671" s="441"/>
      <c r="J671" s="441"/>
      <c r="K671" s="441"/>
      <c r="L671" s="441"/>
      <c r="M671" s="441"/>
      <c r="N671" s="441"/>
      <c r="O671" s="441"/>
      <c r="P671" s="441"/>
      <c r="Q671" s="441"/>
      <c r="R671" s="441"/>
      <c r="S671" s="441"/>
      <c r="T671" s="441"/>
      <c r="U671" s="441"/>
      <c r="V671" s="441"/>
      <c r="W671" s="441"/>
      <c r="X671" s="441"/>
      <c r="Y671" s="441"/>
      <c r="Z671" s="441"/>
    </row>
    <row r="672">
      <c r="A672" s="441"/>
      <c r="B672" s="441"/>
      <c r="C672" s="441"/>
      <c r="D672" s="441"/>
      <c r="E672" s="441"/>
      <c r="F672" s="441"/>
      <c r="G672" s="441"/>
      <c r="H672" s="441"/>
      <c r="I672" s="441"/>
      <c r="J672" s="441"/>
      <c r="K672" s="441"/>
      <c r="L672" s="441"/>
      <c r="M672" s="441"/>
      <c r="N672" s="441"/>
      <c r="O672" s="441"/>
      <c r="P672" s="441"/>
      <c r="Q672" s="441"/>
      <c r="R672" s="441"/>
      <c r="S672" s="441"/>
      <c r="T672" s="441"/>
      <c r="U672" s="441"/>
      <c r="V672" s="441"/>
      <c r="W672" s="441"/>
      <c r="X672" s="441"/>
      <c r="Y672" s="441"/>
      <c r="Z672" s="441"/>
    </row>
    <row r="673">
      <c r="A673" s="441"/>
      <c r="B673" s="441"/>
      <c r="C673" s="441"/>
      <c r="D673" s="441"/>
      <c r="E673" s="441"/>
      <c r="F673" s="441"/>
      <c r="G673" s="441"/>
      <c r="H673" s="441"/>
      <c r="I673" s="441"/>
      <c r="J673" s="441"/>
      <c r="K673" s="441"/>
      <c r="L673" s="441"/>
      <c r="M673" s="441"/>
      <c r="N673" s="441"/>
      <c r="O673" s="441"/>
      <c r="P673" s="441"/>
      <c r="Q673" s="441"/>
      <c r="R673" s="441"/>
      <c r="S673" s="441"/>
      <c r="T673" s="441"/>
      <c r="U673" s="441"/>
      <c r="V673" s="441"/>
      <c r="W673" s="441"/>
      <c r="X673" s="441"/>
      <c r="Y673" s="441"/>
      <c r="Z673" s="441"/>
    </row>
    <row r="674">
      <c r="A674" s="441"/>
      <c r="B674" s="441"/>
      <c r="C674" s="441"/>
      <c r="D674" s="441"/>
      <c r="E674" s="441"/>
      <c r="F674" s="441"/>
      <c r="G674" s="441"/>
      <c r="H674" s="441"/>
      <c r="I674" s="441"/>
      <c r="J674" s="441"/>
      <c r="K674" s="441"/>
      <c r="L674" s="441"/>
      <c r="M674" s="441"/>
      <c r="N674" s="441"/>
      <c r="O674" s="441"/>
      <c r="P674" s="441"/>
      <c r="Q674" s="441"/>
      <c r="R674" s="441"/>
      <c r="S674" s="441"/>
      <c r="T674" s="441"/>
      <c r="U674" s="441"/>
      <c r="V674" s="441"/>
      <c r="W674" s="441"/>
      <c r="X674" s="441"/>
      <c r="Y674" s="441"/>
      <c r="Z674" s="441"/>
    </row>
    <row r="675">
      <c r="A675" s="441"/>
      <c r="B675" s="441"/>
      <c r="C675" s="441"/>
      <c r="D675" s="441"/>
      <c r="E675" s="441"/>
      <c r="F675" s="441"/>
      <c r="G675" s="441"/>
      <c r="H675" s="441"/>
      <c r="I675" s="441"/>
      <c r="J675" s="441"/>
      <c r="K675" s="441"/>
      <c r="L675" s="441"/>
      <c r="M675" s="441"/>
      <c r="N675" s="441"/>
      <c r="O675" s="441"/>
      <c r="P675" s="441"/>
      <c r="Q675" s="441"/>
      <c r="R675" s="441"/>
      <c r="S675" s="441"/>
      <c r="T675" s="441"/>
      <c r="U675" s="441"/>
      <c r="V675" s="441"/>
      <c r="W675" s="441"/>
      <c r="X675" s="441"/>
      <c r="Y675" s="441"/>
      <c r="Z675" s="441"/>
    </row>
    <row r="676">
      <c r="A676" s="441"/>
      <c r="B676" s="441"/>
      <c r="C676" s="441"/>
      <c r="D676" s="441"/>
      <c r="E676" s="441"/>
      <c r="F676" s="441"/>
      <c r="G676" s="441"/>
      <c r="H676" s="441"/>
      <c r="I676" s="441"/>
      <c r="J676" s="441"/>
      <c r="K676" s="441"/>
      <c r="L676" s="441"/>
      <c r="M676" s="441"/>
      <c r="N676" s="441"/>
      <c r="O676" s="441"/>
      <c r="P676" s="441"/>
      <c r="Q676" s="441"/>
      <c r="R676" s="441"/>
      <c r="S676" s="441"/>
      <c r="T676" s="441"/>
      <c r="U676" s="441"/>
      <c r="V676" s="441"/>
      <c r="W676" s="441"/>
      <c r="X676" s="441"/>
      <c r="Y676" s="441"/>
      <c r="Z676" s="441"/>
    </row>
    <row r="677">
      <c r="A677" s="441"/>
      <c r="B677" s="441"/>
      <c r="C677" s="441"/>
      <c r="D677" s="441"/>
      <c r="E677" s="441"/>
      <c r="F677" s="441"/>
      <c r="G677" s="441"/>
      <c r="H677" s="441"/>
      <c r="I677" s="441"/>
      <c r="J677" s="441"/>
      <c r="K677" s="441"/>
      <c r="L677" s="441"/>
      <c r="M677" s="441"/>
      <c r="N677" s="441"/>
      <c r="O677" s="441"/>
      <c r="P677" s="441"/>
      <c r="Q677" s="441"/>
      <c r="R677" s="441"/>
      <c r="S677" s="441"/>
      <c r="T677" s="441"/>
      <c r="U677" s="441"/>
      <c r="V677" s="441"/>
      <c r="W677" s="441"/>
      <c r="X677" s="441"/>
      <c r="Y677" s="441"/>
      <c r="Z677" s="441"/>
    </row>
    <row r="678">
      <c r="A678" s="441"/>
      <c r="B678" s="441"/>
      <c r="C678" s="441"/>
      <c r="D678" s="441"/>
      <c r="E678" s="441"/>
      <c r="F678" s="441"/>
      <c r="G678" s="441"/>
      <c r="H678" s="441"/>
      <c r="I678" s="441"/>
      <c r="J678" s="441"/>
      <c r="K678" s="441"/>
      <c r="L678" s="441"/>
      <c r="M678" s="441"/>
      <c r="N678" s="441"/>
      <c r="O678" s="441"/>
      <c r="P678" s="441"/>
      <c r="Q678" s="441"/>
      <c r="R678" s="441"/>
      <c r="S678" s="441"/>
      <c r="T678" s="441"/>
      <c r="U678" s="441"/>
      <c r="V678" s="441"/>
      <c r="W678" s="441"/>
      <c r="X678" s="441"/>
      <c r="Y678" s="441"/>
      <c r="Z678" s="441"/>
    </row>
    <row r="679">
      <c r="A679" s="441"/>
      <c r="B679" s="441"/>
      <c r="C679" s="441"/>
      <c r="D679" s="441"/>
      <c r="E679" s="441"/>
      <c r="F679" s="441"/>
      <c r="G679" s="441"/>
      <c r="H679" s="441"/>
      <c r="I679" s="441"/>
      <c r="J679" s="441"/>
      <c r="K679" s="441"/>
      <c r="L679" s="441"/>
      <c r="M679" s="441"/>
      <c r="N679" s="441"/>
      <c r="O679" s="441"/>
      <c r="P679" s="441"/>
      <c r="Q679" s="441"/>
      <c r="R679" s="441"/>
      <c r="S679" s="441"/>
      <c r="T679" s="441"/>
      <c r="U679" s="441"/>
      <c r="V679" s="441"/>
      <c r="W679" s="441"/>
      <c r="X679" s="441"/>
      <c r="Y679" s="441"/>
      <c r="Z679" s="441"/>
    </row>
    <row r="680">
      <c r="A680" s="441"/>
      <c r="B680" s="441"/>
      <c r="C680" s="441"/>
      <c r="D680" s="441"/>
      <c r="E680" s="441"/>
      <c r="F680" s="441"/>
      <c r="G680" s="441"/>
      <c r="H680" s="441"/>
      <c r="I680" s="441"/>
      <c r="J680" s="441"/>
      <c r="K680" s="441"/>
      <c r="L680" s="441"/>
      <c r="M680" s="441"/>
      <c r="N680" s="441"/>
      <c r="O680" s="441"/>
      <c r="P680" s="441"/>
      <c r="Q680" s="441"/>
      <c r="R680" s="441"/>
      <c r="S680" s="441"/>
      <c r="T680" s="441"/>
      <c r="U680" s="441"/>
      <c r="V680" s="441"/>
      <c r="W680" s="441"/>
      <c r="X680" s="441"/>
      <c r="Y680" s="441"/>
      <c r="Z680" s="441"/>
    </row>
    <row r="681">
      <c r="A681" s="441"/>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row>
    <row r="682">
      <c r="A682" s="441"/>
      <c r="B682" s="441"/>
      <c r="C682" s="441"/>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row>
    <row r="683">
      <c r="A683" s="441"/>
      <c r="B683" s="441"/>
      <c r="C683" s="441"/>
      <c r="D683" s="441"/>
      <c r="E683" s="441"/>
      <c r="F683" s="441"/>
      <c r="G683" s="441"/>
      <c r="H683" s="441"/>
      <c r="I683" s="441"/>
      <c r="J683" s="441"/>
      <c r="K683" s="441"/>
      <c r="L683" s="441"/>
      <c r="M683" s="441"/>
      <c r="N683" s="441"/>
      <c r="O683" s="441"/>
      <c r="P683" s="441"/>
      <c r="Q683" s="441"/>
      <c r="R683" s="441"/>
      <c r="S683" s="441"/>
      <c r="T683" s="441"/>
      <c r="U683" s="441"/>
      <c r="V683" s="441"/>
      <c r="W683" s="441"/>
      <c r="X683" s="441"/>
      <c r="Y683" s="441"/>
      <c r="Z683" s="441"/>
    </row>
    <row r="684">
      <c r="A684" s="441"/>
      <c r="B684" s="441"/>
      <c r="C684" s="441"/>
      <c r="D684" s="441"/>
      <c r="E684" s="441"/>
      <c r="F684" s="441"/>
      <c r="G684" s="441"/>
      <c r="H684" s="441"/>
      <c r="I684" s="441"/>
      <c r="J684" s="441"/>
      <c r="K684" s="441"/>
      <c r="L684" s="441"/>
      <c r="M684" s="441"/>
      <c r="N684" s="441"/>
      <c r="O684" s="441"/>
      <c r="P684" s="441"/>
      <c r="Q684" s="441"/>
      <c r="R684" s="441"/>
      <c r="S684" s="441"/>
      <c r="T684" s="441"/>
      <c r="U684" s="441"/>
      <c r="V684" s="441"/>
      <c r="W684" s="441"/>
      <c r="X684" s="441"/>
      <c r="Y684" s="441"/>
      <c r="Z684" s="441"/>
    </row>
    <row r="685">
      <c r="A685" s="441"/>
      <c r="B685" s="441"/>
      <c r="C685" s="441"/>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row>
    <row r="686">
      <c r="A686" s="441"/>
      <c r="B686" s="441"/>
      <c r="C686" s="441"/>
      <c r="D686" s="441"/>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row>
    <row r="687">
      <c r="A687" s="441"/>
      <c r="B687" s="441"/>
      <c r="C687" s="441"/>
      <c r="D687" s="441"/>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row>
    <row r="688">
      <c r="A688" s="441"/>
      <c r="B688" s="441"/>
      <c r="C688" s="441"/>
      <c r="D688" s="441"/>
      <c r="E688" s="441"/>
      <c r="F688" s="441"/>
      <c r="G688" s="441"/>
      <c r="H688" s="441"/>
      <c r="I688" s="441"/>
      <c r="J688" s="441"/>
      <c r="K688" s="441"/>
      <c r="L688" s="441"/>
      <c r="M688" s="441"/>
      <c r="N688" s="441"/>
      <c r="O688" s="441"/>
      <c r="P688" s="441"/>
      <c r="Q688" s="441"/>
      <c r="R688" s="441"/>
      <c r="S688" s="441"/>
      <c r="T688" s="441"/>
      <c r="U688" s="441"/>
      <c r="V688" s="441"/>
      <c r="W688" s="441"/>
      <c r="X688" s="441"/>
      <c r="Y688" s="441"/>
      <c r="Z688" s="441"/>
    </row>
    <row r="689">
      <c r="A689" s="441"/>
      <c r="B689" s="441"/>
      <c r="C689" s="441"/>
      <c r="D689" s="441"/>
      <c r="E689" s="441"/>
      <c r="F689" s="441"/>
      <c r="G689" s="441"/>
      <c r="H689" s="441"/>
      <c r="I689" s="441"/>
      <c r="J689" s="441"/>
      <c r="K689" s="441"/>
      <c r="L689" s="441"/>
      <c r="M689" s="441"/>
      <c r="N689" s="441"/>
      <c r="O689" s="441"/>
      <c r="P689" s="441"/>
      <c r="Q689" s="441"/>
      <c r="R689" s="441"/>
      <c r="S689" s="441"/>
      <c r="T689" s="441"/>
      <c r="U689" s="441"/>
      <c r="V689" s="441"/>
      <c r="W689" s="441"/>
      <c r="X689" s="441"/>
      <c r="Y689" s="441"/>
      <c r="Z689" s="441"/>
    </row>
    <row r="690">
      <c r="A690" s="441"/>
      <c r="B690" s="441"/>
      <c r="C690" s="441"/>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row>
    <row r="691">
      <c r="A691" s="441"/>
      <c r="B691" s="441"/>
      <c r="C691" s="441"/>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row>
    <row r="692">
      <c r="A692" s="441"/>
      <c r="B692" s="441"/>
      <c r="C692" s="441"/>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row>
    <row r="693">
      <c r="A693" s="441"/>
      <c r="B693" s="441"/>
      <c r="C693" s="441"/>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row>
    <row r="694">
      <c r="A694" s="441"/>
      <c r="B694" s="441"/>
      <c r="C694" s="441"/>
      <c r="D694" s="441"/>
      <c r="E694" s="441"/>
      <c r="F694" s="441"/>
      <c r="G694" s="441"/>
      <c r="H694" s="441"/>
      <c r="I694" s="441"/>
      <c r="J694" s="441"/>
      <c r="K694" s="441"/>
      <c r="L694" s="441"/>
      <c r="M694" s="441"/>
      <c r="N694" s="441"/>
      <c r="O694" s="441"/>
      <c r="P694" s="441"/>
      <c r="Q694" s="441"/>
      <c r="R694" s="441"/>
      <c r="S694" s="441"/>
      <c r="T694" s="441"/>
      <c r="U694" s="441"/>
      <c r="V694" s="441"/>
      <c r="W694" s="441"/>
      <c r="X694" s="441"/>
      <c r="Y694" s="441"/>
      <c r="Z694" s="441"/>
    </row>
    <row r="695">
      <c r="A695" s="441"/>
      <c r="B695" s="441"/>
      <c r="C695" s="441"/>
      <c r="D695" s="441"/>
      <c r="E695" s="441"/>
      <c r="F695" s="441"/>
      <c r="G695" s="441"/>
      <c r="H695" s="441"/>
      <c r="I695" s="441"/>
      <c r="J695" s="441"/>
      <c r="K695" s="441"/>
      <c r="L695" s="441"/>
      <c r="M695" s="441"/>
      <c r="N695" s="441"/>
      <c r="O695" s="441"/>
      <c r="P695" s="441"/>
      <c r="Q695" s="441"/>
      <c r="R695" s="441"/>
      <c r="S695" s="441"/>
      <c r="T695" s="441"/>
      <c r="U695" s="441"/>
      <c r="V695" s="441"/>
      <c r="W695" s="441"/>
      <c r="X695" s="441"/>
      <c r="Y695" s="441"/>
      <c r="Z695" s="441"/>
    </row>
    <row r="696">
      <c r="A696" s="441"/>
      <c r="B696" s="441"/>
      <c r="C696" s="441"/>
      <c r="D696" s="441"/>
      <c r="E696" s="441"/>
      <c r="F696" s="441"/>
      <c r="G696" s="441"/>
      <c r="H696" s="441"/>
      <c r="I696" s="441"/>
      <c r="J696" s="441"/>
      <c r="K696" s="441"/>
      <c r="L696" s="441"/>
      <c r="M696" s="441"/>
      <c r="N696" s="441"/>
      <c r="O696" s="441"/>
      <c r="P696" s="441"/>
      <c r="Q696" s="441"/>
      <c r="R696" s="441"/>
      <c r="S696" s="441"/>
      <c r="T696" s="441"/>
      <c r="U696" s="441"/>
      <c r="V696" s="441"/>
      <c r="W696" s="441"/>
      <c r="X696" s="441"/>
      <c r="Y696" s="441"/>
      <c r="Z696" s="441"/>
    </row>
    <row r="697">
      <c r="A697" s="441"/>
      <c r="B697" s="441"/>
      <c r="C697" s="441"/>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row>
    <row r="698">
      <c r="A698" s="441"/>
      <c r="B698" s="441"/>
      <c r="C698" s="441"/>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row>
    <row r="699">
      <c r="A699" s="441"/>
      <c r="B699" s="441"/>
      <c r="C699" s="441"/>
      <c r="D699" s="441"/>
      <c r="E699" s="441"/>
      <c r="F699" s="441"/>
      <c r="G699" s="441"/>
      <c r="H699" s="441"/>
      <c r="I699" s="441"/>
      <c r="J699" s="441"/>
      <c r="K699" s="441"/>
      <c r="L699" s="441"/>
      <c r="M699" s="441"/>
      <c r="N699" s="441"/>
      <c r="O699" s="441"/>
      <c r="P699" s="441"/>
      <c r="Q699" s="441"/>
      <c r="R699" s="441"/>
      <c r="S699" s="441"/>
      <c r="T699" s="441"/>
      <c r="U699" s="441"/>
      <c r="V699" s="441"/>
      <c r="W699" s="441"/>
      <c r="X699" s="441"/>
      <c r="Y699" s="441"/>
      <c r="Z699" s="441"/>
    </row>
    <row r="700">
      <c r="A700" s="441"/>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row>
    <row r="701">
      <c r="A701" s="441"/>
      <c r="B701" s="441"/>
      <c r="C701" s="441"/>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row>
    <row r="702">
      <c r="A702" s="441"/>
      <c r="B702" s="441"/>
      <c r="C702" s="441"/>
      <c r="D702" s="441"/>
      <c r="E702" s="441"/>
      <c r="F702" s="441"/>
      <c r="G702" s="441"/>
      <c r="H702" s="441"/>
      <c r="I702" s="441"/>
      <c r="J702" s="441"/>
      <c r="K702" s="441"/>
      <c r="L702" s="441"/>
      <c r="M702" s="441"/>
      <c r="N702" s="441"/>
      <c r="O702" s="441"/>
      <c r="P702" s="441"/>
      <c r="Q702" s="441"/>
      <c r="R702" s="441"/>
      <c r="S702" s="441"/>
      <c r="T702" s="441"/>
      <c r="U702" s="441"/>
      <c r="V702" s="441"/>
      <c r="W702" s="441"/>
      <c r="X702" s="441"/>
      <c r="Y702" s="441"/>
      <c r="Z702" s="441"/>
    </row>
    <row r="703">
      <c r="A703" s="441"/>
      <c r="B703" s="441"/>
      <c r="C703" s="441"/>
      <c r="D703" s="441"/>
      <c r="E703" s="441"/>
      <c r="F703" s="441"/>
      <c r="G703" s="441"/>
      <c r="H703" s="441"/>
      <c r="I703" s="441"/>
      <c r="J703" s="441"/>
      <c r="K703" s="441"/>
      <c r="L703" s="441"/>
      <c r="M703" s="441"/>
      <c r="N703" s="441"/>
      <c r="O703" s="441"/>
      <c r="P703" s="441"/>
      <c r="Q703" s="441"/>
      <c r="R703" s="441"/>
      <c r="S703" s="441"/>
      <c r="T703" s="441"/>
      <c r="U703" s="441"/>
      <c r="V703" s="441"/>
      <c r="W703" s="441"/>
      <c r="X703" s="441"/>
      <c r="Y703" s="441"/>
      <c r="Z703" s="441"/>
    </row>
    <row r="704">
      <c r="A704" s="441"/>
      <c r="B704" s="441"/>
      <c r="C704" s="441"/>
      <c r="D704" s="441"/>
      <c r="E704" s="441"/>
      <c r="F704" s="441"/>
      <c r="G704" s="441"/>
      <c r="H704" s="441"/>
      <c r="I704" s="441"/>
      <c r="J704" s="441"/>
      <c r="K704" s="441"/>
      <c r="L704" s="441"/>
      <c r="M704" s="441"/>
      <c r="N704" s="441"/>
      <c r="O704" s="441"/>
      <c r="P704" s="441"/>
      <c r="Q704" s="441"/>
      <c r="R704" s="441"/>
      <c r="S704" s="441"/>
      <c r="T704" s="441"/>
      <c r="U704" s="441"/>
      <c r="V704" s="441"/>
      <c r="W704" s="441"/>
      <c r="X704" s="441"/>
      <c r="Y704" s="441"/>
      <c r="Z704" s="441"/>
    </row>
    <row r="705">
      <c r="A705" s="441"/>
      <c r="B705" s="441"/>
      <c r="C705" s="441"/>
      <c r="D705" s="441"/>
      <c r="E705" s="441"/>
      <c r="F705" s="441"/>
      <c r="G705" s="441"/>
      <c r="H705" s="441"/>
      <c r="I705" s="441"/>
      <c r="J705" s="441"/>
      <c r="K705" s="441"/>
      <c r="L705" s="441"/>
      <c r="M705" s="441"/>
      <c r="N705" s="441"/>
      <c r="O705" s="441"/>
      <c r="P705" s="441"/>
      <c r="Q705" s="441"/>
      <c r="R705" s="441"/>
      <c r="S705" s="441"/>
      <c r="T705" s="441"/>
      <c r="U705" s="441"/>
      <c r="V705" s="441"/>
      <c r="W705" s="441"/>
      <c r="X705" s="441"/>
      <c r="Y705" s="441"/>
      <c r="Z705" s="441"/>
    </row>
    <row r="706">
      <c r="A706" s="441"/>
      <c r="B706" s="441"/>
      <c r="C706" s="441"/>
      <c r="D706" s="441"/>
      <c r="E706" s="441"/>
      <c r="F706" s="441"/>
      <c r="G706" s="441"/>
      <c r="H706" s="441"/>
      <c r="I706" s="441"/>
      <c r="J706" s="441"/>
      <c r="K706" s="441"/>
      <c r="L706" s="441"/>
      <c r="M706" s="441"/>
      <c r="N706" s="441"/>
      <c r="O706" s="441"/>
      <c r="P706" s="441"/>
      <c r="Q706" s="441"/>
      <c r="R706" s="441"/>
      <c r="S706" s="441"/>
      <c r="T706" s="441"/>
      <c r="U706" s="441"/>
      <c r="V706" s="441"/>
      <c r="W706" s="441"/>
      <c r="X706" s="441"/>
      <c r="Y706" s="441"/>
      <c r="Z706" s="441"/>
    </row>
    <row r="707">
      <c r="A707" s="441"/>
      <c r="B707" s="441"/>
      <c r="C707" s="441"/>
      <c r="D707" s="441"/>
      <c r="E707" s="441"/>
      <c r="F707" s="441"/>
      <c r="G707" s="441"/>
      <c r="H707" s="441"/>
      <c r="I707" s="441"/>
      <c r="J707" s="441"/>
      <c r="K707" s="441"/>
      <c r="L707" s="441"/>
      <c r="M707" s="441"/>
      <c r="N707" s="441"/>
      <c r="O707" s="441"/>
      <c r="P707" s="441"/>
      <c r="Q707" s="441"/>
      <c r="R707" s="441"/>
      <c r="S707" s="441"/>
      <c r="T707" s="441"/>
      <c r="U707" s="441"/>
      <c r="V707" s="441"/>
      <c r="W707" s="441"/>
      <c r="X707" s="441"/>
      <c r="Y707" s="441"/>
      <c r="Z707" s="441"/>
    </row>
    <row r="708">
      <c r="A708" s="441"/>
      <c r="B708" s="441"/>
      <c r="C708" s="441"/>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row>
    <row r="709">
      <c r="A709" s="441"/>
      <c r="B709" s="441"/>
      <c r="C709" s="441"/>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row>
    <row r="710">
      <c r="A710" s="441"/>
      <c r="B710" s="441"/>
      <c r="C710" s="441"/>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row>
    <row r="711">
      <c r="A711" s="441"/>
      <c r="B711" s="441"/>
      <c r="C711" s="441"/>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row>
    <row r="712">
      <c r="A712" s="441"/>
      <c r="B712" s="441"/>
      <c r="C712" s="441"/>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row>
    <row r="713">
      <c r="A713" s="441"/>
      <c r="B713" s="441"/>
      <c r="C713" s="441"/>
      <c r="D713" s="441"/>
      <c r="E713" s="441"/>
      <c r="F713" s="441"/>
      <c r="G713" s="441"/>
      <c r="H713" s="441"/>
      <c r="I713" s="441"/>
      <c r="J713" s="441"/>
      <c r="K713" s="441"/>
      <c r="L713" s="441"/>
      <c r="M713" s="441"/>
      <c r="N713" s="441"/>
      <c r="O713" s="441"/>
      <c r="P713" s="441"/>
      <c r="Q713" s="441"/>
      <c r="R713" s="441"/>
      <c r="S713" s="441"/>
      <c r="T713" s="441"/>
      <c r="U713" s="441"/>
      <c r="V713" s="441"/>
      <c r="W713" s="441"/>
      <c r="X713" s="441"/>
      <c r="Y713" s="441"/>
      <c r="Z713" s="441"/>
    </row>
    <row r="714">
      <c r="A714" s="441"/>
      <c r="B714" s="441"/>
      <c r="C714" s="441"/>
      <c r="D714" s="441"/>
      <c r="E714" s="441"/>
      <c r="F714" s="441"/>
      <c r="G714" s="441"/>
      <c r="H714" s="441"/>
      <c r="I714" s="441"/>
      <c r="J714" s="441"/>
      <c r="K714" s="441"/>
      <c r="L714" s="441"/>
      <c r="M714" s="441"/>
      <c r="N714" s="441"/>
      <c r="O714" s="441"/>
      <c r="P714" s="441"/>
      <c r="Q714" s="441"/>
      <c r="R714" s="441"/>
      <c r="S714" s="441"/>
      <c r="T714" s="441"/>
      <c r="U714" s="441"/>
      <c r="V714" s="441"/>
      <c r="W714" s="441"/>
      <c r="X714" s="441"/>
      <c r="Y714" s="441"/>
      <c r="Z714" s="441"/>
    </row>
    <row r="715">
      <c r="A715" s="441"/>
      <c r="B715" s="441"/>
      <c r="C715" s="441"/>
      <c r="D715" s="441"/>
      <c r="E715" s="441"/>
      <c r="F715" s="441"/>
      <c r="G715" s="441"/>
      <c r="H715" s="441"/>
      <c r="I715" s="441"/>
      <c r="J715" s="441"/>
      <c r="K715" s="441"/>
      <c r="L715" s="441"/>
      <c r="M715" s="441"/>
      <c r="N715" s="441"/>
      <c r="O715" s="441"/>
      <c r="P715" s="441"/>
      <c r="Q715" s="441"/>
      <c r="R715" s="441"/>
      <c r="S715" s="441"/>
      <c r="T715" s="441"/>
      <c r="U715" s="441"/>
      <c r="V715" s="441"/>
      <c r="W715" s="441"/>
      <c r="X715" s="441"/>
      <c r="Y715" s="441"/>
      <c r="Z715" s="441"/>
    </row>
    <row r="716">
      <c r="A716" s="441"/>
      <c r="B716" s="441"/>
      <c r="C716" s="441"/>
      <c r="D716" s="441"/>
      <c r="E716" s="441"/>
      <c r="F716" s="441"/>
      <c r="G716" s="441"/>
      <c r="H716" s="441"/>
      <c r="I716" s="441"/>
      <c r="J716" s="441"/>
      <c r="K716" s="441"/>
      <c r="L716" s="441"/>
      <c r="M716" s="441"/>
      <c r="N716" s="441"/>
      <c r="O716" s="441"/>
      <c r="P716" s="441"/>
      <c r="Q716" s="441"/>
      <c r="R716" s="441"/>
      <c r="S716" s="441"/>
      <c r="T716" s="441"/>
      <c r="U716" s="441"/>
      <c r="V716" s="441"/>
      <c r="W716" s="441"/>
      <c r="X716" s="441"/>
      <c r="Y716" s="441"/>
      <c r="Z716" s="441"/>
    </row>
    <row r="717">
      <c r="A717" s="441"/>
      <c r="B717" s="441"/>
      <c r="C717" s="441"/>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row>
    <row r="718">
      <c r="A718" s="441"/>
      <c r="B718" s="441"/>
      <c r="C718" s="441"/>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row>
    <row r="719">
      <c r="A719" s="441"/>
      <c r="B719" s="441"/>
      <c r="C719" s="441"/>
      <c r="D719" s="441"/>
      <c r="E719" s="441"/>
      <c r="F719" s="441"/>
      <c r="G719" s="441"/>
      <c r="H719" s="441"/>
      <c r="I719" s="441"/>
      <c r="J719" s="441"/>
      <c r="K719" s="441"/>
      <c r="L719" s="441"/>
      <c r="M719" s="441"/>
      <c r="N719" s="441"/>
      <c r="O719" s="441"/>
      <c r="P719" s="441"/>
      <c r="Q719" s="441"/>
      <c r="R719" s="441"/>
      <c r="S719" s="441"/>
      <c r="T719" s="441"/>
      <c r="U719" s="441"/>
      <c r="V719" s="441"/>
      <c r="W719" s="441"/>
      <c r="X719" s="441"/>
      <c r="Y719" s="441"/>
      <c r="Z719" s="441"/>
    </row>
    <row r="720">
      <c r="A720" s="441"/>
      <c r="B720" s="441"/>
      <c r="C720" s="441"/>
      <c r="D720" s="441"/>
      <c r="E720" s="441"/>
      <c r="F720" s="441"/>
      <c r="G720" s="441"/>
      <c r="H720" s="441"/>
      <c r="I720" s="441"/>
      <c r="J720" s="441"/>
      <c r="K720" s="441"/>
      <c r="L720" s="441"/>
      <c r="M720" s="441"/>
      <c r="N720" s="441"/>
      <c r="O720" s="441"/>
      <c r="P720" s="441"/>
      <c r="Q720" s="441"/>
      <c r="R720" s="441"/>
      <c r="S720" s="441"/>
      <c r="T720" s="441"/>
      <c r="U720" s="441"/>
      <c r="V720" s="441"/>
      <c r="W720" s="441"/>
      <c r="X720" s="441"/>
      <c r="Y720" s="441"/>
      <c r="Z720" s="441"/>
    </row>
    <row r="721">
      <c r="A721" s="441"/>
      <c r="B721" s="441"/>
      <c r="C721" s="441"/>
      <c r="D721" s="441"/>
      <c r="E721" s="441"/>
      <c r="F721" s="441"/>
      <c r="G721" s="441"/>
      <c r="H721" s="441"/>
      <c r="I721" s="441"/>
      <c r="J721" s="441"/>
      <c r="K721" s="441"/>
      <c r="L721" s="441"/>
      <c r="M721" s="441"/>
      <c r="N721" s="441"/>
      <c r="O721" s="441"/>
      <c r="P721" s="441"/>
      <c r="Q721" s="441"/>
      <c r="R721" s="441"/>
      <c r="S721" s="441"/>
      <c r="T721" s="441"/>
      <c r="U721" s="441"/>
      <c r="V721" s="441"/>
      <c r="W721" s="441"/>
      <c r="X721" s="441"/>
      <c r="Y721" s="441"/>
      <c r="Z721" s="441"/>
    </row>
    <row r="722">
      <c r="A722" s="441"/>
      <c r="B722" s="441"/>
      <c r="C722" s="441"/>
      <c r="D722" s="441"/>
      <c r="E722" s="441"/>
      <c r="F722" s="441"/>
      <c r="G722" s="441"/>
      <c r="H722" s="441"/>
      <c r="I722" s="441"/>
      <c r="J722" s="441"/>
      <c r="K722" s="441"/>
      <c r="L722" s="441"/>
      <c r="M722" s="441"/>
      <c r="N722" s="441"/>
      <c r="O722" s="441"/>
      <c r="P722" s="441"/>
      <c r="Q722" s="441"/>
      <c r="R722" s="441"/>
      <c r="S722" s="441"/>
      <c r="T722" s="441"/>
      <c r="U722" s="441"/>
      <c r="V722" s="441"/>
      <c r="W722" s="441"/>
      <c r="X722" s="441"/>
      <c r="Y722" s="441"/>
      <c r="Z722" s="441"/>
    </row>
    <row r="723">
      <c r="A723" s="441"/>
      <c r="B723" s="441"/>
      <c r="C723" s="441"/>
      <c r="D723" s="441"/>
      <c r="E723" s="441"/>
      <c r="F723" s="441"/>
      <c r="G723" s="441"/>
      <c r="H723" s="441"/>
      <c r="I723" s="441"/>
      <c r="J723" s="441"/>
      <c r="K723" s="441"/>
      <c r="L723" s="441"/>
      <c r="M723" s="441"/>
      <c r="N723" s="441"/>
      <c r="O723" s="441"/>
      <c r="P723" s="441"/>
      <c r="Q723" s="441"/>
      <c r="R723" s="441"/>
      <c r="S723" s="441"/>
      <c r="T723" s="441"/>
      <c r="U723" s="441"/>
      <c r="V723" s="441"/>
      <c r="W723" s="441"/>
      <c r="X723" s="441"/>
      <c r="Y723" s="441"/>
      <c r="Z723" s="441"/>
    </row>
    <row r="724">
      <c r="A724" s="441"/>
      <c r="B724" s="441"/>
      <c r="C724" s="441"/>
      <c r="D724" s="441"/>
      <c r="E724" s="441"/>
      <c r="F724" s="441"/>
      <c r="G724" s="441"/>
      <c r="H724" s="441"/>
      <c r="I724" s="441"/>
      <c r="J724" s="441"/>
      <c r="K724" s="441"/>
      <c r="L724" s="441"/>
      <c r="M724" s="441"/>
      <c r="N724" s="441"/>
      <c r="O724" s="441"/>
      <c r="P724" s="441"/>
      <c r="Q724" s="441"/>
      <c r="R724" s="441"/>
      <c r="S724" s="441"/>
      <c r="T724" s="441"/>
      <c r="U724" s="441"/>
      <c r="V724" s="441"/>
      <c r="W724" s="441"/>
      <c r="X724" s="441"/>
      <c r="Y724" s="441"/>
      <c r="Z724" s="441"/>
    </row>
    <row r="725">
      <c r="A725" s="441"/>
      <c r="B725" s="441"/>
      <c r="C725" s="441"/>
      <c r="D725" s="441"/>
      <c r="E725" s="441"/>
      <c r="F725" s="441"/>
      <c r="G725" s="441"/>
      <c r="H725" s="441"/>
      <c r="I725" s="441"/>
      <c r="J725" s="441"/>
      <c r="K725" s="441"/>
      <c r="L725" s="441"/>
      <c r="M725" s="441"/>
      <c r="N725" s="441"/>
      <c r="O725" s="441"/>
      <c r="P725" s="441"/>
      <c r="Q725" s="441"/>
      <c r="R725" s="441"/>
      <c r="S725" s="441"/>
      <c r="T725" s="441"/>
      <c r="U725" s="441"/>
      <c r="V725" s="441"/>
      <c r="W725" s="441"/>
      <c r="X725" s="441"/>
      <c r="Y725" s="441"/>
      <c r="Z725" s="441"/>
    </row>
    <row r="726">
      <c r="A726" s="441"/>
      <c r="B726" s="441"/>
      <c r="C726" s="441"/>
      <c r="D726" s="441"/>
      <c r="E726" s="441"/>
      <c r="F726" s="441"/>
      <c r="G726" s="441"/>
      <c r="H726" s="441"/>
      <c r="I726" s="441"/>
      <c r="J726" s="441"/>
      <c r="K726" s="441"/>
      <c r="L726" s="441"/>
      <c r="M726" s="441"/>
      <c r="N726" s="441"/>
      <c r="O726" s="441"/>
      <c r="P726" s="441"/>
      <c r="Q726" s="441"/>
      <c r="R726" s="441"/>
      <c r="S726" s="441"/>
      <c r="T726" s="441"/>
      <c r="U726" s="441"/>
      <c r="V726" s="441"/>
      <c r="W726" s="441"/>
      <c r="X726" s="441"/>
      <c r="Y726" s="441"/>
      <c r="Z726" s="441"/>
    </row>
    <row r="727">
      <c r="A727" s="441"/>
      <c r="B727" s="441"/>
      <c r="C727" s="441"/>
      <c r="D727" s="441"/>
      <c r="E727" s="441"/>
      <c r="F727" s="441"/>
      <c r="G727" s="441"/>
      <c r="H727" s="441"/>
      <c r="I727" s="441"/>
      <c r="J727" s="441"/>
      <c r="K727" s="441"/>
      <c r="L727" s="441"/>
      <c r="M727" s="441"/>
      <c r="N727" s="441"/>
      <c r="O727" s="441"/>
      <c r="P727" s="441"/>
      <c r="Q727" s="441"/>
      <c r="R727" s="441"/>
      <c r="S727" s="441"/>
      <c r="T727" s="441"/>
      <c r="U727" s="441"/>
      <c r="V727" s="441"/>
      <c r="W727" s="441"/>
      <c r="X727" s="441"/>
      <c r="Y727" s="441"/>
      <c r="Z727" s="441"/>
    </row>
    <row r="728">
      <c r="A728" s="441"/>
      <c r="B728" s="441"/>
      <c r="C728" s="441"/>
      <c r="D728" s="441"/>
      <c r="E728" s="441"/>
      <c r="F728" s="441"/>
      <c r="G728" s="441"/>
      <c r="H728" s="441"/>
      <c r="I728" s="441"/>
      <c r="J728" s="441"/>
      <c r="K728" s="441"/>
      <c r="L728" s="441"/>
      <c r="M728" s="441"/>
      <c r="N728" s="441"/>
      <c r="O728" s="441"/>
      <c r="P728" s="441"/>
      <c r="Q728" s="441"/>
      <c r="R728" s="441"/>
      <c r="S728" s="441"/>
      <c r="T728" s="441"/>
      <c r="U728" s="441"/>
      <c r="V728" s="441"/>
      <c r="W728" s="441"/>
      <c r="X728" s="441"/>
      <c r="Y728" s="441"/>
      <c r="Z728" s="441"/>
    </row>
    <row r="729">
      <c r="A729" s="441"/>
      <c r="B729" s="441"/>
      <c r="C729" s="441"/>
      <c r="D729" s="441"/>
      <c r="E729" s="441"/>
      <c r="F729" s="441"/>
      <c r="G729" s="441"/>
      <c r="H729" s="441"/>
      <c r="I729" s="441"/>
      <c r="J729" s="441"/>
      <c r="K729" s="441"/>
      <c r="L729" s="441"/>
      <c r="M729" s="441"/>
      <c r="N729" s="441"/>
      <c r="O729" s="441"/>
      <c r="P729" s="441"/>
      <c r="Q729" s="441"/>
      <c r="R729" s="441"/>
      <c r="S729" s="441"/>
      <c r="T729" s="441"/>
      <c r="U729" s="441"/>
      <c r="V729" s="441"/>
      <c r="W729" s="441"/>
      <c r="X729" s="441"/>
      <c r="Y729" s="441"/>
      <c r="Z729" s="441"/>
    </row>
    <row r="730">
      <c r="A730" s="441"/>
      <c r="B730" s="441"/>
      <c r="C730" s="441"/>
      <c r="D730" s="441"/>
      <c r="E730" s="441"/>
      <c r="F730" s="441"/>
      <c r="G730" s="441"/>
      <c r="H730" s="441"/>
      <c r="I730" s="441"/>
      <c r="J730" s="441"/>
      <c r="K730" s="441"/>
      <c r="L730" s="441"/>
      <c r="M730" s="441"/>
      <c r="N730" s="441"/>
      <c r="O730" s="441"/>
      <c r="P730" s="441"/>
      <c r="Q730" s="441"/>
      <c r="R730" s="441"/>
      <c r="S730" s="441"/>
      <c r="T730" s="441"/>
      <c r="U730" s="441"/>
      <c r="V730" s="441"/>
      <c r="W730" s="441"/>
      <c r="X730" s="441"/>
      <c r="Y730" s="441"/>
      <c r="Z730" s="441"/>
    </row>
    <row r="731">
      <c r="A731" s="441"/>
      <c r="B731" s="441"/>
      <c r="C731" s="441"/>
      <c r="D731" s="441"/>
      <c r="E731" s="441"/>
      <c r="F731" s="441"/>
      <c r="G731" s="441"/>
      <c r="H731" s="441"/>
      <c r="I731" s="441"/>
      <c r="J731" s="441"/>
      <c r="K731" s="441"/>
      <c r="L731" s="441"/>
      <c r="M731" s="441"/>
      <c r="N731" s="441"/>
      <c r="O731" s="441"/>
      <c r="P731" s="441"/>
      <c r="Q731" s="441"/>
      <c r="R731" s="441"/>
      <c r="S731" s="441"/>
      <c r="T731" s="441"/>
      <c r="U731" s="441"/>
      <c r="V731" s="441"/>
      <c r="W731" s="441"/>
      <c r="X731" s="441"/>
      <c r="Y731" s="441"/>
      <c r="Z731" s="441"/>
    </row>
    <row r="732">
      <c r="A732" s="441"/>
      <c r="B732" s="441"/>
      <c r="C732" s="441"/>
      <c r="D732" s="441"/>
      <c r="E732" s="441"/>
      <c r="F732" s="441"/>
      <c r="G732" s="441"/>
      <c r="H732" s="441"/>
      <c r="I732" s="441"/>
      <c r="J732" s="441"/>
      <c r="K732" s="441"/>
      <c r="L732" s="441"/>
      <c r="M732" s="441"/>
      <c r="N732" s="441"/>
      <c r="O732" s="441"/>
      <c r="P732" s="441"/>
      <c r="Q732" s="441"/>
      <c r="R732" s="441"/>
      <c r="S732" s="441"/>
      <c r="T732" s="441"/>
      <c r="U732" s="441"/>
      <c r="V732" s="441"/>
      <c r="W732" s="441"/>
      <c r="X732" s="441"/>
      <c r="Y732" s="441"/>
      <c r="Z732" s="441"/>
    </row>
    <row r="733">
      <c r="A733" s="441"/>
      <c r="B733" s="441"/>
      <c r="C733" s="441"/>
      <c r="D733" s="441"/>
      <c r="E733" s="441"/>
      <c r="F733" s="441"/>
      <c r="G733" s="441"/>
      <c r="H733" s="441"/>
      <c r="I733" s="441"/>
      <c r="J733" s="441"/>
      <c r="K733" s="441"/>
      <c r="L733" s="441"/>
      <c r="M733" s="441"/>
      <c r="N733" s="441"/>
      <c r="O733" s="441"/>
      <c r="P733" s="441"/>
      <c r="Q733" s="441"/>
      <c r="R733" s="441"/>
      <c r="S733" s="441"/>
      <c r="T733" s="441"/>
      <c r="U733" s="441"/>
      <c r="V733" s="441"/>
      <c r="W733" s="441"/>
      <c r="X733" s="441"/>
      <c r="Y733" s="441"/>
      <c r="Z733" s="441"/>
    </row>
    <row r="734">
      <c r="A734" s="441"/>
      <c r="B734" s="441"/>
      <c r="C734" s="441"/>
      <c r="D734" s="441"/>
      <c r="E734" s="441"/>
      <c r="F734" s="441"/>
      <c r="G734" s="441"/>
      <c r="H734" s="441"/>
      <c r="I734" s="441"/>
      <c r="J734" s="441"/>
      <c r="K734" s="441"/>
      <c r="L734" s="441"/>
      <c r="M734" s="441"/>
      <c r="N734" s="441"/>
      <c r="O734" s="441"/>
      <c r="P734" s="441"/>
      <c r="Q734" s="441"/>
      <c r="R734" s="441"/>
      <c r="S734" s="441"/>
      <c r="T734" s="441"/>
      <c r="U734" s="441"/>
      <c r="V734" s="441"/>
      <c r="W734" s="441"/>
      <c r="X734" s="441"/>
      <c r="Y734" s="441"/>
      <c r="Z734" s="441"/>
    </row>
    <row r="735">
      <c r="A735" s="441"/>
      <c r="B735" s="441"/>
      <c r="C735" s="441"/>
      <c r="D735" s="441"/>
      <c r="E735" s="441"/>
      <c r="F735" s="441"/>
      <c r="G735" s="441"/>
      <c r="H735" s="441"/>
      <c r="I735" s="441"/>
      <c r="J735" s="441"/>
      <c r="K735" s="441"/>
      <c r="L735" s="441"/>
      <c r="M735" s="441"/>
      <c r="N735" s="441"/>
      <c r="O735" s="441"/>
      <c r="P735" s="441"/>
      <c r="Q735" s="441"/>
      <c r="R735" s="441"/>
      <c r="S735" s="441"/>
      <c r="T735" s="441"/>
      <c r="U735" s="441"/>
      <c r="V735" s="441"/>
      <c r="W735" s="441"/>
      <c r="X735" s="441"/>
      <c r="Y735" s="441"/>
      <c r="Z735" s="441"/>
    </row>
    <row r="736">
      <c r="A736" s="441"/>
      <c r="B736" s="441"/>
      <c r="C736" s="441"/>
      <c r="D736" s="441"/>
      <c r="E736" s="441"/>
      <c r="F736" s="441"/>
      <c r="G736" s="441"/>
      <c r="H736" s="441"/>
      <c r="I736" s="441"/>
      <c r="J736" s="441"/>
      <c r="K736" s="441"/>
      <c r="L736" s="441"/>
      <c r="M736" s="441"/>
      <c r="N736" s="441"/>
      <c r="O736" s="441"/>
      <c r="P736" s="441"/>
      <c r="Q736" s="441"/>
      <c r="R736" s="441"/>
      <c r="S736" s="441"/>
      <c r="T736" s="441"/>
      <c r="U736" s="441"/>
      <c r="V736" s="441"/>
      <c r="W736" s="441"/>
      <c r="X736" s="441"/>
      <c r="Y736" s="441"/>
      <c r="Z736" s="441"/>
    </row>
    <row r="737">
      <c r="A737" s="441"/>
      <c r="B737" s="441"/>
      <c r="C737" s="441"/>
      <c r="D737" s="441"/>
      <c r="E737" s="441"/>
      <c r="F737" s="441"/>
      <c r="G737" s="441"/>
      <c r="H737" s="441"/>
      <c r="I737" s="441"/>
      <c r="J737" s="441"/>
      <c r="K737" s="441"/>
      <c r="L737" s="441"/>
      <c r="M737" s="441"/>
      <c r="N737" s="441"/>
      <c r="O737" s="441"/>
      <c r="P737" s="441"/>
      <c r="Q737" s="441"/>
      <c r="R737" s="441"/>
      <c r="S737" s="441"/>
      <c r="T737" s="441"/>
      <c r="U737" s="441"/>
      <c r="V737" s="441"/>
      <c r="W737" s="441"/>
      <c r="X737" s="441"/>
      <c r="Y737" s="441"/>
      <c r="Z737" s="441"/>
    </row>
    <row r="738">
      <c r="A738" s="441"/>
      <c r="B738" s="441"/>
      <c r="C738" s="441"/>
      <c r="D738" s="441"/>
      <c r="E738" s="441"/>
      <c r="F738" s="441"/>
      <c r="G738" s="441"/>
      <c r="H738" s="441"/>
      <c r="I738" s="441"/>
      <c r="J738" s="441"/>
      <c r="K738" s="441"/>
      <c r="L738" s="441"/>
      <c r="M738" s="441"/>
      <c r="N738" s="441"/>
      <c r="O738" s="441"/>
      <c r="P738" s="441"/>
      <c r="Q738" s="441"/>
      <c r="R738" s="441"/>
      <c r="S738" s="441"/>
      <c r="T738" s="441"/>
      <c r="U738" s="441"/>
      <c r="V738" s="441"/>
      <c r="W738" s="441"/>
      <c r="X738" s="441"/>
      <c r="Y738" s="441"/>
      <c r="Z738" s="441"/>
    </row>
    <row r="739">
      <c r="A739" s="441"/>
      <c r="B739" s="441"/>
      <c r="C739" s="441"/>
      <c r="D739" s="441"/>
      <c r="E739" s="441"/>
      <c r="F739" s="441"/>
      <c r="G739" s="441"/>
      <c r="H739" s="441"/>
      <c r="I739" s="441"/>
      <c r="J739" s="441"/>
      <c r="K739" s="441"/>
      <c r="L739" s="441"/>
      <c r="M739" s="441"/>
      <c r="N739" s="441"/>
      <c r="O739" s="441"/>
      <c r="P739" s="441"/>
      <c r="Q739" s="441"/>
      <c r="R739" s="441"/>
      <c r="S739" s="441"/>
      <c r="T739" s="441"/>
      <c r="U739" s="441"/>
      <c r="V739" s="441"/>
      <c r="W739" s="441"/>
      <c r="X739" s="441"/>
      <c r="Y739" s="441"/>
      <c r="Z739" s="441"/>
    </row>
    <row r="740">
      <c r="A740" s="441"/>
      <c r="B740" s="441"/>
      <c r="C740" s="441"/>
      <c r="D740" s="441"/>
      <c r="E740" s="441"/>
      <c r="F740" s="441"/>
      <c r="G740" s="441"/>
      <c r="H740" s="441"/>
      <c r="I740" s="441"/>
      <c r="J740" s="441"/>
      <c r="K740" s="441"/>
      <c r="L740" s="441"/>
      <c r="M740" s="441"/>
      <c r="N740" s="441"/>
      <c r="O740" s="441"/>
      <c r="P740" s="441"/>
      <c r="Q740" s="441"/>
      <c r="R740" s="441"/>
      <c r="S740" s="441"/>
      <c r="T740" s="441"/>
      <c r="U740" s="441"/>
      <c r="V740" s="441"/>
      <c r="W740" s="441"/>
      <c r="X740" s="441"/>
      <c r="Y740" s="441"/>
      <c r="Z740" s="441"/>
    </row>
    <row r="741">
      <c r="A741" s="441"/>
      <c r="B741" s="441"/>
      <c r="C741" s="441"/>
      <c r="D741" s="441"/>
      <c r="E741" s="441"/>
      <c r="F741" s="441"/>
      <c r="G741" s="441"/>
      <c r="H741" s="441"/>
      <c r="I741" s="441"/>
      <c r="J741" s="441"/>
      <c r="K741" s="441"/>
      <c r="L741" s="441"/>
      <c r="M741" s="441"/>
      <c r="N741" s="441"/>
      <c r="O741" s="441"/>
      <c r="P741" s="441"/>
      <c r="Q741" s="441"/>
      <c r="R741" s="441"/>
      <c r="S741" s="441"/>
      <c r="T741" s="441"/>
      <c r="U741" s="441"/>
      <c r="V741" s="441"/>
      <c r="W741" s="441"/>
      <c r="X741" s="441"/>
      <c r="Y741" s="441"/>
      <c r="Z741" s="441"/>
    </row>
    <row r="742">
      <c r="A742" s="441"/>
      <c r="B742" s="441"/>
      <c r="C742" s="441"/>
      <c r="D742" s="441"/>
      <c r="E742" s="441"/>
      <c r="F742" s="441"/>
      <c r="G742" s="441"/>
      <c r="H742" s="441"/>
      <c r="I742" s="441"/>
      <c r="J742" s="441"/>
      <c r="K742" s="441"/>
      <c r="L742" s="441"/>
      <c r="M742" s="441"/>
      <c r="N742" s="441"/>
      <c r="O742" s="441"/>
      <c r="P742" s="441"/>
      <c r="Q742" s="441"/>
      <c r="R742" s="441"/>
      <c r="S742" s="441"/>
      <c r="T742" s="441"/>
      <c r="U742" s="441"/>
      <c r="V742" s="441"/>
      <c r="W742" s="441"/>
      <c r="X742" s="441"/>
      <c r="Y742" s="441"/>
      <c r="Z742" s="441"/>
    </row>
    <row r="743">
      <c r="A743" s="441"/>
      <c r="B743" s="441"/>
      <c r="C743" s="441"/>
      <c r="D743" s="441"/>
      <c r="E743" s="441"/>
      <c r="F743" s="441"/>
      <c r="G743" s="441"/>
      <c r="H743" s="441"/>
      <c r="I743" s="441"/>
      <c r="J743" s="441"/>
      <c r="K743" s="441"/>
      <c r="L743" s="441"/>
      <c r="M743" s="441"/>
      <c r="N743" s="441"/>
      <c r="O743" s="441"/>
      <c r="P743" s="441"/>
      <c r="Q743" s="441"/>
      <c r="R743" s="441"/>
      <c r="S743" s="441"/>
      <c r="T743" s="441"/>
      <c r="U743" s="441"/>
      <c r="V743" s="441"/>
      <c r="W743" s="441"/>
      <c r="X743" s="441"/>
      <c r="Y743" s="441"/>
      <c r="Z743" s="441"/>
    </row>
    <row r="744">
      <c r="A744" s="441"/>
      <c r="B744" s="441"/>
      <c r="C744" s="441"/>
      <c r="D744" s="441"/>
      <c r="E744" s="441"/>
      <c r="F744" s="441"/>
      <c r="G744" s="441"/>
      <c r="H744" s="441"/>
      <c r="I744" s="441"/>
      <c r="J744" s="441"/>
      <c r="K744" s="441"/>
      <c r="L744" s="441"/>
      <c r="M744" s="441"/>
      <c r="N744" s="441"/>
      <c r="O744" s="441"/>
      <c r="P744" s="441"/>
      <c r="Q744" s="441"/>
      <c r="R744" s="441"/>
      <c r="S744" s="441"/>
      <c r="T744" s="441"/>
      <c r="U744" s="441"/>
      <c r="V744" s="441"/>
      <c r="W744" s="441"/>
      <c r="X744" s="441"/>
      <c r="Y744" s="441"/>
      <c r="Z744" s="441"/>
    </row>
    <row r="745">
      <c r="A745" s="441"/>
      <c r="B745" s="441"/>
      <c r="C745" s="441"/>
      <c r="D745" s="441"/>
      <c r="E745" s="441"/>
      <c r="F745" s="441"/>
      <c r="G745" s="441"/>
      <c r="H745" s="441"/>
      <c r="I745" s="441"/>
      <c r="J745" s="441"/>
      <c r="K745" s="441"/>
      <c r="L745" s="441"/>
      <c r="M745" s="441"/>
      <c r="N745" s="441"/>
      <c r="O745" s="441"/>
      <c r="P745" s="441"/>
      <c r="Q745" s="441"/>
      <c r="R745" s="441"/>
      <c r="S745" s="441"/>
      <c r="T745" s="441"/>
      <c r="U745" s="441"/>
      <c r="V745" s="441"/>
      <c r="W745" s="441"/>
      <c r="X745" s="441"/>
      <c r="Y745" s="441"/>
      <c r="Z745" s="441"/>
    </row>
    <row r="746">
      <c r="A746" s="441"/>
      <c r="B746" s="441"/>
      <c r="C746" s="441"/>
      <c r="D746" s="441"/>
      <c r="E746" s="441"/>
      <c r="F746" s="441"/>
      <c r="G746" s="441"/>
      <c r="H746" s="441"/>
      <c r="I746" s="441"/>
      <c r="J746" s="441"/>
      <c r="K746" s="441"/>
      <c r="L746" s="441"/>
      <c r="M746" s="441"/>
      <c r="N746" s="441"/>
      <c r="O746" s="441"/>
      <c r="P746" s="441"/>
      <c r="Q746" s="441"/>
      <c r="R746" s="441"/>
      <c r="S746" s="441"/>
      <c r="T746" s="441"/>
      <c r="U746" s="441"/>
      <c r="V746" s="441"/>
      <c r="W746" s="441"/>
      <c r="X746" s="441"/>
      <c r="Y746" s="441"/>
      <c r="Z746" s="441"/>
    </row>
    <row r="747">
      <c r="A747" s="441"/>
      <c r="B747" s="441"/>
      <c r="C747" s="441"/>
      <c r="D747" s="441"/>
      <c r="E747" s="441"/>
      <c r="F747" s="441"/>
      <c r="G747" s="441"/>
      <c r="H747" s="441"/>
      <c r="I747" s="441"/>
      <c r="J747" s="441"/>
      <c r="K747" s="441"/>
      <c r="L747" s="441"/>
      <c r="M747" s="441"/>
      <c r="N747" s="441"/>
      <c r="O747" s="441"/>
      <c r="P747" s="441"/>
      <c r="Q747" s="441"/>
      <c r="R747" s="441"/>
      <c r="S747" s="441"/>
      <c r="T747" s="441"/>
      <c r="U747" s="441"/>
      <c r="V747" s="441"/>
      <c r="W747" s="441"/>
      <c r="X747" s="441"/>
      <c r="Y747" s="441"/>
      <c r="Z747" s="441"/>
    </row>
    <row r="748">
      <c r="A748" s="441"/>
      <c r="B748" s="441"/>
      <c r="C748" s="441"/>
      <c r="D748" s="441"/>
      <c r="E748" s="441"/>
      <c r="F748" s="441"/>
      <c r="G748" s="441"/>
      <c r="H748" s="441"/>
      <c r="I748" s="441"/>
      <c r="J748" s="441"/>
      <c r="K748" s="441"/>
      <c r="L748" s="441"/>
      <c r="M748" s="441"/>
      <c r="N748" s="441"/>
      <c r="O748" s="441"/>
      <c r="P748" s="441"/>
      <c r="Q748" s="441"/>
      <c r="R748" s="441"/>
      <c r="S748" s="441"/>
      <c r="T748" s="441"/>
      <c r="U748" s="441"/>
      <c r="V748" s="441"/>
      <c r="W748" s="441"/>
      <c r="X748" s="441"/>
      <c r="Y748" s="441"/>
      <c r="Z748" s="441"/>
    </row>
    <row r="749">
      <c r="A749" s="441"/>
      <c r="B749" s="441"/>
      <c r="C749" s="441"/>
      <c r="D749" s="441"/>
      <c r="E749" s="441"/>
      <c r="F749" s="441"/>
      <c r="G749" s="441"/>
      <c r="H749" s="441"/>
      <c r="I749" s="441"/>
      <c r="J749" s="441"/>
      <c r="K749" s="441"/>
      <c r="L749" s="441"/>
      <c r="M749" s="441"/>
      <c r="N749" s="441"/>
      <c r="O749" s="441"/>
      <c r="P749" s="441"/>
      <c r="Q749" s="441"/>
      <c r="R749" s="441"/>
      <c r="S749" s="441"/>
      <c r="T749" s="441"/>
      <c r="U749" s="441"/>
      <c r="V749" s="441"/>
      <c r="W749" s="441"/>
      <c r="X749" s="441"/>
      <c r="Y749" s="441"/>
      <c r="Z749" s="441"/>
    </row>
    <row r="750">
      <c r="A750" s="441"/>
      <c r="B750" s="441"/>
      <c r="C750" s="441"/>
      <c r="D750" s="441"/>
      <c r="E750" s="441"/>
      <c r="F750" s="441"/>
      <c r="G750" s="441"/>
      <c r="H750" s="441"/>
      <c r="I750" s="441"/>
      <c r="J750" s="441"/>
      <c r="K750" s="441"/>
      <c r="L750" s="441"/>
      <c r="M750" s="441"/>
      <c r="N750" s="441"/>
      <c r="O750" s="441"/>
      <c r="P750" s="441"/>
      <c r="Q750" s="441"/>
      <c r="R750" s="441"/>
      <c r="S750" s="441"/>
      <c r="T750" s="441"/>
      <c r="U750" s="441"/>
      <c r="V750" s="441"/>
      <c r="W750" s="441"/>
      <c r="X750" s="441"/>
      <c r="Y750" s="441"/>
      <c r="Z750" s="441"/>
    </row>
    <row r="751">
      <c r="A751" s="441"/>
      <c r="B751" s="441"/>
      <c r="C751" s="441"/>
      <c r="D751" s="441"/>
      <c r="E751" s="441"/>
      <c r="F751" s="441"/>
      <c r="G751" s="441"/>
      <c r="H751" s="441"/>
      <c r="I751" s="441"/>
      <c r="J751" s="441"/>
      <c r="K751" s="441"/>
      <c r="L751" s="441"/>
      <c r="M751" s="441"/>
      <c r="N751" s="441"/>
      <c r="O751" s="441"/>
      <c r="P751" s="441"/>
      <c r="Q751" s="441"/>
      <c r="R751" s="441"/>
      <c r="S751" s="441"/>
      <c r="T751" s="441"/>
      <c r="U751" s="441"/>
      <c r="V751" s="441"/>
      <c r="W751" s="441"/>
      <c r="X751" s="441"/>
      <c r="Y751" s="441"/>
      <c r="Z751" s="441"/>
    </row>
    <row r="752">
      <c r="A752" s="441"/>
      <c r="B752" s="441"/>
      <c r="C752" s="441"/>
      <c r="D752" s="441"/>
      <c r="E752" s="441"/>
      <c r="F752" s="441"/>
      <c r="G752" s="441"/>
      <c r="H752" s="441"/>
      <c r="I752" s="441"/>
      <c r="J752" s="441"/>
      <c r="K752" s="441"/>
      <c r="L752" s="441"/>
      <c r="M752" s="441"/>
      <c r="N752" s="441"/>
      <c r="O752" s="441"/>
      <c r="P752" s="441"/>
      <c r="Q752" s="441"/>
      <c r="R752" s="441"/>
      <c r="S752" s="441"/>
      <c r="T752" s="441"/>
      <c r="U752" s="441"/>
      <c r="V752" s="441"/>
      <c r="W752" s="441"/>
      <c r="X752" s="441"/>
      <c r="Y752" s="441"/>
      <c r="Z752" s="441"/>
    </row>
    <row r="753">
      <c r="A753" s="441"/>
      <c r="B753" s="441"/>
      <c r="C753" s="441"/>
      <c r="D753" s="441"/>
      <c r="E753" s="441"/>
      <c r="F753" s="441"/>
      <c r="G753" s="441"/>
      <c r="H753" s="441"/>
      <c r="I753" s="441"/>
      <c r="J753" s="441"/>
      <c r="K753" s="441"/>
      <c r="L753" s="441"/>
      <c r="M753" s="441"/>
      <c r="N753" s="441"/>
      <c r="O753" s="441"/>
      <c r="P753" s="441"/>
      <c r="Q753" s="441"/>
      <c r="R753" s="441"/>
      <c r="S753" s="441"/>
      <c r="T753" s="441"/>
      <c r="U753" s="441"/>
      <c r="V753" s="441"/>
      <c r="W753" s="441"/>
      <c r="X753" s="441"/>
      <c r="Y753" s="441"/>
      <c r="Z753" s="441"/>
    </row>
    <row r="754">
      <c r="A754" s="441"/>
      <c r="B754" s="441"/>
      <c r="C754" s="441"/>
      <c r="D754" s="441"/>
      <c r="E754" s="441"/>
      <c r="F754" s="441"/>
      <c r="G754" s="441"/>
      <c r="H754" s="441"/>
      <c r="I754" s="441"/>
      <c r="J754" s="441"/>
      <c r="K754" s="441"/>
      <c r="L754" s="441"/>
      <c r="M754" s="441"/>
      <c r="N754" s="441"/>
      <c r="O754" s="441"/>
      <c r="P754" s="441"/>
      <c r="Q754" s="441"/>
      <c r="R754" s="441"/>
      <c r="S754" s="441"/>
      <c r="T754" s="441"/>
      <c r="U754" s="441"/>
      <c r="V754" s="441"/>
      <c r="W754" s="441"/>
      <c r="X754" s="441"/>
      <c r="Y754" s="441"/>
      <c r="Z754" s="441"/>
    </row>
    <row r="755">
      <c r="A755" s="441"/>
      <c r="B755" s="441"/>
      <c r="C755" s="441"/>
      <c r="D755" s="441"/>
      <c r="E755" s="441"/>
      <c r="F755" s="441"/>
      <c r="G755" s="441"/>
      <c r="H755" s="441"/>
      <c r="I755" s="441"/>
      <c r="J755" s="441"/>
      <c r="K755" s="441"/>
      <c r="L755" s="441"/>
      <c r="M755" s="441"/>
      <c r="N755" s="441"/>
      <c r="O755" s="441"/>
      <c r="P755" s="441"/>
      <c r="Q755" s="441"/>
      <c r="R755" s="441"/>
      <c r="S755" s="441"/>
      <c r="T755" s="441"/>
      <c r="U755" s="441"/>
      <c r="V755" s="441"/>
      <c r="W755" s="441"/>
      <c r="X755" s="441"/>
      <c r="Y755" s="441"/>
      <c r="Z755" s="441"/>
    </row>
    <row r="756">
      <c r="A756" s="441"/>
      <c r="B756" s="441"/>
      <c r="C756" s="441"/>
      <c r="D756" s="441"/>
      <c r="E756" s="441"/>
      <c r="F756" s="441"/>
      <c r="G756" s="441"/>
      <c r="H756" s="441"/>
      <c r="I756" s="441"/>
      <c r="J756" s="441"/>
      <c r="K756" s="441"/>
      <c r="L756" s="441"/>
      <c r="M756" s="441"/>
      <c r="N756" s="441"/>
      <c r="O756" s="441"/>
      <c r="P756" s="441"/>
      <c r="Q756" s="441"/>
      <c r="R756" s="441"/>
      <c r="S756" s="441"/>
      <c r="T756" s="441"/>
      <c r="U756" s="441"/>
      <c r="V756" s="441"/>
      <c r="W756" s="441"/>
      <c r="X756" s="441"/>
      <c r="Y756" s="441"/>
      <c r="Z756" s="441"/>
    </row>
    <row r="757">
      <c r="A757" s="441"/>
      <c r="B757" s="441"/>
      <c r="C757" s="441"/>
      <c r="D757" s="441"/>
      <c r="E757" s="441"/>
      <c r="F757" s="441"/>
      <c r="G757" s="441"/>
      <c r="H757" s="441"/>
      <c r="I757" s="441"/>
      <c r="J757" s="441"/>
      <c r="K757" s="441"/>
      <c r="L757" s="441"/>
      <c r="M757" s="441"/>
      <c r="N757" s="441"/>
      <c r="O757" s="441"/>
      <c r="P757" s="441"/>
      <c r="Q757" s="441"/>
      <c r="R757" s="441"/>
      <c r="S757" s="441"/>
      <c r="T757" s="441"/>
      <c r="U757" s="441"/>
      <c r="V757" s="441"/>
      <c r="W757" s="441"/>
      <c r="X757" s="441"/>
      <c r="Y757" s="441"/>
      <c r="Z757" s="441"/>
    </row>
    <row r="758">
      <c r="A758" s="441"/>
      <c r="B758" s="441"/>
      <c r="C758" s="441"/>
      <c r="D758" s="441"/>
      <c r="E758" s="441"/>
      <c r="F758" s="441"/>
      <c r="G758" s="441"/>
      <c r="H758" s="441"/>
      <c r="I758" s="441"/>
      <c r="J758" s="441"/>
      <c r="K758" s="441"/>
      <c r="L758" s="441"/>
      <c r="M758" s="441"/>
      <c r="N758" s="441"/>
      <c r="O758" s="441"/>
      <c r="P758" s="441"/>
      <c r="Q758" s="441"/>
      <c r="R758" s="441"/>
      <c r="S758" s="441"/>
      <c r="T758" s="441"/>
      <c r="U758" s="441"/>
      <c r="V758" s="441"/>
      <c r="W758" s="441"/>
      <c r="X758" s="441"/>
      <c r="Y758" s="441"/>
      <c r="Z758" s="441"/>
    </row>
    <row r="759">
      <c r="A759" s="441"/>
      <c r="B759" s="441"/>
      <c r="C759" s="441"/>
      <c r="D759" s="441"/>
      <c r="E759" s="441"/>
      <c r="F759" s="441"/>
      <c r="G759" s="441"/>
      <c r="H759" s="441"/>
      <c r="I759" s="441"/>
      <c r="J759" s="441"/>
      <c r="K759" s="441"/>
      <c r="L759" s="441"/>
      <c r="M759" s="441"/>
      <c r="N759" s="441"/>
      <c r="O759" s="441"/>
      <c r="P759" s="441"/>
      <c r="Q759" s="441"/>
      <c r="R759" s="441"/>
      <c r="S759" s="441"/>
      <c r="T759" s="441"/>
      <c r="U759" s="441"/>
      <c r="V759" s="441"/>
      <c r="W759" s="441"/>
      <c r="X759" s="441"/>
      <c r="Y759" s="441"/>
      <c r="Z759" s="441"/>
    </row>
    <row r="760">
      <c r="A760" s="441"/>
      <c r="B760" s="441"/>
      <c r="C760" s="441"/>
      <c r="D760" s="441"/>
      <c r="E760" s="441"/>
      <c r="F760" s="441"/>
      <c r="G760" s="441"/>
      <c r="H760" s="441"/>
      <c r="I760" s="441"/>
      <c r="J760" s="441"/>
      <c r="K760" s="441"/>
      <c r="L760" s="441"/>
      <c r="M760" s="441"/>
      <c r="N760" s="441"/>
      <c r="O760" s="441"/>
      <c r="P760" s="441"/>
      <c r="Q760" s="441"/>
      <c r="R760" s="441"/>
      <c r="S760" s="441"/>
      <c r="T760" s="441"/>
      <c r="U760" s="441"/>
      <c r="V760" s="441"/>
      <c r="W760" s="441"/>
      <c r="X760" s="441"/>
      <c r="Y760" s="441"/>
      <c r="Z760" s="441"/>
    </row>
    <row r="761">
      <c r="A761" s="441"/>
      <c r="B761" s="441"/>
      <c r="C761" s="441"/>
      <c r="D761" s="441"/>
      <c r="E761" s="441"/>
      <c r="F761" s="441"/>
      <c r="G761" s="441"/>
      <c r="H761" s="441"/>
      <c r="I761" s="441"/>
      <c r="J761" s="441"/>
      <c r="K761" s="441"/>
      <c r="L761" s="441"/>
      <c r="M761" s="441"/>
      <c r="N761" s="441"/>
      <c r="O761" s="441"/>
      <c r="P761" s="441"/>
      <c r="Q761" s="441"/>
      <c r="R761" s="441"/>
      <c r="S761" s="441"/>
      <c r="T761" s="441"/>
      <c r="U761" s="441"/>
      <c r="V761" s="441"/>
      <c r="W761" s="441"/>
      <c r="X761" s="441"/>
      <c r="Y761" s="441"/>
      <c r="Z761" s="441"/>
    </row>
    <row r="762">
      <c r="A762" s="441"/>
      <c r="B762" s="441"/>
      <c r="C762" s="441"/>
      <c r="D762" s="441"/>
      <c r="E762" s="441"/>
      <c r="F762" s="441"/>
      <c r="G762" s="441"/>
      <c r="H762" s="441"/>
      <c r="I762" s="441"/>
      <c r="J762" s="441"/>
      <c r="K762" s="441"/>
      <c r="L762" s="441"/>
      <c r="M762" s="441"/>
      <c r="N762" s="441"/>
      <c r="O762" s="441"/>
      <c r="P762" s="441"/>
      <c r="Q762" s="441"/>
      <c r="R762" s="441"/>
      <c r="S762" s="441"/>
      <c r="T762" s="441"/>
      <c r="U762" s="441"/>
      <c r="V762" s="441"/>
      <c r="W762" s="441"/>
      <c r="X762" s="441"/>
      <c r="Y762" s="441"/>
      <c r="Z762" s="441"/>
    </row>
    <row r="763">
      <c r="A763" s="441"/>
      <c r="B763" s="441"/>
      <c r="C763" s="441"/>
      <c r="D763" s="441"/>
      <c r="E763" s="441"/>
      <c r="F763" s="441"/>
      <c r="G763" s="441"/>
      <c r="H763" s="441"/>
      <c r="I763" s="441"/>
      <c r="J763" s="441"/>
      <c r="K763" s="441"/>
      <c r="L763" s="441"/>
      <c r="M763" s="441"/>
      <c r="N763" s="441"/>
      <c r="O763" s="441"/>
      <c r="P763" s="441"/>
      <c r="Q763" s="441"/>
      <c r="R763" s="441"/>
      <c r="S763" s="441"/>
      <c r="T763" s="441"/>
      <c r="U763" s="441"/>
      <c r="V763" s="441"/>
      <c r="W763" s="441"/>
      <c r="X763" s="441"/>
      <c r="Y763" s="441"/>
      <c r="Z763" s="441"/>
    </row>
    <row r="764">
      <c r="A764" s="441"/>
      <c r="B764" s="441"/>
      <c r="C764" s="441"/>
      <c r="D764" s="441"/>
      <c r="E764" s="441"/>
      <c r="F764" s="441"/>
      <c r="G764" s="441"/>
      <c r="H764" s="441"/>
      <c r="I764" s="441"/>
      <c r="J764" s="441"/>
      <c r="K764" s="441"/>
      <c r="L764" s="441"/>
      <c r="M764" s="441"/>
      <c r="N764" s="441"/>
      <c r="O764" s="441"/>
      <c r="P764" s="441"/>
      <c r="Q764" s="441"/>
      <c r="R764" s="441"/>
      <c r="S764" s="441"/>
      <c r="T764" s="441"/>
      <c r="U764" s="441"/>
      <c r="V764" s="441"/>
      <c r="W764" s="441"/>
      <c r="X764" s="441"/>
      <c r="Y764" s="441"/>
      <c r="Z764" s="441"/>
    </row>
    <row r="765">
      <c r="A765" s="441"/>
      <c r="B765" s="441"/>
      <c r="C765" s="441"/>
      <c r="D765" s="441"/>
      <c r="E765" s="441"/>
      <c r="F765" s="441"/>
      <c r="G765" s="441"/>
      <c r="H765" s="441"/>
      <c r="I765" s="441"/>
      <c r="J765" s="441"/>
      <c r="K765" s="441"/>
      <c r="L765" s="441"/>
      <c r="M765" s="441"/>
      <c r="N765" s="441"/>
      <c r="O765" s="441"/>
      <c r="P765" s="441"/>
      <c r="Q765" s="441"/>
      <c r="R765" s="441"/>
      <c r="S765" s="441"/>
      <c r="T765" s="441"/>
      <c r="U765" s="441"/>
      <c r="V765" s="441"/>
      <c r="W765" s="441"/>
      <c r="X765" s="441"/>
      <c r="Y765" s="441"/>
      <c r="Z765" s="441"/>
    </row>
    <row r="766">
      <c r="A766" s="441"/>
      <c r="B766" s="441"/>
      <c r="C766" s="441"/>
      <c r="D766" s="441"/>
      <c r="E766" s="441"/>
      <c r="F766" s="441"/>
      <c r="G766" s="441"/>
      <c r="H766" s="441"/>
      <c r="I766" s="441"/>
      <c r="J766" s="441"/>
      <c r="K766" s="441"/>
      <c r="L766" s="441"/>
      <c r="M766" s="441"/>
      <c r="N766" s="441"/>
      <c r="O766" s="441"/>
      <c r="P766" s="441"/>
      <c r="Q766" s="441"/>
      <c r="R766" s="441"/>
      <c r="S766" s="441"/>
      <c r="T766" s="441"/>
      <c r="U766" s="441"/>
      <c r="V766" s="441"/>
      <c r="W766" s="441"/>
      <c r="X766" s="441"/>
      <c r="Y766" s="441"/>
      <c r="Z766" s="441"/>
    </row>
    <row r="767">
      <c r="A767" s="441"/>
      <c r="B767" s="441"/>
      <c r="C767" s="441"/>
      <c r="D767" s="441"/>
      <c r="E767" s="441"/>
      <c r="F767" s="441"/>
      <c r="G767" s="441"/>
      <c r="H767" s="441"/>
      <c r="I767" s="441"/>
      <c r="J767" s="441"/>
      <c r="K767" s="441"/>
      <c r="L767" s="441"/>
      <c r="M767" s="441"/>
      <c r="N767" s="441"/>
      <c r="O767" s="441"/>
      <c r="P767" s="441"/>
      <c r="Q767" s="441"/>
      <c r="R767" s="441"/>
      <c r="S767" s="441"/>
      <c r="T767" s="441"/>
      <c r="U767" s="441"/>
      <c r="V767" s="441"/>
      <c r="W767" s="441"/>
      <c r="X767" s="441"/>
      <c r="Y767" s="441"/>
      <c r="Z767" s="441"/>
    </row>
    <row r="768">
      <c r="A768" s="441"/>
      <c r="B768" s="441"/>
      <c r="C768" s="441"/>
      <c r="D768" s="441"/>
      <c r="E768" s="441"/>
      <c r="F768" s="441"/>
      <c r="G768" s="441"/>
      <c r="H768" s="441"/>
      <c r="I768" s="441"/>
      <c r="J768" s="441"/>
      <c r="K768" s="441"/>
      <c r="L768" s="441"/>
      <c r="M768" s="441"/>
      <c r="N768" s="441"/>
      <c r="O768" s="441"/>
      <c r="P768" s="441"/>
      <c r="Q768" s="441"/>
      <c r="R768" s="441"/>
      <c r="S768" s="441"/>
      <c r="T768" s="441"/>
      <c r="U768" s="441"/>
      <c r="V768" s="441"/>
      <c r="W768" s="441"/>
      <c r="X768" s="441"/>
      <c r="Y768" s="441"/>
      <c r="Z768" s="441"/>
    </row>
    <row r="769">
      <c r="A769" s="441"/>
      <c r="B769" s="441"/>
      <c r="C769" s="441"/>
      <c r="D769" s="441"/>
      <c r="E769" s="441"/>
      <c r="F769" s="441"/>
      <c r="G769" s="441"/>
      <c r="H769" s="441"/>
      <c r="I769" s="441"/>
      <c r="J769" s="441"/>
      <c r="K769" s="441"/>
      <c r="L769" s="441"/>
      <c r="M769" s="441"/>
      <c r="N769" s="441"/>
      <c r="O769" s="441"/>
      <c r="P769" s="441"/>
      <c r="Q769" s="441"/>
      <c r="R769" s="441"/>
      <c r="S769" s="441"/>
      <c r="T769" s="441"/>
      <c r="U769" s="441"/>
      <c r="V769" s="441"/>
      <c r="W769" s="441"/>
      <c r="X769" s="441"/>
      <c r="Y769" s="441"/>
      <c r="Z769" s="441"/>
    </row>
    <row r="770">
      <c r="A770" s="441"/>
      <c r="B770" s="441"/>
      <c r="C770" s="441"/>
      <c r="D770" s="441"/>
      <c r="E770" s="441"/>
      <c r="F770" s="441"/>
      <c r="G770" s="441"/>
      <c r="H770" s="441"/>
      <c r="I770" s="441"/>
      <c r="J770" s="441"/>
      <c r="K770" s="441"/>
      <c r="L770" s="441"/>
      <c r="M770" s="441"/>
      <c r="N770" s="441"/>
      <c r="O770" s="441"/>
      <c r="P770" s="441"/>
      <c r="Q770" s="441"/>
      <c r="R770" s="441"/>
      <c r="S770" s="441"/>
      <c r="T770" s="441"/>
      <c r="U770" s="441"/>
      <c r="V770" s="441"/>
      <c r="W770" s="441"/>
      <c r="X770" s="441"/>
      <c r="Y770" s="441"/>
      <c r="Z770" s="441"/>
    </row>
    <row r="771">
      <c r="A771" s="441"/>
      <c r="B771" s="441"/>
      <c r="C771" s="441"/>
      <c r="D771" s="441"/>
      <c r="E771" s="441"/>
      <c r="F771" s="441"/>
      <c r="G771" s="441"/>
      <c r="H771" s="441"/>
      <c r="I771" s="441"/>
      <c r="J771" s="441"/>
      <c r="K771" s="441"/>
      <c r="L771" s="441"/>
      <c r="M771" s="441"/>
      <c r="N771" s="441"/>
      <c r="O771" s="441"/>
      <c r="P771" s="441"/>
      <c r="Q771" s="441"/>
      <c r="R771" s="441"/>
      <c r="S771" s="441"/>
      <c r="T771" s="441"/>
      <c r="U771" s="441"/>
      <c r="V771" s="441"/>
      <c r="W771" s="441"/>
      <c r="X771" s="441"/>
      <c r="Y771" s="441"/>
      <c r="Z771" s="441"/>
    </row>
    <row r="772">
      <c r="A772" s="441"/>
      <c r="B772" s="441"/>
      <c r="C772" s="441"/>
      <c r="D772" s="441"/>
      <c r="E772" s="441"/>
      <c r="F772" s="441"/>
      <c r="G772" s="441"/>
      <c r="H772" s="441"/>
      <c r="I772" s="441"/>
      <c r="J772" s="441"/>
      <c r="K772" s="441"/>
      <c r="L772" s="441"/>
      <c r="M772" s="441"/>
      <c r="N772" s="441"/>
      <c r="O772" s="441"/>
      <c r="P772" s="441"/>
      <c r="Q772" s="441"/>
      <c r="R772" s="441"/>
      <c r="S772" s="441"/>
      <c r="T772" s="441"/>
      <c r="U772" s="441"/>
      <c r="V772" s="441"/>
      <c r="W772" s="441"/>
      <c r="X772" s="441"/>
      <c r="Y772" s="441"/>
      <c r="Z772" s="441"/>
    </row>
    <row r="773">
      <c r="A773" s="441"/>
      <c r="B773" s="441"/>
      <c r="C773" s="441"/>
      <c r="D773" s="441"/>
      <c r="E773" s="441"/>
      <c r="F773" s="441"/>
      <c r="G773" s="441"/>
      <c r="H773" s="441"/>
      <c r="I773" s="441"/>
      <c r="J773" s="441"/>
      <c r="K773" s="441"/>
      <c r="L773" s="441"/>
      <c r="M773" s="441"/>
      <c r="N773" s="441"/>
      <c r="O773" s="441"/>
      <c r="P773" s="441"/>
      <c r="Q773" s="441"/>
      <c r="R773" s="441"/>
      <c r="S773" s="441"/>
      <c r="T773" s="441"/>
      <c r="U773" s="441"/>
      <c r="V773" s="441"/>
      <c r="W773" s="441"/>
      <c r="X773" s="441"/>
      <c r="Y773" s="441"/>
      <c r="Z773" s="441"/>
    </row>
    <row r="774">
      <c r="A774" s="441"/>
      <c r="B774" s="441"/>
      <c r="C774" s="441"/>
      <c r="D774" s="441"/>
      <c r="E774" s="441"/>
      <c r="F774" s="441"/>
      <c r="G774" s="441"/>
      <c r="H774" s="441"/>
      <c r="I774" s="441"/>
      <c r="J774" s="441"/>
      <c r="K774" s="441"/>
      <c r="L774" s="441"/>
      <c r="M774" s="441"/>
      <c r="N774" s="441"/>
      <c r="O774" s="441"/>
      <c r="P774" s="441"/>
      <c r="Q774" s="441"/>
      <c r="R774" s="441"/>
      <c r="S774" s="441"/>
      <c r="T774" s="441"/>
      <c r="U774" s="441"/>
      <c r="V774" s="441"/>
      <c r="W774" s="441"/>
      <c r="X774" s="441"/>
      <c r="Y774" s="441"/>
      <c r="Z774" s="441"/>
    </row>
    <row r="775">
      <c r="A775" s="441"/>
      <c r="B775" s="441"/>
      <c r="C775" s="441"/>
      <c r="D775" s="441"/>
      <c r="E775" s="441"/>
      <c r="F775" s="441"/>
      <c r="G775" s="441"/>
      <c r="H775" s="441"/>
      <c r="I775" s="441"/>
      <c r="J775" s="441"/>
      <c r="K775" s="441"/>
      <c r="L775" s="441"/>
      <c r="M775" s="441"/>
      <c r="N775" s="441"/>
      <c r="O775" s="441"/>
      <c r="P775" s="441"/>
      <c r="Q775" s="441"/>
      <c r="R775" s="441"/>
      <c r="S775" s="441"/>
      <c r="T775" s="441"/>
      <c r="U775" s="441"/>
      <c r="V775" s="441"/>
      <c r="W775" s="441"/>
      <c r="X775" s="441"/>
      <c r="Y775" s="441"/>
      <c r="Z775" s="441"/>
    </row>
    <row r="776">
      <c r="A776" s="441"/>
      <c r="B776" s="441"/>
      <c r="C776" s="441"/>
      <c r="D776" s="441"/>
      <c r="E776" s="441"/>
      <c r="F776" s="441"/>
      <c r="G776" s="441"/>
      <c r="H776" s="441"/>
      <c r="I776" s="441"/>
      <c r="J776" s="441"/>
      <c r="K776" s="441"/>
      <c r="L776" s="441"/>
      <c r="M776" s="441"/>
      <c r="N776" s="441"/>
      <c r="O776" s="441"/>
      <c r="P776" s="441"/>
      <c r="Q776" s="441"/>
      <c r="R776" s="441"/>
      <c r="S776" s="441"/>
      <c r="T776" s="441"/>
      <c r="U776" s="441"/>
      <c r="V776" s="441"/>
      <c r="W776" s="441"/>
      <c r="X776" s="441"/>
      <c r="Y776" s="441"/>
      <c r="Z776" s="441"/>
    </row>
    <row r="777">
      <c r="A777" s="441"/>
      <c r="B777" s="441"/>
      <c r="C777" s="441"/>
      <c r="D777" s="441"/>
      <c r="E777" s="441"/>
      <c r="F777" s="441"/>
      <c r="G777" s="441"/>
      <c r="H777" s="441"/>
      <c r="I777" s="441"/>
      <c r="J777" s="441"/>
      <c r="K777" s="441"/>
      <c r="L777" s="441"/>
      <c r="M777" s="441"/>
      <c r="N777" s="441"/>
      <c r="O777" s="441"/>
      <c r="P777" s="441"/>
      <c r="Q777" s="441"/>
      <c r="R777" s="441"/>
      <c r="S777" s="441"/>
      <c r="T777" s="441"/>
      <c r="U777" s="441"/>
      <c r="V777" s="441"/>
      <c r="W777" s="441"/>
      <c r="X777" s="441"/>
      <c r="Y777" s="441"/>
      <c r="Z777" s="441"/>
    </row>
    <row r="778">
      <c r="A778" s="441"/>
      <c r="B778" s="441"/>
      <c r="C778" s="441"/>
      <c r="D778" s="441"/>
      <c r="E778" s="441"/>
      <c r="F778" s="441"/>
      <c r="G778" s="441"/>
      <c r="H778" s="441"/>
      <c r="I778" s="441"/>
      <c r="J778" s="441"/>
      <c r="K778" s="441"/>
      <c r="L778" s="441"/>
      <c r="M778" s="441"/>
      <c r="N778" s="441"/>
      <c r="O778" s="441"/>
      <c r="P778" s="441"/>
      <c r="Q778" s="441"/>
      <c r="R778" s="441"/>
      <c r="S778" s="441"/>
      <c r="T778" s="441"/>
      <c r="U778" s="441"/>
      <c r="V778" s="441"/>
      <c r="W778" s="441"/>
      <c r="X778" s="441"/>
      <c r="Y778" s="441"/>
      <c r="Z778" s="441"/>
    </row>
    <row r="779">
      <c r="A779" s="441"/>
      <c r="B779" s="441"/>
      <c r="C779" s="441"/>
      <c r="D779" s="441"/>
      <c r="E779" s="441"/>
      <c r="F779" s="441"/>
      <c r="G779" s="441"/>
      <c r="H779" s="441"/>
      <c r="I779" s="441"/>
      <c r="J779" s="441"/>
      <c r="K779" s="441"/>
      <c r="L779" s="441"/>
      <c r="M779" s="441"/>
      <c r="N779" s="441"/>
      <c r="O779" s="441"/>
      <c r="P779" s="441"/>
      <c r="Q779" s="441"/>
      <c r="R779" s="441"/>
      <c r="S779" s="441"/>
      <c r="T779" s="441"/>
      <c r="U779" s="441"/>
      <c r="V779" s="441"/>
      <c r="W779" s="441"/>
      <c r="X779" s="441"/>
      <c r="Y779" s="441"/>
      <c r="Z779" s="441"/>
    </row>
    <row r="780">
      <c r="A780" s="441"/>
      <c r="B780" s="441"/>
      <c r="C780" s="441"/>
      <c r="D780" s="441"/>
      <c r="E780" s="441"/>
      <c r="F780" s="441"/>
      <c r="G780" s="441"/>
      <c r="H780" s="441"/>
      <c r="I780" s="441"/>
      <c r="J780" s="441"/>
      <c r="K780" s="441"/>
      <c r="L780" s="441"/>
      <c r="M780" s="441"/>
      <c r="N780" s="441"/>
      <c r="O780" s="441"/>
      <c r="P780" s="441"/>
      <c r="Q780" s="441"/>
      <c r="R780" s="441"/>
      <c r="S780" s="441"/>
      <c r="T780" s="441"/>
      <c r="U780" s="441"/>
      <c r="V780" s="441"/>
      <c r="W780" s="441"/>
      <c r="X780" s="441"/>
      <c r="Y780" s="441"/>
      <c r="Z780" s="441"/>
    </row>
    <row r="781">
      <c r="A781" s="441"/>
      <c r="B781" s="441"/>
      <c r="C781" s="441"/>
      <c r="D781" s="441"/>
      <c r="E781" s="441"/>
      <c r="F781" s="441"/>
      <c r="G781" s="441"/>
      <c r="H781" s="441"/>
      <c r="I781" s="441"/>
      <c r="J781" s="441"/>
      <c r="K781" s="441"/>
      <c r="L781" s="441"/>
      <c r="M781" s="441"/>
      <c r="N781" s="441"/>
      <c r="O781" s="441"/>
      <c r="P781" s="441"/>
      <c r="Q781" s="441"/>
      <c r="R781" s="441"/>
      <c r="S781" s="441"/>
      <c r="T781" s="441"/>
      <c r="U781" s="441"/>
      <c r="V781" s="441"/>
      <c r="W781" s="441"/>
      <c r="X781" s="441"/>
      <c r="Y781" s="441"/>
      <c r="Z781" s="441"/>
    </row>
    <row r="782">
      <c r="A782" s="441"/>
      <c r="B782" s="441"/>
      <c r="C782" s="441"/>
      <c r="D782" s="441"/>
      <c r="E782" s="441"/>
      <c r="F782" s="441"/>
      <c r="G782" s="441"/>
      <c r="H782" s="441"/>
      <c r="I782" s="441"/>
      <c r="J782" s="441"/>
      <c r="K782" s="441"/>
      <c r="L782" s="441"/>
      <c r="M782" s="441"/>
      <c r="N782" s="441"/>
      <c r="O782" s="441"/>
      <c r="P782" s="441"/>
      <c r="Q782" s="441"/>
      <c r="R782" s="441"/>
      <c r="S782" s="441"/>
      <c r="T782" s="441"/>
      <c r="U782" s="441"/>
      <c r="V782" s="441"/>
      <c r="W782" s="441"/>
      <c r="X782" s="441"/>
      <c r="Y782" s="441"/>
      <c r="Z782" s="441"/>
    </row>
    <row r="783">
      <c r="A783" s="441"/>
      <c r="B783" s="441"/>
      <c r="C783" s="441"/>
      <c r="D783" s="441"/>
      <c r="E783" s="441"/>
      <c r="F783" s="441"/>
      <c r="G783" s="441"/>
      <c r="H783" s="441"/>
      <c r="I783" s="441"/>
      <c r="J783" s="441"/>
      <c r="K783" s="441"/>
      <c r="L783" s="441"/>
      <c r="M783" s="441"/>
      <c r="N783" s="441"/>
      <c r="O783" s="441"/>
      <c r="P783" s="441"/>
      <c r="Q783" s="441"/>
      <c r="R783" s="441"/>
      <c r="S783" s="441"/>
      <c r="T783" s="441"/>
      <c r="U783" s="441"/>
      <c r="V783" s="441"/>
      <c r="W783" s="441"/>
      <c r="X783" s="441"/>
      <c r="Y783" s="441"/>
      <c r="Z783" s="441"/>
    </row>
    <row r="784">
      <c r="A784" s="441"/>
      <c r="B784" s="441"/>
      <c r="C784" s="441"/>
      <c r="D784" s="441"/>
      <c r="E784" s="441"/>
      <c r="F784" s="441"/>
      <c r="G784" s="441"/>
      <c r="H784" s="441"/>
      <c r="I784" s="441"/>
      <c r="J784" s="441"/>
      <c r="K784" s="441"/>
      <c r="L784" s="441"/>
      <c r="M784" s="441"/>
      <c r="N784" s="441"/>
      <c r="O784" s="441"/>
      <c r="P784" s="441"/>
      <c r="Q784" s="441"/>
      <c r="R784" s="441"/>
      <c r="S784" s="441"/>
      <c r="T784" s="441"/>
      <c r="U784" s="441"/>
      <c r="V784" s="441"/>
      <c r="W784" s="441"/>
      <c r="X784" s="441"/>
      <c r="Y784" s="441"/>
      <c r="Z784" s="441"/>
    </row>
    <row r="785">
      <c r="A785" s="441"/>
      <c r="B785" s="441"/>
      <c r="C785" s="441"/>
      <c r="D785" s="441"/>
      <c r="E785" s="441"/>
      <c r="F785" s="441"/>
      <c r="G785" s="441"/>
      <c r="H785" s="441"/>
      <c r="I785" s="441"/>
      <c r="J785" s="441"/>
      <c r="K785" s="441"/>
      <c r="L785" s="441"/>
      <c r="M785" s="441"/>
      <c r="N785" s="441"/>
      <c r="O785" s="441"/>
      <c r="P785" s="441"/>
      <c r="Q785" s="441"/>
      <c r="R785" s="441"/>
      <c r="S785" s="441"/>
      <c r="T785" s="441"/>
      <c r="U785" s="441"/>
      <c r="V785" s="441"/>
      <c r="W785" s="441"/>
      <c r="X785" s="441"/>
      <c r="Y785" s="441"/>
      <c r="Z785" s="441"/>
    </row>
    <row r="786">
      <c r="A786" s="441"/>
      <c r="B786" s="441"/>
      <c r="C786" s="441"/>
      <c r="D786" s="441"/>
      <c r="E786" s="441"/>
      <c r="F786" s="441"/>
      <c r="G786" s="441"/>
      <c r="H786" s="441"/>
      <c r="I786" s="441"/>
      <c r="J786" s="441"/>
      <c r="K786" s="441"/>
      <c r="L786" s="441"/>
      <c r="M786" s="441"/>
      <c r="N786" s="441"/>
      <c r="O786" s="441"/>
      <c r="P786" s="441"/>
      <c r="Q786" s="441"/>
      <c r="R786" s="441"/>
      <c r="S786" s="441"/>
      <c r="T786" s="441"/>
      <c r="U786" s="441"/>
      <c r="V786" s="441"/>
      <c r="W786" s="441"/>
      <c r="X786" s="441"/>
      <c r="Y786" s="441"/>
      <c r="Z786" s="441"/>
    </row>
    <row r="787">
      <c r="A787" s="441"/>
      <c r="B787" s="441"/>
      <c r="C787" s="441"/>
      <c r="D787" s="441"/>
      <c r="E787" s="441"/>
      <c r="F787" s="441"/>
      <c r="G787" s="441"/>
      <c r="H787" s="441"/>
      <c r="I787" s="441"/>
      <c r="J787" s="441"/>
      <c r="K787" s="441"/>
      <c r="L787" s="441"/>
      <c r="M787" s="441"/>
      <c r="N787" s="441"/>
      <c r="O787" s="441"/>
      <c r="P787" s="441"/>
      <c r="Q787" s="441"/>
      <c r="R787" s="441"/>
      <c r="S787" s="441"/>
      <c r="T787" s="441"/>
      <c r="U787" s="441"/>
      <c r="V787" s="441"/>
      <c r="W787" s="441"/>
      <c r="X787" s="441"/>
      <c r="Y787" s="441"/>
      <c r="Z787" s="441"/>
    </row>
    <row r="788">
      <c r="A788" s="441"/>
      <c r="B788" s="441"/>
      <c r="C788" s="441"/>
      <c r="D788" s="441"/>
      <c r="E788" s="441"/>
      <c r="F788" s="441"/>
      <c r="G788" s="441"/>
      <c r="H788" s="441"/>
      <c r="I788" s="441"/>
      <c r="J788" s="441"/>
      <c r="K788" s="441"/>
      <c r="L788" s="441"/>
      <c r="M788" s="441"/>
      <c r="N788" s="441"/>
      <c r="O788" s="441"/>
      <c r="P788" s="441"/>
      <c r="Q788" s="441"/>
      <c r="R788" s="441"/>
      <c r="S788" s="441"/>
      <c r="T788" s="441"/>
      <c r="U788" s="441"/>
      <c r="V788" s="441"/>
      <c r="W788" s="441"/>
      <c r="X788" s="441"/>
      <c r="Y788" s="441"/>
      <c r="Z788" s="441"/>
    </row>
    <row r="789">
      <c r="A789" s="441"/>
      <c r="B789" s="441"/>
      <c r="C789" s="441"/>
      <c r="D789" s="441"/>
      <c r="E789" s="441"/>
      <c r="F789" s="441"/>
      <c r="G789" s="441"/>
      <c r="H789" s="441"/>
      <c r="I789" s="441"/>
      <c r="J789" s="441"/>
      <c r="K789" s="441"/>
      <c r="L789" s="441"/>
      <c r="M789" s="441"/>
      <c r="N789" s="441"/>
      <c r="O789" s="441"/>
      <c r="P789" s="441"/>
      <c r="Q789" s="441"/>
      <c r="R789" s="441"/>
      <c r="S789" s="441"/>
      <c r="T789" s="441"/>
      <c r="U789" s="441"/>
      <c r="V789" s="441"/>
      <c r="W789" s="441"/>
      <c r="X789" s="441"/>
      <c r="Y789" s="441"/>
      <c r="Z789" s="441"/>
    </row>
    <row r="790">
      <c r="A790" s="441"/>
      <c r="B790" s="441"/>
      <c r="C790" s="441"/>
      <c r="D790" s="441"/>
      <c r="E790" s="441"/>
      <c r="F790" s="441"/>
      <c r="G790" s="441"/>
      <c r="H790" s="441"/>
      <c r="I790" s="441"/>
      <c r="J790" s="441"/>
      <c r="K790" s="441"/>
      <c r="L790" s="441"/>
      <c r="M790" s="441"/>
      <c r="N790" s="441"/>
      <c r="O790" s="441"/>
      <c r="P790" s="441"/>
      <c r="Q790" s="441"/>
      <c r="R790" s="441"/>
      <c r="S790" s="441"/>
      <c r="T790" s="441"/>
      <c r="U790" s="441"/>
      <c r="V790" s="441"/>
      <c r="W790" s="441"/>
      <c r="X790" s="441"/>
      <c r="Y790" s="441"/>
      <c r="Z790" s="441"/>
    </row>
    <row r="791">
      <c r="A791" s="441"/>
      <c r="B791" s="441"/>
      <c r="C791" s="441"/>
      <c r="D791" s="441"/>
      <c r="E791" s="441"/>
      <c r="F791" s="441"/>
      <c r="G791" s="441"/>
      <c r="H791" s="441"/>
      <c r="I791" s="441"/>
      <c r="J791" s="441"/>
      <c r="K791" s="441"/>
      <c r="L791" s="441"/>
      <c r="M791" s="441"/>
      <c r="N791" s="441"/>
      <c r="O791" s="441"/>
      <c r="P791" s="441"/>
      <c r="Q791" s="441"/>
      <c r="R791" s="441"/>
      <c r="S791" s="441"/>
      <c r="T791" s="441"/>
      <c r="U791" s="441"/>
      <c r="V791" s="441"/>
      <c r="W791" s="441"/>
      <c r="X791" s="441"/>
      <c r="Y791" s="441"/>
      <c r="Z791" s="441"/>
    </row>
    <row r="792">
      <c r="A792" s="441"/>
      <c r="B792" s="441"/>
      <c r="C792" s="441"/>
      <c r="D792" s="441"/>
      <c r="E792" s="441"/>
      <c r="F792" s="441"/>
      <c r="G792" s="441"/>
      <c r="H792" s="441"/>
      <c r="I792" s="441"/>
      <c r="J792" s="441"/>
      <c r="K792" s="441"/>
      <c r="L792" s="441"/>
      <c r="M792" s="441"/>
      <c r="N792" s="441"/>
      <c r="O792" s="441"/>
      <c r="P792" s="441"/>
      <c r="Q792" s="441"/>
      <c r="R792" s="441"/>
      <c r="S792" s="441"/>
      <c r="T792" s="441"/>
      <c r="U792" s="441"/>
      <c r="V792" s="441"/>
      <c r="W792" s="441"/>
      <c r="X792" s="441"/>
      <c r="Y792" s="441"/>
      <c r="Z792" s="441"/>
    </row>
    <row r="793">
      <c r="A793" s="441"/>
      <c r="B793" s="441"/>
      <c r="C793" s="441"/>
      <c r="D793" s="441"/>
      <c r="E793" s="441"/>
      <c r="F793" s="441"/>
      <c r="G793" s="441"/>
      <c r="H793" s="441"/>
      <c r="I793" s="441"/>
      <c r="J793" s="441"/>
      <c r="K793" s="441"/>
      <c r="L793" s="441"/>
      <c r="M793" s="441"/>
      <c r="N793" s="441"/>
      <c r="O793" s="441"/>
      <c r="P793" s="441"/>
      <c r="Q793" s="441"/>
      <c r="R793" s="441"/>
      <c r="S793" s="441"/>
      <c r="T793" s="441"/>
      <c r="U793" s="441"/>
      <c r="V793" s="441"/>
      <c r="W793" s="441"/>
      <c r="X793" s="441"/>
      <c r="Y793" s="441"/>
      <c r="Z793" s="441"/>
    </row>
    <row r="794">
      <c r="A794" s="441"/>
      <c r="B794" s="441"/>
      <c r="C794" s="441"/>
      <c r="D794" s="441"/>
      <c r="E794" s="441"/>
      <c r="F794" s="441"/>
      <c r="G794" s="441"/>
      <c r="H794" s="441"/>
      <c r="I794" s="441"/>
      <c r="J794" s="441"/>
      <c r="K794" s="441"/>
      <c r="L794" s="441"/>
      <c r="M794" s="441"/>
      <c r="N794" s="441"/>
      <c r="O794" s="441"/>
      <c r="P794" s="441"/>
      <c r="Q794" s="441"/>
      <c r="R794" s="441"/>
      <c r="S794" s="441"/>
      <c r="T794" s="441"/>
      <c r="U794" s="441"/>
      <c r="V794" s="441"/>
      <c r="W794" s="441"/>
      <c r="X794" s="441"/>
      <c r="Y794" s="441"/>
      <c r="Z794" s="441"/>
    </row>
    <row r="795">
      <c r="A795" s="441"/>
      <c r="B795" s="441"/>
      <c r="C795" s="441"/>
      <c r="D795" s="441"/>
      <c r="E795" s="441"/>
      <c r="F795" s="441"/>
      <c r="G795" s="441"/>
      <c r="H795" s="441"/>
      <c r="I795" s="441"/>
      <c r="J795" s="441"/>
      <c r="K795" s="441"/>
      <c r="L795" s="441"/>
      <c r="M795" s="441"/>
      <c r="N795" s="441"/>
      <c r="O795" s="441"/>
      <c r="P795" s="441"/>
      <c r="Q795" s="441"/>
      <c r="R795" s="441"/>
      <c r="S795" s="441"/>
      <c r="T795" s="441"/>
      <c r="U795" s="441"/>
      <c r="V795" s="441"/>
      <c r="W795" s="441"/>
      <c r="X795" s="441"/>
      <c r="Y795" s="441"/>
      <c r="Z795" s="441"/>
    </row>
    <row r="796">
      <c r="A796" s="441"/>
      <c r="B796" s="441"/>
      <c r="C796" s="441"/>
      <c r="D796" s="441"/>
      <c r="E796" s="441"/>
      <c r="F796" s="441"/>
      <c r="G796" s="441"/>
      <c r="H796" s="441"/>
      <c r="I796" s="441"/>
      <c r="J796" s="441"/>
      <c r="K796" s="441"/>
      <c r="L796" s="441"/>
      <c r="M796" s="441"/>
      <c r="N796" s="441"/>
      <c r="O796" s="441"/>
      <c r="P796" s="441"/>
      <c r="Q796" s="441"/>
      <c r="R796" s="441"/>
      <c r="S796" s="441"/>
      <c r="T796" s="441"/>
      <c r="U796" s="441"/>
      <c r="V796" s="441"/>
      <c r="W796" s="441"/>
      <c r="X796" s="441"/>
      <c r="Y796" s="441"/>
      <c r="Z796" s="441"/>
    </row>
    <row r="797">
      <c r="A797" s="441"/>
      <c r="B797" s="441"/>
      <c r="C797" s="441"/>
      <c r="D797" s="441"/>
      <c r="E797" s="441"/>
      <c r="F797" s="441"/>
      <c r="G797" s="441"/>
      <c r="H797" s="441"/>
      <c r="I797" s="441"/>
      <c r="J797" s="441"/>
      <c r="K797" s="441"/>
      <c r="L797" s="441"/>
      <c r="M797" s="441"/>
      <c r="N797" s="441"/>
      <c r="O797" s="441"/>
      <c r="P797" s="441"/>
      <c r="Q797" s="441"/>
      <c r="R797" s="441"/>
      <c r="S797" s="441"/>
      <c r="T797" s="441"/>
      <c r="U797" s="441"/>
      <c r="V797" s="441"/>
      <c r="W797" s="441"/>
      <c r="X797" s="441"/>
      <c r="Y797" s="441"/>
      <c r="Z797" s="441"/>
    </row>
    <row r="798">
      <c r="A798" s="441"/>
      <c r="B798" s="441"/>
      <c r="C798" s="441"/>
      <c r="D798" s="441"/>
      <c r="E798" s="441"/>
      <c r="F798" s="441"/>
      <c r="G798" s="441"/>
      <c r="H798" s="441"/>
      <c r="I798" s="441"/>
      <c r="J798" s="441"/>
      <c r="K798" s="441"/>
      <c r="L798" s="441"/>
      <c r="M798" s="441"/>
      <c r="N798" s="441"/>
      <c r="O798" s="441"/>
      <c r="P798" s="441"/>
      <c r="Q798" s="441"/>
      <c r="R798" s="441"/>
      <c r="S798" s="441"/>
      <c r="T798" s="441"/>
      <c r="U798" s="441"/>
      <c r="V798" s="441"/>
      <c r="W798" s="441"/>
      <c r="X798" s="441"/>
      <c r="Y798" s="441"/>
      <c r="Z798" s="441"/>
    </row>
    <row r="799">
      <c r="A799" s="441"/>
      <c r="B799" s="441"/>
      <c r="C799" s="441"/>
      <c r="D799" s="441"/>
      <c r="E799" s="441"/>
      <c r="F799" s="441"/>
      <c r="G799" s="441"/>
      <c r="H799" s="441"/>
      <c r="I799" s="441"/>
      <c r="J799" s="441"/>
      <c r="K799" s="441"/>
      <c r="L799" s="441"/>
      <c r="M799" s="441"/>
      <c r="N799" s="441"/>
      <c r="O799" s="441"/>
      <c r="P799" s="441"/>
      <c r="Q799" s="441"/>
      <c r="R799" s="441"/>
      <c r="S799" s="441"/>
      <c r="T799" s="441"/>
      <c r="U799" s="441"/>
      <c r="V799" s="441"/>
      <c r="W799" s="441"/>
      <c r="X799" s="441"/>
      <c r="Y799" s="441"/>
      <c r="Z799" s="441"/>
    </row>
    <row r="800">
      <c r="A800" s="441"/>
      <c r="B800" s="441"/>
      <c r="C800" s="441"/>
      <c r="D800" s="441"/>
      <c r="E800" s="441"/>
      <c r="F800" s="441"/>
      <c r="G800" s="441"/>
      <c r="H800" s="441"/>
      <c r="I800" s="441"/>
      <c r="J800" s="441"/>
      <c r="K800" s="441"/>
      <c r="L800" s="441"/>
      <c r="M800" s="441"/>
      <c r="N800" s="441"/>
      <c r="O800" s="441"/>
      <c r="P800" s="441"/>
      <c r="Q800" s="441"/>
      <c r="R800" s="441"/>
      <c r="S800" s="441"/>
      <c r="T800" s="441"/>
      <c r="U800" s="441"/>
      <c r="V800" s="441"/>
      <c r="W800" s="441"/>
      <c r="X800" s="441"/>
      <c r="Y800" s="441"/>
      <c r="Z800" s="441"/>
    </row>
    <row r="801">
      <c r="A801" s="441"/>
      <c r="B801" s="441"/>
      <c r="C801" s="441"/>
      <c r="D801" s="441"/>
      <c r="E801" s="441"/>
      <c r="F801" s="441"/>
      <c r="G801" s="441"/>
      <c r="H801" s="441"/>
      <c r="I801" s="441"/>
      <c r="J801" s="441"/>
      <c r="K801" s="441"/>
      <c r="L801" s="441"/>
      <c r="M801" s="441"/>
      <c r="N801" s="441"/>
      <c r="O801" s="441"/>
      <c r="P801" s="441"/>
      <c r="Q801" s="441"/>
      <c r="R801" s="441"/>
      <c r="S801" s="441"/>
      <c r="T801" s="441"/>
      <c r="U801" s="441"/>
      <c r="V801" s="441"/>
      <c r="W801" s="441"/>
      <c r="X801" s="441"/>
      <c r="Y801" s="441"/>
      <c r="Z801" s="441"/>
    </row>
    <row r="802">
      <c r="A802" s="441"/>
      <c r="B802" s="441"/>
      <c r="C802" s="441"/>
      <c r="D802" s="441"/>
      <c r="E802" s="441"/>
      <c r="F802" s="441"/>
      <c r="G802" s="441"/>
      <c r="H802" s="441"/>
      <c r="I802" s="441"/>
      <c r="J802" s="441"/>
      <c r="K802" s="441"/>
      <c r="L802" s="441"/>
      <c r="M802" s="441"/>
      <c r="N802" s="441"/>
      <c r="O802" s="441"/>
      <c r="P802" s="441"/>
      <c r="Q802" s="441"/>
      <c r="R802" s="441"/>
      <c r="S802" s="441"/>
      <c r="T802" s="441"/>
      <c r="U802" s="441"/>
      <c r="V802" s="441"/>
      <c r="W802" s="441"/>
      <c r="X802" s="441"/>
      <c r="Y802" s="441"/>
      <c r="Z802" s="441"/>
    </row>
    <row r="803">
      <c r="A803" s="441"/>
      <c r="B803" s="441"/>
      <c r="C803" s="441"/>
      <c r="D803" s="441"/>
      <c r="E803" s="441"/>
      <c r="F803" s="441"/>
      <c r="G803" s="441"/>
      <c r="H803" s="441"/>
      <c r="I803" s="441"/>
      <c r="J803" s="441"/>
      <c r="K803" s="441"/>
      <c r="L803" s="441"/>
      <c r="M803" s="441"/>
      <c r="N803" s="441"/>
      <c r="O803" s="441"/>
      <c r="P803" s="441"/>
      <c r="Q803" s="441"/>
      <c r="R803" s="441"/>
      <c r="S803" s="441"/>
      <c r="T803" s="441"/>
      <c r="U803" s="441"/>
      <c r="V803" s="441"/>
      <c r="W803" s="441"/>
      <c r="X803" s="441"/>
      <c r="Y803" s="441"/>
      <c r="Z803" s="441"/>
    </row>
    <row r="804">
      <c r="A804" s="441"/>
      <c r="B804" s="441"/>
      <c r="C804" s="441"/>
      <c r="D804" s="441"/>
      <c r="E804" s="441"/>
      <c r="F804" s="441"/>
      <c r="G804" s="441"/>
      <c r="H804" s="441"/>
      <c r="I804" s="441"/>
      <c r="J804" s="441"/>
      <c r="K804" s="441"/>
      <c r="L804" s="441"/>
      <c r="M804" s="441"/>
      <c r="N804" s="441"/>
      <c r="O804" s="441"/>
      <c r="P804" s="441"/>
      <c r="Q804" s="441"/>
      <c r="R804" s="441"/>
      <c r="S804" s="441"/>
      <c r="T804" s="441"/>
      <c r="U804" s="441"/>
      <c r="V804" s="441"/>
      <c r="W804" s="441"/>
      <c r="X804" s="441"/>
      <c r="Y804" s="441"/>
      <c r="Z804" s="441"/>
    </row>
    <row r="805">
      <c r="A805" s="441"/>
      <c r="B805" s="441"/>
      <c r="C805" s="441"/>
      <c r="D805" s="441"/>
      <c r="E805" s="441"/>
      <c r="F805" s="441"/>
      <c r="G805" s="441"/>
      <c r="H805" s="441"/>
      <c r="I805" s="441"/>
      <c r="J805" s="441"/>
      <c r="K805" s="441"/>
      <c r="L805" s="441"/>
      <c r="M805" s="441"/>
      <c r="N805" s="441"/>
      <c r="O805" s="441"/>
      <c r="P805" s="441"/>
      <c r="Q805" s="441"/>
      <c r="R805" s="441"/>
      <c r="S805" s="441"/>
      <c r="T805" s="441"/>
      <c r="U805" s="441"/>
      <c r="V805" s="441"/>
      <c r="W805" s="441"/>
      <c r="X805" s="441"/>
      <c r="Y805" s="441"/>
      <c r="Z805" s="441"/>
    </row>
    <row r="806">
      <c r="A806" s="441"/>
      <c r="B806" s="441"/>
      <c r="C806" s="441"/>
      <c r="D806" s="441"/>
      <c r="E806" s="441"/>
      <c r="F806" s="441"/>
      <c r="G806" s="441"/>
      <c r="H806" s="441"/>
      <c r="I806" s="441"/>
      <c r="J806" s="441"/>
      <c r="K806" s="441"/>
      <c r="L806" s="441"/>
      <c r="M806" s="441"/>
      <c r="N806" s="441"/>
      <c r="O806" s="441"/>
      <c r="P806" s="441"/>
      <c r="Q806" s="441"/>
      <c r="R806" s="441"/>
      <c r="S806" s="441"/>
      <c r="T806" s="441"/>
      <c r="U806" s="441"/>
      <c r="V806" s="441"/>
      <c r="W806" s="441"/>
      <c r="X806" s="441"/>
      <c r="Y806" s="441"/>
      <c r="Z806" s="441"/>
    </row>
    <row r="807">
      <c r="A807" s="441"/>
      <c r="B807" s="441"/>
      <c r="C807" s="441"/>
      <c r="D807" s="441"/>
      <c r="E807" s="441"/>
      <c r="F807" s="441"/>
      <c r="G807" s="441"/>
      <c r="H807" s="441"/>
      <c r="I807" s="441"/>
      <c r="J807" s="441"/>
      <c r="K807" s="441"/>
      <c r="L807" s="441"/>
      <c r="M807" s="441"/>
      <c r="N807" s="441"/>
      <c r="O807" s="441"/>
      <c r="P807" s="441"/>
      <c r="Q807" s="441"/>
      <c r="R807" s="441"/>
      <c r="S807" s="441"/>
      <c r="T807" s="441"/>
      <c r="U807" s="441"/>
      <c r="V807" s="441"/>
      <c r="W807" s="441"/>
      <c r="X807" s="441"/>
      <c r="Y807" s="441"/>
      <c r="Z807" s="441"/>
    </row>
    <row r="808">
      <c r="A808" s="441"/>
      <c r="B808" s="441"/>
      <c r="C808" s="441"/>
      <c r="D808" s="441"/>
      <c r="E808" s="441"/>
      <c r="F808" s="441"/>
      <c r="G808" s="441"/>
      <c r="H808" s="441"/>
      <c r="I808" s="441"/>
      <c r="J808" s="441"/>
      <c r="K808" s="441"/>
      <c r="L808" s="441"/>
      <c r="M808" s="441"/>
      <c r="N808" s="441"/>
      <c r="O808" s="441"/>
      <c r="P808" s="441"/>
      <c r="Q808" s="441"/>
      <c r="R808" s="441"/>
      <c r="S808" s="441"/>
      <c r="T808" s="441"/>
      <c r="U808" s="441"/>
      <c r="V808" s="441"/>
      <c r="W808" s="441"/>
      <c r="X808" s="441"/>
      <c r="Y808" s="441"/>
      <c r="Z808" s="441"/>
    </row>
    <row r="809">
      <c r="A809" s="441"/>
      <c r="B809" s="441"/>
      <c r="C809" s="441"/>
      <c r="D809" s="441"/>
      <c r="E809" s="441"/>
      <c r="F809" s="441"/>
      <c r="G809" s="441"/>
      <c r="H809" s="441"/>
      <c r="I809" s="441"/>
      <c r="J809" s="441"/>
      <c r="K809" s="441"/>
      <c r="L809" s="441"/>
      <c r="M809" s="441"/>
      <c r="N809" s="441"/>
      <c r="O809" s="441"/>
      <c r="P809" s="441"/>
      <c r="Q809" s="441"/>
      <c r="R809" s="441"/>
      <c r="S809" s="441"/>
      <c r="T809" s="441"/>
      <c r="U809" s="441"/>
      <c r="V809" s="441"/>
      <c r="W809" s="441"/>
      <c r="X809" s="441"/>
      <c r="Y809" s="441"/>
      <c r="Z809" s="441"/>
    </row>
    <row r="810">
      <c r="A810" s="441"/>
      <c r="B810" s="441"/>
      <c r="C810" s="441"/>
      <c r="D810" s="441"/>
      <c r="E810" s="441"/>
      <c r="F810" s="441"/>
      <c r="G810" s="441"/>
      <c r="H810" s="441"/>
      <c r="I810" s="441"/>
      <c r="J810" s="441"/>
      <c r="K810" s="441"/>
      <c r="L810" s="441"/>
      <c r="M810" s="441"/>
      <c r="N810" s="441"/>
      <c r="O810" s="441"/>
      <c r="P810" s="441"/>
      <c r="Q810" s="441"/>
      <c r="R810" s="441"/>
      <c r="S810" s="441"/>
      <c r="T810" s="441"/>
      <c r="U810" s="441"/>
      <c r="V810" s="441"/>
      <c r="W810" s="441"/>
      <c r="X810" s="441"/>
      <c r="Y810" s="441"/>
      <c r="Z810" s="441"/>
    </row>
    <row r="811">
      <c r="A811" s="441"/>
      <c r="B811" s="441"/>
      <c r="C811" s="441"/>
      <c r="D811" s="441"/>
      <c r="E811" s="441"/>
      <c r="F811" s="441"/>
      <c r="G811" s="441"/>
      <c r="H811" s="441"/>
      <c r="I811" s="441"/>
      <c r="J811" s="441"/>
      <c r="K811" s="441"/>
      <c r="L811" s="441"/>
      <c r="M811" s="441"/>
      <c r="N811" s="441"/>
      <c r="O811" s="441"/>
      <c r="P811" s="441"/>
      <c r="Q811" s="441"/>
      <c r="R811" s="441"/>
      <c r="S811" s="441"/>
      <c r="T811" s="441"/>
      <c r="U811" s="441"/>
      <c r="V811" s="441"/>
      <c r="W811" s="441"/>
      <c r="X811" s="441"/>
      <c r="Y811" s="441"/>
      <c r="Z811" s="441"/>
    </row>
    <row r="812">
      <c r="A812" s="441"/>
      <c r="B812" s="441"/>
      <c r="C812" s="441"/>
      <c r="D812" s="441"/>
      <c r="E812" s="441"/>
      <c r="F812" s="441"/>
      <c r="G812" s="441"/>
      <c r="H812" s="441"/>
      <c r="I812" s="441"/>
      <c r="J812" s="441"/>
      <c r="K812" s="441"/>
      <c r="L812" s="441"/>
      <c r="M812" s="441"/>
      <c r="N812" s="441"/>
      <c r="O812" s="441"/>
      <c r="P812" s="441"/>
      <c r="Q812" s="441"/>
      <c r="R812" s="441"/>
      <c r="S812" s="441"/>
      <c r="T812" s="441"/>
      <c r="U812" s="441"/>
      <c r="V812" s="441"/>
      <c r="W812" s="441"/>
      <c r="X812" s="441"/>
      <c r="Y812" s="441"/>
      <c r="Z812" s="441"/>
    </row>
    <row r="813">
      <c r="A813" s="441"/>
      <c r="B813" s="441"/>
      <c r="C813" s="441"/>
      <c r="D813" s="441"/>
      <c r="E813" s="441"/>
      <c r="F813" s="441"/>
      <c r="G813" s="441"/>
      <c r="H813" s="441"/>
      <c r="I813" s="441"/>
      <c r="J813" s="441"/>
      <c r="K813" s="441"/>
      <c r="L813" s="441"/>
      <c r="M813" s="441"/>
      <c r="N813" s="441"/>
      <c r="O813" s="441"/>
      <c r="P813" s="441"/>
      <c r="Q813" s="441"/>
      <c r="R813" s="441"/>
      <c r="S813" s="441"/>
      <c r="T813" s="441"/>
      <c r="U813" s="441"/>
      <c r="V813" s="441"/>
      <c r="W813" s="441"/>
      <c r="X813" s="441"/>
      <c r="Y813" s="441"/>
      <c r="Z813" s="441"/>
    </row>
    <row r="814">
      <c r="A814" s="441"/>
      <c r="B814" s="441"/>
      <c r="C814" s="441"/>
      <c r="D814" s="441"/>
      <c r="E814" s="441"/>
      <c r="F814" s="441"/>
      <c r="G814" s="441"/>
      <c r="H814" s="441"/>
      <c r="I814" s="441"/>
      <c r="J814" s="441"/>
      <c r="K814" s="441"/>
      <c r="L814" s="441"/>
      <c r="M814" s="441"/>
      <c r="N814" s="441"/>
      <c r="O814" s="441"/>
      <c r="P814" s="441"/>
      <c r="Q814" s="441"/>
      <c r="R814" s="441"/>
      <c r="S814" s="441"/>
      <c r="T814" s="441"/>
      <c r="U814" s="441"/>
      <c r="V814" s="441"/>
      <c r="W814" s="441"/>
      <c r="X814" s="441"/>
      <c r="Y814" s="441"/>
      <c r="Z814" s="441"/>
    </row>
    <row r="815">
      <c r="A815" s="441"/>
      <c r="B815" s="441"/>
      <c r="C815" s="441"/>
      <c r="D815" s="441"/>
      <c r="E815" s="441"/>
      <c r="F815" s="441"/>
      <c r="G815" s="441"/>
      <c r="H815" s="441"/>
      <c r="I815" s="441"/>
      <c r="J815" s="441"/>
      <c r="K815" s="441"/>
      <c r="L815" s="441"/>
      <c r="M815" s="441"/>
      <c r="N815" s="441"/>
      <c r="O815" s="441"/>
      <c r="P815" s="441"/>
      <c r="Q815" s="441"/>
      <c r="R815" s="441"/>
      <c r="S815" s="441"/>
      <c r="T815" s="441"/>
      <c r="U815" s="441"/>
      <c r="V815" s="441"/>
      <c r="W815" s="441"/>
      <c r="X815" s="441"/>
      <c r="Y815" s="441"/>
      <c r="Z815" s="441"/>
    </row>
    <row r="816">
      <c r="A816" s="441"/>
      <c r="B816" s="441"/>
      <c r="C816" s="441"/>
      <c r="D816" s="441"/>
      <c r="E816" s="441"/>
      <c r="F816" s="441"/>
      <c r="G816" s="441"/>
      <c r="H816" s="441"/>
      <c r="I816" s="441"/>
      <c r="J816" s="441"/>
      <c r="K816" s="441"/>
      <c r="L816" s="441"/>
      <c r="M816" s="441"/>
      <c r="N816" s="441"/>
      <c r="O816" s="441"/>
      <c r="P816" s="441"/>
      <c r="Q816" s="441"/>
      <c r="R816" s="441"/>
      <c r="S816" s="441"/>
      <c r="T816" s="441"/>
      <c r="U816" s="441"/>
      <c r="V816" s="441"/>
      <c r="W816" s="441"/>
      <c r="X816" s="441"/>
      <c r="Y816" s="441"/>
      <c r="Z816" s="441"/>
    </row>
    <row r="817">
      <c r="A817" s="441"/>
      <c r="B817" s="441"/>
      <c r="C817" s="441"/>
      <c r="D817" s="441"/>
      <c r="E817" s="441"/>
      <c r="F817" s="441"/>
      <c r="G817" s="441"/>
      <c r="H817" s="441"/>
      <c r="I817" s="441"/>
      <c r="J817" s="441"/>
      <c r="K817" s="441"/>
      <c r="L817" s="441"/>
      <c r="M817" s="441"/>
      <c r="N817" s="441"/>
      <c r="O817" s="441"/>
      <c r="P817" s="441"/>
      <c r="Q817" s="441"/>
      <c r="R817" s="441"/>
      <c r="S817" s="441"/>
      <c r="T817" s="441"/>
      <c r="U817" s="441"/>
      <c r="V817" s="441"/>
      <c r="W817" s="441"/>
      <c r="X817" s="441"/>
      <c r="Y817" s="441"/>
      <c r="Z817" s="441"/>
    </row>
    <row r="818">
      <c r="A818" s="441"/>
      <c r="B818" s="441"/>
      <c r="C818" s="441"/>
      <c r="D818" s="441"/>
      <c r="E818" s="441"/>
      <c r="F818" s="441"/>
      <c r="G818" s="441"/>
      <c r="H818" s="441"/>
      <c r="I818" s="441"/>
      <c r="J818" s="441"/>
      <c r="K818" s="441"/>
      <c r="L818" s="441"/>
      <c r="M818" s="441"/>
      <c r="N818" s="441"/>
      <c r="O818" s="441"/>
      <c r="P818" s="441"/>
      <c r="Q818" s="441"/>
      <c r="R818" s="441"/>
      <c r="S818" s="441"/>
      <c r="T818" s="441"/>
      <c r="U818" s="441"/>
      <c r="V818" s="441"/>
      <c r="W818" s="441"/>
      <c r="X818" s="441"/>
      <c r="Y818" s="441"/>
      <c r="Z818" s="441"/>
    </row>
    <row r="819">
      <c r="A819" s="441"/>
      <c r="B819" s="441"/>
      <c r="C819" s="441"/>
      <c r="D819" s="441"/>
      <c r="E819" s="441"/>
      <c r="F819" s="441"/>
      <c r="G819" s="441"/>
      <c r="H819" s="441"/>
      <c r="I819" s="441"/>
      <c r="J819" s="441"/>
      <c r="K819" s="441"/>
      <c r="L819" s="441"/>
      <c r="M819" s="441"/>
      <c r="N819" s="441"/>
      <c r="O819" s="441"/>
      <c r="P819" s="441"/>
      <c r="Q819" s="441"/>
      <c r="R819" s="441"/>
      <c r="S819" s="441"/>
      <c r="T819" s="441"/>
      <c r="U819" s="441"/>
      <c r="V819" s="441"/>
      <c r="W819" s="441"/>
      <c r="X819" s="441"/>
      <c r="Y819" s="441"/>
      <c r="Z819" s="441"/>
    </row>
    <row r="820">
      <c r="A820" s="441"/>
      <c r="B820" s="441"/>
      <c r="C820" s="441"/>
      <c r="D820" s="441"/>
      <c r="E820" s="441"/>
      <c r="F820" s="441"/>
      <c r="G820" s="441"/>
      <c r="H820" s="441"/>
      <c r="I820" s="441"/>
      <c r="J820" s="441"/>
      <c r="K820" s="441"/>
      <c r="L820" s="441"/>
      <c r="M820" s="441"/>
      <c r="N820" s="441"/>
      <c r="O820" s="441"/>
      <c r="P820" s="441"/>
      <c r="Q820" s="441"/>
      <c r="R820" s="441"/>
      <c r="S820" s="441"/>
      <c r="T820" s="441"/>
      <c r="U820" s="441"/>
      <c r="V820" s="441"/>
      <c r="W820" s="441"/>
      <c r="X820" s="441"/>
      <c r="Y820" s="441"/>
      <c r="Z820" s="441"/>
    </row>
    <row r="821">
      <c r="A821" s="441"/>
      <c r="B821" s="441"/>
      <c r="C821" s="441"/>
      <c r="D821" s="441"/>
      <c r="E821" s="441"/>
      <c r="F821" s="441"/>
      <c r="G821" s="441"/>
      <c r="H821" s="441"/>
      <c r="I821" s="441"/>
      <c r="J821" s="441"/>
      <c r="K821" s="441"/>
      <c r="L821" s="441"/>
      <c r="M821" s="441"/>
      <c r="N821" s="441"/>
      <c r="O821" s="441"/>
      <c r="P821" s="441"/>
      <c r="Q821" s="441"/>
      <c r="R821" s="441"/>
      <c r="S821" s="441"/>
      <c r="T821" s="441"/>
      <c r="U821" s="441"/>
      <c r="V821" s="441"/>
      <c r="W821" s="441"/>
      <c r="X821" s="441"/>
      <c r="Y821" s="441"/>
      <c r="Z821" s="441"/>
    </row>
    <row r="822">
      <c r="A822" s="441"/>
      <c r="B822" s="441"/>
      <c r="C822" s="441"/>
      <c r="D822" s="441"/>
      <c r="E822" s="441"/>
      <c r="F822" s="441"/>
      <c r="G822" s="441"/>
      <c r="H822" s="441"/>
      <c r="I822" s="441"/>
      <c r="J822" s="441"/>
      <c r="K822" s="441"/>
      <c r="L822" s="441"/>
      <c r="M822" s="441"/>
      <c r="N822" s="441"/>
      <c r="O822" s="441"/>
      <c r="P822" s="441"/>
      <c r="Q822" s="441"/>
      <c r="R822" s="441"/>
      <c r="S822" s="441"/>
      <c r="T822" s="441"/>
      <c r="U822" s="441"/>
      <c r="V822" s="441"/>
      <c r="W822" s="441"/>
      <c r="X822" s="441"/>
      <c r="Y822" s="441"/>
      <c r="Z822" s="441"/>
    </row>
    <row r="823">
      <c r="A823" s="441"/>
      <c r="B823" s="441"/>
      <c r="C823" s="441"/>
      <c r="D823" s="441"/>
      <c r="E823" s="441"/>
      <c r="F823" s="441"/>
      <c r="G823" s="441"/>
      <c r="H823" s="441"/>
      <c r="I823" s="441"/>
      <c r="J823" s="441"/>
      <c r="K823" s="441"/>
      <c r="L823" s="441"/>
      <c r="M823" s="441"/>
      <c r="N823" s="441"/>
      <c r="O823" s="441"/>
      <c r="P823" s="441"/>
      <c r="Q823" s="441"/>
      <c r="R823" s="441"/>
      <c r="S823" s="441"/>
      <c r="T823" s="441"/>
      <c r="U823" s="441"/>
      <c r="V823" s="441"/>
      <c r="W823" s="441"/>
      <c r="X823" s="441"/>
      <c r="Y823" s="441"/>
      <c r="Z823" s="441"/>
    </row>
    <row r="824">
      <c r="A824" s="441"/>
      <c r="B824" s="441"/>
      <c r="C824" s="441"/>
      <c r="D824" s="441"/>
      <c r="E824" s="441"/>
      <c r="F824" s="441"/>
      <c r="G824" s="441"/>
      <c r="H824" s="441"/>
      <c r="I824" s="441"/>
      <c r="J824" s="441"/>
      <c r="K824" s="441"/>
      <c r="L824" s="441"/>
      <c r="M824" s="441"/>
      <c r="N824" s="441"/>
      <c r="O824" s="441"/>
      <c r="P824" s="441"/>
      <c r="Q824" s="441"/>
      <c r="R824" s="441"/>
      <c r="S824" s="441"/>
      <c r="T824" s="441"/>
      <c r="U824" s="441"/>
      <c r="V824" s="441"/>
      <c r="W824" s="441"/>
      <c r="X824" s="441"/>
      <c r="Y824" s="441"/>
      <c r="Z824" s="441"/>
    </row>
    <row r="825">
      <c r="A825" s="441"/>
      <c r="B825" s="441"/>
      <c r="C825" s="441"/>
      <c r="D825" s="441"/>
      <c r="E825" s="441"/>
      <c r="F825" s="441"/>
      <c r="G825" s="441"/>
      <c r="H825" s="441"/>
      <c r="I825" s="441"/>
      <c r="J825" s="441"/>
      <c r="K825" s="441"/>
      <c r="L825" s="441"/>
      <c r="M825" s="441"/>
      <c r="N825" s="441"/>
      <c r="O825" s="441"/>
      <c r="P825" s="441"/>
      <c r="Q825" s="441"/>
      <c r="R825" s="441"/>
      <c r="S825" s="441"/>
      <c r="T825" s="441"/>
      <c r="U825" s="441"/>
      <c r="V825" s="441"/>
      <c r="W825" s="441"/>
      <c r="X825" s="441"/>
      <c r="Y825" s="441"/>
      <c r="Z825" s="441"/>
    </row>
    <row r="826">
      <c r="A826" s="441"/>
      <c r="B826" s="441"/>
      <c r="C826" s="441"/>
      <c r="D826" s="441"/>
      <c r="E826" s="441"/>
      <c r="F826" s="441"/>
      <c r="G826" s="441"/>
      <c r="H826" s="441"/>
      <c r="I826" s="441"/>
      <c r="J826" s="441"/>
      <c r="K826" s="441"/>
      <c r="L826" s="441"/>
      <c r="M826" s="441"/>
      <c r="N826" s="441"/>
      <c r="O826" s="441"/>
      <c r="P826" s="441"/>
      <c r="Q826" s="441"/>
      <c r="R826" s="441"/>
      <c r="S826" s="441"/>
      <c r="T826" s="441"/>
      <c r="U826" s="441"/>
      <c r="V826" s="441"/>
      <c r="W826" s="441"/>
      <c r="X826" s="441"/>
      <c r="Y826" s="441"/>
      <c r="Z826" s="441"/>
    </row>
    <row r="827">
      <c r="A827" s="441"/>
      <c r="B827" s="441"/>
      <c r="C827" s="441"/>
      <c r="D827" s="441"/>
      <c r="E827" s="441"/>
      <c r="F827" s="441"/>
      <c r="G827" s="441"/>
      <c r="H827" s="441"/>
      <c r="I827" s="441"/>
      <c r="J827" s="441"/>
      <c r="K827" s="441"/>
      <c r="L827" s="441"/>
      <c r="M827" s="441"/>
      <c r="N827" s="441"/>
      <c r="O827" s="441"/>
      <c r="P827" s="441"/>
      <c r="Q827" s="441"/>
      <c r="R827" s="441"/>
      <c r="S827" s="441"/>
      <c r="T827" s="441"/>
      <c r="U827" s="441"/>
      <c r="V827" s="441"/>
      <c r="W827" s="441"/>
      <c r="X827" s="441"/>
      <c r="Y827" s="441"/>
      <c r="Z827" s="441"/>
    </row>
    <row r="828">
      <c r="A828" s="441"/>
      <c r="B828" s="441"/>
      <c r="C828" s="441"/>
      <c r="D828" s="441"/>
      <c r="E828" s="441"/>
      <c r="F828" s="441"/>
      <c r="G828" s="441"/>
      <c r="H828" s="441"/>
      <c r="I828" s="441"/>
      <c r="J828" s="441"/>
      <c r="K828" s="441"/>
      <c r="L828" s="441"/>
      <c r="M828" s="441"/>
      <c r="N828" s="441"/>
      <c r="O828" s="441"/>
      <c r="P828" s="441"/>
      <c r="Q828" s="441"/>
      <c r="R828" s="441"/>
      <c r="S828" s="441"/>
      <c r="T828" s="441"/>
      <c r="U828" s="441"/>
      <c r="V828" s="441"/>
      <c r="W828" s="441"/>
      <c r="X828" s="441"/>
      <c r="Y828" s="441"/>
      <c r="Z828" s="441"/>
    </row>
    <row r="829">
      <c r="A829" s="441"/>
      <c r="B829" s="441"/>
      <c r="C829" s="441"/>
      <c r="D829" s="441"/>
      <c r="E829" s="441"/>
      <c r="F829" s="441"/>
      <c r="G829" s="441"/>
      <c r="H829" s="441"/>
      <c r="I829" s="441"/>
      <c r="J829" s="441"/>
      <c r="K829" s="441"/>
      <c r="L829" s="441"/>
      <c r="M829" s="441"/>
      <c r="N829" s="441"/>
      <c r="O829" s="441"/>
      <c r="P829" s="441"/>
      <c r="Q829" s="441"/>
      <c r="R829" s="441"/>
      <c r="S829" s="441"/>
      <c r="T829" s="441"/>
      <c r="U829" s="441"/>
      <c r="V829" s="441"/>
      <c r="W829" s="441"/>
      <c r="X829" s="441"/>
      <c r="Y829" s="441"/>
      <c r="Z829" s="441"/>
    </row>
    <row r="830">
      <c r="A830" s="441"/>
      <c r="B830" s="441"/>
      <c r="C830" s="441"/>
      <c r="D830" s="441"/>
      <c r="E830" s="441"/>
      <c r="F830" s="441"/>
      <c r="G830" s="441"/>
      <c r="H830" s="441"/>
      <c r="I830" s="441"/>
      <c r="J830" s="441"/>
      <c r="K830" s="441"/>
      <c r="L830" s="441"/>
      <c r="M830" s="441"/>
      <c r="N830" s="441"/>
      <c r="O830" s="441"/>
      <c r="P830" s="441"/>
      <c r="Q830" s="441"/>
      <c r="R830" s="441"/>
      <c r="S830" s="441"/>
      <c r="T830" s="441"/>
      <c r="U830" s="441"/>
      <c r="V830" s="441"/>
      <c r="W830" s="441"/>
      <c r="X830" s="441"/>
      <c r="Y830" s="441"/>
      <c r="Z830" s="441"/>
    </row>
    <row r="831">
      <c r="A831" s="441"/>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row>
    <row r="832">
      <c r="A832" s="441"/>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row>
    <row r="833">
      <c r="A833" s="441"/>
      <c r="B833" s="441"/>
      <c r="C833" s="441"/>
      <c r="D833" s="441"/>
      <c r="E833" s="441"/>
      <c r="F833" s="441"/>
      <c r="G833" s="441"/>
      <c r="H833" s="441"/>
      <c r="I833" s="441"/>
      <c r="J833" s="441"/>
      <c r="K833" s="441"/>
      <c r="L833" s="441"/>
      <c r="M833" s="441"/>
      <c r="N833" s="441"/>
      <c r="O833" s="441"/>
      <c r="P833" s="441"/>
      <c r="Q833" s="441"/>
      <c r="R833" s="441"/>
      <c r="S833" s="441"/>
      <c r="T833" s="441"/>
      <c r="U833" s="441"/>
      <c r="V833" s="441"/>
      <c r="W833" s="441"/>
      <c r="X833" s="441"/>
      <c r="Y833" s="441"/>
      <c r="Z833" s="441"/>
    </row>
    <row r="834">
      <c r="A834" s="441"/>
      <c r="B834" s="441"/>
      <c r="C834" s="441"/>
      <c r="D834" s="441"/>
      <c r="E834" s="441"/>
      <c r="F834" s="441"/>
      <c r="G834" s="441"/>
      <c r="H834" s="441"/>
      <c r="I834" s="441"/>
      <c r="J834" s="441"/>
      <c r="K834" s="441"/>
      <c r="L834" s="441"/>
      <c r="M834" s="441"/>
      <c r="N834" s="441"/>
      <c r="O834" s="441"/>
      <c r="P834" s="441"/>
      <c r="Q834" s="441"/>
      <c r="R834" s="441"/>
      <c r="S834" s="441"/>
      <c r="T834" s="441"/>
      <c r="U834" s="441"/>
      <c r="V834" s="441"/>
      <c r="W834" s="441"/>
      <c r="X834" s="441"/>
      <c r="Y834" s="441"/>
      <c r="Z834" s="441"/>
    </row>
    <row r="835">
      <c r="A835" s="441"/>
      <c r="B835" s="441"/>
      <c r="C835" s="441"/>
      <c r="D835" s="441"/>
      <c r="E835" s="441"/>
      <c r="F835" s="441"/>
      <c r="G835" s="441"/>
      <c r="H835" s="441"/>
      <c r="I835" s="441"/>
      <c r="J835" s="441"/>
      <c r="K835" s="441"/>
      <c r="L835" s="441"/>
      <c r="M835" s="441"/>
      <c r="N835" s="441"/>
      <c r="O835" s="441"/>
      <c r="P835" s="441"/>
      <c r="Q835" s="441"/>
      <c r="R835" s="441"/>
      <c r="S835" s="441"/>
      <c r="T835" s="441"/>
      <c r="U835" s="441"/>
      <c r="V835" s="441"/>
      <c r="W835" s="441"/>
      <c r="X835" s="441"/>
      <c r="Y835" s="441"/>
      <c r="Z835" s="441"/>
    </row>
    <row r="836">
      <c r="A836" s="441"/>
      <c r="B836" s="441"/>
      <c r="C836" s="441"/>
      <c r="D836" s="441"/>
      <c r="E836" s="441"/>
      <c r="F836" s="441"/>
      <c r="G836" s="441"/>
      <c r="H836" s="441"/>
      <c r="I836" s="441"/>
      <c r="J836" s="441"/>
      <c r="K836" s="441"/>
      <c r="L836" s="441"/>
      <c r="M836" s="441"/>
      <c r="N836" s="441"/>
      <c r="O836" s="441"/>
      <c r="P836" s="441"/>
      <c r="Q836" s="441"/>
      <c r="R836" s="441"/>
      <c r="S836" s="441"/>
      <c r="T836" s="441"/>
      <c r="U836" s="441"/>
      <c r="V836" s="441"/>
      <c r="W836" s="441"/>
      <c r="X836" s="441"/>
      <c r="Y836" s="441"/>
      <c r="Z836" s="441"/>
    </row>
    <row r="837">
      <c r="A837" s="441"/>
      <c r="B837" s="441"/>
      <c r="C837" s="441"/>
      <c r="D837" s="441"/>
      <c r="E837" s="441"/>
      <c r="F837" s="441"/>
      <c r="G837" s="441"/>
      <c r="H837" s="441"/>
      <c r="I837" s="441"/>
      <c r="J837" s="441"/>
      <c r="K837" s="441"/>
      <c r="L837" s="441"/>
      <c r="M837" s="441"/>
      <c r="N837" s="441"/>
      <c r="O837" s="441"/>
      <c r="P837" s="441"/>
      <c r="Q837" s="441"/>
      <c r="R837" s="441"/>
      <c r="S837" s="441"/>
      <c r="T837" s="441"/>
      <c r="U837" s="441"/>
      <c r="V837" s="441"/>
      <c r="W837" s="441"/>
      <c r="X837" s="441"/>
      <c r="Y837" s="441"/>
      <c r="Z837" s="441"/>
    </row>
    <row r="838">
      <c r="A838" s="441"/>
      <c r="B838" s="441"/>
      <c r="C838" s="441"/>
      <c r="D838" s="441"/>
      <c r="E838" s="441"/>
      <c r="F838" s="441"/>
      <c r="G838" s="441"/>
      <c r="H838" s="441"/>
      <c r="I838" s="441"/>
      <c r="J838" s="441"/>
      <c r="K838" s="441"/>
      <c r="L838" s="441"/>
      <c r="M838" s="441"/>
      <c r="N838" s="441"/>
      <c r="O838" s="441"/>
      <c r="P838" s="441"/>
      <c r="Q838" s="441"/>
      <c r="R838" s="441"/>
      <c r="S838" s="441"/>
      <c r="T838" s="441"/>
      <c r="U838" s="441"/>
      <c r="V838" s="441"/>
      <c r="W838" s="441"/>
      <c r="X838" s="441"/>
      <c r="Y838" s="441"/>
      <c r="Z838" s="441"/>
    </row>
    <row r="839">
      <c r="A839" s="441"/>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row>
    <row r="840">
      <c r="A840" s="441"/>
      <c r="B840" s="441"/>
      <c r="C840" s="441"/>
      <c r="D840" s="441"/>
      <c r="E840" s="441"/>
      <c r="F840" s="441"/>
      <c r="G840" s="441"/>
      <c r="H840" s="441"/>
      <c r="I840" s="441"/>
      <c r="J840" s="441"/>
      <c r="K840" s="441"/>
      <c r="L840" s="441"/>
      <c r="M840" s="441"/>
      <c r="N840" s="441"/>
      <c r="O840" s="441"/>
      <c r="P840" s="441"/>
      <c r="Q840" s="441"/>
      <c r="R840" s="441"/>
      <c r="S840" s="441"/>
      <c r="T840" s="441"/>
      <c r="U840" s="441"/>
      <c r="V840" s="441"/>
      <c r="W840" s="441"/>
      <c r="X840" s="441"/>
      <c r="Y840" s="441"/>
      <c r="Z840" s="441"/>
    </row>
    <row r="841">
      <c r="A841" s="441"/>
      <c r="B841" s="441"/>
      <c r="C841" s="441"/>
      <c r="D841" s="441"/>
      <c r="E841" s="441"/>
      <c r="F841" s="441"/>
      <c r="G841" s="441"/>
      <c r="H841" s="441"/>
      <c r="I841" s="441"/>
      <c r="J841" s="441"/>
      <c r="K841" s="441"/>
      <c r="L841" s="441"/>
      <c r="M841" s="441"/>
      <c r="N841" s="441"/>
      <c r="O841" s="441"/>
      <c r="P841" s="441"/>
      <c r="Q841" s="441"/>
      <c r="R841" s="441"/>
      <c r="S841" s="441"/>
      <c r="T841" s="441"/>
      <c r="U841" s="441"/>
      <c r="V841" s="441"/>
      <c r="W841" s="441"/>
      <c r="X841" s="441"/>
      <c r="Y841" s="441"/>
      <c r="Z841" s="441"/>
    </row>
    <row r="842">
      <c r="A842" s="441"/>
      <c r="B842" s="441"/>
      <c r="C842" s="441"/>
      <c r="D842" s="441"/>
      <c r="E842" s="441"/>
      <c r="F842" s="441"/>
      <c r="G842" s="441"/>
      <c r="H842" s="441"/>
      <c r="I842" s="441"/>
      <c r="J842" s="441"/>
      <c r="K842" s="441"/>
      <c r="L842" s="441"/>
      <c r="M842" s="441"/>
      <c r="N842" s="441"/>
      <c r="O842" s="441"/>
      <c r="P842" s="441"/>
      <c r="Q842" s="441"/>
      <c r="R842" s="441"/>
      <c r="S842" s="441"/>
      <c r="T842" s="441"/>
      <c r="U842" s="441"/>
      <c r="V842" s="441"/>
      <c r="W842" s="441"/>
      <c r="X842" s="441"/>
      <c r="Y842" s="441"/>
      <c r="Z842" s="441"/>
    </row>
    <row r="843">
      <c r="A843" s="441"/>
      <c r="B843" s="441"/>
      <c r="C843" s="441"/>
      <c r="D843" s="441"/>
      <c r="E843" s="441"/>
      <c r="F843" s="441"/>
      <c r="G843" s="441"/>
      <c r="H843" s="441"/>
      <c r="I843" s="441"/>
      <c r="J843" s="441"/>
      <c r="K843" s="441"/>
      <c r="L843" s="441"/>
      <c r="M843" s="441"/>
      <c r="N843" s="441"/>
      <c r="O843" s="441"/>
      <c r="P843" s="441"/>
      <c r="Q843" s="441"/>
      <c r="R843" s="441"/>
      <c r="S843" s="441"/>
      <c r="T843" s="441"/>
      <c r="U843" s="441"/>
      <c r="V843" s="441"/>
      <c r="W843" s="441"/>
      <c r="X843" s="441"/>
      <c r="Y843" s="441"/>
      <c r="Z843" s="441"/>
    </row>
    <row r="844">
      <c r="A844" s="441"/>
      <c r="B844" s="441"/>
      <c r="C844" s="441"/>
      <c r="D844" s="441"/>
      <c r="E844" s="441"/>
      <c r="F844" s="441"/>
      <c r="G844" s="441"/>
      <c r="H844" s="441"/>
      <c r="I844" s="441"/>
      <c r="J844" s="441"/>
      <c r="K844" s="441"/>
      <c r="L844" s="441"/>
      <c r="M844" s="441"/>
      <c r="N844" s="441"/>
      <c r="O844" s="441"/>
      <c r="P844" s="441"/>
      <c r="Q844" s="441"/>
      <c r="R844" s="441"/>
      <c r="S844" s="441"/>
      <c r="T844" s="441"/>
      <c r="U844" s="441"/>
      <c r="V844" s="441"/>
      <c r="W844" s="441"/>
      <c r="X844" s="441"/>
      <c r="Y844" s="441"/>
      <c r="Z844" s="441"/>
    </row>
    <row r="845">
      <c r="A845" s="441"/>
      <c r="B845" s="441"/>
      <c r="C845" s="441"/>
      <c r="D845" s="441"/>
      <c r="E845" s="441"/>
      <c r="F845" s="441"/>
      <c r="G845" s="441"/>
      <c r="H845" s="441"/>
      <c r="I845" s="441"/>
      <c r="J845" s="441"/>
      <c r="K845" s="441"/>
      <c r="L845" s="441"/>
      <c r="M845" s="441"/>
      <c r="N845" s="441"/>
      <c r="O845" s="441"/>
      <c r="P845" s="441"/>
      <c r="Q845" s="441"/>
      <c r="R845" s="441"/>
      <c r="S845" s="441"/>
      <c r="T845" s="441"/>
      <c r="U845" s="441"/>
      <c r="V845" s="441"/>
      <c r="W845" s="441"/>
      <c r="X845" s="441"/>
      <c r="Y845" s="441"/>
      <c r="Z845" s="441"/>
    </row>
    <row r="846">
      <c r="A846" s="441"/>
      <c r="B846" s="441"/>
      <c r="C846" s="441"/>
      <c r="D846" s="441"/>
      <c r="E846" s="441"/>
      <c r="F846" s="441"/>
      <c r="G846" s="441"/>
      <c r="H846" s="441"/>
      <c r="I846" s="441"/>
      <c r="J846" s="441"/>
      <c r="K846" s="441"/>
      <c r="L846" s="441"/>
      <c r="M846" s="441"/>
      <c r="N846" s="441"/>
      <c r="O846" s="441"/>
      <c r="P846" s="441"/>
      <c r="Q846" s="441"/>
      <c r="R846" s="441"/>
      <c r="S846" s="441"/>
      <c r="T846" s="441"/>
      <c r="U846" s="441"/>
      <c r="V846" s="441"/>
      <c r="W846" s="441"/>
      <c r="X846" s="441"/>
      <c r="Y846" s="441"/>
      <c r="Z846" s="441"/>
    </row>
    <row r="847">
      <c r="A847" s="441"/>
      <c r="B847" s="441"/>
      <c r="C847" s="441"/>
      <c r="D847" s="441"/>
      <c r="E847" s="441"/>
      <c r="F847" s="441"/>
      <c r="G847" s="441"/>
      <c r="H847" s="441"/>
      <c r="I847" s="441"/>
      <c r="J847" s="441"/>
      <c r="K847" s="441"/>
      <c r="L847" s="441"/>
      <c r="M847" s="441"/>
      <c r="N847" s="441"/>
      <c r="O847" s="441"/>
      <c r="P847" s="441"/>
      <c r="Q847" s="441"/>
      <c r="R847" s="441"/>
      <c r="S847" s="441"/>
      <c r="T847" s="441"/>
      <c r="U847" s="441"/>
      <c r="V847" s="441"/>
      <c r="W847" s="441"/>
      <c r="X847" s="441"/>
      <c r="Y847" s="441"/>
      <c r="Z847" s="441"/>
    </row>
    <row r="848">
      <c r="A848" s="441"/>
      <c r="B848" s="441"/>
      <c r="C848" s="441"/>
      <c r="D848" s="441"/>
      <c r="E848" s="441"/>
      <c r="F848" s="441"/>
      <c r="G848" s="441"/>
      <c r="H848" s="441"/>
      <c r="I848" s="441"/>
      <c r="J848" s="441"/>
      <c r="K848" s="441"/>
      <c r="L848" s="441"/>
      <c r="M848" s="441"/>
      <c r="N848" s="441"/>
      <c r="O848" s="441"/>
      <c r="P848" s="441"/>
      <c r="Q848" s="441"/>
      <c r="R848" s="441"/>
      <c r="S848" s="441"/>
      <c r="T848" s="441"/>
      <c r="U848" s="441"/>
      <c r="V848" s="441"/>
      <c r="W848" s="441"/>
      <c r="X848" s="441"/>
      <c r="Y848" s="441"/>
      <c r="Z848" s="441"/>
    </row>
    <row r="849">
      <c r="A849" s="441"/>
      <c r="B849" s="441"/>
      <c r="C849" s="441"/>
      <c r="D849" s="441"/>
      <c r="E849" s="441"/>
      <c r="F849" s="441"/>
      <c r="G849" s="441"/>
      <c r="H849" s="441"/>
      <c r="I849" s="441"/>
      <c r="J849" s="441"/>
      <c r="K849" s="441"/>
      <c r="L849" s="441"/>
      <c r="M849" s="441"/>
      <c r="N849" s="441"/>
      <c r="O849" s="441"/>
      <c r="P849" s="441"/>
      <c r="Q849" s="441"/>
      <c r="R849" s="441"/>
      <c r="S849" s="441"/>
      <c r="T849" s="441"/>
      <c r="U849" s="441"/>
      <c r="V849" s="441"/>
      <c r="W849" s="441"/>
      <c r="X849" s="441"/>
      <c r="Y849" s="441"/>
      <c r="Z849" s="441"/>
    </row>
    <row r="850">
      <c r="A850" s="441"/>
      <c r="B850" s="441"/>
      <c r="C850" s="441"/>
      <c r="D850" s="441"/>
      <c r="E850" s="441"/>
      <c r="F850" s="441"/>
      <c r="G850" s="441"/>
      <c r="H850" s="441"/>
      <c r="I850" s="441"/>
      <c r="J850" s="441"/>
      <c r="K850" s="441"/>
      <c r="L850" s="441"/>
      <c r="M850" s="441"/>
      <c r="N850" s="441"/>
      <c r="O850" s="441"/>
      <c r="P850" s="441"/>
      <c r="Q850" s="441"/>
      <c r="R850" s="441"/>
      <c r="S850" s="441"/>
      <c r="T850" s="441"/>
      <c r="U850" s="441"/>
      <c r="V850" s="441"/>
      <c r="W850" s="441"/>
      <c r="X850" s="441"/>
      <c r="Y850" s="441"/>
      <c r="Z850" s="441"/>
    </row>
    <row r="851">
      <c r="A851" s="441"/>
      <c r="B851" s="441"/>
      <c r="C851" s="441"/>
      <c r="D851" s="441"/>
      <c r="E851" s="441"/>
      <c r="F851" s="441"/>
      <c r="G851" s="441"/>
      <c r="H851" s="441"/>
      <c r="I851" s="441"/>
      <c r="J851" s="441"/>
      <c r="K851" s="441"/>
      <c r="L851" s="441"/>
      <c r="M851" s="441"/>
      <c r="N851" s="441"/>
      <c r="O851" s="441"/>
      <c r="P851" s="441"/>
      <c r="Q851" s="441"/>
      <c r="R851" s="441"/>
      <c r="S851" s="441"/>
      <c r="T851" s="441"/>
      <c r="U851" s="441"/>
      <c r="V851" s="441"/>
      <c r="W851" s="441"/>
      <c r="X851" s="441"/>
      <c r="Y851" s="441"/>
      <c r="Z851" s="441"/>
    </row>
    <row r="852">
      <c r="A852" s="441"/>
      <c r="B852" s="441"/>
      <c r="C852" s="441"/>
      <c r="D852" s="441"/>
      <c r="E852" s="441"/>
      <c r="F852" s="441"/>
      <c r="G852" s="441"/>
      <c r="H852" s="441"/>
      <c r="I852" s="441"/>
      <c r="J852" s="441"/>
      <c r="K852" s="441"/>
      <c r="L852" s="441"/>
      <c r="M852" s="441"/>
      <c r="N852" s="441"/>
      <c r="O852" s="441"/>
      <c r="P852" s="441"/>
      <c r="Q852" s="441"/>
      <c r="R852" s="441"/>
      <c r="S852" s="441"/>
      <c r="T852" s="441"/>
      <c r="U852" s="441"/>
      <c r="V852" s="441"/>
      <c r="W852" s="441"/>
      <c r="X852" s="441"/>
      <c r="Y852" s="441"/>
      <c r="Z852" s="441"/>
    </row>
    <row r="853">
      <c r="A853" s="441"/>
      <c r="B853" s="441"/>
      <c r="C853" s="441"/>
      <c r="D853" s="441"/>
      <c r="E853" s="441"/>
      <c r="F853" s="441"/>
      <c r="G853" s="441"/>
      <c r="H853" s="441"/>
      <c r="I853" s="441"/>
      <c r="J853" s="441"/>
      <c r="K853" s="441"/>
      <c r="L853" s="441"/>
      <c r="M853" s="441"/>
      <c r="N853" s="441"/>
      <c r="O853" s="441"/>
      <c r="P853" s="441"/>
      <c r="Q853" s="441"/>
      <c r="R853" s="441"/>
      <c r="S853" s="441"/>
      <c r="T853" s="441"/>
      <c r="U853" s="441"/>
      <c r="V853" s="441"/>
      <c r="W853" s="441"/>
      <c r="X853" s="441"/>
      <c r="Y853" s="441"/>
      <c r="Z853" s="441"/>
    </row>
    <row r="854">
      <c r="A854" s="441"/>
      <c r="B854" s="441"/>
      <c r="C854" s="441"/>
      <c r="D854" s="441"/>
      <c r="E854" s="441"/>
      <c r="F854" s="441"/>
      <c r="G854" s="441"/>
      <c r="H854" s="441"/>
      <c r="I854" s="441"/>
      <c r="J854" s="441"/>
      <c r="K854" s="441"/>
      <c r="L854" s="441"/>
      <c r="M854" s="441"/>
      <c r="N854" s="441"/>
      <c r="O854" s="441"/>
      <c r="P854" s="441"/>
      <c r="Q854" s="441"/>
      <c r="R854" s="441"/>
      <c r="S854" s="441"/>
      <c r="T854" s="441"/>
      <c r="U854" s="441"/>
      <c r="V854" s="441"/>
      <c r="W854" s="441"/>
      <c r="X854" s="441"/>
      <c r="Y854" s="441"/>
      <c r="Z854" s="441"/>
    </row>
    <row r="855">
      <c r="A855" s="441"/>
      <c r="B855" s="441"/>
      <c r="C855" s="441"/>
      <c r="D855" s="441"/>
      <c r="E855" s="441"/>
      <c r="F855" s="441"/>
      <c r="G855" s="441"/>
      <c r="H855" s="441"/>
      <c r="I855" s="441"/>
      <c r="J855" s="441"/>
      <c r="K855" s="441"/>
      <c r="L855" s="441"/>
      <c r="M855" s="441"/>
      <c r="N855" s="441"/>
      <c r="O855" s="441"/>
      <c r="P855" s="441"/>
      <c r="Q855" s="441"/>
      <c r="R855" s="441"/>
      <c r="S855" s="441"/>
      <c r="T855" s="441"/>
      <c r="U855" s="441"/>
      <c r="V855" s="441"/>
      <c r="W855" s="441"/>
      <c r="X855" s="441"/>
      <c r="Y855" s="441"/>
      <c r="Z855" s="441"/>
    </row>
    <row r="856">
      <c r="A856" s="441"/>
      <c r="B856" s="441"/>
      <c r="C856" s="441"/>
      <c r="D856" s="441"/>
      <c r="E856" s="441"/>
      <c r="F856" s="441"/>
      <c r="G856" s="441"/>
      <c r="H856" s="441"/>
      <c r="I856" s="441"/>
      <c r="J856" s="441"/>
      <c r="K856" s="441"/>
      <c r="L856" s="441"/>
      <c r="M856" s="441"/>
      <c r="N856" s="441"/>
      <c r="O856" s="441"/>
      <c r="P856" s="441"/>
      <c r="Q856" s="441"/>
      <c r="R856" s="441"/>
      <c r="S856" s="441"/>
      <c r="T856" s="441"/>
      <c r="U856" s="441"/>
      <c r="V856" s="441"/>
      <c r="W856" s="441"/>
      <c r="X856" s="441"/>
      <c r="Y856" s="441"/>
      <c r="Z856" s="441"/>
    </row>
    <row r="857">
      <c r="A857" s="441"/>
      <c r="B857" s="441"/>
      <c r="C857" s="441"/>
      <c r="D857" s="441"/>
      <c r="E857" s="441"/>
      <c r="F857" s="441"/>
      <c r="G857" s="441"/>
      <c r="H857" s="441"/>
      <c r="I857" s="441"/>
      <c r="J857" s="441"/>
      <c r="K857" s="441"/>
      <c r="L857" s="441"/>
      <c r="M857" s="441"/>
      <c r="N857" s="441"/>
      <c r="O857" s="441"/>
      <c r="P857" s="441"/>
      <c r="Q857" s="441"/>
      <c r="R857" s="441"/>
      <c r="S857" s="441"/>
      <c r="T857" s="441"/>
      <c r="U857" s="441"/>
      <c r="V857" s="441"/>
      <c r="W857" s="441"/>
      <c r="X857" s="441"/>
      <c r="Y857" s="441"/>
      <c r="Z857" s="441"/>
    </row>
    <row r="858">
      <c r="A858" s="441"/>
      <c r="B858" s="441"/>
      <c r="C858" s="441"/>
      <c r="D858" s="441"/>
      <c r="E858" s="441"/>
      <c r="F858" s="441"/>
      <c r="G858" s="441"/>
      <c r="H858" s="441"/>
      <c r="I858" s="441"/>
      <c r="J858" s="441"/>
      <c r="K858" s="441"/>
      <c r="L858" s="441"/>
      <c r="M858" s="441"/>
      <c r="N858" s="441"/>
      <c r="O858" s="441"/>
      <c r="P858" s="441"/>
      <c r="Q858" s="441"/>
      <c r="R858" s="441"/>
      <c r="S858" s="441"/>
      <c r="T858" s="441"/>
      <c r="U858" s="441"/>
      <c r="V858" s="441"/>
      <c r="W858" s="441"/>
      <c r="X858" s="441"/>
      <c r="Y858" s="441"/>
      <c r="Z858" s="441"/>
    </row>
    <row r="859">
      <c r="A859" s="441"/>
      <c r="B859" s="441"/>
      <c r="C859" s="441"/>
      <c r="D859" s="441"/>
      <c r="E859" s="441"/>
      <c r="F859" s="441"/>
      <c r="G859" s="441"/>
      <c r="H859" s="441"/>
      <c r="I859" s="441"/>
      <c r="J859" s="441"/>
      <c r="K859" s="441"/>
      <c r="L859" s="441"/>
      <c r="M859" s="441"/>
      <c r="N859" s="441"/>
      <c r="O859" s="441"/>
      <c r="P859" s="441"/>
      <c r="Q859" s="441"/>
      <c r="R859" s="441"/>
      <c r="S859" s="441"/>
      <c r="T859" s="441"/>
      <c r="U859" s="441"/>
      <c r="V859" s="441"/>
      <c r="W859" s="441"/>
      <c r="X859" s="441"/>
      <c r="Y859" s="441"/>
      <c r="Z859" s="441"/>
    </row>
    <row r="860">
      <c r="A860" s="441"/>
      <c r="B860" s="441"/>
      <c r="C860" s="441"/>
      <c r="D860" s="441"/>
      <c r="E860" s="441"/>
      <c r="F860" s="441"/>
      <c r="G860" s="441"/>
      <c r="H860" s="441"/>
      <c r="I860" s="441"/>
      <c r="J860" s="441"/>
      <c r="K860" s="441"/>
      <c r="L860" s="441"/>
      <c r="M860" s="441"/>
      <c r="N860" s="441"/>
      <c r="O860" s="441"/>
      <c r="P860" s="441"/>
      <c r="Q860" s="441"/>
      <c r="R860" s="441"/>
      <c r="S860" s="441"/>
      <c r="T860" s="441"/>
      <c r="U860" s="441"/>
      <c r="V860" s="441"/>
      <c r="W860" s="441"/>
      <c r="X860" s="441"/>
      <c r="Y860" s="441"/>
      <c r="Z860" s="441"/>
    </row>
    <row r="861">
      <c r="A861" s="441"/>
      <c r="B861" s="441"/>
      <c r="C861" s="441"/>
      <c r="D861" s="441"/>
      <c r="E861" s="441"/>
      <c r="F861" s="441"/>
      <c r="G861" s="441"/>
      <c r="H861" s="441"/>
      <c r="I861" s="441"/>
      <c r="J861" s="441"/>
      <c r="K861" s="441"/>
      <c r="L861" s="441"/>
      <c r="M861" s="441"/>
      <c r="N861" s="441"/>
      <c r="O861" s="441"/>
      <c r="P861" s="441"/>
      <c r="Q861" s="441"/>
      <c r="R861" s="441"/>
      <c r="S861" s="441"/>
      <c r="T861" s="441"/>
      <c r="U861" s="441"/>
      <c r="V861" s="441"/>
      <c r="W861" s="441"/>
      <c r="X861" s="441"/>
      <c r="Y861" s="441"/>
      <c r="Z861" s="441"/>
    </row>
    <row r="862">
      <c r="A862" s="441"/>
      <c r="B862" s="441"/>
      <c r="C862" s="441"/>
      <c r="D862" s="441"/>
      <c r="E862" s="441"/>
      <c r="F862" s="441"/>
      <c r="G862" s="441"/>
      <c r="H862" s="441"/>
      <c r="I862" s="441"/>
      <c r="J862" s="441"/>
      <c r="K862" s="441"/>
      <c r="L862" s="441"/>
      <c r="M862" s="441"/>
      <c r="N862" s="441"/>
      <c r="O862" s="441"/>
      <c r="P862" s="441"/>
      <c r="Q862" s="441"/>
      <c r="R862" s="441"/>
      <c r="S862" s="441"/>
      <c r="T862" s="441"/>
      <c r="U862" s="441"/>
      <c r="V862" s="441"/>
      <c r="W862" s="441"/>
      <c r="X862" s="441"/>
      <c r="Y862" s="441"/>
      <c r="Z862" s="441"/>
    </row>
    <row r="863">
      <c r="A863" s="441"/>
      <c r="B863" s="441"/>
      <c r="C863" s="441"/>
      <c r="D863" s="441"/>
      <c r="E863" s="441"/>
      <c r="F863" s="441"/>
      <c r="G863" s="441"/>
      <c r="H863" s="441"/>
      <c r="I863" s="441"/>
      <c r="J863" s="441"/>
      <c r="K863" s="441"/>
      <c r="L863" s="441"/>
      <c r="M863" s="441"/>
      <c r="N863" s="441"/>
      <c r="O863" s="441"/>
      <c r="P863" s="441"/>
      <c r="Q863" s="441"/>
      <c r="R863" s="441"/>
      <c r="S863" s="441"/>
      <c r="T863" s="441"/>
      <c r="U863" s="441"/>
      <c r="V863" s="441"/>
      <c r="W863" s="441"/>
      <c r="X863" s="441"/>
      <c r="Y863" s="441"/>
      <c r="Z863" s="441"/>
    </row>
    <row r="864">
      <c r="A864" s="441"/>
      <c r="B864" s="441"/>
      <c r="C864" s="441"/>
      <c r="D864" s="441"/>
      <c r="E864" s="441"/>
      <c r="F864" s="441"/>
      <c r="G864" s="441"/>
      <c r="H864" s="441"/>
      <c r="I864" s="441"/>
      <c r="J864" s="441"/>
      <c r="K864" s="441"/>
      <c r="L864" s="441"/>
      <c r="M864" s="441"/>
      <c r="N864" s="441"/>
      <c r="O864" s="441"/>
      <c r="P864" s="441"/>
      <c r="Q864" s="441"/>
      <c r="R864" s="441"/>
      <c r="S864" s="441"/>
      <c r="T864" s="441"/>
      <c r="U864" s="441"/>
      <c r="V864" s="441"/>
      <c r="W864" s="441"/>
      <c r="X864" s="441"/>
      <c r="Y864" s="441"/>
      <c r="Z864" s="441"/>
    </row>
    <row r="865">
      <c r="A865" s="441"/>
      <c r="B865" s="441"/>
      <c r="C865" s="441"/>
      <c r="D865" s="441"/>
      <c r="E865" s="441"/>
      <c r="F865" s="441"/>
      <c r="G865" s="441"/>
      <c r="H865" s="441"/>
      <c r="I865" s="441"/>
      <c r="J865" s="441"/>
      <c r="K865" s="441"/>
      <c r="L865" s="441"/>
      <c r="M865" s="441"/>
      <c r="N865" s="441"/>
      <c r="O865" s="441"/>
      <c r="P865" s="441"/>
      <c r="Q865" s="441"/>
      <c r="R865" s="441"/>
      <c r="S865" s="441"/>
      <c r="T865" s="441"/>
      <c r="U865" s="441"/>
      <c r="V865" s="441"/>
      <c r="W865" s="441"/>
      <c r="X865" s="441"/>
      <c r="Y865" s="441"/>
      <c r="Z865" s="441"/>
    </row>
    <row r="866">
      <c r="A866" s="441"/>
      <c r="B866" s="441"/>
      <c r="C866" s="441"/>
      <c r="D866" s="441"/>
      <c r="E866" s="441"/>
      <c r="F866" s="441"/>
      <c r="G866" s="441"/>
      <c r="H866" s="441"/>
      <c r="I866" s="441"/>
      <c r="J866" s="441"/>
      <c r="K866" s="441"/>
      <c r="L866" s="441"/>
      <c r="M866" s="441"/>
      <c r="N866" s="441"/>
      <c r="O866" s="441"/>
      <c r="P866" s="441"/>
      <c r="Q866" s="441"/>
      <c r="R866" s="441"/>
      <c r="S866" s="441"/>
      <c r="T866" s="441"/>
      <c r="U866" s="441"/>
      <c r="V866" s="441"/>
      <c r="W866" s="441"/>
      <c r="X866" s="441"/>
      <c r="Y866" s="441"/>
      <c r="Z866" s="441"/>
    </row>
    <row r="867">
      <c r="A867" s="441"/>
      <c r="B867" s="441"/>
      <c r="C867" s="441"/>
      <c r="D867" s="441"/>
      <c r="E867" s="441"/>
      <c r="F867" s="441"/>
      <c r="G867" s="441"/>
      <c r="H867" s="441"/>
      <c r="I867" s="441"/>
      <c r="J867" s="441"/>
      <c r="K867" s="441"/>
      <c r="L867" s="441"/>
      <c r="M867" s="441"/>
      <c r="N867" s="441"/>
      <c r="O867" s="441"/>
      <c r="P867" s="441"/>
      <c r="Q867" s="441"/>
      <c r="R867" s="441"/>
      <c r="S867" s="441"/>
      <c r="T867" s="441"/>
      <c r="U867" s="441"/>
      <c r="V867" s="441"/>
      <c r="W867" s="441"/>
      <c r="X867" s="441"/>
      <c r="Y867" s="441"/>
      <c r="Z867" s="441"/>
    </row>
    <row r="868">
      <c r="A868" s="441"/>
      <c r="B868" s="441"/>
      <c r="C868" s="441"/>
      <c r="D868" s="441"/>
      <c r="E868" s="441"/>
      <c r="F868" s="441"/>
      <c r="G868" s="441"/>
      <c r="H868" s="441"/>
      <c r="I868" s="441"/>
      <c r="J868" s="441"/>
      <c r="K868" s="441"/>
      <c r="L868" s="441"/>
      <c r="M868" s="441"/>
      <c r="N868" s="441"/>
      <c r="O868" s="441"/>
      <c r="P868" s="441"/>
      <c r="Q868" s="441"/>
      <c r="R868" s="441"/>
      <c r="S868" s="441"/>
      <c r="T868" s="441"/>
      <c r="U868" s="441"/>
      <c r="V868" s="441"/>
      <c r="W868" s="441"/>
      <c r="X868" s="441"/>
      <c r="Y868" s="441"/>
      <c r="Z868" s="441"/>
    </row>
    <row r="869">
      <c r="A869" s="441"/>
      <c r="B869" s="441"/>
      <c r="C869" s="441"/>
      <c r="D869" s="441"/>
      <c r="E869" s="441"/>
      <c r="F869" s="441"/>
      <c r="G869" s="441"/>
      <c r="H869" s="441"/>
      <c r="I869" s="441"/>
      <c r="J869" s="441"/>
      <c r="K869" s="441"/>
      <c r="L869" s="441"/>
      <c r="M869" s="441"/>
      <c r="N869" s="441"/>
      <c r="O869" s="441"/>
      <c r="P869" s="441"/>
      <c r="Q869" s="441"/>
      <c r="R869" s="441"/>
      <c r="S869" s="441"/>
      <c r="T869" s="441"/>
      <c r="U869" s="441"/>
      <c r="V869" s="441"/>
      <c r="W869" s="441"/>
      <c r="X869" s="441"/>
      <c r="Y869" s="441"/>
      <c r="Z869" s="441"/>
    </row>
    <row r="870">
      <c r="A870" s="441"/>
      <c r="B870" s="441"/>
      <c r="C870" s="441"/>
      <c r="D870" s="441"/>
      <c r="E870" s="441"/>
      <c r="F870" s="441"/>
      <c r="G870" s="441"/>
      <c r="H870" s="441"/>
      <c r="I870" s="441"/>
      <c r="J870" s="441"/>
      <c r="K870" s="441"/>
      <c r="L870" s="441"/>
      <c r="M870" s="441"/>
      <c r="N870" s="441"/>
      <c r="O870" s="441"/>
      <c r="P870" s="441"/>
      <c r="Q870" s="441"/>
      <c r="R870" s="441"/>
      <c r="S870" s="441"/>
      <c r="T870" s="441"/>
      <c r="U870" s="441"/>
      <c r="V870" s="441"/>
      <c r="W870" s="441"/>
      <c r="X870" s="441"/>
      <c r="Y870" s="441"/>
      <c r="Z870" s="441"/>
    </row>
    <row r="871">
      <c r="A871" s="441"/>
      <c r="B871" s="441"/>
      <c r="C871" s="441"/>
      <c r="D871" s="441"/>
      <c r="E871" s="441"/>
      <c r="F871" s="441"/>
      <c r="G871" s="441"/>
      <c r="H871" s="441"/>
      <c r="I871" s="441"/>
      <c r="J871" s="441"/>
      <c r="K871" s="441"/>
      <c r="L871" s="441"/>
      <c r="M871" s="441"/>
      <c r="N871" s="441"/>
      <c r="O871" s="441"/>
      <c r="P871" s="441"/>
      <c r="Q871" s="441"/>
      <c r="R871" s="441"/>
      <c r="S871" s="441"/>
      <c r="T871" s="441"/>
      <c r="U871" s="441"/>
      <c r="V871" s="441"/>
      <c r="W871" s="441"/>
      <c r="X871" s="441"/>
      <c r="Y871" s="441"/>
      <c r="Z871" s="441"/>
    </row>
    <row r="872">
      <c r="A872" s="441"/>
      <c r="B872" s="441"/>
      <c r="C872" s="441"/>
      <c r="D872" s="441"/>
      <c r="E872" s="441"/>
      <c r="F872" s="441"/>
      <c r="G872" s="441"/>
      <c r="H872" s="441"/>
      <c r="I872" s="441"/>
      <c r="J872" s="441"/>
      <c r="K872" s="441"/>
      <c r="L872" s="441"/>
      <c r="M872" s="441"/>
      <c r="N872" s="441"/>
      <c r="O872" s="441"/>
      <c r="P872" s="441"/>
      <c r="Q872" s="441"/>
      <c r="R872" s="441"/>
      <c r="S872" s="441"/>
      <c r="T872" s="441"/>
      <c r="U872" s="441"/>
      <c r="V872" s="441"/>
      <c r="W872" s="441"/>
      <c r="X872" s="441"/>
      <c r="Y872" s="441"/>
      <c r="Z872" s="441"/>
    </row>
    <row r="873">
      <c r="A873" s="441"/>
      <c r="B873" s="441"/>
      <c r="C873" s="441"/>
      <c r="D873" s="441"/>
      <c r="E873" s="441"/>
      <c r="F873" s="441"/>
      <c r="G873" s="441"/>
      <c r="H873" s="441"/>
      <c r="I873" s="441"/>
      <c r="J873" s="441"/>
      <c r="K873" s="441"/>
      <c r="L873" s="441"/>
      <c r="M873" s="441"/>
      <c r="N873" s="441"/>
      <c r="O873" s="441"/>
      <c r="P873" s="441"/>
      <c r="Q873" s="441"/>
      <c r="R873" s="441"/>
      <c r="S873" s="441"/>
      <c r="T873" s="441"/>
      <c r="U873" s="441"/>
      <c r="V873" s="441"/>
      <c r="W873" s="441"/>
      <c r="X873" s="441"/>
      <c r="Y873" s="441"/>
      <c r="Z873" s="441"/>
    </row>
    <row r="874">
      <c r="A874" s="441"/>
      <c r="B874" s="441"/>
      <c r="C874" s="441"/>
      <c r="D874" s="441"/>
      <c r="E874" s="441"/>
      <c r="F874" s="441"/>
      <c r="G874" s="441"/>
      <c r="H874" s="441"/>
      <c r="I874" s="441"/>
      <c r="J874" s="441"/>
      <c r="K874" s="441"/>
      <c r="L874" s="441"/>
      <c r="M874" s="441"/>
      <c r="N874" s="441"/>
      <c r="O874" s="441"/>
      <c r="P874" s="441"/>
      <c r="Q874" s="441"/>
      <c r="R874" s="441"/>
      <c r="S874" s="441"/>
      <c r="T874" s="441"/>
      <c r="U874" s="441"/>
      <c r="V874" s="441"/>
      <c r="W874" s="441"/>
      <c r="X874" s="441"/>
      <c r="Y874" s="441"/>
      <c r="Z874" s="441"/>
    </row>
    <row r="875">
      <c r="A875" s="441"/>
      <c r="B875" s="441"/>
      <c r="C875" s="441"/>
      <c r="D875" s="441"/>
      <c r="E875" s="441"/>
      <c r="F875" s="441"/>
      <c r="G875" s="441"/>
      <c r="H875" s="441"/>
      <c r="I875" s="441"/>
      <c r="J875" s="441"/>
      <c r="K875" s="441"/>
      <c r="L875" s="441"/>
      <c r="M875" s="441"/>
      <c r="N875" s="441"/>
      <c r="O875" s="441"/>
      <c r="P875" s="441"/>
      <c r="Q875" s="441"/>
      <c r="R875" s="441"/>
      <c r="S875" s="441"/>
      <c r="T875" s="441"/>
      <c r="U875" s="441"/>
      <c r="V875" s="441"/>
      <c r="W875" s="441"/>
      <c r="X875" s="441"/>
      <c r="Y875" s="441"/>
      <c r="Z875" s="441"/>
    </row>
    <row r="876">
      <c r="A876" s="441"/>
      <c r="B876" s="441"/>
      <c r="C876" s="441"/>
      <c r="D876" s="441"/>
      <c r="E876" s="441"/>
      <c r="F876" s="441"/>
      <c r="G876" s="441"/>
      <c r="H876" s="441"/>
      <c r="I876" s="441"/>
      <c r="J876" s="441"/>
      <c r="K876" s="441"/>
      <c r="L876" s="441"/>
      <c r="M876" s="441"/>
      <c r="N876" s="441"/>
      <c r="O876" s="441"/>
      <c r="P876" s="441"/>
      <c r="Q876" s="441"/>
      <c r="R876" s="441"/>
      <c r="S876" s="441"/>
      <c r="T876" s="441"/>
      <c r="U876" s="441"/>
      <c r="V876" s="441"/>
      <c r="W876" s="441"/>
      <c r="X876" s="441"/>
      <c r="Y876" s="441"/>
      <c r="Z876" s="441"/>
    </row>
    <row r="877">
      <c r="A877" s="441"/>
      <c r="B877" s="441"/>
      <c r="C877" s="441"/>
      <c r="D877" s="441"/>
      <c r="E877" s="441"/>
      <c r="F877" s="441"/>
      <c r="G877" s="441"/>
      <c r="H877" s="441"/>
      <c r="I877" s="441"/>
      <c r="J877" s="441"/>
      <c r="K877" s="441"/>
      <c r="L877" s="441"/>
      <c r="M877" s="441"/>
      <c r="N877" s="441"/>
      <c r="O877" s="441"/>
      <c r="P877" s="441"/>
      <c r="Q877" s="441"/>
      <c r="R877" s="441"/>
      <c r="S877" s="441"/>
      <c r="T877" s="441"/>
      <c r="U877" s="441"/>
      <c r="V877" s="441"/>
      <c r="W877" s="441"/>
      <c r="X877" s="441"/>
      <c r="Y877" s="441"/>
      <c r="Z877" s="441"/>
    </row>
    <row r="878">
      <c r="A878" s="441"/>
      <c r="B878" s="441"/>
      <c r="C878" s="441"/>
      <c r="D878" s="441"/>
      <c r="E878" s="441"/>
      <c r="F878" s="441"/>
      <c r="G878" s="441"/>
      <c r="H878" s="441"/>
      <c r="I878" s="441"/>
      <c r="J878" s="441"/>
      <c r="K878" s="441"/>
      <c r="L878" s="441"/>
      <c r="M878" s="441"/>
      <c r="N878" s="441"/>
      <c r="O878" s="441"/>
      <c r="P878" s="441"/>
      <c r="Q878" s="441"/>
      <c r="R878" s="441"/>
      <c r="S878" s="441"/>
      <c r="T878" s="441"/>
      <c r="U878" s="441"/>
      <c r="V878" s="441"/>
      <c r="W878" s="441"/>
      <c r="X878" s="441"/>
      <c r="Y878" s="441"/>
      <c r="Z878" s="441"/>
    </row>
    <row r="879">
      <c r="A879" s="441"/>
      <c r="B879" s="441"/>
      <c r="C879" s="441"/>
      <c r="D879" s="441"/>
      <c r="E879" s="441"/>
      <c r="F879" s="441"/>
      <c r="G879" s="441"/>
      <c r="H879" s="441"/>
      <c r="I879" s="441"/>
      <c r="J879" s="441"/>
      <c r="K879" s="441"/>
      <c r="L879" s="441"/>
      <c r="M879" s="441"/>
      <c r="N879" s="441"/>
      <c r="O879" s="441"/>
      <c r="P879" s="441"/>
      <c r="Q879" s="441"/>
      <c r="R879" s="441"/>
      <c r="S879" s="441"/>
      <c r="T879" s="441"/>
      <c r="U879" s="441"/>
      <c r="V879" s="441"/>
      <c r="W879" s="441"/>
      <c r="X879" s="441"/>
      <c r="Y879" s="441"/>
      <c r="Z879" s="441"/>
    </row>
    <row r="880">
      <c r="A880" s="441"/>
      <c r="B880" s="441"/>
      <c r="C880" s="441"/>
      <c r="D880" s="441"/>
      <c r="E880" s="441"/>
      <c r="F880" s="441"/>
      <c r="G880" s="441"/>
      <c r="H880" s="441"/>
      <c r="I880" s="441"/>
      <c r="J880" s="441"/>
      <c r="K880" s="441"/>
      <c r="L880" s="441"/>
      <c r="M880" s="441"/>
      <c r="N880" s="441"/>
      <c r="O880" s="441"/>
      <c r="P880" s="441"/>
      <c r="Q880" s="441"/>
      <c r="R880" s="441"/>
      <c r="S880" s="441"/>
      <c r="T880" s="441"/>
      <c r="U880" s="441"/>
      <c r="V880" s="441"/>
      <c r="W880" s="441"/>
      <c r="X880" s="441"/>
      <c r="Y880" s="441"/>
      <c r="Z880" s="441"/>
    </row>
    <row r="881">
      <c r="A881" s="441"/>
      <c r="B881" s="441"/>
      <c r="C881" s="441"/>
      <c r="D881" s="441"/>
      <c r="E881" s="441"/>
      <c r="F881" s="441"/>
      <c r="G881" s="441"/>
      <c r="H881" s="441"/>
      <c r="I881" s="441"/>
      <c r="J881" s="441"/>
      <c r="K881" s="441"/>
      <c r="L881" s="441"/>
      <c r="M881" s="441"/>
      <c r="N881" s="441"/>
      <c r="O881" s="441"/>
      <c r="P881" s="441"/>
      <c r="Q881" s="441"/>
      <c r="R881" s="441"/>
      <c r="S881" s="441"/>
      <c r="T881" s="441"/>
      <c r="U881" s="441"/>
      <c r="V881" s="441"/>
      <c r="W881" s="441"/>
      <c r="X881" s="441"/>
      <c r="Y881" s="441"/>
      <c r="Z881" s="441"/>
    </row>
    <row r="882">
      <c r="A882" s="441"/>
      <c r="B882" s="441"/>
      <c r="C882" s="441"/>
      <c r="D882" s="441"/>
      <c r="E882" s="441"/>
      <c r="F882" s="441"/>
      <c r="G882" s="441"/>
      <c r="H882" s="441"/>
      <c r="I882" s="441"/>
      <c r="J882" s="441"/>
      <c r="K882" s="441"/>
      <c r="L882" s="441"/>
      <c r="M882" s="441"/>
      <c r="N882" s="441"/>
      <c r="O882" s="441"/>
      <c r="P882" s="441"/>
      <c r="Q882" s="441"/>
      <c r="R882" s="441"/>
      <c r="S882" s="441"/>
      <c r="T882" s="441"/>
      <c r="U882" s="441"/>
      <c r="V882" s="441"/>
      <c r="W882" s="441"/>
      <c r="X882" s="441"/>
      <c r="Y882" s="441"/>
      <c r="Z882" s="441"/>
    </row>
    <row r="883">
      <c r="A883" s="441"/>
      <c r="B883" s="441"/>
      <c r="C883" s="441"/>
      <c r="D883" s="441"/>
      <c r="E883" s="441"/>
      <c r="F883" s="441"/>
      <c r="G883" s="441"/>
      <c r="H883" s="441"/>
      <c r="I883" s="441"/>
      <c r="J883" s="441"/>
      <c r="K883" s="441"/>
      <c r="L883" s="441"/>
      <c r="M883" s="441"/>
      <c r="N883" s="441"/>
      <c r="O883" s="441"/>
      <c r="P883" s="441"/>
      <c r="Q883" s="441"/>
      <c r="R883" s="441"/>
      <c r="S883" s="441"/>
      <c r="T883" s="441"/>
      <c r="U883" s="441"/>
      <c r="V883" s="441"/>
      <c r="W883" s="441"/>
      <c r="X883" s="441"/>
      <c r="Y883" s="441"/>
      <c r="Z883" s="441"/>
    </row>
    <row r="884">
      <c r="A884" s="441"/>
      <c r="B884" s="441"/>
      <c r="C884" s="441"/>
      <c r="D884" s="441"/>
      <c r="E884" s="441"/>
      <c r="F884" s="441"/>
      <c r="G884" s="441"/>
      <c r="H884" s="441"/>
      <c r="I884" s="441"/>
      <c r="J884" s="441"/>
      <c r="K884" s="441"/>
      <c r="L884" s="441"/>
      <c r="M884" s="441"/>
      <c r="N884" s="441"/>
      <c r="O884" s="441"/>
      <c r="P884" s="441"/>
      <c r="Q884" s="441"/>
      <c r="R884" s="441"/>
      <c r="S884" s="441"/>
      <c r="T884" s="441"/>
      <c r="U884" s="441"/>
      <c r="V884" s="441"/>
      <c r="W884" s="441"/>
      <c r="X884" s="441"/>
      <c r="Y884" s="441"/>
      <c r="Z884" s="441"/>
    </row>
    <row r="885">
      <c r="A885" s="441"/>
      <c r="B885" s="441"/>
      <c r="C885" s="441"/>
      <c r="D885" s="441"/>
      <c r="E885" s="441"/>
      <c r="F885" s="441"/>
      <c r="G885" s="441"/>
      <c r="H885" s="441"/>
      <c r="I885" s="441"/>
      <c r="J885" s="441"/>
      <c r="K885" s="441"/>
      <c r="L885" s="441"/>
      <c r="M885" s="441"/>
      <c r="N885" s="441"/>
      <c r="O885" s="441"/>
      <c r="P885" s="441"/>
      <c r="Q885" s="441"/>
      <c r="R885" s="441"/>
      <c r="S885" s="441"/>
      <c r="T885" s="441"/>
      <c r="U885" s="441"/>
      <c r="V885" s="441"/>
      <c r="W885" s="441"/>
      <c r="X885" s="441"/>
      <c r="Y885" s="441"/>
      <c r="Z885" s="441"/>
    </row>
    <row r="886">
      <c r="A886" s="441"/>
      <c r="B886" s="441"/>
      <c r="C886" s="441"/>
      <c r="D886" s="441"/>
      <c r="E886" s="441"/>
      <c r="F886" s="441"/>
      <c r="G886" s="441"/>
      <c r="H886" s="441"/>
      <c r="I886" s="441"/>
      <c r="J886" s="441"/>
      <c r="K886" s="441"/>
      <c r="L886" s="441"/>
      <c r="M886" s="441"/>
      <c r="N886" s="441"/>
      <c r="O886" s="441"/>
      <c r="P886" s="441"/>
      <c r="Q886" s="441"/>
      <c r="R886" s="441"/>
      <c r="S886" s="441"/>
      <c r="T886" s="441"/>
      <c r="U886" s="441"/>
      <c r="V886" s="441"/>
      <c r="W886" s="441"/>
      <c r="X886" s="441"/>
      <c r="Y886" s="441"/>
      <c r="Z886" s="441"/>
    </row>
    <row r="887">
      <c r="A887" s="441"/>
      <c r="B887" s="441"/>
      <c r="C887" s="441"/>
      <c r="D887" s="441"/>
      <c r="E887" s="441"/>
      <c r="F887" s="441"/>
      <c r="G887" s="441"/>
      <c r="H887" s="441"/>
      <c r="I887" s="441"/>
      <c r="J887" s="441"/>
      <c r="K887" s="441"/>
      <c r="L887" s="441"/>
      <c r="M887" s="441"/>
      <c r="N887" s="441"/>
      <c r="O887" s="441"/>
      <c r="P887" s="441"/>
      <c r="Q887" s="441"/>
      <c r="R887" s="441"/>
      <c r="S887" s="441"/>
      <c r="T887" s="441"/>
      <c r="U887" s="441"/>
      <c r="V887" s="441"/>
      <c r="W887" s="441"/>
      <c r="X887" s="441"/>
      <c r="Y887" s="441"/>
      <c r="Z887" s="441"/>
    </row>
    <row r="888">
      <c r="A888" s="441"/>
      <c r="B888" s="441"/>
      <c r="C888" s="441"/>
      <c r="D888" s="441"/>
      <c r="E888" s="441"/>
      <c r="F888" s="441"/>
      <c r="G888" s="441"/>
      <c r="H888" s="441"/>
      <c r="I888" s="441"/>
      <c r="J888" s="441"/>
      <c r="K888" s="441"/>
      <c r="L888" s="441"/>
      <c r="M888" s="441"/>
      <c r="N888" s="441"/>
      <c r="O888" s="441"/>
      <c r="P888" s="441"/>
      <c r="Q888" s="441"/>
      <c r="R888" s="441"/>
      <c r="S888" s="441"/>
      <c r="T888" s="441"/>
      <c r="U888" s="441"/>
      <c r="V888" s="441"/>
      <c r="W888" s="441"/>
      <c r="X888" s="441"/>
      <c r="Y888" s="441"/>
      <c r="Z888" s="441"/>
    </row>
    <row r="889">
      <c r="A889" s="441"/>
      <c r="B889" s="441"/>
      <c r="C889" s="441"/>
      <c r="D889" s="441"/>
      <c r="E889" s="441"/>
      <c r="F889" s="441"/>
      <c r="G889" s="441"/>
      <c r="H889" s="441"/>
      <c r="I889" s="441"/>
      <c r="J889" s="441"/>
      <c r="K889" s="441"/>
      <c r="L889" s="441"/>
      <c r="M889" s="441"/>
      <c r="N889" s="441"/>
      <c r="O889" s="441"/>
      <c r="P889" s="441"/>
      <c r="Q889" s="441"/>
      <c r="R889" s="441"/>
      <c r="S889" s="441"/>
      <c r="T889" s="441"/>
      <c r="U889" s="441"/>
      <c r="V889" s="441"/>
      <c r="W889" s="441"/>
      <c r="X889" s="441"/>
      <c r="Y889" s="441"/>
      <c r="Z889" s="441"/>
    </row>
    <row r="890">
      <c r="A890" s="441"/>
      <c r="B890" s="441"/>
      <c r="C890" s="441"/>
      <c r="D890" s="441"/>
      <c r="E890" s="441"/>
      <c r="F890" s="441"/>
      <c r="G890" s="441"/>
      <c r="H890" s="441"/>
      <c r="I890" s="441"/>
      <c r="J890" s="441"/>
      <c r="K890" s="441"/>
      <c r="L890" s="441"/>
      <c r="M890" s="441"/>
      <c r="N890" s="441"/>
      <c r="O890" s="441"/>
      <c r="P890" s="441"/>
      <c r="Q890" s="441"/>
      <c r="R890" s="441"/>
      <c r="S890" s="441"/>
      <c r="T890" s="441"/>
      <c r="U890" s="441"/>
      <c r="V890" s="441"/>
      <c r="W890" s="441"/>
      <c r="X890" s="441"/>
      <c r="Y890" s="441"/>
      <c r="Z890" s="441"/>
    </row>
    <row r="891">
      <c r="A891" s="441"/>
      <c r="B891" s="441"/>
      <c r="C891" s="441"/>
      <c r="D891" s="441"/>
      <c r="E891" s="441"/>
      <c r="F891" s="441"/>
      <c r="G891" s="441"/>
      <c r="H891" s="441"/>
      <c r="I891" s="441"/>
      <c r="J891" s="441"/>
      <c r="K891" s="441"/>
      <c r="L891" s="441"/>
      <c r="M891" s="441"/>
      <c r="N891" s="441"/>
      <c r="O891" s="441"/>
      <c r="P891" s="441"/>
      <c r="Q891" s="441"/>
      <c r="R891" s="441"/>
      <c r="S891" s="441"/>
      <c r="T891" s="441"/>
      <c r="U891" s="441"/>
      <c r="V891" s="441"/>
      <c r="W891" s="441"/>
      <c r="X891" s="441"/>
      <c r="Y891" s="441"/>
      <c r="Z891" s="441"/>
    </row>
    <row r="892">
      <c r="A892" s="441"/>
      <c r="B892" s="441"/>
      <c r="C892" s="441"/>
      <c r="D892" s="441"/>
      <c r="E892" s="441"/>
      <c r="F892" s="441"/>
      <c r="G892" s="441"/>
      <c r="H892" s="441"/>
      <c r="I892" s="441"/>
      <c r="J892" s="441"/>
      <c r="K892" s="441"/>
      <c r="L892" s="441"/>
      <c r="M892" s="441"/>
      <c r="N892" s="441"/>
      <c r="O892" s="441"/>
      <c r="P892" s="441"/>
      <c r="Q892" s="441"/>
      <c r="R892" s="441"/>
      <c r="S892" s="441"/>
      <c r="T892" s="441"/>
      <c r="U892" s="441"/>
      <c r="V892" s="441"/>
      <c r="W892" s="441"/>
      <c r="X892" s="441"/>
      <c r="Y892" s="441"/>
      <c r="Z892" s="441"/>
    </row>
    <row r="893">
      <c r="A893" s="441"/>
      <c r="B893" s="441"/>
      <c r="C893" s="441"/>
      <c r="D893" s="441"/>
      <c r="E893" s="441"/>
      <c r="F893" s="441"/>
      <c r="G893" s="441"/>
      <c r="H893" s="441"/>
      <c r="I893" s="441"/>
      <c r="J893" s="441"/>
      <c r="K893" s="441"/>
      <c r="L893" s="441"/>
      <c r="M893" s="441"/>
      <c r="N893" s="441"/>
      <c r="O893" s="441"/>
      <c r="P893" s="441"/>
      <c r="Q893" s="441"/>
      <c r="R893" s="441"/>
      <c r="S893" s="441"/>
      <c r="T893" s="441"/>
      <c r="U893" s="441"/>
      <c r="V893" s="441"/>
      <c r="W893" s="441"/>
      <c r="X893" s="441"/>
      <c r="Y893" s="441"/>
      <c r="Z893" s="441"/>
    </row>
    <row r="894">
      <c r="A894" s="441"/>
      <c r="B894" s="441"/>
      <c r="C894" s="441"/>
      <c r="D894" s="441"/>
      <c r="E894" s="441"/>
      <c r="F894" s="441"/>
      <c r="G894" s="441"/>
      <c r="H894" s="441"/>
      <c r="I894" s="441"/>
      <c r="J894" s="441"/>
      <c r="K894" s="441"/>
      <c r="L894" s="441"/>
      <c r="M894" s="441"/>
      <c r="N894" s="441"/>
      <c r="O894" s="441"/>
      <c r="P894" s="441"/>
      <c r="Q894" s="441"/>
      <c r="R894" s="441"/>
      <c r="S894" s="441"/>
      <c r="T894" s="441"/>
      <c r="U894" s="441"/>
      <c r="V894" s="441"/>
      <c r="W894" s="441"/>
      <c r="X894" s="441"/>
      <c r="Y894" s="441"/>
      <c r="Z894" s="441"/>
    </row>
    <row r="895">
      <c r="A895" s="441"/>
      <c r="B895" s="441"/>
      <c r="C895" s="441"/>
      <c r="D895" s="441"/>
      <c r="E895" s="441"/>
      <c r="F895" s="441"/>
      <c r="G895" s="441"/>
      <c r="H895" s="441"/>
      <c r="I895" s="441"/>
      <c r="J895" s="441"/>
      <c r="K895" s="441"/>
      <c r="L895" s="441"/>
      <c r="M895" s="441"/>
      <c r="N895" s="441"/>
      <c r="O895" s="441"/>
      <c r="P895" s="441"/>
      <c r="Q895" s="441"/>
      <c r="R895" s="441"/>
      <c r="S895" s="441"/>
      <c r="T895" s="441"/>
      <c r="U895" s="441"/>
      <c r="V895" s="441"/>
      <c r="W895" s="441"/>
      <c r="X895" s="441"/>
      <c r="Y895" s="441"/>
      <c r="Z895" s="441"/>
    </row>
    <row r="896">
      <c r="A896" s="441"/>
      <c r="B896" s="441"/>
      <c r="C896" s="441"/>
      <c r="D896" s="441"/>
      <c r="E896" s="441"/>
      <c r="F896" s="441"/>
      <c r="G896" s="441"/>
      <c r="H896" s="441"/>
      <c r="I896" s="441"/>
      <c r="J896" s="441"/>
      <c r="K896" s="441"/>
      <c r="L896" s="441"/>
      <c r="M896" s="441"/>
      <c r="N896" s="441"/>
      <c r="O896" s="441"/>
      <c r="P896" s="441"/>
      <c r="Q896" s="441"/>
      <c r="R896" s="441"/>
      <c r="S896" s="441"/>
      <c r="T896" s="441"/>
      <c r="U896" s="441"/>
      <c r="V896" s="441"/>
      <c r="W896" s="441"/>
      <c r="X896" s="441"/>
      <c r="Y896" s="441"/>
      <c r="Z896" s="441"/>
    </row>
    <row r="897">
      <c r="A897" s="441"/>
      <c r="B897" s="441"/>
      <c r="C897" s="441"/>
      <c r="D897" s="441"/>
      <c r="E897" s="441"/>
      <c r="F897" s="441"/>
      <c r="G897" s="441"/>
      <c r="H897" s="441"/>
      <c r="I897" s="441"/>
      <c r="J897" s="441"/>
      <c r="K897" s="441"/>
      <c r="L897" s="441"/>
      <c r="M897" s="441"/>
      <c r="N897" s="441"/>
      <c r="O897" s="441"/>
      <c r="P897" s="441"/>
      <c r="Q897" s="441"/>
      <c r="R897" s="441"/>
      <c r="S897" s="441"/>
      <c r="T897" s="441"/>
      <c r="U897" s="441"/>
      <c r="V897" s="441"/>
      <c r="W897" s="441"/>
      <c r="X897" s="441"/>
      <c r="Y897" s="441"/>
      <c r="Z897" s="441"/>
    </row>
    <row r="898">
      <c r="A898" s="441"/>
      <c r="B898" s="441"/>
      <c r="C898" s="441"/>
      <c r="D898" s="441"/>
      <c r="E898" s="441"/>
      <c r="F898" s="441"/>
      <c r="G898" s="441"/>
      <c r="H898" s="441"/>
      <c r="I898" s="441"/>
      <c r="J898" s="441"/>
      <c r="K898" s="441"/>
      <c r="L898" s="441"/>
      <c r="M898" s="441"/>
      <c r="N898" s="441"/>
      <c r="O898" s="441"/>
      <c r="P898" s="441"/>
      <c r="Q898" s="441"/>
      <c r="R898" s="441"/>
      <c r="S898" s="441"/>
      <c r="T898" s="441"/>
      <c r="U898" s="441"/>
      <c r="V898" s="441"/>
      <c r="W898" s="441"/>
      <c r="X898" s="441"/>
      <c r="Y898" s="441"/>
      <c r="Z898" s="441"/>
    </row>
    <row r="899">
      <c r="A899" s="441"/>
      <c r="B899" s="441"/>
      <c r="C899" s="441"/>
      <c r="D899" s="441"/>
      <c r="E899" s="441"/>
      <c r="F899" s="441"/>
      <c r="G899" s="441"/>
      <c r="H899" s="441"/>
      <c r="I899" s="441"/>
      <c r="J899" s="441"/>
      <c r="K899" s="441"/>
      <c r="L899" s="441"/>
      <c r="M899" s="441"/>
      <c r="N899" s="441"/>
      <c r="O899" s="441"/>
      <c r="P899" s="441"/>
      <c r="Q899" s="441"/>
      <c r="R899" s="441"/>
      <c r="S899" s="441"/>
      <c r="T899" s="441"/>
      <c r="U899" s="441"/>
      <c r="V899" s="441"/>
      <c r="W899" s="441"/>
      <c r="X899" s="441"/>
      <c r="Y899" s="441"/>
      <c r="Z899" s="441"/>
    </row>
    <row r="900">
      <c r="A900" s="441"/>
      <c r="B900" s="441"/>
      <c r="C900" s="441"/>
      <c r="D900" s="441"/>
      <c r="E900" s="441"/>
      <c r="F900" s="441"/>
      <c r="G900" s="441"/>
      <c r="H900" s="441"/>
      <c r="I900" s="441"/>
      <c r="J900" s="441"/>
      <c r="K900" s="441"/>
      <c r="L900" s="441"/>
      <c r="M900" s="441"/>
      <c r="N900" s="441"/>
      <c r="O900" s="441"/>
      <c r="P900" s="441"/>
      <c r="Q900" s="441"/>
      <c r="R900" s="441"/>
      <c r="S900" s="441"/>
      <c r="T900" s="441"/>
      <c r="U900" s="441"/>
      <c r="V900" s="441"/>
      <c r="W900" s="441"/>
      <c r="X900" s="441"/>
      <c r="Y900" s="441"/>
      <c r="Z900" s="441"/>
    </row>
    <row r="901">
      <c r="A901" s="441"/>
      <c r="B901" s="441"/>
      <c r="C901" s="441"/>
      <c r="D901" s="441"/>
      <c r="E901" s="441"/>
      <c r="F901" s="441"/>
      <c r="G901" s="441"/>
      <c r="H901" s="441"/>
      <c r="I901" s="441"/>
      <c r="J901" s="441"/>
      <c r="K901" s="441"/>
      <c r="L901" s="441"/>
      <c r="M901" s="441"/>
      <c r="N901" s="441"/>
      <c r="O901" s="441"/>
      <c r="P901" s="441"/>
      <c r="Q901" s="441"/>
      <c r="R901" s="441"/>
      <c r="S901" s="441"/>
      <c r="T901" s="441"/>
      <c r="U901" s="441"/>
      <c r="V901" s="441"/>
      <c r="W901" s="441"/>
      <c r="X901" s="441"/>
      <c r="Y901" s="441"/>
      <c r="Z901" s="441"/>
    </row>
    <row r="902">
      <c r="A902" s="441"/>
      <c r="B902" s="441"/>
      <c r="C902" s="441"/>
      <c r="D902" s="441"/>
      <c r="E902" s="441"/>
      <c r="F902" s="441"/>
      <c r="G902" s="441"/>
      <c r="H902" s="441"/>
      <c r="I902" s="441"/>
      <c r="J902" s="441"/>
      <c r="K902" s="441"/>
      <c r="L902" s="441"/>
      <c r="M902" s="441"/>
      <c r="N902" s="441"/>
      <c r="O902" s="441"/>
      <c r="P902" s="441"/>
      <c r="Q902" s="441"/>
      <c r="R902" s="441"/>
      <c r="S902" s="441"/>
      <c r="T902" s="441"/>
      <c r="U902" s="441"/>
      <c r="V902" s="441"/>
      <c r="W902" s="441"/>
      <c r="X902" s="441"/>
      <c r="Y902" s="441"/>
      <c r="Z902" s="441"/>
    </row>
    <row r="903">
      <c r="A903" s="441"/>
      <c r="B903" s="441"/>
      <c r="C903" s="441"/>
      <c r="D903" s="441"/>
      <c r="E903" s="441"/>
      <c r="F903" s="441"/>
      <c r="G903" s="441"/>
      <c r="H903" s="441"/>
      <c r="I903" s="441"/>
      <c r="J903" s="441"/>
      <c r="K903" s="441"/>
      <c r="L903" s="441"/>
      <c r="M903" s="441"/>
      <c r="N903" s="441"/>
      <c r="O903" s="441"/>
      <c r="P903" s="441"/>
      <c r="Q903" s="441"/>
      <c r="R903" s="441"/>
      <c r="S903" s="441"/>
      <c r="T903" s="441"/>
      <c r="U903" s="441"/>
      <c r="V903" s="441"/>
      <c r="W903" s="441"/>
      <c r="X903" s="441"/>
      <c r="Y903" s="441"/>
      <c r="Z903" s="441"/>
    </row>
    <row r="904">
      <c r="A904" s="441"/>
      <c r="B904" s="441"/>
      <c r="C904" s="441"/>
      <c r="D904" s="441"/>
      <c r="E904" s="441"/>
      <c r="F904" s="441"/>
      <c r="G904" s="441"/>
      <c r="H904" s="441"/>
      <c r="I904" s="441"/>
      <c r="J904" s="441"/>
      <c r="K904" s="441"/>
      <c r="L904" s="441"/>
      <c r="M904" s="441"/>
      <c r="N904" s="441"/>
      <c r="O904" s="441"/>
      <c r="P904" s="441"/>
      <c r="Q904" s="441"/>
      <c r="R904" s="441"/>
      <c r="S904" s="441"/>
      <c r="T904" s="441"/>
      <c r="U904" s="441"/>
      <c r="V904" s="441"/>
      <c r="W904" s="441"/>
      <c r="X904" s="441"/>
      <c r="Y904" s="441"/>
      <c r="Z904" s="441"/>
    </row>
    <row r="905">
      <c r="A905" s="441"/>
      <c r="B905" s="441"/>
      <c r="C905" s="441"/>
      <c r="D905" s="441"/>
      <c r="E905" s="441"/>
      <c r="F905" s="441"/>
      <c r="G905" s="441"/>
      <c r="H905" s="441"/>
      <c r="I905" s="441"/>
      <c r="J905" s="441"/>
      <c r="K905" s="441"/>
      <c r="L905" s="441"/>
      <c r="M905" s="441"/>
      <c r="N905" s="441"/>
      <c r="O905" s="441"/>
      <c r="P905" s="441"/>
      <c r="Q905" s="441"/>
      <c r="R905" s="441"/>
      <c r="S905" s="441"/>
      <c r="T905" s="441"/>
      <c r="U905" s="441"/>
      <c r="V905" s="441"/>
      <c r="W905" s="441"/>
      <c r="X905" s="441"/>
      <c r="Y905" s="441"/>
      <c r="Z905" s="441"/>
    </row>
    <row r="906">
      <c r="A906" s="441"/>
      <c r="B906" s="441"/>
      <c r="C906" s="441"/>
      <c r="D906" s="441"/>
      <c r="E906" s="441"/>
      <c r="F906" s="441"/>
      <c r="G906" s="441"/>
      <c r="H906" s="441"/>
      <c r="I906" s="441"/>
      <c r="J906" s="441"/>
      <c r="K906" s="441"/>
      <c r="L906" s="441"/>
      <c r="M906" s="441"/>
      <c r="N906" s="441"/>
      <c r="O906" s="441"/>
      <c r="P906" s="441"/>
      <c r="Q906" s="441"/>
      <c r="R906" s="441"/>
      <c r="S906" s="441"/>
      <c r="T906" s="441"/>
      <c r="U906" s="441"/>
      <c r="V906" s="441"/>
      <c r="W906" s="441"/>
      <c r="X906" s="441"/>
      <c r="Y906" s="441"/>
      <c r="Z906" s="441"/>
    </row>
    <row r="907">
      <c r="A907" s="441"/>
      <c r="B907" s="441"/>
      <c r="C907" s="441"/>
      <c r="D907" s="441"/>
      <c r="E907" s="441"/>
      <c r="F907" s="441"/>
      <c r="G907" s="441"/>
      <c r="H907" s="441"/>
      <c r="I907" s="441"/>
      <c r="J907" s="441"/>
      <c r="K907" s="441"/>
      <c r="L907" s="441"/>
      <c r="M907" s="441"/>
      <c r="N907" s="441"/>
      <c r="O907" s="441"/>
      <c r="P907" s="441"/>
      <c r="Q907" s="441"/>
      <c r="R907" s="441"/>
      <c r="S907" s="441"/>
      <c r="T907" s="441"/>
      <c r="U907" s="441"/>
      <c r="V907" s="441"/>
      <c r="W907" s="441"/>
      <c r="X907" s="441"/>
      <c r="Y907" s="441"/>
      <c r="Z907" s="441"/>
    </row>
    <row r="908">
      <c r="A908" s="441"/>
      <c r="B908" s="441"/>
      <c r="C908" s="441"/>
      <c r="D908" s="441"/>
      <c r="E908" s="441"/>
      <c r="F908" s="441"/>
      <c r="G908" s="441"/>
      <c r="H908" s="441"/>
      <c r="I908" s="441"/>
      <c r="J908" s="441"/>
      <c r="K908" s="441"/>
      <c r="L908" s="441"/>
      <c r="M908" s="441"/>
      <c r="N908" s="441"/>
      <c r="O908" s="441"/>
      <c r="P908" s="441"/>
      <c r="Q908" s="441"/>
      <c r="R908" s="441"/>
      <c r="S908" s="441"/>
      <c r="T908" s="441"/>
      <c r="U908" s="441"/>
      <c r="V908" s="441"/>
      <c r="W908" s="441"/>
      <c r="X908" s="441"/>
      <c r="Y908" s="441"/>
      <c r="Z908" s="441"/>
    </row>
    <row r="909">
      <c r="A909" s="441"/>
      <c r="B909" s="441"/>
      <c r="C909" s="441"/>
      <c r="D909" s="441"/>
      <c r="E909" s="441"/>
      <c r="F909" s="441"/>
      <c r="G909" s="441"/>
      <c r="H909" s="441"/>
      <c r="I909" s="441"/>
      <c r="J909" s="441"/>
      <c r="K909" s="441"/>
      <c r="L909" s="441"/>
      <c r="M909" s="441"/>
      <c r="N909" s="441"/>
      <c r="O909" s="441"/>
      <c r="P909" s="441"/>
      <c r="Q909" s="441"/>
      <c r="R909" s="441"/>
      <c r="S909" s="441"/>
      <c r="T909" s="441"/>
      <c r="U909" s="441"/>
      <c r="V909" s="441"/>
      <c r="W909" s="441"/>
      <c r="X909" s="441"/>
      <c r="Y909" s="441"/>
      <c r="Z909" s="441"/>
    </row>
    <row r="910">
      <c r="A910" s="441"/>
      <c r="B910" s="441"/>
      <c r="C910" s="441"/>
      <c r="D910" s="441"/>
      <c r="E910" s="441"/>
      <c r="F910" s="441"/>
      <c r="G910" s="441"/>
      <c r="H910" s="441"/>
      <c r="I910" s="441"/>
      <c r="J910" s="441"/>
      <c r="K910" s="441"/>
      <c r="L910" s="441"/>
      <c r="M910" s="441"/>
      <c r="N910" s="441"/>
      <c r="O910" s="441"/>
      <c r="P910" s="441"/>
      <c r="Q910" s="441"/>
      <c r="R910" s="441"/>
      <c r="S910" s="441"/>
      <c r="T910" s="441"/>
      <c r="U910" s="441"/>
      <c r="V910" s="441"/>
      <c r="W910" s="441"/>
      <c r="X910" s="441"/>
      <c r="Y910" s="441"/>
      <c r="Z910" s="441"/>
    </row>
    <row r="911">
      <c r="A911" s="441"/>
      <c r="B911" s="441"/>
      <c r="C911" s="441"/>
      <c r="D911" s="441"/>
      <c r="E911" s="441"/>
      <c r="F911" s="441"/>
      <c r="G911" s="441"/>
      <c r="H911" s="441"/>
      <c r="I911" s="441"/>
      <c r="J911" s="441"/>
      <c r="K911" s="441"/>
      <c r="L911" s="441"/>
      <c r="M911" s="441"/>
      <c r="N911" s="441"/>
      <c r="O911" s="441"/>
      <c r="P911" s="441"/>
      <c r="Q911" s="441"/>
      <c r="R911" s="441"/>
      <c r="S911" s="441"/>
      <c r="T911" s="441"/>
      <c r="U911" s="441"/>
      <c r="V911" s="441"/>
      <c r="W911" s="441"/>
      <c r="X911" s="441"/>
      <c r="Y911" s="441"/>
      <c r="Z911" s="441"/>
    </row>
    <row r="912">
      <c r="A912" s="441"/>
      <c r="B912" s="441"/>
      <c r="C912" s="441"/>
      <c r="D912" s="441"/>
      <c r="E912" s="441"/>
      <c r="F912" s="441"/>
      <c r="G912" s="441"/>
      <c r="H912" s="441"/>
      <c r="I912" s="441"/>
      <c r="J912" s="441"/>
      <c r="K912" s="441"/>
      <c r="L912" s="441"/>
      <c r="M912" s="441"/>
      <c r="N912" s="441"/>
      <c r="O912" s="441"/>
      <c r="P912" s="441"/>
      <c r="Q912" s="441"/>
      <c r="R912" s="441"/>
      <c r="S912" s="441"/>
      <c r="T912" s="441"/>
      <c r="U912" s="441"/>
      <c r="V912" s="441"/>
      <c r="W912" s="441"/>
      <c r="X912" s="441"/>
      <c r="Y912" s="441"/>
      <c r="Z912" s="441"/>
    </row>
    <row r="913">
      <c r="A913" s="441"/>
      <c r="B913" s="441"/>
      <c r="C913" s="441"/>
      <c r="D913" s="441"/>
      <c r="E913" s="441"/>
      <c r="F913" s="441"/>
      <c r="G913" s="441"/>
      <c r="H913" s="441"/>
      <c r="I913" s="441"/>
      <c r="J913" s="441"/>
      <c r="K913" s="441"/>
      <c r="L913" s="441"/>
      <c r="M913" s="441"/>
      <c r="N913" s="441"/>
      <c r="O913" s="441"/>
      <c r="P913" s="441"/>
      <c r="Q913" s="441"/>
      <c r="R913" s="441"/>
      <c r="S913" s="441"/>
      <c r="T913" s="441"/>
      <c r="U913" s="441"/>
      <c r="V913" s="441"/>
      <c r="W913" s="441"/>
      <c r="X913" s="441"/>
      <c r="Y913" s="441"/>
      <c r="Z913" s="441"/>
    </row>
    <row r="914">
      <c r="A914" s="441"/>
      <c r="B914" s="441"/>
      <c r="C914" s="441"/>
      <c r="D914" s="441"/>
      <c r="E914" s="441"/>
      <c r="F914" s="441"/>
      <c r="G914" s="441"/>
      <c r="H914" s="441"/>
      <c r="I914" s="441"/>
      <c r="J914" s="441"/>
      <c r="K914" s="441"/>
      <c r="L914" s="441"/>
      <c r="M914" s="441"/>
      <c r="N914" s="441"/>
      <c r="O914" s="441"/>
      <c r="P914" s="441"/>
      <c r="Q914" s="441"/>
      <c r="R914" s="441"/>
      <c r="S914" s="441"/>
      <c r="T914" s="441"/>
      <c r="U914" s="441"/>
      <c r="V914" s="441"/>
      <c r="W914" s="441"/>
      <c r="X914" s="441"/>
      <c r="Y914" s="441"/>
      <c r="Z914" s="441"/>
    </row>
    <row r="915">
      <c r="A915" s="441"/>
      <c r="B915" s="441"/>
      <c r="C915" s="441"/>
      <c r="D915" s="441"/>
      <c r="E915" s="441"/>
      <c r="F915" s="441"/>
      <c r="G915" s="441"/>
      <c r="H915" s="441"/>
      <c r="I915" s="441"/>
      <c r="J915" s="441"/>
      <c r="K915" s="441"/>
      <c r="L915" s="441"/>
      <c r="M915" s="441"/>
      <c r="N915" s="441"/>
      <c r="O915" s="441"/>
      <c r="P915" s="441"/>
      <c r="Q915" s="441"/>
      <c r="R915" s="441"/>
      <c r="S915" s="441"/>
      <c r="T915" s="441"/>
      <c r="U915" s="441"/>
      <c r="V915" s="441"/>
      <c r="W915" s="441"/>
      <c r="X915" s="441"/>
      <c r="Y915" s="441"/>
      <c r="Z915" s="441"/>
    </row>
    <row r="916">
      <c r="A916" s="441"/>
      <c r="B916" s="441"/>
      <c r="C916" s="441"/>
      <c r="D916" s="441"/>
      <c r="E916" s="441"/>
      <c r="F916" s="441"/>
      <c r="G916" s="441"/>
      <c r="H916" s="441"/>
      <c r="I916" s="441"/>
      <c r="J916" s="441"/>
      <c r="K916" s="441"/>
      <c r="L916" s="441"/>
      <c r="M916" s="441"/>
      <c r="N916" s="441"/>
      <c r="O916" s="441"/>
      <c r="P916" s="441"/>
      <c r="Q916" s="441"/>
      <c r="R916" s="441"/>
      <c r="S916" s="441"/>
      <c r="T916" s="441"/>
      <c r="U916" s="441"/>
      <c r="V916" s="441"/>
      <c r="W916" s="441"/>
      <c r="X916" s="441"/>
      <c r="Y916" s="441"/>
      <c r="Z916" s="441"/>
    </row>
    <row r="917">
      <c r="A917" s="441"/>
      <c r="B917" s="441"/>
      <c r="C917" s="441"/>
      <c r="D917" s="441"/>
      <c r="E917" s="441"/>
      <c r="F917" s="441"/>
      <c r="G917" s="441"/>
      <c r="H917" s="441"/>
      <c r="I917" s="441"/>
      <c r="J917" s="441"/>
      <c r="K917" s="441"/>
      <c r="L917" s="441"/>
      <c r="M917" s="441"/>
      <c r="N917" s="441"/>
      <c r="O917" s="441"/>
      <c r="P917" s="441"/>
      <c r="Q917" s="441"/>
      <c r="R917" s="441"/>
      <c r="S917" s="441"/>
      <c r="T917" s="441"/>
      <c r="U917" s="441"/>
      <c r="V917" s="441"/>
      <c r="W917" s="441"/>
      <c r="X917" s="441"/>
      <c r="Y917" s="441"/>
      <c r="Z917" s="441"/>
    </row>
    <row r="918">
      <c r="A918" s="441"/>
      <c r="B918" s="441"/>
      <c r="C918" s="441"/>
      <c r="D918" s="441"/>
      <c r="E918" s="441"/>
      <c r="F918" s="441"/>
      <c r="G918" s="441"/>
      <c r="H918" s="441"/>
      <c r="I918" s="441"/>
      <c r="J918" s="441"/>
      <c r="K918" s="441"/>
      <c r="L918" s="441"/>
      <c r="M918" s="441"/>
      <c r="N918" s="441"/>
      <c r="O918" s="441"/>
      <c r="P918" s="441"/>
      <c r="Q918" s="441"/>
      <c r="R918" s="441"/>
      <c r="S918" s="441"/>
      <c r="T918" s="441"/>
      <c r="U918" s="441"/>
      <c r="V918" s="441"/>
      <c r="W918" s="441"/>
      <c r="X918" s="441"/>
      <c r="Y918" s="441"/>
      <c r="Z918" s="441"/>
    </row>
    <row r="919">
      <c r="A919" s="441"/>
      <c r="B919" s="441"/>
      <c r="C919" s="441"/>
      <c r="D919" s="441"/>
      <c r="E919" s="441"/>
      <c r="F919" s="441"/>
      <c r="G919" s="441"/>
      <c r="H919" s="441"/>
      <c r="I919" s="441"/>
      <c r="J919" s="441"/>
      <c r="K919" s="441"/>
      <c r="L919" s="441"/>
      <c r="M919" s="441"/>
      <c r="N919" s="441"/>
      <c r="O919" s="441"/>
      <c r="P919" s="441"/>
      <c r="Q919" s="441"/>
      <c r="R919" s="441"/>
      <c r="S919" s="441"/>
      <c r="T919" s="441"/>
      <c r="U919" s="441"/>
      <c r="V919" s="441"/>
      <c r="W919" s="441"/>
      <c r="X919" s="441"/>
      <c r="Y919" s="441"/>
      <c r="Z919" s="441"/>
    </row>
    <row r="920">
      <c r="A920" s="441"/>
      <c r="B920" s="441"/>
      <c r="C920" s="441"/>
      <c r="D920" s="441"/>
      <c r="E920" s="441"/>
      <c r="F920" s="441"/>
      <c r="G920" s="441"/>
      <c r="H920" s="441"/>
      <c r="I920" s="441"/>
      <c r="J920" s="441"/>
      <c r="K920" s="441"/>
      <c r="L920" s="441"/>
      <c r="M920" s="441"/>
      <c r="N920" s="441"/>
      <c r="O920" s="441"/>
      <c r="P920" s="441"/>
      <c r="Q920" s="441"/>
      <c r="R920" s="441"/>
      <c r="S920" s="441"/>
      <c r="T920" s="441"/>
      <c r="U920" s="441"/>
      <c r="V920" s="441"/>
      <c r="W920" s="441"/>
      <c r="X920" s="441"/>
      <c r="Y920" s="441"/>
      <c r="Z920" s="441"/>
    </row>
    <row r="921">
      <c r="A921" s="441"/>
      <c r="B921" s="441"/>
      <c r="C921" s="441"/>
      <c r="D921" s="441"/>
      <c r="E921" s="441"/>
      <c r="F921" s="441"/>
      <c r="G921" s="441"/>
      <c r="H921" s="441"/>
      <c r="I921" s="441"/>
      <c r="J921" s="441"/>
      <c r="K921" s="441"/>
      <c r="L921" s="441"/>
      <c r="M921" s="441"/>
      <c r="N921" s="441"/>
      <c r="O921" s="441"/>
      <c r="P921" s="441"/>
      <c r="Q921" s="441"/>
      <c r="R921" s="441"/>
      <c r="S921" s="441"/>
      <c r="T921" s="441"/>
      <c r="U921" s="441"/>
      <c r="V921" s="441"/>
      <c r="W921" s="441"/>
      <c r="X921" s="441"/>
      <c r="Y921" s="441"/>
      <c r="Z921" s="441"/>
    </row>
    <row r="922">
      <c r="A922" s="441"/>
      <c r="B922" s="441"/>
      <c r="C922" s="441"/>
      <c r="D922" s="441"/>
      <c r="E922" s="441"/>
      <c r="F922" s="441"/>
      <c r="G922" s="441"/>
      <c r="H922" s="441"/>
      <c r="I922" s="441"/>
      <c r="J922" s="441"/>
      <c r="K922" s="441"/>
      <c r="L922" s="441"/>
      <c r="M922" s="441"/>
      <c r="N922" s="441"/>
      <c r="O922" s="441"/>
      <c r="P922" s="441"/>
      <c r="Q922" s="441"/>
      <c r="R922" s="441"/>
      <c r="S922" s="441"/>
      <c r="T922" s="441"/>
      <c r="U922" s="441"/>
      <c r="V922" s="441"/>
      <c r="W922" s="441"/>
      <c r="X922" s="441"/>
      <c r="Y922" s="441"/>
      <c r="Z922" s="441"/>
    </row>
    <row r="923">
      <c r="A923" s="441"/>
      <c r="B923" s="441"/>
      <c r="C923" s="441"/>
      <c r="D923" s="441"/>
      <c r="E923" s="441"/>
      <c r="F923" s="441"/>
      <c r="G923" s="441"/>
      <c r="H923" s="441"/>
      <c r="I923" s="441"/>
      <c r="J923" s="441"/>
      <c r="K923" s="441"/>
      <c r="L923" s="441"/>
      <c r="M923" s="441"/>
      <c r="N923" s="441"/>
      <c r="O923" s="441"/>
      <c r="P923" s="441"/>
      <c r="Q923" s="441"/>
      <c r="R923" s="441"/>
      <c r="S923" s="441"/>
      <c r="T923" s="441"/>
      <c r="U923" s="441"/>
      <c r="V923" s="441"/>
      <c r="W923" s="441"/>
      <c r="X923" s="441"/>
      <c r="Y923" s="441"/>
      <c r="Z923" s="441"/>
    </row>
    <row r="924">
      <c r="A924" s="441"/>
      <c r="B924" s="441"/>
      <c r="C924" s="441"/>
      <c r="D924" s="441"/>
      <c r="E924" s="441"/>
      <c r="F924" s="441"/>
      <c r="G924" s="441"/>
      <c r="H924" s="441"/>
      <c r="I924" s="441"/>
      <c r="J924" s="441"/>
      <c r="K924" s="441"/>
      <c r="L924" s="441"/>
      <c r="M924" s="441"/>
      <c r="N924" s="441"/>
      <c r="O924" s="441"/>
      <c r="P924" s="441"/>
      <c r="Q924" s="441"/>
      <c r="R924" s="441"/>
      <c r="S924" s="441"/>
      <c r="T924" s="441"/>
      <c r="U924" s="441"/>
      <c r="V924" s="441"/>
      <c r="W924" s="441"/>
      <c r="X924" s="441"/>
      <c r="Y924" s="441"/>
      <c r="Z924" s="441"/>
    </row>
    <row r="925">
      <c r="A925" s="441"/>
      <c r="B925" s="441"/>
      <c r="C925" s="441"/>
      <c r="D925" s="441"/>
      <c r="E925" s="441"/>
      <c r="F925" s="441"/>
      <c r="G925" s="441"/>
      <c r="H925" s="441"/>
      <c r="I925" s="441"/>
      <c r="J925" s="441"/>
      <c r="K925" s="441"/>
      <c r="L925" s="441"/>
      <c r="M925" s="441"/>
      <c r="N925" s="441"/>
      <c r="O925" s="441"/>
      <c r="P925" s="441"/>
      <c r="Q925" s="441"/>
      <c r="R925" s="441"/>
      <c r="S925" s="441"/>
      <c r="T925" s="441"/>
      <c r="U925" s="441"/>
      <c r="V925" s="441"/>
      <c r="W925" s="441"/>
      <c r="X925" s="441"/>
      <c r="Y925" s="441"/>
      <c r="Z925" s="441"/>
    </row>
    <row r="926">
      <c r="A926" s="441"/>
      <c r="B926" s="441"/>
      <c r="C926" s="441"/>
      <c r="D926" s="441"/>
      <c r="E926" s="441"/>
      <c r="F926" s="441"/>
      <c r="G926" s="441"/>
      <c r="H926" s="441"/>
      <c r="I926" s="441"/>
      <c r="J926" s="441"/>
      <c r="K926" s="441"/>
      <c r="L926" s="441"/>
      <c r="M926" s="441"/>
      <c r="N926" s="441"/>
      <c r="O926" s="441"/>
      <c r="P926" s="441"/>
      <c r="Q926" s="441"/>
      <c r="R926" s="441"/>
      <c r="S926" s="441"/>
      <c r="T926" s="441"/>
      <c r="U926" s="441"/>
      <c r="V926" s="441"/>
      <c r="W926" s="441"/>
      <c r="X926" s="441"/>
      <c r="Y926" s="441"/>
      <c r="Z926" s="441"/>
    </row>
    <row r="927">
      <c r="A927" s="441"/>
      <c r="B927" s="441"/>
      <c r="C927" s="441"/>
      <c r="D927" s="441"/>
      <c r="E927" s="441"/>
      <c r="F927" s="441"/>
      <c r="G927" s="441"/>
      <c r="H927" s="441"/>
      <c r="I927" s="441"/>
      <c r="J927" s="441"/>
      <c r="K927" s="441"/>
      <c r="L927" s="441"/>
      <c r="M927" s="441"/>
      <c r="N927" s="441"/>
      <c r="O927" s="441"/>
      <c r="P927" s="441"/>
      <c r="Q927" s="441"/>
      <c r="R927" s="441"/>
      <c r="S927" s="441"/>
      <c r="T927" s="441"/>
      <c r="U927" s="441"/>
      <c r="V927" s="441"/>
      <c r="W927" s="441"/>
      <c r="X927" s="441"/>
      <c r="Y927" s="441"/>
      <c r="Z927" s="441"/>
    </row>
    <row r="928">
      <c r="A928" s="441"/>
      <c r="B928" s="441"/>
      <c r="C928" s="441"/>
      <c r="D928" s="441"/>
      <c r="E928" s="441"/>
      <c r="F928" s="441"/>
      <c r="G928" s="441"/>
      <c r="H928" s="441"/>
      <c r="I928" s="441"/>
      <c r="J928" s="441"/>
      <c r="K928" s="441"/>
      <c r="L928" s="441"/>
      <c r="M928" s="441"/>
      <c r="N928" s="441"/>
      <c r="O928" s="441"/>
      <c r="P928" s="441"/>
      <c r="Q928" s="441"/>
      <c r="R928" s="441"/>
      <c r="S928" s="441"/>
      <c r="T928" s="441"/>
      <c r="U928" s="441"/>
      <c r="V928" s="441"/>
      <c r="W928" s="441"/>
      <c r="X928" s="441"/>
      <c r="Y928" s="441"/>
      <c r="Z928" s="441"/>
    </row>
    <row r="929">
      <c r="A929" s="441"/>
      <c r="B929" s="441"/>
      <c r="C929" s="441"/>
      <c r="D929" s="441"/>
      <c r="E929" s="441"/>
      <c r="F929" s="441"/>
      <c r="G929" s="441"/>
      <c r="H929" s="441"/>
      <c r="I929" s="441"/>
      <c r="J929" s="441"/>
      <c r="K929" s="441"/>
      <c r="L929" s="441"/>
      <c r="M929" s="441"/>
      <c r="N929" s="441"/>
      <c r="O929" s="441"/>
      <c r="P929" s="441"/>
      <c r="Q929" s="441"/>
      <c r="R929" s="441"/>
      <c r="S929" s="441"/>
      <c r="T929" s="441"/>
      <c r="U929" s="441"/>
      <c r="V929" s="441"/>
      <c r="W929" s="441"/>
      <c r="X929" s="441"/>
      <c r="Y929" s="441"/>
      <c r="Z929" s="441"/>
    </row>
    <row r="930">
      <c r="A930" s="441"/>
      <c r="B930" s="441"/>
      <c r="C930" s="441"/>
      <c r="D930" s="441"/>
      <c r="E930" s="441"/>
      <c r="F930" s="441"/>
      <c r="G930" s="441"/>
      <c r="H930" s="441"/>
      <c r="I930" s="441"/>
      <c r="J930" s="441"/>
      <c r="K930" s="441"/>
      <c r="L930" s="441"/>
      <c r="M930" s="441"/>
      <c r="N930" s="441"/>
      <c r="O930" s="441"/>
      <c r="P930" s="441"/>
      <c r="Q930" s="441"/>
      <c r="R930" s="441"/>
      <c r="S930" s="441"/>
      <c r="T930" s="441"/>
      <c r="U930" s="441"/>
      <c r="V930" s="441"/>
      <c r="W930" s="441"/>
      <c r="X930" s="441"/>
      <c r="Y930" s="441"/>
      <c r="Z930" s="441"/>
    </row>
    <row r="931">
      <c r="A931" s="441"/>
      <c r="B931" s="441"/>
      <c r="C931" s="441"/>
      <c r="D931" s="441"/>
      <c r="E931" s="441"/>
      <c r="F931" s="441"/>
      <c r="G931" s="441"/>
      <c r="H931" s="441"/>
      <c r="I931" s="441"/>
      <c r="J931" s="441"/>
      <c r="K931" s="441"/>
      <c r="L931" s="441"/>
      <c r="M931" s="441"/>
      <c r="N931" s="441"/>
      <c r="O931" s="441"/>
      <c r="P931" s="441"/>
      <c r="Q931" s="441"/>
      <c r="R931" s="441"/>
      <c r="S931" s="441"/>
      <c r="T931" s="441"/>
      <c r="U931" s="441"/>
      <c r="V931" s="441"/>
      <c r="W931" s="441"/>
      <c r="X931" s="441"/>
      <c r="Y931" s="441"/>
      <c r="Z931" s="441"/>
    </row>
    <row r="932">
      <c r="A932" s="441"/>
      <c r="B932" s="441"/>
      <c r="C932" s="441"/>
      <c r="D932" s="441"/>
      <c r="E932" s="441"/>
      <c r="F932" s="441"/>
      <c r="G932" s="441"/>
      <c r="H932" s="441"/>
      <c r="I932" s="441"/>
      <c r="J932" s="441"/>
      <c r="K932" s="441"/>
      <c r="L932" s="441"/>
      <c r="M932" s="441"/>
      <c r="N932" s="441"/>
      <c r="O932" s="441"/>
      <c r="P932" s="441"/>
      <c r="Q932" s="441"/>
      <c r="R932" s="441"/>
      <c r="S932" s="441"/>
      <c r="T932" s="441"/>
      <c r="U932" s="441"/>
      <c r="V932" s="441"/>
      <c r="W932" s="441"/>
      <c r="X932" s="441"/>
      <c r="Y932" s="441"/>
      <c r="Z932" s="441"/>
    </row>
    <row r="933">
      <c r="A933" s="441"/>
      <c r="B933" s="441"/>
      <c r="C933" s="441"/>
      <c r="D933" s="441"/>
      <c r="E933" s="441"/>
      <c r="F933" s="441"/>
      <c r="G933" s="441"/>
      <c r="H933" s="441"/>
      <c r="I933" s="441"/>
      <c r="J933" s="441"/>
      <c r="K933" s="441"/>
      <c r="L933" s="441"/>
      <c r="M933" s="441"/>
      <c r="N933" s="441"/>
      <c r="O933" s="441"/>
      <c r="P933" s="441"/>
      <c r="Q933" s="441"/>
      <c r="R933" s="441"/>
      <c r="S933" s="441"/>
      <c r="T933" s="441"/>
      <c r="U933" s="441"/>
      <c r="V933" s="441"/>
      <c r="W933" s="441"/>
      <c r="X933" s="441"/>
      <c r="Y933" s="441"/>
      <c r="Z933" s="441"/>
    </row>
    <row r="934">
      <c r="A934" s="441"/>
      <c r="B934" s="441"/>
      <c r="C934" s="441"/>
      <c r="D934" s="441"/>
      <c r="E934" s="441"/>
      <c r="F934" s="441"/>
      <c r="G934" s="441"/>
      <c r="H934" s="441"/>
      <c r="I934" s="441"/>
      <c r="J934" s="441"/>
      <c r="K934" s="441"/>
      <c r="L934" s="441"/>
      <c r="M934" s="441"/>
      <c r="N934" s="441"/>
      <c r="O934" s="441"/>
      <c r="P934" s="441"/>
      <c r="Q934" s="441"/>
      <c r="R934" s="441"/>
      <c r="S934" s="441"/>
      <c r="T934" s="441"/>
      <c r="U934" s="441"/>
      <c r="V934" s="441"/>
      <c r="W934" s="441"/>
      <c r="X934" s="441"/>
      <c r="Y934" s="441"/>
      <c r="Z934" s="441"/>
    </row>
    <row r="935">
      <c r="A935" s="441"/>
      <c r="B935" s="441"/>
      <c r="C935" s="441"/>
      <c r="D935" s="441"/>
      <c r="E935" s="441"/>
      <c r="F935" s="441"/>
      <c r="G935" s="441"/>
      <c r="H935" s="441"/>
      <c r="I935" s="441"/>
      <c r="J935" s="441"/>
      <c r="K935" s="441"/>
      <c r="L935" s="441"/>
      <c r="M935" s="441"/>
      <c r="N935" s="441"/>
      <c r="O935" s="441"/>
      <c r="P935" s="441"/>
      <c r="Q935" s="441"/>
      <c r="R935" s="441"/>
      <c r="S935" s="441"/>
      <c r="T935" s="441"/>
      <c r="U935" s="441"/>
      <c r="V935" s="441"/>
      <c r="W935" s="441"/>
      <c r="X935" s="441"/>
      <c r="Y935" s="441"/>
      <c r="Z935" s="441"/>
    </row>
    <row r="936">
      <c r="A936" s="441"/>
      <c r="B936" s="441"/>
      <c r="C936" s="441"/>
      <c r="D936" s="441"/>
      <c r="E936" s="441"/>
      <c r="F936" s="441"/>
      <c r="G936" s="441"/>
      <c r="H936" s="441"/>
      <c r="I936" s="441"/>
      <c r="J936" s="441"/>
      <c r="K936" s="441"/>
      <c r="L936" s="441"/>
      <c r="M936" s="441"/>
      <c r="N936" s="441"/>
      <c r="O936" s="441"/>
      <c r="P936" s="441"/>
      <c r="Q936" s="441"/>
      <c r="R936" s="441"/>
      <c r="S936" s="441"/>
      <c r="T936" s="441"/>
      <c r="U936" s="441"/>
      <c r="V936" s="441"/>
      <c r="W936" s="441"/>
      <c r="X936" s="441"/>
      <c r="Y936" s="441"/>
      <c r="Z936" s="441"/>
    </row>
    <row r="937">
      <c r="A937" s="441"/>
      <c r="B937" s="441"/>
      <c r="C937" s="441"/>
      <c r="D937" s="441"/>
      <c r="E937" s="441"/>
      <c r="F937" s="441"/>
      <c r="G937" s="441"/>
      <c r="H937" s="441"/>
      <c r="I937" s="441"/>
      <c r="J937" s="441"/>
      <c r="K937" s="441"/>
      <c r="L937" s="441"/>
      <c r="M937" s="441"/>
      <c r="N937" s="441"/>
      <c r="O937" s="441"/>
      <c r="P937" s="441"/>
      <c r="Q937" s="441"/>
      <c r="R937" s="441"/>
      <c r="S937" s="441"/>
      <c r="T937" s="441"/>
      <c r="U937" s="441"/>
      <c r="V937" s="441"/>
      <c r="W937" s="441"/>
      <c r="X937" s="441"/>
      <c r="Y937" s="441"/>
      <c r="Z937" s="441"/>
    </row>
    <row r="938">
      <c r="A938" s="441"/>
      <c r="B938" s="441"/>
      <c r="C938" s="441"/>
      <c r="D938" s="441"/>
      <c r="E938" s="441"/>
      <c r="F938" s="441"/>
      <c r="G938" s="441"/>
      <c r="H938" s="441"/>
      <c r="I938" s="441"/>
      <c r="J938" s="441"/>
      <c r="K938" s="441"/>
      <c r="L938" s="441"/>
      <c r="M938" s="441"/>
      <c r="N938" s="441"/>
      <c r="O938" s="441"/>
      <c r="P938" s="441"/>
      <c r="Q938" s="441"/>
      <c r="R938" s="441"/>
      <c r="S938" s="441"/>
      <c r="T938" s="441"/>
      <c r="U938" s="441"/>
      <c r="V938" s="441"/>
      <c r="W938" s="441"/>
      <c r="X938" s="441"/>
      <c r="Y938" s="441"/>
      <c r="Z938" s="441"/>
    </row>
    <row r="939">
      <c r="A939" s="441"/>
      <c r="B939" s="441"/>
      <c r="C939" s="441"/>
      <c r="D939" s="441"/>
      <c r="E939" s="441"/>
      <c r="F939" s="441"/>
      <c r="G939" s="441"/>
      <c r="H939" s="441"/>
      <c r="I939" s="441"/>
      <c r="J939" s="441"/>
      <c r="K939" s="441"/>
      <c r="L939" s="441"/>
      <c r="M939" s="441"/>
      <c r="N939" s="441"/>
      <c r="O939" s="441"/>
      <c r="P939" s="441"/>
      <c r="Q939" s="441"/>
      <c r="R939" s="441"/>
      <c r="S939" s="441"/>
      <c r="T939" s="441"/>
      <c r="U939" s="441"/>
      <c r="V939" s="441"/>
      <c r="W939" s="441"/>
      <c r="X939" s="441"/>
      <c r="Y939" s="441"/>
      <c r="Z939" s="441"/>
    </row>
    <row r="940">
      <c r="A940" s="441"/>
      <c r="B940" s="441"/>
      <c r="C940" s="441"/>
      <c r="D940" s="441"/>
      <c r="E940" s="441"/>
      <c r="F940" s="441"/>
      <c r="G940" s="441"/>
      <c r="H940" s="441"/>
      <c r="I940" s="441"/>
      <c r="J940" s="441"/>
      <c r="K940" s="441"/>
      <c r="L940" s="441"/>
      <c r="M940" s="441"/>
      <c r="N940" s="441"/>
      <c r="O940" s="441"/>
      <c r="P940" s="441"/>
      <c r="Q940" s="441"/>
      <c r="R940" s="441"/>
      <c r="S940" s="441"/>
      <c r="T940" s="441"/>
      <c r="U940" s="441"/>
      <c r="V940" s="441"/>
      <c r="W940" s="441"/>
      <c r="X940" s="441"/>
      <c r="Y940" s="441"/>
      <c r="Z940" s="441"/>
    </row>
    <row r="941">
      <c r="A941" s="441"/>
      <c r="B941" s="441"/>
      <c r="C941" s="441"/>
      <c r="D941" s="441"/>
      <c r="E941" s="441"/>
      <c r="F941" s="441"/>
      <c r="G941" s="441"/>
      <c r="H941" s="441"/>
      <c r="I941" s="441"/>
      <c r="J941" s="441"/>
      <c r="K941" s="441"/>
      <c r="L941" s="441"/>
      <c r="M941" s="441"/>
      <c r="N941" s="441"/>
      <c r="O941" s="441"/>
      <c r="P941" s="441"/>
      <c r="Q941" s="441"/>
      <c r="R941" s="441"/>
      <c r="S941" s="441"/>
      <c r="T941" s="441"/>
      <c r="U941" s="441"/>
      <c r="V941" s="441"/>
      <c r="W941" s="441"/>
      <c r="X941" s="441"/>
      <c r="Y941" s="441"/>
      <c r="Z941" s="441"/>
    </row>
    <row r="942">
      <c r="A942" s="441"/>
      <c r="B942" s="441"/>
      <c r="C942" s="441"/>
      <c r="D942" s="441"/>
      <c r="E942" s="441"/>
      <c r="F942" s="441"/>
      <c r="G942" s="441"/>
      <c r="H942" s="441"/>
      <c r="I942" s="441"/>
      <c r="J942" s="441"/>
      <c r="K942" s="441"/>
      <c r="L942" s="441"/>
      <c r="M942" s="441"/>
      <c r="N942" s="441"/>
      <c r="O942" s="441"/>
      <c r="P942" s="441"/>
      <c r="Q942" s="441"/>
      <c r="R942" s="441"/>
      <c r="S942" s="441"/>
      <c r="T942" s="441"/>
      <c r="U942" s="441"/>
      <c r="V942" s="441"/>
      <c r="W942" s="441"/>
      <c r="X942" s="441"/>
      <c r="Y942" s="441"/>
      <c r="Z942" s="441"/>
    </row>
    <row r="943">
      <c r="A943" s="441"/>
      <c r="B943" s="441"/>
      <c r="C943" s="441"/>
      <c r="D943" s="441"/>
      <c r="E943" s="441"/>
      <c r="F943" s="441"/>
      <c r="G943" s="441"/>
      <c r="H943" s="441"/>
      <c r="I943" s="441"/>
      <c r="J943" s="441"/>
      <c r="K943" s="441"/>
      <c r="L943" s="441"/>
      <c r="M943" s="441"/>
      <c r="N943" s="441"/>
      <c r="O943" s="441"/>
      <c r="P943" s="441"/>
      <c r="Q943" s="441"/>
      <c r="R943" s="441"/>
      <c r="S943" s="441"/>
      <c r="T943" s="441"/>
      <c r="U943" s="441"/>
      <c r="V943" s="441"/>
      <c r="W943" s="441"/>
      <c r="X943" s="441"/>
      <c r="Y943" s="441"/>
      <c r="Z943" s="441"/>
    </row>
    <row r="944">
      <c r="A944" s="441"/>
      <c r="B944" s="441"/>
      <c r="C944" s="441"/>
      <c r="D944" s="441"/>
      <c r="E944" s="441"/>
      <c r="F944" s="441"/>
      <c r="G944" s="441"/>
      <c r="H944" s="441"/>
      <c r="I944" s="441"/>
      <c r="J944" s="441"/>
      <c r="K944" s="441"/>
      <c r="L944" s="441"/>
      <c r="M944" s="441"/>
      <c r="N944" s="441"/>
      <c r="O944" s="441"/>
      <c r="P944" s="441"/>
      <c r="Q944" s="441"/>
      <c r="R944" s="441"/>
      <c r="S944" s="441"/>
      <c r="T944" s="441"/>
      <c r="U944" s="441"/>
      <c r="V944" s="441"/>
      <c r="W944" s="441"/>
      <c r="X944" s="441"/>
      <c r="Y944" s="441"/>
      <c r="Z944" s="441"/>
    </row>
    <row r="945">
      <c r="A945" s="441"/>
      <c r="B945" s="441"/>
      <c r="C945" s="441"/>
      <c r="D945" s="441"/>
      <c r="E945" s="441"/>
      <c r="F945" s="441"/>
      <c r="G945" s="441"/>
      <c r="H945" s="441"/>
      <c r="I945" s="441"/>
      <c r="J945" s="441"/>
      <c r="K945" s="441"/>
      <c r="L945" s="441"/>
      <c r="M945" s="441"/>
      <c r="N945" s="441"/>
      <c r="O945" s="441"/>
      <c r="P945" s="441"/>
      <c r="Q945" s="441"/>
      <c r="R945" s="441"/>
      <c r="S945" s="441"/>
      <c r="T945" s="441"/>
      <c r="U945" s="441"/>
      <c r="V945" s="441"/>
      <c r="W945" s="441"/>
      <c r="X945" s="441"/>
      <c r="Y945" s="441"/>
      <c r="Z945" s="441"/>
    </row>
    <row r="946">
      <c r="A946" s="441"/>
      <c r="B946" s="441"/>
      <c r="C946" s="441"/>
      <c r="D946" s="441"/>
      <c r="E946" s="441"/>
      <c r="F946" s="441"/>
      <c r="G946" s="441"/>
      <c r="H946" s="441"/>
      <c r="I946" s="441"/>
      <c r="J946" s="441"/>
      <c r="K946" s="441"/>
      <c r="L946" s="441"/>
      <c r="M946" s="441"/>
      <c r="N946" s="441"/>
      <c r="O946" s="441"/>
      <c r="P946" s="441"/>
      <c r="Q946" s="441"/>
      <c r="R946" s="441"/>
      <c r="S946" s="441"/>
      <c r="T946" s="441"/>
      <c r="U946" s="441"/>
      <c r="V946" s="441"/>
      <c r="W946" s="441"/>
      <c r="X946" s="441"/>
      <c r="Y946" s="441"/>
      <c r="Z946" s="441"/>
    </row>
    <row r="947">
      <c r="A947" s="441"/>
      <c r="B947" s="441"/>
      <c r="C947" s="441"/>
      <c r="D947" s="441"/>
      <c r="E947" s="441"/>
      <c r="F947" s="441"/>
      <c r="G947" s="441"/>
      <c r="H947" s="441"/>
      <c r="I947" s="441"/>
      <c r="J947" s="441"/>
      <c r="K947" s="441"/>
      <c r="L947" s="441"/>
      <c r="M947" s="441"/>
      <c r="N947" s="441"/>
      <c r="O947" s="441"/>
      <c r="P947" s="441"/>
      <c r="Q947" s="441"/>
      <c r="R947" s="441"/>
      <c r="S947" s="441"/>
      <c r="T947" s="441"/>
      <c r="U947" s="441"/>
      <c r="V947" s="441"/>
      <c r="W947" s="441"/>
      <c r="X947" s="441"/>
      <c r="Y947" s="441"/>
      <c r="Z947" s="441"/>
    </row>
    <row r="948">
      <c r="A948" s="441"/>
      <c r="B948" s="441"/>
      <c r="C948" s="441"/>
      <c r="D948" s="441"/>
      <c r="E948" s="441"/>
      <c r="F948" s="441"/>
      <c r="G948" s="441"/>
      <c r="H948" s="441"/>
      <c r="I948" s="441"/>
      <c r="J948" s="441"/>
      <c r="K948" s="441"/>
      <c r="L948" s="441"/>
      <c r="M948" s="441"/>
      <c r="N948" s="441"/>
      <c r="O948" s="441"/>
      <c r="P948" s="441"/>
      <c r="Q948" s="441"/>
      <c r="R948" s="441"/>
      <c r="S948" s="441"/>
      <c r="T948" s="441"/>
      <c r="U948" s="441"/>
      <c r="V948" s="441"/>
      <c r="W948" s="441"/>
      <c r="X948" s="441"/>
      <c r="Y948" s="441"/>
      <c r="Z948" s="441"/>
    </row>
    <row r="949">
      <c r="A949" s="441"/>
      <c r="B949" s="441"/>
      <c r="C949" s="441"/>
      <c r="D949" s="441"/>
      <c r="E949" s="441"/>
      <c r="F949" s="441"/>
      <c r="G949" s="441"/>
      <c r="H949" s="441"/>
      <c r="I949" s="441"/>
      <c r="J949" s="441"/>
      <c r="K949" s="441"/>
      <c r="L949" s="441"/>
      <c r="M949" s="441"/>
      <c r="N949" s="441"/>
      <c r="O949" s="441"/>
      <c r="P949" s="441"/>
      <c r="Q949" s="441"/>
      <c r="R949" s="441"/>
      <c r="S949" s="441"/>
      <c r="T949" s="441"/>
      <c r="U949" s="441"/>
      <c r="V949" s="441"/>
      <c r="W949" s="441"/>
      <c r="X949" s="441"/>
      <c r="Y949" s="441"/>
      <c r="Z949" s="441"/>
    </row>
    <row r="950">
      <c r="A950" s="441"/>
      <c r="B950" s="441"/>
      <c r="C950" s="441"/>
      <c r="D950" s="441"/>
      <c r="E950" s="441"/>
      <c r="F950" s="441"/>
      <c r="G950" s="441"/>
      <c r="H950" s="441"/>
      <c r="I950" s="441"/>
      <c r="J950" s="441"/>
      <c r="K950" s="441"/>
      <c r="L950" s="441"/>
      <c r="M950" s="441"/>
      <c r="N950" s="441"/>
      <c r="O950" s="441"/>
      <c r="P950" s="441"/>
      <c r="Q950" s="441"/>
      <c r="R950" s="441"/>
      <c r="S950" s="441"/>
      <c r="T950" s="441"/>
      <c r="U950" s="441"/>
      <c r="V950" s="441"/>
      <c r="W950" s="441"/>
      <c r="X950" s="441"/>
      <c r="Y950" s="441"/>
      <c r="Z950" s="441"/>
    </row>
    <row r="951">
      <c r="A951" s="441"/>
      <c r="B951" s="441"/>
      <c r="C951" s="441"/>
      <c r="D951" s="441"/>
      <c r="E951" s="441"/>
      <c r="F951" s="441"/>
      <c r="G951" s="441"/>
      <c r="H951" s="441"/>
      <c r="I951" s="441"/>
      <c r="J951" s="441"/>
      <c r="K951" s="441"/>
      <c r="L951" s="441"/>
      <c r="M951" s="441"/>
      <c r="N951" s="441"/>
      <c r="O951" s="441"/>
      <c r="P951" s="441"/>
      <c r="Q951" s="441"/>
      <c r="R951" s="441"/>
      <c r="S951" s="441"/>
      <c r="T951" s="441"/>
      <c r="U951" s="441"/>
      <c r="V951" s="441"/>
      <c r="W951" s="441"/>
      <c r="X951" s="441"/>
      <c r="Y951" s="441"/>
      <c r="Z951" s="441"/>
    </row>
    <row r="952">
      <c r="A952" s="441"/>
      <c r="B952" s="441"/>
      <c r="C952" s="441"/>
      <c r="D952" s="441"/>
      <c r="E952" s="441"/>
      <c r="F952" s="441"/>
      <c r="G952" s="441"/>
      <c r="H952" s="441"/>
      <c r="I952" s="441"/>
      <c r="J952" s="441"/>
      <c r="K952" s="441"/>
      <c r="L952" s="441"/>
      <c r="M952" s="441"/>
      <c r="N952" s="441"/>
      <c r="O952" s="441"/>
      <c r="P952" s="441"/>
      <c r="Q952" s="441"/>
      <c r="R952" s="441"/>
      <c r="S952" s="441"/>
      <c r="T952" s="441"/>
      <c r="U952" s="441"/>
      <c r="V952" s="441"/>
      <c r="W952" s="441"/>
      <c r="X952" s="441"/>
      <c r="Y952" s="441"/>
      <c r="Z952" s="441"/>
    </row>
    <row r="953">
      <c r="A953" s="441"/>
      <c r="B953" s="441"/>
      <c r="C953" s="441"/>
      <c r="D953" s="441"/>
      <c r="E953" s="441"/>
      <c r="F953" s="441"/>
      <c r="G953" s="441"/>
      <c r="H953" s="441"/>
      <c r="I953" s="441"/>
      <c r="J953" s="441"/>
      <c r="K953" s="441"/>
      <c r="L953" s="441"/>
      <c r="M953" s="441"/>
      <c r="N953" s="441"/>
      <c r="O953" s="441"/>
      <c r="P953" s="441"/>
      <c r="Q953" s="441"/>
      <c r="R953" s="441"/>
      <c r="S953" s="441"/>
      <c r="T953" s="441"/>
      <c r="U953" s="441"/>
      <c r="V953" s="441"/>
      <c r="W953" s="441"/>
      <c r="X953" s="441"/>
      <c r="Y953" s="441"/>
      <c r="Z953" s="441"/>
    </row>
    <row r="954">
      <c r="A954" s="441"/>
      <c r="B954" s="441"/>
      <c r="C954" s="441"/>
      <c r="D954" s="441"/>
      <c r="E954" s="441"/>
      <c r="F954" s="441"/>
      <c r="G954" s="441"/>
      <c r="H954" s="441"/>
      <c r="I954" s="441"/>
      <c r="J954" s="441"/>
      <c r="K954" s="441"/>
      <c r="L954" s="441"/>
      <c r="M954" s="441"/>
      <c r="N954" s="441"/>
      <c r="O954" s="441"/>
      <c r="P954" s="441"/>
      <c r="Q954" s="441"/>
      <c r="R954" s="441"/>
      <c r="S954" s="441"/>
      <c r="T954" s="441"/>
      <c r="U954" s="441"/>
      <c r="V954" s="441"/>
      <c r="W954" s="441"/>
      <c r="X954" s="441"/>
      <c r="Y954" s="441"/>
      <c r="Z954" s="441"/>
    </row>
    <row r="955">
      <c r="A955" s="441"/>
      <c r="B955" s="441"/>
      <c r="C955" s="441"/>
      <c r="D955" s="441"/>
      <c r="E955" s="441"/>
      <c r="F955" s="441"/>
      <c r="G955" s="441"/>
      <c r="H955" s="441"/>
      <c r="I955" s="441"/>
      <c r="J955" s="441"/>
      <c r="K955" s="441"/>
      <c r="L955" s="441"/>
      <c r="M955" s="441"/>
      <c r="N955" s="441"/>
      <c r="O955" s="441"/>
      <c r="P955" s="441"/>
      <c r="Q955" s="441"/>
      <c r="R955" s="441"/>
      <c r="S955" s="441"/>
      <c r="T955" s="441"/>
      <c r="U955" s="441"/>
      <c r="V955" s="441"/>
      <c r="W955" s="441"/>
      <c r="X955" s="441"/>
      <c r="Y955" s="441"/>
      <c r="Z955" s="441"/>
    </row>
    <row r="956">
      <c r="A956" s="441"/>
      <c r="B956" s="441"/>
      <c r="C956" s="441"/>
      <c r="D956" s="441"/>
      <c r="E956" s="441"/>
      <c r="F956" s="441"/>
      <c r="G956" s="441"/>
      <c r="H956" s="441"/>
      <c r="I956" s="441"/>
      <c r="J956" s="441"/>
      <c r="K956" s="441"/>
      <c r="L956" s="441"/>
      <c r="M956" s="441"/>
      <c r="N956" s="441"/>
      <c r="O956" s="441"/>
      <c r="P956" s="441"/>
      <c r="Q956" s="441"/>
      <c r="R956" s="441"/>
      <c r="S956" s="441"/>
      <c r="T956" s="441"/>
      <c r="U956" s="441"/>
      <c r="V956" s="441"/>
      <c r="W956" s="441"/>
      <c r="X956" s="441"/>
      <c r="Y956" s="441"/>
      <c r="Z956" s="441"/>
    </row>
    <row r="957">
      <c r="A957" s="441"/>
      <c r="B957" s="441"/>
      <c r="C957" s="441"/>
      <c r="D957" s="441"/>
      <c r="E957" s="441"/>
      <c r="F957" s="441"/>
      <c r="G957" s="441"/>
      <c r="H957" s="441"/>
      <c r="I957" s="441"/>
      <c r="J957" s="441"/>
      <c r="K957" s="441"/>
      <c r="L957" s="441"/>
      <c r="M957" s="441"/>
      <c r="N957" s="441"/>
      <c r="O957" s="441"/>
      <c r="P957" s="441"/>
      <c r="Q957" s="441"/>
      <c r="R957" s="441"/>
      <c r="S957" s="441"/>
      <c r="T957" s="441"/>
      <c r="U957" s="441"/>
      <c r="V957" s="441"/>
      <c r="W957" s="441"/>
      <c r="X957" s="441"/>
      <c r="Y957" s="441"/>
      <c r="Z957" s="441"/>
    </row>
    <row r="958">
      <c r="A958" s="441"/>
      <c r="B958" s="441"/>
      <c r="C958" s="441"/>
      <c r="D958" s="441"/>
      <c r="E958" s="441"/>
      <c r="F958" s="441"/>
      <c r="G958" s="441"/>
      <c r="H958" s="441"/>
      <c r="I958" s="441"/>
      <c r="J958" s="441"/>
      <c r="K958" s="441"/>
      <c r="L958" s="441"/>
      <c r="M958" s="441"/>
      <c r="N958" s="441"/>
      <c r="O958" s="441"/>
      <c r="P958" s="441"/>
      <c r="Q958" s="441"/>
      <c r="R958" s="441"/>
      <c r="S958" s="441"/>
      <c r="T958" s="441"/>
      <c r="U958" s="441"/>
      <c r="V958" s="441"/>
      <c r="W958" s="441"/>
      <c r="X958" s="441"/>
      <c r="Y958" s="441"/>
      <c r="Z958" s="441"/>
    </row>
    <row r="959">
      <c r="A959" s="441"/>
      <c r="B959" s="441"/>
      <c r="C959" s="441"/>
      <c r="D959" s="441"/>
      <c r="E959" s="441"/>
      <c r="F959" s="441"/>
      <c r="G959" s="441"/>
      <c r="H959" s="441"/>
      <c r="I959" s="441"/>
      <c r="J959" s="441"/>
      <c r="K959" s="441"/>
      <c r="L959" s="441"/>
      <c r="M959" s="441"/>
      <c r="N959" s="441"/>
      <c r="O959" s="441"/>
      <c r="P959" s="441"/>
      <c r="Q959" s="441"/>
      <c r="R959" s="441"/>
      <c r="S959" s="441"/>
      <c r="T959" s="441"/>
      <c r="U959" s="441"/>
      <c r="V959" s="441"/>
      <c r="W959" s="441"/>
      <c r="X959" s="441"/>
      <c r="Y959" s="441"/>
      <c r="Z959" s="441"/>
    </row>
    <row r="960">
      <c r="A960" s="441"/>
      <c r="B960" s="441"/>
      <c r="C960" s="441"/>
      <c r="D960" s="441"/>
      <c r="E960" s="441"/>
      <c r="F960" s="441"/>
      <c r="G960" s="441"/>
      <c r="H960" s="441"/>
      <c r="I960" s="441"/>
      <c r="J960" s="441"/>
      <c r="K960" s="441"/>
      <c r="L960" s="441"/>
      <c r="M960" s="441"/>
      <c r="N960" s="441"/>
      <c r="O960" s="441"/>
      <c r="P960" s="441"/>
      <c r="Q960" s="441"/>
      <c r="R960" s="441"/>
      <c r="S960" s="441"/>
      <c r="T960" s="441"/>
      <c r="U960" s="441"/>
      <c r="V960" s="441"/>
      <c r="W960" s="441"/>
      <c r="X960" s="441"/>
      <c r="Y960" s="441"/>
      <c r="Z960" s="441"/>
    </row>
    <row r="961">
      <c r="A961" s="441"/>
      <c r="B961" s="441"/>
      <c r="C961" s="441"/>
      <c r="D961" s="441"/>
      <c r="E961" s="441"/>
      <c r="F961" s="441"/>
      <c r="G961" s="441"/>
      <c r="H961" s="441"/>
      <c r="I961" s="441"/>
      <c r="J961" s="441"/>
      <c r="K961" s="441"/>
      <c r="L961" s="441"/>
      <c r="M961" s="441"/>
      <c r="N961" s="441"/>
      <c r="O961" s="441"/>
      <c r="P961" s="441"/>
      <c r="Q961" s="441"/>
      <c r="R961" s="441"/>
      <c r="S961" s="441"/>
      <c r="T961" s="441"/>
      <c r="U961" s="441"/>
      <c r="V961" s="441"/>
      <c r="W961" s="441"/>
      <c r="X961" s="441"/>
      <c r="Y961" s="441"/>
      <c r="Z961" s="441"/>
    </row>
    <row r="962">
      <c r="A962" s="441"/>
      <c r="B962" s="441"/>
      <c r="C962" s="441"/>
      <c r="D962" s="441"/>
      <c r="E962" s="441"/>
      <c r="F962" s="441"/>
      <c r="G962" s="441"/>
      <c r="H962" s="441"/>
      <c r="I962" s="441"/>
      <c r="J962" s="441"/>
      <c r="K962" s="441"/>
      <c r="L962" s="441"/>
      <c r="M962" s="441"/>
      <c r="N962" s="441"/>
      <c r="O962" s="441"/>
      <c r="P962" s="441"/>
      <c r="Q962" s="441"/>
      <c r="R962" s="441"/>
      <c r="S962" s="441"/>
      <c r="T962" s="441"/>
      <c r="U962" s="441"/>
      <c r="V962" s="441"/>
      <c r="W962" s="441"/>
      <c r="X962" s="441"/>
      <c r="Y962" s="441"/>
      <c r="Z962" s="441"/>
    </row>
    <row r="963">
      <c r="A963" s="441"/>
      <c r="B963" s="441"/>
      <c r="C963" s="441"/>
      <c r="D963" s="441"/>
      <c r="E963" s="441"/>
      <c r="F963" s="441"/>
      <c r="G963" s="441"/>
      <c r="H963" s="441"/>
      <c r="I963" s="441"/>
      <c r="J963" s="441"/>
      <c r="K963" s="441"/>
      <c r="L963" s="441"/>
      <c r="M963" s="441"/>
      <c r="N963" s="441"/>
      <c r="O963" s="441"/>
      <c r="P963" s="441"/>
      <c r="Q963" s="441"/>
      <c r="R963" s="441"/>
      <c r="S963" s="441"/>
      <c r="T963" s="441"/>
      <c r="U963" s="441"/>
      <c r="V963" s="441"/>
      <c r="W963" s="441"/>
      <c r="X963" s="441"/>
      <c r="Y963" s="441"/>
      <c r="Z963" s="441"/>
    </row>
    <row r="964">
      <c r="A964" s="441"/>
      <c r="B964" s="441"/>
      <c r="C964" s="441"/>
      <c r="D964" s="441"/>
      <c r="E964" s="441"/>
      <c r="F964" s="441"/>
      <c r="G964" s="441"/>
      <c r="H964" s="441"/>
      <c r="I964" s="441"/>
      <c r="J964" s="441"/>
      <c r="K964" s="441"/>
      <c r="L964" s="441"/>
      <c r="M964" s="441"/>
      <c r="N964" s="441"/>
      <c r="O964" s="441"/>
      <c r="P964" s="441"/>
      <c r="Q964" s="441"/>
      <c r="R964" s="441"/>
      <c r="S964" s="441"/>
      <c r="T964" s="441"/>
      <c r="U964" s="441"/>
      <c r="V964" s="441"/>
      <c r="W964" s="441"/>
      <c r="X964" s="441"/>
      <c r="Y964" s="441"/>
      <c r="Z964" s="441"/>
    </row>
    <row r="965">
      <c r="A965" s="441"/>
      <c r="B965" s="441"/>
      <c r="C965" s="441"/>
      <c r="D965" s="441"/>
      <c r="E965" s="441"/>
      <c r="F965" s="441"/>
      <c r="G965" s="441"/>
      <c r="H965" s="441"/>
      <c r="I965" s="441"/>
      <c r="J965" s="441"/>
      <c r="K965" s="441"/>
      <c r="L965" s="441"/>
      <c r="M965" s="441"/>
      <c r="N965" s="441"/>
      <c r="O965" s="441"/>
      <c r="P965" s="441"/>
      <c r="Q965" s="441"/>
      <c r="R965" s="441"/>
      <c r="S965" s="441"/>
      <c r="T965" s="441"/>
      <c r="U965" s="441"/>
      <c r="V965" s="441"/>
      <c r="W965" s="441"/>
      <c r="X965" s="441"/>
      <c r="Y965" s="441"/>
      <c r="Z965" s="441"/>
    </row>
    <row r="966">
      <c r="A966" s="441"/>
      <c r="B966" s="441"/>
      <c r="C966" s="441"/>
      <c r="D966" s="441"/>
      <c r="E966" s="441"/>
      <c r="F966" s="441"/>
      <c r="G966" s="441"/>
      <c r="H966" s="441"/>
      <c r="I966" s="441"/>
      <c r="J966" s="441"/>
      <c r="K966" s="441"/>
      <c r="L966" s="441"/>
      <c r="M966" s="441"/>
      <c r="N966" s="441"/>
      <c r="O966" s="441"/>
      <c r="P966" s="441"/>
      <c r="Q966" s="441"/>
      <c r="R966" s="441"/>
      <c r="S966" s="441"/>
      <c r="T966" s="441"/>
      <c r="U966" s="441"/>
      <c r="V966" s="441"/>
      <c r="W966" s="441"/>
      <c r="X966" s="441"/>
      <c r="Y966" s="441"/>
      <c r="Z966" s="441"/>
    </row>
    <row r="967">
      <c r="A967" s="441"/>
      <c r="B967" s="441"/>
      <c r="C967" s="441"/>
      <c r="D967" s="441"/>
      <c r="E967" s="441"/>
      <c r="F967" s="441"/>
      <c r="G967" s="441"/>
      <c r="H967" s="441"/>
      <c r="I967" s="441"/>
      <c r="J967" s="441"/>
      <c r="K967" s="441"/>
      <c r="L967" s="441"/>
      <c r="M967" s="441"/>
      <c r="N967" s="441"/>
      <c r="O967" s="441"/>
      <c r="P967" s="441"/>
      <c r="Q967" s="441"/>
      <c r="R967" s="441"/>
      <c r="S967" s="441"/>
      <c r="T967" s="441"/>
      <c r="U967" s="441"/>
      <c r="V967" s="441"/>
      <c r="W967" s="441"/>
      <c r="X967" s="441"/>
      <c r="Y967" s="441"/>
      <c r="Z967" s="441"/>
    </row>
    <row r="968">
      <c r="A968" s="441"/>
      <c r="B968" s="441"/>
      <c r="C968" s="441"/>
      <c r="D968" s="441"/>
      <c r="E968" s="441"/>
      <c r="F968" s="441"/>
      <c r="G968" s="441"/>
      <c r="H968" s="441"/>
      <c r="I968" s="441"/>
      <c r="J968" s="441"/>
      <c r="K968" s="441"/>
      <c r="L968" s="441"/>
      <c r="M968" s="441"/>
      <c r="N968" s="441"/>
      <c r="O968" s="441"/>
      <c r="P968" s="441"/>
      <c r="Q968" s="441"/>
      <c r="R968" s="441"/>
      <c r="S968" s="441"/>
      <c r="T968" s="441"/>
      <c r="U968" s="441"/>
      <c r="V968" s="441"/>
      <c r="W968" s="441"/>
      <c r="X968" s="441"/>
      <c r="Y968" s="441"/>
      <c r="Z968" s="441"/>
    </row>
    <row r="969">
      <c r="A969" s="441"/>
      <c r="B969" s="441"/>
      <c r="C969" s="441"/>
      <c r="D969" s="441"/>
      <c r="E969" s="441"/>
      <c r="F969" s="441"/>
      <c r="G969" s="441"/>
      <c r="H969" s="441"/>
      <c r="I969" s="441"/>
      <c r="J969" s="441"/>
      <c r="K969" s="441"/>
      <c r="L969" s="441"/>
      <c r="M969" s="441"/>
      <c r="N969" s="441"/>
      <c r="O969" s="441"/>
      <c r="P969" s="441"/>
      <c r="Q969" s="441"/>
      <c r="R969" s="441"/>
      <c r="S969" s="441"/>
      <c r="T969" s="441"/>
      <c r="U969" s="441"/>
      <c r="V969" s="441"/>
      <c r="W969" s="441"/>
      <c r="X969" s="441"/>
      <c r="Y969" s="441"/>
      <c r="Z969" s="441"/>
    </row>
    <row r="970">
      <c r="A970" s="441"/>
      <c r="B970" s="441"/>
      <c r="C970" s="441"/>
      <c r="D970" s="441"/>
      <c r="E970" s="441"/>
      <c r="F970" s="441"/>
      <c r="G970" s="441"/>
      <c r="H970" s="441"/>
      <c r="I970" s="441"/>
      <c r="J970" s="441"/>
      <c r="K970" s="441"/>
      <c r="L970" s="441"/>
      <c r="M970" s="441"/>
      <c r="N970" s="441"/>
      <c r="O970" s="441"/>
      <c r="P970" s="441"/>
      <c r="Q970" s="441"/>
      <c r="R970" s="441"/>
      <c r="S970" s="441"/>
      <c r="T970" s="441"/>
      <c r="U970" s="441"/>
      <c r="V970" s="441"/>
      <c r="W970" s="441"/>
      <c r="X970" s="441"/>
      <c r="Y970" s="441"/>
      <c r="Z970" s="441"/>
    </row>
    <row r="971">
      <c r="A971" s="441"/>
      <c r="B971" s="441"/>
      <c r="C971" s="441"/>
      <c r="D971" s="441"/>
      <c r="E971" s="441"/>
      <c r="F971" s="441"/>
      <c r="G971" s="441"/>
      <c r="H971" s="441"/>
      <c r="I971" s="441"/>
      <c r="J971" s="441"/>
      <c r="K971" s="441"/>
      <c r="L971" s="441"/>
      <c r="M971" s="441"/>
      <c r="N971" s="441"/>
      <c r="O971" s="441"/>
      <c r="P971" s="441"/>
      <c r="Q971" s="441"/>
      <c r="R971" s="441"/>
      <c r="S971" s="441"/>
      <c r="T971" s="441"/>
      <c r="U971" s="441"/>
      <c r="V971" s="441"/>
      <c r="W971" s="441"/>
      <c r="X971" s="441"/>
      <c r="Y971" s="441"/>
      <c r="Z971" s="441"/>
    </row>
    <row r="972">
      <c r="A972" s="441"/>
      <c r="B972" s="441"/>
      <c r="C972" s="441"/>
      <c r="D972" s="441"/>
      <c r="E972" s="441"/>
      <c r="F972" s="441"/>
      <c r="G972" s="441"/>
      <c r="H972" s="441"/>
      <c r="I972" s="441"/>
      <c r="J972" s="441"/>
      <c r="K972" s="441"/>
      <c r="L972" s="441"/>
      <c r="M972" s="441"/>
      <c r="N972" s="441"/>
      <c r="O972" s="441"/>
      <c r="P972" s="441"/>
      <c r="Q972" s="441"/>
      <c r="R972" s="441"/>
      <c r="S972" s="441"/>
      <c r="T972" s="441"/>
      <c r="U972" s="441"/>
      <c r="V972" s="441"/>
      <c r="W972" s="441"/>
      <c r="X972" s="441"/>
      <c r="Y972" s="441"/>
      <c r="Z972" s="441"/>
    </row>
    <row r="973">
      <c r="A973" s="441"/>
      <c r="B973" s="441"/>
      <c r="C973" s="441"/>
      <c r="D973" s="441"/>
      <c r="E973" s="441"/>
      <c r="F973" s="441"/>
      <c r="G973" s="441"/>
      <c r="H973" s="441"/>
      <c r="I973" s="441"/>
      <c r="J973" s="441"/>
      <c r="K973" s="441"/>
      <c r="L973" s="441"/>
      <c r="M973" s="441"/>
      <c r="N973" s="441"/>
      <c r="O973" s="441"/>
      <c r="P973" s="441"/>
      <c r="Q973" s="441"/>
      <c r="R973" s="441"/>
      <c r="S973" s="441"/>
      <c r="T973" s="441"/>
      <c r="U973" s="441"/>
      <c r="V973" s="441"/>
      <c r="W973" s="441"/>
      <c r="X973" s="441"/>
      <c r="Y973" s="441"/>
      <c r="Z973" s="441"/>
    </row>
    <row r="974">
      <c r="A974" s="441"/>
      <c r="B974" s="441"/>
      <c r="C974" s="441"/>
      <c r="D974" s="441"/>
      <c r="E974" s="441"/>
      <c r="F974" s="441"/>
      <c r="G974" s="441"/>
      <c r="H974" s="441"/>
      <c r="I974" s="441"/>
      <c r="J974" s="441"/>
      <c r="K974" s="441"/>
      <c r="L974" s="441"/>
      <c r="M974" s="441"/>
      <c r="N974" s="441"/>
      <c r="O974" s="441"/>
      <c r="P974" s="441"/>
      <c r="Q974" s="441"/>
      <c r="R974" s="441"/>
      <c r="S974" s="441"/>
      <c r="T974" s="441"/>
      <c r="U974" s="441"/>
      <c r="V974" s="441"/>
      <c r="W974" s="441"/>
      <c r="X974" s="441"/>
      <c r="Y974" s="441"/>
      <c r="Z974" s="441"/>
    </row>
    <row r="975">
      <c r="A975" s="441"/>
      <c r="B975" s="441"/>
      <c r="C975" s="441"/>
      <c r="D975" s="441"/>
      <c r="E975" s="441"/>
      <c r="F975" s="441"/>
      <c r="G975" s="441"/>
      <c r="H975" s="441"/>
      <c r="I975" s="441"/>
      <c r="J975" s="441"/>
      <c r="K975" s="441"/>
      <c r="L975" s="441"/>
      <c r="M975" s="441"/>
      <c r="N975" s="441"/>
      <c r="O975" s="441"/>
      <c r="P975" s="441"/>
      <c r="Q975" s="441"/>
      <c r="R975" s="441"/>
      <c r="S975" s="441"/>
      <c r="T975" s="441"/>
      <c r="U975" s="441"/>
      <c r="V975" s="441"/>
      <c r="W975" s="441"/>
      <c r="X975" s="441"/>
      <c r="Y975" s="441"/>
      <c r="Z975" s="441"/>
    </row>
    <row r="976">
      <c r="A976" s="441"/>
      <c r="B976" s="441"/>
      <c r="C976" s="441"/>
      <c r="D976" s="441"/>
      <c r="E976" s="441"/>
      <c r="F976" s="441"/>
      <c r="G976" s="441"/>
      <c r="H976" s="441"/>
      <c r="I976" s="441"/>
      <c r="J976" s="441"/>
      <c r="K976" s="441"/>
      <c r="L976" s="441"/>
      <c r="M976" s="441"/>
      <c r="N976" s="441"/>
      <c r="O976" s="441"/>
      <c r="P976" s="441"/>
      <c r="Q976" s="441"/>
      <c r="R976" s="441"/>
      <c r="S976" s="441"/>
      <c r="T976" s="441"/>
      <c r="U976" s="441"/>
      <c r="V976" s="441"/>
      <c r="W976" s="441"/>
      <c r="X976" s="441"/>
      <c r="Y976" s="441"/>
      <c r="Z976" s="441"/>
    </row>
    <row r="977">
      <c r="A977" s="441"/>
      <c r="B977" s="441"/>
      <c r="C977" s="441"/>
      <c r="D977" s="441"/>
      <c r="E977" s="441"/>
      <c r="F977" s="441"/>
      <c r="G977" s="441"/>
      <c r="H977" s="441"/>
      <c r="I977" s="441"/>
      <c r="J977" s="441"/>
      <c r="K977" s="441"/>
      <c r="L977" s="441"/>
      <c r="M977" s="441"/>
      <c r="N977" s="441"/>
      <c r="O977" s="441"/>
      <c r="P977" s="441"/>
      <c r="Q977" s="441"/>
      <c r="R977" s="441"/>
      <c r="S977" s="441"/>
      <c r="T977" s="441"/>
      <c r="U977" s="441"/>
      <c r="V977" s="441"/>
      <c r="W977" s="441"/>
      <c r="X977" s="441"/>
      <c r="Y977" s="441"/>
      <c r="Z977" s="441"/>
    </row>
    <row r="978">
      <c r="A978" s="441"/>
      <c r="B978" s="441"/>
      <c r="C978" s="441"/>
      <c r="D978" s="441"/>
      <c r="E978" s="441"/>
      <c r="F978" s="441"/>
      <c r="G978" s="441"/>
      <c r="H978" s="441"/>
      <c r="I978" s="441"/>
      <c r="J978" s="441"/>
      <c r="K978" s="441"/>
      <c r="L978" s="441"/>
      <c r="M978" s="441"/>
      <c r="N978" s="441"/>
      <c r="O978" s="441"/>
      <c r="P978" s="441"/>
      <c r="Q978" s="441"/>
      <c r="R978" s="441"/>
      <c r="S978" s="441"/>
      <c r="T978" s="441"/>
      <c r="U978" s="441"/>
      <c r="V978" s="441"/>
      <c r="W978" s="441"/>
      <c r="X978" s="441"/>
      <c r="Y978" s="441"/>
      <c r="Z978" s="441"/>
    </row>
    <row r="979">
      <c r="A979" s="441"/>
      <c r="B979" s="441"/>
      <c r="C979" s="441"/>
      <c r="D979" s="441"/>
      <c r="E979" s="441"/>
      <c r="F979" s="441"/>
      <c r="G979" s="441"/>
      <c r="H979" s="441"/>
      <c r="I979" s="441"/>
      <c r="J979" s="441"/>
      <c r="K979" s="441"/>
      <c r="L979" s="441"/>
      <c r="M979" s="441"/>
      <c r="N979" s="441"/>
      <c r="O979" s="441"/>
      <c r="P979" s="441"/>
      <c r="Q979" s="441"/>
      <c r="R979" s="441"/>
      <c r="S979" s="441"/>
      <c r="T979" s="441"/>
      <c r="U979" s="441"/>
      <c r="V979" s="441"/>
      <c r="W979" s="441"/>
      <c r="X979" s="441"/>
      <c r="Y979" s="441"/>
      <c r="Z979" s="441"/>
    </row>
    <row r="980">
      <c r="A980" s="441"/>
      <c r="B980" s="441"/>
      <c r="C980" s="441"/>
      <c r="D980" s="441"/>
      <c r="E980" s="441"/>
      <c r="F980" s="441"/>
      <c r="G980" s="441"/>
      <c r="H980" s="441"/>
      <c r="I980" s="441"/>
      <c r="J980" s="441"/>
      <c r="K980" s="441"/>
      <c r="L980" s="441"/>
      <c r="M980" s="441"/>
      <c r="N980" s="441"/>
      <c r="O980" s="441"/>
      <c r="P980" s="441"/>
      <c r="Q980" s="441"/>
      <c r="R980" s="441"/>
      <c r="S980" s="441"/>
      <c r="T980" s="441"/>
      <c r="U980" s="441"/>
      <c r="V980" s="441"/>
      <c r="W980" s="441"/>
      <c r="X980" s="441"/>
      <c r="Y980" s="441"/>
      <c r="Z980" s="441"/>
    </row>
    <row r="981">
      <c r="A981" s="441"/>
      <c r="B981" s="441"/>
      <c r="C981" s="441"/>
      <c r="D981" s="441"/>
      <c r="E981" s="441"/>
      <c r="F981" s="441"/>
      <c r="G981" s="441"/>
      <c r="H981" s="441"/>
      <c r="I981" s="441"/>
      <c r="J981" s="441"/>
      <c r="K981" s="441"/>
      <c r="L981" s="441"/>
      <c r="M981" s="441"/>
      <c r="N981" s="441"/>
      <c r="O981" s="441"/>
      <c r="P981" s="441"/>
      <c r="Q981" s="441"/>
      <c r="R981" s="441"/>
      <c r="S981" s="441"/>
      <c r="T981" s="441"/>
      <c r="U981" s="441"/>
      <c r="V981" s="441"/>
      <c r="W981" s="441"/>
      <c r="X981" s="441"/>
      <c r="Y981" s="441"/>
      <c r="Z981" s="441"/>
    </row>
    <row r="982">
      <c r="A982" s="441"/>
      <c r="B982" s="441"/>
      <c r="C982" s="441"/>
      <c r="D982" s="441"/>
      <c r="E982" s="441"/>
      <c r="F982" s="441"/>
      <c r="G982" s="441"/>
      <c r="H982" s="441"/>
      <c r="I982" s="441"/>
      <c r="J982" s="441"/>
      <c r="K982" s="441"/>
      <c r="L982" s="441"/>
      <c r="M982" s="441"/>
      <c r="N982" s="441"/>
      <c r="O982" s="441"/>
      <c r="P982" s="441"/>
      <c r="Q982" s="441"/>
      <c r="R982" s="441"/>
      <c r="S982" s="441"/>
      <c r="T982" s="441"/>
      <c r="U982" s="441"/>
      <c r="V982" s="441"/>
      <c r="W982" s="441"/>
      <c r="X982" s="441"/>
      <c r="Y982" s="441"/>
      <c r="Z982" s="441"/>
    </row>
    <row r="983">
      <c r="A983" s="441"/>
      <c r="B983" s="441"/>
      <c r="C983" s="441"/>
      <c r="D983" s="441"/>
      <c r="E983" s="441"/>
      <c r="F983" s="441"/>
      <c r="G983" s="441"/>
      <c r="H983" s="441"/>
      <c r="I983" s="441"/>
      <c r="J983" s="441"/>
      <c r="K983" s="441"/>
      <c r="L983" s="441"/>
      <c r="M983" s="441"/>
      <c r="N983" s="441"/>
      <c r="O983" s="441"/>
      <c r="P983" s="441"/>
      <c r="Q983" s="441"/>
      <c r="R983" s="441"/>
      <c r="S983" s="441"/>
      <c r="T983" s="441"/>
      <c r="U983" s="441"/>
      <c r="V983" s="441"/>
      <c r="W983" s="441"/>
      <c r="X983" s="441"/>
      <c r="Y983" s="441"/>
      <c r="Z983" s="441"/>
    </row>
    <row r="984">
      <c r="A984" s="441"/>
      <c r="B984" s="441"/>
      <c r="C984" s="441"/>
      <c r="D984" s="441"/>
      <c r="E984" s="441"/>
      <c r="F984" s="441"/>
      <c r="G984" s="441"/>
      <c r="H984" s="441"/>
      <c r="I984" s="441"/>
      <c r="J984" s="441"/>
      <c r="K984" s="441"/>
      <c r="L984" s="441"/>
      <c r="M984" s="441"/>
      <c r="N984" s="441"/>
      <c r="O984" s="441"/>
      <c r="P984" s="441"/>
      <c r="Q984" s="441"/>
      <c r="R984" s="441"/>
      <c r="S984" s="441"/>
      <c r="T984" s="441"/>
      <c r="U984" s="441"/>
      <c r="V984" s="441"/>
      <c r="W984" s="441"/>
      <c r="X984" s="441"/>
      <c r="Y984" s="441"/>
      <c r="Z984" s="441"/>
    </row>
    <row r="985">
      <c r="A985" s="441"/>
      <c r="B985" s="441"/>
      <c r="C985" s="441"/>
      <c r="D985" s="441"/>
      <c r="E985" s="441"/>
      <c r="F985" s="441"/>
      <c r="G985" s="441"/>
      <c r="H985" s="441"/>
      <c r="I985" s="441"/>
      <c r="J985" s="441"/>
      <c r="K985" s="441"/>
      <c r="L985" s="441"/>
      <c r="M985" s="441"/>
      <c r="N985" s="441"/>
      <c r="O985" s="441"/>
      <c r="P985" s="441"/>
      <c r="Q985" s="441"/>
      <c r="R985" s="441"/>
      <c r="S985" s="441"/>
      <c r="T985" s="441"/>
      <c r="U985" s="441"/>
      <c r="V985" s="441"/>
      <c r="W985" s="441"/>
      <c r="X985" s="441"/>
      <c r="Y985" s="441"/>
      <c r="Z985" s="441"/>
    </row>
    <row r="986">
      <c r="A986" s="441"/>
      <c r="B986" s="441"/>
      <c r="C986" s="441"/>
      <c r="D986" s="441"/>
      <c r="E986" s="441"/>
      <c r="F986" s="441"/>
      <c r="G986" s="441"/>
      <c r="H986" s="441"/>
      <c r="I986" s="441"/>
      <c r="J986" s="441"/>
      <c r="K986" s="441"/>
      <c r="L986" s="441"/>
      <c r="M986" s="441"/>
      <c r="N986" s="441"/>
      <c r="O986" s="441"/>
      <c r="P986" s="441"/>
      <c r="Q986" s="441"/>
      <c r="R986" s="441"/>
      <c r="S986" s="441"/>
      <c r="T986" s="441"/>
      <c r="U986" s="441"/>
      <c r="V986" s="441"/>
      <c r="W986" s="441"/>
      <c r="X986" s="441"/>
      <c r="Y986" s="441"/>
      <c r="Z986" s="441"/>
    </row>
    <row r="987">
      <c r="A987" s="441"/>
      <c r="B987" s="441"/>
      <c r="C987" s="441"/>
      <c r="D987" s="441"/>
      <c r="E987" s="441"/>
      <c r="F987" s="441"/>
      <c r="G987" s="441"/>
      <c r="H987" s="441"/>
      <c r="I987" s="441"/>
      <c r="J987" s="441"/>
      <c r="K987" s="441"/>
      <c r="L987" s="441"/>
      <c r="M987" s="441"/>
      <c r="N987" s="441"/>
      <c r="O987" s="441"/>
      <c r="P987" s="441"/>
      <c r="Q987" s="441"/>
      <c r="R987" s="441"/>
      <c r="S987" s="441"/>
      <c r="T987" s="441"/>
      <c r="U987" s="441"/>
      <c r="V987" s="441"/>
      <c r="W987" s="441"/>
      <c r="X987" s="441"/>
      <c r="Y987" s="441"/>
      <c r="Z987" s="441"/>
    </row>
    <row r="988">
      <c r="A988" s="441"/>
      <c r="B988" s="441"/>
      <c r="C988" s="441"/>
      <c r="D988" s="441"/>
      <c r="E988" s="441"/>
      <c r="F988" s="441"/>
      <c r="G988" s="441"/>
      <c r="H988" s="441"/>
      <c r="I988" s="441"/>
      <c r="J988" s="441"/>
      <c r="K988" s="441"/>
      <c r="L988" s="441"/>
      <c r="M988" s="441"/>
      <c r="N988" s="441"/>
      <c r="O988" s="441"/>
      <c r="P988" s="441"/>
      <c r="Q988" s="441"/>
      <c r="R988" s="441"/>
      <c r="S988" s="441"/>
      <c r="T988" s="441"/>
      <c r="U988" s="441"/>
      <c r="V988" s="441"/>
      <c r="W988" s="441"/>
      <c r="X988" s="441"/>
      <c r="Y988" s="441"/>
      <c r="Z988" s="441"/>
    </row>
    <row r="989">
      <c r="A989" s="441"/>
      <c r="B989" s="441"/>
      <c r="C989" s="441"/>
      <c r="D989" s="441"/>
      <c r="E989" s="441"/>
      <c r="F989" s="441"/>
      <c r="G989" s="441"/>
      <c r="H989" s="441"/>
      <c r="I989" s="441"/>
      <c r="J989" s="441"/>
      <c r="K989" s="441"/>
      <c r="L989" s="441"/>
      <c r="M989" s="441"/>
      <c r="N989" s="441"/>
      <c r="O989" s="441"/>
      <c r="P989" s="441"/>
      <c r="Q989" s="441"/>
      <c r="R989" s="441"/>
      <c r="S989" s="441"/>
      <c r="T989" s="441"/>
      <c r="U989" s="441"/>
      <c r="V989" s="441"/>
      <c r="W989" s="441"/>
      <c r="X989" s="441"/>
      <c r="Y989" s="441"/>
      <c r="Z989" s="441"/>
    </row>
    <row r="990">
      <c r="A990" s="441"/>
      <c r="B990" s="441"/>
      <c r="C990" s="441"/>
      <c r="D990" s="441"/>
      <c r="E990" s="441"/>
      <c r="F990" s="441"/>
      <c r="G990" s="441"/>
      <c r="H990" s="441"/>
      <c r="I990" s="441"/>
      <c r="J990" s="441"/>
      <c r="K990" s="441"/>
      <c r="L990" s="441"/>
      <c r="M990" s="441"/>
      <c r="N990" s="441"/>
      <c r="O990" s="441"/>
      <c r="P990" s="441"/>
      <c r="Q990" s="441"/>
      <c r="R990" s="441"/>
      <c r="S990" s="441"/>
      <c r="T990" s="441"/>
      <c r="U990" s="441"/>
      <c r="V990" s="441"/>
      <c r="W990" s="441"/>
      <c r="X990" s="441"/>
      <c r="Y990" s="441"/>
      <c r="Z990" s="441"/>
    </row>
    <row r="991">
      <c r="A991" s="441"/>
      <c r="B991" s="441"/>
      <c r="C991" s="441"/>
      <c r="D991" s="441"/>
      <c r="E991" s="441"/>
      <c r="F991" s="441"/>
      <c r="G991" s="441"/>
      <c r="H991" s="441"/>
      <c r="I991" s="441"/>
      <c r="J991" s="441"/>
      <c r="K991" s="441"/>
      <c r="L991" s="441"/>
      <c r="M991" s="441"/>
      <c r="N991" s="441"/>
      <c r="O991" s="441"/>
      <c r="P991" s="441"/>
      <c r="Q991" s="441"/>
      <c r="R991" s="441"/>
      <c r="S991" s="441"/>
      <c r="T991" s="441"/>
      <c r="U991" s="441"/>
      <c r="V991" s="441"/>
      <c r="W991" s="441"/>
      <c r="X991" s="441"/>
      <c r="Y991" s="441"/>
      <c r="Z991" s="441"/>
    </row>
    <row r="992">
      <c r="A992" s="441"/>
      <c r="B992" s="441"/>
      <c r="C992" s="441"/>
      <c r="D992" s="441"/>
      <c r="E992" s="441"/>
      <c r="F992" s="441"/>
      <c r="G992" s="441"/>
      <c r="H992" s="441"/>
      <c r="I992" s="441"/>
      <c r="J992" s="441"/>
      <c r="K992" s="441"/>
      <c r="L992" s="441"/>
      <c r="M992" s="441"/>
      <c r="N992" s="441"/>
      <c r="O992" s="441"/>
      <c r="P992" s="441"/>
      <c r="Q992" s="441"/>
      <c r="R992" s="441"/>
      <c r="S992" s="441"/>
      <c r="T992" s="441"/>
      <c r="U992" s="441"/>
      <c r="V992" s="441"/>
      <c r="W992" s="441"/>
      <c r="X992" s="441"/>
      <c r="Y992" s="441"/>
      <c r="Z992" s="441"/>
    </row>
    <row r="993">
      <c r="A993" s="441"/>
      <c r="B993" s="441"/>
      <c r="C993" s="441"/>
      <c r="D993" s="441"/>
      <c r="E993" s="441"/>
      <c r="F993" s="441"/>
      <c r="G993" s="441"/>
      <c r="H993" s="441"/>
      <c r="I993" s="441"/>
      <c r="J993" s="441"/>
      <c r="K993" s="441"/>
      <c r="L993" s="441"/>
      <c r="M993" s="441"/>
      <c r="N993" s="441"/>
      <c r="O993" s="441"/>
      <c r="P993" s="441"/>
      <c r="Q993" s="441"/>
      <c r="R993" s="441"/>
      <c r="S993" s="441"/>
      <c r="T993" s="441"/>
      <c r="U993" s="441"/>
      <c r="V993" s="441"/>
      <c r="W993" s="441"/>
      <c r="X993" s="441"/>
      <c r="Y993" s="441"/>
      <c r="Z993" s="441"/>
    </row>
    <row r="994">
      <c r="A994" s="441"/>
      <c r="B994" s="441"/>
      <c r="C994" s="441"/>
      <c r="D994" s="441"/>
      <c r="E994" s="441"/>
      <c r="F994" s="441"/>
      <c r="G994" s="441"/>
      <c r="H994" s="441"/>
      <c r="I994" s="441"/>
      <c r="J994" s="441"/>
      <c r="K994" s="441"/>
      <c r="L994" s="441"/>
      <c r="M994" s="441"/>
      <c r="N994" s="441"/>
      <c r="O994" s="441"/>
      <c r="P994" s="441"/>
      <c r="Q994" s="441"/>
      <c r="R994" s="441"/>
      <c r="S994" s="441"/>
      <c r="T994" s="441"/>
      <c r="U994" s="441"/>
      <c r="V994" s="441"/>
      <c r="W994" s="441"/>
      <c r="X994" s="441"/>
      <c r="Y994" s="441"/>
      <c r="Z994" s="441"/>
    </row>
    <row r="995">
      <c r="A995" s="441"/>
      <c r="B995" s="441"/>
      <c r="C995" s="441"/>
      <c r="D995" s="441"/>
      <c r="E995" s="441"/>
      <c r="F995" s="441"/>
      <c r="G995" s="441"/>
      <c r="H995" s="441"/>
      <c r="I995" s="441"/>
      <c r="J995" s="441"/>
      <c r="K995" s="441"/>
      <c r="L995" s="441"/>
      <c r="M995" s="441"/>
      <c r="N995" s="441"/>
      <c r="O995" s="441"/>
      <c r="P995" s="441"/>
      <c r="Q995" s="441"/>
      <c r="R995" s="441"/>
      <c r="S995" s="441"/>
      <c r="T995" s="441"/>
      <c r="U995" s="441"/>
      <c r="V995" s="441"/>
      <c r="W995" s="441"/>
      <c r="X995" s="441"/>
      <c r="Y995" s="441"/>
      <c r="Z995" s="441"/>
    </row>
    <row r="996">
      <c r="A996" s="441"/>
      <c r="B996" s="441"/>
      <c r="C996" s="441"/>
      <c r="D996" s="441"/>
      <c r="E996" s="441"/>
      <c r="F996" s="441"/>
      <c r="G996" s="441"/>
      <c r="H996" s="441"/>
      <c r="I996" s="441"/>
      <c r="J996" s="441"/>
      <c r="K996" s="441"/>
      <c r="L996" s="441"/>
      <c r="M996" s="441"/>
      <c r="N996" s="441"/>
      <c r="O996" s="441"/>
      <c r="P996" s="441"/>
      <c r="Q996" s="441"/>
      <c r="R996" s="441"/>
      <c r="S996" s="441"/>
      <c r="T996" s="441"/>
      <c r="U996" s="441"/>
      <c r="V996" s="441"/>
      <c r="W996" s="441"/>
      <c r="X996" s="441"/>
      <c r="Y996" s="441"/>
      <c r="Z996" s="441"/>
    </row>
    <row r="997">
      <c r="A997" s="441"/>
      <c r="B997" s="441"/>
      <c r="C997" s="441"/>
      <c r="D997" s="441"/>
      <c r="E997" s="441"/>
      <c r="F997" s="441"/>
      <c r="G997" s="441"/>
      <c r="H997" s="441"/>
      <c r="I997" s="441"/>
      <c r="J997" s="441"/>
      <c r="K997" s="441"/>
      <c r="L997" s="441"/>
      <c r="M997" s="441"/>
      <c r="N997" s="441"/>
      <c r="O997" s="441"/>
      <c r="P997" s="441"/>
      <c r="Q997" s="441"/>
      <c r="R997" s="441"/>
      <c r="S997" s="441"/>
      <c r="T997" s="441"/>
      <c r="U997" s="441"/>
      <c r="V997" s="441"/>
      <c r="W997" s="441"/>
      <c r="X997" s="441"/>
      <c r="Y997" s="441"/>
      <c r="Z997" s="441"/>
    </row>
    <row r="998">
      <c r="A998" s="441"/>
      <c r="B998" s="441"/>
      <c r="C998" s="441"/>
      <c r="D998" s="441"/>
      <c r="E998" s="441"/>
      <c r="F998" s="441"/>
      <c r="G998" s="441"/>
      <c r="H998" s="441"/>
      <c r="I998" s="441"/>
      <c r="J998" s="441"/>
      <c r="K998" s="441"/>
      <c r="L998" s="441"/>
      <c r="M998" s="441"/>
      <c r="N998" s="441"/>
      <c r="O998" s="441"/>
      <c r="P998" s="441"/>
      <c r="Q998" s="441"/>
      <c r="R998" s="441"/>
      <c r="S998" s="441"/>
      <c r="T998" s="441"/>
      <c r="U998" s="441"/>
      <c r="V998" s="441"/>
      <c r="W998" s="441"/>
      <c r="X998" s="441"/>
      <c r="Y998" s="441"/>
      <c r="Z998" s="441"/>
    </row>
    <row r="999">
      <c r="A999" s="441"/>
      <c r="B999" s="441"/>
      <c r="C999" s="441"/>
      <c r="D999" s="441"/>
      <c r="E999" s="441"/>
      <c r="F999" s="441"/>
      <c r="G999" s="441"/>
      <c r="H999" s="441"/>
      <c r="I999" s="441"/>
      <c r="J999" s="441"/>
      <c r="K999" s="441"/>
      <c r="L999" s="441"/>
      <c r="M999" s="441"/>
      <c r="N999" s="441"/>
      <c r="O999" s="441"/>
      <c r="P999" s="441"/>
      <c r="Q999" s="441"/>
      <c r="R999" s="441"/>
      <c r="S999" s="441"/>
      <c r="T999" s="441"/>
      <c r="U999" s="441"/>
      <c r="V999" s="441"/>
      <c r="W999" s="441"/>
      <c r="X999" s="441"/>
      <c r="Y999" s="441"/>
      <c r="Z999" s="441"/>
    </row>
    <row r="1000">
      <c r="A1000" s="441"/>
      <c r="B1000" s="441"/>
      <c r="C1000" s="441"/>
      <c r="D1000" s="441"/>
      <c r="E1000" s="441"/>
      <c r="F1000" s="441"/>
      <c r="G1000" s="441"/>
      <c r="H1000" s="441"/>
      <c r="I1000" s="441"/>
      <c r="J1000" s="441"/>
      <c r="K1000" s="441"/>
      <c r="L1000" s="441"/>
      <c r="M1000" s="441"/>
      <c r="N1000" s="441"/>
      <c r="O1000" s="441"/>
      <c r="P1000" s="441"/>
      <c r="Q1000" s="441"/>
      <c r="R1000" s="441"/>
      <c r="S1000" s="441"/>
      <c r="T1000" s="441"/>
      <c r="U1000" s="441"/>
      <c r="V1000" s="441"/>
      <c r="W1000" s="441"/>
      <c r="X1000" s="441"/>
      <c r="Y1000" s="441"/>
      <c r="Z1000" s="441"/>
    </row>
  </sheetData>
  <mergeCells count="10">
    <mergeCell ref="E43:F43"/>
    <mergeCell ref="E44:F44"/>
    <mergeCell ref="G44:H44"/>
    <mergeCell ref="D40:D41"/>
    <mergeCell ref="E40:I40"/>
    <mergeCell ref="E41:F41"/>
    <mergeCell ref="G41:H41"/>
    <mergeCell ref="E42:F42"/>
    <mergeCell ref="G42:H42"/>
    <mergeCell ref="G43:H43"/>
  </mergeCells>
  <printOptions/>
  <pageMargins bottom="0.75" footer="0.0" header="0.0" left="0.7" right="0.7" top="0.75"/>
  <pageSetup paperSize="9" orientation="portrait"/>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22.5"/>
    <col customWidth="1" min="4" max="4" width="6.13"/>
    <col customWidth="1" min="5" max="5" width="24.0"/>
    <col customWidth="1" min="6" max="6" width="13.25"/>
    <col customWidth="1" min="7" max="7" width="15.25"/>
    <col customWidth="1" min="8" max="8" width="17.38"/>
    <col customWidth="1" min="9" max="9" width="44.38"/>
    <col customWidth="1" min="12" max="12" width="19.88"/>
    <col customWidth="1" min="13" max="13" width="20.5"/>
    <col customWidth="1" min="14" max="14" width="24.0"/>
    <col customWidth="1" min="15" max="15" width="26.38"/>
    <col customWidth="1" min="16" max="16" width="17.63"/>
    <col customWidth="1" min="17" max="17" width="22.0"/>
    <col customWidth="1" min="29" max="29" width="19.13"/>
  </cols>
  <sheetData>
    <row r="2">
      <c r="A2" s="1861" t="s">
        <v>2330</v>
      </c>
      <c r="B2" s="1861" t="s">
        <v>2330</v>
      </c>
      <c r="D2" s="1862" t="s">
        <v>361</v>
      </c>
      <c r="E2" s="1863" t="s">
        <v>2331</v>
      </c>
      <c r="F2" s="1864" t="s">
        <v>34</v>
      </c>
      <c r="G2" s="1864" t="s">
        <v>2332</v>
      </c>
      <c r="H2" s="1864" t="s">
        <v>2333</v>
      </c>
      <c r="I2" s="1865" t="s">
        <v>2334</v>
      </c>
      <c r="L2" s="1866" t="s">
        <v>2335</v>
      </c>
      <c r="M2" s="1867" t="s">
        <v>2336</v>
      </c>
      <c r="N2" s="1868" t="s">
        <v>2337</v>
      </c>
      <c r="O2" s="1868" t="s">
        <v>2338</v>
      </c>
      <c r="P2" s="1864" t="s">
        <v>2339</v>
      </c>
      <c r="Q2" s="1869" t="s">
        <v>2340</v>
      </c>
      <c r="S2" s="1870" t="s">
        <v>2341</v>
      </c>
    </row>
    <row r="3">
      <c r="A3" s="410" t="s">
        <v>2342</v>
      </c>
      <c r="B3" s="410" t="s">
        <v>2343</v>
      </c>
      <c r="D3" s="1871">
        <v>1.0</v>
      </c>
      <c r="E3" s="1872" t="s">
        <v>2344</v>
      </c>
      <c r="F3" s="1873" t="s">
        <v>66</v>
      </c>
      <c r="G3" s="1873" t="s">
        <v>60</v>
      </c>
      <c r="H3" s="1874" t="s">
        <v>2345</v>
      </c>
      <c r="I3" s="1875" t="s">
        <v>2346</v>
      </c>
      <c r="K3" s="36" t="str">
        <f t="shared" ref="K3:K31" si="1">RIGHT(H3,2)</f>
        <v>-4</v>
      </c>
      <c r="M3" s="36">
        <f>IF(VLOOKUP(E3,'Персонаж'!$N$7:$O$38,2,FALSE)&gt;=2,1,0)</f>
        <v>0</v>
      </c>
      <c r="N3" s="410">
        <v>180.0</v>
      </c>
      <c r="O3" s="410">
        <v>180.0</v>
      </c>
      <c r="P3" s="410">
        <v>1.0</v>
      </c>
      <c r="Q3" s="404" t="s">
        <v>2347</v>
      </c>
      <c r="S3" s="1861" t="s">
        <v>2348</v>
      </c>
      <c r="T3" s="1100"/>
      <c r="U3" s="1100"/>
      <c r="V3" s="1100"/>
      <c r="W3" s="1100"/>
      <c r="X3" s="1100"/>
      <c r="Y3" s="1100"/>
      <c r="Z3" s="1100"/>
      <c r="AA3" s="1100"/>
      <c r="AB3" s="1100"/>
      <c r="AC3" s="1100"/>
      <c r="AD3" s="1100"/>
    </row>
    <row r="4">
      <c r="A4" s="1861" t="s">
        <v>2349</v>
      </c>
      <c r="B4" s="1861" t="s">
        <v>2342</v>
      </c>
      <c r="C4" s="1100"/>
      <c r="D4" s="1876">
        <v>2.0</v>
      </c>
      <c r="E4" s="1877" t="s">
        <v>2350</v>
      </c>
      <c r="F4" s="1878" t="s">
        <v>60</v>
      </c>
      <c r="G4" s="1878" t="s">
        <v>49</v>
      </c>
      <c r="H4" s="1879" t="s">
        <v>2345</v>
      </c>
      <c r="I4" s="1880" t="s">
        <v>2351</v>
      </c>
      <c r="J4" s="1100"/>
      <c r="K4" s="1100" t="str">
        <f t="shared" si="1"/>
        <v>-4</v>
      </c>
      <c r="L4" s="1861" t="str">
        <f>'Оружие'!A426</f>
        <v>Метательный нож</v>
      </c>
      <c r="M4" s="1100">
        <f>IF(VLOOKUP(E4,'Персонаж'!$N$7:$O$38,2,FALSE)&gt;=2,1,0)</f>
        <v>0</v>
      </c>
      <c r="N4" s="1861">
        <v>120.0</v>
      </c>
      <c r="O4" s="1861">
        <v>120.0</v>
      </c>
      <c r="P4" s="1861">
        <v>1.0</v>
      </c>
      <c r="Q4" s="1103" t="s">
        <v>2347</v>
      </c>
      <c r="R4" s="1100"/>
      <c r="S4" s="1867" t="s">
        <v>2352</v>
      </c>
    </row>
    <row r="5">
      <c r="A5" s="410" t="s">
        <v>2342</v>
      </c>
      <c r="D5" s="1871">
        <v>3.0</v>
      </c>
      <c r="E5" s="1872" t="s">
        <v>2353</v>
      </c>
      <c r="F5" s="1873" t="s">
        <v>49</v>
      </c>
      <c r="G5" s="1873" t="s">
        <v>77</v>
      </c>
      <c r="H5" s="1874" t="s">
        <v>2345</v>
      </c>
      <c r="I5" s="1875" t="s">
        <v>2354</v>
      </c>
      <c r="K5" s="36" t="str">
        <f t="shared" si="1"/>
        <v>-4</v>
      </c>
      <c r="M5" s="36">
        <f>IF(VLOOKUP(E5,'Персонаж'!$N$7:$O$38,2,FALSE)&gt;=2,1,0)</f>
        <v>0</v>
      </c>
      <c r="N5" s="410">
        <v>120.0</v>
      </c>
      <c r="O5" s="410">
        <v>120.0</v>
      </c>
      <c r="P5" s="410">
        <v>0.0</v>
      </c>
      <c r="Q5" s="404" t="s">
        <v>2347</v>
      </c>
      <c r="S5" s="1861" t="s">
        <v>2355</v>
      </c>
      <c r="T5" s="1100"/>
      <c r="U5" s="1100"/>
      <c r="V5" s="1100"/>
      <c r="W5" s="1100"/>
      <c r="X5" s="1100"/>
      <c r="Y5" s="1100"/>
      <c r="Z5" s="1100"/>
      <c r="AA5" s="1100"/>
      <c r="AB5" s="1100"/>
      <c r="AC5" s="1100"/>
      <c r="AD5" s="1100"/>
    </row>
    <row r="6">
      <c r="A6" s="410" t="s">
        <v>2343</v>
      </c>
      <c r="B6" s="410" t="s">
        <v>2349</v>
      </c>
      <c r="D6" s="1871">
        <v>4.0</v>
      </c>
      <c r="E6" s="1872" t="s">
        <v>2356</v>
      </c>
      <c r="F6" s="1873" t="s">
        <v>66</v>
      </c>
      <c r="G6" s="1873" t="s">
        <v>49</v>
      </c>
      <c r="H6" s="1874" t="s">
        <v>2345</v>
      </c>
      <c r="I6" s="1875" t="s">
        <v>2357</v>
      </c>
      <c r="K6" s="36" t="str">
        <f t="shared" si="1"/>
        <v>-4</v>
      </c>
      <c r="M6" s="36">
        <f>IF(VLOOKUP(E6,'Персонаж'!$N$7:$O$38,2,FALSE)&gt;=2,1,0)</f>
        <v>0</v>
      </c>
      <c r="N6" s="410">
        <v>120.0</v>
      </c>
      <c r="O6" s="410">
        <v>120.0</v>
      </c>
      <c r="P6" s="410">
        <v>1.0</v>
      </c>
      <c r="Q6" s="404" t="s">
        <v>2347</v>
      </c>
      <c r="S6" s="1867" t="s">
        <v>2358</v>
      </c>
      <c r="AD6" s="1100"/>
    </row>
    <row r="7">
      <c r="A7" s="410" t="s">
        <v>2359</v>
      </c>
      <c r="D7" s="1871">
        <v>5.0</v>
      </c>
      <c r="E7" s="1872" t="s">
        <v>2360</v>
      </c>
      <c r="F7" s="1873" t="s">
        <v>63</v>
      </c>
      <c r="G7" s="1873" t="s">
        <v>52</v>
      </c>
      <c r="H7" s="1874" t="s">
        <v>2345</v>
      </c>
      <c r="I7" s="1875" t="s">
        <v>2361</v>
      </c>
      <c r="K7" s="36" t="str">
        <f t="shared" si="1"/>
        <v>-4</v>
      </c>
      <c r="L7" s="410" t="str">
        <f>'Оружие'!A36</f>
        <v>Серп</v>
      </c>
      <c r="M7" s="36">
        <f>IF(VLOOKUP(E7,'Персонаж'!$N$7:$O$38,2,FALSE)&gt;=2,1,0)</f>
        <v>0</v>
      </c>
      <c r="N7" s="410">
        <v>120.0</v>
      </c>
      <c r="O7" s="410">
        <v>120.0</v>
      </c>
      <c r="P7" s="410">
        <v>1.0</v>
      </c>
      <c r="Q7" s="404" t="s">
        <v>2347</v>
      </c>
      <c r="AD7" s="1100"/>
    </row>
    <row r="8">
      <c r="A8" s="410" t="s">
        <v>2343</v>
      </c>
      <c r="D8" s="1871">
        <v>6.0</v>
      </c>
      <c r="E8" s="1872" t="s">
        <v>2362</v>
      </c>
      <c r="F8" s="1873" t="s">
        <v>66</v>
      </c>
      <c r="G8" s="1873" t="s">
        <v>49</v>
      </c>
      <c r="H8" s="1874" t="s">
        <v>2345</v>
      </c>
      <c r="I8" s="1875" t="s">
        <v>391</v>
      </c>
      <c r="K8" s="36" t="str">
        <f t="shared" si="1"/>
        <v>-4</v>
      </c>
      <c r="L8" s="410" t="str">
        <f>'Оружие'!A4</f>
        <v>Кукри</v>
      </c>
      <c r="M8" s="36">
        <f>IF(VLOOKUP(E8,'Персонаж'!$N$7:$O$38,2,FALSE)&gt;=2,1,0)</f>
        <v>0</v>
      </c>
      <c r="N8" s="410">
        <v>120.0</v>
      </c>
      <c r="O8" s="410">
        <v>120.0</v>
      </c>
      <c r="P8" s="410">
        <v>1.0</v>
      </c>
      <c r="Q8" s="404" t="s">
        <v>2347</v>
      </c>
    </row>
    <row r="9">
      <c r="A9" s="410" t="s">
        <v>2342</v>
      </c>
      <c r="D9" s="1871">
        <v>7.0</v>
      </c>
      <c r="E9" s="1872" t="s">
        <v>2363</v>
      </c>
      <c r="F9" s="1873" t="s">
        <v>77</v>
      </c>
      <c r="G9" s="1873" t="s">
        <v>63</v>
      </c>
      <c r="H9" s="1874" t="s">
        <v>2364</v>
      </c>
      <c r="I9" s="1875" t="s">
        <v>2365</v>
      </c>
      <c r="K9" s="36" t="str">
        <f t="shared" si="1"/>
        <v>-2</v>
      </c>
      <c r="L9" s="410" t="str">
        <f>'Оружие'!A142</f>
        <v>Дубина</v>
      </c>
      <c r="M9" s="36">
        <f>IF(VLOOKUP(E9,'Персонаж'!$N$7:$O$38,2,FALSE)&gt;=2,1,0)</f>
        <v>0</v>
      </c>
      <c r="N9" s="410">
        <v>120.0</v>
      </c>
      <c r="O9" s="410">
        <v>120.0</v>
      </c>
      <c r="P9" s="410">
        <v>1.0</v>
      </c>
      <c r="Q9" s="404" t="s">
        <v>2347</v>
      </c>
    </row>
    <row r="10">
      <c r="A10" s="410" t="s">
        <v>2343</v>
      </c>
      <c r="D10" s="1871">
        <v>8.0</v>
      </c>
      <c r="E10" s="1872" t="s">
        <v>1555</v>
      </c>
      <c r="F10" s="1873" t="s">
        <v>66</v>
      </c>
      <c r="G10" s="1873" t="s">
        <v>44</v>
      </c>
      <c r="H10" s="1874" t="s">
        <v>2345</v>
      </c>
      <c r="I10" s="1875" t="s">
        <v>2366</v>
      </c>
      <c r="K10" s="36" t="str">
        <f t="shared" si="1"/>
        <v>-4</v>
      </c>
      <c r="L10" s="410" t="str">
        <f>'Оружие'!A174</f>
        <v>Булава</v>
      </c>
      <c r="M10" s="36">
        <f>IF(VLOOKUP(E10,'Персонаж'!$N$7:$O$38,2,FALSE)&gt;=2,1,0)</f>
        <v>0</v>
      </c>
      <c r="N10" s="410">
        <v>120.0</v>
      </c>
      <c r="O10" s="410">
        <v>120.0</v>
      </c>
      <c r="P10" s="410">
        <v>1.0</v>
      </c>
      <c r="Q10" s="404" t="s">
        <v>2347</v>
      </c>
      <c r="S10" s="410"/>
    </row>
    <row r="11">
      <c r="A11" s="410" t="s">
        <v>2367</v>
      </c>
      <c r="D11" s="1871">
        <v>9.0</v>
      </c>
      <c r="E11" s="1872" t="s">
        <v>2368</v>
      </c>
      <c r="F11" s="1873" t="s">
        <v>49</v>
      </c>
      <c r="G11" s="1873" t="s">
        <v>55</v>
      </c>
      <c r="H11" s="1874" t="s">
        <v>2364</v>
      </c>
      <c r="I11" s="1875" t="s">
        <v>2369</v>
      </c>
      <c r="K11" s="36" t="str">
        <f t="shared" si="1"/>
        <v>-2</v>
      </c>
      <c r="M11" s="36">
        <f>IF(VLOOKUP(E11,'Персонаж'!$N$7:$O$38,2,FALSE)&gt;=2,1,0)</f>
        <v>0</v>
      </c>
      <c r="N11" s="410">
        <v>120.0</v>
      </c>
      <c r="O11" s="410">
        <v>120.0</v>
      </c>
      <c r="P11" s="410">
        <v>1.0</v>
      </c>
      <c r="Q11" s="404" t="s">
        <v>2347</v>
      </c>
    </row>
    <row r="12">
      <c r="A12" s="410" t="s">
        <v>2342</v>
      </c>
      <c r="D12" s="1871">
        <v>10.0</v>
      </c>
      <c r="E12" s="1872" t="s">
        <v>2370</v>
      </c>
      <c r="F12" s="1873" t="s">
        <v>66</v>
      </c>
      <c r="G12" s="1873" t="s">
        <v>49</v>
      </c>
      <c r="H12" s="1874" t="s">
        <v>2345</v>
      </c>
      <c r="I12" s="1875" t="s">
        <v>2371</v>
      </c>
      <c r="K12" s="36" t="str">
        <f t="shared" si="1"/>
        <v>-4</v>
      </c>
      <c r="M12" s="36">
        <f>IF(VLOOKUP(E12,'Персонаж'!$N$7:$O$38,2,FALSE)&gt;=2,1,0)</f>
        <v>0</v>
      </c>
      <c r="N12" s="410">
        <v>120.0</v>
      </c>
      <c r="O12" s="410">
        <v>120.0</v>
      </c>
      <c r="P12" s="410">
        <v>1.0</v>
      </c>
      <c r="Q12" s="404" t="s">
        <v>2347</v>
      </c>
    </row>
    <row r="13">
      <c r="A13" s="410" t="s">
        <v>2343</v>
      </c>
      <c r="B13" s="410" t="s">
        <v>2342</v>
      </c>
      <c r="D13" s="1871">
        <v>11.0</v>
      </c>
      <c r="E13" s="1872" t="s">
        <v>2372</v>
      </c>
      <c r="F13" s="1873" t="s">
        <v>66</v>
      </c>
      <c r="G13" s="1873" t="s">
        <v>60</v>
      </c>
      <c r="H13" s="1874" t="s">
        <v>2345</v>
      </c>
      <c r="I13" s="1875" t="s">
        <v>2373</v>
      </c>
      <c r="K13" s="36" t="str">
        <f t="shared" si="1"/>
        <v>-4</v>
      </c>
      <c r="M13" s="36">
        <f>IF(VLOOKUP(E13,'Персонаж'!$N$7:$O$38,2,FALSE)&gt;=2,1,0)</f>
        <v>0</v>
      </c>
      <c r="N13" s="410">
        <v>180.0</v>
      </c>
      <c r="O13" s="410">
        <v>180.0</v>
      </c>
      <c r="P13" s="410">
        <v>1.0</v>
      </c>
      <c r="Q13" s="404" t="s">
        <v>2347</v>
      </c>
    </row>
    <row r="14">
      <c r="A14" s="410" t="s">
        <v>2359</v>
      </c>
      <c r="D14" s="1871">
        <v>12.0</v>
      </c>
      <c r="E14" s="1872" t="s">
        <v>2374</v>
      </c>
      <c r="F14" s="1873" t="s">
        <v>66</v>
      </c>
      <c r="G14" s="1873" t="s">
        <v>52</v>
      </c>
      <c r="H14" s="1874" t="s">
        <v>2364</v>
      </c>
      <c r="I14" s="1875" t="s">
        <v>2375</v>
      </c>
      <c r="K14" s="36" t="str">
        <f t="shared" si="1"/>
        <v>-2</v>
      </c>
      <c r="L14" s="410" t="str">
        <f>'Оружие'!A85</f>
        <v>Сабля</v>
      </c>
      <c r="M14" s="36">
        <f>IF(VLOOKUP(E14,'Персонаж'!$N$7:$O$38,2,FALSE)&gt;=2,1,0)</f>
        <v>0</v>
      </c>
      <c r="N14" s="410">
        <v>120.0</v>
      </c>
      <c r="O14" s="410">
        <v>120.0</v>
      </c>
      <c r="P14" s="410">
        <v>0.0</v>
      </c>
      <c r="Q14" s="404" t="s">
        <v>2347</v>
      </c>
    </row>
    <row r="15">
      <c r="A15" s="410" t="s">
        <v>2342</v>
      </c>
      <c r="D15" s="1871">
        <v>13.0</v>
      </c>
      <c r="E15" s="1872" t="s">
        <v>2376</v>
      </c>
      <c r="F15" s="1873" t="s">
        <v>60</v>
      </c>
      <c r="G15" s="1873" t="s">
        <v>72</v>
      </c>
      <c r="H15" s="1874" t="s">
        <v>2364</v>
      </c>
      <c r="I15" s="1875" t="s">
        <v>2377</v>
      </c>
      <c r="K15" s="36" t="str">
        <f t="shared" si="1"/>
        <v>-2</v>
      </c>
      <c r="M15" s="36">
        <f>IF(VLOOKUP(E15,'Персонаж'!$N$7:$O$38,2,FALSE)&gt;=2,1,0)</f>
        <v>0</v>
      </c>
      <c r="N15" s="410">
        <v>120.0</v>
      </c>
      <c r="O15" s="410">
        <v>120.0</v>
      </c>
      <c r="P15" s="410">
        <v>1.0</v>
      </c>
      <c r="Q15" s="404" t="s">
        <v>2347</v>
      </c>
    </row>
    <row r="16">
      <c r="A16" s="410" t="s">
        <v>2367</v>
      </c>
      <c r="B16" s="410" t="s">
        <v>2359</v>
      </c>
      <c r="D16" s="1871">
        <v>14.0</v>
      </c>
      <c r="E16" s="1872" t="s">
        <v>2378</v>
      </c>
      <c r="F16" s="1873" t="s">
        <v>49</v>
      </c>
      <c r="G16" s="1873" t="s">
        <v>77</v>
      </c>
      <c r="H16" s="1874" t="s">
        <v>2364</v>
      </c>
      <c r="I16" s="1875" t="s">
        <v>2379</v>
      </c>
      <c r="K16" s="36" t="str">
        <f t="shared" si="1"/>
        <v>-2</v>
      </c>
      <c r="M16" s="36">
        <f>IF(VLOOKUP(E16,'Персонаж'!$N$7:$O$38,2,FALSE)&gt;=2,1,0)</f>
        <v>0</v>
      </c>
      <c r="N16" s="410">
        <v>120.0</v>
      </c>
      <c r="O16" s="410">
        <v>120.0</v>
      </c>
      <c r="P16" s="410">
        <v>0.0</v>
      </c>
      <c r="Q16" s="404" t="s">
        <v>2347</v>
      </c>
    </row>
    <row r="17">
      <c r="A17" s="410" t="s">
        <v>2359</v>
      </c>
      <c r="D17" s="1871">
        <v>15.0</v>
      </c>
      <c r="E17" s="1872" t="s">
        <v>2380</v>
      </c>
      <c r="F17" s="1873" t="s">
        <v>77</v>
      </c>
      <c r="G17" s="1873" t="s">
        <v>66</v>
      </c>
      <c r="H17" s="1874" t="s">
        <v>2364</v>
      </c>
      <c r="I17" s="1875" t="s">
        <v>2381</v>
      </c>
      <c r="K17" s="36" t="str">
        <f t="shared" si="1"/>
        <v>-2</v>
      </c>
      <c r="L17" s="1881" t="str">
        <f>'Оружие'!A560</f>
        <v>Короткий лук</v>
      </c>
      <c r="M17" s="36">
        <f>IF(VLOOKUP(E17,'Персонаж'!$N$7:$O$38,2,FALSE)&gt;=2,1,0)</f>
        <v>0</v>
      </c>
      <c r="N17" s="410">
        <v>120.0</v>
      </c>
      <c r="O17" s="410">
        <v>120.0</v>
      </c>
      <c r="P17" s="410">
        <v>0.0</v>
      </c>
      <c r="Q17" s="404" t="s">
        <v>2347</v>
      </c>
    </row>
    <row r="18">
      <c r="A18" s="410" t="s">
        <v>2359</v>
      </c>
      <c r="D18" s="1871">
        <v>16.0</v>
      </c>
      <c r="E18" s="1872" t="s">
        <v>2382</v>
      </c>
      <c r="F18" s="1873" t="s">
        <v>63</v>
      </c>
      <c r="G18" s="1873" t="s">
        <v>52</v>
      </c>
      <c r="H18" s="1874" t="s">
        <v>2345</v>
      </c>
      <c r="I18" s="1875" t="s">
        <v>2383</v>
      </c>
      <c r="K18" s="36" t="str">
        <f t="shared" si="1"/>
        <v>-4</v>
      </c>
      <c r="L18" s="410" t="str">
        <f>'Оружие'!A239</f>
        <v>Посох</v>
      </c>
      <c r="M18" s="36">
        <f>IF(VLOOKUP(E18,'Персонаж'!$N$7:$O$38,2,FALSE)&gt;=2,1,0)</f>
        <v>0</v>
      </c>
      <c r="N18" s="410">
        <v>120.0</v>
      </c>
      <c r="O18" s="410">
        <v>120.0</v>
      </c>
      <c r="P18" s="410">
        <v>0.0</v>
      </c>
      <c r="Q18" s="404" t="s">
        <v>2347</v>
      </c>
    </row>
    <row r="19">
      <c r="A19" s="410" t="s">
        <v>2343</v>
      </c>
      <c r="B19" s="410" t="s">
        <v>2359</v>
      </c>
      <c r="D19" s="1871">
        <v>17.0</v>
      </c>
      <c r="E19" s="1872" t="s">
        <v>2384</v>
      </c>
      <c r="F19" s="1873" t="s">
        <v>66</v>
      </c>
      <c r="G19" s="1873" t="s">
        <v>77</v>
      </c>
      <c r="H19" s="1874" t="s">
        <v>2345</v>
      </c>
      <c r="I19" s="1875" t="s">
        <v>2385</v>
      </c>
      <c r="K19" s="36" t="str">
        <f t="shared" si="1"/>
        <v>-4</v>
      </c>
      <c r="M19" s="36">
        <f>IF(VLOOKUP(E19,'Персонаж'!$N$7:$O$38,2,FALSE)&gt;=2,1,0)</f>
        <v>0</v>
      </c>
      <c r="N19" s="410">
        <v>120.0</v>
      </c>
      <c r="O19" s="410">
        <v>120.0</v>
      </c>
      <c r="P19" s="410">
        <v>1.0</v>
      </c>
      <c r="Q19" s="404" t="s">
        <v>2347</v>
      </c>
    </row>
    <row r="20">
      <c r="A20" s="410" t="s">
        <v>2342</v>
      </c>
      <c r="B20" s="410" t="s">
        <v>2349</v>
      </c>
      <c r="D20" s="1871">
        <v>18.0</v>
      </c>
      <c r="E20" s="1872" t="s">
        <v>2386</v>
      </c>
      <c r="F20" s="1873" t="s">
        <v>66</v>
      </c>
      <c r="G20" s="1873" t="s">
        <v>63</v>
      </c>
      <c r="H20" s="1874" t="s">
        <v>2345</v>
      </c>
      <c r="I20" s="1875" t="s">
        <v>2387</v>
      </c>
      <c r="K20" s="36" t="str">
        <f t="shared" si="1"/>
        <v>-4</v>
      </c>
      <c r="M20" s="36">
        <f>IF(VLOOKUP(E20,'Персонаж'!$N$7:$O$38,2,FALSE)&gt;=2,1,0)</f>
        <v>0</v>
      </c>
      <c r="N20" s="410">
        <v>120.0</v>
      </c>
      <c r="O20" s="410">
        <v>120.0</v>
      </c>
      <c r="P20" s="410">
        <v>1.0</v>
      </c>
      <c r="Q20" s="404" t="s">
        <v>2347</v>
      </c>
    </row>
    <row r="21">
      <c r="A21" s="410" t="s">
        <v>2343</v>
      </c>
      <c r="B21" s="410" t="s">
        <v>2349</v>
      </c>
      <c r="D21" s="1871">
        <v>19.0</v>
      </c>
      <c r="E21" s="1872" t="s">
        <v>2388</v>
      </c>
      <c r="F21" s="1873" t="s">
        <v>66</v>
      </c>
      <c r="G21" s="1873" t="s">
        <v>77</v>
      </c>
      <c r="H21" s="1874" t="s">
        <v>2345</v>
      </c>
      <c r="I21" s="1875" t="s">
        <v>2389</v>
      </c>
      <c r="K21" s="36" t="str">
        <f t="shared" si="1"/>
        <v>-4</v>
      </c>
      <c r="M21" s="36">
        <f>IF(VLOOKUP(E21,'Персонаж'!$N$7:$O$38,2,FALSE)&gt;=2,1,0)</f>
        <v>0</v>
      </c>
      <c r="N21" s="410">
        <v>120.0</v>
      </c>
      <c r="O21" s="410">
        <v>120.0</v>
      </c>
      <c r="P21" s="410">
        <v>1.0</v>
      </c>
      <c r="Q21" s="404" t="s">
        <v>2347</v>
      </c>
    </row>
    <row r="22">
      <c r="A22" s="410" t="s">
        <v>2343</v>
      </c>
      <c r="B22" s="410" t="s">
        <v>2342</v>
      </c>
      <c r="D22" s="1871">
        <v>20.0</v>
      </c>
      <c r="E22" s="1872" t="s">
        <v>2390</v>
      </c>
      <c r="F22" s="1873" t="s">
        <v>66</v>
      </c>
      <c r="G22" s="1873" t="s">
        <v>49</v>
      </c>
      <c r="H22" s="1874" t="s">
        <v>2364</v>
      </c>
      <c r="I22" s="1875" t="s">
        <v>527</v>
      </c>
      <c r="K22" s="36" t="str">
        <f t="shared" si="1"/>
        <v>-2</v>
      </c>
      <c r="L22" s="410" t="str">
        <f>'Оружие'!A158</f>
        <v>Тесак</v>
      </c>
      <c r="M22" s="36">
        <f>IF(VLOOKUP(E22,'Персонаж'!$N$7:$O$38,2,FALSE)&gt;=2,1,0)</f>
        <v>0</v>
      </c>
      <c r="N22" s="410">
        <v>120.0</v>
      </c>
      <c r="O22" s="410">
        <v>120.0</v>
      </c>
      <c r="P22" s="410">
        <v>1.0</v>
      </c>
      <c r="Q22" s="404" t="s">
        <v>2347</v>
      </c>
    </row>
    <row r="23">
      <c r="A23" s="410" t="s">
        <v>2343</v>
      </c>
      <c r="B23" s="410" t="s">
        <v>2349</v>
      </c>
      <c r="D23" s="1871">
        <v>25.0</v>
      </c>
      <c r="E23" s="1872" t="s">
        <v>2391</v>
      </c>
      <c r="F23" s="1873" t="s">
        <v>66</v>
      </c>
      <c r="G23" s="1873" t="s">
        <v>49</v>
      </c>
      <c r="H23" s="1874" t="s">
        <v>2345</v>
      </c>
      <c r="I23" s="1875" t="s">
        <v>2392</v>
      </c>
      <c r="K23" s="36" t="str">
        <f t="shared" si="1"/>
        <v>-4</v>
      </c>
      <c r="M23" s="36">
        <f>IF(VLOOKUP(E23,'Персонаж'!$N$7:$O$38,2,FALSE)&gt;=2,1,0)</f>
        <v>0</v>
      </c>
      <c r="N23" s="410">
        <v>120.0</v>
      </c>
      <c r="O23" s="410">
        <v>120.0</v>
      </c>
      <c r="P23" s="410">
        <v>1.0</v>
      </c>
      <c r="Q23" s="404" t="s">
        <v>2347</v>
      </c>
    </row>
    <row r="24">
      <c r="A24" s="410" t="s">
        <v>2359</v>
      </c>
      <c r="D24" s="1871">
        <v>21.0</v>
      </c>
      <c r="E24" s="1872" t="s">
        <v>2393</v>
      </c>
      <c r="F24" s="1873" t="s">
        <v>44</v>
      </c>
      <c r="G24" s="1873" t="s">
        <v>52</v>
      </c>
      <c r="H24" s="1874" t="s">
        <v>2364</v>
      </c>
      <c r="I24" s="1875" t="s">
        <v>2394</v>
      </c>
      <c r="K24" s="36" t="str">
        <f t="shared" si="1"/>
        <v>-2</v>
      </c>
      <c r="L24" s="410" t="str">
        <f>'Оружие'!A166</f>
        <v>Кирка</v>
      </c>
      <c r="M24" s="36">
        <f>IF(VLOOKUP(E24,'Персонаж'!$N$7:$O$38,2,FALSE)&gt;=2,1,0)</f>
        <v>0</v>
      </c>
      <c r="N24" s="410">
        <v>120.0</v>
      </c>
      <c r="O24" s="410">
        <v>120.0</v>
      </c>
      <c r="P24" s="410">
        <v>0.0</v>
      </c>
      <c r="Q24" s="404" t="s">
        <v>2347</v>
      </c>
    </row>
    <row r="25">
      <c r="A25" s="410" t="s">
        <v>2359</v>
      </c>
      <c r="D25" s="1871">
        <v>22.0</v>
      </c>
      <c r="E25" s="1872" t="s">
        <v>2395</v>
      </c>
      <c r="F25" s="1873" t="s">
        <v>66</v>
      </c>
      <c r="G25" s="1873" t="s">
        <v>49</v>
      </c>
      <c r="H25" s="1874" t="s">
        <v>2345</v>
      </c>
      <c r="I25" s="1875" t="s">
        <v>2396</v>
      </c>
      <c r="K25" s="36" t="str">
        <f t="shared" si="1"/>
        <v>-4</v>
      </c>
      <c r="L25" s="410" t="str">
        <f>'Оружие'!A247</f>
        <v>Короткое копье</v>
      </c>
      <c r="M25" s="36">
        <f>IF(VLOOKUP(E25,'Персонаж'!$N$7:$O$38,2,FALSE)&gt;=2,1,0)</f>
        <v>0</v>
      </c>
      <c r="N25" s="410">
        <v>120.0</v>
      </c>
      <c r="O25" s="410">
        <v>120.0</v>
      </c>
      <c r="P25" s="410">
        <v>0.0</v>
      </c>
      <c r="Q25" s="404" t="s">
        <v>2347</v>
      </c>
    </row>
    <row r="26">
      <c r="A26" s="410" t="s">
        <v>2343</v>
      </c>
      <c r="D26" s="1871">
        <v>23.0</v>
      </c>
      <c r="E26" s="1872" t="s">
        <v>2397</v>
      </c>
      <c r="F26" s="1873" t="s">
        <v>66</v>
      </c>
      <c r="G26" s="1873" t="s">
        <v>49</v>
      </c>
      <c r="H26" s="1874" t="s">
        <v>2345</v>
      </c>
      <c r="I26" s="1875" t="s">
        <v>2398</v>
      </c>
      <c r="K26" s="36" t="str">
        <f t="shared" si="1"/>
        <v>-4</v>
      </c>
      <c r="M26" s="36">
        <f>IF(VLOOKUP(E26,'Персонаж'!$N$7:$O$38,2,FALSE)&gt;=2,1,0)</f>
        <v>0</v>
      </c>
      <c r="N26" s="410">
        <v>120.0</v>
      </c>
      <c r="O26" s="410">
        <v>120.0</v>
      </c>
      <c r="P26" s="410">
        <v>1.0</v>
      </c>
      <c r="Q26" s="404" t="s">
        <v>2347</v>
      </c>
    </row>
    <row r="27">
      <c r="A27" s="410" t="s">
        <v>2343</v>
      </c>
      <c r="B27" s="410" t="s">
        <v>2349</v>
      </c>
      <c r="D27" s="1871">
        <v>24.0</v>
      </c>
      <c r="E27" s="1872" t="s">
        <v>2399</v>
      </c>
      <c r="F27" s="1873" t="s">
        <v>66</v>
      </c>
      <c r="G27" s="1873" t="s">
        <v>52</v>
      </c>
      <c r="H27" s="1874" t="s">
        <v>2345</v>
      </c>
      <c r="I27" s="1875" t="s">
        <v>2400</v>
      </c>
      <c r="K27" s="36" t="str">
        <f t="shared" si="1"/>
        <v>-4</v>
      </c>
      <c r="M27" s="36">
        <f>IF(VLOOKUP(E27,'Персонаж'!$N$7:$O$38,2,FALSE)&gt;=2,1,0)</f>
        <v>0</v>
      </c>
      <c r="N27" s="410">
        <v>120.0</v>
      </c>
      <c r="O27" s="410">
        <v>120.0</v>
      </c>
      <c r="P27" s="410">
        <v>1.0</v>
      </c>
      <c r="Q27" s="404" t="s">
        <v>2347</v>
      </c>
    </row>
    <row r="28">
      <c r="A28" s="410" t="s">
        <v>2342</v>
      </c>
      <c r="D28" s="1871">
        <v>26.0</v>
      </c>
      <c r="E28" s="1872" t="s">
        <v>2401</v>
      </c>
      <c r="F28" s="1873" t="s">
        <v>72</v>
      </c>
      <c r="G28" s="1873" t="s">
        <v>66</v>
      </c>
      <c r="H28" s="1874" t="s">
        <v>2364</v>
      </c>
      <c r="I28" s="1875" t="s">
        <v>2402</v>
      </c>
      <c r="K28" s="36" t="str">
        <f t="shared" si="1"/>
        <v>-2</v>
      </c>
      <c r="M28" s="36">
        <f>IF(VLOOKUP(E28,'Персонаж'!$N$7:$O$38,2,FALSE)&gt;=2,1,0)</f>
        <v>0</v>
      </c>
      <c r="N28" s="410">
        <v>120.0</v>
      </c>
      <c r="O28" s="410">
        <v>120.0</v>
      </c>
      <c r="P28" s="410">
        <v>1.0</v>
      </c>
      <c r="Q28" s="404" t="s">
        <v>2347</v>
      </c>
    </row>
    <row r="29">
      <c r="A29" s="410" t="s">
        <v>2359</v>
      </c>
      <c r="D29" s="1871">
        <v>27.0</v>
      </c>
      <c r="E29" s="1872" t="s">
        <v>2403</v>
      </c>
      <c r="F29" s="1873" t="s">
        <v>72</v>
      </c>
      <c r="G29" s="1873" t="s">
        <v>77</v>
      </c>
      <c r="H29" s="1874" t="s">
        <v>2345</v>
      </c>
      <c r="I29" s="1875" t="s">
        <v>2404</v>
      </c>
      <c r="K29" s="36" t="str">
        <f t="shared" si="1"/>
        <v>-4</v>
      </c>
      <c r="M29" s="36">
        <f>IF(VLOOKUP(E29,'Персонаж'!$N$7:$O$38,2,FALSE)&gt;=2,1,0)</f>
        <v>0</v>
      </c>
      <c r="N29" s="410">
        <v>120.0</v>
      </c>
      <c r="O29" s="410">
        <v>120.0</v>
      </c>
      <c r="P29" s="410">
        <v>0.0</v>
      </c>
      <c r="Q29" s="404" t="s">
        <v>2347</v>
      </c>
    </row>
    <row r="30">
      <c r="A30" s="410" t="s">
        <v>2342</v>
      </c>
      <c r="B30" s="410" t="s">
        <v>2349</v>
      </c>
      <c r="D30" s="1871">
        <v>28.0</v>
      </c>
      <c r="E30" s="1872" t="s">
        <v>2405</v>
      </c>
      <c r="F30" s="1873" t="s">
        <v>66</v>
      </c>
      <c r="G30" s="1873" t="s">
        <v>63</v>
      </c>
      <c r="H30" s="1874" t="s">
        <v>2345</v>
      </c>
      <c r="I30" s="1875" t="s">
        <v>2406</v>
      </c>
      <c r="K30" s="36" t="str">
        <f t="shared" si="1"/>
        <v>-4</v>
      </c>
      <c r="M30" s="36">
        <f>IF(VLOOKUP(E30,'Персонаж'!$N$7:$O$38,2,FALSE)&gt;=2,1,0)</f>
        <v>0</v>
      </c>
      <c r="N30" s="410">
        <v>120.0</v>
      </c>
      <c r="O30" s="410">
        <v>120.0</v>
      </c>
      <c r="P30" s="410">
        <v>1.0</v>
      </c>
      <c r="Q30" s="404" t="s">
        <v>2347</v>
      </c>
    </row>
    <row r="31">
      <c r="A31" s="410" t="s">
        <v>2349</v>
      </c>
      <c r="B31" s="410" t="s">
        <v>2343</v>
      </c>
      <c r="D31" s="1871">
        <v>29.0</v>
      </c>
      <c r="E31" s="1872" t="s">
        <v>2407</v>
      </c>
      <c r="F31" s="1873" t="s">
        <v>60</v>
      </c>
      <c r="G31" s="1873" t="s">
        <v>63</v>
      </c>
      <c r="H31" s="1874" t="s">
        <v>2345</v>
      </c>
      <c r="I31" s="1875" t="s">
        <v>2408</v>
      </c>
      <c r="K31" s="36" t="str">
        <f t="shared" si="1"/>
        <v>-4</v>
      </c>
      <c r="M31" s="36">
        <f>IF(VLOOKUP(E31,'Персонаж'!$N$7:$O$38,2,FALSE)&gt;=2,1,0)</f>
        <v>0</v>
      </c>
      <c r="N31" s="410">
        <v>120.0</v>
      </c>
      <c r="O31" s="410">
        <v>120.0</v>
      </c>
      <c r="P31" s="410">
        <v>1.0</v>
      </c>
      <c r="Q31" s="404" t="s">
        <v>2347</v>
      </c>
    </row>
    <row r="32">
      <c r="A32" s="410" t="s">
        <v>2342</v>
      </c>
      <c r="B32" s="410" t="s">
        <v>2343</v>
      </c>
      <c r="D32" s="1871">
        <v>30.0</v>
      </c>
      <c r="E32" s="1872" t="s">
        <v>2409</v>
      </c>
      <c r="F32" s="1873" t="s">
        <v>66</v>
      </c>
      <c r="G32" s="1873" t="s">
        <v>60</v>
      </c>
      <c r="H32" s="1874" t="s">
        <v>2410</v>
      </c>
      <c r="I32" s="1875" t="s">
        <v>2411</v>
      </c>
      <c r="M32" s="36">
        <f>IF(VLOOKUP(E32,'Персонаж'!$N$7:$O$38,2,FALSE)&gt;=2,1,0)</f>
        <v>0</v>
      </c>
      <c r="N32" s="410">
        <v>240.0</v>
      </c>
      <c r="O32" s="410">
        <v>240.0</v>
      </c>
      <c r="P32" s="410">
        <v>1.0</v>
      </c>
      <c r="Q32" s="404" t="s">
        <v>2347</v>
      </c>
    </row>
    <row r="33">
      <c r="A33" s="410" t="s">
        <v>2343</v>
      </c>
      <c r="D33" s="1871">
        <v>31.0</v>
      </c>
      <c r="E33" s="1872" t="s">
        <v>2412</v>
      </c>
      <c r="F33" s="1873" t="s">
        <v>77</v>
      </c>
      <c r="G33" s="1873" t="s">
        <v>49</v>
      </c>
      <c r="H33" s="1874" t="s">
        <v>2345</v>
      </c>
      <c r="I33" s="1875" t="s">
        <v>440</v>
      </c>
      <c r="K33" s="36" t="str">
        <f t="shared" ref="K33:K34" si="2">RIGHT(H33,2)</f>
        <v>-4</v>
      </c>
      <c r="M33" s="36">
        <f>IF(VLOOKUP(E33,'Персонаж'!$N$7:$O$38,2,FALSE)&gt;=2,1,0)</f>
        <v>0</v>
      </c>
      <c r="N33" s="410">
        <v>120.0</v>
      </c>
      <c r="O33" s="410">
        <v>120.0</v>
      </c>
      <c r="P33" s="410">
        <v>1.0</v>
      </c>
      <c r="Q33" s="404" t="s">
        <v>2347</v>
      </c>
    </row>
    <row r="34">
      <c r="A34" s="410" t="s">
        <v>2342</v>
      </c>
      <c r="D34" s="1871">
        <v>32.0</v>
      </c>
      <c r="E34" s="1872" t="s">
        <v>2413</v>
      </c>
      <c r="F34" s="1873" t="s">
        <v>63</v>
      </c>
      <c r="G34" s="1873" t="s">
        <v>66</v>
      </c>
      <c r="H34" s="1874" t="s">
        <v>2345</v>
      </c>
      <c r="I34" s="1875" t="s">
        <v>698</v>
      </c>
      <c r="K34" s="36" t="str">
        <f t="shared" si="2"/>
        <v>-4</v>
      </c>
      <c r="M34" s="36">
        <f>IF(VLOOKUP(E34,'Персонаж'!$N$7:$O$38,2,FALSE)&gt;=2,1,0)</f>
        <v>0</v>
      </c>
      <c r="N34" s="410">
        <v>120.0</v>
      </c>
      <c r="O34" s="410">
        <v>120.0</v>
      </c>
      <c r="P34" s="410">
        <v>1.0</v>
      </c>
      <c r="Q34" s="404" t="s">
        <v>2347</v>
      </c>
    </row>
    <row r="35">
      <c r="D35" s="1882"/>
      <c r="E35" s="1883" t="s">
        <v>1170</v>
      </c>
      <c r="F35" s="1884" t="s">
        <v>49</v>
      </c>
      <c r="G35" s="1884" t="s">
        <v>66</v>
      </c>
      <c r="H35" s="1885"/>
      <c r="I35" s="1886"/>
      <c r="N35" s="410">
        <v>120.0</v>
      </c>
      <c r="O35" s="410">
        <v>120.0</v>
      </c>
      <c r="P35" s="410">
        <v>0.0</v>
      </c>
      <c r="Q35" s="404" t="s">
        <v>2347</v>
      </c>
    </row>
    <row r="36">
      <c r="D36" s="1882"/>
      <c r="E36" s="1883" t="s">
        <v>1117</v>
      </c>
      <c r="F36" s="1884" t="s">
        <v>44</v>
      </c>
      <c r="G36" s="1884" t="s">
        <v>66</v>
      </c>
      <c r="H36" s="1885"/>
      <c r="I36" s="1886"/>
      <c r="N36" s="410">
        <v>120.0</v>
      </c>
      <c r="O36" s="410">
        <v>120.0</v>
      </c>
      <c r="P36" s="410">
        <v>0.0</v>
      </c>
      <c r="Q36" s="404" t="s">
        <v>2347</v>
      </c>
    </row>
    <row r="37">
      <c r="D37" s="1882"/>
      <c r="E37" s="1883" t="s">
        <v>2414</v>
      </c>
      <c r="F37" s="1884" t="s">
        <v>44</v>
      </c>
      <c r="G37" s="1884" t="s">
        <v>66</v>
      </c>
      <c r="H37" s="1885"/>
      <c r="I37" s="1886"/>
      <c r="N37" s="410">
        <v>120.0</v>
      </c>
      <c r="O37" s="410">
        <v>120.0</v>
      </c>
      <c r="P37" s="410">
        <v>0.0</v>
      </c>
      <c r="Q37" s="404" t="s">
        <v>2347</v>
      </c>
    </row>
    <row r="38">
      <c r="D38" s="1882"/>
      <c r="E38" s="1883" t="s">
        <v>2415</v>
      </c>
      <c r="F38" s="1884" t="s">
        <v>44</v>
      </c>
      <c r="G38" s="1884" t="s">
        <v>66</v>
      </c>
      <c r="H38" s="1885"/>
      <c r="I38" s="1886"/>
      <c r="N38" s="410">
        <v>120.0</v>
      </c>
      <c r="O38" s="410">
        <v>120.0</v>
      </c>
      <c r="P38" s="410">
        <v>0.0</v>
      </c>
      <c r="Q38" s="404" t="s">
        <v>2347</v>
      </c>
    </row>
    <row r="39">
      <c r="D39" s="1882"/>
      <c r="E39" s="1883" t="s">
        <v>2416</v>
      </c>
      <c r="F39" s="1884" t="s">
        <v>60</v>
      </c>
      <c r="G39" s="1884" t="s">
        <v>66</v>
      </c>
      <c r="H39" s="1885"/>
      <c r="I39" s="1886"/>
      <c r="N39" s="410">
        <v>120.0</v>
      </c>
      <c r="O39" s="410">
        <v>120.0</v>
      </c>
      <c r="P39" s="410">
        <v>0.0</v>
      </c>
      <c r="Q39" s="404" t="s">
        <v>2347</v>
      </c>
    </row>
    <row r="40">
      <c r="D40" s="1882"/>
      <c r="E40" s="1883" t="s">
        <v>2417</v>
      </c>
      <c r="F40" s="1884" t="s">
        <v>49</v>
      </c>
      <c r="G40" s="1884" t="s">
        <v>66</v>
      </c>
      <c r="H40" s="1885"/>
      <c r="I40" s="1886"/>
      <c r="N40" s="410">
        <v>120.0</v>
      </c>
      <c r="O40" s="410">
        <v>120.0</v>
      </c>
      <c r="P40" s="410">
        <v>0.0</v>
      </c>
      <c r="Q40" s="404" t="s">
        <v>2347</v>
      </c>
    </row>
    <row r="41">
      <c r="D41" s="1882"/>
      <c r="E41" s="1883" t="s">
        <v>1146</v>
      </c>
      <c r="F41" s="1884" t="s">
        <v>49</v>
      </c>
      <c r="G41" s="1884" t="s">
        <v>66</v>
      </c>
      <c r="H41" s="1885"/>
      <c r="I41" s="1886"/>
      <c r="N41" s="410">
        <v>180.0</v>
      </c>
      <c r="O41" s="410">
        <v>180.0</v>
      </c>
      <c r="P41" s="410">
        <v>0.0</v>
      </c>
      <c r="Q41" s="404" t="s">
        <v>2347</v>
      </c>
    </row>
    <row r="42">
      <c r="D42" s="1882"/>
      <c r="E42" s="1883" t="s">
        <v>2418</v>
      </c>
      <c r="F42" s="1884" t="s">
        <v>49</v>
      </c>
      <c r="G42" s="1884" t="s">
        <v>66</v>
      </c>
      <c r="H42" s="1885"/>
      <c r="I42" s="1886"/>
      <c r="N42" s="410">
        <v>120.0</v>
      </c>
      <c r="O42" s="410">
        <v>120.0</v>
      </c>
      <c r="P42" s="410">
        <v>0.0</v>
      </c>
      <c r="Q42" s="404" t="s">
        <v>2347</v>
      </c>
    </row>
    <row r="43">
      <c r="D43" s="1882"/>
      <c r="E43" s="1883" t="s">
        <v>2419</v>
      </c>
      <c r="F43" s="1884" t="s">
        <v>49</v>
      </c>
      <c r="G43" s="1884" t="s">
        <v>66</v>
      </c>
      <c r="H43" s="1885"/>
      <c r="I43" s="1886"/>
      <c r="N43" s="410">
        <v>180.0</v>
      </c>
      <c r="O43" s="410">
        <v>180.0</v>
      </c>
      <c r="P43" s="410">
        <v>0.0</v>
      </c>
      <c r="Q43" s="404" t="s">
        <v>2347</v>
      </c>
    </row>
    <row r="44">
      <c r="D44" s="1882"/>
      <c r="E44" s="1883" t="s">
        <v>2420</v>
      </c>
      <c r="F44" s="1884" t="s">
        <v>49</v>
      </c>
      <c r="G44" s="1884" t="s">
        <v>66</v>
      </c>
      <c r="H44" s="1885"/>
      <c r="I44" s="1886"/>
      <c r="N44" s="410">
        <v>120.0</v>
      </c>
      <c r="O44" s="410">
        <v>120.0</v>
      </c>
      <c r="P44" s="410">
        <v>0.0</v>
      </c>
      <c r="Q44" s="404" t="s">
        <v>2347</v>
      </c>
    </row>
    <row r="45">
      <c r="D45" s="1882"/>
      <c r="E45" s="1883" t="s">
        <v>2421</v>
      </c>
      <c r="F45" s="1884" t="s">
        <v>44</v>
      </c>
      <c r="G45" s="1884" t="s">
        <v>66</v>
      </c>
      <c r="H45" s="1885"/>
      <c r="I45" s="1886"/>
      <c r="N45" s="410">
        <v>120.0</v>
      </c>
      <c r="O45" s="410">
        <v>120.0</v>
      </c>
      <c r="P45" s="410">
        <v>0.0</v>
      </c>
      <c r="Q45" s="404" t="s">
        <v>2347</v>
      </c>
    </row>
    <row r="46">
      <c r="D46" s="1882"/>
      <c r="E46" s="1883" t="s">
        <v>2422</v>
      </c>
      <c r="F46" s="1884" t="s">
        <v>52</v>
      </c>
      <c r="G46" s="1884" t="s">
        <v>66</v>
      </c>
      <c r="H46" s="1885"/>
      <c r="I46" s="1886"/>
      <c r="N46" s="410">
        <v>120.0</v>
      </c>
      <c r="O46" s="410">
        <v>120.0</v>
      </c>
      <c r="P46" s="410">
        <v>0.0</v>
      </c>
      <c r="Q46" s="404" t="s">
        <v>2347</v>
      </c>
    </row>
    <row r="47">
      <c r="D47" s="1882"/>
      <c r="E47" s="1883" t="s">
        <v>2423</v>
      </c>
      <c r="F47" s="1884" t="s">
        <v>49</v>
      </c>
      <c r="G47" s="1884" t="s">
        <v>66</v>
      </c>
      <c r="H47" s="1885"/>
      <c r="I47" s="1886"/>
      <c r="N47" s="410">
        <v>180.0</v>
      </c>
      <c r="O47" s="410">
        <v>180.0</v>
      </c>
      <c r="P47" s="410">
        <v>0.0</v>
      </c>
      <c r="Q47" s="404" t="s">
        <v>2347</v>
      </c>
    </row>
    <row r="48">
      <c r="D48" s="1882"/>
      <c r="E48" s="1883" t="s">
        <v>2424</v>
      </c>
      <c r="F48" s="1884" t="s">
        <v>60</v>
      </c>
      <c r="G48" s="1884" t="s">
        <v>69</v>
      </c>
      <c r="H48" s="1885"/>
      <c r="I48" s="1886"/>
      <c r="N48" s="410">
        <v>360.0</v>
      </c>
      <c r="O48" s="410">
        <v>360.0</v>
      </c>
      <c r="P48" s="410">
        <v>1.0</v>
      </c>
      <c r="Q48" s="404" t="s">
        <v>2347</v>
      </c>
    </row>
    <row r="49">
      <c r="D49" s="1882"/>
      <c r="E49" s="1883" t="s">
        <v>2425</v>
      </c>
      <c r="F49" s="1884" t="s">
        <v>63</v>
      </c>
      <c r="G49" s="1884" t="s">
        <v>66</v>
      </c>
      <c r="H49" s="1885"/>
      <c r="I49" s="1886"/>
      <c r="N49" s="410">
        <v>360.0</v>
      </c>
      <c r="O49" s="410">
        <v>360.0</v>
      </c>
      <c r="P49" s="410">
        <v>1.0</v>
      </c>
      <c r="Q49" s="404" t="s">
        <v>2347</v>
      </c>
    </row>
    <row r="50">
      <c r="D50" s="1882"/>
      <c r="E50" s="1883" t="s">
        <v>2426</v>
      </c>
      <c r="F50" s="1884" t="s">
        <v>60</v>
      </c>
      <c r="G50" s="1884" t="s">
        <v>66</v>
      </c>
      <c r="H50" s="1885"/>
      <c r="I50" s="1886"/>
      <c r="N50" s="410">
        <v>360.0</v>
      </c>
      <c r="O50" s="410">
        <v>360.0</v>
      </c>
      <c r="P50" s="410">
        <v>1.0</v>
      </c>
      <c r="Q50" s="404" t="s">
        <v>2347</v>
      </c>
    </row>
    <row r="51">
      <c r="D51" s="1882"/>
      <c r="E51" s="1883" t="s">
        <v>2427</v>
      </c>
      <c r="F51" s="1884" t="s">
        <v>63</v>
      </c>
      <c r="G51" s="1884" t="s">
        <v>69</v>
      </c>
      <c r="H51" s="1885"/>
      <c r="I51" s="1886"/>
      <c r="N51" s="410">
        <v>360.0</v>
      </c>
      <c r="O51" s="410">
        <v>360.0</v>
      </c>
      <c r="P51" s="410">
        <v>1.0</v>
      </c>
      <c r="Q51" s="404" t="s">
        <v>2347</v>
      </c>
    </row>
    <row r="52">
      <c r="D52" s="1882"/>
      <c r="E52" s="1883" t="s">
        <v>2428</v>
      </c>
      <c r="F52" s="1884" t="s">
        <v>60</v>
      </c>
      <c r="G52" s="1884" t="s">
        <v>77</v>
      </c>
      <c r="H52" s="1885"/>
      <c r="I52" s="1886"/>
      <c r="N52" s="410">
        <v>360.0</v>
      </c>
      <c r="O52" s="410">
        <v>360.0</v>
      </c>
      <c r="P52" s="410">
        <v>1.0</v>
      </c>
      <c r="Q52" s="404" t="s">
        <v>2347</v>
      </c>
    </row>
    <row r="53">
      <c r="D53" s="1882"/>
      <c r="E53" s="1883" t="s">
        <v>2429</v>
      </c>
      <c r="F53" s="1884" t="s">
        <v>63</v>
      </c>
      <c r="G53" s="1884" t="s">
        <v>77</v>
      </c>
      <c r="H53" s="1885"/>
      <c r="I53" s="1886"/>
      <c r="N53" s="410">
        <v>360.0</v>
      </c>
      <c r="O53" s="410">
        <v>360.0</v>
      </c>
      <c r="P53" s="410">
        <v>1.0</v>
      </c>
      <c r="Q53" s="404" t="s">
        <v>2347</v>
      </c>
    </row>
    <row r="54">
      <c r="D54" s="1882"/>
      <c r="E54" s="1883" t="s">
        <v>2430</v>
      </c>
      <c r="F54" s="1884" t="s">
        <v>63</v>
      </c>
      <c r="G54" s="1884" t="s">
        <v>66</v>
      </c>
      <c r="H54" s="1885"/>
      <c r="I54" s="1886"/>
      <c r="N54" s="410">
        <v>360.0</v>
      </c>
      <c r="O54" s="410">
        <v>360.0</v>
      </c>
      <c r="P54" s="410">
        <v>1.0</v>
      </c>
      <c r="Q54" s="404" t="s">
        <v>2347</v>
      </c>
    </row>
    <row r="55">
      <c r="D55" s="1882"/>
      <c r="E55" s="1883" t="s">
        <v>2431</v>
      </c>
      <c r="F55" s="1884" t="s">
        <v>60</v>
      </c>
      <c r="G55" s="1884" t="s">
        <v>77</v>
      </c>
      <c r="H55" s="1885"/>
      <c r="I55" s="1886"/>
      <c r="N55" s="410">
        <v>360.0</v>
      </c>
      <c r="O55" s="410">
        <v>360.0</v>
      </c>
      <c r="P55" s="410">
        <v>1.0</v>
      </c>
      <c r="Q55" s="404" t="s">
        <v>2347</v>
      </c>
    </row>
    <row r="56">
      <c r="D56" s="1882"/>
      <c r="E56" s="1883" t="s">
        <v>2432</v>
      </c>
      <c r="F56" s="1884" t="s">
        <v>63</v>
      </c>
      <c r="G56" s="1884" t="s">
        <v>69</v>
      </c>
      <c r="H56" s="1885"/>
      <c r="I56" s="1886"/>
      <c r="N56" s="410">
        <v>360.0</v>
      </c>
      <c r="O56" s="410">
        <v>360.0</v>
      </c>
      <c r="P56" s="410">
        <v>1.0</v>
      </c>
      <c r="Q56" s="404" t="s">
        <v>2347</v>
      </c>
    </row>
    <row r="57">
      <c r="D57" s="1882"/>
      <c r="E57" s="1883" t="s">
        <v>2433</v>
      </c>
      <c r="F57" s="1884" t="s">
        <v>63</v>
      </c>
      <c r="G57" s="1884" t="s">
        <v>69</v>
      </c>
      <c r="H57" s="1885"/>
      <c r="I57" s="1886"/>
      <c r="N57" s="410">
        <v>360.0</v>
      </c>
      <c r="O57" s="410">
        <v>360.0</v>
      </c>
      <c r="P57" s="410">
        <v>1.0</v>
      </c>
      <c r="Q57" s="404" t="s">
        <v>2347</v>
      </c>
    </row>
    <row r="58">
      <c r="D58" s="1882"/>
      <c r="E58" s="1883" t="s">
        <v>2434</v>
      </c>
      <c r="F58" s="1884" t="s">
        <v>60</v>
      </c>
      <c r="G58" s="1884" t="s">
        <v>77</v>
      </c>
      <c r="H58" s="1885"/>
      <c r="I58" s="1886"/>
      <c r="N58" s="410">
        <v>360.0</v>
      </c>
      <c r="O58" s="410">
        <v>360.0</v>
      </c>
      <c r="P58" s="410">
        <v>1.0</v>
      </c>
      <c r="Q58" s="404" t="s">
        <v>2347</v>
      </c>
    </row>
    <row r="59">
      <c r="D59" s="1882"/>
      <c r="E59" s="1883" t="s">
        <v>2435</v>
      </c>
      <c r="F59" s="1884" t="s">
        <v>66</v>
      </c>
      <c r="G59" s="1884" t="s">
        <v>69</v>
      </c>
      <c r="H59" s="1885"/>
      <c r="I59" s="1886"/>
      <c r="N59" s="410">
        <v>360.0</v>
      </c>
      <c r="O59" s="410">
        <v>360.0</v>
      </c>
      <c r="P59" s="410">
        <v>1.0</v>
      </c>
      <c r="Q59" s="404" t="s">
        <v>2347</v>
      </c>
    </row>
    <row r="60">
      <c r="D60" s="1882"/>
      <c r="E60" s="1883" t="s">
        <v>30</v>
      </c>
      <c r="F60" s="1885"/>
      <c r="G60" s="1885"/>
      <c r="H60" s="1885"/>
      <c r="I60" s="1886"/>
    </row>
    <row r="64">
      <c r="G64" s="1496"/>
    </row>
  </sheetData>
  <autoFilter ref="$A$2:$Q$59">
    <sortState ref="A2:Q59">
      <sortCondition ref="E2:E59"/>
    </sortState>
  </autoFilter>
  <mergeCells count="2">
    <mergeCell ref="S4:AD4"/>
    <mergeCell ref="S6:AC7"/>
  </mergeCell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3" max="3" width="12.5"/>
    <col customWidth="1" min="4" max="4" width="16.88"/>
    <col customWidth="1" min="5" max="5" width="16.5"/>
    <col customWidth="1" min="6" max="6" width="23.63"/>
    <col customWidth="1" min="7" max="7" width="19.88"/>
    <col customWidth="1" min="8" max="8" width="18.13"/>
  </cols>
  <sheetData>
    <row r="1">
      <c r="A1" s="1887"/>
      <c r="B1" s="1887"/>
      <c r="C1" s="1887"/>
      <c r="D1" s="1887"/>
      <c r="E1" s="1888"/>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row>
    <row r="2">
      <c r="A2" s="1887"/>
      <c r="B2" s="1887"/>
      <c r="D2" s="1887"/>
      <c r="E2" s="406" t="s">
        <v>2436</v>
      </c>
      <c r="F2" s="936"/>
      <c r="G2" s="936"/>
      <c r="H2" s="1887"/>
      <c r="J2" s="1887"/>
      <c r="K2" s="1887"/>
      <c r="L2" s="1887"/>
      <c r="M2" s="1887"/>
      <c r="N2" s="1887"/>
      <c r="O2" s="1887"/>
      <c r="P2" s="1887"/>
      <c r="Q2" s="1887"/>
      <c r="R2" s="1887"/>
      <c r="S2" s="1887"/>
      <c r="T2" s="1887"/>
      <c r="U2" s="1887"/>
      <c r="V2" s="1887"/>
      <c r="W2" s="1887"/>
      <c r="X2" s="1887"/>
      <c r="Y2" s="1887"/>
      <c r="Z2" s="1887"/>
      <c r="AA2" s="1887"/>
      <c r="AB2" s="1887"/>
      <c r="AC2" s="1887"/>
    </row>
    <row r="3">
      <c r="A3" s="1887"/>
      <c r="B3" s="1887"/>
      <c r="C3" s="1887"/>
      <c r="D3" s="1887"/>
      <c r="E3" s="936"/>
      <c r="F3" s="1887"/>
      <c r="G3" s="1889"/>
      <c r="H3" s="1888"/>
      <c r="J3" s="1887"/>
      <c r="K3" s="1887"/>
      <c r="L3" s="1887"/>
      <c r="M3" s="1887"/>
      <c r="N3" s="1887"/>
      <c r="O3" s="1887"/>
      <c r="P3" s="1887"/>
      <c r="Q3" s="1887"/>
      <c r="R3" s="1887"/>
      <c r="S3" s="1887"/>
      <c r="T3" s="1887"/>
      <c r="U3" s="1887"/>
      <c r="V3" s="1887"/>
      <c r="W3" s="1887"/>
      <c r="X3" s="1887"/>
      <c r="Y3" s="1887"/>
      <c r="Z3" s="1887"/>
      <c r="AA3" s="1887"/>
      <c r="AB3" s="1887"/>
      <c r="AC3" s="1887"/>
    </row>
    <row r="4">
      <c r="A4" s="1887"/>
      <c r="B4" s="1887"/>
      <c r="C4" s="1887"/>
      <c r="D4" s="1887"/>
      <c r="E4" s="936" t="s">
        <v>2437</v>
      </c>
      <c r="F4" s="1887"/>
      <c r="G4" s="1889" t="s">
        <v>2344</v>
      </c>
      <c r="H4" s="1888"/>
      <c r="J4" s="1887"/>
      <c r="K4" s="1887"/>
      <c r="L4" s="1887"/>
      <c r="M4" s="1887"/>
      <c r="N4" s="1887"/>
      <c r="O4" s="1887"/>
      <c r="P4" s="1887"/>
      <c r="Q4" s="1887"/>
      <c r="R4" s="1887"/>
      <c r="S4" s="1887"/>
      <c r="T4" s="1887"/>
      <c r="U4" s="1887"/>
      <c r="V4" s="1887"/>
      <c r="W4" s="1887"/>
      <c r="X4" s="1887"/>
      <c r="Y4" s="1887"/>
      <c r="Z4" s="1887"/>
      <c r="AA4" s="1887"/>
      <c r="AB4" s="1887"/>
      <c r="AC4" s="1887"/>
    </row>
    <row r="5">
      <c r="A5" s="1887"/>
      <c r="B5" s="1887"/>
      <c r="C5" s="1888"/>
      <c r="D5" s="1887"/>
      <c r="E5" s="936" t="s">
        <v>2438</v>
      </c>
      <c r="F5" s="1887"/>
      <c r="G5" s="1890" t="s">
        <v>2439</v>
      </c>
      <c r="H5" s="1888"/>
      <c r="J5" s="1887"/>
      <c r="K5" s="1887"/>
      <c r="L5" s="1887"/>
      <c r="M5" s="1887"/>
      <c r="N5" s="1887"/>
      <c r="O5" s="1887"/>
      <c r="P5" s="1887"/>
      <c r="Q5" s="1887"/>
      <c r="R5" s="1887"/>
      <c r="S5" s="1887"/>
      <c r="T5" s="1887"/>
      <c r="U5" s="1887"/>
      <c r="V5" s="1887"/>
      <c r="W5" s="1887"/>
      <c r="X5" s="1887"/>
      <c r="Y5" s="1887"/>
      <c r="Z5" s="1887"/>
      <c r="AA5" s="1887"/>
      <c r="AB5" s="1887"/>
      <c r="AC5" s="1887"/>
    </row>
    <row r="6">
      <c r="A6" s="1887"/>
      <c r="B6" s="1887"/>
      <c r="C6" s="1888"/>
      <c r="D6" s="1887"/>
      <c r="E6" s="936" t="s">
        <v>2440</v>
      </c>
      <c r="F6" s="1887"/>
      <c r="G6" s="1889">
        <v>3.0</v>
      </c>
      <c r="H6" s="1888"/>
      <c r="J6" s="1887"/>
      <c r="K6" s="1887"/>
      <c r="L6" s="1887"/>
      <c r="M6" s="1887"/>
      <c r="N6" s="1887"/>
      <c r="O6" s="1887"/>
      <c r="P6" s="1887"/>
      <c r="Q6" s="1887"/>
      <c r="R6" s="1887"/>
      <c r="S6" s="1887"/>
      <c r="T6" s="1887"/>
      <c r="U6" s="1887"/>
      <c r="V6" s="1887"/>
      <c r="W6" s="1887"/>
      <c r="X6" s="1887"/>
      <c r="Y6" s="1887"/>
      <c r="Z6" s="1887"/>
      <c r="AA6" s="1887"/>
      <c r="AB6" s="1887"/>
      <c r="AC6" s="1887"/>
    </row>
    <row r="7">
      <c r="A7" s="1887"/>
      <c r="B7" s="1887"/>
      <c r="C7" s="1888"/>
      <c r="D7" s="1887"/>
      <c r="E7" s="936" t="s">
        <v>2441</v>
      </c>
      <c r="F7" s="1887"/>
      <c r="G7" s="1889" t="b">
        <v>0</v>
      </c>
      <c r="H7" s="1888"/>
      <c r="J7" s="1887"/>
      <c r="K7" s="1887"/>
      <c r="L7" s="1887"/>
      <c r="M7" s="1887"/>
      <c r="N7" s="1887"/>
      <c r="O7" s="1887"/>
      <c r="P7" s="1887"/>
      <c r="Q7" s="1887"/>
      <c r="R7" s="1887"/>
      <c r="S7" s="1887"/>
      <c r="T7" s="1887"/>
      <c r="U7" s="1887"/>
      <c r="V7" s="1887"/>
      <c r="W7" s="1887"/>
      <c r="X7" s="1887"/>
      <c r="Y7" s="1887"/>
      <c r="Z7" s="1887"/>
      <c r="AA7" s="1887"/>
      <c r="AB7" s="1887"/>
      <c r="AC7" s="1887"/>
    </row>
    <row r="8">
      <c r="A8" s="1887"/>
      <c r="B8" s="1887"/>
      <c r="C8" s="1888"/>
      <c r="D8" s="1887"/>
      <c r="E8" s="936" t="s">
        <v>2442</v>
      </c>
      <c r="F8" s="1887"/>
      <c r="G8" s="1891">
        <f>IF(G7=TRUE,0.5,0)+G6*0.5</f>
        <v>1.5</v>
      </c>
      <c r="H8" s="1888"/>
      <c r="J8" s="1887"/>
      <c r="K8" s="1887"/>
      <c r="L8" s="1887"/>
      <c r="M8" s="1887"/>
      <c r="N8" s="1887"/>
      <c r="O8" s="1887"/>
      <c r="P8" s="1887"/>
      <c r="Q8" s="1887"/>
      <c r="R8" s="1887"/>
      <c r="S8" s="1887"/>
      <c r="T8" s="1887"/>
      <c r="U8" s="1887"/>
      <c r="V8" s="1887"/>
      <c r="W8" s="1887"/>
      <c r="X8" s="1887"/>
      <c r="Y8" s="1887"/>
      <c r="Z8" s="1887"/>
      <c r="AA8" s="1887"/>
      <c r="AB8" s="1887"/>
      <c r="AC8" s="1887"/>
    </row>
    <row r="9">
      <c r="A9" s="1887"/>
      <c r="B9" s="1887"/>
      <c r="C9" s="1888"/>
      <c r="D9" s="1887"/>
      <c r="E9" s="936" t="s">
        <v>2443</v>
      </c>
      <c r="F9" s="1887"/>
      <c r="G9" s="1891">
        <f>VLOOKUP(G4,'Профессии и боевые навыки'!$E$3:$P$62,12,FALSE)</f>
        <v>1</v>
      </c>
      <c r="H9" s="1888"/>
      <c r="J9" s="1887"/>
      <c r="K9" s="1887"/>
      <c r="L9" s="1887"/>
      <c r="M9" s="1887"/>
      <c r="N9" s="1887"/>
      <c r="O9" s="1887"/>
      <c r="P9" s="1887"/>
      <c r="Q9" s="1887"/>
      <c r="R9" s="1887"/>
      <c r="S9" s="1887"/>
      <c r="T9" s="1887"/>
      <c r="U9" s="1887"/>
      <c r="V9" s="1887"/>
      <c r="W9" s="1887"/>
      <c r="X9" s="1887"/>
      <c r="Y9" s="1887"/>
      <c r="Z9" s="1887"/>
      <c r="AA9" s="1887"/>
      <c r="AB9" s="1887"/>
      <c r="AC9" s="1887"/>
    </row>
    <row r="10">
      <c r="A10" s="1887"/>
      <c r="B10" s="1887"/>
      <c r="C10" s="1888"/>
      <c r="D10" s="1887"/>
      <c r="E10" s="1892" t="s">
        <v>34</v>
      </c>
      <c r="F10" s="1892"/>
      <c r="G10" s="1893" t="str">
        <f>VLOOKUP(G4,'Профессии и боевые навыки'!$E$3:$G$61,2,FALSE)</f>
        <v>Интеллект</v>
      </c>
      <c r="H10" s="1888"/>
      <c r="J10" s="1887"/>
      <c r="K10" s="1887"/>
      <c r="L10" s="1887"/>
      <c r="M10" s="1887"/>
      <c r="N10" s="1887"/>
      <c r="O10" s="1887"/>
      <c r="P10" s="1887"/>
      <c r="Q10" s="1887"/>
      <c r="R10" s="1887"/>
      <c r="S10" s="1887"/>
      <c r="T10" s="1887"/>
      <c r="U10" s="1887"/>
      <c r="V10" s="1887"/>
      <c r="W10" s="1887"/>
      <c r="X10" s="1887"/>
      <c r="Y10" s="1887"/>
      <c r="Z10" s="1887"/>
      <c r="AA10" s="1887"/>
      <c r="AB10" s="1887"/>
      <c r="AC10" s="1887"/>
    </row>
    <row r="11">
      <c r="A11" s="1887"/>
      <c r="B11" s="1887"/>
      <c r="C11" s="1888"/>
      <c r="D11" s="1887"/>
      <c r="E11" s="1894" t="s">
        <v>2332</v>
      </c>
      <c r="F11" s="1894"/>
      <c r="G11" s="1895" t="str">
        <f>VLOOKUP(G4,'Профессии и боевые навыки'!$E$3:$G$61,3,FALSE)</f>
        <v>Креативность</v>
      </c>
      <c r="H11" s="1888"/>
      <c r="J11" s="1887"/>
      <c r="K11" s="1887"/>
      <c r="L11" s="1887"/>
      <c r="M11" s="1887"/>
      <c r="N11" s="1887"/>
      <c r="O11" s="1887"/>
      <c r="P11" s="1887"/>
      <c r="Q11" s="1887"/>
      <c r="R11" s="1887"/>
      <c r="S11" s="1887"/>
      <c r="T11" s="1887"/>
      <c r="U11" s="1887"/>
      <c r="V11" s="1887"/>
      <c r="W11" s="1887"/>
      <c r="X11" s="1887"/>
      <c r="Y11" s="1887"/>
      <c r="Z11" s="1887"/>
      <c r="AA11" s="1887"/>
      <c r="AB11" s="1887"/>
      <c r="AC11" s="1887"/>
    </row>
    <row r="12">
      <c r="A12" s="1887"/>
      <c r="B12" s="1887"/>
      <c r="C12" s="1888"/>
      <c r="D12" s="1887"/>
      <c r="E12" s="1896" t="str">
        <f>CONCATENATE("Целевое значение шкалы прогресса - ",G4)</f>
        <v>Целевое значение шкалы прогресса - Алхимик</v>
      </c>
      <c r="F12" s="1896"/>
      <c r="G12" s="1897">
        <f>VLOOKUP(G4,'Профессии и боевые навыки'!$E$3:$P$62,11,FALSE)</f>
        <v>180</v>
      </c>
      <c r="H12" s="1898" t="s">
        <v>2444</v>
      </c>
      <c r="J12" s="1887"/>
      <c r="K12" s="1887"/>
      <c r="L12" s="1887"/>
      <c r="M12" s="1887"/>
      <c r="N12" s="1887"/>
      <c r="O12" s="1887"/>
      <c r="P12" s="1887"/>
      <c r="Q12" s="1887"/>
      <c r="R12" s="1887"/>
      <c r="S12" s="1887"/>
      <c r="T12" s="1887"/>
      <c r="U12" s="1887"/>
      <c r="V12" s="1887"/>
      <c r="W12" s="1887"/>
      <c r="X12" s="1887"/>
      <c r="Y12" s="1887"/>
      <c r="Z12" s="1887"/>
      <c r="AA12" s="1887"/>
      <c r="AB12" s="1887"/>
      <c r="AC12" s="1887"/>
    </row>
    <row r="13">
      <c r="A13" s="1887"/>
      <c r="B13" s="1887"/>
      <c r="C13" s="1888"/>
      <c r="D13" s="1887"/>
      <c r="E13" s="1892" t="str">
        <f t="shared" ref="E13:E14" si="1">CONCATENATE("Накопленный прогресс - ",G10)</f>
        <v>Накопленный прогресс - Интеллект</v>
      </c>
      <c r="F13" s="1892"/>
      <c r="G13" s="1893">
        <f>SUM(G24:G72)</f>
        <v>0</v>
      </c>
      <c r="H13" s="1899">
        <f>G13/G12</f>
        <v>0</v>
      </c>
      <c r="J13" s="1887"/>
      <c r="K13" s="1887"/>
      <c r="L13" s="1887"/>
      <c r="M13" s="1887"/>
      <c r="N13" s="1887"/>
      <c r="O13" s="1887"/>
      <c r="P13" s="1887"/>
      <c r="Q13" s="1887"/>
      <c r="R13" s="1887"/>
      <c r="S13" s="1887"/>
      <c r="T13" s="1887"/>
      <c r="U13" s="1887"/>
      <c r="V13" s="1887"/>
      <c r="W13" s="1887"/>
      <c r="X13" s="1887"/>
      <c r="Y13" s="1887"/>
      <c r="Z13" s="1887"/>
      <c r="AA13" s="1887"/>
      <c r="AB13" s="1887"/>
      <c r="AC13" s="1887"/>
    </row>
    <row r="14">
      <c r="A14" s="1887"/>
      <c r="B14" s="1887"/>
      <c r="C14" s="1888"/>
      <c r="D14" s="1887"/>
      <c r="E14" s="1894" t="str">
        <f t="shared" si="1"/>
        <v>Накопленный прогресс - Креативность</v>
      </c>
      <c r="F14" s="1894"/>
      <c r="G14" s="1895">
        <f>SUM(H24:H72)</f>
        <v>0</v>
      </c>
      <c r="H14" s="1899">
        <f>G14/G12</f>
        <v>0</v>
      </c>
      <c r="J14" s="1887"/>
      <c r="K14" s="1887"/>
      <c r="L14" s="1887"/>
      <c r="M14" s="1887"/>
      <c r="N14" s="1887"/>
      <c r="O14" s="1887"/>
      <c r="P14" s="1887"/>
      <c r="Q14" s="1887"/>
      <c r="R14" s="1887"/>
      <c r="S14" s="1887"/>
      <c r="T14" s="1887"/>
      <c r="U14" s="1887"/>
      <c r="V14" s="1887"/>
      <c r="W14" s="1887"/>
      <c r="X14" s="1887"/>
      <c r="Y14" s="1887"/>
      <c r="Z14" s="1887"/>
      <c r="AA14" s="1887"/>
      <c r="AB14" s="1887"/>
      <c r="AC14" s="1887"/>
    </row>
    <row r="15">
      <c r="A15" s="1887"/>
      <c r="B15" s="1887"/>
      <c r="C15" s="1888"/>
      <c r="D15" s="1887"/>
      <c r="E15" s="1888"/>
      <c r="F15" s="1888"/>
      <c r="G15" s="1888"/>
      <c r="H15" s="1888"/>
      <c r="I15" s="1887"/>
      <c r="J15" s="1887"/>
      <c r="K15" s="1887"/>
      <c r="L15" s="1887"/>
      <c r="M15" s="1887"/>
      <c r="N15" s="1887"/>
      <c r="O15" s="1887"/>
      <c r="P15" s="1887"/>
      <c r="Q15" s="1887"/>
      <c r="R15" s="1887"/>
      <c r="S15" s="1887"/>
      <c r="T15" s="1887"/>
      <c r="U15" s="1887"/>
      <c r="V15" s="1887"/>
      <c r="W15" s="1887"/>
      <c r="X15" s="1887"/>
      <c r="Y15" s="1887"/>
      <c r="Z15" s="1887"/>
      <c r="AA15" s="1887"/>
      <c r="AB15" s="1887"/>
      <c r="AC15" s="1887"/>
    </row>
    <row r="16">
      <c r="A16" s="1887"/>
      <c r="B16" s="1887"/>
      <c r="C16" s="1888"/>
      <c r="D16" s="1887"/>
      <c r="E16" s="1888"/>
      <c r="F16" s="1888"/>
      <c r="G16" s="1888"/>
      <c r="H16" s="1888"/>
      <c r="I16" s="1887"/>
      <c r="J16" s="1887"/>
      <c r="K16" s="1887"/>
      <c r="L16" s="1887"/>
      <c r="M16" s="1887"/>
      <c r="N16" s="1887"/>
      <c r="O16" s="1887"/>
      <c r="P16" s="1887"/>
      <c r="Q16" s="1887"/>
      <c r="R16" s="1887"/>
      <c r="S16" s="1887"/>
      <c r="T16" s="1887"/>
      <c r="U16" s="1887"/>
      <c r="V16" s="1887"/>
      <c r="W16" s="1887"/>
      <c r="X16" s="1887"/>
      <c r="Y16" s="1887"/>
      <c r="Z16" s="1887"/>
      <c r="AA16" s="1887"/>
      <c r="AB16" s="1887"/>
      <c r="AC16" s="1887"/>
    </row>
    <row r="17">
      <c r="A17" s="1887"/>
      <c r="B17" s="1887"/>
      <c r="C17" s="1888"/>
      <c r="D17" s="1887"/>
      <c r="E17" s="1888"/>
      <c r="F17" s="1888"/>
      <c r="G17" s="1888"/>
      <c r="H17" s="1888"/>
      <c r="I17" s="1887"/>
      <c r="J17" s="1887"/>
      <c r="K17" s="1887"/>
      <c r="L17" s="1887"/>
      <c r="M17" s="1887"/>
      <c r="N17" s="1887"/>
      <c r="O17" s="1887"/>
      <c r="P17" s="1887"/>
      <c r="Q17" s="1887"/>
      <c r="R17" s="1887"/>
      <c r="S17" s="1887"/>
      <c r="T17" s="1887"/>
      <c r="U17" s="1887"/>
      <c r="V17" s="1887"/>
      <c r="W17" s="1887"/>
      <c r="X17" s="1887"/>
      <c r="Y17" s="1887"/>
      <c r="Z17" s="1887"/>
      <c r="AA17" s="1887"/>
      <c r="AB17" s="1887"/>
      <c r="AC17" s="1887"/>
    </row>
    <row r="18">
      <c r="A18" s="1887"/>
      <c r="B18" s="1887"/>
      <c r="C18" s="1888"/>
      <c r="D18" s="1887"/>
      <c r="E18" s="1888"/>
      <c r="F18" s="1888"/>
      <c r="G18" s="1888"/>
      <c r="H18" s="1888"/>
      <c r="I18" s="1887"/>
      <c r="J18" s="1887"/>
      <c r="K18" s="1887"/>
      <c r="L18" s="1887"/>
      <c r="M18" s="1887"/>
      <c r="N18" s="1887"/>
      <c r="O18" s="1887"/>
      <c r="P18" s="1887"/>
      <c r="Q18" s="1887"/>
      <c r="R18" s="1887"/>
      <c r="S18" s="1887"/>
      <c r="T18" s="1887"/>
      <c r="U18" s="1887"/>
      <c r="V18" s="1887"/>
      <c r="W18" s="1887"/>
      <c r="X18" s="1887"/>
      <c r="Y18" s="1887"/>
      <c r="Z18" s="1887"/>
      <c r="AA18" s="1887"/>
      <c r="AB18" s="1887"/>
      <c r="AC18" s="1887"/>
    </row>
    <row r="19">
      <c r="A19" s="1887"/>
      <c r="B19" s="1887"/>
      <c r="C19" s="1888"/>
      <c r="D19" s="1888"/>
      <c r="E19" s="1888"/>
      <c r="F19" s="1888"/>
      <c r="G19" s="1888"/>
      <c r="H19" s="1888"/>
      <c r="I19" s="1887"/>
      <c r="J19" s="1887"/>
      <c r="K19" s="1887"/>
      <c r="L19" s="1887"/>
      <c r="M19" s="1887"/>
      <c r="N19" s="1887"/>
      <c r="O19" s="1887"/>
      <c r="P19" s="1887"/>
      <c r="Q19" s="1887"/>
      <c r="R19" s="1887"/>
      <c r="S19" s="1887"/>
      <c r="T19" s="1887"/>
      <c r="U19" s="1887"/>
      <c r="V19" s="1887"/>
      <c r="W19" s="1887"/>
      <c r="X19" s="1887"/>
      <c r="Y19" s="1887"/>
      <c r="Z19" s="1887"/>
      <c r="AA19" s="1887"/>
      <c r="AB19" s="1887"/>
      <c r="AC19" s="1887"/>
    </row>
    <row r="20">
      <c r="A20" s="1887"/>
      <c r="B20" s="1887"/>
      <c r="C20" s="1888"/>
      <c r="D20" s="1888"/>
      <c r="E20" s="1888"/>
      <c r="F20" s="1888"/>
      <c r="G20" s="1888"/>
      <c r="H20" s="1888"/>
      <c r="I20" s="1887"/>
      <c r="J20" s="1887"/>
      <c r="K20" s="1887"/>
      <c r="L20" s="1887"/>
      <c r="M20" s="1887"/>
      <c r="N20" s="1887"/>
      <c r="O20" s="1887"/>
      <c r="P20" s="1887"/>
      <c r="Q20" s="1887"/>
      <c r="R20" s="1887"/>
      <c r="S20" s="1887"/>
      <c r="T20" s="1887"/>
      <c r="U20" s="1887"/>
      <c r="V20" s="1887"/>
      <c r="W20" s="1887"/>
      <c r="X20" s="1887"/>
      <c r="Y20" s="1887"/>
      <c r="Z20" s="1887"/>
      <c r="AA20" s="1887"/>
      <c r="AB20" s="1887"/>
      <c r="AC20" s="1887"/>
    </row>
    <row r="21">
      <c r="A21" s="1887"/>
      <c r="B21" s="1887"/>
      <c r="C21" s="1888"/>
      <c r="D21" s="1888"/>
      <c r="E21" s="1888"/>
      <c r="F21" s="1888"/>
      <c r="G21" s="1888"/>
      <c r="H21" s="1888"/>
      <c r="I21" s="1887"/>
      <c r="J21" s="1887"/>
      <c r="K21" s="1887"/>
      <c r="L21" s="1887"/>
      <c r="M21" s="1887"/>
      <c r="N21" s="1887"/>
      <c r="O21" s="1887"/>
      <c r="P21" s="1887"/>
      <c r="Q21" s="1887"/>
      <c r="R21" s="1887"/>
      <c r="S21" s="1887"/>
      <c r="T21" s="1887"/>
      <c r="U21" s="1887"/>
      <c r="V21" s="1887"/>
      <c r="W21" s="1887"/>
      <c r="X21" s="1887"/>
      <c r="Y21" s="1887"/>
      <c r="Z21" s="1887"/>
      <c r="AA21" s="1887"/>
      <c r="AB21" s="1887"/>
      <c r="AC21" s="1887"/>
    </row>
    <row r="22">
      <c r="A22" s="1887"/>
      <c r="B22" s="1887"/>
      <c r="C22" s="1888"/>
      <c r="D22" s="1888"/>
      <c r="E22" s="1888"/>
      <c r="F22" s="1888"/>
      <c r="G22" s="1888"/>
      <c r="H22" s="1888"/>
      <c r="I22" s="1887"/>
      <c r="J22" s="1887"/>
      <c r="K22" s="1887"/>
      <c r="L22" s="1887"/>
      <c r="M22" s="1887"/>
      <c r="N22" s="1887"/>
      <c r="O22" s="1887"/>
      <c r="P22" s="1887"/>
      <c r="Q22" s="1887"/>
      <c r="R22" s="1887"/>
      <c r="S22" s="1887"/>
      <c r="T22" s="1887"/>
      <c r="U22" s="1887"/>
      <c r="V22" s="1887"/>
      <c r="W22" s="1887"/>
      <c r="X22" s="1887"/>
      <c r="Y22" s="1887"/>
      <c r="Z22" s="1887"/>
      <c r="AA22" s="1887"/>
      <c r="AB22" s="1887"/>
      <c r="AC22" s="1887"/>
    </row>
    <row r="23">
      <c r="A23" s="1887"/>
      <c r="B23" s="1887"/>
      <c r="C23" s="1900" t="s">
        <v>2445</v>
      </c>
      <c r="D23" s="1901" t="str">
        <f>CONCATENATE("Результат броска на ",G10)</f>
        <v>Результат броска на Интеллект</v>
      </c>
      <c r="E23" s="1902" t="str">
        <f>CONCATENATE("Результат броска на ",G11)</f>
        <v>Результат броска на Креативность</v>
      </c>
      <c r="F23" s="1903" t="s">
        <v>2446</v>
      </c>
      <c r="G23" s="1901" t="str">
        <f>CONCATENATE("Прогресс по шкале ",G10)</f>
        <v>Прогресс по шкале Интеллект</v>
      </c>
      <c r="H23" s="1902" t="str">
        <f>CONCATENATE("Прогресс по шкале ",G11)</f>
        <v>Прогресс по шкале Креативность</v>
      </c>
      <c r="I23" s="1887"/>
      <c r="J23" s="1887"/>
      <c r="K23" s="1887"/>
      <c r="L23" s="1887"/>
      <c r="M23" s="1887"/>
      <c r="N23" s="1887"/>
      <c r="O23" s="1887"/>
      <c r="P23" s="1887"/>
      <c r="Q23" s="1887"/>
      <c r="R23" s="1887"/>
      <c r="S23" s="1887"/>
      <c r="T23" s="1887"/>
      <c r="U23" s="1887"/>
      <c r="V23" s="1887"/>
      <c r="W23" s="1887"/>
      <c r="X23" s="1887"/>
      <c r="Y23" s="1887"/>
      <c r="Z23" s="1887"/>
      <c r="AA23" s="1887"/>
      <c r="AB23" s="1887"/>
      <c r="AC23" s="1887"/>
    </row>
    <row r="24">
      <c r="A24" s="1887"/>
      <c r="B24" s="1887"/>
      <c r="C24" s="1904"/>
      <c r="D24" s="1890"/>
      <c r="E24" s="1905"/>
      <c r="F24" s="1889"/>
      <c r="G24" s="1887" t="str">
        <f t="shared" ref="G24:G72" si="2">IF(D24="","",IF(F24="Занятие с учителем",D24*$G$8,IF(F24="Чтение книги",D24*$G$9,IF(F24="Критический успех во время самостоятельной практики",$G$12/3,0))))</f>
        <v/>
      </c>
      <c r="H24" s="1906" t="str">
        <f t="shared" ref="H24:H72" si="3">IF(E24="","",IF(F24="Занятие с учителем",E24*$G$8,IF(F24="Чтение книги",E24*$G$9,IF(F24="Критический успех во время самостоятельной практики",$G$12/3,0))))</f>
        <v/>
      </c>
      <c r="I24" s="1887"/>
      <c r="J24" s="1887"/>
      <c r="K24" s="1887"/>
      <c r="L24" s="1887"/>
      <c r="M24" s="1887"/>
      <c r="N24" s="1887"/>
      <c r="O24" s="1887"/>
      <c r="P24" s="1887"/>
      <c r="Q24" s="1887"/>
      <c r="R24" s="1887"/>
      <c r="S24" s="1887"/>
      <c r="T24" s="1887"/>
      <c r="U24" s="1887"/>
      <c r="V24" s="1887"/>
      <c r="W24" s="1887"/>
      <c r="X24" s="1887"/>
      <c r="Y24" s="1887"/>
      <c r="Z24" s="1887"/>
      <c r="AA24" s="1887"/>
      <c r="AB24" s="1887"/>
      <c r="AC24" s="1887"/>
    </row>
    <row r="25">
      <c r="A25" s="1887"/>
      <c r="B25" s="1887"/>
      <c r="C25" s="1904"/>
      <c r="D25" s="1890"/>
      <c r="E25" s="1890"/>
      <c r="F25" s="1889"/>
      <c r="G25" s="1887" t="str">
        <f t="shared" si="2"/>
        <v/>
      </c>
      <c r="H25" s="1906" t="str">
        <f t="shared" si="3"/>
        <v/>
      </c>
      <c r="I25" s="1887"/>
      <c r="J25" s="1887"/>
      <c r="K25" s="1887"/>
      <c r="L25" s="1887"/>
      <c r="M25" s="1887"/>
      <c r="N25" s="1887"/>
      <c r="O25" s="1887"/>
      <c r="P25" s="1887"/>
      <c r="Q25" s="1887"/>
      <c r="R25" s="1887"/>
      <c r="S25" s="1887"/>
      <c r="T25" s="1887"/>
      <c r="U25" s="1887"/>
      <c r="V25" s="1887"/>
      <c r="W25" s="1887"/>
      <c r="X25" s="1887"/>
      <c r="Y25" s="1887"/>
      <c r="Z25" s="1887"/>
      <c r="AA25" s="1887"/>
      <c r="AB25" s="1887"/>
      <c r="AC25" s="1887"/>
    </row>
    <row r="26">
      <c r="A26" s="1887"/>
      <c r="B26" s="1887"/>
      <c r="C26" s="1907"/>
      <c r="D26" s="1887"/>
      <c r="E26" s="1887"/>
      <c r="F26" s="1889"/>
      <c r="G26" s="1887" t="str">
        <f t="shared" si="2"/>
        <v/>
      </c>
      <c r="H26" s="1906" t="str">
        <f t="shared" si="3"/>
        <v/>
      </c>
      <c r="I26" s="1887"/>
      <c r="J26" s="1887"/>
      <c r="K26" s="1887"/>
      <c r="L26" s="1887"/>
      <c r="M26" s="1887"/>
      <c r="N26" s="1887"/>
      <c r="O26" s="1887"/>
      <c r="P26" s="1887"/>
      <c r="Q26" s="1887"/>
      <c r="R26" s="1887"/>
      <c r="S26" s="1887"/>
      <c r="T26" s="1887"/>
      <c r="U26" s="1887"/>
      <c r="V26" s="1887"/>
      <c r="W26" s="1887"/>
      <c r="X26" s="1887"/>
      <c r="Y26" s="1887"/>
      <c r="Z26" s="1887"/>
      <c r="AA26" s="1887"/>
      <c r="AB26" s="1887"/>
      <c r="AC26" s="1887"/>
    </row>
    <row r="27">
      <c r="A27" s="1887"/>
      <c r="B27" s="1887"/>
      <c r="C27" s="1907"/>
      <c r="D27" s="1887"/>
      <c r="E27" s="1887"/>
      <c r="F27" s="1889"/>
      <c r="G27" s="1887" t="str">
        <f t="shared" si="2"/>
        <v/>
      </c>
      <c r="H27" s="1906" t="str">
        <f t="shared" si="3"/>
        <v/>
      </c>
      <c r="I27" s="1887"/>
      <c r="J27" s="1887"/>
      <c r="K27" s="1887"/>
      <c r="L27" s="1887"/>
      <c r="M27" s="1887"/>
      <c r="N27" s="1887"/>
      <c r="O27" s="1887"/>
      <c r="P27" s="1887"/>
      <c r="Q27" s="1887"/>
      <c r="R27" s="1887"/>
      <c r="S27" s="1887"/>
      <c r="T27" s="1887"/>
      <c r="U27" s="1887"/>
      <c r="V27" s="1887"/>
      <c r="W27" s="1887"/>
      <c r="X27" s="1887"/>
      <c r="Y27" s="1887"/>
      <c r="Z27" s="1887"/>
      <c r="AA27" s="1887"/>
      <c r="AB27" s="1887"/>
      <c r="AC27" s="1887"/>
    </row>
    <row r="28">
      <c r="A28" s="1887"/>
      <c r="B28" s="1887"/>
      <c r="C28" s="1907"/>
      <c r="D28" s="1887"/>
      <c r="E28" s="1887"/>
      <c r="F28" s="1889"/>
      <c r="G28" s="1887" t="str">
        <f t="shared" si="2"/>
        <v/>
      </c>
      <c r="H28" s="1906" t="str">
        <f t="shared" si="3"/>
        <v/>
      </c>
      <c r="I28" s="1887"/>
      <c r="J28" s="1887"/>
      <c r="K28" s="1887"/>
      <c r="L28" s="1887"/>
      <c r="M28" s="1887"/>
      <c r="N28" s="1887"/>
      <c r="O28" s="1887"/>
      <c r="P28" s="1887"/>
      <c r="Q28" s="1887"/>
      <c r="R28" s="1887"/>
      <c r="S28" s="1887"/>
      <c r="T28" s="1887"/>
      <c r="U28" s="1887"/>
      <c r="V28" s="1887"/>
      <c r="W28" s="1887"/>
      <c r="X28" s="1887"/>
      <c r="Y28" s="1887"/>
      <c r="Z28" s="1887"/>
      <c r="AA28" s="1887"/>
      <c r="AB28" s="1887"/>
      <c r="AC28" s="1887"/>
    </row>
    <row r="29">
      <c r="A29" s="1887"/>
      <c r="B29" s="1887"/>
      <c r="C29" s="1907"/>
      <c r="D29" s="1887"/>
      <c r="E29" s="1887"/>
      <c r="F29" s="1889"/>
      <c r="G29" s="1887" t="str">
        <f t="shared" si="2"/>
        <v/>
      </c>
      <c r="H29" s="1906" t="str">
        <f t="shared" si="3"/>
        <v/>
      </c>
      <c r="I29" s="1887"/>
      <c r="J29" s="1887"/>
      <c r="K29" s="1887"/>
      <c r="L29" s="1887"/>
      <c r="M29" s="1887"/>
      <c r="N29" s="1887"/>
      <c r="O29" s="1887"/>
      <c r="P29" s="1887"/>
      <c r="Q29" s="1887"/>
      <c r="R29" s="1887"/>
      <c r="S29" s="1887"/>
      <c r="T29" s="1887"/>
      <c r="U29" s="1887"/>
      <c r="V29" s="1887"/>
      <c r="W29" s="1887"/>
      <c r="X29" s="1887"/>
      <c r="Y29" s="1887"/>
      <c r="Z29" s="1887"/>
      <c r="AA29" s="1887"/>
      <c r="AB29" s="1887"/>
      <c r="AC29" s="1887"/>
    </row>
    <row r="30">
      <c r="A30" s="1887"/>
      <c r="B30" s="1887"/>
      <c r="C30" s="1907"/>
      <c r="D30" s="1887"/>
      <c r="E30" s="1887"/>
      <c r="F30" s="1889"/>
      <c r="G30" s="1887" t="str">
        <f t="shared" si="2"/>
        <v/>
      </c>
      <c r="H30" s="1906" t="str">
        <f t="shared" si="3"/>
        <v/>
      </c>
      <c r="I30" s="1887"/>
      <c r="J30" s="1887"/>
      <c r="K30" s="1887"/>
      <c r="L30" s="1887"/>
      <c r="M30" s="1887"/>
      <c r="N30" s="1887"/>
      <c r="O30" s="1887"/>
      <c r="P30" s="1887"/>
      <c r="Q30" s="1887"/>
      <c r="R30" s="1887"/>
      <c r="S30" s="1887"/>
      <c r="T30" s="1887"/>
      <c r="U30" s="1887"/>
      <c r="V30" s="1887"/>
      <c r="W30" s="1887"/>
      <c r="X30" s="1887"/>
      <c r="Y30" s="1887"/>
      <c r="Z30" s="1887"/>
      <c r="AA30" s="1887"/>
      <c r="AB30" s="1887"/>
      <c r="AC30" s="1887"/>
    </row>
    <row r="31">
      <c r="A31" s="1887"/>
      <c r="B31" s="1887"/>
      <c r="C31" s="1907"/>
      <c r="D31" s="1887"/>
      <c r="E31" s="1887"/>
      <c r="F31" s="1889"/>
      <c r="G31" s="1887" t="str">
        <f t="shared" si="2"/>
        <v/>
      </c>
      <c r="H31" s="1906" t="str">
        <f t="shared" si="3"/>
        <v/>
      </c>
      <c r="I31" s="1887"/>
      <c r="J31" s="1887"/>
      <c r="K31" s="1887"/>
      <c r="L31" s="1887"/>
      <c r="M31" s="1887"/>
      <c r="N31" s="1887"/>
      <c r="O31" s="1887"/>
      <c r="P31" s="1887"/>
      <c r="Q31" s="1887"/>
      <c r="R31" s="1887"/>
      <c r="S31" s="1887"/>
      <c r="T31" s="1887"/>
      <c r="U31" s="1887"/>
      <c r="V31" s="1887"/>
      <c r="W31" s="1887"/>
      <c r="X31" s="1887"/>
      <c r="Y31" s="1887"/>
      <c r="Z31" s="1887"/>
      <c r="AA31" s="1887"/>
      <c r="AB31" s="1887"/>
      <c r="AC31" s="1887"/>
    </row>
    <row r="32">
      <c r="A32" s="1887"/>
      <c r="B32" s="1887"/>
      <c r="C32" s="1907"/>
      <c r="D32" s="1887"/>
      <c r="E32" s="1887"/>
      <c r="F32" s="1889"/>
      <c r="G32" s="1887" t="str">
        <f t="shared" si="2"/>
        <v/>
      </c>
      <c r="H32" s="1906" t="str">
        <f t="shared" si="3"/>
        <v/>
      </c>
      <c r="I32" s="1887"/>
      <c r="J32" s="1887"/>
      <c r="K32" s="1887"/>
      <c r="L32" s="1887"/>
      <c r="M32" s="1887"/>
      <c r="N32" s="1887"/>
      <c r="O32" s="1887"/>
      <c r="P32" s="1887"/>
      <c r="Q32" s="1887"/>
      <c r="R32" s="1887"/>
      <c r="S32" s="1887"/>
      <c r="T32" s="1887"/>
      <c r="U32" s="1887"/>
      <c r="V32" s="1887"/>
      <c r="W32" s="1887"/>
      <c r="X32" s="1887"/>
      <c r="Y32" s="1887"/>
      <c r="Z32" s="1887"/>
      <c r="AA32" s="1887"/>
      <c r="AB32" s="1887"/>
      <c r="AC32" s="1887"/>
    </row>
    <row r="33">
      <c r="A33" s="1887"/>
      <c r="B33" s="1887"/>
      <c r="C33" s="1907"/>
      <c r="D33" s="1887"/>
      <c r="E33" s="1887"/>
      <c r="F33" s="1889"/>
      <c r="G33" s="1887" t="str">
        <f t="shared" si="2"/>
        <v/>
      </c>
      <c r="H33" s="1906" t="str">
        <f t="shared" si="3"/>
        <v/>
      </c>
      <c r="I33" s="1887"/>
      <c r="J33" s="1887"/>
      <c r="K33" s="1887"/>
      <c r="L33" s="1887"/>
      <c r="M33" s="1887"/>
      <c r="N33" s="1887"/>
      <c r="O33" s="1887"/>
      <c r="P33" s="1887"/>
      <c r="Q33" s="1887"/>
      <c r="R33" s="1887"/>
      <c r="S33" s="1887"/>
      <c r="T33" s="1887"/>
      <c r="U33" s="1887"/>
      <c r="V33" s="1887"/>
      <c r="W33" s="1887"/>
      <c r="X33" s="1887"/>
      <c r="Y33" s="1887"/>
      <c r="Z33" s="1887"/>
      <c r="AA33" s="1887"/>
      <c r="AB33" s="1887"/>
      <c r="AC33" s="1887"/>
    </row>
    <row r="34">
      <c r="A34" s="1887"/>
      <c r="B34" s="1887"/>
      <c r="C34" s="1907"/>
      <c r="D34" s="1887"/>
      <c r="E34" s="1887"/>
      <c r="F34" s="1889"/>
      <c r="G34" s="1887" t="str">
        <f t="shared" si="2"/>
        <v/>
      </c>
      <c r="H34" s="1906" t="str">
        <f t="shared" si="3"/>
        <v/>
      </c>
      <c r="I34" s="1887"/>
      <c r="J34" s="1887"/>
      <c r="K34" s="1887"/>
      <c r="L34" s="1887"/>
      <c r="M34" s="1887"/>
      <c r="N34" s="1887"/>
      <c r="O34" s="1887"/>
      <c r="P34" s="1887"/>
      <c r="Q34" s="1887"/>
      <c r="R34" s="1887"/>
      <c r="S34" s="1887"/>
      <c r="T34" s="1887"/>
      <c r="U34" s="1887"/>
      <c r="V34" s="1887"/>
      <c r="W34" s="1887"/>
      <c r="X34" s="1887"/>
      <c r="Y34" s="1887"/>
      <c r="Z34" s="1887"/>
      <c r="AA34" s="1887"/>
      <c r="AB34" s="1887"/>
      <c r="AC34" s="1887"/>
    </row>
    <row r="35">
      <c r="A35" s="1887"/>
      <c r="B35" s="1887"/>
      <c r="C35" s="1907"/>
      <c r="D35" s="1887"/>
      <c r="E35" s="1887"/>
      <c r="F35" s="1889"/>
      <c r="G35" s="1887" t="str">
        <f t="shared" si="2"/>
        <v/>
      </c>
      <c r="H35" s="1906" t="str">
        <f t="shared" si="3"/>
        <v/>
      </c>
      <c r="I35" s="1887"/>
      <c r="J35" s="1887"/>
      <c r="K35" s="1887"/>
      <c r="L35" s="1887"/>
      <c r="M35" s="1887"/>
      <c r="N35" s="1887"/>
      <c r="O35" s="1887"/>
      <c r="P35" s="1887"/>
      <c r="Q35" s="1887"/>
      <c r="R35" s="1887"/>
      <c r="S35" s="1887"/>
      <c r="T35" s="1887"/>
      <c r="U35" s="1887"/>
      <c r="V35" s="1887"/>
      <c r="W35" s="1887"/>
      <c r="X35" s="1887"/>
      <c r="Y35" s="1887"/>
      <c r="Z35" s="1887"/>
      <c r="AA35" s="1887"/>
      <c r="AB35" s="1887"/>
      <c r="AC35" s="1887"/>
    </row>
    <row r="36">
      <c r="A36" s="1887"/>
      <c r="B36" s="1887"/>
      <c r="C36" s="1907"/>
      <c r="D36" s="1887"/>
      <c r="E36" s="1887"/>
      <c r="F36" s="1889"/>
      <c r="G36" s="1887" t="str">
        <f t="shared" si="2"/>
        <v/>
      </c>
      <c r="H36" s="1906" t="str">
        <f t="shared" si="3"/>
        <v/>
      </c>
      <c r="I36" s="1887"/>
      <c r="J36" s="1887"/>
      <c r="K36" s="1887"/>
      <c r="L36" s="1887"/>
      <c r="M36" s="1887"/>
      <c r="N36" s="1887"/>
      <c r="O36" s="1887"/>
      <c r="P36" s="1887"/>
      <c r="Q36" s="1887"/>
      <c r="R36" s="1887"/>
      <c r="S36" s="1887"/>
      <c r="T36" s="1887"/>
      <c r="U36" s="1887"/>
      <c r="V36" s="1887"/>
      <c r="W36" s="1887"/>
      <c r="X36" s="1887"/>
      <c r="Y36" s="1887"/>
      <c r="Z36" s="1887"/>
      <c r="AA36" s="1887"/>
      <c r="AB36" s="1887"/>
      <c r="AC36" s="1887"/>
    </row>
    <row r="37">
      <c r="A37" s="1887"/>
      <c r="B37" s="1887"/>
      <c r="C37" s="1907"/>
      <c r="D37" s="1887"/>
      <c r="E37" s="1887"/>
      <c r="F37" s="1889"/>
      <c r="G37" s="1887" t="str">
        <f t="shared" si="2"/>
        <v/>
      </c>
      <c r="H37" s="1906" t="str">
        <f t="shared" si="3"/>
        <v/>
      </c>
      <c r="I37" s="1887"/>
      <c r="J37" s="1887"/>
      <c r="K37" s="1887"/>
      <c r="L37" s="1887"/>
      <c r="M37" s="1887"/>
      <c r="N37" s="1887"/>
      <c r="O37" s="1887"/>
      <c r="P37" s="1887"/>
      <c r="Q37" s="1887"/>
      <c r="R37" s="1887"/>
      <c r="S37" s="1887"/>
      <c r="T37" s="1887"/>
      <c r="U37" s="1887"/>
      <c r="V37" s="1887"/>
      <c r="W37" s="1887"/>
      <c r="X37" s="1887"/>
      <c r="Y37" s="1887"/>
      <c r="Z37" s="1887"/>
      <c r="AA37" s="1887"/>
      <c r="AB37" s="1887"/>
      <c r="AC37" s="1887"/>
    </row>
    <row r="38">
      <c r="A38" s="1887"/>
      <c r="B38" s="1887"/>
      <c r="C38" s="1907"/>
      <c r="D38" s="1887"/>
      <c r="E38" s="1887"/>
      <c r="F38" s="1889"/>
      <c r="G38" s="1887" t="str">
        <f t="shared" si="2"/>
        <v/>
      </c>
      <c r="H38" s="1906" t="str">
        <f t="shared" si="3"/>
        <v/>
      </c>
      <c r="I38" s="1887"/>
      <c r="J38" s="1887"/>
      <c r="K38" s="1887"/>
      <c r="L38" s="1887"/>
      <c r="M38" s="1887"/>
      <c r="N38" s="1887"/>
      <c r="O38" s="1887"/>
      <c r="P38" s="1887"/>
      <c r="Q38" s="1887"/>
      <c r="R38" s="1887"/>
      <c r="S38" s="1887"/>
      <c r="T38" s="1887"/>
      <c r="U38" s="1887"/>
      <c r="V38" s="1887"/>
      <c r="W38" s="1887"/>
      <c r="X38" s="1887"/>
      <c r="Y38" s="1887"/>
      <c r="Z38" s="1887"/>
      <c r="AA38" s="1887"/>
      <c r="AB38" s="1887"/>
      <c r="AC38" s="1887"/>
    </row>
    <row r="39">
      <c r="A39" s="1887"/>
      <c r="B39" s="1887"/>
      <c r="C39" s="1907"/>
      <c r="D39" s="1887"/>
      <c r="E39" s="1887"/>
      <c r="F39" s="1889"/>
      <c r="G39" s="1887" t="str">
        <f t="shared" si="2"/>
        <v/>
      </c>
      <c r="H39" s="1906" t="str">
        <f t="shared" si="3"/>
        <v/>
      </c>
      <c r="I39" s="1887"/>
      <c r="J39" s="1887"/>
      <c r="K39" s="1887"/>
      <c r="L39" s="1887"/>
      <c r="M39" s="1887"/>
      <c r="N39" s="1887"/>
      <c r="O39" s="1887"/>
      <c r="P39" s="1887"/>
      <c r="Q39" s="1887"/>
      <c r="R39" s="1887"/>
      <c r="S39" s="1887"/>
      <c r="T39" s="1887"/>
      <c r="U39" s="1887"/>
      <c r="V39" s="1887"/>
      <c r="W39" s="1887"/>
      <c r="X39" s="1887"/>
      <c r="Y39" s="1887"/>
      <c r="Z39" s="1887"/>
      <c r="AA39" s="1887"/>
      <c r="AB39" s="1887"/>
      <c r="AC39" s="1887"/>
    </row>
    <row r="40">
      <c r="A40" s="1887"/>
      <c r="B40" s="1887"/>
      <c r="C40" s="1907"/>
      <c r="D40" s="1887"/>
      <c r="E40" s="1887"/>
      <c r="F40" s="1889"/>
      <c r="G40" s="1887" t="str">
        <f t="shared" si="2"/>
        <v/>
      </c>
      <c r="H40" s="1906" t="str">
        <f t="shared" si="3"/>
        <v/>
      </c>
      <c r="I40" s="1887"/>
      <c r="J40" s="1887"/>
      <c r="K40" s="1887"/>
      <c r="L40" s="1887"/>
      <c r="M40" s="1887"/>
      <c r="N40" s="1887"/>
      <c r="O40" s="1887"/>
      <c r="P40" s="1887"/>
      <c r="Q40" s="1887"/>
      <c r="R40" s="1887"/>
      <c r="S40" s="1887"/>
      <c r="T40" s="1887"/>
      <c r="U40" s="1887"/>
      <c r="V40" s="1887"/>
      <c r="W40" s="1887"/>
      <c r="X40" s="1887"/>
      <c r="Y40" s="1887"/>
      <c r="Z40" s="1887"/>
      <c r="AA40" s="1887"/>
      <c r="AB40" s="1887"/>
      <c r="AC40" s="1887"/>
    </row>
    <row r="41">
      <c r="A41" s="1887"/>
      <c r="B41" s="1887"/>
      <c r="C41" s="1907"/>
      <c r="D41" s="1887"/>
      <c r="E41" s="1887"/>
      <c r="F41" s="1889"/>
      <c r="G41" s="1887" t="str">
        <f t="shared" si="2"/>
        <v/>
      </c>
      <c r="H41" s="1906" t="str">
        <f t="shared" si="3"/>
        <v/>
      </c>
      <c r="I41" s="1887"/>
      <c r="J41" s="1887"/>
      <c r="K41" s="1887"/>
      <c r="L41" s="1887"/>
      <c r="M41" s="1887"/>
      <c r="N41" s="1887"/>
      <c r="O41" s="1887"/>
      <c r="P41" s="1887"/>
      <c r="Q41" s="1887"/>
      <c r="R41" s="1887"/>
      <c r="S41" s="1887"/>
      <c r="T41" s="1887"/>
      <c r="U41" s="1887"/>
      <c r="V41" s="1887"/>
      <c r="W41" s="1887"/>
      <c r="X41" s="1887"/>
      <c r="Y41" s="1887"/>
      <c r="Z41" s="1887"/>
      <c r="AA41" s="1887"/>
      <c r="AB41" s="1887"/>
      <c r="AC41" s="1887"/>
    </row>
    <row r="42">
      <c r="A42" s="1887"/>
      <c r="B42" s="1887"/>
      <c r="C42" s="1907"/>
      <c r="D42" s="1887"/>
      <c r="E42" s="1887"/>
      <c r="F42" s="1889"/>
      <c r="G42" s="1887" t="str">
        <f t="shared" si="2"/>
        <v/>
      </c>
      <c r="H42" s="1906" t="str">
        <f t="shared" si="3"/>
        <v/>
      </c>
      <c r="I42" s="1887"/>
      <c r="J42" s="1887"/>
      <c r="K42" s="1887"/>
      <c r="L42" s="1887"/>
      <c r="M42" s="1887"/>
      <c r="N42" s="1887"/>
      <c r="O42" s="1887"/>
      <c r="P42" s="1887"/>
      <c r="Q42" s="1887"/>
      <c r="R42" s="1887"/>
      <c r="S42" s="1887"/>
      <c r="T42" s="1887"/>
      <c r="U42" s="1887"/>
      <c r="V42" s="1887"/>
      <c r="W42" s="1887"/>
      <c r="X42" s="1887"/>
      <c r="Y42" s="1887"/>
      <c r="Z42" s="1887"/>
      <c r="AA42" s="1887"/>
      <c r="AB42" s="1887"/>
      <c r="AC42" s="1887"/>
    </row>
    <row r="43">
      <c r="A43" s="1887"/>
      <c r="B43" s="1887"/>
      <c r="C43" s="1907"/>
      <c r="D43" s="1887"/>
      <c r="E43" s="1887"/>
      <c r="F43" s="1889"/>
      <c r="G43" s="1887" t="str">
        <f t="shared" si="2"/>
        <v/>
      </c>
      <c r="H43" s="1906" t="str">
        <f t="shared" si="3"/>
        <v/>
      </c>
      <c r="I43" s="1887"/>
      <c r="J43" s="1887"/>
      <c r="K43" s="1887"/>
      <c r="L43" s="1887"/>
      <c r="M43" s="1887"/>
      <c r="N43" s="1887"/>
      <c r="O43" s="1887"/>
      <c r="P43" s="1887"/>
      <c r="Q43" s="1887"/>
      <c r="R43" s="1887"/>
      <c r="S43" s="1887"/>
      <c r="T43" s="1887"/>
      <c r="U43" s="1887"/>
      <c r="V43" s="1887"/>
      <c r="W43" s="1887"/>
      <c r="X43" s="1887"/>
      <c r="Y43" s="1887"/>
      <c r="Z43" s="1887"/>
      <c r="AA43" s="1887"/>
      <c r="AB43" s="1887"/>
      <c r="AC43" s="1887"/>
    </row>
    <row r="44">
      <c r="A44" s="1887"/>
      <c r="B44" s="1887"/>
      <c r="C44" s="1907"/>
      <c r="D44" s="1887"/>
      <c r="E44" s="1887"/>
      <c r="F44" s="1889"/>
      <c r="G44" s="1887" t="str">
        <f t="shared" si="2"/>
        <v/>
      </c>
      <c r="H44" s="1906" t="str">
        <f t="shared" si="3"/>
        <v/>
      </c>
      <c r="I44" s="1887"/>
      <c r="J44" s="1887"/>
      <c r="K44" s="1887"/>
      <c r="L44" s="1887"/>
      <c r="M44" s="1887"/>
      <c r="N44" s="1887"/>
      <c r="O44" s="1887"/>
      <c r="P44" s="1887"/>
      <c r="Q44" s="1887"/>
      <c r="R44" s="1887"/>
      <c r="S44" s="1887"/>
      <c r="T44" s="1887"/>
      <c r="U44" s="1887"/>
      <c r="V44" s="1887"/>
      <c r="W44" s="1887"/>
      <c r="X44" s="1887"/>
      <c r="Y44" s="1887"/>
      <c r="Z44" s="1887"/>
      <c r="AA44" s="1887"/>
      <c r="AB44" s="1887"/>
      <c r="AC44" s="1887"/>
    </row>
    <row r="45">
      <c r="A45" s="1887"/>
      <c r="B45" s="1887"/>
      <c r="C45" s="1907"/>
      <c r="D45" s="1887"/>
      <c r="E45" s="1887"/>
      <c r="F45" s="1889"/>
      <c r="G45" s="1887" t="str">
        <f t="shared" si="2"/>
        <v/>
      </c>
      <c r="H45" s="1906" t="str">
        <f t="shared" si="3"/>
        <v/>
      </c>
      <c r="I45" s="1887"/>
      <c r="J45" s="1887"/>
      <c r="K45" s="1887"/>
      <c r="L45" s="1887"/>
      <c r="M45" s="1887"/>
      <c r="N45" s="1887"/>
      <c r="O45" s="1887"/>
      <c r="P45" s="1887"/>
      <c r="Q45" s="1887"/>
      <c r="R45" s="1887"/>
      <c r="S45" s="1887"/>
      <c r="T45" s="1887"/>
      <c r="U45" s="1887"/>
      <c r="V45" s="1887"/>
      <c r="W45" s="1887"/>
      <c r="X45" s="1887"/>
      <c r="Y45" s="1887"/>
      <c r="Z45" s="1887"/>
      <c r="AA45" s="1887"/>
      <c r="AB45" s="1887"/>
      <c r="AC45" s="1887"/>
    </row>
    <row r="46">
      <c r="A46" s="1887"/>
      <c r="B46" s="1887"/>
      <c r="C46" s="1907"/>
      <c r="D46" s="1887"/>
      <c r="E46" s="1887"/>
      <c r="F46" s="1889"/>
      <c r="G46" s="1887" t="str">
        <f t="shared" si="2"/>
        <v/>
      </c>
      <c r="H46" s="1906" t="str">
        <f t="shared" si="3"/>
        <v/>
      </c>
      <c r="I46" s="1887"/>
      <c r="J46" s="1887"/>
      <c r="K46" s="1887"/>
      <c r="L46" s="1887"/>
      <c r="M46" s="1887"/>
      <c r="N46" s="1887"/>
      <c r="O46" s="1887"/>
      <c r="P46" s="1887"/>
      <c r="Q46" s="1887"/>
      <c r="R46" s="1887"/>
      <c r="S46" s="1887"/>
      <c r="T46" s="1887"/>
      <c r="U46" s="1887"/>
      <c r="V46" s="1887"/>
      <c r="W46" s="1887"/>
      <c r="X46" s="1887"/>
      <c r="Y46" s="1887"/>
      <c r="Z46" s="1887"/>
      <c r="AA46" s="1887"/>
      <c r="AB46" s="1887"/>
      <c r="AC46" s="1887"/>
    </row>
    <row r="47">
      <c r="A47" s="1887"/>
      <c r="B47" s="1887"/>
      <c r="C47" s="1907"/>
      <c r="D47" s="1887"/>
      <c r="E47" s="1887"/>
      <c r="F47" s="1889"/>
      <c r="G47" s="1887" t="str">
        <f t="shared" si="2"/>
        <v/>
      </c>
      <c r="H47" s="1906" t="str">
        <f t="shared" si="3"/>
        <v/>
      </c>
      <c r="I47" s="1887"/>
      <c r="J47" s="1887"/>
      <c r="K47" s="1887"/>
      <c r="L47" s="1887"/>
      <c r="M47" s="1887"/>
      <c r="N47" s="1887"/>
      <c r="O47" s="1887"/>
      <c r="P47" s="1887"/>
      <c r="Q47" s="1887"/>
      <c r="R47" s="1887"/>
      <c r="S47" s="1887"/>
      <c r="T47" s="1887"/>
      <c r="U47" s="1887"/>
      <c r="V47" s="1887"/>
      <c r="W47" s="1887"/>
      <c r="X47" s="1887"/>
      <c r="Y47" s="1887"/>
      <c r="Z47" s="1887"/>
      <c r="AA47" s="1887"/>
      <c r="AB47" s="1887"/>
      <c r="AC47" s="1887"/>
    </row>
    <row r="48">
      <c r="A48" s="1887"/>
      <c r="B48" s="1887"/>
      <c r="C48" s="1907"/>
      <c r="D48" s="1887"/>
      <c r="E48" s="1887"/>
      <c r="F48" s="1889"/>
      <c r="G48" s="1887" t="str">
        <f t="shared" si="2"/>
        <v/>
      </c>
      <c r="H48" s="1906" t="str">
        <f t="shared" si="3"/>
        <v/>
      </c>
      <c r="I48" s="1887"/>
      <c r="J48" s="1887"/>
      <c r="K48" s="1887"/>
      <c r="L48" s="1887"/>
      <c r="M48" s="1887"/>
      <c r="N48" s="1887"/>
      <c r="O48" s="1887"/>
      <c r="P48" s="1887"/>
      <c r="Q48" s="1887"/>
      <c r="R48" s="1887"/>
      <c r="S48" s="1887"/>
      <c r="T48" s="1887"/>
      <c r="U48" s="1887"/>
      <c r="V48" s="1887"/>
      <c r="W48" s="1887"/>
      <c r="X48" s="1887"/>
      <c r="Y48" s="1887"/>
      <c r="Z48" s="1887"/>
      <c r="AA48" s="1887"/>
      <c r="AB48" s="1887"/>
      <c r="AC48" s="1887"/>
    </row>
    <row r="49">
      <c r="A49" s="1887"/>
      <c r="B49" s="1887"/>
      <c r="C49" s="1907"/>
      <c r="D49" s="1887"/>
      <c r="E49" s="1887"/>
      <c r="F49" s="1889"/>
      <c r="G49" s="1887" t="str">
        <f t="shared" si="2"/>
        <v/>
      </c>
      <c r="H49" s="1906" t="str">
        <f t="shared" si="3"/>
        <v/>
      </c>
      <c r="I49" s="1887"/>
      <c r="J49" s="1887"/>
      <c r="K49" s="1887"/>
      <c r="L49" s="1887"/>
      <c r="M49" s="1887"/>
      <c r="N49" s="1887"/>
      <c r="O49" s="1887"/>
      <c r="P49" s="1887"/>
      <c r="Q49" s="1887"/>
      <c r="R49" s="1887"/>
      <c r="S49" s="1887"/>
      <c r="T49" s="1887"/>
      <c r="U49" s="1887"/>
      <c r="V49" s="1887"/>
      <c r="W49" s="1887"/>
      <c r="X49" s="1887"/>
      <c r="Y49" s="1887"/>
      <c r="Z49" s="1887"/>
      <c r="AA49" s="1887"/>
      <c r="AB49" s="1887"/>
      <c r="AC49" s="1887"/>
    </row>
    <row r="50">
      <c r="A50" s="1887"/>
      <c r="B50" s="1887"/>
      <c r="C50" s="1907"/>
      <c r="D50" s="1887"/>
      <c r="E50" s="1887"/>
      <c r="F50" s="1889"/>
      <c r="G50" s="1887" t="str">
        <f t="shared" si="2"/>
        <v/>
      </c>
      <c r="H50" s="1906" t="str">
        <f t="shared" si="3"/>
        <v/>
      </c>
      <c r="I50" s="1887"/>
      <c r="J50" s="1887"/>
      <c r="K50" s="1887"/>
      <c r="L50" s="1887"/>
      <c r="M50" s="1887"/>
      <c r="N50" s="1887"/>
      <c r="O50" s="1887"/>
      <c r="P50" s="1887"/>
      <c r="Q50" s="1887"/>
      <c r="R50" s="1887"/>
      <c r="S50" s="1887"/>
      <c r="T50" s="1887"/>
      <c r="U50" s="1887"/>
      <c r="V50" s="1887"/>
      <c r="W50" s="1887"/>
      <c r="X50" s="1887"/>
      <c r="Y50" s="1887"/>
      <c r="Z50" s="1887"/>
      <c r="AA50" s="1887"/>
      <c r="AB50" s="1887"/>
      <c r="AC50" s="1887"/>
    </row>
    <row r="51">
      <c r="A51" s="1887"/>
      <c r="B51" s="1887"/>
      <c r="C51" s="1907"/>
      <c r="D51" s="1887"/>
      <c r="E51" s="1887"/>
      <c r="F51" s="1889"/>
      <c r="G51" s="1887" t="str">
        <f t="shared" si="2"/>
        <v/>
      </c>
      <c r="H51" s="1906" t="str">
        <f t="shared" si="3"/>
        <v/>
      </c>
      <c r="I51" s="1887"/>
      <c r="J51" s="1887"/>
      <c r="K51" s="1887"/>
      <c r="L51" s="1887"/>
      <c r="M51" s="1887"/>
      <c r="N51" s="1887"/>
      <c r="O51" s="1887"/>
      <c r="P51" s="1887"/>
      <c r="Q51" s="1887"/>
      <c r="R51" s="1887"/>
      <c r="S51" s="1887"/>
      <c r="T51" s="1887"/>
      <c r="U51" s="1887"/>
      <c r="V51" s="1887"/>
      <c r="W51" s="1887"/>
      <c r="X51" s="1887"/>
      <c r="Y51" s="1887"/>
      <c r="Z51" s="1887"/>
      <c r="AA51" s="1887"/>
      <c r="AB51" s="1887"/>
      <c r="AC51" s="1887"/>
    </row>
    <row r="52">
      <c r="A52" s="1887"/>
      <c r="B52" s="1887"/>
      <c r="C52" s="1907"/>
      <c r="D52" s="1887"/>
      <c r="E52" s="1887"/>
      <c r="F52" s="1889"/>
      <c r="G52" s="1887" t="str">
        <f t="shared" si="2"/>
        <v/>
      </c>
      <c r="H52" s="1906" t="str">
        <f t="shared" si="3"/>
        <v/>
      </c>
      <c r="I52" s="1887"/>
      <c r="J52" s="1887"/>
      <c r="K52" s="1887"/>
      <c r="L52" s="1887"/>
      <c r="M52" s="1887"/>
      <c r="N52" s="1887"/>
      <c r="O52" s="1887"/>
      <c r="P52" s="1887"/>
      <c r="Q52" s="1887"/>
      <c r="R52" s="1887"/>
      <c r="S52" s="1887"/>
      <c r="T52" s="1887"/>
      <c r="U52" s="1887"/>
      <c r="V52" s="1887"/>
      <c r="W52" s="1887"/>
      <c r="X52" s="1887"/>
      <c r="Y52" s="1887"/>
      <c r="Z52" s="1887"/>
      <c r="AA52" s="1887"/>
      <c r="AB52" s="1887"/>
      <c r="AC52" s="1887"/>
    </row>
    <row r="53">
      <c r="A53" s="1887"/>
      <c r="B53" s="1887"/>
      <c r="C53" s="1907"/>
      <c r="D53" s="1887"/>
      <c r="E53" s="1887"/>
      <c r="F53" s="1889"/>
      <c r="G53" s="1887" t="str">
        <f t="shared" si="2"/>
        <v/>
      </c>
      <c r="H53" s="1906" t="str">
        <f t="shared" si="3"/>
        <v/>
      </c>
      <c r="I53" s="1887"/>
      <c r="J53" s="1887"/>
      <c r="K53" s="1887"/>
      <c r="L53" s="1887"/>
      <c r="M53" s="1887"/>
      <c r="N53" s="1887"/>
      <c r="O53" s="1887"/>
      <c r="P53" s="1887"/>
      <c r="Q53" s="1887"/>
      <c r="R53" s="1887"/>
      <c r="S53" s="1887"/>
      <c r="T53" s="1887"/>
      <c r="U53" s="1887"/>
      <c r="V53" s="1887"/>
      <c r="W53" s="1887"/>
      <c r="X53" s="1887"/>
      <c r="Y53" s="1887"/>
      <c r="Z53" s="1887"/>
      <c r="AA53" s="1887"/>
      <c r="AB53" s="1887"/>
      <c r="AC53" s="1887"/>
    </row>
    <row r="54">
      <c r="A54" s="1887"/>
      <c r="B54" s="1887"/>
      <c r="C54" s="1907"/>
      <c r="D54" s="1887"/>
      <c r="E54" s="1887"/>
      <c r="F54" s="1889"/>
      <c r="G54" s="1887" t="str">
        <f t="shared" si="2"/>
        <v/>
      </c>
      <c r="H54" s="1906" t="str">
        <f t="shared" si="3"/>
        <v/>
      </c>
      <c r="I54" s="1887"/>
      <c r="J54" s="1887"/>
      <c r="K54" s="1887"/>
      <c r="L54" s="1887"/>
      <c r="M54" s="1887"/>
      <c r="N54" s="1887"/>
      <c r="O54" s="1887"/>
      <c r="P54" s="1887"/>
      <c r="Q54" s="1887"/>
      <c r="R54" s="1887"/>
      <c r="S54" s="1887"/>
      <c r="T54" s="1887"/>
      <c r="U54" s="1887"/>
      <c r="V54" s="1887"/>
      <c r="W54" s="1887"/>
      <c r="X54" s="1887"/>
      <c r="Y54" s="1887"/>
      <c r="Z54" s="1887"/>
      <c r="AA54" s="1887"/>
      <c r="AB54" s="1887"/>
      <c r="AC54" s="1887"/>
    </row>
    <row r="55">
      <c r="A55" s="1887"/>
      <c r="B55" s="1887"/>
      <c r="C55" s="1907"/>
      <c r="D55" s="1887"/>
      <c r="E55" s="1887"/>
      <c r="F55" s="1889"/>
      <c r="G55" s="1887" t="str">
        <f t="shared" si="2"/>
        <v/>
      </c>
      <c r="H55" s="1906" t="str">
        <f t="shared" si="3"/>
        <v/>
      </c>
      <c r="I55" s="1887"/>
      <c r="J55" s="1887"/>
      <c r="K55" s="1887"/>
      <c r="L55" s="1887"/>
      <c r="M55" s="1887"/>
      <c r="N55" s="1887"/>
      <c r="O55" s="1887"/>
      <c r="P55" s="1887"/>
      <c r="Q55" s="1887"/>
      <c r="R55" s="1887"/>
      <c r="S55" s="1887"/>
      <c r="T55" s="1887"/>
      <c r="U55" s="1887"/>
      <c r="V55" s="1887"/>
      <c r="W55" s="1887"/>
      <c r="X55" s="1887"/>
      <c r="Y55" s="1887"/>
      <c r="Z55" s="1887"/>
      <c r="AA55" s="1887"/>
      <c r="AB55" s="1887"/>
      <c r="AC55" s="1887"/>
    </row>
    <row r="56">
      <c r="A56" s="1887"/>
      <c r="B56" s="1887"/>
      <c r="C56" s="1907"/>
      <c r="D56" s="1887"/>
      <c r="E56" s="1887"/>
      <c r="F56" s="1889"/>
      <c r="G56" s="1887" t="str">
        <f t="shared" si="2"/>
        <v/>
      </c>
      <c r="H56" s="1906" t="str">
        <f t="shared" si="3"/>
        <v/>
      </c>
      <c r="I56" s="1887"/>
      <c r="J56" s="1887"/>
      <c r="K56" s="1887"/>
      <c r="L56" s="1887"/>
      <c r="M56" s="1887"/>
      <c r="N56" s="1887"/>
      <c r="O56" s="1887"/>
      <c r="P56" s="1887"/>
      <c r="Q56" s="1887"/>
      <c r="R56" s="1887"/>
      <c r="S56" s="1887"/>
      <c r="T56" s="1887"/>
      <c r="U56" s="1887"/>
      <c r="V56" s="1887"/>
      <c r="W56" s="1887"/>
      <c r="X56" s="1887"/>
      <c r="Y56" s="1887"/>
      <c r="Z56" s="1887"/>
      <c r="AA56" s="1887"/>
      <c r="AB56" s="1887"/>
      <c r="AC56" s="1887"/>
    </row>
    <row r="57">
      <c r="A57" s="1887"/>
      <c r="B57" s="1887"/>
      <c r="C57" s="1907"/>
      <c r="D57" s="1887"/>
      <c r="E57" s="1887"/>
      <c r="F57" s="1889"/>
      <c r="G57" s="1887" t="str">
        <f t="shared" si="2"/>
        <v/>
      </c>
      <c r="H57" s="1906" t="str">
        <f t="shared" si="3"/>
        <v/>
      </c>
      <c r="I57" s="1887"/>
      <c r="J57" s="1887"/>
      <c r="K57" s="1887"/>
      <c r="L57" s="1887"/>
      <c r="M57" s="1887"/>
      <c r="N57" s="1887"/>
      <c r="O57" s="1887"/>
      <c r="P57" s="1887"/>
      <c r="Q57" s="1887"/>
      <c r="R57" s="1887"/>
      <c r="S57" s="1887"/>
      <c r="T57" s="1887"/>
      <c r="U57" s="1887"/>
      <c r="V57" s="1887"/>
      <c r="W57" s="1887"/>
      <c r="X57" s="1887"/>
      <c r="Y57" s="1887"/>
      <c r="Z57" s="1887"/>
      <c r="AA57" s="1887"/>
      <c r="AB57" s="1887"/>
      <c r="AC57" s="1887"/>
    </row>
    <row r="58">
      <c r="A58" s="1887"/>
      <c r="B58" s="1887"/>
      <c r="C58" s="1907"/>
      <c r="D58" s="1887"/>
      <c r="E58" s="1887"/>
      <c r="F58" s="1889"/>
      <c r="G58" s="1887" t="str">
        <f t="shared" si="2"/>
        <v/>
      </c>
      <c r="H58" s="1906" t="str">
        <f t="shared" si="3"/>
        <v/>
      </c>
      <c r="I58" s="1887"/>
      <c r="J58" s="1887"/>
      <c r="K58" s="1887"/>
      <c r="L58" s="1887"/>
      <c r="M58" s="1887"/>
      <c r="N58" s="1887"/>
      <c r="O58" s="1887"/>
      <c r="P58" s="1887"/>
      <c r="Q58" s="1887"/>
      <c r="R58" s="1887"/>
      <c r="S58" s="1887"/>
      <c r="T58" s="1887"/>
      <c r="U58" s="1887"/>
      <c r="V58" s="1887"/>
      <c r="W58" s="1887"/>
      <c r="X58" s="1887"/>
      <c r="Y58" s="1887"/>
      <c r="Z58" s="1887"/>
      <c r="AA58" s="1887"/>
      <c r="AB58" s="1887"/>
      <c r="AC58" s="1887"/>
    </row>
    <row r="59">
      <c r="A59" s="1887"/>
      <c r="B59" s="1887"/>
      <c r="C59" s="1907"/>
      <c r="D59" s="1887"/>
      <c r="E59" s="1887"/>
      <c r="F59" s="1889"/>
      <c r="G59" s="1887" t="str">
        <f t="shared" si="2"/>
        <v/>
      </c>
      <c r="H59" s="1906" t="str">
        <f t="shared" si="3"/>
        <v/>
      </c>
      <c r="I59" s="1887"/>
      <c r="J59" s="1887"/>
      <c r="K59" s="1887"/>
      <c r="L59" s="1887"/>
      <c r="M59" s="1887"/>
      <c r="N59" s="1887"/>
      <c r="O59" s="1887"/>
      <c r="P59" s="1887"/>
      <c r="Q59" s="1887"/>
      <c r="R59" s="1887"/>
      <c r="S59" s="1887"/>
      <c r="T59" s="1887"/>
      <c r="U59" s="1887"/>
      <c r="V59" s="1887"/>
      <c r="W59" s="1887"/>
      <c r="X59" s="1887"/>
      <c r="Y59" s="1887"/>
      <c r="Z59" s="1887"/>
      <c r="AA59" s="1887"/>
      <c r="AB59" s="1887"/>
      <c r="AC59" s="1887"/>
    </row>
    <row r="60">
      <c r="A60" s="1887"/>
      <c r="B60" s="1887"/>
      <c r="C60" s="1907"/>
      <c r="D60" s="1887"/>
      <c r="E60" s="1887"/>
      <c r="F60" s="1889"/>
      <c r="G60" s="1887" t="str">
        <f t="shared" si="2"/>
        <v/>
      </c>
      <c r="H60" s="1906" t="str">
        <f t="shared" si="3"/>
        <v/>
      </c>
      <c r="I60" s="1887"/>
      <c r="J60" s="1887"/>
      <c r="K60" s="1887"/>
      <c r="L60" s="1887"/>
      <c r="M60" s="1887"/>
      <c r="N60" s="1887"/>
      <c r="O60" s="1887"/>
      <c r="P60" s="1887"/>
      <c r="Q60" s="1887"/>
      <c r="R60" s="1887"/>
      <c r="S60" s="1887"/>
      <c r="T60" s="1887"/>
      <c r="U60" s="1887"/>
      <c r="V60" s="1887"/>
      <c r="W60" s="1887"/>
      <c r="X60" s="1887"/>
      <c r="Y60" s="1887"/>
      <c r="Z60" s="1887"/>
      <c r="AA60" s="1887"/>
      <c r="AB60" s="1887"/>
      <c r="AC60" s="1887"/>
    </row>
    <row r="61">
      <c r="A61" s="1887"/>
      <c r="B61" s="1887"/>
      <c r="C61" s="1907"/>
      <c r="D61" s="1887"/>
      <c r="E61" s="1887"/>
      <c r="F61" s="1889"/>
      <c r="G61" s="1887" t="str">
        <f t="shared" si="2"/>
        <v/>
      </c>
      <c r="H61" s="1906" t="str">
        <f t="shared" si="3"/>
        <v/>
      </c>
      <c r="I61" s="1887"/>
      <c r="J61" s="1887"/>
      <c r="K61" s="1887"/>
      <c r="L61" s="1887"/>
      <c r="M61" s="1887"/>
      <c r="N61" s="1887"/>
      <c r="O61" s="1887"/>
      <c r="P61" s="1887"/>
      <c r="Q61" s="1887"/>
      <c r="R61" s="1887"/>
      <c r="S61" s="1887"/>
      <c r="T61" s="1887"/>
      <c r="U61" s="1887"/>
      <c r="V61" s="1887"/>
      <c r="W61" s="1887"/>
      <c r="X61" s="1887"/>
      <c r="Y61" s="1887"/>
      <c r="Z61" s="1887"/>
      <c r="AA61" s="1887"/>
      <c r="AB61" s="1887"/>
      <c r="AC61" s="1887"/>
    </row>
    <row r="62">
      <c r="A62" s="1887"/>
      <c r="B62" s="1887"/>
      <c r="C62" s="1907"/>
      <c r="D62" s="1887"/>
      <c r="E62" s="1887"/>
      <c r="F62" s="1889"/>
      <c r="G62" s="1887" t="str">
        <f t="shared" si="2"/>
        <v/>
      </c>
      <c r="H62" s="1906" t="str">
        <f t="shared" si="3"/>
        <v/>
      </c>
      <c r="I62" s="1887"/>
      <c r="J62" s="1887"/>
      <c r="K62" s="1887"/>
      <c r="L62" s="1887"/>
      <c r="M62" s="1887"/>
      <c r="N62" s="1887"/>
      <c r="O62" s="1887"/>
      <c r="P62" s="1887"/>
      <c r="Q62" s="1887"/>
      <c r="R62" s="1887"/>
      <c r="S62" s="1887"/>
      <c r="T62" s="1887"/>
      <c r="U62" s="1887"/>
      <c r="V62" s="1887"/>
      <c r="W62" s="1887"/>
      <c r="X62" s="1887"/>
      <c r="Y62" s="1887"/>
      <c r="Z62" s="1887"/>
      <c r="AA62" s="1887"/>
      <c r="AB62" s="1887"/>
      <c r="AC62" s="1887"/>
    </row>
    <row r="63">
      <c r="A63" s="1887"/>
      <c r="B63" s="1887"/>
      <c r="C63" s="1907"/>
      <c r="D63" s="1887"/>
      <c r="E63" s="1887"/>
      <c r="F63" s="1889"/>
      <c r="G63" s="1887" t="str">
        <f t="shared" si="2"/>
        <v/>
      </c>
      <c r="H63" s="1906" t="str">
        <f t="shared" si="3"/>
        <v/>
      </c>
      <c r="I63" s="1887"/>
      <c r="J63" s="1887"/>
      <c r="K63" s="1887"/>
      <c r="L63" s="1887"/>
      <c r="M63" s="1887"/>
      <c r="N63" s="1887"/>
      <c r="O63" s="1887"/>
      <c r="P63" s="1887"/>
      <c r="Q63" s="1887"/>
      <c r="R63" s="1887"/>
      <c r="S63" s="1887"/>
      <c r="T63" s="1887"/>
      <c r="U63" s="1887"/>
      <c r="V63" s="1887"/>
      <c r="W63" s="1887"/>
      <c r="X63" s="1887"/>
      <c r="Y63" s="1887"/>
      <c r="Z63" s="1887"/>
      <c r="AA63" s="1887"/>
      <c r="AB63" s="1887"/>
      <c r="AC63" s="1887"/>
    </row>
    <row r="64">
      <c r="A64" s="1887"/>
      <c r="B64" s="1887"/>
      <c r="C64" s="1907"/>
      <c r="D64" s="1887"/>
      <c r="E64" s="1887"/>
      <c r="F64" s="1889"/>
      <c r="G64" s="1887" t="str">
        <f t="shared" si="2"/>
        <v/>
      </c>
      <c r="H64" s="1906" t="str">
        <f t="shared" si="3"/>
        <v/>
      </c>
      <c r="I64" s="1887"/>
      <c r="J64" s="1887"/>
      <c r="K64" s="1887"/>
      <c r="L64" s="1887"/>
      <c r="M64" s="1887"/>
      <c r="N64" s="1887"/>
      <c r="O64" s="1887"/>
      <c r="P64" s="1887"/>
      <c r="Q64" s="1887"/>
      <c r="R64" s="1887"/>
      <c r="S64" s="1887"/>
      <c r="T64" s="1887"/>
      <c r="U64" s="1887"/>
      <c r="V64" s="1887"/>
      <c r="W64" s="1887"/>
      <c r="X64" s="1887"/>
      <c r="Y64" s="1887"/>
      <c r="Z64" s="1887"/>
      <c r="AA64" s="1887"/>
      <c r="AB64" s="1887"/>
      <c r="AC64" s="1887"/>
    </row>
    <row r="65">
      <c r="A65" s="1887"/>
      <c r="B65" s="1887"/>
      <c r="C65" s="1907"/>
      <c r="D65" s="1887"/>
      <c r="E65" s="1887"/>
      <c r="F65" s="1889"/>
      <c r="G65" s="1887" t="str">
        <f t="shared" si="2"/>
        <v/>
      </c>
      <c r="H65" s="1906" t="str">
        <f t="shared" si="3"/>
        <v/>
      </c>
      <c r="I65" s="1887"/>
      <c r="J65" s="1887"/>
      <c r="K65" s="1887"/>
      <c r="L65" s="1887"/>
      <c r="M65" s="1887"/>
      <c r="N65" s="1887"/>
      <c r="O65" s="1887"/>
      <c r="P65" s="1887"/>
      <c r="Q65" s="1887"/>
      <c r="R65" s="1887"/>
      <c r="S65" s="1887"/>
      <c r="T65" s="1887"/>
      <c r="U65" s="1887"/>
      <c r="V65" s="1887"/>
      <c r="W65" s="1887"/>
      <c r="X65" s="1887"/>
      <c r="Y65" s="1887"/>
      <c r="Z65" s="1887"/>
      <c r="AA65" s="1887"/>
      <c r="AB65" s="1887"/>
      <c r="AC65" s="1887"/>
    </row>
    <row r="66">
      <c r="A66" s="1887"/>
      <c r="B66" s="1887"/>
      <c r="C66" s="1907"/>
      <c r="D66" s="1887"/>
      <c r="E66" s="1887"/>
      <c r="F66" s="1889"/>
      <c r="G66" s="1887" t="str">
        <f t="shared" si="2"/>
        <v/>
      </c>
      <c r="H66" s="1906" t="str">
        <f t="shared" si="3"/>
        <v/>
      </c>
      <c r="I66" s="1887"/>
      <c r="J66" s="1887"/>
      <c r="K66" s="1887"/>
      <c r="L66" s="1887"/>
      <c r="M66" s="1887"/>
      <c r="N66" s="1887"/>
      <c r="O66" s="1887"/>
      <c r="P66" s="1887"/>
      <c r="Q66" s="1887"/>
      <c r="R66" s="1887"/>
      <c r="S66" s="1887"/>
      <c r="T66" s="1887"/>
      <c r="U66" s="1887"/>
      <c r="V66" s="1887"/>
      <c r="W66" s="1887"/>
      <c r="X66" s="1887"/>
      <c r="Y66" s="1887"/>
      <c r="Z66" s="1887"/>
      <c r="AA66" s="1887"/>
      <c r="AB66" s="1887"/>
      <c r="AC66" s="1887"/>
    </row>
    <row r="67">
      <c r="A67" s="1887"/>
      <c r="B67" s="1887"/>
      <c r="C67" s="1907"/>
      <c r="D67" s="1887"/>
      <c r="E67" s="1887"/>
      <c r="F67" s="1889"/>
      <c r="G67" s="1887" t="str">
        <f t="shared" si="2"/>
        <v/>
      </c>
      <c r="H67" s="1906" t="str">
        <f t="shared" si="3"/>
        <v/>
      </c>
      <c r="I67" s="1887"/>
      <c r="J67" s="1887"/>
      <c r="K67" s="1887"/>
      <c r="L67" s="1887"/>
      <c r="M67" s="1887"/>
      <c r="N67" s="1887"/>
      <c r="O67" s="1887"/>
      <c r="P67" s="1887"/>
      <c r="Q67" s="1887"/>
      <c r="R67" s="1887"/>
      <c r="S67" s="1887"/>
      <c r="T67" s="1887"/>
      <c r="U67" s="1887"/>
      <c r="V67" s="1887"/>
      <c r="W67" s="1887"/>
      <c r="X67" s="1887"/>
      <c r="Y67" s="1887"/>
      <c r="Z67" s="1887"/>
      <c r="AA67" s="1887"/>
      <c r="AB67" s="1887"/>
      <c r="AC67" s="1887"/>
    </row>
    <row r="68">
      <c r="A68" s="1887"/>
      <c r="B68" s="1887"/>
      <c r="C68" s="1907"/>
      <c r="D68" s="1887"/>
      <c r="E68" s="1887"/>
      <c r="F68" s="1889"/>
      <c r="G68" s="1887" t="str">
        <f t="shared" si="2"/>
        <v/>
      </c>
      <c r="H68" s="1906" t="str">
        <f t="shared" si="3"/>
        <v/>
      </c>
      <c r="I68" s="1887"/>
      <c r="J68" s="1887"/>
      <c r="K68" s="1887"/>
      <c r="L68" s="1887"/>
      <c r="M68" s="1887"/>
      <c r="N68" s="1887"/>
      <c r="O68" s="1887"/>
      <c r="P68" s="1887"/>
      <c r="Q68" s="1887"/>
      <c r="R68" s="1887"/>
      <c r="S68" s="1887"/>
      <c r="T68" s="1887"/>
      <c r="U68" s="1887"/>
      <c r="V68" s="1887"/>
      <c r="W68" s="1887"/>
      <c r="X68" s="1887"/>
      <c r="Y68" s="1887"/>
      <c r="Z68" s="1887"/>
      <c r="AA68" s="1887"/>
      <c r="AB68" s="1887"/>
      <c r="AC68" s="1887"/>
    </row>
    <row r="69">
      <c r="A69" s="1887"/>
      <c r="B69" s="1887"/>
      <c r="C69" s="1907"/>
      <c r="D69" s="1887"/>
      <c r="E69" s="1887"/>
      <c r="F69" s="1889"/>
      <c r="G69" s="1887" t="str">
        <f t="shared" si="2"/>
        <v/>
      </c>
      <c r="H69" s="1906" t="str">
        <f t="shared" si="3"/>
        <v/>
      </c>
      <c r="I69" s="1887"/>
      <c r="J69" s="1887"/>
      <c r="K69" s="1887"/>
      <c r="L69" s="1887"/>
      <c r="M69" s="1887"/>
      <c r="N69" s="1887"/>
      <c r="O69" s="1887"/>
      <c r="P69" s="1887"/>
      <c r="Q69" s="1887"/>
      <c r="R69" s="1887"/>
      <c r="S69" s="1887"/>
      <c r="T69" s="1887"/>
      <c r="U69" s="1887"/>
      <c r="V69" s="1887"/>
      <c r="W69" s="1887"/>
      <c r="X69" s="1887"/>
      <c r="Y69" s="1887"/>
      <c r="Z69" s="1887"/>
      <c r="AA69" s="1887"/>
      <c r="AB69" s="1887"/>
      <c r="AC69" s="1887"/>
    </row>
    <row r="70">
      <c r="A70" s="1887"/>
      <c r="B70" s="1887"/>
      <c r="C70" s="1907"/>
      <c r="D70" s="1887"/>
      <c r="E70" s="1887"/>
      <c r="F70" s="1889"/>
      <c r="G70" s="1887" t="str">
        <f t="shared" si="2"/>
        <v/>
      </c>
      <c r="H70" s="1906" t="str">
        <f t="shared" si="3"/>
        <v/>
      </c>
      <c r="I70" s="1887"/>
      <c r="J70" s="1887"/>
      <c r="K70" s="1887"/>
      <c r="L70" s="1887"/>
      <c r="M70" s="1887"/>
      <c r="N70" s="1887"/>
      <c r="O70" s="1887"/>
      <c r="P70" s="1887"/>
      <c r="Q70" s="1887"/>
      <c r="R70" s="1887"/>
      <c r="S70" s="1887"/>
      <c r="T70" s="1887"/>
      <c r="U70" s="1887"/>
      <c r="V70" s="1887"/>
      <c r="W70" s="1887"/>
      <c r="X70" s="1887"/>
      <c r="Y70" s="1887"/>
      <c r="Z70" s="1887"/>
      <c r="AA70" s="1887"/>
      <c r="AB70" s="1887"/>
      <c r="AC70" s="1887"/>
    </row>
    <row r="71">
      <c r="A71" s="1887"/>
      <c r="B71" s="1887"/>
      <c r="C71" s="1907"/>
      <c r="D71" s="1887"/>
      <c r="E71" s="1887"/>
      <c r="F71" s="1889"/>
      <c r="G71" s="1887" t="str">
        <f t="shared" si="2"/>
        <v/>
      </c>
      <c r="H71" s="1906" t="str">
        <f t="shared" si="3"/>
        <v/>
      </c>
      <c r="I71" s="1887"/>
      <c r="J71" s="1887"/>
      <c r="K71" s="1887"/>
      <c r="L71" s="1887"/>
      <c r="M71" s="1887"/>
      <c r="N71" s="1887"/>
      <c r="O71" s="1887"/>
      <c r="P71" s="1887"/>
      <c r="Q71" s="1887"/>
      <c r="R71" s="1887"/>
      <c r="S71" s="1887"/>
      <c r="T71" s="1887"/>
      <c r="U71" s="1887"/>
      <c r="V71" s="1887"/>
      <c r="W71" s="1887"/>
      <c r="X71" s="1887"/>
      <c r="Y71" s="1887"/>
      <c r="Z71" s="1887"/>
      <c r="AA71" s="1887"/>
      <c r="AB71" s="1887"/>
      <c r="AC71" s="1887"/>
    </row>
    <row r="72">
      <c r="A72" s="1887"/>
      <c r="B72" s="1887"/>
      <c r="C72" s="1908"/>
      <c r="D72" s="1909"/>
      <c r="E72" s="1909"/>
      <c r="F72" s="1910"/>
      <c r="G72" s="1887" t="str">
        <f t="shared" si="2"/>
        <v/>
      </c>
      <c r="H72" s="1906" t="str">
        <f t="shared" si="3"/>
        <v/>
      </c>
      <c r="I72" s="1887"/>
      <c r="J72" s="1887"/>
      <c r="K72" s="1887"/>
      <c r="L72" s="1887"/>
      <c r="M72" s="1887"/>
      <c r="N72" s="1887"/>
      <c r="O72" s="1887"/>
      <c r="P72" s="1887"/>
      <c r="Q72" s="1887"/>
      <c r="R72" s="1887"/>
      <c r="S72" s="1887"/>
      <c r="T72" s="1887"/>
      <c r="U72" s="1887"/>
      <c r="V72" s="1887"/>
      <c r="W72" s="1887"/>
      <c r="X72" s="1887"/>
      <c r="Y72" s="1887"/>
      <c r="Z72" s="1887"/>
      <c r="AA72" s="1887"/>
      <c r="AB72" s="1887"/>
      <c r="AC72" s="1887"/>
    </row>
    <row r="73">
      <c r="A73" s="1887"/>
      <c r="B73" s="1887"/>
      <c r="C73" s="1887"/>
      <c r="D73" s="1887"/>
      <c r="E73" s="1887"/>
      <c r="F73" s="1887"/>
      <c r="G73" s="1911"/>
      <c r="H73" s="1911"/>
      <c r="I73" s="1887"/>
      <c r="J73" s="1887"/>
      <c r="K73" s="1887"/>
      <c r="L73" s="1887"/>
      <c r="M73" s="1887"/>
      <c r="N73" s="1887"/>
      <c r="O73" s="1887"/>
      <c r="P73" s="1887"/>
      <c r="Q73" s="1887"/>
      <c r="R73" s="1887"/>
      <c r="S73" s="1887"/>
      <c r="T73" s="1887"/>
      <c r="U73" s="1887"/>
      <c r="V73" s="1887"/>
      <c r="W73" s="1887"/>
      <c r="X73" s="1887"/>
      <c r="Y73" s="1887"/>
      <c r="Z73" s="1887"/>
      <c r="AA73" s="1887"/>
      <c r="AB73" s="1887"/>
      <c r="AC73" s="1887"/>
    </row>
    <row r="74">
      <c r="A74" s="1887"/>
      <c r="B74" s="1887"/>
      <c r="C74" s="1887"/>
      <c r="D74" s="1887"/>
      <c r="E74" s="1887"/>
      <c r="F74" s="1887"/>
      <c r="G74" s="1887"/>
      <c r="H74" s="1887"/>
      <c r="I74" s="1887"/>
      <c r="J74" s="1887"/>
      <c r="K74" s="1887"/>
      <c r="L74" s="1887"/>
      <c r="M74" s="1887"/>
      <c r="N74" s="1887"/>
      <c r="O74" s="1887"/>
      <c r="P74" s="1887"/>
      <c r="Q74" s="1887"/>
      <c r="R74" s="1887"/>
      <c r="S74" s="1887"/>
      <c r="T74" s="1887"/>
      <c r="U74" s="1887"/>
      <c r="V74" s="1887"/>
      <c r="W74" s="1887"/>
      <c r="X74" s="1887"/>
      <c r="Y74" s="1887"/>
      <c r="Z74" s="1887"/>
      <c r="AA74" s="1887"/>
      <c r="AB74" s="1887"/>
      <c r="AC74" s="1887"/>
    </row>
    <row r="75">
      <c r="A75" s="1887"/>
      <c r="B75" s="1887"/>
      <c r="C75" s="1887"/>
      <c r="D75" s="1887"/>
      <c r="E75" s="1887"/>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row>
    <row r="76">
      <c r="A76" s="1887"/>
      <c r="B76" s="1887"/>
      <c r="C76" s="1887"/>
      <c r="D76" s="1887"/>
      <c r="E76" s="1887"/>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row>
    <row r="77">
      <c r="A77" s="1887"/>
      <c r="B77" s="1887"/>
      <c r="C77" s="1887"/>
      <c r="D77" s="1887"/>
      <c r="E77" s="1887"/>
      <c r="F77" s="1887"/>
      <c r="G77" s="1887"/>
      <c r="H77" s="1887"/>
      <c r="I77" s="1887"/>
      <c r="J77" s="1887"/>
      <c r="K77" s="1887"/>
      <c r="L77" s="1887"/>
      <c r="M77" s="1887"/>
      <c r="N77" s="1887"/>
      <c r="O77" s="1887"/>
      <c r="P77" s="1887"/>
      <c r="Q77" s="1887"/>
      <c r="R77" s="1887"/>
      <c r="S77" s="1887"/>
      <c r="T77" s="1887"/>
      <c r="U77" s="1887"/>
      <c r="V77" s="1887"/>
      <c r="W77" s="1887"/>
      <c r="X77" s="1887"/>
      <c r="Y77" s="1887"/>
      <c r="Z77" s="1887"/>
      <c r="AA77" s="1887"/>
      <c r="AB77" s="1887"/>
      <c r="AC77" s="1887"/>
    </row>
    <row r="78">
      <c r="A78" s="1887"/>
      <c r="B78" s="1887"/>
      <c r="C78" s="1887"/>
      <c r="D78" s="1887"/>
      <c r="E78" s="1887"/>
      <c r="F78" s="1887"/>
      <c r="G78" s="1887"/>
      <c r="H78" s="1887"/>
      <c r="I78" s="1887"/>
      <c r="J78" s="1887"/>
      <c r="K78" s="1887"/>
      <c r="L78" s="1887"/>
      <c r="M78" s="1887"/>
      <c r="N78" s="1887"/>
      <c r="O78" s="1887"/>
      <c r="P78" s="1887"/>
      <c r="Q78" s="1887"/>
      <c r="R78" s="1887"/>
      <c r="S78" s="1887"/>
      <c r="T78" s="1887"/>
      <c r="U78" s="1887"/>
      <c r="V78" s="1887"/>
      <c r="W78" s="1887"/>
      <c r="X78" s="1887"/>
      <c r="Y78" s="1887"/>
      <c r="Z78" s="1887"/>
      <c r="AA78" s="1887"/>
      <c r="AB78" s="1887"/>
      <c r="AC78" s="1887"/>
    </row>
    <row r="79">
      <c r="A79" s="1887"/>
      <c r="B79" s="1887"/>
      <c r="C79" s="1887"/>
      <c r="D79" s="1887"/>
      <c r="E79" s="1887"/>
      <c r="F79" s="1887"/>
      <c r="G79" s="1887"/>
      <c r="H79" s="1887"/>
      <c r="I79" s="1887"/>
      <c r="J79" s="1887"/>
      <c r="K79" s="1887"/>
      <c r="L79" s="1887"/>
      <c r="M79" s="1887"/>
      <c r="N79" s="1887"/>
      <c r="O79" s="1887"/>
      <c r="P79" s="1887"/>
      <c r="Q79" s="1887"/>
      <c r="R79" s="1887"/>
      <c r="S79" s="1887"/>
      <c r="T79" s="1887"/>
      <c r="U79" s="1887"/>
      <c r="V79" s="1887"/>
      <c r="W79" s="1887"/>
      <c r="X79" s="1887"/>
      <c r="Y79" s="1887"/>
      <c r="Z79" s="1887"/>
      <c r="AA79" s="1887"/>
      <c r="AB79" s="1887"/>
      <c r="AC79" s="1887"/>
    </row>
    <row r="80">
      <c r="A80" s="1887"/>
      <c r="B80" s="1887"/>
      <c r="C80" s="1887"/>
      <c r="D80" s="1887"/>
      <c r="E80" s="1887"/>
      <c r="F80" s="1887"/>
      <c r="G80" s="1887"/>
      <c r="H80" s="1887"/>
      <c r="I80" s="1887"/>
      <c r="J80" s="1887"/>
      <c r="K80" s="1887"/>
      <c r="L80" s="1887"/>
      <c r="M80" s="1887"/>
      <c r="N80" s="1887"/>
      <c r="O80" s="1887"/>
      <c r="P80" s="1887"/>
      <c r="Q80" s="1887"/>
      <c r="R80" s="1887"/>
      <c r="S80" s="1887"/>
      <c r="T80" s="1887"/>
      <c r="U80" s="1887"/>
      <c r="V80" s="1887"/>
      <c r="W80" s="1887"/>
      <c r="X80" s="1887"/>
      <c r="Y80" s="1887"/>
      <c r="Z80" s="1887"/>
      <c r="AA80" s="1887"/>
      <c r="AB80" s="1887"/>
      <c r="AC80" s="1887"/>
    </row>
    <row r="81">
      <c r="A81" s="1887"/>
      <c r="B81" s="1887"/>
      <c r="C81" s="1887"/>
      <c r="D81" s="1887"/>
      <c r="E81" s="1887"/>
      <c r="F81" s="1887"/>
      <c r="G81" s="1887"/>
      <c r="H81" s="1887"/>
      <c r="I81" s="1887"/>
      <c r="J81" s="1887"/>
      <c r="K81" s="1887"/>
      <c r="L81" s="1887"/>
      <c r="M81" s="1887"/>
      <c r="N81" s="1887"/>
      <c r="O81" s="1887"/>
      <c r="P81" s="1887"/>
      <c r="Q81" s="1887"/>
      <c r="R81" s="1887"/>
      <c r="S81" s="1887"/>
      <c r="T81" s="1887"/>
      <c r="U81" s="1887"/>
      <c r="V81" s="1887"/>
      <c r="W81" s="1887"/>
      <c r="X81" s="1887"/>
      <c r="Y81" s="1887"/>
      <c r="Z81" s="1887"/>
      <c r="AA81" s="1887"/>
      <c r="AB81" s="1887"/>
      <c r="AC81" s="1887"/>
    </row>
    <row r="82">
      <c r="A82" s="1887"/>
      <c r="B82" s="1887"/>
      <c r="C82" s="1887"/>
      <c r="D82" s="1887"/>
      <c r="E82" s="1887"/>
      <c r="F82" s="1887"/>
      <c r="G82" s="1887"/>
      <c r="H82" s="1887"/>
      <c r="I82" s="1887"/>
      <c r="J82" s="1887"/>
      <c r="K82" s="1887"/>
      <c r="L82" s="1887"/>
      <c r="M82" s="1887"/>
      <c r="N82" s="1887"/>
      <c r="O82" s="1887"/>
      <c r="P82" s="1887"/>
      <c r="Q82" s="1887"/>
      <c r="R82" s="1887"/>
      <c r="S82" s="1887"/>
      <c r="T82" s="1887"/>
      <c r="U82" s="1887"/>
      <c r="V82" s="1887"/>
      <c r="W82" s="1887"/>
      <c r="X82" s="1887"/>
      <c r="Y82" s="1887"/>
      <c r="Z82" s="1887"/>
      <c r="AA82" s="1887"/>
      <c r="AB82" s="1887"/>
      <c r="AC82" s="1887"/>
    </row>
    <row r="83">
      <c r="A83" s="1887"/>
      <c r="B83" s="1887"/>
      <c r="C83" s="1887"/>
      <c r="D83" s="1887"/>
      <c r="E83" s="1887"/>
      <c r="F83" s="1887"/>
      <c r="G83" s="1887"/>
      <c r="H83" s="1887"/>
      <c r="I83" s="1887"/>
      <c r="J83" s="1887"/>
      <c r="K83" s="1887"/>
      <c r="L83" s="1887"/>
      <c r="M83" s="1887"/>
      <c r="N83" s="1887"/>
      <c r="O83" s="1887"/>
      <c r="P83" s="1887"/>
      <c r="Q83" s="1887"/>
      <c r="R83" s="1887"/>
      <c r="S83" s="1887"/>
      <c r="T83" s="1887"/>
      <c r="U83" s="1887"/>
      <c r="V83" s="1887"/>
      <c r="W83" s="1887"/>
      <c r="X83" s="1887"/>
      <c r="Y83" s="1887"/>
      <c r="Z83" s="1887"/>
      <c r="AA83" s="1887"/>
      <c r="AB83" s="1887"/>
      <c r="AC83" s="1887"/>
    </row>
    <row r="84">
      <c r="A84" s="1887"/>
      <c r="B84" s="1887"/>
      <c r="C84" s="1887"/>
      <c r="D84" s="1887"/>
      <c r="E84" s="1887"/>
      <c r="F84" s="1887"/>
      <c r="G84" s="1887"/>
      <c r="H84" s="1887"/>
      <c r="I84" s="1887"/>
      <c r="J84" s="1887"/>
      <c r="K84" s="1887"/>
      <c r="L84" s="1887"/>
      <c r="M84" s="1887"/>
      <c r="N84" s="1887"/>
      <c r="O84" s="1887"/>
      <c r="P84" s="1887"/>
      <c r="Q84" s="1887"/>
      <c r="R84" s="1887"/>
      <c r="S84" s="1887"/>
      <c r="T84" s="1887"/>
      <c r="U84" s="1887"/>
      <c r="V84" s="1887"/>
      <c r="W84" s="1887"/>
      <c r="X84" s="1887"/>
      <c r="Y84" s="1887"/>
      <c r="Z84" s="1887"/>
      <c r="AA84" s="1887"/>
      <c r="AB84" s="1887"/>
      <c r="AC84" s="1887"/>
    </row>
    <row r="85">
      <c r="A85" s="1887"/>
      <c r="B85" s="1887"/>
      <c r="C85" s="1887"/>
      <c r="D85" s="1887"/>
      <c r="E85" s="1887"/>
      <c r="F85" s="1887"/>
      <c r="G85" s="1887"/>
      <c r="H85" s="1887"/>
      <c r="I85" s="1887"/>
      <c r="J85" s="1887"/>
      <c r="K85" s="1887"/>
      <c r="L85" s="1887"/>
      <c r="M85" s="1887"/>
      <c r="N85" s="1887"/>
      <c r="O85" s="1887"/>
      <c r="P85" s="1887"/>
      <c r="Q85" s="1887"/>
      <c r="R85" s="1887"/>
      <c r="S85" s="1887"/>
      <c r="T85" s="1887"/>
      <c r="U85" s="1887"/>
      <c r="V85" s="1887"/>
      <c r="W85" s="1887"/>
      <c r="X85" s="1887"/>
      <c r="Y85" s="1887"/>
      <c r="Z85" s="1887"/>
      <c r="AA85" s="1887"/>
      <c r="AB85" s="1887"/>
      <c r="AC85" s="1887"/>
    </row>
    <row r="86">
      <c r="A86" s="1887"/>
      <c r="B86" s="1887"/>
      <c r="C86" s="1887"/>
      <c r="D86" s="1887"/>
      <c r="E86" s="1887"/>
      <c r="F86" s="1887"/>
      <c r="G86" s="1887"/>
      <c r="H86" s="1887"/>
      <c r="I86" s="1887"/>
      <c r="J86" s="1887"/>
      <c r="K86" s="1887"/>
      <c r="L86" s="1887"/>
      <c r="M86" s="1887"/>
      <c r="N86" s="1887"/>
      <c r="O86" s="1887"/>
      <c r="P86" s="1887"/>
      <c r="Q86" s="1887"/>
      <c r="R86" s="1887"/>
      <c r="S86" s="1887"/>
      <c r="T86" s="1887"/>
      <c r="U86" s="1887"/>
      <c r="V86" s="1887"/>
      <c r="W86" s="1887"/>
      <c r="X86" s="1887"/>
      <c r="Y86" s="1887"/>
      <c r="Z86" s="1887"/>
      <c r="AA86" s="1887"/>
      <c r="AB86" s="1887"/>
      <c r="AC86" s="1887"/>
    </row>
    <row r="87">
      <c r="A87" s="1887"/>
      <c r="B87" s="1887"/>
      <c r="C87" s="1887"/>
      <c r="D87" s="1887"/>
      <c r="E87" s="1887"/>
      <c r="F87" s="1887"/>
      <c r="G87" s="1887"/>
      <c r="H87" s="1887"/>
      <c r="I87" s="1887"/>
      <c r="J87" s="1887"/>
      <c r="K87" s="1887"/>
      <c r="L87" s="1887"/>
      <c r="M87" s="1887"/>
      <c r="N87" s="1887"/>
      <c r="O87" s="1887"/>
      <c r="P87" s="1887"/>
      <c r="Q87" s="1887"/>
      <c r="R87" s="1887"/>
      <c r="S87" s="1887"/>
      <c r="T87" s="1887"/>
      <c r="U87" s="1887"/>
      <c r="V87" s="1887"/>
      <c r="W87" s="1887"/>
      <c r="X87" s="1887"/>
      <c r="Y87" s="1887"/>
      <c r="Z87" s="1887"/>
      <c r="AA87" s="1887"/>
      <c r="AB87" s="1887"/>
      <c r="AC87" s="1887"/>
    </row>
    <row r="88">
      <c r="A88" s="1887"/>
      <c r="B88" s="1887"/>
      <c r="C88" s="1887"/>
      <c r="D88" s="1887"/>
      <c r="E88" s="1887"/>
      <c r="F88" s="1887"/>
      <c r="G88" s="1887"/>
      <c r="H88" s="1887"/>
      <c r="I88" s="1887"/>
      <c r="J88" s="1887"/>
      <c r="K88" s="1887"/>
      <c r="L88" s="1887"/>
      <c r="M88" s="1887"/>
      <c r="N88" s="1887"/>
      <c r="O88" s="1887"/>
      <c r="P88" s="1887"/>
      <c r="Q88" s="1887"/>
      <c r="R88" s="1887"/>
      <c r="S88" s="1887"/>
      <c r="T88" s="1887"/>
      <c r="U88" s="1887"/>
      <c r="V88" s="1887"/>
      <c r="W88" s="1887"/>
      <c r="X88" s="1887"/>
      <c r="Y88" s="1887"/>
      <c r="Z88" s="1887"/>
      <c r="AA88" s="1887"/>
      <c r="AB88" s="1887"/>
      <c r="AC88" s="1887"/>
    </row>
    <row r="89">
      <c r="A89" s="1887"/>
      <c r="B89" s="1887"/>
      <c r="C89" s="1887"/>
      <c r="D89" s="1887"/>
      <c r="E89" s="1887"/>
      <c r="F89" s="1887"/>
      <c r="G89" s="1887"/>
      <c r="H89" s="1887"/>
      <c r="I89" s="1887"/>
      <c r="J89" s="1887"/>
      <c r="K89" s="1887"/>
      <c r="L89" s="1887"/>
      <c r="M89" s="1887"/>
      <c r="N89" s="1887"/>
      <c r="O89" s="1887"/>
      <c r="P89" s="1887"/>
      <c r="Q89" s="1887"/>
      <c r="R89" s="1887"/>
      <c r="S89" s="1887"/>
      <c r="T89" s="1887"/>
      <c r="U89" s="1887"/>
      <c r="V89" s="1887"/>
      <c r="W89" s="1887"/>
      <c r="X89" s="1887"/>
      <c r="Y89" s="1887"/>
      <c r="Z89" s="1887"/>
      <c r="AA89" s="1887"/>
      <c r="AB89" s="1887"/>
      <c r="AC89" s="1887"/>
    </row>
    <row r="90">
      <c r="A90" s="1887"/>
      <c r="B90" s="1887"/>
      <c r="C90" s="1887"/>
      <c r="D90" s="1887"/>
      <c r="E90" s="1887"/>
      <c r="F90" s="1887"/>
      <c r="G90" s="1887"/>
      <c r="H90" s="1887"/>
      <c r="I90" s="1887"/>
      <c r="J90" s="1887"/>
      <c r="K90" s="1887"/>
      <c r="L90" s="1887"/>
      <c r="M90" s="1887"/>
      <c r="N90" s="1887"/>
      <c r="O90" s="1887"/>
      <c r="P90" s="1887"/>
      <c r="Q90" s="1887"/>
      <c r="R90" s="1887"/>
      <c r="S90" s="1887"/>
      <c r="T90" s="1887"/>
      <c r="U90" s="1887"/>
      <c r="V90" s="1887"/>
      <c r="W90" s="1887"/>
      <c r="X90" s="1887"/>
      <c r="Y90" s="1887"/>
      <c r="Z90" s="1887"/>
      <c r="AA90" s="1887"/>
      <c r="AB90" s="1887"/>
      <c r="AC90" s="1887"/>
    </row>
    <row r="91">
      <c r="A91" s="1887"/>
      <c r="B91" s="1887"/>
      <c r="C91" s="1887"/>
      <c r="D91" s="1887"/>
      <c r="E91" s="1887"/>
      <c r="F91" s="1887"/>
      <c r="G91" s="1887"/>
      <c r="H91" s="1887"/>
      <c r="I91" s="1887"/>
      <c r="J91" s="1887"/>
      <c r="K91" s="1887"/>
      <c r="L91" s="1887"/>
      <c r="M91" s="1887"/>
      <c r="N91" s="1887"/>
      <c r="O91" s="1887"/>
      <c r="P91" s="1887"/>
      <c r="Q91" s="1887"/>
      <c r="R91" s="1887"/>
      <c r="S91" s="1887"/>
      <c r="T91" s="1887"/>
      <c r="U91" s="1887"/>
      <c r="V91" s="1887"/>
      <c r="W91" s="1887"/>
      <c r="X91" s="1887"/>
      <c r="Y91" s="1887"/>
      <c r="Z91" s="1887"/>
      <c r="AA91" s="1887"/>
      <c r="AB91" s="1887"/>
      <c r="AC91" s="1887"/>
    </row>
    <row r="92">
      <c r="A92" s="1887"/>
      <c r="B92" s="1887"/>
      <c r="C92" s="1887"/>
      <c r="D92" s="1887"/>
      <c r="E92" s="1887"/>
      <c r="F92" s="1887"/>
      <c r="G92" s="1887"/>
      <c r="H92" s="1887"/>
      <c r="I92" s="1887"/>
      <c r="J92" s="1887"/>
      <c r="K92" s="1887"/>
      <c r="L92" s="1887"/>
      <c r="M92" s="1887"/>
      <c r="N92" s="1887"/>
      <c r="O92" s="1887"/>
      <c r="P92" s="1887"/>
      <c r="Q92" s="1887"/>
      <c r="R92" s="1887"/>
      <c r="S92" s="1887"/>
      <c r="T92" s="1887"/>
      <c r="U92" s="1887"/>
      <c r="V92" s="1887"/>
      <c r="W92" s="1887"/>
      <c r="X92" s="1887"/>
      <c r="Y92" s="1887"/>
      <c r="Z92" s="1887"/>
      <c r="AA92" s="1887"/>
      <c r="AB92" s="1887"/>
      <c r="AC92" s="1887"/>
    </row>
    <row r="93">
      <c r="A93" s="1887"/>
      <c r="B93" s="1887"/>
      <c r="C93" s="1887"/>
      <c r="D93" s="1887"/>
      <c r="E93" s="1887"/>
      <c r="F93" s="1887"/>
      <c r="G93" s="1887"/>
      <c r="H93" s="1887"/>
      <c r="I93" s="1887"/>
      <c r="J93" s="1887"/>
      <c r="K93" s="1887"/>
      <c r="L93" s="1887"/>
      <c r="M93" s="1887"/>
      <c r="N93" s="1887"/>
      <c r="O93" s="1887"/>
      <c r="P93" s="1887"/>
      <c r="Q93" s="1887"/>
      <c r="R93" s="1887"/>
      <c r="S93" s="1887"/>
      <c r="T93" s="1887"/>
      <c r="U93" s="1887"/>
      <c r="V93" s="1887"/>
      <c r="W93" s="1887"/>
      <c r="X93" s="1887"/>
      <c r="Y93" s="1887"/>
      <c r="Z93" s="1887"/>
      <c r="AA93" s="1887"/>
      <c r="AB93" s="1887"/>
      <c r="AC93" s="1887"/>
    </row>
    <row r="94">
      <c r="A94" s="1887"/>
      <c r="B94" s="1887"/>
      <c r="C94" s="1887"/>
      <c r="D94" s="1887"/>
      <c r="E94" s="1887"/>
      <c r="F94" s="1887"/>
      <c r="G94" s="1887"/>
      <c r="H94" s="1887"/>
      <c r="I94" s="1887"/>
      <c r="J94" s="1887"/>
      <c r="K94" s="1887"/>
      <c r="L94" s="1887"/>
      <c r="M94" s="1887"/>
      <c r="N94" s="1887"/>
      <c r="O94" s="1887"/>
      <c r="P94" s="1887"/>
      <c r="Q94" s="1887"/>
      <c r="R94" s="1887"/>
      <c r="S94" s="1887"/>
      <c r="T94" s="1887"/>
      <c r="U94" s="1887"/>
      <c r="V94" s="1887"/>
      <c r="W94" s="1887"/>
      <c r="X94" s="1887"/>
      <c r="Y94" s="1887"/>
      <c r="Z94" s="1887"/>
      <c r="AA94" s="1887"/>
      <c r="AB94" s="1887"/>
      <c r="AC94" s="1887"/>
    </row>
    <row r="95">
      <c r="A95" s="1887"/>
      <c r="B95" s="1887"/>
      <c r="C95" s="1887"/>
      <c r="D95" s="1887"/>
      <c r="E95" s="1887"/>
      <c r="F95" s="1887"/>
      <c r="G95" s="1887"/>
      <c r="H95" s="1887"/>
      <c r="I95" s="1887"/>
      <c r="J95" s="1887"/>
      <c r="K95" s="1887"/>
      <c r="L95" s="1887"/>
      <c r="M95" s="1887"/>
      <c r="N95" s="1887"/>
      <c r="O95" s="1887"/>
      <c r="P95" s="1887"/>
      <c r="Q95" s="1887"/>
      <c r="R95" s="1887"/>
      <c r="S95" s="1887"/>
      <c r="T95" s="1887"/>
      <c r="U95" s="1887"/>
      <c r="V95" s="1887"/>
      <c r="W95" s="1887"/>
      <c r="X95" s="1887"/>
      <c r="Y95" s="1887"/>
      <c r="Z95" s="1887"/>
      <c r="AA95" s="1887"/>
      <c r="AB95" s="1887"/>
      <c r="AC95" s="1887"/>
    </row>
    <row r="96">
      <c r="A96" s="1887"/>
      <c r="B96" s="1887"/>
      <c r="C96" s="1887"/>
      <c r="D96" s="1887"/>
      <c r="E96" s="1887"/>
      <c r="F96" s="1887"/>
      <c r="G96" s="1887"/>
      <c r="H96" s="1887"/>
      <c r="I96" s="1887"/>
      <c r="J96" s="1887"/>
      <c r="K96" s="1887"/>
      <c r="L96" s="1887"/>
      <c r="M96" s="1887"/>
      <c r="N96" s="1887"/>
      <c r="O96" s="1887"/>
      <c r="P96" s="1887"/>
      <c r="Q96" s="1887"/>
      <c r="R96" s="1887"/>
      <c r="S96" s="1887"/>
      <c r="T96" s="1887"/>
      <c r="U96" s="1887"/>
      <c r="V96" s="1887"/>
      <c r="W96" s="1887"/>
      <c r="X96" s="1887"/>
      <c r="Y96" s="1887"/>
      <c r="Z96" s="1887"/>
      <c r="AA96" s="1887"/>
      <c r="AB96" s="1887"/>
      <c r="AC96" s="1887"/>
    </row>
    <row r="97">
      <c r="A97" s="1887"/>
      <c r="B97" s="1887"/>
      <c r="C97" s="1887"/>
      <c r="D97" s="1887"/>
      <c r="E97" s="1887"/>
      <c r="F97" s="1887"/>
      <c r="G97" s="1887"/>
      <c r="H97" s="1887"/>
      <c r="I97" s="1887"/>
      <c r="J97" s="1887"/>
      <c r="K97" s="1887"/>
      <c r="L97" s="1887"/>
      <c r="M97" s="1887"/>
      <c r="N97" s="1887"/>
      <c r="O97" s="1887"/>
      <c r="P97" s="1887"/>
      <c r="Q97" s="1887"/>
      <c r="R97" s="1887"/>
      <c r="S97" s="1887"/>
      <c r="T97" s="1887"/>
      <c r="U97" s="1887"/>
      <c r="V97" s="1887"/>
      <c r="W97" s="1887"/>
      <c r="X97" s="1887"/>
      <c r="Y97" s="1887"/>
      <c r="Z97" s="1887"/>
      <c r="AA97" s="1887"/>
      <c r="AB97" s="1887"/>
      <c r="AC97" s="1887"/>
    </row>
    <row r="98">
      <c r="A98" s="1887"/>
      <c r="B98" s="1887"/>
      <c r="C98" s="1887"/>
      <c r="D98" s="1887"/>
      <c r="E98" s="1887"/>
      <c r="F98" s="1887"/>
      <c r="G98" s="1887"/>
      <c r="H98" s="1887"/>
      <c r="I98" s="1887"/>
      <c r="J98" s="1887"/>
      <c r="K98" s="1887"/>
      <c r="L98" s="1887"/>
      <c r="M98" s="1887"/>
      <c r="N98" s="1887"/>
      <c r="O98" s="1887"/>
      <c r="P98" s="1887"/>
      <c r="Q98" s="1887"/>
      <c r="R98" s="1887"/>
      <c r="S98" s="1887"/>
      <c r="T98" s="1887"/>
      <c r="U98" s="1887"/>
      <c r="V98" s="1887"/>
      <c r="W98" s="1887"/>
      <c r="X98" s="1887"/>
      <c r="Y98" s="1887"/>
      <c r="Z98" s="1887"/>
      <c r="AA98" s="1887"/>
      <c r="AB98" s="1887"/>
      <c r="AC98" s="1887"/>
    </row>
    <row r="99">
      <c r="A99" s="1887"/>
      <c r="B99" s="1887"/>
      <c r="C99" s="1887"/>
      <c r="D99" s="1887"/>
      <c r="E99" s="1887"/>
      <c r="F99" s="1887"/>
      <c r="G99" s="1887"/>
      <c r="H99" s="1887"/>
      <c r="I99" s="1887"/>
      <c r="J99" s="1887"/>
      <c r="K99" s="1887"/>
      <c r="L99" s="1887"/>
      <c r="M99" s="1887"/>
      <c r="N99" s="1887"/>
      <c r="O99" s="1887"/>
      <c r="P99" s="1887"/>
      <c r="Q99" s="1887"/>
      <c r="R99" s="1887"/>
      <c r="S99" s="1887"/>
      <c r="T99" s="1887"/>
      <c r="U99" s="1887"/>
      <c r="V99" s="1887"/>
      <c r="W99" s="1887"/>
      <c r="X99" s="1887"/>
      <c r="Y99" s="1887"/>
      <c r="Z99" s="1887"/>
      <c r="AA99" s="1887"/>
      <c r="AB99" s="1887"/>
      <c r="AC99" s="1887"/>
    </row>
    <row r="100">
      <c r="A100" s="1887"/>
      <c r="B100" s="1887"/>
      <c r="C100" s="1887"/>
      <c r="D100" s="1887"/>
      <c r="E100" s="1887"/>
      <c r="F100" s="1887"/>
      <c r="G100" s="1887"/>
      <c r="H100" s="1887"/>
      <c r="I100" s="1887"/>
      <c r="J100" s="1887"/>
      <c r="K100" s="1887"/>
      <c r="L100" s="1887"/>
      <c r="M100" s="1887"/>
      <c r="N100" s="1887"/>
      <c r="O100" s="1887"/>
      <c r="P100" s="1887"/>
      <c r="Q100" s="1887"/>
      <c r="R100" s="1887"/>
      <c r="S100" s="1887"/>
      <c r="T100" s="1887"/>
      <c r="U100" s="1887"/>
      <c r="V100" s="1887"/>
      <c r="W100" s="1887"/>
      <c r="X100" s="1887"/>
      <c r="Y100" s="1887"/>
      <c r="Z100" s="1887"/>
      <c r="AA100" s="1887"/>
      <c r="AB100" s="1887"/>
      <c r="AC100" s="1887"/>
    </row>
    <row r="101">
      <c r="A101" s="1887"/>
      <c r="B101" s="1887"/>
      <c r="C101" s="1887"/>
      <c r="D101" s="1887"/>
      <c r="E101" s="1887"/>
      <c r="F101" s="1887"/>
      <c r="G101" s="1887"/>
      <c r="H101" s="1887"/>
      <c r="I101" s="1887"/>
      <c r="J101" s="1887"/>
      <c r="K101" s="1887"/>
      <c r="L101" s="1887"/>
      <c r="M101" s="1887"/>
      <c r="N101" s="1887"/>
      <c r="O101" s="1887"/>
      <c r="P101" s="1887"/>
      <c r="Q101" s="1887"/>
      <c r="R101" s="1887"/>
      <c r="S101" s="1887"/>
      <c r="T101" s="1887"/>
      <c r="U101" s="1887"/>
      <c r="V101" s="1887"/>
      <c r="W101" s="1887"/>
      <c r="X101" s="1887"/>
      <c r="Y101" s="1887"/>
      <c r="Z101" s="1887"/>
      <c r="AA101" s="1887"/>
      <c r="AB101" s="1887"/>
      <c r="AC101" s="1887"/>
    </row>
    <row r="102">
      <c r="A102" s="1887"/>
      <c r="B102" s="1887"/>
      <c r="C102" s="1887"/>
      <c r="D102" s="1887"/>
      <c r="E102" s="1887"/>
      <c r="F102" s="1887"/>
      <c r="G102" s="1887"/>
      <c r="H102" s="1887"/>
      <c r="I102" s="1887"/>
      <c r="J102" s="1887"/>
      <c r="K102" s="1887"/>
      <c r="L102" s="1887"/>
      <c r="M102" s="1887"/>
      <c r="N102" s="1887"/>
      <c r="O102" s="1887"/>
      <c r="P102" s="1887"/>
      <c r="Q102" s="1887"/>
      <c r="R102" s="1887"/>
      <c r="S102" s="1887"/>
      <c r="T102" s="1887"/>
      <c r="U102" s="1887"/>
      <c r="V102" s="1887"/>
      <c r="W102" s="1887"/>
      <c r="X102" s="1887"/>
      <c r="Y102" s="1887"/>
      <c r="Z102" s="1887"/>
      <c r="AA102" s="1887"/>
      <c r="AB102" s="1887"/>
      <c r="AC102" s="1887"/>
    </row>
    <row r="103">
      <c r="A103" s="1887"/>
      <c r="B103" s="1887"/>
      <c r="C103" s="1887"/>
      <c r="D103" s="1887"/>
      <c r="E103" s="1887"/>
      <c r="F103" s="1887"/>
      <c r="G103" s="1887"/>
      <c r="H103" s="1887"/>
      <c r="I103" s="1887"/>
      <c r="J103" s="1887"/>
      <c r="K103" s="1887"/>
      <c r="L103" s="1887"/>
      <c r="M103" s="1887"/>
      <c r="N103" s="1887"/>
      <c r="O103" s="1887"/>
      <c r="P103" s="1887"/>
      <c r="Q103" s="1887"/>
      <c r="R103" s="1887"/>
      <c r="S103" s="1887"/>
      <c r="T103" s="1887"/>
      <c r="U103" s="1887"/>
      <c r="V103" s="1887"/>
      <c r="W103" s="1887"/>
      <c r="X103" s="1887"/>
      <c r="Y103" s="1887"/>
      <c r="Z103" s="1887"/>
      <c r="AA103" s="1887"/>
      <c r="AB103" s="1887"/>
      <c r="AC103" s="1887"/>
    </row>
    <row r="104">
      <c r="A104" s="1887"/>
      <c r="B104" s="1887"/>
      <c r="C104" s="1887"/>
      <c r="D104" s="1887"/>
      <c r="E104" s="1887"/>
      <c r="F104" s="1887"/>
      <c r="G104" s="1887"/>
      <c r="H104" s="1887"/>
      <c r="I104" s="1887"/>
      <c r="J104" s="1887"/>
      <c r="K104" s="1887"/>
      <c r="L104" s="1887"/>
      <c r="M104" s="1887"/>
      <c r="N104" s="1887"/>
      <c r="O104" s="1887"/>
      <c r="P104" s="1887"/>
      <c r="Q104" s="1887"/>
      <c r="R104" s="1887"/>
      <c r="S104" s="1887"/>
      <c r="T104" s="1887"/>
      <c r="U104" s="1887"/>
      <c r="V104" s="1887"/>
      <c r="W104" s="1887"/>
      <c r="X104" s="1887"/>
      <c r="Y104" s="1887"/>
      <c r="Z104" s="1887"/>
      <c r="AA104" s="1887"/>
      <c r="AB104" s="1887"/>
      <c r="AC104" s="1887"/>
    </row>
    <row r="105">
      <c r="A105" s="1887"/>
      <c r="B105" s="1887"/>
      <c r="C105" s="1887"/>
      <c r="D105" s="1887"/>
      <c r="E105" s="1887"/>
      <c r="F105" s="1887"/>
      <c r="G105" s="1887"/>
      <c r="H105" s="1887"/>
      <c r="I105" s="1887"/>
      <c r="J105" s="1887"/>
      <c r="K105" s="1887"/>
      <c r="L105" s="1887"/>
      <c r="M105" s="1887"/>
      <c r="N105" s="1887"/>
      <c r="O105" s="1887"/>
      <c r="P105" s="1887"/>
      <c r="Q105" s="1887"/>
      <c r="R105" s="1887"/>
      <c r="S105" s="1887"/>
      <c r="T105" s="1887"/>
      <c r="U105" s="1887"/>
      <c r="V105" s="1887"/>
      <c r="W105" s="1887"/>
      <c r="X105" s="1887"/>
      <c r="Y105" s="1887"/>
      <c r="Z105" s="1887"/>
      <c r="AA105" s="1887"/>
      <c r="AB105" s="1887"/>
      <c r="AC105" s="1887"/>
    </row>
    <row r="106">
      <c r="A106" s="1887"/>
      <c r="B106" s="1887"/>
      <c r="C106" s="1887"/>
      <c r="D106" s="1887"/>
      <c r="E106" s="1887"/>
      <c r="F106" s="1887"/>
      <c r="G106" s="1887"/>
      <c r="H106" s="1887"/>
      <c r="I106" s="1887"/>
      <c r="J106" s="1887"/>
      <c r="K106" s="1887"/>
      <c r="L106" s="1887"/>
      <c r="M106" s="1887"/>
      <c r="N106" s="1887"/>
      <c r="O106" s="1887"/>
      <c r="P106" s="1887"/>
      <c r="Q106" s="1887"/>
      <c r="R106" s="1887"/>
      <c r="S106" s="1887"/>
      <c r="T106" s="1887"/>
      <c r="U106" s="1887"/>
      <c r="V106" s="1887"/>
      <c r="W106" s="1887"/>
      <c r="X106" s="1887"/>
      <c r="Y106" s="1887"/>
      <c r="Z106" s="1887"/>
      <c r="AA106" s="1887"/>
      <c r="AB106" s="1887"/>
      <c r="AC106" s="1887"/>
    </row>
    <row r="107">
      <c r="A107" s="1887"/>
      <c r="B107" s="1887"/>
      <c r="C107" s="1887"/>
      <c r="D107" s="1887"/>
      <c r="E107" s="1887"/>
      <c r="F107" s="1887"/>
      <c r="G107" s="1887"/>
      <c r="H107" s="1887"/>
      <c r="I107" s="1887"/>
      <c r="J107" s="1887"/>
      <c r="K107" s="1887"/>
      <c r="L107" s="1887"/>
      <c r="M107" s="1887"/>
      <c r="N107" s="1887"/>
      <c r="O107" s="1887"/>
      <c r="P107" s="1887"/>
      <c r="Q107" s="1887"/>
      <c r="R107" s="1887"/>
      <c r="S107" s="1887"/>
      <c r="T107" s="1887"/>
      <c r="U107" s="1887"/>
      <c r="V107" s="1887"/>
      <c r="W107" s="1887"/>
      <c r="X107" s="1887"/>
      <c r="Y107" s="1887"/>
      <c r="Z107" s="1887"/>
      <c r="AA107" s="1887"/>
      <c r="AB107" s="1887"/>
      <c r="AC107" s="1887"/>
    </row>
    <row r="108">
      <c r="A108" s="1887"/>
      <c r="B108" s="1887"/>
      <c r="C108" s="1887"/>
      <c r="D108" s="1887"/>
      <c r="E108" s="1887"/>
      <c r="F108" s="1887"/>
      <c r="G108" s="1887"/>
      <c r="H108" s="1887"/>
      <c r="I108" s="1887"/>
      <c r="J108" s="1887"/>
      <c r="K108" s="1887"/>
      <c r="L108" s="1887"/>
      <c r="M108" s="1887"/>
      <c r="N108" s="1887"/>
      <c r="O108" s="1887"/>
      <c r="P108" s="1887"/>
      <c r="Q108" s="1887"/>
      <c r="R108" s="1887"/>
      <c r="S108" s="1887"/>
      <c r="T108" s="1887"/>
      <c r="U108" s="1887"/>
      <c r="V108" s="1887"/>
      <c r="W108" s="1887"/>
      <c r="X108" s="1887"/>
      <c r="Y108" s="1887"/>
      <c r="Z108" s="1887"/>
      <c r="AA108" s="1887"/>
      <c r="AB108" s="1887"/>
      <c r="AC108" s="1887"/>
    </row>
    <row r="109">
      <c r="A109" s="1887"/>
      <c r="B109" s="1887"/>
      <c r="C109" s="1887"/>
      <c r="D109" s="1887"/>
      <c r="E109" s="1887"/>
      <c r="F109" s="1887"/>
      <c r="G109" s="1887"/>
      <c r="H109" s="1887"/>
      <c r="I109" s="1887"/>
      <c r="J109" s="1887"/>
      <c r="K109" s="1887"/>
      <c r="L109" s="1887"/>
      <c r="M109" s="1887"/>
      <c r="N109" s="1887"/>
      <c r="O109" s="1887"/>
      <c r="P109" s="1887"/>
      <c r="Q109" s="1887"/>
      <c r="R109" s="1887"/>
      <c r="S109" s="1887"/>
      <c r="T109" s="1887"/>
      <c r="U109" s="1887"/>
      <c r="V109" s="1887"/>
      <c r="W109" s="1887"/>
      <c r="X109" s="1887"/>
      <c r="Y109" s="1887"/>
      <c r="Z109" s="1887"/>
      <c r="AA109" s="1887"/>
      <c r="AB109" s="1887"/>
      <c r="AC109" s="1887"/>
    </row>
    <row r="110">
      <c r="A110" s="1887"/>
      <c r="B110" s="1887"/>
      <c r="C110" s="1887"/>
      <c r="D110" s="1887"/>
      <c r="E110" s="1887"/>
      <c r="F110" s="1887"/>
      <c r="G110" s="1887"/>
      <c r="H110" s="1887"/>
      <c r="I110" s="1887"/>
      <c r="J110" s="1887"/>
      <c r="K110" s="1887"/>
      <c r="L110" s="1887"/>
      <c r="M110" s="1887"/>
      <c r="N110" s="1887"/>
      <c r="O110" s="1887"/>
      <c r="P110" s="1887"/>
      <c r="Q110" s="1887"/>
      <c r="R110" s="1887"/>
      <c r="S110" s="1887"/>
      <c r="T110" s="1887"/>
      <c r="U110" s="1887"/>
      <c r="V110" s="1887"/>
      <c r="W110" s="1887"/>
      <c r="X110" s="1887"/>
      <c r="Y110" s="1887"/>
      <c r="Z110" s="1887"/>
      <c r="AA110" s="1887"/>
      <c r="AB110" s="1887"/>
      <c r="AC110" s="1887"/>
    </row>
    <row r="111">
      <c r="A111" s="1887"/>
      <c r="B111" s="1887"/>
      <c r="C111" s="1887"/>
      <c r="D111" s="1887"/>
      <c r="E111" s="1887"/>
      <c r="F111" s="1887"/>
      <c r="G111" s="1887"/>
      <c r="H111" s="1887"/>
      <c r="I111" s="1887"/>
      <c r="J111" s="1887"/>
      <c r="K111" s="1887"/>
      <c r="L111" s="1887"/>
      <c r="M111" s="1887"/>
      <c r="N111" s="1887"/>
      <c r="O111" s="1887"/>
      <c r="P111" s="1887"/>
      <c r="Q111" s="1887"/>
      <c r="R111" s="1887"/>
      <c r="S111" s="1887"/>
      <c r="T111" s="1887"/>
      <c r="U111" s="1887"/>
      <c r="V111" s="1887"/>
      <c r="W111" s="1887"/>
      <c r="X111" s="1887"/>
      <c r="Y111" s="1887"/>
      <c r="Z111" s="1887"/>
      <c r="AA111" s="1887"/>
      <c r="AB111" s="1887"/>
      <c r="AC111" s="1887"/>
    </row>
    <row r="112">
      <c r="A112" s="1887"/>
      <c r="B112" s="1887"/>
      <c r="C112" s="1887"/>
      <c r="D112" s="1887"/>
      <c r="E112" s="1887"/>
      <c r="F112" s="1887"/>
      <c r="G112" s="1887"/>
      <c r="H112" s="1887"/>
      <c r="I112" s="1887"/>
      <c r="J112" s="1887"/>
      <c r="K112" s="1887"/>
      <c r="L112" s="1887"/>
      <c r="M112" s="1887"/>
      <c r="N112" s="1887"/>
      <c r="O112" s="1887"/>
      <c r="P112" s="1887"/>
      <c r="Q112" s="1887"/>
      <c r="R112" s="1887"/>
      <c r="S112" s="1887"/>
      <c r="T112" s="1887"/>
      <c r="U112" s="1887"/>
      <c r="V112" s="1887"/>
      <c r="W112" s="1887"/>
      <c r="X112" s="1887"/>
      <c r="Y112" s="1887"/>
      <c r="Z112" s="1887"/>
      <c r="AA112" s="1887"/>
      <c r="AB112" s="1887"/>
      <c r="AC112" s="1887"/>
    </row>
    <row r="113">
      <c r="A113" s="1887"/>
      <c r="B113" s="1887"/>
      <c r="C113" s="1887"/>
      <c r="D113" s="1887"/>
      <c r="E113" s="1887"/>
      <c r="F113" s="1887"/>
      <c r="G113" s="1887"/>
      <c r="H113" s="1887"/>
      <c r="I113" s="1887"/>
      <c r="J113" s="1887"/>
      <c r="K113" s="1887"/>
      <c r="L113" s="1887"/>
      <c r="M113" s="1887"/>
      <c r="N113" s="1887"/>
      <c r="O113" s="1887"/>
      <c r="P113" s="1887"/>
      <c r="Q113" s="1887"/>
      <c r="R113" s="1887"/>
      <c r="S113" s="1887"/>
      <c r="T113" s="1887"/>
      <c r="U113" s="1887"/>
      <c r="V113" s="1887"/>
      <c r="W113" s="1887"/>
      <c r="X113" s="1887"/>
      <c r="Y113" s="1887"/>
      <c r="Z113" s="1887"/>
      <c r="AA113" s="1887"/>
      <c r="AB113" s="1887"/>
      <c r="AC113" s="1887"/>
    </row>
    <row r="114">
      <c r="A114" s="1887"/>
      <c r="B114" s="1887"/>
      <c r="C114" s="1887"/>
      <c r="D114" s="1887"/>
      <c r="E114" s="1887"/>
      <c r="F114" s="1887"/>
      <c r="G114" s="1887"/>
      <c r="H114" s="1887"/>
      <c r="I114" s="1887"/>
      <c r="J114" s="1887"/>
      <c r="K114" s="1887"/>
      <c r="L114" s="1887"/>
      <c r="M114" s="1887"/>
      <c r="N114" s="1887"/>
      <c r="O114" s="1887"/>
      <c r="P114" s="1887"/>
      <c r="Q114" s="1887"/>
      <c r="R114" s="1887"/>
      <c r="S114" s="1887"/>
      <c r="T114" s="1887"/>
      <c r="U114" s="1887"/>
      <c r="V114" s="1887"/>
      <c r="W114" s="1887"/>
      <c r="X114" s="1887"/>
      <c r="Y114" s="1887"/>
      <c r="Z114" s="1887"/>
      <c r="AA114" s="1887"/>
      <c r="AB114" s="1887"/>
      <c r="AC114" s="1887"/>
    </row>
    <row r="115">
      <c r="A115" s="1887"/>
      <c r="B115" s="1887"/>
      <c r="C115" s="1887"/>
      <c r="D115" s="1887"/>
      <c r="E115" s="1887"/>
      <c r="F115" s="1887"/>
      <c r="G115" s="1887"/>
      <c r="H115" s="1887"/>
      <c r="I115" s="1887"/>
      <c r="J115" s="1887"/>
      <c r="K115" s="1887"/>
      <c r="L115" s="1887"/>
      <c r="M115" s="1887"/>
      <c r="N115" s="1887"/>
      <c r="O115" s="1887"/>
      <c r="P115" s="1887"/>
      <c r="Q115" s="1887"/>
      <c r="R115" s="1887"/>
      <c r="S115" s="1887"/>
      <c r="T115" s="1887"/>
      <c r="U115" s="1887"/>
      <c r="V115" s="1887"/>
      <c r="W115" s="1887"/>
      <c r="X115" s="1887"/>
      <c r="Y115" s="1887"/>
      <c r="Z115" s="1887"/>
      <c r="AA115" s="1887"/>
      <c r="AB115" s="1887"/>
      <c r="AC115" s="1887"/>
    </row>
    <row r="116">
      <c r="A116" s="1887"/>
      <c r="B116" s="1887"/>
      <c r="C116" s="1887"/>
      <c r="D116" s="1887"/>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row>
    <row r="117">
      <c r="A117" s="1887"/>
      <c r="B117" s="1887"/>
      <c r="C117" s="1887"/>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87"/>
      <c r="AB117" s="1887"/>
      <c r="AC117" s="1887"/>
    </row>
    <row r="118">
      <c r="A118" s="1887"/>
      <c r="B118" s="1887"/>
      <c r="C118" s="1887"/>
      <c r="D118" s="1887"/>
      <c r="E118" s="1887"/>
      <c r="F118" s="1887"/>
      <c r="G118" s="1887"/>
      <c r="H118" s="1887"/>
      <c r="I118" s="1887"/>
      <c r="J118" s="1887"/>
      <c r="K118" s="1887"/>
      <c r="L118" s="1887"/>
      <c r="M118" s="1887"/>
      <c r="N118" s="1887"/>
      <c r="O118" s="1887"/>
      <c r="P118" s="1887"/>
      <c r="Q118" s="1887"/>
      <c r="R118" s="1887"/>
      <c r="S118" s="1887"/>
      <c r="T118" s="1887"/>
      <c r="U118" s="1887"/>
      <c r="V118" s="1887"/>
      <c r="W118" s="1887"/>
      <c r="X118" s="1887"/>
      <c r="Y118" s="1887"/>
      <c r="Z118" s="1887"/>
      <c r="AA118" s="1887"/>
      <c r="AB118" s="1887"/>
      <c r="AC118" s="1887"/>
    </row>
    <row r="119">
      <c r="A119" s="1887"/>
      <c r="B119" s="1887"/>
      <c r="C119" s="1887"/>
      <c r="D119" s="1887"/>
      <c r="E119" s="1887"/>
      <c r="F119" s="1887"/>
      <c r="G119" s="1887"/>
      <c r="H119" s="1887"/>
      <c r="I119" s="1887"/>
      <c r="J119" s="1887"/>
      <c r="K119" s="1887"/>
      <c r="L119" s="1887"/>
      <c r="M119" s="1887"/>
      <c r="N119" s="1887"/>
      <c r="O119" s="1887"/>
      <c r="P119" s="1887"/>
      <c r="Q119" s="1887"/>
      <c r="R119" s="1887"/>
      <c r="S119" s="1887"/>
      <c r="T119" s="1887"/>
      <c r="U119" s="1887"/>
      <c r="V119" s="1887"/>
      <c r="W119" s="1887"/>
      <c r="X119" s="1887"/>
      <c r="Y119" s="1887"/>
      <c r="Z119" s="1887"/>
      <c r="AA119" s="1887"/>
      <c r="AB119" s="1887"/>
      <c r="AC119" s="1887"/>
    </row>
    <row r="120">
      <c r="A120" s="1887"/>
      <c r="B120" s="1887"/>
      <c r="C120" s="1887"/>
      <c r="D120" s="1887"/>
      <c r="E120" s="1887"/>
      <c r="F120" s="1887"/>
      <c r="G120" s="1887"/>
      <c r="H120" s="1887"/>
      <c r="I120" s="1887"/>
      <c r="J120" s="1887"/>
      <c r="K120" s="1887"/>
      <c r="L120" s="1887"/>
      <c r="M120" s="1887"/>
      <c r="N120" s="1887"/>
      <c r="O120" s="1887"/>
      <c r="P120" s="1887"/>
      <c r="Q120" s="1887"/>
      <c r="R120" s="1887"/>
      <c r="S120" s="1887"/>
      <c r="T120" s="1887"/>
      <c r="U120" s="1887"/>
      <c r="V120" s="1887"/>
      <c r="W120" s="1887"/>
      <c r="X120" s="1887"/>
      <c r="Y120" s="1887"/>
      <c r="Z120" s="1887"/>
      <c r="AA120" s="1887"/>
      <c r="AB120" s="1887"/>
      <c r="AC120" s="1887"/>
    </row>
    <row r="121">
      <c r="A121" s="1887"/>
      <c r="B121" s="1887"/>
      <c r="C121" s="1887"/>
      <c r="D121" s="1887"/>
      <c r="E121" s="1887"/>
      <c r="F121" s="1887"/>
      <c r="G121" s="1887"/>
      <c r="H121" s="1887"/>
      <c r="I121" s="1887"/>
      <c r="J121" s="1887"/>
      <c r="K121" s="1887"/>
      <c r="L121" s="1887"/>
      <c r="M121" s="1887"/>
      <c r="N121" s="1887"/>
      <c r="O121" s="1887"/>
      <c r="P121" s="1887"/>
      <c r="Q121" s="1887"/>
      <c r="R121" s="1887"/>
      <c r="S121" s="1887"/>
      <c r="T121" s="1887"/>
      <c r="U121" s="1887"/>
      <c r="V121" s="1887"/>
      <c r="W121" s="1887"/>
      <c r="X121" s="1887"/>
      <c r="Y121" s="1887"/>
      <c r="Z121" s="1887"/>
      <c r="AA121" s="1887"/>
      <c r="AB121" s="1887"/>
      <c r="AC121" s="1887"/>
    </row>
    <row r="122">
      <c r="A122" s="1887"/>
      <c r="B122" s="1887"/>
      <c r="C122" s="1887"/>
      <c r="D122" s="1887"/>
      <c r="E122" s="1887"/>
      <c r="F122" s="1887"/>
      <c r="G122" s="1887"/>
      <c r="H122" s="1887"/>
      <c r="I122" s="1887"/>
      <c r="J122" s="1887"/>
      <c r="K122" s="1887"/>
      <c r="L122" s="1887"/>
      <c r="M122" s="1887"/>
      <c r="N122" s="1887"/>
      <c r="O122" s="1887"/>
      <c r="P122" s="1887"/>
      <c r="Q122" s="1887"/>
      <c r="R122" s="1887"/>
      <c r="S122" s="1887"/>
      <c r="T122" s="1887"/>
      <c r="U122" s="1887"/>
      <c r="V122" s="1887"/>
      <c r="W122" s="1887"/>
      <c r="X122" s="1887"/>
      <c r="Y122" s="1887"/>
      <c r="Z122" s="1887"/>
      <c r="AA122" s="1887"/>
      <c r="AB122" s="1887"/>
      <c r="AC122" s="1887"/>
    </row>
    <row r="123">
      <c r="A123" s="1887"/>
      <c r="B123" s="1887"/>
      <c r="C123" s="1887"/>
      <c r="D123" s="1887"/>
      <c r="E123" s="1887"/>
      <c r="F123" s="1887"/>
      <c r="G123" s="1887"/>
      <c r="H123" s="1887"/>
      <c r="I123" s="1887"/>
      <c r="J123" s="1887"/>
      <c r="K123" s="1887"/>
      <c r="L123" s="1887"/>
      <c r="M123" s="1887"/>
      <c r="N123" s="1887"/>
      <c r="O123" s="1887"/>
      <c r="P123" s="1887"/>
      <c r="Q123" s="1887"/>
      <c r="R123" s="1887"/>
      <c r="S123" s="1887"/>
      <c r="T123" s="1887"/>
      <c r="U123" s="1887"/>
      <c r="V123" s="1887"/>
      <c r="W123" s="1887"/>
      <c r="X123" s="1887"/>
      <c r="Y123" s="1887"/>
      <c r="Z123" s="1887"/>
      <c r="AA123" s="1887"/>
      <c r="AB123" s="1887"/>
      <c r="AC123" s="1887"/>
    </row>
    <row r="124">
      <c r="A124" s="1887"/>
      <c r="B124" s="1887"/>
      <c r="C124" s="1887"/>
      <c r="D124" s="1887"/>
      <c r="E124" s="1887"/>
      <c r="F124" s="1887"/>
      <c r="G124" s="1887"/>
      <c r="H124" s="1887"/>
      <c r="I124" s="1887"/>
      <c r="J124" s="1887"/>
      <c r="K124" s="1887"/>
      <c r="L124" s="1887"/>
      <c r="M124" s="1887"/>
      <c r="N124" s="1887"/>
      <c r="O124" s="1887"/>
      <c r="P124" s="1887"/>
      <c r="Q124" s="1887"/>
      <c r="R124" s="1887"/>
      <c r="S124" s="1887"/>
      <c r="T124" s="1887"/>
      <c r="U124" s="1887"/>
      <c r="V124" s="1887"/>
      <c r="W124" s="1887"/>
      <c r="X124" s="1887"/>
      <c r="Y124" s="1887"/>
      <c r="Z124" s="1887"/>
      <c r="AA124" s="1887"/>
      <c r="AB124" s="1887"/>
      <c r="AC124" s="1887"/>
    </row>
    <row r="125">
      <c r="A125" s="1887"/>
      <c r="B125" s="1887"/>
      <c r="C125" s="1887"/>
      <c r="D125" s="1887"/>
      <c r="E125" s="1887"/>
      <c r="F125" s="1887"/>
      <c r="G125" s="1887"/>
      <c r="H125" s="1887"/>
      <c r="I125" s="1887"/>
      <c r="J125" s="1887"/>
      <c r="K125" s="1887"/>
      <c r="L125" s="1887"/>
      <c r="M125" s="1887"/>
      <c r="N125" s="1887"/>
      <c r="O125" s="1887"/>
      <c r="P125" s="1887"/>
      <c r="Q125" s="1887"/>
      <c r="R125" s="1887"/>
      <c r="S125" s="1887"/>
      <c r="T125" s="1887"/>
      <c r="U125" s="1887"/>
      <c r="V125" s="1887"/>
      <c r="W125" s="1887"/>
      <c r="X125" s="1887"/>
      <c r="Y125" s="1887"/>
      <c r="Z125" s="1887"/>
      <c r="AA125" s="1887"/>
      <c r="AB125" s="1887"/>
      <c r="AC125" s="1887"/>
    </row>
    <row r="126">
      <c r="A126" s="1887"/>
      <c r="B126" s="1887"/>
      <c r="C126" s="1887"/>
      <c r="D126" s="1887"/>
      <c r="E126" s="1887"/>
      <c r="F126" s="1887"/>
      <c r="G126" s="1887"/>
      <c r="H126" s="1887"/>
      <c r="I126" s="1887"/>
      <c r="J126" s="1887"/>
      <c r="K126" s="1887"/>
      <c r="L126" s="1887"/>
      <c r="M126" s="1887"/>
      <c r="N126" s="1887"/>
      <c r="O126" s="1887"/>
      <c r="P126" s="1887"/>
      <c r="Q126" s="1887"/>
      <c r="R126" s="1887"/>
      <c r="S126" s="1887"/>
      <c r="T126" s="1887"/>
      <c r="U126" s="1887"/>
      <c r="V126" s="1887"/>
      <c r="W126" s="1887"/>
      <c r="X126" s="1887"/>
      <c r="Y126" s="1887"/>
      <c r="Z126" s="1887"/>
      <c r="AA126" s="1887"/>
      <c r="AB126" s="1887"/>
      <c r="AC126" s="1887"/>
    </row>
    <row r="127">
      <c r="A127" s="1887"/>
      <c r="B127" s="1887"/>
      <c r="C127" s="1887"/>
      <c r="D127" s="1887"/>
      <c r="E127" s="1887"/>
      <c r="F127" s="1887"/>
      <c r="G127" s="1887"/>
      <c r="H127" s="1887"/>
      <c r="I127" s="1887"/>
      <c r="J127" s="1887"/>
      <c r="K127" s="1887"/>
      <c r="L127" s="1887"/>
      <c r="M127" s="1887"/>
      <c r="N127" s="1887"/>
      <c r="O127" s="1887"/>
      <c r="P127" s="1887"/>
      <c r="Q127" s="1887"/>
      <c r="R127" s="1887"/>
      <c r="S127" s="1887"/>
      <c r="T127" s="1887"/>
      <c r="U127" s="1887"/>
      <c r="V127" s="1887"/>
      <c r="W127" s="1887"/>
      <c r="X127" s="1887"/>
      <c r="Y127" s="1887"/>
      <c r="Z127" s="1887"/>
      <c r="AA127" s="1887"/>
      <c r="AB127" s="1887"/>
      <c r="AC127" s="1887"/>
    </row>
    <row r="128">
      <c r="A128" s="1887"/>
      <c r="B128" s="1887"/>
      <c r="C128" s="1887"/>
      <c r="D128" s="1887"/>
      <c r="E128" s="1887"/>
      <c r="F128" s="1887"/>
      <c r="G128" s="1887"/>
      <c r="H128" s="1887"/>
      <c r="I128" s="1887"/>
      <c r="J128" s="1887"/>
      <c r="K128" s="1887"/>
      <c r="L128" s="1887"/>
      <c r="M128" s="1887"/>
      <c r="N128" s="1887"/>
      <c r="O128" s="1887"/>
      <c r="P128" s="1887"/>
      <c r="Q128" s="1887"/>
      <c r="R128" s="1887"/>
      <c r="S128" s="1887"/>
      <c r="T128" s="1887"/>
      <c r="U128" s="1887"/>
      <c r="V128" s="1887"/>
      <c r="W128" s="1887"/>
      <c r="X128" s="1887"/>
      <c r="Y128" s="1887"/>
      <c r="Z128" s="1887"/>
      <c r="AA128" s="1887"/>
      <c r="AB128" s="1887"/>
      <c r="AC128" s="1887"/>
    </row>
    <row r="129">
      <c r="A129" s="1887"/>
      <c r="B129" s="1887"/>
      <c r="C129" s="1887"/>
      <c r="D129" s="1887"/>
      <c r="E129" s="1887"/>
      <c r="F129" s="1887"/>
      <c r="G129" s="1887"/>
      <c r="H129" s="1887"/>
      <c r="I129" s="1887"/>
      <c r="J129" s="1887"/>
      <c r="K129" s="1887"/>
      <c r="L129" s="1887"/>
      <c r="M129" s="1887"/>
      <c r="N129" s="1887"/>
      <c r="O129" s="1887"/>
      <c r="P129" s="1887"/>
      <c r="Q129" s="1887"/>
      <c r="R129" s="1887"/>
      <c r="S129" s="1887"/>
      <c r="T129" s="1887"/>
      <c r="U129" s="1887"/>
      <c r="V129" s="1887"/>
      <c r="W129" s="1887"/>
      <c r="X129" s="1887"/>
      <c r="Y129" s="1887"/>
      <c r="Z129" s="1887"/>
      <c r="AA129" s="1887"/>
      <c r="AB129" s="1887"/>
      <c r="AC129" s="1887"/>
    </row>
    <row r="130">
      <c r="A130" s="1887"/>
      <c r="B130" s="1887"/>
      <c r="C130" s="1887"/>
      <c r="D130" s="1887"/>
      <c r="E130" s="1887"/>
      <c r="F130" s="1887"/>
      <c r="G130" s="1887"/>
      <c r="H130" s="1887"/>
      <c r="I130" s="1887"/>
      <c r="J130" s="1887"/>
      <c r="K130" s="1887"/>
      <c r="L130" s="1887"/>
      <c r="M130" s="1887"/>
      <c r="N130" s="1887"/>
      <c r="O130" s="1887"/>
      <c r="P130" s="1887"/>
      <c r="Q130" s="1887"/>
      <c r="R130" s="1887"/>
      <c r="S130" s="1887"/>
      <c r="T130" s="1887"/>
      <c r="U130" s="1887"/>
      <c r="V130" s="1887"/>
      <c r="W130" s="1887"/>
      <c r="X130" s="1887"/>
      <c r="Y130" s="1887"/>
      <c r="Z130" s="1887"/>
      <c r="AA130" s="1887"/>
      <c r="AB130" s="1887"/>
      <c r="AC130" s="1887"/>
    </row>
    <row r="131">
      <c r="A131" s="1887"/>
      <c r="B131" s="1887"/>
      <c r="C131" s="1887"/>
      <c r="D131" s="1887"/>
      <c r="E131" s="1887"/>
      <c r="F131" s="1887"/>
      <c r="G131" s="1887"/>
      <c r="H131" s="1887"/>
      <c r="I131" s="1887"/>
      <c r="J131" s="1887"/>
      <c r="K131" s="1887"/>
      <c r="L131" s="1887"/>
      <c r="M131" s="1887"/>
      <c r="N131" s="1887"/>
      <c r="O131" s="1887"/>
      <c r="P131" s="1887"/>
      <c r="Q131" s="1887"/>
      <c r="R131" s="1887"/>
      <c r="S131" s="1887"/>
      <c r="T131" s="1887"/>
      <c r="U131" s="1887"/>
      <c r="V131" s="1887"/>
      <c r="W131" s="1887"/>
      <c r="X131" s="1887"/>
      <c r="Y131" s="1887"/>
      <c r="Z131" s="1887"/>
      <c r="AA131" s="1887"/>
      <c r="AB131" s="1887"/>
      <c r="AC131" s="1887"/>
    </row>
    <row r="132">
      <c r="A132" s="1887"/>
      <c r="B132" s="1887"/>
      <c r="C132" s="1887"/>
      <c r="D132" s="1887"/>
      <c r="E132" s="1887"/>
      <c r="F132" s="1887"/>
      <c r="G132" s="1887"/>
      <c r="H132" s="1887"/>
      <c r="I132" s="1887"/>
      <c r="J132" s="1887"/>
      <c r="K132" s="1887"/>
      <c r="L132" s="1887"/>
      <c r="M132" s="1887"/>
      <c r="N132" s="1887"/>
      <c r="O132" s="1887"/>
      <c r="P132" s="1887"/>
      <c r="Q132" s="1887"/>
      <c r="R132" s="1887"/>
      <c r="S132" s="1887"/>
      <c r="T132" s="1887"/>
      <c r="U132" s="1887"/>
      <c r="V132" s="1887"/>
      <c r="W132" s="1887"/>
      <c r="X132" s="1887"/>
      <c r="Y132" s="1887"/>
      <c r="Z132" s="1887"/>
      <c r="AA132" s="1887"/>
      <c r="AB132" s="1887"/>
      <c r="AC132" s="1887"/>
    </row>
    <row r="133">
      <c r="A133" s="1887"/>
      <c r="B133" s="1887"/>
      <c r="C133" s="1887"/>
      <c r="D133" s="1887"/>
      <c r="E133" s="1887"/>
      <c r="F133" s="1887"/>
      <c r="G133" s="1887"/>
      <c r="H133" s="1887"/>
      <c r="I133" s="1887"/>
      <c r="J133" s="1887"/>
      <c r="K133" s="1887"/>
      <c r="L133" s="1887"/>
      <c r="M133" s="1887"/>
      <c r="N133" s="1887"/>
      <c r="O133" s="1887"/>
      <c r="P133" s="1887"/>
      <c r="Q133" s="1887"/>
      <c r="R133" s="1887"/>
      <c r="S133" s="1887"/>
      <c r="T133" s="1887"/>
      <c r="U133" s="1887"/>
      <c r="V133" s="1887"/>
      <c r="W133" s="1887"/>
      <c r="X133" s="1887"/>
      <c r="Y133" s="1887"/>
      <c r="Z133" s="1887"/>
      <c r="AA133" s="1887"/>
      <c r="AB133" s="1887"/>
      <c r="AC133" s="1887"/>
    </row>
    <row r="134">
      <c r="A134" s="1887"/>
      <c r="B134" s="1887"/>
      <c r="C134" s="1887"/>
      <c r="D134" s="1887"/>
      <c r="E134" s="1887"/>
      <c r="F134" s="1887"/>
      <c r="G134" s="1887"/>
      <c r="H134" s="1887"/>
      <c r="I134" s="1887"/>
      <c r="J134" s="1887"/>
      <c r="K134" s="1887"/>
      <c r="L134" s="1887"/>
      <c r="M134" s="1887"/>
      <c r="N134" s="1887"/>
      <c r="O134" s="1887"/>
      <c r="P134" s="1887"/>
      <c r="Q134" s="1887"/>
      <c r="R134" s="1887"/>
      <c r="S134" s="1887"/>
      <c r="T134" s="1887"/>
      <c r="U134" s="1887"/>
      <c r="V134" s="1887"/>
      <c r="W134" s="1887"/>
      <c r="X134" s="1887"/>
      <c r="Y134" s="1887"/>
      <c r="Z134" s="1887"/>
      <c r="AA134" s="1887"/>
      <c r="AB134" s="1887"/>
      <c r="AC134" s="1887"/>
    </row>
    <row r="135">
      <c r="A135" s="1887"/>
      <c r="B135" s="1887"/>
      <c r="C135" s="1887"/>
      <c r="D135" s="1887"/>
      <c r="E135" s="1887"/>
      <c r="F135" s="1887"/>
      <c r="G135" s="1887"/>
      <c r="H135" s="1887"/>
      <c r="I135" s="1887"/>
      <c r="J135" s="1887"/>
      <c r="K135" s="1887"/>
      <c r="L135" s="1887"/>
      <c r="M135" s="1887"/>
      <c r="N135" s="1887"/>
      <c r="O135" s="1887"/>
      <c r="P135" s="1887"/>
      <c r="Q135" s="1887"/>
      <c r="R135" s="1887"/>
      <c r="S135" s="1887"/>
      <c r="T135" s="1887"/>
      <c r="U135" s="1887"/>
      <c r="V135" s="1887"/>
      <c r="W135" s="1887"/>
      <c r="X135" s="1887"/>
      <c r="Y135" s="1887"/>
      <c r="Z135" s="1887"/>
      <c r="AA135" s="1887"/>
      <c r="AB135" s="1887"/>
      <c r="AC135" s="1887"/>
    </row>
    <row r="136">
      <c r="A136" s="1887"/>
      <c r="B136" s="1887"/>
      <c r="C136" s="1887"/>
      <c r="D136" s="1887"/>
      <c r="E136" s="1887"/>
      <c r="F136" s="1887"/>
      <c r="G136" s="1887"/>
      <c r="H136" s="1887"/>
      <c r="I136" s="1887"/>
      <c r="J136" s="1887"/>
      <c r="K136" s="1887"/>
      <c r="L136" s="1887"/>
      <c r="M136" s="1887"/>
      <c r="N136" s="1887"/>
      <c r="O136" s="1887"/>
      <c r="P136" s="1887"/>
      <c r="Q136" s="1887"/>
      <c r="R136" s="1887"/>
      <c r="S136" s="1887"/>
      <c r="T136" s="1887"/>
      <c r="U136" s="1887"/>
      <c r="V136" s="1887"/>
      <c r="W136" s="1887"/>
      <c r="X136" s="1887"/>
      <c r="Y136" s="1887"/>
      <c r="Z136" s="1887"/>
      <c r="AA136" s="1887"/>
      <c r="AB136" s="1887"/>
      <c r="AC136" s="1887"/>
    </row>
    <row r="137">
      <c r="A137" s="1887"/>
      <c r="B137" s="1887"/>
      <c r="C137" s="1887"/>
      <c r="D137" s="1887"/>
      <c r="E137" s="1887"/>
      <c r="F137" s="1887"/>
      <c r="G137" s="1887"/>
      <c r="H137" s="1887"/>
      <c r="I137" s="1887"/>
      <c r="J137" s="1887"/>
      <c r="K137" s="1887"/>
      <c r="L137" s="1887"/>
      <c r="M137" s="1887"/>
      <c r="N137" s="1887"/>
      <c r="O137" s="1887"/>
      <c r="P137" s="1887"/>
      <c r="Q137" s="1887"/>
      <c r="R137" s="1887"/>
      <c r="S137" s="1887"/>
      <c r="T137" s="1887"/>
      <c r="U137" s="1887"/>
      <c r="V137" s="1887"/>
      <c r="W137" s="1887"/>
      <c r="X137" s="1887"/>
      <c r="Y137" s="1887"/>
      <c r="Z137" s="1887"/>
      <c r="AA137" s="1887"/>
      <c r="AB137" s="1887"/>
      <c r="AC137" s="1887"/>
    </row>
    <row r="138">
      <c r="A138" s="1887"/>
      <c r="B138" s="1887"/>
      <c r="C138" s="1887"/>
      <c r="D138" s="1887"/>
      <c r="E138" s="1887"/>
      <c r="F138" s="1887"/>
      <c r="G138" s="1887"/>
      <c r="H138" s="1887"/>
      <c r="I138" s="1887"/>
      <c r="J138" s="1887"/>
      <c r="K138" s="1887"/>
      <c r="L138" s="1887"/>
      <c r="M138" s="1887"/>
      <c r="N138" s="1887"/>
      <c r="O138" s="1887"/>
      <c r="P138" s="1887"/>
      <c r="Q138" s="1887"/>
      <c r="R138" s="1887"/>
      <c r="S138" s="1887"/>
      <c r="T138" s="1887"/>
      <c r="U138" s="1887"/>
      <c r="V138" s="1887"/>
      <c r="W138" s="1887"/>
      <c r="X138" s="1887"/>
      <c r="Y138" s="1887"/>
      <c r="Z138" s="1887"/>
      <c r="AA138" s="1887"/>
      <c r="AB138" s="1887"/>
      <c r="AC138" s="1887"/>
    </row>
    <row r="139">
      <c r="A139" s="1887"/>
      <c r="B139" s="1887"/>
      <c r="C139" s="1887"/>
      <c r="D139" s="1887"/>
      <c r="E139" s="1887"/>
      <c r="F139" s="1887"/>
      <c r="G139" s="1887"/>
      <c r="H139" s="1887"/>
      <c r="I139" s="1887"/>
      <c r="J139" s="1887"/>
      <c r="K139" s="1887"/>
      <c r="L139" s="1887"/>
      <c r="M139" s="1887"/>
      <c r="N139" s="1887"/>
      <c r="O139" s="1887"/>
      <c r="P139" s="1887"/>
      <c r="Q139" s="1887"/>
      <c r="R139" s="1887"/>
      <c r="S139" s="1887"/>
      <c r="T139" s="1887"/>
      <c r="U139" s="1887"/>
      <c r="V139" s="1887"/>
      <c r="W139" s="1887"/>
      <c r="X139" s="1887"/>
      <c r="Y139" s="1887"/>
      <c r="Z139" s="1887"/>
      <c r="AA139" s="1887"/>
      <c r="AB139" s="1887"/>
      <c r="AC139" s="1887"/>
    </row>
    <row r="140">
      <c r="A140" s="1887"/>
      <c r="B140" s="1887"/>
      <c r="C140" s="1887"/>
      <c r="D140" s="1887"/>
      <c r="E140" s="1887"/>
      <c r="F140" s="1887"/>
      <c r="G140" s="1887"/>
      <c r="H140" s="1887"/>
      <c r="I140" s="1887"/>
      <c r="J140" s="1887"/>
      <c r="K140" s="1887"/>
      <c r="L140" s="1887"/>
      <c r="M140" s="1887"/>
      <c r="N140" s="1887"/>
      <c r="O140" s="1887"/>
      <c r="P140" s="1887"/>
      <c r="Q140" s="1887"/>
      <c r="R140" s="1887"/>
      <c r="S140" s="1887"/>
      <c r="T140" s="1887"/>
      <c r="U140" s="1887"/>
      <c r="V140" s="1887"/>
      <c r="W140" s="1887"/>
      <c r="X140" s="1887"/>
      <c r="Y140" s="1887"/>
      <c r="Z140" s="1887"/>
      <c r="AA140" s="1887"/>
      <c r="AB140" s="1887"/>
      <c r="AC140" s="1887"/>
    </row>
    <row r="141">
      <c r="A141" s="1887"/>
      <c r="B141" s="1887"/>
      <c r="C141" s="1887"/>
      <c r="D141" s="1887"/>
      <c r="E141" s="1887"/>
      <c r="F141" s="1887"/>
      <c r="G141" s="1887"/>
      <c r="H141" s="1887"/>
      <c r="I141" s="1887"/>
      <c r="J141" s="1887"/>
      <c r="K141" s="1887"/>
      <c r="L141" s="1887"/>
      <c r="M141" s="1887"/>
      <c r="N141" s="1887"/>
      <c r="O141" s="1887"/>
      <c r="P141" s="1887"/>
      <c r="Q141" s="1887"/>
      <c r="R141" s="1887"/>
      <c r="S141" s="1887"/>
      <c r="T141" s="1887"/>
      <c r="U141" s="1887"/>
      <c r="V141" s="1887"/>
      <c r="W141" s="1887"/>
      <c r="X141" s="1887"/>
      <c r="Y141" s="1887"/>
      <c r="Z141" s="1887"/>
      <c r="AA141" s="1887"/>
      <c r="AB141" s="1887"/>
      <c r="AC141" s="1887"/>
    </row>
    <row r="142">
      <c r="A142" s="1887"/>
      <c r="B142" s="1887"/>
      <c r="C142" s="1887"/>
      <c r="D142" s="1887"/>
      <c r="E142" s="1887"/>
      <c r="F142" s="1887"/>
      <c r="G142" s="1887"/>
      <c r="H142" s="1887"/>
      <c r="I142" s="1887"/>
      <c r="J142" s="1887"/>
      <c r="K142" s="1887"/>
      <c r="L142" s="1887"/>
      <c r="M142" s="1887"/>
      <c r="N142" s="1887"/>
      <c r="O142" s="1887"/>
      <c r="P142" s="1887"/>
      <c r="Q142" s="1887"/>
      <c r="R142" s="1887"/>
      <c r="S142" s="1887"/>
      <c r="T142" s="1887"/>
      <c r="U142" s="1887"/>
      <c r="V142" s="1887"/>
      <c r="W142" s="1887"/>
      <c r="X142" s="1887"/>
      <c r="Y142" s="1887"/>
      <c r="Z142" s="1887"/>
      <c r="AA142" s="1887"/>
      <c r="AB142" s="1887"/>
      <c r="AC142" s="1887"/>
    </row>
    <row r="143">
      <c r="A143" s="1887"/>
      <c r="B143" s="1887"/>
      <c r="C143" s="1887"/>
      <c r="D143" s="1887"/>
      <c r="E143" s="1887"/>
      <c r="F143" s="1887"/>
      <c r="G143" s="1887"/>
      <c r="H143" s="1887"/>
      <c r="I143" s="1887"/>
      <c r="J143" s="1887"/>
      <c r="K143" s="1887"/>
      <c r="L143" s="1887"/>
      <c r="M143" s="1887"/>
      <c r="N143" s="1887"/>
      <c r="O143" s="1887"/>
      <c r="P143" s="1887"/>
      <c r="Q143" s="1887"/>
      <c r="R143" s="1887"/>
      <c r="S143" s="1887"/>
      <c r="T143" s="1887"/>
      <c r="U143" s="1887"/>
      <c r="V143" s="1887"/>
      <c r="W143" s="1887"/>
      <c r="X143" s="1887"/>
      <c r="Y143" s="1887"/>
      <c r="Z143" s="1887"/>
      <c r="AA143" s="1887"/>
      <c r="AB143" s="1887"/>
      <c r="AC143" s="1887"/>
    </row>
    <row r="144">
      <c r="A144" s="1887"/>
      <c r="B144" s="1887"/>
      <c r="C144" s="1887"/>
      <c r="D144" s="1887"/>
      <c r="E144" s="1887"/>
      <c r="F144" s="1887"/>
      <c r="G144" s="1887"/>
      <c r="H144" s="1887"/>
      <c r="I144" s="1887"/>
      <c r="J144" s="1887"/>
      <c r="K144" s="1887"/>
      <c r="L144" s="1887"/>
      <c r="M144" s="1887"/>
      <c r="N144" s="1887"/>
      <c r="O144" s="1887"/>
      <c r="P144" s="1887"/>
      <c r="Q144" s="1887"/>
      <c r="R144" s="1887"/>
      <c r="S144" s="1887"/>
      <c r="T144" s="1887"/>
      <c r="U144" s="1887"/>
      <c r="V144" s="1887"/>
      <c r="W144" s="1887"/>
      <c r="X144" s="1887"/>
      <c r="Y144" s="1887"/>
      <c r="Z144" s="1887"/>
      <c r="AA144" s="1887"/>
      <c r="AB144" s="1887"/>
      <c r="AC144" s="1887"/>
    </row>
    <row r="145">
      <c r="A145" s="1887"/>
      <c r="B145" s="1887"/>
      <c r="C145" s="1887"/>
      <c r="D145" s="1887"/>
      <c r="E145" s="1887"/>
      <c r="F145" s="1887"/>
      <c r="G145" s="1887"/>
      <c r="H145" s="1887"/>
      <c r="I145" s="1887"/>
      <c r="J145" s="1887"/>
      <c r="K145" s="1887"/>
      <c r="L145" s="1887"/>
      <c r="M145" s="1887"/>
      <c r="N145" s="1887"/>
      <c r="O145" s="1887"/>
      <c r="P145" s="1887"/>
      <c r="Q145" s="1887"/>
      <c r="R145" s="1887"/>
      <c r="S145" s="1887"/>
      <c r="T145" s="1887"/>
      <c r="U145" s="1887"/>
      <c r="V145" s="1887"/>
      <c r="W145" s="1887"/>
      <c r="X145" s="1887"/>
      <c r="Y145" s="1887"/>
      <c r="Z145" s="1887"/>
      <c r="AA145" s="1887"/>
      <c r="AB145" s="1887"/>
      <c r="AC145" s="1887"/>
    </row>
    <row r="146">
      <c r="A146" s="1887"/>
      <c r="B146" s="1887"/>
      <c r="C146" s="1887"/>
      <c r="D146" s="1887"/>
      <c r="E146" s="1887"/>
      <c r="F146" s="1887"/>
      <c r="G146" s="1887"/>
      <c r="H146" s="1887"/>
      <c r="I146" s="1887"/>
      <c r="J146" s="1887"/>
      <c r="K146" s="1887"/>
      <c r="L146" s="1887"/>
      <c r="M146" s="1887"/>
      <c r="N146" s="1887"/>
      <c r="O146" s="1887"/>
      <c r="P146" s="1887"/>
      <c r="Q146" s="1887"/>
      <c r="R146" s="1887"/>
      <c r="S146" s="1887"/>
      <c r="T146" s="1887"/>
      <c r="U146" s="1887"/>
      <c r="V146" s="1887"/>
      <c r="W146" s="1887"/>
      <c r="X146" s="1887"/>
      <c r="Y146" s="1887"/>
      <c r="Z146" s="1887"/>
      <c r="AA146" s="1887"/>
      <c r="AB146" s="1887"/>
      <c r="AC146" s="1887"/>
    </row>
    <row r="147">
      <c r="A147" s="1887"/>
      <c r="B147" s="1887"/>
      <c r="C147" s="1887"/>
      <c r="D147" s="1887"/>
      <c r="E147" s="1887"/>
      <c r="F147" s="1887"/>
      <c r="G147" s="1887"/>
      <c r="H147" s="1887"/>
      <c r="I147" s="1887"/>
      <c r="J147" s="1887"/>
      <c r="K147" s="1887"/>
      <c r="L147" s="1887"/>
      <c r="M147" s="1887"/>
      <c r="N147" s="1887"/>
      <c r="O147" s="1887"/>
      <c r="P147" s="1887"/>
      <c r="Q147" s="1887"/>
      <c r="R147" s="1887"/>
      <c r="S147" s="1887"/>
      <c r="T147" s="1887"/>
      <c r="U147" s="1887"/>
      <c r="V147" s="1887"/>
      <c r="W147" s="1887"/>
      <c r="X147" s="1887"/>
      <c r="Y147" s="1887"/>
      <c r="Z147" s="1887"/>
      <c r="AA147" s="1887"/>
      <c r="AB147" s="1887"/>
      <c r="AC147" s="1887"/>
    </row>
    <row r="148">
      <c r="A148" s="1887"/>
      <c r="B148" s="1887"/>
      <c r="C148" s="1887"/>
      <c r="D148" s="1887"/>
      <c r="E148" s="1887"/>
      <c r="F148" s="1887"/>
      <c r="G148" s="1887"/>
      <c r="H148" s="1887"/>
      <c r="I148" s="1887"/>
      <c r="J148" s="1887"/>
      <c r="K148" s="1887"/>
      <c r="L148" s="1887"/>
      <c r="M148" s="1887"/>
      <c r="N148" s="1887"/>
      <c r="O148" s="1887"/>
      <c r="P148" s="1887"/>
      <c r="Q148" s="1887"/>
      <c r="R148" s="1887"/>
      <c r="S148" s="1887"/>
      <c r="T148" s="1887"/>
      <c r="U148" s="1887"/>
      <c r="V148" s="1887"/>
      <c r="W148" s="1887"/>
      <c r="X148" s="1887"/>
      <c r="Y148" s="1887"/>
      <c r="Z148" s="1887"/>
      <c r="AA148" s="1887"/>
      <c r="AB148" s="1887"/>
      <c r="AC148" s="1887"/>
    </row>
    <row r="149">
      <c r="A149" s="1887"/>
      <c r="B149" s="1887"/>
      <c r="C149" s="1887"/>
      <c r="D149" s="1887"/>
      <c r="E149" s="1887"/>
      <c r="F149" s="1887"/>
      <c r="G149" s="1887"/>
      <c r="H149" s="1887"/>
      <c r="I149" s="1887"/>
      <c r="J149" s="1887"/>
      <c r="K149" s="1887"/>
      <c r="L149" s="1887"/>
      <c r="M149" s="1887"/>
      <c r="N149" s="1887"/>
      <c r="O149" s="1887"/>
      <c r="P149" s="1887"/>
      <c r="Q149" s="1887"/>
      <c r="R149" s="1887"/>
      <c r="S149" s="1887"/>
      <c r="T149" s="1887"/>
      <c r="U149" s="1887"/>
      <c r="V149" s="1887"/>
      <c r="W149" s="1887"/>
      <c r="X149" s="1887"/>
      <c r="Y149" s="1887"/>
      <c r="Z149" s="1887"/>
      <c r="AA149" s="1887"/>
      <c r="AB149" s="1887"/>
      <c r="AC149" s="1887"/>
    </row>
    <row r="150">
      <c r="A150" s="1887"/>
      <c r="B150" s="1887"/>
      <c r="C150" s="1887"/>
      <c r="D150" s="1887"/>
      <c r="E150" s="1887"/>
      <c r="F150" s="1887"/>
      <c r="G150" s="1887"/>
      <c r="H150" s="1887"/>
      <c r="I150" s="1887"/>
      <c r="J150" s="1887"/>
      <c r="K150" s="1887"/>
      <c r="L150" s="1887"/>
      <c r="M150" s="1887"/>
      <c r="N150" s="1887"/>
      <c r="O150" s="1887"/>
      <c r="P150" s="1887"/>
      <c r="Q150" s="1887"/>
      <c r="R150" s="1887"/>
      <c r="S150" s="1887"/>
      <c r="T150" s="1887"/>
      <c r="U150" s="1887"/>
      <c r="V150" s="1887"/>
      <c r="W150" s="1887"/>
      <c r="X150" s="1887"/>
      <c r="Y150" s="1887"/>
      <c r="Z150" s="1887"/>
      <c r="AA150" s="1887"/>
      <c r="AB150" s="1887"/>
      <c r="AC150" s="1887"/>
    </row>
    <row r="151">
      <c r="A151" s="1887"/>
      <c r="B151" s="1887"/>
      <c r="C151" s="1887"/>
      <c r="D151" s="1887"/>
      <c r="E151" s="1887"/>
      <c r="F151" s="1887"/>
      <c r="G151" s="1887"/>
      <c r="H151" s="1887"/>
      <c r="I151" s="1887"/>
      <c r="J151" s="1887"/>
      <c r="K151" s="1887"/>
      <c r="L151" s="1887"/>
      <c r="M151" s="1887"/>
      <c r="N151" s="1887"/>
      <c r="O151" s="1887"/>
      <c r="P151" s="1887"/>
      <c r="Q151" s="1887"/>
      <c r="R151" s="1887"/>
      <c r="S151" s="1887"/>
      <c r="T151" s="1887"/>
      <c r="U151" s="1887"/>
      <c r="V151" s="1887"/>
      <c r="W151" s="1887"/>
      <c r="X151" s="1887"/>
      <c r="Y151" s="1887"/>
      <c r="Z151" s="1887"/>
      <c r="AA151" s="1887"/>
      <c r="AB151" s="1887"/>
      <c r="AC151" s="1887"/>
    </row>
    <row r="152">
      <c r="A152" s="1887"/>
      <c r="B152" s="1887"/>
      <c r="C152" s="1887"/>
      <c r="D152" s="1887"/>
      <c r="E152" s="1887"/>
      <c r="F152" s="1887"/>
      <c r="G152" s="1887"/>
      <c r="H152" s="1887"/>
      <c r="I152" s="1887"/>
      <c r="J152" s="1887"/>
      <c r="K152" s="1887"/>
      <c r="L152" s="1887"/>
      <c r="M152" s="1887"/>
      <c r="N152" s="1887"/>
      <c r="O152" s="1887"/>
      <c r="P152" s="1887"/>
      <c r="Q152" s="1887"/>
      <c r="R152" s="1887"/>
      <c r="S152" s="1887"/>
      <c r="T152" s="1887"/>
      <c r="U152" s="1887"/>
      <c r="V152" s="1887"/>
      <c r="W152" s="1887"/>
      <c r="X152" s="1887"/>
      <c r="Y152" s="1887"/>
      <c r="Z152" s="1887"/>
      <c r="AA152" s="1887"/>
      <c r="AB152" s="1887"/>
      <c r="AC152" s="1887"/>
    </row>
    <row r="153">
      <c r="A153" s="1887"/>
      <c r="B153" s="1887"/>
      <c r="C153" s="1887"/>
      <c r="D153" s="1887"/>
      <c r="E153" s="1887"/>
      <c r="F153" s="1887"/>
      <c r="G153" s="1887"/>
      <c r="H153" s="1887"/>
      <c r="I153" s="1887"/>
      <c r="J153" s="1887"/>
      <c r="K153" s="1887"/>
      <c r="L153" s="1887"/>
      <c r="M153" s="1887"/>
      <c r="N153" s="1887"/>
      <c r="O153" s="1887"/>
      <c r="P153" s="1887"/>
      <c r="Q153" s="1887"/>
      <c r="R153" s="1887"/>
      <c r="S153" s="1887"/>
      <c r="T153" s="1887"/>
      <c r="U153" s="1887"/>
      <c r="V153" s="1887"/>
      <c r="W153" s="1887"/>
      <c r="X153" s="1887"/>
      <c r="Y153" s="1887"/>
      <c r="Z153" s="1887"/>
      <c r="AA153" s="1887"/>
      <c r="AB153" s="1887"/>
      <c r="AC153" s="1887"/>
    </row>
    <row r="154">
      <c r="A154" s="1887"/>
      <c r="B154" s="1887"/>
      <c r="C154" s="1887"/>
      <c r="D154" s="1887"/>
      <c r="E154" s="1887"/>
      <c r="F154" s="1887"/>
      <c r="G154" s="1887"/>
      <c r="H154" s="1887"/>
      <c r="I154" s="1887"/>
      <c r="J154" s="1887"/>
      <c r="K154" s="1887"/>
      <c r="L154" s="1887"/>
      <c r="M154" s="1887"/>
      <c r="N154" s="1887"/>
      <c r="O154" s="1887"/>
      <c r="P154" s="1887"/>
      <c r="Q154" s="1887"/>
      <c r="R154" s="1887"/>
      <c r="S154" s="1887"/>
      <c r="T154" s="1887"/>
      <c r="U154" s="1887"/>
      <c r="V154" s="1887"/>
      <c r="W154" s="1887"/>
      <c r="X154" s="1887"/>
      <c r="Y154" s="1887"/>
      <c r="Z154" s="1887"/>
      <c r="AA154" s="1887"/>
      <c r="AB154" s="1887"/>
      <c r="AC154" s="1887"/>
    </row>
    <row r="155">
      <c r="A155" s="1887"/>
      <c r="B155" s="1887"/>
      <c r="C155" s="1887"/>
      <c r="D155" s="1887"/>
      <c r="E155" s="1887"/>
      <c r="F155" s="1887"/>
      <c r="G155" s="1887"/>
      <c r="H155" s="1887"/>
      <c r="I155" s="1887"/>
      <c r="J155" s="1887"/>
      <c r="K155" s="1887"/>
      <c r="L155" s="1887"/>
      <c r="M155" s="1887"/>
      <c r="N155" s="1887"/>
      <c r="O155" s="1887"/>
      <c r="P155" s="1887"/>
      <c r="Q155" s="1887"/>
      <c r="R155" s="1887"/>
      <c r="S155" s="1887"/>
      <c r="T155" s="1887"/>
      <c r="U155" s="1887"/>
      <c r="V155" s="1887"/>
      <c r="W155" s="1887"/>
      <c r="X155" s="1887"/>
      <c r="Y155" s="1887"/>
      <c r="Z155" s="1887"/>
      <c r="AA155" s="1887"/>
      <c r="AB155" s="1887"/>
      <c r="AC155" s="1887"/>
    </row>
    <row r="156">
      <c r="A156" s="1887"/>
      <c r="B156" s="1887"/>
      <c r="C156" s="1887"/>
      <c r="D156" s="1887"/>
      <c r="E156" s="1887"/>
      <c r="F156" s="1887"/>
      <c r="G156" s="1887"/>
      <c r="H156" s="1887"/>
      <c r="I156" s="1887"/>
      <c r="J156" s="1887"/>
      <c r="K156" s="1887"/>
      <c r="L156" s="1887"/>
      <c r="M156" s="1887"/>
      <c r="N156" s="1887"/>
      <c r="O156" s="1887"/>
      <c r="P156" s="1887"/>
      <c r="Q156" s="1887"/>
      <c r="R156" s="1887"/>
      <c r="S156" s="1887"/>
      <c r="T156" s="1887"/>
      <c r="U156" s="1887"/>
      <c r="V156" s="1887"/>
      <c r="W156" s="1887"/>
      <c r="X156" s="1887"/>
      <c r="Y156" s="1887"/>
      <c r="Z156" s="1887"/>
      <c r="AA156" s="1887"/>
      <c r="AB156" s="1887"/>
      <c r="AC156" s="1887"/>
    </row>
    <row r="157">
      <c r="A157" s="1887"/>
      <c r="B157" s="1887"/>
      <c r="C157" s="1887"/>
      <c r="D157" s="1887"/>
      <c r="E157" s="1887"/>
      <c r="F157" s="1887"/>
      <c r="G157" s="1887"/>
      <c r="H157" s="1887"/>
      <c r="I157" s="1887"/>
      <c r="J157" s="1887"/>
      <c r="K157" s="1887"/>
      <c r="L157" s="1887"/>
      <c r="M157" s="1887"/>
      <c r="N157" s="1887"/>
      <c r="O157" s="1887"/>
      <c r="P157" s="1887"/>
      <c r="Q157" s="1887"/>
      <c r="R157" s="1887"/>
      <c r="S157" s="1887"/>
      <c r="T157" s="1887"/>
      <c r="U157" s="1887"/>
      <c r="V157" s="1887"/>
      <c r="W157" s="1887"/>
      <c r="X157" s="1887"/>
      <c r="Y157" s="1887"/>
      <c r="Z157" s="1887"/>
      <c r="AA157" s="1887"/>
      <c r="AB157" s="1887"/>
      <c r="AC157" s="1887"/>
    </row>
    <row r="158">
      <c r="A158" s="1887"/>
      <c r="B158" s="1887"/>
      <c r="C158" s="1887"/>
      <c r="D158" s="1887"/>
      <c r="E158" s="1887"/>
      <c r="F158" s="1887"/>
      <c r="G158" s="1887"/>
      <c r="H158" s="1887"/>
      <c r="I158" s="1887"/>
      <c r="J158" s="1887"/>
      <c r="K158" s="1887"/>
      <c r="L158" s="1887"/>
      <c r="M158" s="1887"/>
      <c r="N158" s="1887"/>
      <c r="O158" s="1887"/>
      <c r="P158" s="1887"/>
      <c r="Q158" s="1887"/>
      <c r="R158" s="1887"/>
      <c r="S158" s="1887"/>
      <c r="T158" s="1887"/>
      <c r="U158" s="1887"/>
      <c r="V158" s="1887"/>
      <c r="W158" s="1887"/>
      <c r="X158" s="1887"/>
      <c r="Y158" s="1887"/>
      <c r="Z158" s="1887"/>
      <c r="AA158" s="1887"/>
      <c r="AB158" s="1887"/>
      <c r="AC158" s="1887"/>
    </row>
    <row r="159">
      <c r="A159" s="1887"/>
      <c r="B159" s="1887"/>
      <c r="C159" s="1887"/>
      <c r="D159" s="1887"/>
      <c r="E159" s="1887"/>
      <c r="F159" s="1887"/>
      <c r="G159" s="1887"/>
      <c r="H159" s="1887"/>
      <c r="I159" s="1887"/>
      <c r="J159" s="1887"/>
      <c r="K159" s="1887"/>
      <c r="L159" s="1887"/>
      <c r="M159" s="1887"/>
      <c r="N159" s="1887"/>
      <c r="O159" s="1887"/>
      <c r="P159" s="1887"/>
      <c r="Q159" s="1887"/>
      <c r="R159" s="1887"/>
      <c r="S159" s="1887"/>
      <c r="T159" s="1887"/>
      <c r="U159" s="1887"/>
      <c r="V159" s="1887"/>
      <c r="W159" s="1887"/>
      <c r="X159" s="1887"/>
      <c r="Y159" s="1887"/>
      <c r="Z159" s="1887"/>
      <c r="AA159" s="1887"/>
      <c r="AB159" s="1887"/>
      <c r="AC159" s="1887"/>
    </row>
    <row r="160">
      <c r="A160" s="1887"/>
      <c r="B160" s="1887"/>
      <c r="C160" s="1887"/>
      <c r="D160" s="1887"/>
      <c r="E160" s="1887"/>
      <c r="F160" s="1887"/>
      <c r="G160" s="1887"/>
      <c r="H160" s="1887"/>
      <c r="I160" s="1887"/>
      <c r="J160" s="1887"/>
      <c r="K160" s="1887"/>
      <c r="L160" s="1887"/>
      <c r="M160" s="1887"/>
      <c r="N160" s="1887"/>
      <c r="O160" s="1887"/>
      <c r="P160" s="1887"/>
      <c r="Q160" s="1887"/>
      <c r="R160" s="1887"/>
      <c r="S160" s="1887"/>
      <c r="T160" s="1887"/>
      <c r="U160" s="1887"/>
      <c r="V160" s="1887"/>
      <c r="W160" s="1887"/>
      <c r="X160" s="1887"/>
      <c r="Y160" s="1887"/>
      <c r="Z160" s="1887"/>
      <c r="AA160" s="1887"/>
      <c r="AB160" s="1887"/>
      <c r="AC160" s="1887"/>
    </row>
    <row r="161">
      <c r="A161" s="1887"/>
      <c r="B161" s="1887"/>
      <c r="C161" s="1887"/>
      <c r="D161" s="1887"/>
      <c r="E161" s="1887"/>
      <c r="F161" s="1887"/>
      <c r="G161" s="1887"/>
      <c r="H161" s="1887"/>
      <c r="I161" s="1887"/>
      <c r="J161" s="1887"/>
      <c r="K161" s="1887"/>
      <c r="L161" s="1887"/>
      <c r="M161" s="1887"/>
      <c r="N161" s="1887"/>
      <c r="O161" s="1887"/>
      <c r="P161" s="1887"/>
      <c r="Q161" s="1887"/>
      <c r="R161" s="1887"/>
      <c r="S161" s="1887"/>
      <c r="T161" s="1887"/>
      <c r="U161" s="1887"/>
      <c r="V161" s="1887"/>
      <c r="W161" s="1887"/>
      <c r="X161" s="1887"/>
      <c r="Y161" s="1887"/>
      <c r="Z161" s="1887"/>
      <c r="AA161" s="1887"/>
      <c r="AB161" s="1887"/>
      <c r="AC161" s="1887"/>
    </row>
    <row r="162">
      <c r="A162" s="1887"/>
      <c r="B162" s="1887"/>
      <c r="C162" s="1887"/>
      <c r="D162" s="1887"/>
      <c r="E162" s="1887"/>
      <c r="F162" s="1887"/>
      <c r="G162" s="1887"/>
      <c r="H162" s="1887"/>
      <c r="I162" s="1887"/>
      <c r="J162" s="1887"/>
      <c r="K162" s="1887"/>
      <c r="L162" s="1887"/>
      <c r="M162" s="1887"/>
      <c r="N162" s="1887"/>
      <c r="O162" s="1887"/>
      <c r="P162" s="1887"/>
      <c r="Q162" s="1887"/>
      <c r="R162" s="1887"/>
      <c r="S162" s="1887"/>
      <c r="T162" s="1887"/>
      <c r="U162" s="1887"/>
      <c r="V162" s="1887"/>
      <c r="W162" s="1887"/>
      <c r="X162" s="1887"/>
      <c r="Y162" s="1887"/>
      <c r="Z162" s="1887"/>
      <c r="AA162" s="1887"/>
      <c r="AB162" s="1887"/>
      <c r="AC162" s="1887"/>
    </row>
    <row r="163">
      <c r="A163" s="1887"/>
      <c r="B163" s="1887"/>
      <c r="C163" s="1887"/>
      <c r="D163" s="1887"/>
      <c r="E163" s="1887"/>
      <c r="F163" s="1887"/>
      <c r="G163" s="1887"/>
      <c r="H163" s="1887"/>
      <c r="I163" s="1887"/>
      <c r="J163" s="1887"/>
      <c r="K163" s="1887"/>
      <c r="L163" s="1887"/>
      <c r="M163" s="1887"/>
      <c r="N163" s="1887"/>
      <c r="O163" s="1887"/>
      <c r="P163" s="1887"/>
      <c r="Q163" s="1887"/>
      <c r="R163" s="1887"/>
      <c r="S163" s="1887"/>
      <c r="T163" s="1887"/>
      <c r="U163" s="1887"/>
      <c r="V163" s="1887"/>
      <c r="W163" s="1887"/>
      <c r="X163" s="1887"/>
      <c r="Y163" s="1887"/>
      <c r="Z163" s="1887"/>
      <c r="AA163" s="1887"/>
      <c r="AB163" s="1887"/>
      <c r="AC163" s="1887"/>
    </row>
    <row r="164">
      <c r="A164" s="1887"/>
      <c r="B164" s="1887"/>
      <c r="C164" s="1887"/>
      <c r="D164" s="1887"/>
      <c r="E164" s="1887"/>
      <c r="F164" s="1887"/>
      <c r="G164" s="1887"/>
      <c r="H164" s="1887"/>
      <c r="I164" s="1887"/>
      <c r="J164" s="1887"/>
      <c r="K164" s="1887"/>
      <c r="L164" s="1887"/>
      <c r="M164" s="1887"/>
      <c r="N164" s="1887"/>
      <c r="O164" s="1887"/>
      <c r="P164" s="1887"/>
      <c r="Q164" s="1887"/>
      <c r="R164" s="1887"/>
      <c r="S164" s="1887"/>
      <c r="T164" s="1887"/>
      <c r="U164" s="1887"/>
      <c r="V164" s="1887"/>
      <c r="W164" s="1887"/>
      <c r="X164" s="1887"/>
      <c r="Y164" s="1887"/>
      <c r="Z164" s="1887"/>
      <c r="AA164" s="1887"/>
      <c r="AB164" s="1887"/>
      <c r="AC164" s="1887"/>
    </row>
    <row r="165">
      <c r="A165" s="1887"/>
      <c r="B165" s="1887"/>
      <c r="C165" s="1887"/>
      <c r="D165" s="1887"/>
      <c r="E165" s="1887"/>
      <c r="F165" s="1887"/>
      <c r="G165" s="1887"/>
      <c r="H165" s="1887"/>
      <c r="I165" s="1887"/>
      <c r="J165" s="1887"/>
      <c r="K165" s="1887"/>
      <c r="L165" s="1887"/>
      <c r="M165" s="1887"/>
      <c r="N165" s="1887"/>
      <c r="O165" s="1887"/>
      <c r="P165" s="1887"/>
      <c r="Q165" s="1887"/>
      <c r="R165" s="1887"/>
      <c r="S165" s="1887"/>
      <c r="T165" s="1887"/>
      <c r="U165" s="1887"/>
      <c r="V165" s="1887"/>
      <c r="W165" s="1887"/>
      <c r="X165" s="1887"/>
      <c r="Y165" s="1887"/>
      <c r="Z165" s="1887"/>
      <c r="AA165" s="1887"/>
      <c r="AB165" s="1887"/>
      <c r="AC165" s="1887"/>
    </row>
    <row r="166">
      <c r="A166" s="1887"/>
      <c r="B166" s="1887"/>
      <c r="C166" s="1887"/>
      <c r="D166" s="1887"/>
      <c r="E166" s="1887"/>
      <c r="F166" s="1887"/>
      <c r="G166" s="1887"/>
      <c r="H166" s="1887"/>
      <c r="I166" s="1887"/>
      <c r="J166" s="1887"/>
      <c r="K166" s="1887"/>
      <c r="L166" s="1887"/>
      <c r="M166" s="1887"/>
      <c r="N166" s="1887"/>
      <c r="O166" s="1887"/>
      <c r="P166" s="1887"/>
      <c r="Q166" s="1887"/>
      <c r="R166" s="1887"/>
      <c r="S166" s="1887"/>
      <c r="T166" s="1887"/>
      <c r="U166" s="1887"/>
      <c r="V166" s="1887"/>
      <c r="W166" s="1887"/>
      <c r="X166" s="1887"/>
      <c r="Y166" s="1887"/>
      <c r="Z166" s="1887"/>
      <c r="AA166" s="1887"/>
      <c r="AB166" s="1887"/>
      <c r="AC166" s="1887"/>
    </row>
    <row r="167">
      <c r="A167" s="1887"/>
      <c r="B167" s="1887"/>
      <c r="C167" s="1887"/>
      <c r="D167" s="1887"/>
      <c r="E167" s="1887"/>
      <c r="F167" s="1887"/>
      <c r="G167" s="1887"/>
      <c r="H167" s="1887"/>
      <c r="I167" s="1887"/>
      <c r="J167" s="1887"/>
      <c r="K167" s="1887"/>
      <c r="L167" s="1887"/>
      <c r="M167" s="1887"/>
      <c r="N167" s="1887"/>
      <c r="O167" s="1887"/>
      <c r="P167" s="1887"/>
      <c r="Q167" s="1887"/>
      <c r="R167" s="1887"/>
      <c r="S167" s="1887"/>
      <c r="T167" s="1887"/>
      <c r="U167" s="1887"/>
      <c r="V167" s="1887"/>
      <c r="W167" s="1887"/>
      <c r="X167" s="1887"/>
      <c r="Y167" s="1887"/>
      <c r="Z167" s="1887"/>
      <c r="AA167" s="1887"/>
      <c r="AB167" s="1887"/>
      <c r="AC167" s="1887"/>
    </row>
    <row r="168">
      <c r="A168" s="1887"/>
      <c r="B168" s="1887"/>
      <c r="C168" s="1887"/>
      <c r="D168" s="1887"/>
      <c r="E168" s="1887"/>
      <c r="F168" s="1887"/>
      <c r="G168" s="1887"/>
      <c r="H168" s="1887"/>
      <c r="I168" s="1887"/>
      <c r="J168" s="1887"/>
      <c r="K168" s="1887"/>
      <c r="L168" s="1887"/>
      <c r="M168" s="1887"/>
      <c r="N168" s="1887"/>
      <c r="O168" s="1887"/>
      <c r="P168" s="1887"/>
      <c r="Q168" s="1887"/>
      <c r="R168" s="1887"/>
      <c r="S168" s="1887"/>
      <c r="T168" s="1887"/>
      <c r="U168" s="1887"/>
      <c r="V168" s="1887"/>
      <c r="W168" s="1887"/>
      <c r="X168" s="1887"/>
      <c r="Y168" s="1887"/>
      <c r="Z168" s="1887"/>
      <c r="AA168" s="1887"/>
      <c r="AB168" s="1887"/>
      <c r="AC168" s="1887"/>
    </row>
    <row r="169">
      <c r="A169" s="1887"/>
      <c r="B169" s="1887"/>
      <c r="C169" s="1887"/>
      <c r="D169" s="1887"/>
      <c r="E169" s="1887"/>
      <c r="F169" s="1887"/>
      <c r="G169" s="1887"/>
      <c r="H169" s="1887"/>
      <c r="I169" s="1887"/>
      <c r="J169" s="1887"/>
      <c r="K169" s="1887"/>
      <c r="L169" s="1887"/>
      <c r="M169" s="1887"/>
      <c r="N169" s="1887"/>
      <c r="O169" s="1887"/>
      <c r="P169" s="1887"/>
      <c r="Q169" s="1887"/>
      <c r="R169" s="1887"/>
      <c r="S169" s="1887"/>
      <c r="T169" s="1887"/>
      <c r="U169" s="1887"/>
      <c r="V169" s="1887"/>
      <c r="W169" s="1887"/>
      <c r="X169" s="1887"/>
      <c r="Y169" s="1887"/>
      <c r="Z169" s="1887"/>
      <c r="AA169" s="1887"/>
      <c r="AB169" s="1887"/>
      <c r="AC169" s="1887"/>
    </row>
    <row r="170">
      <c r="A170" s="1887"/>
      <c r="B170" s="1887"/>
      <c r="C170" s="1887"/>
      <c r="D170" s="1887"/>
      <c r="E170" s="1887"/>
      <c r="F170" s="1887"/>
      <c r="G170" s="1887"/>
      <c r="H170" s="1887"/>
      <c r="I170" s="1887"/>
      <c r="J170" s="1887"/>
      <c r="K170" s="1887"/>
      <c r="L170" s="1887"/>
      <c r="M170" s="1887"/>
      <c r="N170" s="1887"/>
      <c r="O170" s="1887"/>
      <c r="P170" s="1887"/>
      <c r="Q170" s="1887"/>
      <c r="R170" s="1887"/>
      <c r="S170" s="1887"/>
      <c r="T170" s="1887"/>
      <c r="U170" s="1887"/>
      <c r="V170" s="1887"/>
      <c r="W170" s="1887"/>
      <c r="X170" s="1887"/>
      <c r="Y170" s="1887"/>
      <c r="Z170" s="1887"/>
      <c r="AA170" s="1887"/>
      <c r="AB170" s="1887"/>
      <c r="AC170" s="1887"/>
    </row>
    <row r="171">
      <c r="A171" s="1887"/>
      <c r="B171" s="1887"/>
      <c r="C171" s="1887"/>
      <c r="D171" s="1887"/>
      <c r="E171" s="1887"/>
      <c r="F171" s="1887"/>
      <c r="G171" s="1887"/>
      <c r="H171" s="1887"/>
      <c r="I171" s="1887"/>
      <c r="J171" s="1887"/>
      <c r="K171" s="1887"/>
      <c r="L171" s="1887"/>
      <c r="M171" s="1887"/>
      <c r="N171" s="1887"/>
      <c r="O171" s="1887"/>
      <c r="P171" s="1887"/>
      <c r="Q171" s="1887"/>
      <c r="R171" s="1887"/>
      <c r="S171" s="1887"/>
      <c r="T171" s="1887"/>
      <c r="U171" s="1887"/>
      <c r="V171" s="1887"/>
      <c r="W171" s="1887"/>
      <c r="X171" s="1887"/>
      <c r="Y171" s="1887"/>
      <c r="Z171" s="1887"/>
      <c r="AA171" s="1887"/>
      <c r="AB171" s="1887"/>
      <c r="AC171" s="1887"/>
    </row>
    <row r="172">
      <c r="A172" s="1887"/>
      <c r="B172" s="1887"/>
      <c r="C172" s="1887"/>
      <c r="D172" s="1887"/>
      <c r="E172" s="1887"/>
      <c r="F172" s="1887"/>
      <c r="G172" s="1887"/>
      <c r="H172" s="1887"/>
      <c r="I172" s="1887"/>
      <c r="J172" s="1887"/>
      <c r="K172" s="1887"/>
      <c r="L172" s="1887"/>
      <c r="M172" s="1887"/>
      <c r="N172" s="1887"/>
      <c r="O172" s="1887"/>
      <c r="P172" s="1887"/>
      <c r="Q172" s="1887"/>
      <c r="R172" s="1887"/>
      <c r="S172" s="1887"/>
      <c r="T172" s="1887"/>
      <c r="U172" s="1887"/>
      <c r="V172" s="1887"/>
      <c r="W172" s="1887"/>
      <c r="X172" s="1887"/>
      <c r="Y172" s="1887"/>
      <c r="Z172" s="1887"/>
      <c r="AA172" s="1887"/>
      <c r="AB172" s="1887"/>
      <c r="AC172" s="1887"/>
    </row>
    <row r="173">
      <c r="A173" s="1887"/>
      <c r="B173" s="1887"/>
      <c r="C173" s="1887"/>
      <c r="D173" s="1887"/>
      <c r="E173" s="1887"/>
      <c r="F173" s="1887"/>
      <c r="G173" s="1887"/>
      <c r="H173" s="1887"/>
      <c r="I173" s="1887"/>
      <c r="J173" s="1887"/>
      <c r="K173" s="1887"/>
      <c r="L173" s="1887"/>
      <c r="M173" s="1887"/>
      <c r="N173" s="1887"/>
      <c r="O173" s="1887"/>
      <c r="P173" s="1887"/>
      <c r="Q173" s="1887"/>
      <c r="R173" s="1887"/>
      <c r="S173" s="1887"/>
      <c r="T173" s="1887"/>
      <c r="U173" s="1887"/>
      <c r="V173" s="1887"/>
      <c r="W173" s="1887"/>
      <c r="X173" s="1887"/>
      <c r="Y173" s="1887"/>
      <c r="Z173" s="1887"/>
      <c r="AA173" s="1887"/>
      <c r="AB173" s="1887"/>
      <c r="AC173" s="1887"/>
    </row>
    <row r="174">
      <c r="A174" s="1887"/>
      <c r="B174" s="1887"/>
      <c r="C174" s="1887"/>
      <c r="D174" s="1887"/>
      <c r="E174" s="1887"/>
      <c r="F174" s="1887"/>
      <c r="G174" s="1887"/>
      <c r="H174" s="1887"/>
      <c r="I174" s="1887"/>
      <c r="J174" s="1887"/>
      <c r="K174" s="1887"/>
      <c r="L174" s="1887"/>
      <c r="M174" s="1887"/>
      <c r="N174" s="1887"/>
      <c r="O174" s="1887"/>
      <c r="P174" s="1887"/>
      <c r="Q174" s="1887"/>
      <c r="R174" s="1887"/>
      <c r="S174" s="1887"/>
      <c r="T174" s="1887"/>
      <c r="U174" s="1887"/>
      <c r="V174" s="1887"/>
      <c r="W174" s="1887"/>
      <c r="X174" s="1887"/>
      <c r="Y174" s="1887"/>
      <c r="Z174" s="1887"/>
      <c r="AA174" s="1887"/>
      <c r="AB174" s="1887"/>
      <c r="AC174" s="1887"/>
    </row>
    <row r="175">
      <c r="A175" s="1887"/>
      <c r="B175" s="1887"/>
      <c r="C175" s="1887"/>
      <c r="D175" s="1887"/>
      <c r="E175" s="1887"/>
      <c r="F175" s="1887"/>
      <c r="G175" s="1887"/>
      <c r="H175" s="1887"/>
      <c r="I175" s="1887"/>
      <c r="J175" s="1887"/>
      <c r="K175" s="1887"/>
      <c r="L175" s="1887"/>
      <c r="M175" s="1887"/>
      <c r="N175" s="1887"/>
      <c r="O175" s="1887"/>
      <c r="P175" s="1887"/>
      <c r="Q175" s="1887"/>
      <c r="R175" s="1887"/>
      <c r="S175" s="1887"/>
      <c r="T175" s="1887"/>
      <c r="U175" s="1887"/>
      <c r="V175" s="1887"/>
      <c r="W175" s="1887"/>
      <c r="X175" s="1887"/>
      <c r="Y175" s="1887"/>
      <c r="Z175" s="1887"/>
      <c r="AA175" s="1887"/>
      <c r="AB175" s="1887"/>
      <c r="AC175" s="1887"/>
    </row>
    <row r="176">
      <c r="A176" s="1887"/>
      <c r="B176" s="1887"/>
      <c r="C176" s="1887"/>
      <c r="D176" s="1887"/>
      <c r="E176" s="1887"/>
      <c r="F176" s="1887"/>
      <c r="G176" s="1887"/>
      <c r="H176" s="1887"/>
      <c r="I176" s="1887"/>
      <c r="J176" s="1887"/>
      <c r="K176" s="1887"/>
      <c r="L176" s="1887"/>
      <c r="M176" s="1887"/>
      <c r="N176" s="1887"/>
      <c r="O176" s="1887"/>
      <c r="P176" s="1887"/>
      <c r="Q176" s="1887"/>
      <c r="R176" s="1887"/>
      <c r="S176" s="1887"/>
      <c r="T176" s="1887"/>
      <c r="U176" s="1887"/>
      <c r="V176" s="1887"/>
      <c r="W176" s="1887"/>
      <c r="X176" s="1887"/>
      <c r="Y176" s="1887"/>
      <c r="Z176" s="1887"/>
      <c r="AA176" s="1887"/>
      <c r="AB176" s="1887"/>
      <c r="AC176" s="1887"/>
    </row>
    <row r="177">
      <c r="A177" s="1887"/>
      <c r="B177" s="1887"/>
      <c r="C177" s="1887"/>
      <c r="D177" s="1887"/>
      <c r="E177" s="1887"/>
      <c r="F177" s="1887"/>
      <c r="G177" s="1887"/>
      <c r="H177" s="1887"/>
      <c r="I177" s="1887"/>
      <c r="J177" s="1887"/>
      <c r="K177" s="1887"/>
      <c r="L177" s="1887"/>
      <c r="M177" s="1887"/>
      <c r="N177" s="1887"/>
      <c r="O177" s="1887"/>
      <c r="P177" s="1887"/>
      <c r="Q177" s="1887"/>
      <c r="R177" s="1887"/>
      <c r="S177" s="1887"/>
      <c r="T177" s="1887"/>
      <c r="U177" s="1887"/>
      <c r="V177" s="1887"/>
      <c r="W177" s="1887"/>
      <c r="X177" s="1887"/>
      <c r="Y177" s="1887"/>
      <c r="Z177" s="1887"/>
      <c r="AA177" s="1887"/>
      <c r="AB177" s="1887"/>
      <c r="AC177" s="1887"/>
    </row>
    <row r="178">
      <c r="A178" s="1887"/>
      <c r="B178" s="1887"/>
      <c r="C178" s="1887"/>
      <c r="D178" s="1887"/>
      <c r="E178" s="1887"/>
      <c r="F178" s="1887"/>
      <c r="G178" s="1887"/>
      <c r="H178" s="1887"/>
      <c r="I178" s="1887"/>
      <c r="J178" s="1887"/>
      <c r="K178" s="1887"/>
      <c r="L178" s="1887"/>
      <c r="M178" s="1887"/>
      <c r="N178" s="1887"/>
      <c r="O178" s="1887"/>
      <c r="P178" s="1887"/>
      <c r="Q178" s="1887"/>
      <c r="R178" s="1887"/>
      <c r="S178" s="1887"/>
      <c r="T178" s="1887"/>
      <c r="U178" s="1887"/>
      <c r="V178" s="1887"/>
      <c r="W178" s="1887"/>
      <c r="X178" s="1887"/>
      <c r="Y178" s="1887"/>
      <c r="Z178" s="1887"/>
      <c r="AA178" s="1887"/>
      <c r="AB178" s="1887"/>
      <c r="AC178" s="1887"/>
    </row>
    <row r="179">
      <c r="A179" s="1887"/>
      <c r="B179" s="1887"/>
      <c r="C179" s="1887"/>
      <c r="D179" s="1887"/>
      <c r="E179" s="1887"/>
      <c r="F179" s="1887"/>
      <c r="G179" s="1887"/>
      <c r="H179" s="1887"/>
      <c r="I179" s="1887"/>
      <c r="J179" s="1887"/>
      <c r="K179" s="1887"/>
      <c r="L179" s="1887"/>
      <c r="M179" s="1887"/>
      <c r="N179" s="1887"/>
      <c r="O179" s="1887"/>
      <c r="P179" s="1887"/>
      <c r="Q179" s="1887"/>
      <c r="R179" s="1887"/>
      <c r="S179" s="1887"/>
      <c r="T179" s="1887"/>
      <c r="U179" s="1887"/>
      <c r="V179" s="1887"/>
      <c r="W179" s="1887"/>
      <c r="X179" s="1887"/>
      <c r="Y179" s="1887"/>
      <c r="Z179" s="1887"/>
      <c r="AA179" s="1887"/>
      <c r="AB179" s="1887"/>
      <c r="AC179" s="1887"/>
    </row>
    <row r="180">
      <c r="A180" s="1887"/>
      <c r="B180" s="1887"/>
      <c r="C180" s="1887"/>
      <c r="D180" s="1887"/>
      <c r="E180" s="1887"/>
      <c r="F180" s="1887"/>
      <c r="G180" s="1887"/>
      <c r="H180" s="1887"/>
      <c r="I180" s="1887"/>
      <c r="J180" s="1887"/>
      <c r="K180" s="1887"/>
      <c r="L180" s="1887"/>
      <c r="M180" s="1887"/>
      <c r="N180" s="1887"/>
      <c r="O180" s="1887"/>
      <c r="P180" s="1887"/>
      <c r="Q180" s="1887"/>
      <c r="R180" s="1887"/>
      <c r="S180" s="1887"/>
      <c r="T180" s="1887"/>
      <c r="U180" s="1887"/>
      <c r="V180" s="1887"/>
      <c r="W180" s="1887"/>
      <c r="X180" s="1887"/>
      <c r="Y180" s="1887"/>
      <c r="Z180" s="1887"/>
      <c r="AA180" s="1887"/>
      <c r="AB180" s="1887"/>
      <c r="AC180" s="1887"/>
    </row>
    <row r="181">
      <c r="A181" s="1887"/>
      <c r="B181" s="1887"/>
      <c r="C181" s="1887"/>
      <c r="D181" s="1887"/>
      <c r="E181" s="1887"/>
      <c r="F181" s="1887"/>
      <c r="G181" s="1887"/>
      <c r="H181" s="1887"/>
      <c r="I181" s="1887"/>
      <c r="J181" s="1887"/>
      <c r="K181" s="1887"/>
      <c r="L181" s="1887"/>
      <c r="M181" s="1887"/>
      <c r="N181" s="1887"/>
      <c r="O181" s="1887"/>
      <c r="P181" s="1887"/>
      <c r="Q181" s="1887"/>
      <c r="R181" s="1887"/>
      <c r="S181" s="1887"/>
      <c r="T181" s="1887"/>
      <c r="U181" s="1887"/>
      <c r="V181" s="1887"/>
      <c r="W181" s="1887"/>
      <c r="X181" s="1887"/>
      <c r="Y181" s="1887"/>
      <c r="Z181" s="1887"/>
      <c r="AA181" s="1887"/>
      <c r="AB181" s="1887"/>
      <c r="AC181" s="1887"/>
    </row>
    <row r="182">
      <c r="A182" s="1887"/>
      <c r="B182" s="1887"/>
      <c r="C182" s="1887"/>
      <c r="D182" s="1887"/>
      <c r="E182" s="1887"/>
      <c r="F182" s="1887"/>
      <c r="G182" s="1887"/>
      <c r="H182" s="1887"/>
      <c r="I182" s="1887"/>
      <c r="J182" s="1887"/>
      <c r="K182" s="1887"/>
      <c r="L182" s="1887"/>
      <c r="M182" s="1887"/>
      <c r="N182" s="1887"/>
      <c r="O182" s="1887"/>
      <c r="P182" s="1887"/>
      <c r="Q182" s="1887"/>
      <c r="R182" s="1887"/>
      <c r="S182" s="1887"/>
      <c r="T182" s="1887"/>
      <c r="U182" s="1887"/>
      <c r="V182" s="1887"/>
      <c r="W182" s="1887"/>
      <c r="X182" s="1887"/>
      <c r="Y182" s="1887"/>
      <c r="Z182" s="1887"/>
      <c r="AA182" s="1887"/>
      <c r="AB182" s="1887"/>
      <c r="AC182" s="1887"/>
    </row>
    <row r="183">
      <c r="A183" s="1887"/>
      <c r="B183" s="1887"/>
      <c r="C183" s="1887"/>
      <c r="D183" s="1887"/>
      <c r="E183" s="1887"/>
      <c r="F183" s="1887"/>
      <c r="G183" s="1887"/>
      <c r="H183" s="1887"/>
      <c r="I183" s="1887"/>
      <c r="J183" s="1887"/>
      <c r="K183" s="1887"/>
      <c r="L183" s="1887"/>
      <c r="M183" s="1887"/>
      <c r="N183" s="1887"/>
      <c r="O183" s="1887"/>
      <c r="P183" s="1887"/>
      <c r="Q183" s="1887"/>
      <c r="R183" s="1887"/>
      <c r="S183" s="1887"/>
      <c r="T183" s="1887"/>
      <c r="U183" s="1887"/>
      <c r="V183" s="1887"/>
      <c r="W183" s="1887"/>
      <c r="X183" s="1887"/>
      <c r="Y183" s="1887"/>
      <c r="Z183" s="1887"/>
      <c r="AA183" s="1887"/>
      <c r="AB183" s="1887"/>
      <c r="AC183" s="1887"/>
    </row>
    <row r="184">
      <c r="A184" s="1887"/>
      <c r="B184" s="1887"/>
      <c r="C184" s="1887"/>
      <c r="D184" s="1887"/>
      <c r="E184" s="1887"/>
      <c r="F184" s="1887"/>
      <c r="G184" s="1887"/>
      <c r="H184" s="1887"/>
      <c r="I184" s="1887"/>
      <c r="J184" s="1887"/>
      <c r="K184" s="1887"/>
      <c r="L184" s="1887"/>
      <c r="M184" s="1887"/>
      <c r="N184" s="1887"/>
      <c r="O184" s="1887"/>
      <c r="P184" s="1887"/>
      <c r="Q184" s="1887"/>
      <c r="R184" s="1887"/>
      <c r="S184" s="1887"/>
      <c r="T184" s="1887"/>
      <c r="U184" s="1887"/>
      <c r="V184" s="1887"/>
      <c r="W184" s="1887"/>
      <c r="X184" s="1887"/>
      <c r="Y184" s="1887"/>
      <c r="Z184" s="1887"/>
      <c r="AA184" s="1887"/>
      <c r="AB184" s="1887"/>
      <c r="AC184" s="1887"/>
    </row>
    <row r="185">
      <c r="A185" s="1887"/>
      <c r="B185" s="1887"/>
      <c r="C185" s="1887"/>
      <c r="D185" s="1887"/>
      <c r="E185" s="1887"/>
      <c r="F185" s="1887"/>
      <c r="G185" s="1887"/>
      <c r="H185" s="1887"/>
      <c r="I185" s="1887"/>
      <c r="J185" s="1887"/>
      <c r="K185" s="1887"/>
      <c r="L185" s="1887"/>
      <c r="M185" s="1887"/>
      <c r="N185" s="1887"/>
      <c r="O185" s="1887"/>
      <c r="P185" s="1887"/>
      <c r="Q185" s="1887"/>
      <c r="R185" s="1887"/>
      <c r="S185" s="1887"/>
      <c r="T185" s="1887"/>
      <c r="U185" s="1887"/>
      <c r="V185" s="1887"/>
      <c r="W185" s="1887"/>
      <c r="X185" s="1887"/>
      <c r="Y185" s="1887"/>
      <c r="Z185" s="1887"/>
      <c r="AA185" s="1887"/>
      <c r="AB185" s="1887"/>
      <c r="AC185" s="1887"/>
    </row>
    <row r="186">
      <c r="A186" s="1887"/>
      <c r="B186" s="1887"/>
      <c r="C186" s="1887"/>
      <c r="D186" s="1887"/>
      <c r="E186" s="1887"/>
      <c r="F186" s="1887"/>
      <c r="G186" s="1887"/>
      <c r="H186" s="1887"/>
      <c r="I186" s="1887"/>
      <c r="J186" s="1887"/>
      <c r="K186" s="1887"/>
      <c r="L186" s="1887"/>
      <c r="M186" s="1887"/>
      <c r="N186" s="1887"/>
      <c r="O186" s="1887"/>
      <c r="P186" s="1887"/>
      <c r="Q186" s="1887"/>
      <c r="R186" s="1887"/>
      <c r="S186" s="1887"/>
      <c r="T186" s="1887"/>
      <c r="U186" s="1887"/>
      <c r="V186" s="1887"/>
      <c r="W186" s="1887"/>
      <c r="X186" s="1887"/>
      <c r="Y186" s="1887"/>
      <c r="Z186" s="1887"/>
      <c r="AA186" s="1887"/>
      <c r="AB186" s="1887"/>
      <c r="AC186" s="1887"/>
    </row>
    <row r="187">
      <c r="A187" s="1887"/>
      <c r="B187" s="1887"/>
      <c r="C187" s="1887"/>
      <c r="D187" s="1887"/>
      <c r="E187" s="1887"/>
      <c r="F187" s="1887"/>
      <c r="G187" s="1887"/>
      <c r="H187" s="1887"/>
      <c r="I187" s="1887"/>
      <c r="J187" s="1887"/>
      <c r="K187" s="1887"/>
      <c r="L187" s="1887"/>
      <c r="M187" s="1887"/>
      <c r="N187" s="1887"/>
      <c r="O187" s="1887"/>
      <c r="P187" s="1887"/>
      <c r="Q187" s="1887"/>
      <c r="R187" s="1887"/>
      <c r="S187" s="1887"/>
      <c r="T187" s="1887"/>
      <c r="U187" s="1887"/>
      <c r="V187" s="1887"/>
      <c r="W187" s="1887"/>
      <c r="X187" s="1887"/>
      <c r="Y187" s="1887"/>
      <c r="Z187" s="1887"/>
      <c r="AA187" s="1887"/>
      <c r="AB187" s="1887"/>
      <c r="AC187" s="1887"/>
    </row>
    <row r="188">
      <c r="A188" s="1887"/>
      <c r="B188" s="1887"/>
      <c r="C188" s="1887"/>
      <c r="D188" s="1887"/>
      <c r="E188" s="1887"/>
      <c r="F188" s="1887"/>
      <c r="G188" s="1887"/>
      <c r="H188" s="1887"/>
      <c r="I188" s="1887"/>
      <c r="J188" s="1887"/>
      <c r="K188" s="1887"/>
      <c r="L188" s="1887"/>
      <c r="M188" s="1887"/>
      <c r="N188" s="1887"/>
      <c r="O188" s="1887"/>
      <c r="P188" s="1887"/>
      <c r="Q188" s="1887"/>
      <c r="R188" s="1887"/>
      <c r="S188" s="1887"/>
      <c r="T188" s="1887"/>
      <c r="U188" s="1887"/>
      <c r="V188" s="1887"/>
      <c r="W188" s="1887"/>
      <c r="X188" s="1887"/>
      <c r="Y188" s="1887"/>
      <c r="Z188" s="1887"/>
      <c r="AA188" s="1887"/>
      <c r="AB188" s="1887"/>
      <c r="AC188" s="1887"/>
    </row>
    <row r="189">
      <c r="A189" s="1887"/>
      <c r="B189" s="1887"/>
      <c r="C189" s="1887"/>
      <c r="D189" s="1887"/>
      <c r="E189" s="1887"/>
      <c r="F189" s="1887"/>
      <c r="G189" s="1887"/>
      <c r="H189" s="1887"/>
      <c r="I189" s="1887"/>
      <c r="J189" s="1887"/>
      <c r="K189" s="1887"/>
      <c r="L189" s="1887"/>
      <c r="M189" s="1887"/>
      <c r="N189" s="1887"/>
      <c r="O189" s="1887"/>
      <c r="P189" s="1887"/>
      <c r="Q189" s="1887"/>
      <c r="R189" s="1887"/>
      <c r="S189" s="1887"/>
      <c r="T189" s="1887"/>
      <c r="U189" s="1887"/>
      <c r="V189" s="1887"/>
      <c r="W189" s="1887"/>
      <c r="X189" s="1887"/>
      <c r="Y189" s="1887"/>
      <c r="Z189" s="1887"/>
      <c r="AA189" s="1887"/>
      <c r="AB189" s="1887"/>
      <c r="AC189" s="1887"/>
    </row>
    <row r="190">
      <c r="A190" s="1887"/>
      <c r="B190" s="1887"/>
      <c r="C190" s="1887"/>
      <c r="D190" s="1887"/>
      <c r="E190" s="1887"/>
      <c r="F190" s="1887"/>
      <c r="G190" s="1887"/>
      <c r="H190" s="1887"/>
      <c r="I190" s="1887"/>
      <c r="J190" s="1887"/>
      <c r="K190" s="1887"/>
      <c r="L190" s="1887"/>
      <c r="M190" s="1887"/>
      <c r="N190" s="1887"/>
      <c r="O190" s="1887"/>
      <c r="P190" s="1887"/>
      <c r="Q190" s="1887"/>
      <c r="R190" s="1887"/>
      <c r="S190" s="1887"/>
      <c r="T190" s="1887"/>
      <c r="U190" s="1887"/>
      <c r="V190" s="1887"/>
      <c r="W190" s="1887"/>
      <c r="X190" s="1887"/>
      <c r="Y190" s="1887"/>
      <c r="Z190" s="1887"/>
      <c r="AA190" s="1887"/>
      <c r="AB190" s="1887"/>
      <c r="AC190" s="1887"/>
    </row>
    <row r="191">
      <c r="A191" s="1887"/>
      <c r="B191" s="1887"/>
      <c r="C191" s="1887"/>
      <c r="D191" s="1887"/>
      <c r="E191" s="1887"/>
      <c r="F191" s="1887"/>
      <c r="G191" s="1887"/>
      <c r="H191" s="1887"/>
      <c r="I191" s="1887"/>
      <c r="J191" s="1887"/>
      <c r="K191" s="1887"/>
      <c r="L191" s="1887"/>
      <c r="M191" s="1887"/>
      <c r="N191" s="1887"/>
      <c r="O191" s="1887"/>
      <c r="P191" s="1887"/>
      <c r="Q191" s="1887"/>
      <c r="R191" s="1887"/>
      <c r="S191" s="1887"/>
      <c r="T191" s="1887"/>
      <c r="U191" s="1887"/>
      <c r="V191" s="1887"/>
      <c r="W191" s="1887"/>
      <c r="X191" s="1887"/>
      <c r="Y191" s="1887"/>
      <c r="Z191" s="1887"/>
      <c r="AA191" s="1887"/>
      <c r="AB191" s="1887"/>
      <c r="AC191" s="1887"/>
    </row>
    <row r="192">
      <c r="A192" s="1887"/>
      <c r="B192" s="1887"/>
      <c r="C192" s="1887"/>
      <c r="D192" s="1887"/>
      <c r="E192" s="1887"/>
      <c r="F192" s="1887"/>
      <c r="G192" s="1887"/>
      <c r="H192" s="1887"/>
      <c r="I192" s="1887"/>
      <c r="J192" s="1887"/>
      <c r="K192" s="1887"/>
      <c r="L192" s="1887"/>
      <c r="M192" s="1887"/>
      <c r="N192" s="1887"/>
      <c r="O192" s="1887"/>
      <c r="P192" s="1887"/>
      <c r="Q192" s="1887"/>
      <c r="R192" s="1887"/>
      <c r="S192" s="1887"/>
      <c r="T192" s="1887"/>
      <c r="U192" s="1887"/>
      <c r="V192" s="1887"/>
      <c r="W192" s="1887"/>
      <c r="X192" s="1887"/>
      <c r="Y192" s="1887"/>
      <c r="Z192" s="1887"/>
      <c r="AA192" s="1887"/>
      <c r="AB192" s="1887"/>
      <c r="AC192" s="1887"/>
    </row>
    <row r="193">
      <c r="A193" s="1887"/>
      <c r="B193" s="1887"/>
      <c r="C193" s="1887"/>
      <c r="D193" s="1887"/>
      <c r="E193" s="1887"/>
      <c r="F193" s="1887"/>
      <c r="G193" s="1887"/>
      <c r="H193" s="1887"/>
      <c r="I193" s="1887"/>
      <c r="J193" s="1887"/>
      <c r="K193" s="1887"/>
      <c r="L193" s="1887"/>
      <c r="M193" s="1887"/>
      <c r="N193" s="1887"/>
      <c r="O193" s="1887"/>
      <c r="P193" s="1887"/>
      <c r="Q193" s="1887"/>
      <c r="R193" s="1887"/>
      <c r="S193" s="1887"/>
      <c r="T193" s="1887"/>
      <c r="U193" s="1887"/>
      <c r="V193" s="1887"/>
      <c r="W193" s="1887"/>
      <c r="X193" s="1887"/>
      <c r="Y193" s="1887"/>
      <c r="Z193" s="1887"/>
      <c r="AA193" s="1887"/>
      <c r="AB193" s="1887"/>
      <c r="AC193" s="1887"/>
    </row>
    <row r="194">
      <c r="A194" s="1887"/>
      <c r="B194" s="1887"/>
      <c r="C194" s="1887"/>
      <c r="D194" s="1887"/>
      <c r="E194" s="1887"/>
      <c r="F194" s="1887"/>
      <c r="G194" s="1887"/>
      <c r="H194" s="1887"/>
      <c r="I194" s="1887"/>
      <c r="J194" s="1887"/>
      <c r="K194" s="1887"/>
      <c r="L194" s="1887"/>
      <c r="M194" s="1887"/>
      <c r="N194" s="1887"/>
      <c r="O194" s="1887"/>
      <c r="P194" s="1887"/>
      <c r="Q194" s="1887"/>
      <c r="R194" s="1887"/>
      <c r="S194" s="1887"/>
      <c r="T194" s="1887"/>
      <c r="U194" s="1887"/>
      <c r="V194" s="1887"/>
      <c r="W194" s="1887"/>
      <c r="X194" s="1887"/>
      <c r="Y194" s="1887"/>
      <c r="Z194" s="1887"/>
      <c r="AA194" s="1887"/>
      <c r="AB194" s="1887"/>
      <c r="AC194" s="1887"/>
    </row>
    <row r="195">
      <c r="A195" s="1887"/>
      <c r="B195" s="1887"/>
      <c r="C195" s="1887"/>
      <c r="D195" s="1887"/>
      <c r="E195" s="1887"/>
      <c r="F195" s="1887"/>
      <c r="G195" s="1887"/>
      <c r="H195" s="1887"/>
      <c r="I195" s="1887"/>
      <c r="J195" s="1887"/>
      <c r="K195" s="1887"/>
      <c r="L195" s="1887"/>
      <c r="M195" s="1887"/>
      <c r="N195" s="1887"/>
      <c r="O195" s="1887"/>
      <c r="P195" s="1887"/>
      <c r="Q195" s="1887"/>
      <c r="R195" s="1887"/>
      <c r="S195" s="1887"/>
      <c r="T195" s="1887"/>
      <c r="U195" s="1887"/>
      <c r="V195" s="1887"/>
      <c r="W195" s="1887"/>
      <c r="X195" s="1887"/>
      <c r="Y195" s="1887"/>
      <c r="Z195" s="1887"/>
      <c r="AA195" s="1887"/>
      <c r="AB195" s="1887"/>
      <c r="AC195" s="1887"/>
    </row>
    <row r="196">
      <c r="A196" s="1887"/>
      <c r="B196" s="1887"/>
      <c r="C196" s="1887"/>
      <c r="D196" s="1887"/>
      <c r="E196" s="1887"/>
      <c r="F196" s="1887"/>
      <c r="G196" s="1887"/>
      <c r="H196" s="1887"/>
      <c r="I196" s="1887"/>
      <c r="J196" s="1887"/>
      <c r="K196" s="1887"/>
      <c r="L196" s="1887"/>
      <c r="M196" s="1887"/>
      <c r="N196" s="1887"/>
      <c r="O196" s="1887"/>
      <c r="P196" s="1887"/>
      <c r="Q196" s="1887"/>
      <c r="R196" s="1887"/>
      <c r="S196" s="1887"/>
      <c r="T196" s="1887"/>
      <c r="U196" s="1887"/>
      <c r="V196" s="1887"/>
      <c r="W196" s="1887"/>
      <c r="X196" s="1887"/>
      <c r="Y196" s="1887"/>
      <c r="Z196" s="1887"/>
      <c r="AA196" s="1887"/>
      <c r="AB196" s="1887"/>
      <c r="AC196" s="1887"/>
    </row>
    <row r="197">
      <c r="A197" s="1887"/>
      <c r="B197" s="1887"/>
      <c r="C197" s="1887"/>
      <c r="D197" s="1887"/>
      <c r="E197" s="1887"/>
      <c r="F197" s="1887"/>
      <c r="G197" s="1887"/>
      <c r="H197" s="1887"/>
      <c r="I197" s="1887"/>
      <c r="J197" s="1887"/>
      <c r="K197" s="1887"/>
      <c r="L197" s="1887"/>
      <c r="M197" s="1887"/>
      <c r="N197" s="1887"/>
      <c r="O197" s="1887"/>
      <c r="P197" s="1887"/>
      <c r="Q197" s="1887"/>
      <c r="R197" s="1887"/>
      <c r="S197" s="1887"/>
      <c r="T197" s="1887"/>
      <c r="U197" s="1887"/>
      <c r="V197" s="1887"/>
      <c r="W197" s="1887"/>
      <c r="X197" s="1887"/>
      <c r="Y197" s="1887"/>
      <c r="Z197" s="1887"/>
      <c r="AA197" s="1887"/>
      <c r="AB197" s="1887"/>
      <c r="AC197" s="1887"/>
    </row>
    <row r="198">
      <c r="A198" s="1887"/>
      <c r="B198" s="1887"/>
      <c r="C198" s="1887"/>
      <c r="D198" s="1887"/>
      <c r="E198" s="1887"/>
      <c r="F198" s="1887"/>
      <c r="G198" s="1887"/>
      <c r="H198" s="1887"/>
      <c r="I198" s="1887"/>
      <c r="J198" s="1887"/>
      <c r="K198" s="1887"/>
      <c r="L198" s="1887"/>
      <c r="M198" s="1887"/>
      <c r="N198" s="1887"/>
      <c r="O198" s="1887"/>
      <c r="P198" s="1887"/>
      <c r="Q198" s="1887"/>
      <c r="R198" s="1887"/>
      <c r="S198" s="1887"/>
      <c r="T198" s="1887"/>
      <c r="U198" s="1887"/>
      <c r="V198" s="1887"/>
      <c r="W198" s="1887"/>
      <c r="X198" s="1887"/>
      <c r="Y198" s="1887"/>
      <c r="Z198" s="1887"/>
      <c r="AA198" s="1887"/>
      <c r="AB198" s="1887"/>
      <c r="AC198" s="1887"/>
    </row>
    <row r="199">
      <c r="A199" s="1887"/>
      <c r="B199" s="1887"/>
      <c r="C199" s="1887"/>
      <c r="D199" s="1887"/>
      <c r="E199" s="1887"/>
      <c r="F199" s="1887"/>
      <c r="G199" s="1887"/>
      <c r="H199" s="1887"/>
      <c r="I199" s="1887"/>
      <c r="J199" s="1887"/>
      <c r="K199" s="1887"/>
      <c r="L199" s="1887"/>
      <c r="M199" s="1887"/>
      <c r="N199" s="1887"/>
      <c r="O199" s="1887"/>
      <c r="P199" s="1887"/>
      <c r="Q199" s="1887"/>
      <c r="R199" s="1887"/>
      <c r="S199" s="1887"/>
      <c r="T199" s="1887"/>
      <c r="U199" s="1887"/>
      <c r="V199" s="1887"/>
      <c r="W199" s="1887"/>
      <c r="X199" s="1887"/>
      <c r="Y199" s="1887"/>
      <c r="Z199" s="1887"/>
      <c r="AA199" s="1887"/>
      <c r="AB199" s="1887"/>
      <c r="AC199" s="1887"/>
    </row>
    <row r="200">
      <c r="A200" s="1887"/>
      <c r="B200" s="1887"/>
      <c r="C200" s="1887"/>
      <c r="D200" s="1887"/>
      <c r="E200" s="1887"/>
      <c r="F200" s="1887"/>
      <c r="G200" s="1887"/>
      <c r="H200" s="1887"/>
      <c r="I200" s="1887"/>
      <c r="J200" s="1887"/>
      <c r="K200" s="1887"/>
      <c r="L200" s="1887"/>
      <c r="M200" s="1887"/>
      <c r="N200" s="1887"/>
      <c r="O200" s="1887"/>
      <c r="P200" s="1887"/>
      <c r="Q200" s="1887"/>
      <c r="R200" s="1887"/>
      <c r="S200" s="1887"/>
      <c r="T200" s="1887"/>
      <c r="U200" s="1887"/>
      <c r="V200" s="1887"/>
      <c r="W200" s="1887"/>
      <c r="X200" s="1887"/>
      <c r="Y200" s="1887"/>
      <c r="Z200" s="1887"/>
      <c r="AA200" s="1887"/>
      <c r="AB200" s="1887"/>
      <c r="AC200" s="1887"/>
    </row>
    <row r="201">
      <c r="A201" s="1887"/>
      <c r="B201" s="1887"/>
      <c r="C201" s="1887"/>
      <c r="D201" s="1887"/>
      <c r="E201" s="1887"/>
      <c r="F201" s="1887"/>
      <c r="G201" s="1887"/>
      <c r="H201" s="1887"/>
      <c r="I201" s="1887"/>
      <c r="J201" s="1887"/>
      <c r="K201" s="1887"/>
      <c r="L201" s="1887"/>
      <c r="M201" s="1887"/>
      <c r="N201" s="1887"/>
      <c r="O201" s="1887"/>
      <c r="P201" s="1887"/>
      <c r="Q201" s="1887"/>
      <c r="R201" s="1887"/>
      <c r="S201" s="1887"/>
      <c r="T201" s="1887"/>
      <c r="U201" s="1887"/>
      <c r="V201" s="1887"/>
      <c r="W201" s="1887"/>
      <c r="X201" s="1887"/>
      <c r="Y201" s="1887"/>
      <c r="Z201" s="1887"/>
      <c r="AA201" s="1887"/>
      <c r="AB201" s="1887"/>
      <c r="AC201" s="1887"/>
    </row>
    <row r="202">
      <c r="A202" s="1887"/>
      <c r="B202" s="1887"/>
      <c r="C202" s="1887"/>
      <c r="D202" s="1887"/>
      <c r="E202" s="1887"/>
      <c r="F202" s="1887"/>
      <c r="G202" s="1887"/>
      <c r="H202" s="1887"/>
      <c r="I202" s="1887"/>
      <c r="J202" s="1887"/>
      <c r="K202" s="1887"/>
      <c r="L202" s="1887"/>
      <c r="M202" s="1887"/>
      <c r="N202" s="1887"/>
      <c r="O202" s="1887"/>
      <c r="P202" s="1887"/>
      <c r="Q202" s="1887"/>
      <c r="R202" s="1887"/>
      <c r="S202" s="1887"/>
      <c r="T202" s="1887"/>
      <c r="U202" s="1887"/>
      <c r="V202" s="1887"/>
      <c r="W202" s="1887"/>
      <c r="X202" s="1887"/>
      <c r="Y202" s="1887"/>
      <c r="Z202" s="1887"/>
      <c r="AA202" s="1887"/>
      <c r="AB202" s="1887"/>
      <c r="AC202" s="1887"/>
    </row>
    <row r="203">
      <c r="A203" s="1887"/>
      <c r="B203" s="1887"/>
      <c r="C203" s="1887"/>
      <c r="D203" s="1887"/>
      <c r="E203" s="1887"/>
      <c r="F203" s="1887"/>
      <c r="G203" s="1887"/>
      <c r="H203" s="1887"/>
      <c r="I203" s="1887"/>
      <c r="J203" s="1887"/>
      <c r="K203" s="1887"/>
      <c r="L203" s="1887"/>
      <c r="M203" s="1887"/>
      <c r="N203" s="1887"/>
      <c r="O203" s="1887"/>
      <c r="P203" s="1887"/>
      <c r="Q203" s="1887"/>
      <c r="R203" s="1887"/>
      <c r="S203" s="1887"/>
      <c r="T203" s="1887"/>
      <c r="U203" s="1887"/>
      <c r="V203" s="1887"/>
      <c r="W203" s="1887"/>
      <c r="X203" s="1887"/>
      <c r="Y203" s="1887"/>
      <c r="Z203" s="1887"/>
      <c r="AA203" s="1887"/>
      <c r="AB203" s="1887"/>
      <c r="AC203" s="1887"/>
    </row>
    <row r="204">
      <c r="A204" s="1887"/>
      <c r="B204" s="1887"/>
      <c r="C204" s="1887"/>
      <c r="D204" s="1887"/>
      <c r="E204" s="1887"/>
      <c r="F204" s="1887"/>
      <c r="G204" s="1887"/>
      <c r="H204" s="1887"/>
      <c r="I204" s="1887"/>
      <c r="J204" s="1887"/>
      <c r="K204" s="1887"/>
      <c r="L204" s="1887"/>
      <c r="M204" s="1887"/>
      <c r="N204" s="1887"/>
      <c r="O204" s="1887"/>
      <c r="P204" s="1887"/>
      <c r="Q204" s="1887"/>
      <c r="R204" s="1887"/>
      <c r="S204" s="1887"/>
      <c r="T204" s="1887"/>
      <c r="U204" s="1887"/>
      <c r="V204" s="1887"/>
      <c r="W204" s="1887"/>
      <c r="X204" s="1887"/>
      <c r="Y204" s="1887"/>
      <c r="Z204" s="1887"/>
      <c r="AA204" s="1887"/>
      <c r="AB204" s="1887"/>
      <c r="AC204" s="1887"/>
    </row>
    <row r="205">
      <c r="A205" s="1887"/>
      <c r="B205" s="1887"/>
      <c r="C205" s="1887"/>
      <c r="D205" s="1887"/>
      <c r="E205" s="1887"/>
      <c r="F205" s="1887"/>
      <c r="G205" s="1887"/>
      <c r="H205" s="1887"/>
      <c r="I205" s="1887"/>
      <c r="J205" s="1887"/>
      <c r="K205" s="1887"/>
      <c r="L205" s="1887"/>
      <c r="M205" s="1887"/>
      <c r="N205" s="1887"/>
      <c r="O205" s="1887"/>
      <c r="P205" s="1887"/>
      <c r="Q205" s="1887"/>
      <c r="R205" s="1887"/>
      <c r="S205" s="1887"/>
      <c r="T205" s="1887"/>
      <c r="U205" s="1887"/>
      <c r="V205" s="1887"/>
      <c r="W205" s="1887"/>
      <c r="X205" s="1887"/>
      <c r="Y205" s="1887"/>
      <c r="Z205" s="1887"/>
      <c r="AA205" s="1887"/>
      <c r="AB205" s="1887"/>
      <c r="AC205" s="1887"/>
    </row>
    <row r="206">
      <c r="A206" s="1887"/>
      <c r="B206" s="1887"/>
      <c r="C206" s="1887"/>
      <c r="D206" s="1887"/>
      <c r="E206" s="1887"/>
      <c r="F206" s="1887"/>
      <c r="G206" s="1887"/>
      <c r="H206" s="1887"/>
      <c r="I206" s="1887"/>
      <c r="J206" s="1887"/>
      <c r="K206" s="1887"/>
      <c r="L206" s="1887"/>
      <c r="M206" s="1887"/>
      <c r="N206" s="1887"/>
      <c r="O206" s="1887"/>
      <c r="P206" s="1887"/>
      <c r="Q206" s="1887"/>
      <c r="R206" s="1887"/>
      <c r="S206" s="1887"/>
      <c r="T206" s="1887"/>
      <c r="U206" s="1887"/>
      <c r="V206" s="1887"/>
      <c r="W206" s="1887"/>
      <c r="X206" s="1887"/>
      <c r="Y206" s="1887"/>
      <c r="Z206" s="1887"/>
      <c r="AA206" s="1887"/>
      <c r="AB206" s="1887"/>
      <c r="AC206" s="1887"/>
    </row>
    <row r="207">
      <c r="A207" s="1887"/>
      <c r="B207" s="1887"/>
      <c r="C207" s="1887"/>
      <c r="D207" s="1887"/>
      <c r="E207" s="1887"/>
      <c r="F207" s="1887"/>
      <c r="G207" s="1887"/>
      <c r="H207" s="1887"/>
      <c r="I207" s="1887"/>
      <c r="J207" s="1887"/>
      <c r="K207" s="1887"/>
      <c r="L207" s="1887"/>
      <c r="M207" s="1887"/>
      <c r="N207" s="1887"/>
      <c r="O207" s="1887"/>
      <c r="P207" s="1887"/>
      <c r="Q207" s="1887"/>
      <c r="R207" s="1887"/>
      <c r="S207" s="1887"/>
      <c r="T207" s="1887"/>
      <c r="U207" s="1887"/>
      <c r="V207" s="1887"/>
      <c r="W207" s="1887"/>
      <c r="X207" s="1887"/>
      <c r="Y207" s="1887"/>
      <c r="Z207" s="1887"/>
      <c r="AA207" s="1887"/>
      <c r="AB207" s="1887"/>
      <c r="AC207" s="1887"/>
    </row>
    <row r="208">
      <c r="A208" s="1887"/>
      <c r="B208" s="1887"/>
      <c r="C208" s="1887"/>
      <c r="D208" s="1887"/>
      <c r="E208" s="1887"/>
      <c r="F208" s="1887"/>
      <c r="G208" s="1887"/>
      <c r="H208" s="1887"/>
      <c r="I208" s="1887"/>
      <c r="J208" s="1887"/>
      <c r="K208" s="1887"/>
      <c r="L208" s="1887"/>
      <c r="M208" s="1887"/>
      <c r="N208" s="1887"/>
      <c r="O208" s="1887"/>
      <c r="P208" s="1887"/>
      <c r="Q208" s="1887"/>
      <c r="R208" s="1887"/>
      <c r="S208" s="1887"/>
      <c r="T208" s="1887"/>
      <c r="U208" s="1887"/>
      <c r="V208" s="1887"/>
      <c r="W208" s="1887"/>
      <c r="X208" s="1887"/>
      <c r="Y208" s="1887"/>
      <c r="Z208" s="1887"/>
      <c r="AA208" s="1887"/>
      <c r="AB208" s="1887"/>
      <c r="AC208" s="1887"/>
    </row>
    <row r="209">
      <c r="A209" s="1887"/>
      <c r="B209" s="1887"/>
      <c r="C209" s="1887"/>
      <c r="D209" s="1887"/>
      <c r="E209" s="1887"/>
      <c r="F209" s="1887"/>
      <c r="G209" s="1887"/>
      <c r="H209" s="1887"/>
      <c r="I209" s="1887"/>
      <c r="J209" s="1887"/>
      <c r="K209" s="1887"/>
      <c r="L209" s="1887"/>
      <c r="M209" s="1887"/>
      <c r="N209" s="1887"/>
      <c r="O209" s="1887"/>
      <c r="P209" s="1887"/>
      <c r="Q209" s="1887"/>
      <c r="R209" s="1887"/>
      <c r="S209" s="1887"/>
      <c r="T209" s="1887"/>
      <c r="U209" s="1887"/>
      <c r="V209" s="1887"/>
      <c r="W209" s="1887"/>
      <c r="X209" s="1887"/>
      <c r="Y209" s="1887"/>
      <c r="Z209" s="1887"/>
      <c r="AA209" s="1887"/>
      <c r="AB209" s="1887"/>
      <c r="AC209" s="1887"/>
    </row>
    <row r="210">
      <c r="A210" s="1887"/>
      <c r="B210" s="1887"/>
      <c r="C210" s="1887"/>
      <c r="D210" s="1887"/>
      <c r="E210" s="1887"/>
      <c r="F210" s="1887"/>
      <c r="G210" s="1887"/>
      <c r="H210" s="1887"/>
      <c r="I210" s="1887"/>
      <c r="J210" s="1887"/>
      <c r="K210" s="1887"/>
      <c r="L210" s="1887"/>
      <c r="M210" s="1887"/>
      <c r="N210" s="1887"/>
      <c r="O210" s="1887"/>
      <c r="P210" s="1887"/>
      <c r="Q210" s="1887"/>
      <c r="R210" s="1887"/>
      <c r="S210" s="1887"/>
      <c r="T210" s="1887"/>
      <c r="U210" s="1887"/>
      <c r="V210" s="1887"/>
      <c r="W210" s="1887"/>
      <c r="X210" s="1887"/>
      <c r="Y210" s="1887"/>
      <c r="Z210" s="1887"/>
      <c r="AA210" s="1887"/>
      <c r="AB210" s="1887"/>
      <c r="AC210" s="1887"/>
    </row>
    <row r="211">
      <c r="A211" s="1887"/>
      <c r="B211" s="1887"/>
      <c r="C211" s="1887"/>
      <c r="D211" s="1887"/>
      <c r="E211" s="1887"/>
      <c r="F211" s="1887"/>
      <c r="G211" s="1887"/>
      <c r="H211" s="1887"/>
      <c r="I211" s="1887"/>
      <c r="J211" s="1887"/>
      <c r="K211" s="1887"/>
      <c r="L211" s="1887"/>
      <c r="M211" s="1887"/>
      <c r="N211" s="1887"/>
      <c r="O211" s="1887"/>
      <c r="P211" s="1887"/>
      <c r="Q211" s="1887"/>
      <c r="R211" s="1887"/>
      <c r="S211" s="1887"/>
      <c r="T211" s="1887"/>
      <c r="U211" s="1887"/>
      <c r="V211" s="1887"/>
      <c r="W211" s="1887"/>
      <c r="X211" s="1887"/>
      <c r="Y211" s="1887"/>
      <c r="Z211" s="1887"/>
      <c r="AA211" s="1887"/>
      <c r="AB211" s="1887"/>
      <c r="AC211" s="1887"/>
    </row>
    <row r="212">
      <c r="A212" s="1887"/>
      <c r="B212" s="1887"/>
      <c r="C212" s="1887"/>
      <c r="D212" s="1887"/>
      <c r="E212" s="1887"/>
      <c r="F212" s="1887"/>
      <c r="G212" s="1887"/>
      <c r="H212" s="1887"/>
      <c r="I212" s="1887"/>
      <c r="J212" s="1887"/>
      <c r="K212" s="1887"/>
      <c r="L212" s="1887"/>
      <c r="M212" s="1887"/>
      <c r="N212" s="1887"/>
      <c r="O212" s="1887"/>
      <c r="P212" s="1887"/>
      <c r="Q212" s="1887"/>
      <c r="R212" s="1887"/>
      <c r="S212" s="1887"/>
      <c r="T212" s="1887"/>
      <c r="U212" s="1887"/>
      <c r="V212" s="1887"/>
      <c r="W212" s="1887"/>
      <c r="X212" s="1887"/>
      <c r="Y212" s="1887"/>
      <c r="Z212" s="1887"/>
      <c r="AA212" s="1887"/>
      <c r="AB212" s="1887"/>
      <c r="AC212" s="1887"/>
    </row>
    <row r="213">
      <c r="A213" s="1887"/>
      <c r="B213" s="1887"/>
      <c r="C213" s="1887"/>
      <c r="D213" s="1887"/>
      <c r="E213" s="1887"/>
      <c r="F213" s="1887"/>
      <c r="G213" s="1887"/>
      <c r="H213" s="1887"/>
      <c r="I213" s="1887"/>
      <c r="J213" s="1887"/>
      <c r="K213" s="1887"/>
      <c r="L213" s="1887"/>
      <c r="M213" s="1887"/>
      <c r="N213" s="1887"/>
      <c r="O213" s="1887"/>
      <c r="P213" s="1887"/>
      <c r="Q213" s="1887"/>
      <c r="R213" s="1887"/>
      <c r="S213" s="1887"/>
      <c r="T213" s="1887"/>
      <c r="U213" s="1887"/>
      <c r="V213" s="1887"/>
      <c r="W213" s="1887"/>
      <c r="X213" s="1887"/>
      <c r="Y213" s="1887"/>
      <c r="Z213" s="1887"/>
      <c r="AA213" s="1887"/>
      <c r="AB213" s="1887"/>
      <c r="AC213" s="1887"/>
    </row>
    <row r="214">
      <c r="A214" s="1887"/>
      <c r="B214" s="1887"/>
      <c r="C214" s="1887"/>
      <c r="D214" s="1887"/>
      <c r="E214" s="1887"/>
      <c r="F214" s="1887"/>
      <c r="G214" s="1887"/>
      <c r="H214" s="1887"/>
      <c r="I214" s="1887"/>
      <c r="J214" s="1887"/>
      <c r="K214" s="1887"/>
      <c r="L214" s="1887"/>
      <c r="M214" s="1887"/>
      <c r="N214" s="1887"/>
      <c r="O214" s="1887"/>
      <c r="P214" s="1887"/>
      <c r="Q214" s="1887"/>
      <c r="R214" s="1887"/>
      <c r="S214" s="1887"/>
      <c r="T214" s="1887"/>
      <c r="U214" s="1887"/>
      <c r="V214" s="1887"/>
      <c r="W214" s="1887"/>
      <c r="X214" s="1887"/>
      <c r="Y214" s="1887"/>
      <c r="Z214" s="1887"/>
      <c r="AA214" s="1887"/>
      <c r="AB214" s="1887"/>
      <c r="AC214" s="1887"/>
    </row>
    <row r="215">
      <c r="A215" s="1887"/>
      <c r="B215" s="1887"/>
      <c r="C215" s="1887"/>
      <c r="D215" s="1887"/>
      <c r="E215" s="1887"/>
      <c r="F215" s="1887"/>
      <c r="G215" s="1887"/>
      <c r="H215" s="1887"/>
      <c r="I215" s="1887"/>
      <c r="J215" s="1887"/>
      <c r="K215" s="1887"/>
      <c r="L215" s="1887"/>
      <c r="M215" s="1887"/>
      <c r="N215" s="1887"/>
      <c r="O215" s="1887"/>
      <c r="P215" s="1887"/>
      <c r="Q215" s="1887"/>
      <c r="R215" s="1887"/>
      <c r="S215" s="1887"/>
      <c r="T215" s="1887"/>
      <c r="U215" s="1887"/>
      <c r="V215" s="1887"/>
      <c r="W215" s="1887"/>
      <c r="X215" s="1887"/>
      <c r="Y215" s="1887"/>
      <c r="Z215" s="1887"/>
      <c r="AA215" s="1887"/>
      <c r="AB215" s="1887"/>
      <c r="AC215" s="1887"/>
    </row>
    <row r="216">
      <c r="A216" s="1887"/>
      <c r="B216" s="1887"/>
      <c r="C216" s="1887"/>
      <c r="D216" s="1887"/>
      <c r="E216" s="1887"/>
      <c r="F216" s="1887"/>
      <c r="G216" s="1887"/>
      <c r="H216" s="1887"/>
      <c r="I216" s="1887"/>
      <c r="J216" s="1887"/>
      <c r="K216" s="1887"/>
      <c r="L216" s="1887"/>
      <c r="M216" s="1887"/>
      <c r="N216" s="1887"/>
      <c r="O216" s="1887"/>
      <c r="P216" s="1887"/>
      <c r="Q216" s="1887"/>
      <c r="R216" s="1887"/>
      <c r="S216" s="1887"/>
      <c r="T216" s="1887"/>
      <c r="U216" s="1887"/>
      <c r="V216" s="1887"/>
      <c r="W216" s="1887"/>
      <c r="X216" s="1887"/>
      <c r="Y216" s="1887"/>
      <c r="Z216" s="1887"/>
      <c r="AA216" s="1887"/>
      <c r="AB216" s="1887"/>
      <c r="AC216" s="1887"/>
    </row>
    <row r="217">
      <c r="A217" s="1887"/>
      <c r="B217" s="1887"/>
      <c r="C217" s="1887"/>
      <c r="D217" s="1887"/>
      <c r="E217" s="1887"/>
      <c r="F217" s="1887"/>
      <c r="G217" s="1887"/>
      <c r="H217" s="1887"/>
      <c r="I217" s="1887"/>
      <c r="J217" s="1887"/>
      <c r="K217" s="1887"/>
      <c r="L217" s="1887"/>
      <c r="M217" s="1887"/>
      <c r="N217" s="1887"/>
      <c r="O217" s="1887"/>
      <c r="P217" s="1887"/>
      <c r="Q217" s="1887"/>
      <c r="R217" s="1887"/>
      <c r="S217" s="1887"/>
      <c r="T217" s="1887"/>
      <c r="U217" s="1887"/>
      <c r="V217" s="1887"/>
      <c r="W217" s="1887"/>
      <c r="X217" s="1887"/>
      <c r="Y217" s="1887"/>
      <c r="Z217" s="1887"/>
      <c r="AA217" s="1887"/>
      <c r="AB217" s="1887"/>
      <c r="AC217" s="1887"/>
    </row>
    <row r="218">
      <c r="A218" s="1887"/>
      <c r="B218" s="1887"/>
      <c r="C218" s="1887"/>
      <c r="D218" s="1887"/>
      <c r="E218" s="1887"/>
      <c r="F218" s="1887"/>
      <c r="G218" s="1887"/>
      <c r="H218" s="1887"/>
      <c r="I218" s="1887"/>
      <c r="J218" s="1887"/>
      <c r="K218" s="1887"/>
      <c r="L218" s="1887"/>
      <c r="M218" s="1887"/>
      <c r="N218" s="1887"/>
      <c r="O218" s="1887"/>
      <c r="P218" s="1887"/>
      <c r="Q218" s="1887"/>
      <c r="R218" s="1887"/>
      <c r="S218" s="1887"/>
      <c r="T218" s="1887"/>
      <c r="U218" s="1887"/>
      <c r="V218" s="1887"/>
      <c r="W218" s="1887"/>
      <c r="X218" s="1887"/>
      <c r="Y218" s="1887"/>
      <c r="Z218" s="1887"/>
      <c r="AA218" s="1887"/>
      <c r="AB218" s="1887"/>
      <c r="AC218" s="1887"/>
    </row>
    <row r="219">
      <c r="A219" s="1887"/>
      <c r="B219" s="1887"/>
      <c r="C219" s="1887"/>
      <c r="D219" s="1887"/>
      <c r="E219" s="1887"/>
      <c r="F219" s="1887"/>
      <c r="G219" s="1887"/>
      <c r="H219" s="1887"/>
      <c r="I219" s="1887"/>
      <c r="J219" s="1887"/>
      <c r="K219" s="1887"/>
      <c r="L219" s="1887"/>
      <c r="M219" s="1887"/>
      <c r="N219" s="1887"/>
      <c r="O219" s="1887"/>
      <c r="P219" s="1887"/>
      <c r="Q219" s="1887"/>
      <c r="R219" s="1887"/>
      <c r="S219" s="1887"/>
      <c r="T219" s="1887"/>
      <c r="U219" s="1887"/>
      <c r="V219" s="1887"/>
      <c r="W219" s="1887"/>
      <c r="X219" s="1887"/>
      <c r="Y219" s="1887"/>
      <c r="Z219" s="1887"/>
      <c r="AA219" s="1887"/>
      <c r="AB219" s="1887"/>
      <c r="AC219" s="1887"/>
    </row>
    <row r="220">
      <c r="A220" s="1887"/>
      <c r="B220" s="1887"/>
      <c r="C220" s="1887"/>
      <c r="D220" s="1887"/>
      <c r="E220" s="1887"/>
      <c r="F220" s="1887"/>
      <c r="G220" s="1887"/>
      <c r="H220" s="1887"/>
      <c r="I220" s="1887"/>
      <c r="J220" s="1887"/>
      <c r="K220" s="1887"/>
      <c r="L220" s="1887"/>
      <c r="M220" s="1887"/>
      <c r="N220" s="1887"/>
      <c r="O220" s="1887"/>
      <c r="P220" s="1887"/>
      <c r="Q220" s="1887"/>
      <c r="R220" s="1887"/>
      <c r="S220" s="1887"/>
      <c r="T220" s="1887"/>
      <c r="U220" s="1887"/>
      <c r="V220" s="1887"/>
      <c r="W220" s="1887"/>
      <c r="X220" s="1887"/>
      <c r="Y220" s="1887"/>
      <c r="Z220" s="1887"/>
      <c r="AA220" s="1887"/>
      <c r="AB220" s="1887"/>
      <c r="AC220" s="1887"/>
    </row>
    <row r="221">
      <c r="A221" s="1887"/>
      <c r="B221" s="1887"/>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row>
    <row r="222">
      <c r="A222" s="1887"/>
      <c r="B222" s="1887"/>
      <c r="C222" s="1887"/>
      <c r="D222" s="1887"/>
      <c r="E222" s="1887"/>
      <c r="F222" s="1887"/>
      <c r="G222" s="1887"/>
      <c r="H222" s="1887"/>
      <c r="I222" s="1887"/>
      <c r="J222" s="1887"/>
      <c r="K222" s="1887"/>
      <c r="L222" s="1887"/>
      <c r="M222" s="1887"/>
      <c r="N222" s="1887"/>
      <c r="O222" s="1887"/>
      <c r="P222" s="1887"/>
      <c r="Q222" s="1887"/>
      <c r="R222" s="1887"/>
      <c r="S222" s="1887"/>
      <c r="T222" s="1887"/>
      <c r="U222" s="1887"/>
      <c r="V222" s="1887"/>
      <c r="W222" s="1887"/>
      <c r="X222" s="1887"/>
      <c r="Y222" s="1887"/>
      <c r="Z222" s="1887"/>
      <c r="AA222" s="1887"/>
      <c r="AB222" s="1887"/>
      <c r="AC222" s="1887"/>
    </row>
    <row r="223">
      <c r="A223" s="1887"/>
      <c r="B223" s="1887"/>
      <c r="C223" s="1887"/>
      <c r="D223" s="1887"/>
      <c r="E223" s="1887"/>
      <c r="F223" s="1887"/>
      <c r="G223" s="1887"/>
      <c r="H223" s="1887"/>
      <c r="I223" s="1887"/>
      <c r="J223" s="1887"/>
      <c r="K223" s="1887"/>
      <c r="L223" s="1887"/>
      <c r="M223" s="1887"/>
      <c r="N223" s="1887"/>
      <c r="O223" s="1887"/>
      <c r="P223" s="1887"/>
      <c r="Q223" s="1887"/>
      <c r="R223" s="1887"/>
      <c r="S223" s="1887"/>
      <c r="T223" s="1887"/>
      <c r="U223" s="1887"/>
      <c r="V223" s="1887"/>
      <c r="W223" s="1887"/>
      <c r="X223" s="1887"/>
      <c r="Y223" s="1887"/>
      <c r="Z223" s="1887"/>
      <c r="AA223" s="1887"/>
      <c r="AB223" s="1887"/>
      <c r="AC223" s="1887"/>
    </row>
    <row r="224">
      <c r="A224" s="1887"/>
      <c r="B224" s="1887"/>
      <c r="C224" s="1887"/>
      <c r="D224" s="1887"/>
      <c r="E224" s="1887"/>
      <c r="F224" s="1887"/>
      <c r="G224" s="1887"/>
      <c r="H224" s="1887"/>
      <c r="I224" s="1887"/>
      <c r="J224" s="1887"/>
      <c r="K224" s="1887"/>
      <c r="L224" s="1887"/>
      <c r="M224" s="1887"/>
      <c r="N224" s="1887"/>
      <c r="O224" s="1887"/>
      <c r="P224" s="1887"/>
      <c r="Q224" s="1887"/>
      <c r="R224" s="1887"/>
      <c r="S224" s="1887"/>
      <c r="T224" s="1887"/>
      <c r="U224" s="1887"/>
      <c r="V224" s="1887"/>
      <c r="W224" s="1887"/>
      <c r="X224" s="1887"/>
      <c r="Y224" s="1887"/>
      <c r="Z224" s="1887"/>
      <c r="AA224" s="1887"/>
      <c r="AB224" s="1887"/>
      <c r="AC224" s="1887"/>
    </row>
    <row r="225">
      <c r="A225" s="1887"/>
      <c r="B225" s="1887"/>
      <c r="C225" s="1887"/>
      <c r="D225" s="1887"/>
      <c r="E225" s="1887"/>
      <c r="F225" s="1887"/>
      <c r="G225" s="1887"/>
      <c r="H225" s="1887"/>
      <c r="I225" s="1887"/>
      <c r="J225" s="1887"/>
      <c r="K225" s="1887"/>
      <c r="L225" s="1887"/>
      <c r="M225" s="1887"/>
      <c r="N225" s="1887"/>
      <c r="O225" s="1887"/>
      <c r="P225" s="1887"/>
      <c r="Q225" s="1887"/>
      <c r="R225" s="1887"/>
      <c r="S225" s="1887"/>
      <c r="T225" s="1887"/>
      <c r="U225" s="1887"/>
      <c r="V225" s="1887"/>
      <c r="W225" s="1887"/>
      <c r="X225" s="1887"/>
      <c r="Y225" s="1887"/>
      <c r="Z225" s="1887"/>
      <c r="AA225" s="1887"/>
      <c r="AB225" s="1887"/>
      <c r="AC225" s="1887"/>
    </row>
    <row r="226">
      <c r="A226" s="1887"/>
      <c r="B226" s="1887"/>
      <c r="C226" s="1887"/>
      <c r="D226" s="1887"/>
      <c r="E226" s="1887"/>
      <c r="F226" s="1887"/>
      <c r="G226" s="1887"/>
      <c r="H226" s="1887"/>
      <c r="I226" s="1887"/>
      <c r="J226" s="1887"/>
      <c r="K226" s="1887"/>
      <c r="L226" s="1887"/>
      <c r="M226" s="1887"/>
      <c r="N226" s="1887"/>
      <c r="O226" s="1887"/>
      <c r="P226" s="1887"/>
      <c r="Q226" s="1887"/>
      <c r="R226" s="1887"/>
      <c r="S226" s="1887"/>
      <c r="T226" s="1887"/>
      <c r="U226" s="1887"/>
      <c r="V226" s="1887"/>
      <c r="W226" s="1887"/>
      <c r="X226" s="1887"/>
      <c r="Y226" s="1887"/>
      <c r="Z226" s="1887"/>
      <c r="AA226" s="1887"/>
      <c r="AB226" s="1887"/>
      <c r="AC226" s="1887"/>
    </row>
    <row r="227">
      <c r="A227" s="1887"/>
      <c r="B227" s="1887"/>
      <c r="C227" s="1887"/>
      <c r="D227" s="1887"/>
      <c r="E227" s="1887"/>
      <c r="F227" s="1887"/>
      <c r="G227" s="1887"/>
      <c r="H227" s="1887"/>
      <c r="I227" s="1887"/>
      <c r="J227" s="1887"/>
      <c r="K227" s="1887"/>
      <c r="L227" s="1887"/>
      <c r="M227" s="1887"/>
      <c r="N227" s="1887"/>
      <c r="O227" s="1887"/>
      <c r="P227" s="1887"/>
      <c r="Q227" s="1887"/>
      <c r="R227" s="1887"/>
      <c r="S227" s="1887"/>
      <c r="T227" s="1887"/>
      <c r="U227" s="1887"/>
      <c r="V227" s="1887"/>
      <c r="W227" s="1887"/>
      <c r="X227" s="1887"/>
      <c r="Y227" s="1887"/>
      <c r="Z227" s="1887"/>
      <c r="AA227" s="1887"/>
      <c r="AB227" s="1887"/>
      <c r="AC227" s="1887"/>
    </row>
    <row r="228">
      <c r="A228" s="1887"/>
      <c r="B228" s="1887"/>
      <c r="C228" s="1887"/>
      <c r="D228" s="1887"/>
      <c r="E228" s="1887"/>
      <c r="F228" s="1887"/>
      <c r="G228" s="1887"/>
      <c r="H228" s="1887"/>
      <c r="I228" s="1887"/>
      <c r="J228" s="1887"/>
      <c r="K228" s="1887"/>
      <c r="L228" s="1887"/>
      <c r="M228" s="1887"/>
      <c r="N228" s="1887"/>
      <c r="O228" s="1887"/>
      <c r="P228" s="1887"/>
      <c r="Q228" s="1887"/>
      <c r="R228" s="1887"/>
      <c r="S228" s="1887"/>
      <c r="T228" s="1887"/>
      <c r="U228" s="1887"/>
      <c r="V228" s="1887"/>
      <c r="W228" s="1887"/>
      <c r="X228" s="1887"/>
      <c r="Y228" s="1887"/>
      <c r="Z228" s="1887"/>
      <c r="AA228" s="1887"/>
      <c r="AB228" s="1887"/>
      <c r="AC228" s="1887"/>
    </row>
    <row r="229">
      <c r="A229" s="1887"/>
      <c r="B229" s="1887"/>
      <c r="C229" s="1887"/>
      <c r="D229" s="1887"/>
      <c r="E229" s="1887"/>
      <c r="F229" s="1887"/>
      <c r="G229" s="1887"/>
      <c r="H229" s="1887"/>
      <c r="I229" s="1887"/>
      <c r="J229" s="1887"/>
      <c r="K229" s="1887"/>
      <c r="L229" s="1887"/>
      <c r="M229" s="1887"/>
      <c r="N229" s="1887"/>
      <c r="O229" s="1887"/>
      <c r="P229" s="1887"/>
      <c r="Q229" s="1887"/>
      <c r="R229" s="1887"/>
      <c r="S229" s="1887"/>
      <c r="T229" s="1887"/>
      <c r="U229" s="1887"/>
      <c r="V229" s="1887"/>
      <c r="W229" s="1887"/>
      <c r="X229" s="1887"/>
      <c r="Y229" s="1887"/>
      <c r="Z229" s="1887"/>
      <c r="AA229" s="1887"/>
      <c r="AB229" s="1887"/>
      <c r="AC229" s="1887"/>
    </row>
    <row r="230">
      <c r="A230" s="1887"/>
      <c r="B230" s="1887"/>
      <c r="C230" s="1887"/>
      <c r="D230" s="1887"/>
      <c r="E230" s="1887"/>
      <c r="F230" s="1887"/>
      <c r="G230" s="1887"/>
      <c r="H230" s="1887"/>
      <c r="I230" s="1887"/>
      <c r="J230" s="1887"/>
      <c r="K230" s="1887"/>
      <c r="L230" s="1887"/>
      <c r="M230" s="1887"/>
      <c r="N230" s="1887"/>
      <c r="O230" s="1887"/>
      <c r="P230" s="1887"/>
      <c r="Q230" s="1887"/>
      <c r="R230" s="1887"/>
      <c r="S230" s="1887"/>
      <c r="T230" s="1887"/>
      <c r="U230" s="1887"/>
      <c r="V230" s="1887"/>
      <c r="W230" s="1887"/>
      <c r="X230" s="1887"/>
      <c r="Y230" s="1887"/>
      <c r="Z230" s="1887"/>
      <c r="AA230" s="1887"/>
      <c r="AB230" s="1887"/>
      <c r="AC230" s="1887"/>
    </row>
    <row r="231">
      <c r="A231" s="1887"/>
      <c r="B231" s="1887"/>
      <c r="C231" s="1887"/>
      <c r="D231" s="1887"/>
      <c r="E231" s="1887"/>
      <c r="F231" s="1887"/>
      <c r="G231" s="1887"/>
      <c r="H231" s="1887"/>
      <c r="I231" s="1887"/>
      <c r="J231" s="1887"/>
      <c r="K231" s="1887"/>
      <c r="L231" s="1887"/>
      <c r="M231" s="1887"/>
      <c r="N231" s="1887"/>
      <c r="O231" s="1887"/>
      <c r="P231" s="1887"/>
      <c r="Q231" s="1887"/>
      <c r="R231" s="1887"/>
      <c r="S231" s="1887"/>
      <c r="T231" s="1887"/>
      <c r="U231" s="1887"/>
      <c r="V231" s="1887"/>
      <c r="W231" s="1887"/>
      <c r="X231" s="1887"/>
      <c r="Y231" s="1887"/>
      <c r="Z231" s="1887"/>
      <c r="AA231" s="1887"/>
      <c r="AB231" s="1887"/>
      <c r="AC231" s="1887"/>
    </row>
    <row r="232">
      <c r="A232" s="1887"/>
      <c r="B232" s="1887"/>
      <c r="C232" s="1887"/>
      <c r="D232" s="1887"/>
      <c r="E232" s="1887"/>
      <c r="F232" s="1887"/>
      <c r="G232" s="1887"/>
      <c r="H232" s="1887"/>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row>
    <row r="233">
      <c r="A233" s="1887"/>
      <c r="B233" s="1887"/>
      <c r="C233" s="1887"/>
      <c r="D233" s="1887"/>
      <c r="E233" s="1887"/>
      <c r="F233" s="1887"/>
      <c r="G233" s="1887"/>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row>
    <row r="234">
      <c r="A234" s="1887"/>
      <c r="B234" s="1887"/>
      <c r="C234" s="1887"/>
      <c r="D234" s="1887"/>
      <c r="E234" s="1887"/>
      <c r="F234" s="1887"/>
      <c r="G234" s="1887"/>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row>
    <row r="235">
      <c r="A235" s="1887"/>
      <c r="B235" s="1887"/>
      <c r="C235" s="1887"/>
      <c r="D235" s="1887"/>
      <c r="E235" s="1887"/>
      <c r="F235" s="1887"/>
      <c r="G235" s="1887"/>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row>
    <row r="236">
      <c r="A236" s="1887"/>
      <c r="B236" s="1887"/>
      <c r="C236" s="1887"/>
      <c r="D236" s="1887"/>
      <c r="E236" s="1887"/>
      <c r="F236" s="1887"/>
      <c r="G236" s="1887"/>
      <c r="H236" s="1887"/>
      <c r="I236" s="1887"/>
      <c r="J236" s="1887"/>
      <c r="K236" s="1887"/>
      <c r="L236" s="1887"/>
      <c r="M236" s="1887"/>
      <c r="N236" s="1887"/>
      <c r="O236" s="1887"/>
      <c r="P236" s="1887"/>
      <c r="Q236" s="1887"/>
      <c r="R236" s="1887"/>
      <c r="S236" s="1887"/>
      <c r="T236" s="1887"/>
      <c r="U236" s="1887"/>
      <c r="V236" s="1887"/>
      <c r="W236" s="1887"/>
      <c r="X236" s="1887"/>
      <c r="Y236" s="1887"/>
      <c r="Z236" s="1887"/>
      <c r="AA236" s="1887"/>
      <c r="AB236" s="1887"/>
      <c r="AC236" s="1887"/>
    </row>
    <row r="237">
      <c r="A237" s="1887"/>
      <c r="B237" s="1887"/>
      <c r="C237" s="1887"/>
      <c r="D237" s="1887"/>
      <c r="E237" s="1887"/>
      <c r="F237" s="1887"/>
      <c r="G237" s="1887"/>
      <c r="H237" s="1887"/>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row>
    <row r="238">
      <c r="A238" s="1887"/>
      <c r="B238" s="1887"/>
      <c r="C238" s="1887"/>
      <c r="D238" s="1887"/>
      <c r="E238" s="1887"/>
      <c r="F238" s="1887"/>
      <c r="G238" s="1887"/>
      <c r="H238" s="1887"/>
      <c r="I238" s="1887"/>
      <c r="J238" s="1887"/>
      <c r="K238" s="1887"/>
      <c r="L238" s="1887"/>
      <c r="M238" s="1887"/>
      <c r="N238" s="1887"/>
      <c r="O238" s="1887"/>
      <c r="P238" s="1887"/>
      <c r="Q238" s="1887"/>
      <c r="R238" s="1887"/>
      <c r="S238" s="1887"/>
      <c r="T238" s="1887"/>
      <c r="U238" s="1887"/>
      <c r="V238" s="1887"/>
      <c r="W238" s="1887"/>
      <c r="X238" s="1887"/>
      <c r="Y238" s="1887"/>
      <c r="Z238" s="1887"/>
      <c r="AA238" s="1887"/>
      <c r="AB238" s="1887"/>
      <c r="AC238" s="1887"/>
    </row>
    <row r="239">
      <c r="A239" s="1887"/>
      <c r="B239" s="1887"/>
      <c r="C239" s="1887"/>
      <c r="D239" s="1887"/>
      <c r="E239" s="1887"/>
      <c r="F239" s="1887"/>
      <c r="G239" s="1887"/>
      <c r="H239" s="1887"/>
      <c r="I239" s="1887"/>
      <c r="J239" s="1887"/>
      <c r="K239" s="1887"/>
      <c r="L239" s="1887"/>
      <c r="M239" s="1887"/>
      <c r="N239" s="1887"/>
      <c r="O239" s="1887"/>
      <c r="P239" s="1887"/>
      <c r="Q239" s="1887"/>
      <c r="R239" s="1887"/>
      <c r="S239" s="1887"/>
      <c r="T239" s="1887"/>
      <c r="U239" s="1887"/>
      <c r="V239" s="1887"/>
      <c r="W239" s="1887"/>
      <c r="X239" s="1887"/>
      <c r="Y239" s="1887"/>
      <c r="Z239" s="1887"/>
      <c r="AA239" s="1887"/>
      <c r="AB239" s="1887"/>
      <c r="AC239" s="1887"/>
    </row>
    <row r="240">
      <c r="A240" s="1887"/>
      <c r="B240" s="1887"/>
      <c r="C240" s="1887"/>
      <c r="D240" s="1887"/>
      <c r="E240" s="1887"/>
      <c r="F240" s="1887"/>
      <c r="G240" s="1887"/>
      <c r="H240" s="1887"/>
      <c r="I240" s="1887"/>
      <c r="J240" s="1887"/>
      <c r="K240" s="1887"/>
      <c r="L240" s="1887"/>
      <c r="M240" s="1887"/>
      <c r="N240" s="1887"/>
      <c r="O240" s="1887"/>
      <c r="P240" s="1887"/>
      <c r="Q240" s="1887"/>
      <c r="R240" s="1887"/>
      <c r="S240" s="1887"/>
      <c r="T240" s="1887"/>
      <c r="U240" s="1887"/>
      <c r="V240" s="1887"/>
      <c r="W240" s="1887"/>
      <c r="X240" s="1887"/>
      <c r="Y240" s="1887"/>
      <c r="Z240" s="1887"/>
      <c r="AA240" s="1887"/>
      <c r="AB240" s="1887"/>
      <c r="AC240" s="1887"/>
    </row>
    <row r="241">
      <c r="A241" s="1887"/>
      <c r="B241" s="1887"/>
      <c r="C241" s="1887"/>
      <c r="D241" s="1887"/>
      <c r="E241" s="1887"/>
      <c r="F241" s="1887"/>
      <c r="G241" s="1887"/>
      <c r="H241" s="1887"/>
      <c r="I241" s="1887"/>
      <c r="J241" s="1887"/>
      <c r="K241" s="1887"/>
      <c r="L241" s="1887"/>
      <c r="M241" s="1887"/>
      <c r="N241" s="1887"/>
      <c r="O241" s="1887"/>
      <c r="P241" s="1887"/>
      <c r="Q241" s="1887"/>
      <c r="R241" s="1887"/>
      <c r="S241" s="1887"/>
      <c r="T241" s="1887"/>
      <c r="U241" s="1887"/>
      <c r="V241" s="1887"/>
      <c r="W241" s="1887"/>
      <c r="X241" s="1887"/>
      <c r="Y241" s="1887"/>
      <c r="Z241" s="1887"/>
      <c r="AA241" s="1887"/>
      <c r="AB241" s="1887"/>
      <c r="AC241" s="1887"/>
    </row>
    <row r="242">
      <c r="A242" s="1887"/>
      <c r="B242" s="1887"/>
      <c r="C242" s="1887"/>
      <c r="D242" s="1887"/>
      <c r="E242" s="1887"/>
      <c r="F242" s="1887"/>
      <c r="G242" s="1887"/>
      <c r="H242" s="1887"/>
      <c r="I242" s="1887"/>
      <c r="J242" s="1887"/>
      <c r="K242" s="1887"/>
      <c r="L242" s="1887"/>
      <c r="M242" s="1887"/>
      <c r="N242" s="1887"/>
      <c r="O242" s="1887"/>
      <c r="P242" s="1887"/>
      <c r="Q242" s="1887"/>
      <c r="R242" s="1887"/>
      <c r="S242" s="1887"/>
      <c r="T242" s="1887"/>
      <c r="U242" s="1887"/>
      <c r="V242" s="1887"/>
      <c r="W242" s="1887"/>
      <c r="X242" s="1887"/>
      <c r="Y242" s="1887"/>
      <c r="Z242" s="1887"/>
      <c r="AA242" s="1887"/>
      <c r="AB242" s="1887"/>
      <c r="AC242" s="1887"/>
    </row>
    <row r="243">
      <c r="A243" s="1887"/>
      <c r="B243" s="1887"/>
      <c r="C243" s="1887"/>
      <c r="D243" s="1887"/>
      <c r="E243" s="1887"/>
      <c r="F243" s="1887"/>
      <c r="G243" s="1887"/>
      <c r="H243" s="1887"/>
      <c r="I243" s="1887"/>
      <c r="J243" s="1887"/>
      <c r="K243" s="1887"/>
      <c r="L243" s="1887"/>
      <c r="M243" s="1887"/>
      <c r="N243" s="1887"/>
      <c r="O243" s="1887"/>
      <c r="P243" s="1887"/>
      <c r="Q243" s="1887"/>
      <c r="R243" s="1887"/>
      <c r="S243" s="1887"/>
      <c r="T243" s="1887"/>
      <c r="U243" s="1887"/>
      <c r="V243" s="1887"/>
      <c r="W243" s="1887"/>
      <c r="X243" s="1887"/>
      <c r="Y243" s="1887"/>
      <c r="Z243" s="1887"/>
      <c r="AA243" s="1887"/>
      <c r="AB243" s="1887"/>
      <c r="AC243" s="1887"/>
    </row>
    <row r="244">
      <c r="A244" s="1887"/>
      <c r="B244" s="1887"/>
      <c r="C244" s="1887"/>
      <c r="D244" s="1887"/>
      <c r="E244" s="1887"/>
      <c r="F244" s="1887"/>
      <c r="G244" s="1887"/>
      <c r="H244" s="1887"/>
      <c r="I244" s="1887"/>
      <c r="J244" s="1887"/>
      <c r="K244" s="1887"/>
      <c r="L244" s="1887"/>
      <c r="M244" s="1887"/>
      <c r="N244" s="1887"/>
      <c r="O244" s="1887"/>
      <c r="P244" s="1887"/>
      <c r="Q244" s="1887"/>
      <c r="R244" s="1887"/>
      <c r="S244" s="1887"/>
      <c r="T244" s="1887"/>
      <c r="U244" s="1887"/>
      <c r="V244" s="1887"/>
      <c r="W244" s="1887"/>
      <c r="X244" s="1887"/>
      <c r="Y244" s="1887"/>
      <c r="Z244" s="1887"/>
      <c r="AA244" s="1887"/>
      <c r="AB244" s="1887"/>
      <c r="AC244" s="1887"/>
    </row>
    <row r="245">
      <c r="A245" s="1887"/>
      <c r="B245" s="1887"/>
      <c r="C245" s="1887"/>
      <c r="D245" s="1887"/>
      <c r="E245" s="1887"/>
      <c r="F245" s="1887"/>
      <c r="G245" s="1887"/>
      <c r="H245" s="1887"/>
      <c r="I245" s="1887"/>
      <c r="J245" s="1887"/>
      <c r="K245" s="1887"/>
      <c r="L245" s="1887"/>
      <c r="M245" s="1887"/>
      <c r="N245" s="1887"/>
      <c r="O245" s="1887"/>
      <c r="P245" s="1887"/>
      <c r="Q245" s="1887"/>
      <c r="R245" s="1887"/>
      <c r="S245" s="1887"/>
      <c r="T245" s="1887"/>
      <c r="U245" s="1887"/>
      <c r="V245" s="1887"/>
      <c r="W245" s="1887"/>
      <c r="X245" s="1887"/>
      <c r="Y245" s="1887"/>
      <c r="Z245" s="1887"/>
      <c r="AA245" s="1887"/>
      <c r="AB245" s="1887"/>
      <c r="AC245" s="1887"/>
    </row>
    <row r="246">
      <c r="A246" s="1887"/>
      <c r="B246" s="1887"/>
      <c r="C246" s="1887"/>
      <c r="D246" s="1887"/>
      <c r="E246" s="1887"/>
      <c r="F246" s="1887"/>
      <c r="G246" s="1887"/>
      <c r="H246" s="1887"/>
      <c r="I246" s="1887"/>
      <c r="J246" s="1887"/>
      <c r="K246" s="1887"/>
      <c r="L246" s="1887"/>
      <c r="M246" s="1887"/>
      <c r="N246" s="1887"/>
      <c r="O246" s="1887"/>
      <c r="P246" s="1887"/>
      <c r="Q246" s="1887"/>
      <c r="R246" s="1887"/>
      <c r="S246" s="1887"/>
      <c r="T246" s="1887"/>
      <c r="U246" s="1887"/>
      <c r="V246" s="1887"/>
      <c r="W246" s="1887"/>
      <c r="X246" s="1887"/>
      <c r="Y246" s="1887"/>
      <c r="Z246" s="1887"/>
      <c r="AA246" s="1887"/>
      <c r="AB246" s="1887"/>
      <c r="AC246" s="1887"/>
    </row>
    <row r="247">
      <c r="A247" s="1887"/>
      <c r="B247" s="1887"/>
      <c r="C247" s="1887"/>
      <c r="D247" s="1887"/>
      <c r="E247" s="1887"/>
      <c r="F247" s="1887"/>
      <c r="G247" s="1887"/>
      <c r="H247" s="1887"/>
      <c r="I247" s="1887"/>
      <c r="J247" s="1887"/>
      <c r="K247" s="1887"/>
      <c r="L247" s="1887"/>
      <c r="M247" s="1887"/>
      <c r="N247" s="1887"/>
      <c r="O247" s="1887"/>
      <c r="P247" s="1887"/>
      <c r="Q247" s="1887"/>
      <c r="R247" s="1887"/>
      <c r="S247" s="1887"/>
      <c r="T247" s="1887"/>
      <c r="U247" s="1887"/>
      <c r="V247" s="1887"/>
      <c r="W247" s="1887"/>
      <c r="X247" s="1887"/>
      <c r="Y247" s="1887"/>
      <c r="Z247" s="1887"/>
      <c r="AA247" s="1887"/>
      <c r="AB247" s="1887"/>
      <c r="AC247" s="1887"/>
    </row>
    <row r="248">
      <c r="A248" s="1887"/>
      <c r="B248" s="1887"/>
      <c r="C248" s="1887"/>
      <c r="D248" s="1887"/>
      <c r="E248" s="1887"/>
      <c r="F248" s="1887"/>
      <c r="G248" s="1887"/>
      <c r="H248" s="1887"/>
      <c r="I248" s="1887"/>
      <c r="J248" s="1887"/>
      <c r="K248" s="1887"/>
      <c r="L248" s="1887"/>
      <c r="M248" s="1887"/>
      <c r="N248" s="1887"/>
      <c r="O248" s="1887"/>
      <c r="P248" s="1887"/>
      <c r="Q248" s="1887"/>
      <c r="R248" s="1887"/>
      <c r="S248" s="1887"/>
      <c r="T248" s="1887"/>
      <c r="U248" s="1887"/>
      <c r="V248" s="1887"/>
      <c r="W248" s="1887"/>
      <c r="X248" s="1887"/>
      <c r="Y248" s="1887"/>
      <c r="Z248" s="1887"/>
      <c r="AA248" s="1887"/>
      <c r="AB248" s="1887"/>
      <c r="AC248" s="1887"/>
    </row>
    <row r="249">
      <c r="A249" s="1887"/>
      <c r="B249" s="1887"/>
      <c r="C249" s="1887"/>
      <c r="D249" s="1887"/>
      <c r="E249" s="1887"/>
      <c r="F249" s="1887"/>
      <c r="G249" s="1887"/>
      <c r="H249" s="1887"/>
      <c r="I249" s="1887"/>
      <c r="J249" s="1887"/>
      <c r="K249" s="1887"/>
      <c r="L249" s="1887"/>
      <c r="M249" s="1887"/>
      <c r="N249" s="1887"/>
      <c r="O249" s="1887"/>
      <c r="P249" s="1887"/>
      <c r="Q249" s="1887"/>
      <c r="R249" s="1887"/>
      <c r="S249" s="1887"/>
      <c r="T249" s="1887"/>
      <c r="U249" s="1887"/>
      <c r="V249" s="1887"/>
      <c r="W249" s="1887"/>
      <c r="X249" s="1887"/>
      <c r="Y249" s="1887"/>
      <c r="Z249" s="1887"/>
      <c r="AA249" s="1887"/>
      <c r="AB249" s="1887"/>
      <c r="AC249" s="1887"/>
    </row>
    <row r="250">
      <c r="A250" s="1887"/>
      <c r="B250" s="1887"/>
      <c r="C250" s="1887"/>
      <c r="D250" s="1887"/>
      <c r="E250" s="1887"/>
      <c r="F250" s="1887"/>
      <c r="G250" s="1887"/>
      <c r="H250" s="1887"/>
      <c r="I250" s="1887"/>
      <c r="J250" s="1887"/>
      <c r="K250" s="1887"/>
      <c r="L250" s="1887"/>
      <c r="M250" s="1887"/>
      <c r="N250" s="1887"/>
      <c r="O250" s="1887"/>
      <c r="P250" s="1887"/>
      <c r="Q250" s="1887"/>
      <c r="R250" s="1887"/>
      <c r="S250" s="1887"/>
      <c r="T250" s="1887"/>
      <c r="U250" s="1887"/>
      <c r="V250" s="1887"/>
      <c r="W250" s="1887"/>
      <c r="X250" s="1887"/>
      <c r="Y250" s="1887"/>
      <c r="Z250" s="1887"/>
      <c r="AA250" s="1887"/>
      <c r="AB250" s="1887"/>
      <c r="AC250" s="1887"/>
    </row>
    <row r="251">
      <c r="A251" s="1887"/>
      <c r="B251" s="1887"/>
      <c r="C251" s="1887"/>
      <c r="D251" s="1887"/>
      <c r="E251" s="1887"/>
      <c r="F251" s="1887"/>
      <c r="G251" s="1887"/>
      <c r="H251" s="1887"/>
      <c r="I251" s="1887"/>
      <c r="J251" s="1887"/>
      <c r="K251" s="1887"/>
      <c r="L251" s="1887"/>
      <c r="M251" s="1887"/>
      <c r="N251" s="1887"/>
      <c r="O251" s="1887"/>
      <c r="P251" s="1887"/>
      <c r="Q251" s="1887"/>
      <c r="R251" s="1887"/>
      <c r="S251" s="1887"/>
      <c r="T251" s="1887"/>
      <c r="U251" s="1887"/>
      <c r="V251" s="1887"/>
      <c r="W251" s="1887"/>
      <c r="X251" s="1887"/>
      <c r="Y251" s="1887"/>
      <c r="Z251" s="1887"/>
      <c r="AA251" s="1887"/>
      <c r="AB251" s="1887"/>
      <c r="AC251" s="1887"/>
    </row>
    <row r="252">
      <c r="A252" s="1887"/>
      <c r="B252" s="1887"/>
      <c r="C252" s="1887"/>
      <c r="D252" s="1887"/>
      <c r="E252" s="1887"/>
      <c r="F252" s="1887"/>
      <c r="G252" s="1887"/>
      <c r="H252" s="1887"/>
      <c r="I252" s="1887"/>
      <c r="J252" s="1887"/>
      <c r="K252" s="1887"/>
      <c r="L252" s="1887"/>
      <c r="M252" s="1887"/>
      <c r="N252" s="1887"/>
      <c r="O252" s="1887"/>
      <c r="P252" s="1887"/>
      <c r="Q252" s="1887"/>
      <c r="R252" s="1887"/>
      <c r="S252" s="1887"/>
      <c r="T252" s="1887"/>
      <c r="U252" s="1887"/>
      <c r="V252" s="1887"/>
      <c r="W252" s="1887"/>
      <c r="X252" s="1887"/>
      <c r="Y252" s="1887"/>
      <c r="Z252" s="1887"/>
      <c r="AA252" s="1887"/>
      <c r="AB252" s="1887"/>
      <c r="AC252" s="1887"/>
    </row>
    <row r="253">
      <c r="A253" s="1887"/>
      <c r="B253" s="1887"/>
      <c r="C253" s="1887"/>
      <c r="D253" s="1887"/>
      <c r="E253" s="1887"/>
      <c r="F253" s="1887"/>
      <c r="G253" s="1887"/>
      <c r="H253" s="1887"/>
      <c r="I253" s="1887"/>
      <c r="J253" s="1887"/>
      <c r="K253" s="1887"/>
      <c r="L253" s="1887"/>
      <c r="M253" s="1887"/>
      <c r="N253" s="1887"/>
      <c r="O253" s="1887"/>
      <c r="P253" s="1887"/>
      <c r="Q253" s="1887"/>
      <c r="R253" s="1887"/>
      <c r="S253" s="1887"/>
      <c r="T253" s="1887"/>
      <c r="U253" s="1887"/>
      <c r="V253" s="1887"/>
      <c r="W253" s="1887"/>
      <c r="X253" s="1887"/>
      <c r="Y253" s="1887"/>
      <c r="Z253" s="1887"/>
      <c r="AA253" s="1887"/>
      <c r="AB253" s="1887"/>
      <c r="AC253" s="1887"/>
    </row>
    <row r="254">
      <c r="A254" s="1887"/>
      <c r="B254" s="1887"/>
      <c r="C254" s="1887"/>
      <c r="D254" s="1887"/>
      <c r="E254" s="1887"/>
      <c r="F254" s="1887"/>
      <c r="G254" s="1887"/>
      <c r="H254" s="1887"/>
      <c r="I254" s="1887"/>
      <c r="J254" s="1887"/>
      <c r="K254" s="1887"/>
      <c r="L254" s="1887"/>
      <c r="M254" s="1887"/>
      <c r="N254" s="1887"/>
      <c r="O254" s="1887"/>
      <c r="P254" s="1887"/>
      <c r="Q254" s="1887"/>
      <c r="R254" s="1887"/>
      <c r="S254" s="1887"/>
      <c r="T254" s="1887"/>
      <c r="U254" s="1887"/>
      <c r="V254" s="1887"/>
      <c r="W254" s="1887"/>
      <c r="X254" s="1887"/>
      <c r="Y254" s="1887"/>
      <c r="Z254" s="1887"/>
      <c r="AA254" s="1887"/>
      <c r="AB254" s="1887"/>
      <c r="AC254" s="1887"/>
    </row>
    <row r="255">
      <c r="A255" s="1887"/>
      <c r="B255" s="1887"/>
      <c r="C255" s="1887"/>
      <c r="D255" s="1887"/>
      <c r="E255" s="1887"/>
      <c r="F255" s="1887"/>
      <c r="G255" s="1887"/>
      <c r="H255" s="1887"/>
      <c r="I255" s="1887"/>
      <c r="J255" s="1887"/>
      <c r="K255" s="1887"/>
      <c r="L255" s="1887"/>
      <c r="M255" s="1887"/>
      <c r="N255" s="1887"/>
      <c r="O255" s="1887"/>
      <c r="P255" s="1887"/>
      <c r="Q255" s="1887"/>
      <c r="R255" s="1887"/>
      <c r="S255" s="1887"/>
      <c r="T255" s="1887"/>
      <c r="U255" s="1887"/>
      <c r="V255" s="1887"/>
      <c r="W255" s="1887"/>
      <c r="X255" s="1887"/>
      <c r="Y255" s="1887"/>
      <c r="Z255" s="1887"/>
      <c r="AA255" s="1887"/>
      <c r="AB255" s="1887"/>
      <c r="AC255" s="1887"/>
    </row>
    <row r="256">
      <c r="A256" s="1887"/>
      <c r="B256" s="1887"/>
      <c r="C256" s="1887"/>
      <c r="D256" s="1887"/>
      <c r="E256" s="1887"/>
      <c r="F256" s="1887"/>
      <c r="G256" s="1887"/>
      <c r="H256" s="1887"/>
      <c r="I256" s="1887"/>
      <c r="J256" s="1887"/>
      <c r="K256" s="1887"/>
      <c r="L256" s="1887"/>
      <c r="M256" s="1887"/>
      <c r="N256" s="1887"/>
      <c r="O256" s="1887"/>
      <c r="P256" s="1887"/>
      <c r="Q256" s="1887"/>
      <c r="R256" s="1887"/>
      <c r="S256" s="1887"/>
      <c r="T256" s="1887"/>
      <c r="U256" s="1887"/>
      <c r="V256" s="1887"/>
      <c r="W256" s="1887"/>
      <c r="X256" s="1887"/>
      <c r="Y256" s="1887"/>
      <c r="Z256" s="1887"/>
      <c r="AA256" s="1887"/>
      <c r="AB256" s="1887"/>
      <c r="AC256" s="1887"/>
    </row>
    <row r="257">
      <c r="A257" s="1887"/>
      <c r="B257" s="1887"/>
      <c r="C257" s="1887"/>
      <c r="D257" s="1887"/>
      <c r="E257" s="1887"/>
      <c r="F257" s="1887"/>
      <c r="G257" s="1887"/>
      <c r="H257" s="1887"/>
      <c r="I257" s="1887"/>
      <c r="J257" s="1887"/>
      <c r="K257" s="1887"/>
      <c r="L257" s="1887"/>
      <c r="M257" s="1887"/>
      <c r="N257" s="1887"/>
      <c r="O257" s="1887"/>
      <c r="P257" s="1887"/>
      <c r="Q257" s="1887"/>
      <c r="R257" s="1887"/>
      <c r="S257" s="1887"/>
      <c r="T257" s="1887"/>
      <c r="U257" s="1887"/>
      <c r="V257" s="1887"/>
      <c r="W257" s="1887"/>
      <c r="X257" s="1887"/>
      <c r="Y257" s="1887"/>
      <c r="Z257" s="1887"/>
      <c r="AA257" s="1887"/>
      <c r="AB257" s="1887"/>
      <c r="AC257" s="1887"/>
    </row>
    <row r="258">
      <c r="A258" s="1887"/>
      <c r="B258" s="1887"/>
      <c r="C258" s="1887"/>
      <c r="D258" s="1887"/>
      <c r="E258" s="1887"/>
      <c r="F258" s="1887"/>
      <c r="G258" s="1887"/>
      <c r="H258" s="1887"/>
      <c r="I258" s="1887"/>
      <c r="J258" s="1887"/>
      <c r="K258" s="1887"/>
      <c r="L258" s="1887"/>
      <c r="M258" s="1887"/>
      <c r="N258" s="1887"/>
      <c r="O258" s="1887"/>
      <c r="P258" s="1887"/>
      <c r="Q258" s="1887"/>
      <c r="R258" s="1887"/>
      <c r="S258" s="1887"/>
      <c r="T258" s="1887"/>
      <c r="U258" s="1887"/>
      <c r="V258" s="1887"/>
      <c r="W258" s="1887"/>
      <c r="X258" s="1887"/>
      <c r="Y258" s="1887"/>
      <c r="Z258" s="1887"/>
      <c r="AA258" s="1887"/>
      <c r="AB258" s="1887"/>
      <c r="AC258" s="1887"/>
    </row>
    <row r="259">
      <c r="A259" s="1887"/>
      <c r="B259" s="1887"/>
      <c r="C259" s="1887"/>
      <c r="D259" s="1887"/>
      <c r="E259" s="1887"/>
      <c r="F259" s="1887"/>
      <c r="G259" s="1887"/>
      <c r="H259" s="1887"/>
      <c r="I259" s="1887"/>
      <c r="J259" s="1887"/>
      <c r="K259" s="1887"/>
      <c r="L259" s="1887"/>
      <c r="M259" s="1887"/>
      <c r="N259" s="1887"/>
      <c r="O259" s="1887"/>
      <c r="P259" s="1887"/>
      <c r="Q259" s="1887"/>
      <c r="R259" s="1887"/>
      <c r="S259" s="1887"/>
      <c r="T259" s="1887"/>
      <c r="U259" s="1887"/>
      <c r="V259" s="1887"/>
      <c r="W259" s="1887"/>
      <c r="X259" s="1887"/>
      <c r="Y259" s="1887"/>
      <c r="Z259" s="1887"/>
      <c r="AA259" s="1887"/>
      <c r="AB259" s="1887"/>
      <c r="AC259" s="1887"/>
    </row>
    <row r="260">
      <c r="A260" s="1887"/>
      <c r="B260" s="1887"/>
      <c r="C260" s="1887"/>
      <c r="D260" s="1887"/>
      <c r="E260" s="1887"/>
      <c r="F260" s="1887"/>
      <c r="G260" s="1887"/>
      <c r="H260" s="1887"/>
      <c r="I260" s="1887"/>
      <c r="J260" s="1887"/>
      <c r="K260" s="1887"/>
      <c r="L260" s="1887"/>
      <c r="M260" s="1887"/>
      <c r="N260" s="1887"/>
      <c r="O260" s="1887"/>
      <c r="P260" s="1887"/>
      <c r="Q260" s="1887"/>
      <c r="R260" s="1887"/>
      <c r="S260" s="1887"/>
      <c r="T260" s="1887"/>
      <c r="U260" s="1887"/>
      <c r="V260" s="1887"/>
      <c r="W260" s="1887"/>
      <c r="X260" s="1887"/>
      <c r="Y260" s="1887"/>
      <c r="Z260" s="1887"/>
      <c r="AA260" s="1887"/>
      <c r="AB260" s="1887"/>
      <c r="AC260" s="1887"/>
    </row>
    <row r="261">
      <c r="A261" s="1887"/>
      <c r="B261" s="1887"/>
      <c r="C261" s="1887"/>
      <c r="D261" s="1887"/>
      <c r="E261" s="1887"/>
      <c r="F261" s="1887"/>
      <c r="G261" s="1887"/>
      <c r="H261" s="1887"/>
      <c r="I261" s="1887"/>
      <c r="J261" s="1887"/>
      <c r="K261" s="1887"/>
      <c r="L261" s="1887"/>
      <c r="M261" s="1887"/>
      <c r="N261" s="1887"/>
      <c r="O261" s="1887"/>
      <c r="P261" s="1887"/>
      <c r="Q261" s="1887"/>
      <c r="R261" s="1887"/>
      <c r="S261" s="1887"/>
      <c r="T261" s="1887"/>
      <c r="U261" s="1887"/>
      <c r="V261" s="1887"/>
      <c r="W261" s="1887"/>
      <c r="X261" s="1887"/>
      <c r="Y261" s="1887"/>
      <c r="Z261" s="1887"/>
      <c r="AA261" s="1887"/>
      <c r="AB261" s="1887"/>
      <c r="AC261" s="1887"/>
    </row>
    <row r="262">
      <c r="A262" s="1887"/>
      <c r="B262" s="1887"/>
      <c r="C262" s="1887"/>
      <c r="D262" s="1887"/>
      <c r="E262" s="1887"/>
      <c r="F262" s="1887"/>
      <c r="G262" s="1887"/>
      <c r="H262" s="1887"/>
      <c r="I262" s="1887"/>
      <c r="J262" s="1887"/>
      <c r="K262" s="1887"/>
      <c r="L262" s="1887"/>
      <c r="M262" s="1887"/>
      <c r="N262" s="1887"/>
      <c r="O262" s="1887"/>
      <c r="P262" s="1887"/>
      <c r="Q262" s="1887"/>
      <c r="R262" s="1887"/>
      <c r="S262" s="1887"/>
      <c r="T262" s="1887"/>
      <c r="U262" s="1887"/>
      <c r="V262" s="1887"/>
      <c r="W262" s="1887"/>
      <c r="X262" s="1887"/>
      <c r="Y262" s="1887"/>
      <c r="Z262" s="1887"/>
      <c r="AA262" s="1887"/>
      <c r="AB262" s="1887"/>
      <c r="AC262" s="1887"/>
    </row>
    <row r="263">
      <c r="A263" s="1887"/>
      <c r="B263" s="1887"/>
      <c r="C263" s="1887"/>
      <c r="D263" s="1887"/>
      <c r="E263" s="1887"/>
      <c r="F263" s="1887"/>
      <c r="G263" s="1887"/>
      <c r="H263" s="1887"/>
      <c r="I263" s="1887"/>
      <c r="J263" s="1887"/>
      <c r="K263" s="1887"/>
      <c r="L263" s="1887"/>
      <c r="M263" s="1887"/>
      <c r="N263" s="1887"/>
      <c r="O263" s="1887"/>
      <c r="P263" s="1887"/>
      <c r="Q263" s="1887"/>
      <c r="R263" s="1887"/>
      <c r="S263" s="1887"/>
      <c r="T263" s="1887"/>
      <c r="U263" s="1887"/>
      <c r="V263" s="1887"/>
      <c r="W263" s="1887"/>
      <c r="X263" s="1887"/>
      <c r="Y263" s="1887"/>
      <c r="Z263" s="1887"/>
      <c r="AA263" s="1887"/>
      <c r="AB263" s="1887"/>
      <c r="AC263" s="1887"/>
    </row>
    <row r="264">
      <c r="A264" s="1887"/>
      <c r="B264" s="1887"/>
      <c r="C264" s="1887"/>
      <c r="D264" s="1887"/>
      <c r="E264" s="1887"/>
      <c r="F264" s="1887"/>
      <c r="G264" s="1887"/>
      <c r="H264" s="1887"/>
      <c r="I264" s="1887"/>
      <c r="J264" s="1887"/>
      <c r="K264" s="1887"/>
      <c r="L264" s="1887"/>
      <c r="M264" s="1887"/>
      <c r="N264" s="1887"/>
      <c r="O264" s="1887"/>
      <c r="P264" s="1887"/>
      <c r="Q264" s="1887"/>
      <c r="R264" s="1887"/>
      <c r="S264" s="1887"/>
      <c r="T264" s="1887"/>
      <c r="U264" s="1887"/>
      <c r="V264" s="1887"/>
      <c r="W264" s="1887"/>
      <c r="X264" s="1887"/>
      <c r="Y264" s="1887"/>
      <c r="Z264" s="1887"/>
      <c r="AA264" s="1887"/>
      <c r="AB264" s="1887"/>
      <c r="AC264" s="1887"/>
    </row>
    <row r="265">
      <c r="A265" s="1887"/>
      <c r="B265" s="1887"/>
      <c r="C265" s="1887"/>
      <c r="D265" s="1887"/>
      <c r="E265" s="1887"/>
      <c r="F265" s="1887"/>
      <c r="G265" s="1887"/>
      <c r="H265" s="1887"/>
      <c r="I265" s="1887"/>
      <c r="J265" s="1887"/>
      <c r="K265" s="1887"/>
      <c r="L265" s="1887"/>
      <c r="M265" s="1887"/>
      <c r="N265" s="1887"/>
      <c r="O265" s="1887"/>
      <c r="P265" s="1887"/>
      <c r="Q265" s="1887"/>
      <c r="R265" s="1887"/>
      <c r="S265" s="1887"/>
      <c r="T265" s="1887"/>
      <c r="U265" s="1887"/>
      <c r="V265" s="1887"/>
      <c r="W265" s="1887"/>
      <c r="X265" s="1887"/>
      <c r="Y265" s="1887"/>
      <c r="Z265" s="1887"/>
      <c r="AA265" s="1887"/>
      <c r="AB265" s="1887"/>
      <c r="AC265" s="1887"/>
    </row>
    <row r="266">
      <c r="A266" s="1887"/>
      <c r="B266" s="1887"/>
      <c r="C266" s="1887"/>
      <c r="D266" s="1887"/>
      <c r="E266" s="1887"/>
      <c r="F266" s="1887"/>
      <c r="G266" s="1887"/>
      <c r="H266" s="1887"/>
      <c r="I266" s="1887"/>
      <c r="J266" s="1887"/>
      <c r="K266" s="1887"/>
      <c r="L266" s="1887"/>
      <c r="M266" s="1887"/>
      <c r="N266" s="1887"/>
      <c r="O266" s="1887"/>
      <c r="P266" s="1887"/>
      <c r="Q266" s="1887"/>
      <c r="R266" s="1887"/>
      <c r="S266" s="1887"/>
      <c r="T266" s="1887"/>
      <c r="U266" s="1887"/>
      <c r="V266" s="1887"/>
      <c r="W266" s="1887"/>
      <c r="X266" s="1887"/>
      <c r="Y266" s="1887"/>
      <c r="Z266" s="1887"/>
      <c r="AA266" s="1887"/>
      <c r="AB266" s="1887"/>
      <c r="AC266" s="1887"/>
    </row>
    <row r="267">
      <c r="A267" s="1887"/>
      <c r="B267" s="1887"/>
      <c r="C267" s="1887"/>
      <c r="D267" s="1887"/>
      <c r="E267" s="1887"/>
      <c r="F267" s="1887"/>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row>
    <row r="268">
      <c r="A268" s="1887"/>
      <c r="B268" s="1887"/>
      <c r="C268" s="1887"/>
      <c r="D268" s="1887"/>
      <c r="E268" s="1887"/>
      <c r="F268" s="1887"/>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row>
    <row r="269">
      <c r="A269" s="1887"/>
      <c r="B269" s="1887"/>
      <c r="C269" s="1887"/>
      <c r="D269" s="1887"/>
      <c r="E269" s="1887"/>
      <c r="F269" s="1887"/>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row>
    <row r="270">
      <c r="A270" s="1887"/>
      <c r="B270" s="1887"/>
      <c r="C270" s="1887"/>
      <c r="D270" s="1887"/>
      <c r="E270" s="1887"/>
      <c r="F270" s="1887"/>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row>
    <row r="271">
      <c r="A271" s="1887"/>
      <c r="B271" s="1887"/>
      <c r="C271" s="1887"/>
      <c r="D271" s="1887"/>
      <c r="E271" s="1887"/>
      <c r="F271" s="1887"/>
      <c r="G271" s="1887"/>
      <c r="H271" s="1887"/>
      <c r="I271" s="1887"/>
      <c r="J271" s="1887"/>
      <c r="K271" s="1887"/>
      <c r="L271" s="1887"/>
      <c r="M271" s="1887"/>
      <c r="N271" s="1887"/>
      <c r="O271" s="1887"/>
      <c r="P271" s="1887"/>
      <c r="Q271" s="1887"/>
      <c r="R271" s="1887"/>
      <c r="S271" s="1887"/>
      <c r="T271" s="1887"/>
      <c r="U271" s="1887"/>
      <c r="V271" s="1887"/>
      <c r="W271" s="1887"/>
      <c r="X271" s="1887"/>
      <c r="Y271" s="1887"/>
      <c r="Z271" s="1887"/>
      <c r="AA271" s="1887"/>
      <c r="AB271" s="1887"/>
      <c r="AC271" s="1887"/>
    </row>
    <row r="272">
      <c r="A272" s="1887"/>
      <c r="B272" s="1887"/>
      <c r="C272" s="1887"/>
      <c r="D272" s="1887"/>
      <c r="E272" s="1887"/>
      <c r="F272" s="1887"/>
      <c r="G272" s="1887"/>
      <c r="H272" s="1887"/>
      <c r="I272" s="1887"/>
      <c r="J272" s="1887"/>
      <c r="K272" s="1887"/>
      <c r="L272" s="1887"/>
      <c r="M272" s="1887"/>
      <c r="N272" s="1887"/>
      <c r="O272" s="1887"/>
      <c r="P272" s="1887"/>
      <c r="Q272" s="1887"/>
      <c r="R272" s="1887"/>
      <c r="S272" s="1887"/>
      <c r="T272" s="1887"/>
      <c r="U272" s="1887"/>
      <c r="V272" s="1887"/>
      <c r="W272" s="1887"/>
      <c r="X272" s="1887"/>
      <c r="Y272" s="1887"/>
      <c r="Z272" s="1887"/>
      <c r="AA272" s="1887"/>
      <c r="AB272" s="1887"/>
      <c r="AC272" s="1887"/>
    </row>
    <row r="273">
      <c r="A273" s="1887"/>
      <c r="B273" s="1887"/>
      <c r="C273" s="1887"/>
      <c r="D273" s="1887"/>
      <c r="E273" s="1887"/>
      <c r="F273" s="1887"/>
      <c r="G273" s="1887"/>
      <c r="H273" s="1887"/>
      <c r="I273" s="1887"/>
      <c r="J273" s="1887"/>
      <c r="K273" s="1887"/>
      <c r="L273" s="1887"/>
      <c r="M273" s="1887"/>
      <c r="N273" s="1887"/>
      <c r="O273" s="1887"/>
      <c r="P273" s="1887"/>
      <c r="Q273" s="1887"/>
      <c r="R273" s="1887"/>
      <c r="S273" s="1887"/>
      <c r="T273" s="1887"/>
      <c r="U273" s="1887"/>
      <c r="V273" s="1887"/>
      <c r="W273" s="1887"/>
      <c r="X273" s="1887"/>
      <c r="Y273" s="1887"/>
      <c r="Z273" s="1887"/>
      <c r="AA273" s="1887"/>
      <c r="AB273" s="1887"/>
      <c r="AC273" s="1887"/>
    </row>
    <row r="274">
      <c r="A274" s="1887"/>
      <c r="B274" s="1887"/>
      <c r="C274" s="1887"/>
      <c r="D274" s="1887"/>
      <c r="E274" s="1887"/>
      <c r="F274" s="1887"/>
      <c r="G274" s="1887"/>
      <c r="H274" s="1887"/>
      <c r="I274" s="1887"/>
      <c r="J274" s="1887"/>
      <c r="K274" s="1887"/>
      <c r="L274" s="1887"/>
      <c r="M274" s="1887"/>
      <c r="N274" s="1887"/>
      <c r="O274" s="1887"/>
      <c r="P274" s="1887"/>
      <c r="Q274" s="1887"/>
      <c r="R274" s="1887"/>
      <c r="S274" s="1887"/>
      <c r="T274" s="1887"/>
      <c r="U274" s="1887"/>
      <c r="V274" s="1887"/>
      <c r="W274" s="1887"/>
      <c r="X274" s="1887"/>
      <c r="Y274" s="1887"/>
      <c r="Z274" s="1887"/>
      <c r="AA274" s="1887"/>
      <c r="AB274" s="1887"/>
      <c r="AC274" s="1887"/>
    </row>
    <row r="275">
      <c r="A275" s="1887"/>
      <c r="B275" s="1887"/>
      <c r="C275" s="1887"/>
      <c r="D275" s="1887"/>
      <c r="E275" s="1887"/>
      <c r="F275" s="1887"/>
      <c r="G275" s="1887"/>
      <c r="H275" s="1887"/>
      <c r="I275" s="1887"/>
      <c r="J275" s="1887"/>
      <c r="K275" s="1887"/>
      <c r="L275" s="1887"/>
      <c r="M275" s="1887"/>
      <c r="N275" s="1887"/>
      <c r="O275" s="1887"/>
      <c r="P275" s="1887"/>
      <c r="Q275" s="1887"/>
      <c r="R275" s="1887"/>
      <c r="S275" s="1887"/>
      <c r="T275" s="1887"/>
      <c r="U275" s="1887"/>
      <c r="V275" s="1887"/>
      <c r="W275" s="1887"/>
      <c r="X275" s="1887"/>
      <c r="Y275" s="1887"/>
      <c r="Z275" s="1887"/>
      <c r="AA275" s="1887"/>
      <c r="AB275" s="1887"/>
      <c r="AC275" s="1887"/>
    </row>
    <row r="276">
      <c r="A276" s="1887"/>
      <c r="B276" s="1887"/>
      <c r="C276" s="1887"/>
      <c r="D276" s="1887"/>
      <c r="E276" s="1887"/>
      <c r="F276" s="1887"/>
      <c r="G276" s="1887"/>
      <c r="H276" s="1887"/>
      <c r="I276" s="1887"/>
      <c r="J276" s="1887"/>
      <c r="K276" s="1887"/>
      <c r="L276" s="1887"/>
      <c r="M276" s="1887"/>
      <c r="N276" s="1887"/>
      <c r="O276" s="1887"/>
      <c r="P276" s="1887"/>
      <c r="Q276" s="1887"/>
      <c r="R276" s="1887"/>
      <c r="S276" s="1887"/>
      <c r="T276" s="1887"/>
      <c r="U276" s="1887"/>
      <c r="V276" s="1887"/>
      <c r="W276" s="1887"/>
      <c r="X276" s="1887"/>
      <c r="Y276" s="1887"/>
      <c r="Z276" s="1887"/>
      <c r="AA276" s="1887"/>
      <c r="AB276" s="1887"/>
      <c r="AC276" s="1887"/>
    </row>
    <row r="277">
      <c r="A277" s="1887"/>
      <c r="B277" s="1887"/>
      <c r="C277" s="1887"/>
      <c r="D277" s="1887"/>
      <c r="E277" s="1887"/>
      <c r="F277" s="1887"/>
      <c r="G277" s="1887"/>
      <c r="H277" s="1887"/>
      <c r="I277" s="1887"/>
      <c r="J277" s="1887"/>
      <c r="K277" s="1887"/>
      <c r="L277" s="1887"/>
      <c r="M277" s="1887"/>
      <c r="N277" s="1887"/>
      <c r="O277" s="1887"/>
      <c r="P277" s="1887"/>
      <c r="Q277" s="1887"/>
      <c r="R277" s="1887"/>
      <c r="S277" s="1887"/>
      <c r="T277" s="1887"/>
      <c r="U277" s="1887"/>
      <c r="V277" s="1887"/>
      <c r="W277" s="1887"/>
      <c r="X277" s="1887"/>
      <c r="Y277" s="1887"/>
      <c r="Z277" s="1887"/>
      <c r="AA277" s="1887"/>
      <c r="AB277" s="1887"/>
      <c r="AC277" s="1887"/>
    </row>
    <row r="278">
      <c r="A278" s="1887"/>
      <c r="B278" s="1887"/>
      <c r="C278" s="1887"/>
      <c r="D278" s="1887"/>
      <c r="E278" s="1887"/>
      <c r="F278" s="1887"/>
      <c r="G278" s="1887"/>
      <c r="H278" s="1887"/>
      <c r="I278" s="1887"/>
      <c r="J278" s="1887"/>
      <c r="K278" s="1887"/>
      <c r="L278" s="1887"/>
      <c r="M278" s="1887"/>
      <c r="N278" s="1887"/>
      <c r="O278" s="1887"/>
      <c r="P278" s="1887"/>
      <c r="Q278" s="1887"/>
      <c r="R278" s="1887"/>
      <c r="S278" s="1887"/>
      <c r="T278" s="1887"/>
      <c r="U278" s="1887"/>
      <c r="V278" s="1887"/>
      <c r="W278" s="1887"/>
      <c r="X278" s="1887"/>
      <c r="Y278" s="1887"/>
      <c r="Z278" s="1887"/>
      <c r="AA278" s="1887"/>
      <c r="AB278" s="1887"/>
      <c r="AC278" s="1887"/>
    </row>
    <row r="279">
      <c r="A279" s="1887"/>
      <c r="B279" s="1887"/>
      <c r="C279" s="1887"/>
      <c r="D279" s="1887"/>
      <c r="E279" s="1887"/>
      <c r="F279" s="1887"/>
      <c r="G279" s="1887"/>
      <c r="H279" s="1887"/>
      <c r="I279" s="1887"/>
      <c r="J279" s="1887"/>
      <c r="K279" s="1887"/>
      <c r="L279" s="1887"/>
      <c r="M279" s="1887"/>
      <c r="N279" s="1887"/>
      <c r="O279" s="1887"/>
      <c r="P279" s="1887"/>
      <c r="Q279" s="1887"/>
      <c r="R279" s="1887"/>
      <c r="S279" s="1887"/>
      <c r="T279" s="1887"/>
      <c r="U279" s="1887"/>
      <c r="V279" s="1887"/>
      <c r="W279" s="1887"/>
      <c r="X279" s="1887"/>
      <c r="Y279" s="1887"/>
      <c r="Z279" s="1887"/>
      <c r="AA279" s="1887"/>
      <c r="AB279" s="1887"/>
      <c r="AC279" s="1887"/>
    </row>
    <row r="280">
      <c r="A280" s="1887"/>
      <c r="B280" s="1887"/>
      <c r="C280" s="1887"/>
      <c r="D280" s="1887"/>
      <c r="E280" s="1887"/>
      <c r="F280" s="1887"/>
      <c r="G280" s="1887"/>
      <c r="H280" s="1887"/>
      <c r="I280" s="1887"/>
      <c r="J280" s="1887"/>
      <c r="K280" s="1887"/>
      <c r="L280" s="1887"/>
      <c r="M280" s="1887"/>
      <c r="N280" s="1887"/>
      <c r="O280" s="1887"/>
      <c r="P280" s="1887"/>
      <c r="Q280" s="1887"/>
      <c r="R280" s="1887"/>
      <c r="S280" s="1887"/>
      <c r="T280" s="1887"/>
      <c r="U280" s="1887"/>
      <c r="V280" s="1887"/>
      <c r="W280" s="1887"/>
      <c r="X280" s="1887"/>
      <c r="Y280" s="1887"/>
      <c r="Z280" s="1887"/>
      <c r="AA280" s="1887"/>
      <c r="AB280" s="1887"/>
      <c r="AC280" s="1887"/>
    </row>
    <row r="281">
      <c r="A281" s="1887"/>
      <c r="B281" s="1887"/>
      <c r="C281" s="1887"/>
      <c r="D281" s="1887"/>
      <c r="E281" s="1887"/>
      <c r="F281" s="1887"/>
      <c r="G281" s="1887"/>
      <c r="H281" s="1887"/>
      <c r="I281" s="1887"/>
      <c r="J281" s="1887"/>
      <c r="K281" s="1887"/>
      <c r="L281" s="1887"/>
      <c r="M281" s="1887"/>
      <c r="N281" s="1887"/>
      <c r="O281" s="1887"/>
      <c r="P281" s="1887"/>
      <c r="Q281" s="1887"/>
      <c r="R281" s="1887"/>
      <c r="S281" s="1887"/>
      <c r="T281" s="1887"/>
      <c r="U281" s="1887"/>
      <c r="V281" s="1887"/>
      <c r="W281" s="1887"/>
      <c r="X281" s="1887"/>
      <c r="Y281" s="1887"/>
      <c r="Z281" s="1887"/>
      <c r="AA281" s="1887"/>
      <c r="AB281" s="1887"/>
      <c r="AC281" s="1887"/>
    </row>
    <row r="282">
      <c r="A282" s="1887"/>
      <c r="B282" s="1887"/>
      <c r="C282" s="1887"/>
      <c r="D282" s="1887"/>
      <c r="E282" s="1887"/>
      <c r="F282" s="1887"/>
      <c r="G282" s="1887"/>
      <c r="H282" s="1887"/>
      <c r="I282" s="1887"/>
      <c r="J282" s="1887"/>
      <c r="K282" s="1887"/>
      <c r="L282" s="1887"/>
      <c r="M282" s="1887"/>
      <c r="N282" s="1887"/>
      <c r="O282" s="1887"/>
      <c r="P282" s="1887"/>
      <c r="Q282" s="1887"/>
      <c r="R282" s="1887"/>
      <c r="S282" s="1887"/>
      <c r="T282" s="1887"/>
      <c r="U282" s="1887"/>
      <c r="V282" s="1887"/>
      <c r="W282" s="1887"/>
      <c r="X282" s="1887"/>
      <c r="Y282" s="1887"/>
      <c r="Z282" s="1887"/>
      <c r="AA282" s="1887"/>
      <c r="AB282" s="1887"/>
      <c r="AC282" s="1887"/>
    </row>
    <row r="283">
      <c r="A283" s="1887"/>
      <c r="B283" s="1887"/>
      <c r="C283" s="1887"/>
      <c r="D283" s="1887"/>
      <c r="E283" s="1887"/>
      <c r="F283" s="1887"/>
      <c r="G283" s="1887"/>
      <c r="H283" s="1887"/>
      <c r="I283" s="1887"/>
      <c r="J283" s="1887"/>
      <c r="K283" s="1887"/>
      <c r="L283" s="1887"/>
      <c r="M283" s="1887"/>
      <c r="N283" s="1887"/>
      <c r="O283" s="1887"/>
      <c r="P283" s="1887"/>
      <c r="Q283" s="1887"/>
      <c r="R283" s="1887"/>
      <c r="S283" s="1887"/>
      <c r="T283" s="1887"/>
      <c r="U283" s="1887"/>
      <c r="V283" s="1887"/>
      <c r="W283" s="1887"/>
      <c r="X283" s="1887"/>
      <c r="Y283" s="1887"/>
      <c r="Z283" s="1887"/>
      <c r="AA283" s="1887"/>
      <c r="AB283" s="1887"/>
      <c r="AC283" s="1887"/>
    </row>
    <row r="284">
      <c r="A284" s="1887"/>
      <c r="B284" s="1887"/>
      <c r="C284" s="1887"/>
      <c r="D284" s="1887"/>
      <c r="E284" s="1887"/>
      <c r="F284" s="1887"/>
      <c r="G284" s="1887"/>
      <c r="H284" s="1887"/>
      <c r="I284" s="1887"/>
      <c r="J284" s="1887"/>
      <c r="K284" s="1887"/>
      <c r="L284" s="1887"/>
      <c r="M284" s="1887"/>
      <c r="N284" s="1887"/>
      <c r="O284" s="1887"/>
      <c r="P284" s="1887"/>
      <c r="Q284" s="1887"/>
      <c r="R284" s="1887"/>
      <c r="S284" s="1887"/>
      <c r="T284" s="1887"/>
      <c r="U284" s="1887"/>
      <c r="V284" s="1887"/>
      <c r="W284" s="1887"/>
      <c r="X284" s="1887"/>
      <c r="Y284" s="1887"/>
      <c r="Z284" s="1887"/>
      <c r="AA284" s="1887"/>
      <c r="AB284" s="1887"/>
      <c r="AC284" s="1887"/>
    </row>
    <row r="285">
      <c r="A285" s="1887"/>
      <c r="B285" s="1887"/>
      <c r="C285" s="1887"/>
      <c r="D285" s="1887"/>
      <c r="E285" s="1887"/>
      <c r="F285" s="1887"/>
      <c r="G285" s="1887"/>
      <c r="H285" s="1887"/>
      <c r="I285" s="1887"/>
      <c r="J285" s="1887"/>
      <c r="K285" s="1887"/>
      <c r="L285" s="1887"/>
      <c r="M285" s="1887"/>
      <c r="N285" s="1887"/>
      <c r="O285" s="1887"/>
      <c r="P285" s="1887"/>
      <c r="Q285" s="1887"/>
      <c r="R285" s="1887"/>
      <c r="S285" s="1887"/>
      <c r="T285" s="1887"/>
      <c r="U285" s="1887"/>
      <c r="V285" s="1887"/>
      <c r="W285" s="1887"/>
      <c r="X285" s="1887"/>
      <c r="Y285" s="1887"/>
      <c r="Z285" s="1887"/>
      <c r="AA285" s="1887"/>
      <c r="AB285" s="1887"/>
      <c r="AC285" s="1887"/>
    </row>
    <row r="286">
      <c r="A286" s="1887"/>
      <c r="B286" s="1887"/>
      <c r="C286" s="1887"/>
      <c r="D286" s="1887"/>
      <c r="E286" s="1887"/>
      <c r="F286" s="1887"/>
      <c r="G286" s="1887"/>
      <c r="H286" s="1887"/>
      <c r="I286" s="1887"/>
      <c r="J286" s="1887"/>
      <c r="K286" s="1887"/>
      <c r="L286" s="1887"/>
      <c r="M286" s="1887"/>
      <c r="N286" s="1887"/>
      <c r="O286" s="1887"/>
      <c r="P286" s="1887"/>
      <c r="Q286" s="1887"/>
      <c r="R286" s="1887"/>
      <c r="S286" s="1887"/>
      <c r="T286" s="1887"/>
      <c r="U286" s="1887"/>
      <c r="V286" s="1887"/>
      <c r="W286" s="1887"/>
      <c r="X286" s="1887"/>
      <c r="Y286" s="1887"/>
      <c r="Z286" s="1887"/>
      <c r="AA286" s="1887"/>
      <c r="AB286" s="1887"/>
      <c r="AC286" s="1887"/>
    </row>
    <row r="287">
      <c r="A287" s="1887"/>
      <c r="B287" s="1887"/>
      <c r="C287" s="1887"/>
      <c r="D287" s="1887"/>
      <c r="E287" s="1887"/>
      <c r="F287" s="1887"/>
      <c r="G287" s="1887"/>
      <c r="H287" s="1887"/>
      <c r="I287" s="1887"/>
      <c r="J287" s="1887"/>
      <c r="K287" s="1887"/>
      <c r="L287" s="1887"/>
      <c r="M287" s="1887"/>
      <c r="N287" s="1887"/>
      <c r="O287" s="1887"/>
      <c r="P287" s="1887"/>
      <c r="Q287" s="1887"/>
      <c r="R287" s="1887"/>
      <c r="S287" s="1887"/>
      <c r="T287" s="1887"/>
      <c r="U287" s="1887"/>
      <c r="V287" s="1887"/>
      <c r="W287" s="1887"/>
      <c r="X287" s="1887"/>
      <c r="Y287" s="1887"/>
      <c r="Z287" s="1887"/>
      <c r="AA287" s="1887"/>
      <c r="AB287" s="1887"/>
      <c r="AC287" s="1887"/>
    </row>
    <row r="288">
      <c r="A288" s="1887"/>
      <c r="B288" s="1887"/>
      <c r="C288" s="1887"/>
      <c r="D288" s="1887"/>
      <c r="E288" s="1887"/>
      <c r="F288" s="1887"/>
      <c r="G288" s="1887"/>
      <c r="H288" s="1887"/>
      <c r="I288" s="1887"/>
      <c r="J288" s="1887"/>
      <c r="K288" s="1887"/>
      <c r="L288" s="1887"/>
      <c r="M288" s="1887"/>
      <c r="N288" s="1887"/>
      <c r="O288" s="1887"/>
      <c r="P288" s="1887"/>
      <c r="Q288" s="1887"/>
      <c r="R288" s="1887"/>
      <c r="S288" s="1887"/>
      <c r="T288" s="1887"/>
      <c r="U288" s="1887"/>
      <c r="V288" s="1887"/>
      <c r="W288" s="1887"/>
      <c r="X288" s="1887"/>
      <c r="Y288" s="1887"/>
      <c r="Z288" s="1887"/>
      <c r="AA288" s="1887"/>
      <c r="AB288" s="1887"/>
      <c r="AC288" s="1887"/>
    </row>
    <row r="289">
      <c r="A289" s="1887"/>
      <c r="B289" s="1887"/>
      <c r="C289" s="1887"/>
      <c r="D289" s="1887"/>
      <c r="E289" s="1887"/>
      <c r="F289" s="1887"/>
      <c r="G289" s="1887"/>
      <c r="H289" s="1887"/>
      <c r="I289" s="1887"/>
      <c r="J289" s="1887"/>
      <c r="K289" s="1887"/>
      <c r="L289" s="1887"/>
      <c r="M289" s="1887"/>
      <c r="N289" s="1887"/>
      <c r="O289" s="1887"/>
      <c r="P289" s="1887"/>
      <c r="Q289" s="1887"/>
      <c r="R289" s="1887"/>
      <c r="S289" s="1887"/>
      <c r="T289" s="1887"/>
      <c r="U289" s="1887"/>
      <c r="V289" s="1887"/>
      <c r="W289" s="1887"/>
      <c r="X289" s="1887"/>
      <c r="Y289" s="1887"/>
      <c r="Z289" s="1887"/>
      <c r="AA289" s="1887"/>
      <c r="AB289" s="1887"/>
      <c r="AC289" s="1887"/>
    </row>
    <row r="290">
      <c r="A290" s="1887"/>
      <c r="B290" s="1887"/>
      <c r="C290" s="1887"/>
      <c r="D290" s="1887"/>
      <c r="E290" s="1887"/>
      <c r="F290" s="1887"/>
      <c r="G290" s="1887"/>
      <c r="H290" s="1887"/>
      <c r="I290" s="1887"/>
      <c r="J290" s="1887"/>
      <c r="K290" s="1887"/>
      <c r="L290" s="1887"/>
      <c r="M290" s="1887"/>
      <c r="N290" s="1887"/>
      <c r="O290" s="1887"/>
      <c r="P290" s="1887"/>
      <c r="Q290" s="1887"/>
      <c r="R290" s="1887"/>
      <c r="S290" s="1887"/>
      <c r="T290" s="1887"/>
      <c r="U290" s="1887"/>
      <c r="V290" s="1887"/>
      <c r="W290" s="1887"/>
      <c r="X290" s="1887"/>
      <c r="Y290" s="1887"/>
      <c r="Z290" s="1887"/>
      <c r="AA290" s="1887"/>
      <c r="AB290" s="1887"/>
      <c r="AC290" s="1887"/>
    </row>
    <row r="291">
      <c r="A291" s="1887"/>
      <c r="B291" s="1887"/>
      <c r="C291" s="1887"/>
      <c r="D291" s="1887"/>
      <c r="E291" s="1887"/>
      <c r="F291" s="1887"/>
      <c r="G291" s="1887"/>
      <c r="H291" s="1887"/>
      <c r="I291" s="1887"/>
      <c r="J291" s="1887"/>
      <c r="K291" s="1887"/>
      <c r="L291" s="1887"/>
      <c r="M291" s="1887"/>
      <c r="N291" s="1887"/>
      <c r="O291" s="1887"/>
      <c r="P291" s="1887"/>
      <c r="Q291" s="1887"/>
      <c r="R291" s="1887"/>
      <c r="S291" s="1887"/>
      <c r="T291" s="1887"/>
      <c r="U291" s="1887"/>
      <c r="V291" s="1887"/>
      <c r="W291" s="1887"/>
      <c r="X291" s="1887"/>
      <c r="Y291" s="1887"/>
      <c r="Z291" s="1887"/>
      <c r="AA291" s="1887"/>
      <c r="AB291" s="1887"/>
      <c r="AC291" s="1887"/>
    </row>
    <row r="292">
      <c r="A292" s="1887"/>
      <c r="B292" s="1887"/>
      <c r="C292" s="1887"/>
      <c r="D292" s="1887"/>
      <c r="E292" s="1887"/>
      <c r="F292" s="1887"/>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row>
    <row r="293">
      <c r="A293" s="1887"/>
      <c r="B293" s="1887"/>
      <c r="C293" s="1887"/>
      <c r="D293" s="1887"/>
      <c r="E293" s="1887"/>
      <c r="F293" s="1887"/>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row>
    <row r="294">
      <c r="A294" s="1887"/>
      <c r="B294" s="1887"/>
      <c r="C294" s="1887"/>
      <c r="D294" s="1887"/>
      <c r="E294" s="1887"/>
      <c r="F294" s="1887"/>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row>
    <row r="295">
      <c r="A295" s="1887"/>
      <c r="B295" s="1887"/>
      <c r="C295" s="1887"/>
      <c r="D295" s="1887"/>
      <c r="E295" s="1887"/>
      <c r="F295" s="1887"/>
      <c r="G295" s="1887"/>
      <c r="H295" s="1887"/>
      <c r="I295" s="1887"/>
      <c r="J295" s="1887"/>
      <c r="K295" s="1887"/>
      <c r="L295" s="1887"/>
      <c r="M295" s="1887"/>
      <c r="N295" s="1887"/>
      <c r="O295" s="1887"/>
      <c r="P295" s="1887"/>
      <c r="Q295" s="1887"/>
      <c r="R295" s="1887"/>
      <c r="S295" s="1887"/>
      <c r="T295" s="1887"/>
      <c r="U295" s="1887"/>
      <c r="V295" s="1887"/>
      <c r="W295" s="1887"/>
      <c r="X295" s="1887"/>
      <c r="Y295" s="1887"/>
      <c r="Z295" s="1887"/>
      <c r="AA295" s="1887"/>
      <c r="AB295" s="1887"/>
      <c r="AC295" s="1887"/>
    </row>
    <row r="296">
      <c r="A296" s="1887"/>
      <c r="B296" s="1887"/>
      <c r="C296" s="1887"/>
      <c r="D296" s="1887"/>
      <c r="E296" s="1887"/>
      <c r="F296" s="1887"/>
      <c r="G296" s="1887"/>
      <c r="H296" s="1887"/>
      <c r="I296" s="1887"/>
      <c r="J296" s="1887"/>
      <c r="K296" s="1887"/>
      <c r="L296" s="1887"/>
      <c r="M296" s="1887"/>
      <c r="N296" s="1887"/>
      <c r="O296" s="1887"/>
      <c r="P296" s="1887"/>
      <c r="Q296" s="1887"/>
      <c r="R296" s="1887"/>
      <c r="S296" s="1887"/>
      <c r="T296" s="1887"/>
      <c r="U296" s="1887"/>
      <c r="V296" s="1887"/>
      <c r="W296" s="1887"/>
      <c r="X296" s="1887"/>
      <c r="Y296" s="1887"/>
      <c r="Z296" s="1887"/>
      <c r="AA296" s="1887"/>
      <c r="AB296" s="1887"/>
      <c r="AC296" s="1887"/>
    </row>
    <row r="297">
      <c r="A297" s="1887"/>
      <c r="B297" s="1887"/>
      <c r="C297" s="1887"/>
      <c r="D297" s="1887"/>
      <c r="E297" s="1887"/>
      <c r="F297" s="1887"/>
      <c r="G297" s="1887"/>
      <c r="H297" s="1887"/>
      <c r="I297" s="1887"/>
      <c r="J297" s="1887"/>
      <c r="K297" s="1887"/>
      <c r="L297" s="1887"/>
      <c r="M297" s="1887"/>
      <c r="N297" s="1887"/>
      <c r="O297" s="1887"/>
      <c r="P297" s="1887"/>
      <c r="Q297" s="1887"/>
      <c r="R297" s="1887"/>
      <c r="S297" s="1887"/>
      <c r="T297" s="1887"/>
      <c r="U297" s="1887"/>
      <c r="V297" s="1887"/>
      <c r="W297" s="1887"/>
      <c r="X297" s="1887"/>
      <c r="Y297" s="1887"/>
      <c r="Z297" s="1887"/>
      <c r="AA297" s="1887"/>
      <c r="AB297" s="1887"/>
      <c r="AC297" s="1887"/>
    </row>
    <row r="298">
      <c r="A298" s="1887"/>
      <c r="B298" s="1887"/>
      <c r="C298" s="1887"/>
      <c r="D298" s="1887"/>
      <c r="E298" s="1887"/>
      <c r="F298" s="1887"/>
      <c r="G298" s="1887"/>
      <c r="H298" s="1887"/>
      <c r="I298" s="1887"/>
      <c r="J298" s="1887"/>
      <c r="K298" s="1887"/>
      <c r="L298" s="1887"/>
      <c r="M298" s="1887"/>
      <c r="N298" s="1887"/>
      <c r="O298" s="1887"/>
      <c r="P298" s="1887"/>
      <c r="Q298" s="1887"/>
      <c r="R298" s="1887"/>
      <c r="S298" s="1887"/>
      <c r="T298" s="1887"/>
      <c r="U298" s="1887"/>
      <c r="V298" s="1887"/>
      <c r="W298" s="1887"/>
      <c r="X298" s="1887"/>
      <c r="Y298" s="1887"/>
      <c r="Z298" s="1887"/>
      <c r="AA298" s="1887"/>
      <c r="AB298" s="1887"/>
      <c r="AC298" s="1887"/>
    </row>
    <row r="299">
      <c r="A299" s="1887"/>
      <c r="B299" s="1887"/>
      <c r="C299" s="1887"/>
      <c r="D299" s="1887"/>
      <c r="E299" s="1887"/>
      <c r="F299" s="1887"/>
      <c r="G299" s="1887"/>
      <c r="H299" s="1887"/>
      <c r="I299" s="1887"/>
      <c r="J299" s="1887"/>
      <c r="K299" s="1887"/>
      <c r="L299" s="1887"/>
      <c r="M299" s="1887"/>
      <c r="N299" s="1887"/>
      <c r="O299" s="1887"/>
      <c r="P299" s="1887"/>
      <c r="Q299" s="1887"/>
      <c r="R299" s="1887"/>
      <c r="S299" s="1887"/>
      <c r="T299" s="1887"/>
      <c r="U299" s="1887"/>
      <c r="V299" s="1887"/>
      <c r="W299" s="1887"/>
      <c r="X299" s="1887"/>
      <c r="Y299" s="1887"/>
      <c r="Z299" s="1887"/>
      <c r="AA299" s="1887"/>
      <c r="AB299" s="1887"/>
      <c r="AC299" s="1887"/>
    </row>
    <row r="300">
      <c r="A300" s="1887"/>
      <c r="B300" s="1887"/>
      <c r="C300" s="1887"/>
      <c r="D300" s="1887"/>
      <c r="E300" s="1887"/>
      <c r="F300" s="1887"/>
      <c r="G300" s="1887"/>
      <c r="H300" s="1887"/>
      <c r="I300" s="1887"/>
      <c r="J300" s="1887"/>
      <c r="K300" s="1887"/>
      <c r="L300" s="1887"/>
      <c r="M300" s="1887"/>
      <c r="N300" s="1887"/>
      <c r="O300" s="1887"/>
      <c r="P300" s="1887"/>
      <c r="Q300" s="1887"/>
      <c r="R300" s="1887"/>
      <c r="S300" s="1887"/>
      <c r="T300" s="1887"/>
      <c r="U300" s="1887"/>
      <c r="V300" s="1887"/>
      <c r="W300" s="1887"/>
      <c r="X300" s="1887"/>
      <c r="Y300" s="1887"/>
      <c r="Z300" s="1887"/>
      <c r="AA300" s="1887"/>
      <c r="AB300" s="1887"/>
      <c r="AC300" s="1887"/>
    </row>
    <row r="301">
      <c r="A301" s="1887"/>
      <c r="B301" s="1887"/>
      <c r="C301" s="1887"/>
      <c r="D301" s="1887"/>
      <c r="E301" s="1887"/>
      <c r="F301" s="1887"/>
      <c r="G301" s="1887"/>
      <c r="H301" s="1887"/>
      <c r="I301" s="1887"/>
      <c r="J301" s="1887"/>
      <c r="K301" s="1887"/>
      <c r="L301" s="1887"/>
      <c r="M301" s="1887"/>
      <c r="N301" s="1887"/>
      <c r="O301" s="1887"/>
      <c r="P301" s="1887"/>
      <c r="Q301" s="1887"/>
      <c r="R301" s="1887"/>
      <c r="S301" s="1887"/>
      <c r="T301" s="1887"/>
      <c r="U301" s="1887"/>
      <c r="V301" s="1887"/>
      <c r="W301" s="1887"/>
      <c r="X301" s="1887"/>
      <c r="Y301" s="1887"/>
      <c r="Z301" s="1887"/>
      <c r="AA301" s="1887"/>
      <c r="AB301" s="1887"/>
      <c r="AC301" s="1887"/>
    </row>
    <row r="302">
      <c r="A302" s="1887"/>
      <c r="B302" s="1887"/>
      <c r="C302" s="1887"/>
      <c r="D302" s="1887"/>
      <c r="E302" s="1887"/>
      <c r="F302" s="1887"/>
      <c r="G302" s="1887"/>
      <c r="H302" s="1887"/>
      <c r="I302" s="1887"/>
      <c r="J302" s="1887"/>
      <c r="K302" s="1887"/>
      <c r="L302" s="1887"/>
      <c r="M302" s="1887"/>
      <c r="N302" s="1887"/>
      <c r="O302" s="1887"/>
      <c r="P302" s="1887"/>
      <c r="Q302" s="1887"/>
      <c r="R302" s="1887"/>
      <c r="S302" s="1887"/>
      <c r="T302" s="1887"/>
      <c r="U302" s="1887"/>
      <c r="V302" s="1887"/>
      <c r="W302" s="1887"/>
      <c r="X302" s="1887"/>
      <c r="Y302" s="1887"/>
      <c r="Z302" s="1887"/>
      <c r="AA302" s="1887"/>
      <c r="AB302" s="1887"/>
      <c r="AC302" s="1887"/>
    </row>
    <row r="303">
      <c r="A303" s="1887"/>
      <c r="B303" s="1887"/>
      <c r="C303" s="1887"/>
      <c r="D303" s="1887"/>
      <c r="E303" s="1887"/>
      <c r="F303" s="1887"/>
      <c r="G303" s="1887"/>
      <c r="H303" s="1887"/>
      <c r="I303" s="1887"/>
      <c r="J303" s="1887"/>
      <c r="K303" s="1887"/>
      <c r="L303" s="1887"/>
      <c r="M303" s="1887"/>
      <c r="N303" s="1887"/>
      <c r="O303" s="1887"/>
      <c r="P303" s="1887"/>
      <c r="Q303" s="1887"/>
      <c r="R303" s="1887"/>
      <c r="S303" s="1887"/>
      <c r="T303" s="1887"/>
      <c r="U303" s="1887"/>
      <c r="V303" s="1887"/>
      <c r="W303" s="1887"/>
      <c r="X303" s="1887"/>
      <c r="Y303" s="1887"/>
      <c r="Z303" s="1887"/>
      <c r="AA303" s="1887"/>
      <c r="AB303" s="1887"/>
      <c r="AC303" s="1887"/>
    </row>
    <row r="304">
      <c r="A304" s="1887"/>
      <c r="B304" s="1887"/>
      <c r="C304" s="1887"/>
      <c r="D304" s="1887"/>
      <c r="E304" s="1887"/>
      <c r="F304" s="1887"/>
      <c r="G304" s="1887"/>
      <c r="H304" s="1887"/>
      <c r="I304" s="1887"/>
      <c r="J304" s="1887"/>
      <c r="K304" s="1887"/>
      <c r="L304" s="1887"/>
      <c r="M304" s="1887"/>
      <c r="N304" s="1887"/>
      <c r="O304" s="1887"/>
      <c r="P304" s="1887"/>
      <c r="Q304" s="1887"/>
      <c r="R304" s="1887"/>
      <c r="S304" s="1887"/>
      <c r="T304" s="1887"/>
      <c r="U304" s="1887"/>
      <c r="V304" s="1887"/>
      <c r="W304" s="1887"/>
      <c r="X304" s="1887"/>
      <c r="Y304" s="1887"/>
      <c r="Z304" s="1887"/>
      <c r="AA304" s="1887"/>
      <c r="AB304" s="1887"/>
      <c r="AC304" s="1887"/>
    </row>
    <row r="305">
      <c r="A305" s="1887"/>
      <c r="B305" s="1887"/>
      <c r="C305" s="1887"/>
      <c r="D305" s="1887"/>
      <c r="E305" s="1887"/>
      <c r="F305" s="1887"/>
      <c r="G305" s="1887"/>
      <c r="H305" s="1887"/>
      <c r="I305" s="1887"/>
      <c r="J305" s="1887"/>
      <c r="K305" s="1887"/>
      <c r="L305" s="1887"/>
      <c r="M305" s="1887"/>
      <c r="N305" s="1887"/>
      <c r="O305" s="1887"/>
      <c r="P305" s="1887"/>
      <c r="Q305" s="1887"/>
      <c r="R305" s="1887"/>
      <c r="S305" s="1887"/>
      <c r="T305" s="1887"/>
      <c r="U305" s="1887"/>
      <c r="V305" s="1887"/>
      <c r="W305" s="1887"/>
      <c r="X305" s="1887"/>
      <c r="Y305" s="1887"/>
      <c r="Z305" s="1887"/>
      <c r="AA305" s="1887"/>
      <c r="AB305" s="1887"/>
      <c r="AC305" s="1887"/>
    </row>
    <row r="306">
      <c r="A306" s="1887"/>
      <c r="B306" s="1887"/>
      <c r="C306" s="1887"/>
      <c r="D306" s="1887"/>
      <c r="E306" s="1887"/>
      <c r="F306" s="1887"/>
      <c r="G306" s="1887"/>
      <c r="H306" s="1887"/>
      <c r="I306" s="1887"/>
      <c r="J306" s="1887"/>
      <c r="K306" s="1887"/>
      <c r="L306" s="1887"/>
      <c r="M306" s="1887"/>
      <c r="N306" s="1887"/>
      <c r="O306" s="1887"/>
      <c r="P306" s="1887"/>
      <c r="Q306" s="1887"/>
      <c r="R306" s="1887"/>
      <c r="S306" s="1887"/>
      <c r="T306" s="1887"/>
      <c r="U306" s="1887"/>
      <c r="V306" s="1887"/>
      <c r="W306" s="1887"/>
      <c r="X306" s="1887"/>
      <c r="Y306" s="1887"/>
      <c r="Z306" s="1887"/>
      <c r="AA306" s="1887"/>
      <c r="AB306" s="1887"/>
      <c r="AC306" s="1887"/>
    </row>
    <row r="307">
      <c r="A307" s="1887"/>
      <c r="B307" s="1887"/>
      <c r="C307" s="1887"/>
      <c r="D307" s="1887"/>
      <c r="E307" s="1887"/>
      <c r="F307" s="1887"/>
      <c r="G307" s="1887"/>
      <c r="H307" s="1887"/>
      <c r="I307" s="1887"/>
      <c r="J307" s="1887"/>
      <c r="K307" s="1887"/>
      <c r="L307" s="1887"/>
      <c r="M307" s="1887"/>
      <c r="N307" s="1887"/>
      <c r="O307" s="1887"/>
      <c r="P307" s="1887"/>
      <c r="Q307" s="1887"/>
      <c r="R307" s="1887"/>
      <c r="S307" s="1887"/>
      <c r="T307" s="1887"/>
      <c r="U307" s="1887"/>
      <c r="V307" s="1887"/>
      <c r="W307" s="1887"/>
      <c r="X307" s="1887"/>
      <c r="Y307" s="1887"/>
      <c r="Z307" s="1887"/>
      <c r="AA307" s="1887"/>
      <c r="AB307" s="1887"/>
      <c r="AC307" s="1887"/>
    </row>
    <row r="308">
      <c r="A308" s="1887"/>
      <c r="B308" s="1887"/>
      <c r="C308" s="1887"/>
      <c r="D308" s="1887"/>
      <c r="E308" s="1887"/>
      <c r="F308" s="1887"/>
      <c r="G308" s="1887"/>
      <c r="H308" s="1887"/>
      <c r="I308" s="1887"/>
      <c r="J308" s="1887"/>
      <c r="K308" s="1887"/>
      <c r="L308" s="1887"/>
      <c r="M308" s="1887"/>
      <c r="N308" s="1887"/>
      <c r="O308" s="1887"/>
      <c r="P308" s="1887"/>
      <c r="Q308" s="1887"/>
      <c r="R308" s="1887"/>
      <c r="S308" s="1887"/>
      <c r="T308" s="1887"/>
      <c r="U308" s="1887"/>
      <c r="V308" s="1887"/>
      <c r="W308" s="1887"/>
      <c r="X308" s="1887"/>
      <c r="Y308" s="1887"/>
      <c r="Z308" s="1887"/>
      <c r="AA308" s="1887"/>
      <c r="AB308" s="1887"/>
      <c r="AC308" s="1887"/>
    </row>
    <row r="309">
      <c r="A309" s="1887"/>
      <c r="B309" s="1887"/>
      <c r="C309" s="1887"/>
      <c r="D309" s="1887"/>
      <c r="E309" s="1887"/>
      <c r="F309" s="1887"/>
      <c r="G309" s="1887"/>
      <c r="H309" s="1887"/>
      <c r="I309" s="1887"/>
      <c r="J309" s="1887"/>
      <c r="K309" s="1887"/>
      <c r="L309" s="1887"/>
      <c r="M309" s="1887"/>
      <c r="N309" s="1887"/>
      <c r="O309" s="1887"/>
      <c r="P309" s="1887"/>
      <c r="Q309" s="1887"/>
      <c r="R309" s="1887"/>
      <c r="S309" s="1887"/>
      <c r="T309" s="1887"/>
      <c r="U309" s="1887"/>
      <c r="V309" s="1887"/>
      <c r="W309" s="1887"/>
      <c r="X309" s="1887"/>
      <c r="Y309" s="1887"/>
      <c r="Z309" s="1887"/>
      <c r="AA309" s="1887"/>
      <c r="AB309" s="1887"/>
      <c r="AC309" s="1887"/>
    </row>
    <row r="310">
      <c r="A310" s="1887"/>
      <c r="B310" s="1887"/>
      <c r="C310" s="1887"/>
      <c r="D310" s="1887"/>
      <c r="E310" s="1887"/>
      <c r="F310" s="1887"/>
      <c r="G310" s="1887"/>
      <c r="H310" s="1887"/>
      <c r="I310" s="1887"/>
      <c r="J310" s="1887"/>
      <c r="K310" s="1887"/>
      <c r="L310" s="1887"/>
      <c r="M310" s="1887"/>
      <c r="N310" s="1887"/>
      <c r="O310" s="1887"/>
      <c r="P310" s="1887"/>
      <c r="Q310" s="1887"/>
      <c r="R310" s="1887"/>
      <c r="S310" s="1887"/>
      <c r="T310" s="1887"/>
      <c r="U310" s="1887"/>
      <c r="V310" s="1887"/>
      <c r="W310" s="1887"/>
      <c r="X310" s="1887"/>
      <c r="Y310" s="1887"/>
      <c r="Z310" s="1887"/>
      <c r="AA310" s="1887"/>
      <c r="AB310" s="1887"/>
      <c r="AC310" s="1887"/>
    </row>
    <row r="311">
      <c r="A311" s="1887"/>
      <c r="B311" s="1887"/>
      <c r="C311" s="1887"/>
      <c r="D311" s="1887"/>
      <c r="E311" s="1887"/>
      <c r="F311" s="1887"/>
      <c r="G311" s="1887"/>
      <c r="H311" s="1887"/>
      <c r="I311" s="1887"/>
      <c r="J311" s="1887"/>
      <c r="K311" s="1887"/>
      <c r="L311" s="1887"/>
      <c r="M311" s="1887"/>
      <c r="N311" s="1887"/>
      <c r="O311" s="1887"/>
      <c r="P311" s="1887"/>
      <c r="Q311" s="1887"/>
      <c r="R311" s="1887"/>
      <c r="S311" s="1887"/>
      <c r="T311" s="1887"/>
      <c r="U311" s="1887"/>
      <c r="V311" s="1887"/>
      <c r="W311" s="1887"/>
      <c r="X311" s="1887"/>
      <c r="Y311" s="1887"/>
      <c r="Z311" s="1887"/>
      <c r="AA311" s="1887"/>
      <c r="AB311" s="1887"/>
      <c r="AC311" s="1887"/>
    </row>
    <row r="312">
      <c r="A312" s="1887"/>
      <c r="B312" s="1887"/>
      <c r="C312" s="1887"/>
      <c r="D312" s="1887"/>
      <c r="E312" s="1887"/>
      <c r="F312" s="1887"/>
      <c r="G312" s="1887"/>
      <c r="H312" s="1887"/>
      <c r="I312" s="1887"/>
      <c r="J312" s="1887"/>
      <c r="K312" s="1887"/>
      <c r="L312" s="1887"/>
      <c r="M312" s="1887"/>
      <c r="N312" s="1887"/>
      <c r="O312" s="1887"/>
      <c r="P312" s="1887"/>
      <c r="Q312" s="1887"/>
      <c r="R312" s="1887"/>
      <c r="S312" s="1887"/>
      <c r="T312" s="1887"/>
      <c r="U312" s="1887"/>
      <c r="V312" s="1887"/>
      <c r="W312" s="1887"/>
      <c r="X312" s="1887"/>
      <c r="Y312" s="1887"/>
      <c r="Z312" s="1887"/>
      <c r="AA312" s="1887"/>
      <c r="AB312" s="1887"/>
      <c r="AC312" s="1887"/>
    </row>
    <row r="313">
      <c r="A313" s="1887"/>
      <c r="B313" s="1887"/>
      <c r="C313" s="1887"/>
      <c r="D313" s="1887"/>
      <c r="E313" s="1887"/>
      <c r="F313" s="1887"/>
      <c r="G313" s="1887"/>
      <c r="H313" s="1887"/>
      <c r="I313" s="1887"/>
      <c r="J313" s="1887"/>
      <c r="K313" s="1887"/>
      <c r="L313" s="1887"/>
      <c r="M313" s="1887"/>
      <c r="N313" s="1887"/>
      <c r="O313" s="1887"/>
      <c r="P313" s="1887"/>
      <c r="Q313" s="1887"/>
      <c r="R313" s="1887"/>
      <c r="S313" s="1887"/>
      <c r="T313" s="1887"/>
      <c r="U313" s="1887"/>
      <c r="V313" s="1887"/>
      <c r="W313" s="1887"/>
      <c r="X313" s="1887"/>
      <c r="Y313" s="1887"/>
      <c r="Z313" s="1887"/>
      <c r="AA313" s="1887"/>
      <c r="AB313" s="1887"/>
      <c r="AC313" s="1887"/>
    </row>
    <row r="314">
      <c r="A314" s="1887"/>
      <c r="B314" s="1887"/>
      <c r="C314" s="1887"/>
      <c r="D314" s="1887"/>
      <c r="E314" s="1887"/>
      <c r="F314" s="1887"/>
      <c r="G314" s="1887"/>
      <c r="H314" s="1887"/>
      <c r="I314" s="1887"/>
      <c r="J314" s="1887"/>
      <c r="K314" s="1887"/>
      <c r="L314" s="1887"/>
      <c r="M314" s="1887"/>
      <c r="N314" s="1887"/>
      <c r="O314" s="1887"/>
      <c r="P314" s="1887"/>
      <c r="Q314" s="1887"/>
      <c r="R314" s="1887"/>
      <c r="S314" s="1887"/>
      <c r="T314" s="1887"/>
      <c r="U314" s="1887"/>
      <c r="V314" s="1887"/>
      <c r="W314" s="1887"/>
      <c r="X314" s="1887"/>
      <c r="Y314" s="1887"/>
      <c r="Z314" s="1887"/>
      <c r="AA314" s="1887"/>
      <c r="AB314" s="1887"/>
      <c r="AC314" s="1887"/>
    </row>
    <row r="315">
      <c r="A315" s="1887"/>
      <c r="B315" s="1887"/>
      <c r="C315" s="1887"/>
      <c r="D315" s="1887"/>
      <c r="E315" s="1887"/>
      <c r="F315" s="1887"/>
      <c r="G315" s="1887"/>
      <c r="H315" s="1887"/>
      <c r="I315" s="1887"/>
      <c r="J315" s="1887"/>
      <c r="K315" s="1887"/>
      <c r="L315" s="1887"/>
      <c r="M315" s="1887"/>
      <c r="N315" s="1887"/>
      <c r="O315" s="1887"/>
      <c r="P315" s="1887"/>
      <c r="Q315" s="1887"/>
      <c r="R315" s="1887"/>
      <c r="S315" s="1887"/>
      <c r="T315" s="1887"/>
      <c r="U315" s="1887"/>
      <c r="V315" s="1887"/>
      <c r="W315" s="1887"/>
      <c r="X315" s="1887"/>
      <c r="Y315" s="1887"/>
      <c r="Z315" s="1887"/>
      <c r="AA315" s="1887"/>
      <c r="AB315" s="1887"/>
      <c r="AC315" s="1887"/>
    </row>
    <row r="316">
      <c r="A316" s="1887"/>
      <c r="B316" s="1887"/>
      <c r="C316" s="1887"/>
      <c r="D316" s="1887"/>
      <c r="E316" s="1887"/>
      <c r="F316" s="1887"/>
      <c r="G316" s="1887"/>
      <c r="H316" s="1887"/>
      <c r="I316" s="1887"/>
      <c r="J316" s="1887"/>
      <c r="K316" s="1887"/>
      <c r="L316" s="1887"/>
      <c r="M316" s="1887"/>
      <c r="N316" s="1887"/>
      <c r="O316" s="1887"/>
      <c r="P316" s="1887"/>
      <c r="Q316" s="1887"/>
      <c r="R316" s="1887"/>
      <c r="S316" s="1887"/>
      <c r="T316" s="1887"/>
      <c r="U316" s="1887"/>
      <c r="V316" s="1887"/>
      <c r="W316" s="1887"/>
      <c r="X316" s="1887"/>
      <c r="Y316" s="1887"/>
      <c r="Z316" s="1887"/>
      <c r="AA316" s="1887"/>
      <c r="AB316" s="1887"/>
      <c r="AC316" s="1887"/>
    </row>
    <row r="317">
      <c r="A317" s="1887"/>
      <c r="B317" s="1887"/>
      <c r="C317" s="1887"/>
      <c r="D317" s="1887"/>
      <c r="E317" s="1887"/>
      <c r="F317" s="1887"/>
      <c r="G317" s="1887"/>
      <c r="H317" s="1887"/>
      <c r="I317" s="1887"/>
      <c r="J317" s="1887"/>
      <c r="K317" s="1887"/>
      <c r="L317" s="1887"/>
      <c r="M317" s="1887"/>
      <c r="N317" s="1887"/>
      <c r="O317" s="1887"/>
      <c r="P317" s="1887"/>
      <c r="Q317" s="1887"/>
      <c r="R317" s="1887"/>
      <c r="S317" s="1887"/>
      <c r="T317" s="1887"/>
      <c r="U317" s="1887"/>
      <c r="V317" s="1887"/>
      <c r="W317" s="1887"/>
      <c r="X317" s="1887"/>
      <c r="Y317" s="1887"/>
      <c r="Z317" s="1887"/>
      <c r="AA317" s="1887"/>
      <c r="AB317" s="1887"/>
      <c r="AC317" s="1887"/>
    </row>
    <row r="318">
      <c r="A318" s="1887"/>
      <c r="B318" s="1887"/>
      <c r="C318" s="1887"/>
      <c r="D318" s="1887"/>
      <c r="E318" s="1887"/>
      <c r="F318" s="1887"/>
      <c r="G318" s="1887"/>
      <c r="H318" s="1887"/>
      <c r="I318" s="1887"/>
      <c r="J318" s="1887"/>
      <c r="K318" s="1887"/>
      <c r="L318" s="1887"/>
      <c r="M318" s="1887"/>
      <c r="N318" s="1887"/>
      <c r="O318" s="1887"/>
      <c r="P318" s="1887"/>
      <c r="Q318" s="1887"/>
      <c r="R318" s="1887"/>
      <c r="S318" s="1887"/>
      <c r="T318" s="1887"/>
      <c r="U318" s="1887"/>
      <c r="V318" s="1887"/>
      <c r="W318" s="1887"/>
      <c r="X318" s="1887"/>
      <c r="Y318" s="1887"/>
      <c r="Z318" s="1887"/>
      <c r="AA318" s="1887"/>
      <c r="AB318" s="1887"/>
      <c r="AC318" s="1887"/>
    </row>
    <row r="319">
      <c r="A319" s="1887"/>
      <c r="B319" s="1887"/>
      <c r="C319" s="1887"/>
      <c r="D319" s="1887"/>
      <c r="E319" s="1887"/>
      <c r="F319" s="1887"/>
      <c r="G319" s="1887"/>
      <c r="H319" s="1887"/>
      <c r="I319" s="1887"/>
      <c r="J319" s="1887"/>
      <c r="K319" s="1887"/>
      <c r="L319" s="1887"/>
      <c r="M319" s="1887"/>
      <c r="N319" s="1887"/>
      <c r="O319" s="1887"/>
      <c r="P319" s="1887"/>
      <c r="Q319" s="1887"/>
      <c r="R319" s="1887"/>
      <c r="S319" s="1887"/>
      <c r="T319" s="1887"/>
      <c r="U319" s="1887"/>
      <c r="V319" s="1887"/>
      <c r="W319" s="1887"/>
      <c r="X319" s="1887"/>
      <c r="Y319" s="1887"/>
      <c r="Z319" s="1887"/>
      <c r="AA319" s="1887"/>
      <c r="AB319" s="1887"/>
      <c r="AC319" s="1887"/>
    </row>
    <row r="320">
      <c r="A320" s="1887"/>
      <c r="B320" s="1887"/>
      <c r="C320" s="1887"/>
      <c r="D320" s="1887"/>
      <c r="E320" s="1887"/>
      <c r="F320" s="1887"/>
      <c r="G320" s="1887"/>
      <c r="H320" s="1887"/>
      <c r="I320" s="1887"/>
      <c r="J320" s="1887"/>
      <c r="K320" s="1887"/>
      <c r="L320" s="1887"/>
      <c r="M320" s="1887"/>
      <c r="N320" s="1887"/>
      <c r="O320" s="1887"/>
      <c r="P320" s="1887"/>
      <c r="Q320" s="1887"/>
      <c r="R320" s="1887"/>
      <c r="S320" s="1887"/>
      <c r="T320" s="1887"/>
      <c r="U320" s="1887"/>
      <c r="V320" s="1887"/>
      <c r="W320" s="1887"/>
      <c r="X320" s="1887"/>
      <c r="Y320" s="1887"/>
      <c r="Z320" s="1887"/>
      <c r="AA320" s="1887"/>
      <c r="AB320" s="1887"/>
      <c r="AC320" s="1887"/>
    </row>
    <row r="321">
      <c r="A321" s="1887"/>
      <c r="B321" s="1887"/>
      <c r="C321" s="1887"/>
      <c r="D321" s="1887"/>
      <c r="E321" s="1887"/>
      <c r="F321" s="1887"/>
      <c r="G321" s="1887"/>
      <c r="H321" s="1887"/>
      <c r="I321" s="1887"/>
      <c r="J321" s="1887"/>
      <c r="K321" s="1887"/>
      <c r="L321" s="1887"/>
      <c r="M321" s="1887"/>
      <c r="N321" s="1887"/>
      <c r="O321" s="1887"/>
      <c r="P321" s="1887"/>
      <c r="Q321" s="1887"/>
      <c r="R321" s="1887"/>
      <c r="S321" s="1887"/>
      <c r="T321" s="1887"/>
      <c r="U321" s="1887"/>
      <c r="V321" s="1887"/>
      <c r="W321" s="1887"/>
      <c r="X321" s="1887"/>
      <c r="Y321" s="1887"/>
      <c r="Z321" s="1887"/>
      <c r="AA321" s="1887"/>
      <c r="AB321" s="1887"/>
      <c r="AC321" s="1887"/>
    </row>
    <row r="322">
      <c r="A322" s="1887"/>
      <c r="B322" s="1887"/>
      <c r="C322" s="1887"/>
      <c r="D322" s="1887"/>
      <c r="E322" s="1887"/>
      <c r="F322" s="1887"/>
      <c r="G322" s="1887"/>
      <c r="H322" s="1887"/>
      <c r="I322" s="1887"/>
      <c r="J322" s="1887"/>
      <c r="K322" s="1887"/>
      <c r="L322" s="1887"/>
      <c r="M322" s="1887"/>
      <c r="N322" s="1887"/>
      <c r="O322" s="1887"/>
      <c r="P322" s="1887"/>
      <c r="Q322" s="1887"/>
      <c r="R322" s="1887"/>
      <c r="S322" s="1887"/>
      <c r="T322" s="1887"/>
      <c r="U322" s="1887"/>
      <c r="V322" s="1887"/>
      <c r="W322" s="1887"/>
      <c r="X322" s="1887"/>
      <c r="Y322" s="1887"/>
      <c r="Z322" s="1887"/>
      <c r="AA322" s="1887"/>
      <c r="AB322" s="1887"/>
      <c r="AC322" s="1887"/>
    </row>
    <row r="323">
      <c r="A323" s="1887"/>
      <c r="B323" s="1887"/>
      <c r="C323" s="1887"/>
      <c r="D323" s="1887"/>
      <c r="E323" s="1887"/>
      <c r="F323" s="1887"/>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row>
    <row r="324">
      <c r="A324" s="1887"/>
      <c r="B324" s="1887"/>
      <c r="C324" s="1887"/>
      <c r="D324" s="1887"/>
      <c r="E324" s="1887"/>
      <c r="F324" s="1887"/>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row>
    <row r="325">
      <c r="A325" s="1887"/>
      <c r="B325" s="1887"/>
      <c r="C325" s="1887"/>
      <c r="D325" s="1887"/>
      <c r="E325" s="1887"/>
      <c r="F325" s="1887"/>
      <c r="G325" s="1887"/>
      <c r="H325" s="1887"/>
      <c r="I325" s="1887"/>
      <c r="J325" s="1887"/>
      <c r="K325" s="1887"/>
      <c r="L325" s="1887"/>
      <c r="M325" s="1887"/>
      <c r="N325" s="1887"/>
      <c r="O325" s="1887"/>
      <c r="P325" s="1887"/>
      <c r="Q325" s="1887"/>
      <c r="R325" s="1887"/>
      <c r="S325" s="1887"/>
      <c r="T325" s="1887"/>
      <c r="U325" s="1887"/>
      <c r="V325" s="1887"/>
      <c r="W325" s="1887"/>
      <c r="X325" s="1887"/>
      <c r="Y325" s="1887"/>
      <c r="Z325" s="1887"/>
      <c r="AA325" s="1887"/>
      <c r="AB325" s="1887"/>
      <c r="AC325" s="1887"/>
    </row>
    <row r="326">
      <c r="A326" s="1887"/>
      <c r="B326" s="1887"/>
      <c r="C326" s="1887"/>
      <c r="D326" s="1887"/>
      <c r="E326" s="1887"/>
      <c r="F326" s="1887"/>
      <c r="G326" s="1887"/>
      <c r="H326" s="1887"/>
      <c r="I326" s="1887"/>
      <c r="J326" s="1887"/>
      <c r="K326" s="1887"/>
      <c r="L326" s="1887"/>
      <c r="M326" s="1887"/>
      <c r="N326" s="1887"/>
      <c r="O326" s="1887"/>
      <c r="P326" s="1887"/>
      <c r="Q326" s="1887"/>
      <c r="R326" s="1887"/>
      <c r="S326" s="1887"/>
      <c r="T326" s="1887"/>
      <c r="U326" s="1887"/>
      <c r="V326" s="1887"/>
      <c r="W326" s="1887"/>
      <c r="X326" s="1887"/>
      <c r="Y326" s="1887"/>
      <c r="Z326" s="1887"/>
      <c r="AA326" s="1887"/>
      <c r="AB326" s="1887"/>
      <c r="AC326" s="1887"/>
    </row>
    <row r="327">
      <c r="A327" s="1887"/>
      <c r="B327" s="1887"/>
      <c r="C327" s="1887"/>
      <c r="D327" s="1887"/>
      <c r="E327" s="1887"/>
      <c r="F327" s="1887"/>
      <c r="G327" s="1887"/>
      <c r="H327" s="1887"/>
      <c r="I327" s="1887"/>
      <c r="J327" s="1887"/>
      <c r="K327" s="1887"/>
      <c r="L327" s="1887"/>
      <c r="M327" s="1887"/>
      <c r="N327" s="1887"/>
      <c r="O327" s="1887"/>
      <c r="P327" s="1887"/>
      <c r="Q327" s="1887"/>
      <c r="R327" s="1887"/>
      <c r="S327" s="1887"/>
      <c r="T327" s="1887"/>
      <c r="U327" s="1887"/>
      <c r="V327" s="1887"/>
      <c r="W327" s="1887"/>
      <c r="X327" s="1887"/>
      <c r="Y327" s="1887"/>
      <c r="Z327" s="1887"/>
      <c r="AA327" s="1887"/>
      <c r="AB327" s="1887"/>
      <c r="AC327" s="1887"/>
    </row>
    <row r="328">
      <c r="A328" s="1887"/>
      <c r="B328" s="1887"/>
      <c r="C328" s="1887"/>
      <c r="D328" s="1887"/>
      <c r="E328" s="1887"/>
      <c r="F328" s="1887"/>
      <c r="G328" s="1887"/>
      <c r="H328" s="1887"/>
      <c r="I328" s="1887"/>
      <c r="J328" s="1887"/>
      <c r="K328" s="1887"/>
      <c r="L328" s="1887"/>
      <c r="M328" s="1887"/>
      <c r="N328" s="1887"/>
      <c r="O328" s="1887"/>
      <c r="P328" s="1887"/>
      <c r="Q328" s="1887"/>
      <c r="R328" s="1887"/>
      <c r="S328" s="1887"/>
      <c r="T328" s="1887"/>
      <c r="U328" s="1887"/>
      <c r="V328" s="1887"/>
      <c r="W328" s="1887"/>
      <c r="X328" s="1887"/>
      <c r="Y328" s="1887"/>
      <c r="Z328" s="1887"/>
      <c r="AA328" s="1887"/>
      <c r="AB328" s="1887"/>
      <c r="AC328" s="1887"/>
    </row>
    <row r="329">
      <c r="A329" s="1887"/>
      <c r="B329" s="1887"/>
      <c r="C329" s="1887"/>
      <c r="D329" s="1887"/>
      <c r="E329" s="1887"/>
      <c r="F329" s="1887"/>
      <c r="G329" s="1887"/>
      <c r="H329" s="1887"/>
      <c r="I329" s="1887"/>
      <c r="J329" s="1887"/>
      <c r="K329" s="1887"/>
      <c r="L329" s="1887"/>
      <c r="M329" s="1887"/>
      <c r="N329" s="1887"/>
      <c r="O329" s="1887"/>
      <c r="P329" s="1887"/>
      <c r="Q329" s="1887"/>
      <c r="R329" s="1887"/>
      <c r="S329" s="1887"/>
      <c r="T329" s="1887"/>
      <c r="U329" s="1887"/>
      <c r="V329" s="1887"/>
      <c r="W329" s="1887"/>
      <c r="X329" s="1887"/>
      <c r="Y329" s="1887"/>
      <c r="Z329" s="1887"/>
      <c r="AA329" s="1887"/>
      <c r="AB329" s="1887"/>
      <c r="AC329" s="1887"/>
    </row>
    <row r="330">
      <c r="A330" s="1887"/>
      <c r="B330" s="1887"/>
      <c r="C330" s="1887"/>
      <c r="D330" s="1887"/>
      <c r="E330" s="1887"/>
      <c r="F330" s="1887"/>
      <c r="G330" s="1887"/>
      <c r="H330" s="1887"/>
      <c r="I330" s="1887"/>
      <c r="J330" s="1887"/>
      <c r="K330" s="1887"/>
      <c r="L330" s="1887"/>
      <c r="M330" s="1887"/>
      <c r="N330" s="1887"/>
      <c r="O330" s="1887"/>
      <c r="P330" s="1887"/>
      <c r="Q330" s="1887"/>
      <c r="R330" s="1887"/>
      <c r="S330" s="1887"/>
      <c r="T330" s="1887"/>
      <c r="U330" s="1887"/>
      <c r="V330" s="1887"/>
      <c r="W330" s="1887"/>
      <c r="X330" s="1887"/>
      <c r="Y330" s="1887"/>
      <c r="Z330" s="1887"/>
      <c r="AA330" s="1887"/>
      <c r="AB330" s="1887"/>
      <c r="AC330" s="1887"/>
    </row>
    <row r="331">
      <c r="A331" s="1887"/>
      <c r="B331" s="1887"/>
      <c r="C331" s="1887"/>
      <c r="D331" s="1887"/>
      <c r="E331" s="1887"/>
      <c r="F331" s="1887"/>
      <c r="G331" s="1887"/>
      <c r="H331" s="1887"/>
      <c r="I331" s="1887"/>
      <c r="J331" s="1887"/>
      <c r="K331" s="1887"/>
      <c r="L331" s="1887"/>
      <c r="M331" s="1887"/>
      <c r="N331" s="1887"/>
      <c r="O331" s="1887"/>
      <c r="P331" s="1887"/>
      <c r="Q331" s="1887"/>
      <c r="R331" s="1887"/>
      <c r="S331" s="1887"/>
      <c r="T331" s="1887"/>
      <c r="U331" s="1887"/>
      <c r="V331" s="1887"/>
      <c r="W331" s="1887"/>
      <c r="X331" s="1887"/>
      <c r="Y331" s="1887"/>
      <c r="Z331" s="1887"/>
      <c r="AA331" s="1887"/>
      <c r="AB331" s="1887"/>
      <c r="AC331" s="1887"/>
    </row>
    <row r="332">
      <c r="A332" s="1887"/>
      <c r="B332" s="1887"/>
      <c r="C332" s="1887"/>
      <c r="D332" s="1887"/>
      <c r="E332" s="1887"/>
      <c r="F332" s="1887"/>
      <c r="G332" s="1887"/>
      <c r="H332" s="1887"/>
      <c r="I332" s="1887"/>
      <c r="J332" s="1887"/>
      <c r="K332" s="1887"/>
      <c r="L332" s="1887"/>
      <c r="M332" s="1887"/>
      <c r="N332" s="1887"/>
      <c r="O332" s="1887"/>
      <c r="P332" s="1887"/>
      <c r="Q332" s="1887"/>
      <c r="R332" s="1887"/>
      <c r="S332" s="1887"/>
      <c r="T332" s="1887"/>
      <c r="U332" s="1887"/>
      <c r="V332" s="1887"/>
      <c r="W332" s="1887"/>
      <c r="X332" s="1887"/>
      <c r="Y332" s="1887"/>
      <c r="Z332" s="1887"/>
      <c r="AA332" s="1887"/>
      <c r="AB332" s="1887"/>
      <c r="AC332" s="1887"/>
    </row>
    <row r="333">
      <c r="A333" s="1887"/>
      <c r="B333" s="1887"/>
      <c r="C333" s="1887"/>
      <c r="D333" s="1887"/>
      <c r="E333" s="1887"/>
      <c r="F333" s="1887"/>
      <c r="G333" s="1887"/>
      <c r="H333" s="1887"/>
      <c r="I333" s="1887"/>
      <c r="J333" s="1887"/>
      <c r="K333" s="1887"/>
      <c r="L333" s="1887"/>
      <c r="M333" s="1887"/>
      <c r="N333" s="1887"/>
      <c r="O333" s="1887"/>
      <c r="P333" s="1887"/>
      <c r="Q333" s="1887"/>
      <c r="R333" s="1887"/>
      <c r="S333" s="1887"/>
      <c r="T333" s="1887"/>
      <c r="U333" s="1887"/>
      <c r="V333" s="1887"/>
      <c r="W333" s="1887"/>
      <c r="X333" s="1887"/>
      <c r="Y333" s="1887"/>
      <c r="Z333" s="1887"/>
      <c r="AA333" s="1887"/>
      <c r="AB333" s="1887"/>
      <c r="AC333" s="1887"/>
    </row>
    <row r="334">
      <c r="A334" s="1887"/>
      <c r="B334" s="1887"/>
      <c r="C334" s="1887"/>
      <c r="D334" s="1887"/>
      <c r="E334" s="1887"/>
      <c r="F334" s="1887"/>
      <c r="G334" s="1887"/>
      <c r="H334" s="1887"/>
      <c r="I334" s="1887"/>
      <c r="J334" s="1887"/>
      <c r="K334" s="1887"/>
      <c r="L334" s="1887"/>
      <c r="M334" s="1887"/>
      <c r="N334" s="1887"/>
      <c r="O334" s="1887"/>
      <c r="P334" s="1887"/>
      <c r="Q334" s="1887"/>
      <c r="R334" s="1887"/>
      <c r="S334" s="1887"/>
      <c r="T334" s="1887"/>
      <c r="U334" s="1887"/>
      <c r="V334" s="1887"/>
      <c r="W334" s="1887"/>
      <c r="X334" s="1887"/>
      <c r="Y334" s="1887"/>
      <c r="Z334" s="1887"/>
      <c r="AA334" s="1887"/>
      <c r="AB334" s="1887"/>
      <c r="AC334" s="1887"/>
    </row>
    <row r="335">
      <c r="A335" s="1887"/>
      <c r="B335" s="1887"/>
      <c r="C335" s="1887"/>
      <c r="D335" s="1887"/>
      <c r="E335" s="1887"/>
      <c r="F335" s="1887"/>
      <c r="G335" s="1887"/>
      <c r="H335" s="1887"/>
      <c r="I335" s="1887"/>
      <c r="J335" s="1887"/>
      <c r="K335" s="1887"/>
      <c r="L335" s="1887"/>
      <c r="M335" s="1887"/>
      <c r="N335" s="1887"/>
      <c r="O335" s="1887"/>
      <c r="P335" s="1887"/>
      <c r="Q335" s="1887"/>
      <c r="R335" s="1887"/>
      <c r="S335" s="1887"/>
      <c r="T335" s="1887"/>
      <c r="U335" s="1887"/>
      <c r="V335" s="1887"/>
      <c r="W335" s="1887"/>
      <c r="X335" s="1887"/>
      <c r="Y335" s="1887"/>
      <c r="Z335" s="1887"/>
      <c r="AA335" s="1887"/>
      <c r="AB335" s="1887"/>
      <c r="AC335" s="1887"/>
    </row>
    <row r="336">
      <c r="A336" s="1887"/>
      <c r="B336" s="1887"/>
      <c r="C336" s="1887"/>
      <c r="D336" s="1887"/>
      <c r="E336" s="1887"/>
      <c r="F336" s="1887"/>
      <c r="G336" s="1887"/>
      <c r="H336" s="1887"/>
      <c r="I336" s="1887"/>
      <c r="J336" s="1887"/>
      <c r="K336" s="1887"/>
      <c r="L336" s="1887"/>
      <c r="M336" s="1887"/>
      <c r="N336" s="1887"/>
      <c r="O336" s="1887"/>
      <c r="P336" s="1887"/>
      <c r="Q336" s="1887"/>
      <c r="R336" s="1887"/>
      <c r="S336" s="1887"/>
      <c r="T336" s="1887"/>
      <c r="U336" s="1887"/>
      <c r="V336" s="1887"/>
      <c r="W336" s="1887"/>
      <c r="X336" s="1887"/>
      <c r="Y336" s="1887"/>
      <c r="Z336" s="1887"/>
      <c r="AA336" s="1887"/>
      <c r="AB336" s="1887"/>
      <c r="AC336" s="1887"/>
    </row>
    <row r="337">
      <c r="A337" s="1887"/>
      <c r="B337" s="1887"/>
      <c r="C337" s="1887"/>
      <c r="D337" s="1887"/>
      <c r="E337" s="1887"/>
      <c r="F337" s="1887"/>
      <c r="G337" s="1887"/>
      <c r="H337" s="1887"/>
      <c r="I337" s="1887"/>
      <c r="J337" s="1887"/>
      <c r="K337" s="1887"/>
      <c r="L337" s="1887"/>
      <c r="M337" s="1887"/>
      <c r="N337" s="1887"/>
      <c r="O337" s="1887"/>
      <c r="P337" s="1887"/>
      <c r="Q337" s="1887"/>
      <c r="R337" s="1887"/>
      <c r="S337" s="1887"/>
      <c r="T337" s="1887"/>
      <c r="U337" s="1887"/>
      <c r="V337" s="1887"/>
      <c r="W337" s="1887"/>
      <c r="X337" s="1887"/>
      <c r="Y337" s="1887"/>
      <c r="Z337" s="1887"/>
      <c r="AA337" s="1887"/>
      <c r="AB337" s="1887"/>
      <c r="AC337" s="1887"/>
    </row>
    <row r="338">
      <c r="A338" s="1887"/>
      <c r="B338" s="1887"/>
      <c r="C338" s="1887"/>
      <c r="D338" s="1887"/>
      <c r="E338" s="1887"/>
      <c r="F338" s="1887"/>
      <c r="G338" s="1887"/>
      <c r="H338" s="1887"/>
      <c r="I338" s="1887"/>
      <c r="J338" s="1887"/>
      <c r="K338" s="1887"/>
      <c r="L338" s="1887"/>
      <c r="M338" s="1887"/>
      <c r="N338" s="1887"/>
      <c r="O338" s="1887"/>
      <c r="P338" s="1887"/>
      <c r="Q338" s="1887"/>
      <c r="R338" s="1887"/>
      <c r="S338" s="1887"/>
      <c r="T338" s="1887"/>
      <c r="U338" s="1887"/>
      <c r="V338" s="1887"/>
      <c r="W338" s="1887"/>
      <c r="X338" s="1887"/>
      <c r="Y338" s="1887"/>
      <c r="Z338" s="1887"/>
      <c r="AA338" s="1887"/>
      <c r="AB338" s="1887"/>
      <c r="AC338" s="1887"/>
    </row>
    <row r="339">
      <c r="A339" s="1887"/>
      <c r="B339" s="1887"/>
      <c r="C339" s="1887"/>
      <c r="D339" s="1887"/>
      <c r="E339" s="1887"/>
      <c r="F339" s="1887"/>
      <c r="G339" s="1887"/>
      <c r="H339" s="1887"/>
      <c r="I339" s="1887"/>
      <c r="J339" s="1887"/>
      <c r="K339" s="1887"/>
      <c r="L339" s="1887"/>
      <c r="M339" s="1887"/>
      <c r="N339" s="1887"/>
      <c r="O339" s="1887"/>
      <c r="P339" s="1887"/>
      <c r="Q339" s="1887"/>
      <c r="R339" s="1887"/>
      <c r="S339" s="1887"/>
      <c r="T339" s="1887"/>
      <c r="U339" s="1887"/>
      <c r="V339" s="1887"/>
      <c r="W339" s="1887"/>
      <c r="X339" s="1887"/>
      <c r="Y339" s="1887"/>
      <c r="Z339" s="1887"/>
      <c r="AA339" s="1887"/>
      <c r="AB339" s="1887"/>
      <c r="AC339" s="1887"/>
    </row>
    <row r="340">
      <c r="A340" s="1887"/>
      <c r="B340" s="1887"/>
      <c r="C340" s="1887"/>
      <c r="D340" s="1887"/>
      <c r="E340" s="1887"/>
      <c r="F340" s="1887"/>
      <c r="G340" s="1887"/>
      <c r="H340" s="1887"/>
      <c r="I340" s="1887"/>
      <c r="J340" s="1887"/>
      <c r="K340" s="1887"/>
      <c r="L340" s="1887"/>
      <c r="M340" s="1887"/>
      <c r="N340" s="1887"/>
      <c r="O340" s="1887"/>
      <c r="P340" s="1887"/>
      <c r="Q340" s="1887"/>
      <c r="R340" s="1887"/>
      <c r="S340" s="1887"/>
      <c r="T340" s="1887"/>
      <c r="U340" s="1887"/>
      <c r="V340" s="1887"/>
      <c r="W340" s="1887"/>
      <c r="X340" s="1887"/>
      <c r="Y340" s="1887"/>
      <c r="Z340" s="1887"/>
      <c r="AA340" s="1887"/>
      <c r="AB340" s="1887"/>
      <c r="AC340" s="1887"/>
    </row>
    <row r="341">
      <c r="A341" s="1887"/>
      <c r="B341" s="1887"/>
      <c r="C341" s="1887"/>
      <c r="D341" s="1887"/>
      <c r="E341" s="1887"/>
      <c r="F341" s="1887"/>
      <c r="G341" s="1887"/>
      <c r="H341" s="1887"/>
      <c r="I341" s="1887"/>
      <c r="J341" s="1887"/>
      <c r="K341" s="1887"/>
      <c r="L341" s="1887"/>
      <c r="M341" s="1887"/>
      <c r="N341" s="1887"/>
      <c r="O341" s="1887"/>
      <c r="P341" s="1887"/>
      <c r="Q341" s="1887"/>
      <c r="R341" s="1887"/>
      <c r="S341" s="1887"/>
      <c r="T341" s="1887"/>
      <c r="U341" s="1887"/>
      <c r="V341" s="1887"/>
      <c r="W341" s="1887"/>
      <c r="X341" s="1887"/>
      <c r="Y341" s="1887"/>
      <c r="Z341" s="1887"/>
      <c r="AA341" s="1887"/>
      <c r="AB341" s="1887"/>
      <c r="AC341" s="1887"/>
    </row>
    <row r="342">
      <c r="A342" s="1887"/>
      <c r="B342" s="1887"/>
      <c r="C342" s="1887"/>
      <c r="D342" s="1887"/>
      <c r="E342" s="1887"/>
      <c r="F342" s="1887"/>
      <c r="G342" s="1887"/>
      <c r="H342" s="1887"/>
      <c r="I342" s="1887"/>
      <c r="J342" s="1887"/>
      <c r="K342" s="1887"/>
      <c r="L342" s="1887"/>
      <c r="M342" s="1887"/>
      <c r="N342" s="1887"/>
      <c r="O342" s="1887"/>
      <c r="P342" s="1887"/>
      <c r="Q342" s="1887"/>
      <c r="R342" s="1887"/>
      <c r="S342" s="1887"/>
      <c r="T342" s="1887"/>
      <c r="U342" s="1887"/>
      <c r="V342" s="1887"/>
      <c r="W342" s="1887"/>
      <c r="X342" s="1887"/>
      <c r="Y342" s="1887"/>
      <c r="Z342" s="1887"/>
      <c r="AA342" s="1887"/>
      <c r="AB342" s="1887"/>
      <c r="AC342" s="1887"/>
    </row>
    <row r="343">
      <c r="A343" s="1887"/>
      <c r="B343" s="1887"/>
      <c r="C343" s="1887"/>
      <c r="D343" s="1887"/>
      <c r="E343" s="1887"/>
      <c r="F343" s="1887"/>
      <c r="G343" s="1887"/>
      <c r="H343" s="1887"/>
      <c r="I343" s="1887"/>
      <c r="J343" s="1887"/>
      <c r="K343" s="1887"/>
      <c r="L343" s="1887"/>
      <c r="M343" s="1887"/>
      <c r="N343" s="1887"/>
      <c r="O343" s="1887"/>
      <c r="P343" s="1887"/>
      <c r="Q343" s="1887"/>
      <c r="R343" s="1887"/>
      <c r="S343" s="1887"/>
      <c r="T343" s="1887"/>
      <c r="U343" s="1887"/>
      <c r="V343" s="1887"/>
      <c r="W343" s="1887"/>
      <c r="X343" s="1887"/>
      <c r="Y343" s="1887"/>
      <c r="Z343" s="1887"/>
      <c r="AA343" s="1887"/>
      <c r="AB343" s="1887"/>
      <c r="AC343" s="1887"/>
    </row>
    <row r="344">
      <c r="A344" s="1887"/>
      <c r="B344" s="1887"/>
      <c r="C344" s="1887"/>
      <c r="D344" s="1887"/>
      <c r="E344" s="1887"/>
      <c r="F344" s="1887"/>
      <c r="G344" s="1887"/>
      <c r="H344" s="1887"/>
      <c r="I344" s="1887"/>
      <c r="J344" s="1887"/>
      <c r="K344" s="1887"/>
      <c r="L344" s="1887"/>
      <c r="M344" s="1887"/>
      <c r="N344" s="1887"/>
      <c r="O344" s="1887"/>
      <c r="P344" s="1887"/>
      <c r="Q344" s="1887"/>
      <c r="R344" s="1887"/>
      <c r="S344" s="1887"/>
      <c r="T344" s="1887"/>
      <c r="U344" s="1887"/>
      <c r="V344" s="1887"/>
      <c r="W344" s="1887"/>
      <c r="X344" s="1887"/>
      <c r="Y344" s="1887"/>
      <c r="Z344" s="1887"/>
      <c r="AA344" s="1887"/>
      <c r="AB344" s="1887"/>
      <c r="AC344" s="1887"/>
    </row>
    <row r="345">
      <c r="A345" s="1887"/>
      <c r="B345" s="1887"/>
      <c r="C345" s="1887"/>
      <c r="D345" s="1887"/>
      <c r="E345" s="1887"/>
      <c r="F345" s="1887"/>
      <c r="G345" s="1887"/>
      <c r="H345" s="1887"/>
      <c r="I345" s="1887"/>
      <c r="J345" s="1887"/>
      <c r="K345" s="1887"/>
      <c r="L345" s="1887"/>
      <c r="M345" s="1887"/>
      <c r="N345" s="1887"/>
      <c r="O345" s="1887"/>
      <c r="P345" s="1887"/>
      <c r="Q345" s="1887"/>
      <c r="R345" s="1887"/>
      <c r="S345" s="1887"/>
      <c r="T345" s="1887"/>
      <c r="U345" s="1887"/>
      <c r="V345" s="1887"/>
      <c r="W345" s="1887"/>
      <c r="X345" s="1887"/>
      <c r="Y345" s="1887"/>
      <c r="Z345" s="1887"/>
      <c r="AA345" s="1887"/>
      <c r="AB345" s="1887"/>
      <c r="AC345" s="1887"/>
    </row>
    <row r="346">
      <c r="A346" s="1887"/>
      <c r="B346" s="1887"/>
      <c r="C346" s="1887"/>
      <c r="D346" s="1887"/>
      <c r="E346" s="1887"/>
      <c r="F346" s="1887"/>
      <c r="G346" s="1887"/>
      <c r="H346" s="1887"/>
      <c r="I346" s="1887"/>
      <c r="J346" s="1887"/>
      <c r="K346" s="1887"/>
      <c r="L346" s="1887"/>
      <c r="M346" s="1887"/>
      <c r="N346" s="1887"/>
      <c r="O346" s="1887"/>
      <c r="P346" s="1887"/>
      <c r="Q346" s="1887"/>
      <c r="R346" s="1887"/>
      <c r="S346" s="1887"/>
      <c r="T346" s="1887"/>
      <c r="U346" s="1887"/>
      <c r="V346" s="1887"/>
      <c r="W346" s="1887"/>
      <c r="X346" s="1887"/>
      <c r="Y346" s="1887"/>
      <c r="Z346" s="1887"/>
      <c r="AA346" s="1887"/>
      <c r="AB346" s="1887"/>
      <c r="AC346" s="1887"/>
    </row>
    <row r="347">
      <c r="A347" s="1887"/>
      <c r="B347" s="1887"/>
      <c r="C347" s="1887"/>
      <c r="D347" s="1887"/>
      <c r="E347" s="1887"/>
      <c r="F347" s="1887"/>
      <c r="G347" s="1887"/>
      <c r="H347" s="1887"/>
      <c r="I347" s="1887"/>
      <c r="J347" s="1887"/>
      <c r="K347" s="1887"/>
      <c r="L347" s="1887"/>
      <c r="M347" s="1887"/>
      <c r="N347" s="1887"/>
      <c r="O347" s="1887"/>
      <c r="P347" s="1887"/>
      <c r="Q347" s="1887"/>
      <c r="R347" s="1887"/>
      <c r="S347" s="1887"/>
      <c r="T347" s="1887"/>
      <c r="U347" s="1887"/>
      <c r="V347" s="1887"/>
      <c r="W347" s="1887"/>
      <c r="X347" s="1887"/>
      <c r="Y347" s="1887"/>
      <c r="Z347" s="1887"/>
      <c r="AA347" s="1887"/>
      <c r="AB347" s="1887"/>
      <c r="AC347" s="1887"/>
    </row>
    <row r="348">
      <c r="A348" s="1887"/>
      <c r="B348" s="1887"/>
      <c r="C348" s="1887"/>
      <c r="D348" s="1887"/>
      <c r="E348" s="1887"/>
      <c r="F348" s="1887"/>
      <c r="G348" s="1887"/>
      <c r="H348" s="1887"/>
      <c r="I348" s="1887"/>
      <c r="J348" s="1887"/>
      <c r="K348" s="1887"/>
      <c r="L348" s="1887"/>
      <c r="M348" s="1887"/>
      <c r="N348" s="1887"/>
      <c r="O348" s="1887"/>
      <c r="P348" s="1887"/>
      <c r="Q348" s="1887"/>
      <c r="R348" s="1887"/>
      <c r="S348" s="1887"/>
      <c r="T348" s="1887"/>
      <c r="U348" s="1887"/>
      <c r="V348" s="1887"/>
      <c r="W348" s="1887"/>
      <c r="X348" s="1887"/>
      <c r="Y348" s="1887"/>
      <c r="Z348" s="1887"/>
      <c r="AA348" s="1887"/>
      <c r="AB348" s="1887"/>
      <c r="AC348" s="1887"/>
    </row>
    <row r="349">
      <c r="A349" s="1887"/>
      <c r="B349" s="1887"/>
      <c r="C349" s="1887"/>
      <c r="D349" s="1887"/>
      <c r="E349" s="1887"/>
      <c r="F349" s="1887"/>
      <c r="G349" s="1887"/>
      <c r="H349" s="1887"/>
      <c r="I349" s="1887"/>
      <c r="J349" s="1887"/>
      <c r="K349" s="1887"/>
      <c r="L349" s="1887"/>
      <c r="M349" s="1887"/>
      <c r="N349" s="1887"/>
      <c r="O349" s="1887"/>
      <c r="P349" s="1887"/>
      <c r="Q349" s="1887"/>
      <c r="R349" s="1887"/>
      <c r="S349" s="1887"/>
      <c r="T349" s="1887"/>
      <c r="U349" s="1887"/>
      <c r="V349" s="1887"/>
      <c r="W349" s="1887"/>
      <c r="X349" s="1887"/>
      <c r="Y349" s="1887"/>
      <c r="Z349" s="1887"/>
      <c r="AA349" s="1887"/>
      <c r="AB349" s="1887"/>
      <c r="AC349" s="1887"/>
    </row>
    <row r="350">
      <c r="A350" s="1887"/>
      <c r="B350" s="1887"/>
      <c r="C350" s="1887"/>
      <c r="D350" s="1887"/>
      <c r="E350" s="1887"/>
      <c r="F350" s="1887"/>
      <c r="G350" s="1887"/>
      <c r="H350" s="1887"/>
      <c r="I350" s="1887"/>
      <c r="J350" s="1887"/>
      <c r="K350" s="1887"/>
      <c r="L350" s="1887"/>
      <c r="M350" s="1887"/>
      <c r="N350" s="1887"/>
      <c r="O350" s="1887"/>
      <c r="P350" s="1887"/>
      <c r="Q350" s="1887"/>
      <c r="R350" s="1887"/>
      <c r="S350" s="1887"/>
      <c r="T350" s="1887"/>
      <c r="U350" s="1887"/>
      <c r="V350" s="1887"/>
      <c r="W350" s="1887"/>
      <c r="X350" s="1887"/>
      <c r="Y350" s="1887"/>
      <c r="Z350" s="1887"/>
      <c r="AA350" s="1887"/>
      <c r="AB350" s="1887"/>
      <c r="AC350" s="1887"/>
    </row>
    <row r="351">
      <c r="A351" s="1887"/>
      <c r="B351" s="1887"/>
      <c r="C351" s="1887"/>
      <c r="D351" s="1887"/>
      <c r="E351" s="1887"/>
      <c r="F351" s="1887"/>
      <c r="G351" s="1887"/>
      <c r="H351" s="1887"/>
      <c r="I351" s="1887"/>
      <c r="J351" s="1887"/>
      <c r="K351" s="1887"/>
      <c r="L351" s="1887"/>
      <c r="M351" s="1887"/>
      <c r="N351" s="1887"/>
      <c r="O351" s="1887"/>
      <c r="P351" s="1887"/>
      <c r="Q351" s="1887"/>
      <c r="R351" s="1887"/>
      <c r="S351" s="1887"/>
      <c r="T351" s="1887"/>
      <c r="U351" s="1887"/>
      <c r="V351" s="1887"/>
      <c r="W351" s="1887"/>
      <c r="X351" s="1887"/>
      <c r="Y351" s="1887"/>
      <c r="Z351" s="1887"/>
      <c r="AA351" s="1887"/>
      <c r="AB351" s="1887"/>
      <c r="AC351" s="1887"/>
    </row>
    <row r="352">
      <c r="A352" s="1887"/>
      <c r="B352" s="1887"/>
      <c r="C352" s="1887"/>
      <c r="D352" s="1887"/>
      <c r="E352" s="1887"/>
      <c r="F352" s="1887"/>
      <c r="G352" s="1887"/>
      <c r="H352" s="1887"/>
      <c r="I352" s="1887"/>
      <c r="J352" s="1887"/>
      <c r="K352" s="1887"/>
      <c r="L352" s="1887"/>
      <c r="M352" s="1887"/>
      <c r="N352" s="1887"/>
      <c r="O352" s="1887"/>
      <c r="P352" s="1887"/>
      <c r="Q352" s="1887"/>
      <c r="R352" s="1887"/>
      <c r="S352" s="1887"/>
      <c r="T352" s="1887"/>
      <c r="U352" s="1887"/>
      <c r="V352" s="1887"/>
      <c r="W352" s="1887"/>
      <c r="X352" s="1887"/>
      <c r="Y352" s="1887"/>
      <c r="Z352" s="1887"/>
      <c r="AA352" s="1887"/>
      <c r="AB352" s="1887"/>
      <c r="AC352" s="1887"/>
    </row>
    <row r="353">
      <c r="A353" s="1887"/>
      <c r="B353" s="1887"/>
      <c r="C353" s="1887"/>
      <c r="D353" s="1887"/>
      <c r="E353" s="1887"/>
      <c r="F353" s="1887"/>
      <c r="G353" s="1887"/>
      <c r="H353" s="1887"/>
      <c r="I353" s="1887"/>
      <c r="J353" s="1887"/>
      <c r="K353" s="1887"/>
      <c r="L353" s="1887"/>
      <c r="M353" s="1887"/>
      <c r="N353" s="1887"/>
      <c r="O353" s="1887"/>
      <c r="P353" s="1887"/>
      <c r="Q353" s="1887"/>
      <c r="R353" s="1887"/>
      <c r="S353" s="1887"/>
      <c r="T353" s="1887"/>
      <c r="U353" s="1887"/>
      <c r="V353" s="1887"/>
      <c r="W353" s="1887"/>
      <c r="X353" s="1887"/>
      <c r="Y353" s="1887"/>
      <c r="Z353" s="1887"/>
      <c r="AA353" s="1887"/>
      <c r="AB353" s="1887"/>
      <c r="AC353" s="1887"/>
    </row>
    <row r="354">
      <c r="A354" s="1887"/>
      <c r="B354" s="1887"/>
      <c r="C354" s="1887"/>
      <c r="D354" s="1887"/>
      <c r="E354" s="1887"/>
      <c r="F354" s="1887"/>
      <c r="G354" s="1887"/>
      <c r="H354" s="1887"/>
      <c r="I354" s="1887"/>
      <c r="J354" s="1887"/>
      <c r="K354" s="1887"/>
      <c r="L354" s="1887"/>
      <c r="M354" s="1887"/>
      <c r="N354" s="1887"/>
      <c r="O354" s="1887"/>
      <c r="P354" s="1887"/>
      <c r="Q354" s="1887"/>
      <c r="R354" s="1887"/>
      <c r="S354" s="1887"/>
      <c r="T354" s="1887"/>
      <c r="U354" s="1887"/>
      <c r="V354" s="1887"/>
      <c r="W354" s="1887"/>
      <c r="X354" s="1887"/>
      <c r="Y354" s="1887"/>
      <c r="Z354" s="1887"/>
      <c r="AA354" s="1887"/>
      <c r="AB354" s="1887"/>
      <c r="AC354" s="1887"/>
    </row>
    <row r="355">
      <c r="A355" s="1887"/>
      <c r="B355" s="1887"/>
      <c r="C355" s="1887"/>
      <c r="D355" s="1887"/>
      <c r="E355" s="1887"/>
      <c r="F355" s="1887"/>
      <c r="G355" s="1887"/>
      <c r="H355" s="1887"/>
      <c r="I355" s="1887"/>
      <c r="J355" s="1887"/>
      <c r="K355" s="1887"/>
      <c r="L355" s="1887"/>
      <c r="M355" s="1887"/>
      <c r="N355" s="1887"/>
      <c r="O355" s="1887"/>
      <c r="P355" s="1887"/>
      <c r="Q355" s="1887"/>
      <c r="R355" s="1887"/>
      <c r="S355" s="1887"/>
      <c r="T355" s="1887"/>
      <c r="U355" s="1887"/>
      <c r="V355" s="1887"/>
      <c r="W355" s="1887"/>
      <c r="X355" s="1887"/>
      <c r="Y355" s="1887"/>
      <c r="Z355" s="1887"/>
      <c r="AA355" s="1887"/>
      <c r="AB355" s="1887"/>
      <c r="AC355" s="1887"/>
    </row>
    <row r="356">
      <c r="A356" s="1887"/>
      <c r="B356" s="1887"/>
      <c r="C356" s="1887"/>
      <c r="D356" s="1887"/>
      <c r="E356" s="1887"/>
      <c r="F356" s="1887"/>
      <c r="G356" s="1887"/>
      <c r="H356" s="1887"/>
      <c r="I356" s="1887"/>
      <c r="J356" s="1887"/>
      <c r="K356" s="1887"/>
      <c r="L356" s="1887"/>
      <c r="M356" s="1887"/>
      <c r="N356" s="1887"/>
      <c r="O356" s="1887"/>
      <c r="P356" s="1887"/>
      <c r="Q356" s="1887"/>
      <c r="R356" s="1887"/>
      <c r="S356" s="1887"/>
      <c r="T356" s="1887"/>
      <c r="U356" s="1887"/>
      <c r="V356" s="1887"/>
      <c r="W356" s="1887"/>
      <c r="X356" s="1887"/>
      <c r="Y356" s="1887"/>
      <c r="Z356" s="1887"/>
      <c r="AA356" s="1887"/>
      <c r="AB356" s="1887"/>
      <c r="AC356" s="1887"/>
    </row>
    <row r="357">
      <c r="A357" s="1887"/>
      <c r="B357" s="1887"/>
      <c r="C357" s="1887"/>
      <c r="D357" s="1887"/>
      <c r="E357" s="1887"/>
      <c r="F357" s="1887"/>
      <c r="G357" s="1887"/>
      <c r="H357" s="1887"/>
      <c r="I357" s="1887"/>
      <c r="J357" s="1887"/>
      <c r="K357" s="1887"/>
      <c r="L357" s="1887"/>
      <c r="M357" s="1887"/>
      <c r="N357" s="1887"/>
      <c r="O357" s="1887"/>
      <c r="P357" s="1887"/>
      <c r="Q357" s="1887"/>
      <c r="R357" s="1887"/>
      <c r="S357" s="1887"/>
      <c r="T357" s="1887"/>
      <c r="U357" s="1887"/>
      <c r="V357" s="1887"/>
      <c r="W357" s="1887"/>
      <c r="X357" s="1887"/>
      <c r="Y357" s="1887"/>
      <c r="Z357" s="1887"/>
      <c r="AA357" s="1887"/>
      <c r="AB357" s="1887"/>
      <c r="AC357" s="1887"/>
    </row>
    <row r="358">
      <c r="A358" s="1887"/>
      <c r="B358" s="1887"/>
      <c r="C358" s="1887"/>
      <c r="D358" s="1887"/>
      <c r="E358" s="1887"/>
      <c r="F358" s="1887"/>
      <c r="G358" s="1887"/>
      <c r="H358" s="1887"/>
      <c r="I358" s="1887"/>
      <c r="J358" s="1887"/>
      <c r="K358" s="1887"/>
      <c r="L358" s="1887"/>
      <c r="M358" s="1887"/>
      <c r="N358" s="1887"/>
      <c r="O358" s="1887"/>
      <c r="P358" s="1887"/>
      <c r="Q358" s="1887"/>
      <c r="R358" s="1887"/>
      <c r="S358" s="1887"/>
      <c r="T358" s="1887"/>
      <c r="U358" s="1887"/>
      <c r="V358" s="1887"/>
      <c r="W358" s="1887"/>
      <c r="X358" s="1887"/>
      <c r="Y358" s="1887"/>
      <c r="Z358" s="1887"/>
      <c r="AA358" s="1887"/>
      <c r="AB358" s="1887"/>
      <c r="AC358" s="1887"/>
    </row>
    <row r="359">
      <c r="A359" s="1887"/>
      <c r="B359" s="1887"/>
      <c r="C359" s="1887"/>
      <c r="D359" s="1887"/>
      <c r="E359" s="1887"/>
      <c r="F359" s="1887"/>
      <c r="G359" s="1887"/>
      <c r="H359" s="1887"/>
      <c r="I359" s="1887"/>
      <c r="J359" s="1887"/>
      <c r="K359" s="1887"/>
      <c r="L359" s="1887"/>
      <c r="M359" s="1887"/>
      <c r="N359" s="1887"/>
      <c r="O359" s="1887"/>
      <c r="P359" s="1887"/>
      <c r="Q359" s="1887"/>
      <c r="R359" s="1887"/>
      <c r="S359" s="1887"/>
      <c r="T359" s="1887"/>
      <c r="U359" s="1887"/>
      <c r="V359" s="1887"/>
      <c r="W359" s="1887"/>
      <c r="X359" s="1887"/>
      <c r="Y359" s="1887"/>
      <c r="Z359" s="1887"/>
      <c r="AA359" s="1887"/>
      <c r="AB359" s="1887"/>
      <c r="AC359" s="1887"/>
    </row>
    <row r="360">
      <c r="A360" s="1887"/>
      <c r="B360" s="1887"/>
      <c r="C360" s="1887"/>
      <c r="D360" s="1887"/>
      <c r="E360" s="1887"/>
      <c r="F360" s="1887"/>
      <c r="G360" s="1887"/>
      <c r="H360" s="1887"/>
      <c r="I360" s="1887"/>
      <c r="J360" s="1887"/>
      <c r="K360" s="1887"/>
      <c r="L360" s="1887"/>
      <c r="M360" s="1887"/>
      <c r="N360" s="1887"/>
      <c r="O360" s="1887"/>
      <c r="P360" s="1887"/>
      <c r="Q360" s="1887"/>
      <c r="R360" s="1887"/>
      <c r="S360" s="1887"/>
      <c r="T360" s="1887"/>
      <c r="U360" s="1887"/>
      <c r="V360" s="1887"/>
      <c r="W360" s="1887"/>
      <c r="X360" s="1887"/>
      <c r="Y360" s="1887"/>
      <c r="Z360" s="1887"/>
      <c r="AA360" s="1887"/>
      <c r="AB360" s="1887"/>
      <c r="AC360" s="1887"/>
    </row>
    <row r="361">
      <c r="A361" s="1887"/>
      <c r="B361" s="1887"/>
      <c r="C361" s="1887"/>
      <c r="D361" s="1887"/>
      <c r="E361" s="1887"/>
      <c r="F361" s="1887"/>
      <c r="G361" s="1887"/>
      <c r="H361" s="1887"/>
      <c r="I361" s="1887"/>
      <c r="J361" s="1887"/>
      <c r="K361" s="1887"/>
      <c r="L361" s="1887"/>
      <c r="M361" s="1887"/>
      <c r="N361" s="1887"/>
      <c r="O361" s="1887"/>
      <c r="P361" s="1887"/>
      <c r="Q361" s="1887"/>
      <c r="R361" s="1887"/>
      <c r="S361" s="1887"/>
      <c r="T361" s="1887"/>
      <c r="U361" s="1887"/>
      <c r="V361" s="1887"/>
      <c r="W361" s="1887"/>
      <c r="X361" s="1887"/>
      <c r="Y361" s="1887"/>
      <c r="Z361" s="1887"/>
      <c r="AA361" s="1887"/>
      <c r="AB361" s="1887"/>
      <c r="AC361" s="1887"/>
    </row>
    <row r="362">
      <c r="A362" s="1887"/>
      <c r="B362" s="1887"/>
      <c r="C362" s="1887"/>
      <c r="D362" s="1887"/>
      <c r="E362" s="1887"/>
      <c r="F362" s="1887"/>
      <c r="G362" s="1887"/>
      <c r="H362" s="1887"/>
      <c r="I362" s="1887"/>
      <c r="J362" s="1887"/>
      <c r="K362" s="1887"/>
      <c r="L362" s="1887"/>
      <c r="M362" s="1887"/>
      <c r="N362" s="1887"/>
      <c r="O362" s="1887"/>
      <c r="P362" s="1887"/>
      <c r="Q362" s="1887"/>
      <c r="R362" s="1887"/>
      <c r="S362" s="1887"/>
      <c r="T362" s="1887"/>
      <c r="U362" s="1887"/>
      <c r="V362" s="1887"/>
      <c r="W362" s="1887"/>
      <c r="X362" s="1887"/>
      <c r="Y362" s="1887"/>
      <c r="Z362" s="1887"/>
      <c r="AA362" s="1887"/>
      <c r="AB362" s="1887"/>
      <c r="AC362" s="1887"/>
    </row>
    <row r="363">
      <c r="A363" s="1887"/>
      <c r="B363" s="1887"/>
      <c r="C363" s="1887"/>
      <c r="D363" s="1887"/>
      <c r="E363" s="1887"/>
      <c r="F363" s="1887"/>
      <c r="G363" s="1887"/>
      <c r="H363" s="1887"/>
      <c r="I363" s="1887"/>
      <c r="J363" s="1887"/>
      <c r="K363" s="1887"/>
      <c r="L363" s="1887"/>
      <c r="M363" s="1887"/>
      <c r="N363" s="1887"/>
      <c r="O363" s="1887"/>
      <c r="P363" s="1887"/>
      <c r="Q363" s="1887"/>
      <c r="R363" s="1887"/>
      <c r="S363" s="1887"/>
      <c r="T363" s="1887"/>
      <c r="U363" s="1887"/>
      <c r="V363" s="1887"/>
      <c r="W363" s="1887"/>
      <c r="X363" s="1887"/>
      <c r="Y363" s="1887"/>
      <c r="Z363" s="1887"/>
      <c r="AA363" s="1887"/>
      <c r="AB363" s="1887"/>
      <c r="AC363" s="1887"/>
    </row>
    <row r="364">
      <c r="A364" s="1887"/>
      <c r="B364" s="1887"/>
      <c r="C364" s="1887"/>
      <c r="D364" s="1887"/>
      <c r="E364" s="1887"/>
      <c r="F364" s="1887"/>
      <c r="G364" s="1887"/>
      <c r="H364" s="1887"/>
      <c r="I364" s="1887"/>
      <c r="J364" s="1887"/>
      <c r="K364" s="1887"/>
      <c r="L364" s="1887"/>
      <c r="M364" s="1887"/>
      <c r="N364" s="1887"/>
      <c r="O364" s="1887"/>
      <c r="P364" s="1887"/>
      <c r="Q364" s="1887"/>
      <c r="R364" s="1887"/>
      <c r="S364" s="1887"/>
      <c r="T364" s="1887"/>
      <c r="U364" s="1887"/>
      <c r="V364" s="1887"/>
      <c r="W364" s="1887"/>
      <c r="X364" s="1887"/>
      <c r="Y364" s="1887"/>
      <c r="Z364" s="1887"/>
      <c r="AA364" s="1887"/>
      <c r="AB364" s="1887"/>
      <c r="AC364" s="1887"/>
    </row>
    <row r="365">
      <c r="A365" s="1887"/>
      <c r="B365" s="1887"/>
      <c r="C365" s="1887"/>
      <c r="D365" s="1887"/>
      <c r="E365" s="1887"/>
      <c r="F365" s="1887"/>
      <c r="G365" s="1887"/>
      <c r="H365" s="1887"/>
      <c r="I365" s="1887"/>
      <c r="J365" s="1887"/>
      <c r="K365" s="1887"/>
      <c r="L365" s="1887"/>
      <c r="M365" s="1887"/>
      <c r="N365" s="1887"/>
      <c r="O365" s="1887"/>
      <c r="P365" s="1887"/>
      <c r="Q365" s="1887"/>
      <c r="R365" s="1887"/>
      <c r="S365" s="1887"/>
      <c r="T365" s="1887"/>
      <c r="U365" s="1887"/>
      <c r="V365" s="1887"/>
      <c r="W365" s="1887"/>
      <c r="X365" s="1887"/>
      <c r="Y365" s="1887"/>
      <c r="Z365" s="1887"/>
      <c r="AA365" s="1887"/>
      <c r="AB365" s="1887"/>
      <c r="AC365" s="1887"/>
    </row>
    <row r="366">
      <c r="A366" s="1887"/>
      <c r="B366" s="1887"/>
      <c r="C366" s="1887"/>
      <c r="D366" s="1887"/>
      <c r="E366" s="1887"/>
      <c r="F366" s="1887"/>
      <c r="G366" s="1887"/>
      <c r="H366" s="1887"/>
      <c r="I366" s="1887"/>
      <c r="J366" s="1887"/>
      <c r="K366" s="1887"/>
      <c r="L366" s="1887"/>
      <c r="M366" s="1887"/>
      <c r="N366" s="1887"/>
      <c r="O366" s="1887"/>
      <c r="P366" s="1887"/>
      <c r="Q366" s="1887"/>
      <c r="R366" s="1887"/>
      <c r="S366" s="1887"/>
      <c r="T366" s="1887"/>
      <c r="U366" s="1887"/>
      <c r="V366" s="1887"/>
      <c r="W366" s="1887"/>
      <c r="X366" s="1887"/>
      <c r="Y366" s="1887"/>
      <c r="Z366" s="1887"/>
      <c r="AA366" s="1887"/>
      <c r="AB366" s="1887"/>
      <c r="AC366" s="1887"/>
    </row>
    <row r="367">
      <c r="A367" s="1887"/>
      <c r="B367" s="1887"/>
      <c r="C367" s="1887"/>
      <c r="D367" s="1887"/>
      <c r="E367" s="1887"/>
      <c r="F367" s="1887"/>
      <c r="G367" s="1887"/>
      <c r="H367" s="1887"/>
      <c r="I367" s="1887"/>
      <c r="J367" s="1887"/>
      <c r="K367" s="1887"/>
      <c r="L367" s="1887"/>
      <c r="M367" s="1887"/>
      <c r="N367" s="1887"/>
      <c r="O367" s="1887"/>
      <c r="P367" s="1887"/>
      <c r="Q367" s="1887"/>
      <c r="R367" s="1887"/>
      <c r="S367" s="1887"/>
      <c r="T367" s="1887"/>
      <c r="U367" s="1887"/>
      <c r="V367" s="1887"/>
      <c r="W367" s="1887"/>
      <c r="X367" s="1887"/>
      <c r="Y367" s="1887"/>
      <c r="Z367" s="1887"/>
      <c r="AA367" s="1887"/>
      <c r="AB367" s="1887"/>
      <c r="AC367" s="1887"/>
    </row>
    <row r="368">
      <c r="A368" s="1887"/>
      <c r="B368" s="1887"/>
      <c r="C368" s="1887"/>
      <c r="D368" s="1887"/>
      <c r="E368" s="1887"/>
      <c r="F368" s="1887"/>
      <c r="G368" s="1887"/>
      <c r="H368" s="1887"/>
      <c r="I368" s="1887"/>
      <c r="J368" s="1887"/>
      <c r="K368" s="1887"/>
      <c r="L368" s="1887"/>
      <c r="M368" s="1887"/>
      <c r="N368" s="1887"/>
      <c r="O368" s="1887"/>
      <c r="P368" s="1887"/>
      <c r="Q368" s="1887"/>
      <c r="R368" s="1887"/>
      <c r="S368" s="1887"/>
      <c r="T368" s="1887"/>
      <c r="U368" s="1887"/>
      <c r="V368" s="1887"/>
      <c r="W368" s="1887"/>
      <c r="X368" s="1887"/>
      <c r="Y368" s="1887"/>
      <c r="Z368" s="1887"/>
      <c r="AA368" s="1887"/>
      <c r="AB368" s="1887"/>
      <c r="AC368" s="1887"/>
    </row>
    <row r="369">
      <c r="A369" s="1887"/>
      <c r="B369" s="1887"/>
      <c r="C369" s="1887"/>
      <c r="D369" s="1887"/>
      <c r="E369" s="1887"/>
      <c r="F369" s="1887"/>
      <c r="G369" s="1887"/>
      <c r="H369" s="1887"/>
      <c r="I369" s="1887"/>
      <c r="J369" s="1887"/>
      <c r="K369" s="1887"/>
      <c r="L369" s="1887"/>
      <c r="M369" s="1887"/>
      <c r="N369" s="1887"/>
      <c r="O369" s="1887"/>
      <c r="P369" s="1887"/>
      <c r="Q369" s="1887"/>
      <c r="R369" s="1887"/>
      <c r="S369" s="1887"/>
      <c r="T369" s="1887"/>
      <c r="U369" s="1887"/>
      <c r="V369" s="1887"/>
      <c r="W369" s="1887"/>
      <c r="X369" s="1887"/>
      <c r="Y369" s="1887"/>
      <c r="Z369" s="1887"/>
      <c r="AA369" s="1887"/>
      <c r="AB369" s="1887"/>
      <c r="AC369" s="1887"/>
    </row>
    <row r="370">
      <c r="A370" s="1887"/>
      <c r="B370" s="1887"/>
      <c r="C370" s="1887"/>
      <c r="D370" s="1887"/>
      <c r="E370" s="1887"/>
      <c r="F370" s="1887"/>
      <c r="G370" s="1887"/>
      <c r="H370" s="1887"/>
      <c r="I370" s="1887"/>
      <c r="J370" s="1887"/>
      <c r="K370" s="1887"/>
      <c r="L370" s="1887"/>
      <c r="M370" s="1887"/>
      <c r="N370" s="1887"/>
      <c r="O370" s="1887"/>
      <c r="P370" s="1887"/>
      <c r="Q370" s="1887"/>
      <c r="R370" s="1887"/>
      <c r="S370" s="1887"/>
      <c r="T370" s="1887"/>
      <c r="U370" s="1887"/>
      <c r="V370" s="1887"/>
      <c r="W370" s="1887"/>
      <c r="X370" s="1887"/>
      <c r="Y370" s="1887"/>
      <c r="Z370" s="1887"/>
      <c r="AA370" s="1887"/>
      <c r="AB370" s="1887"/>
      <c r="AC370" s="1887"/>
    </row>
    <row r="371">
      <c r="A371" s="1887"/>
      <c r="B371" s="1887"/>
      <c r="C371" s="1887"/>
      <c r="D371" s="1887"/>
      <c r="E371" s="1887"/>
      <c r="F371" s="1887"/>
      <c r="G371" s="1887"/>
      <c r="H371" s="1887"/>
      <c r="I371" s="1887"/>
      <c r="J371" s="1887"/>
      <c r="K371" s="1887"/>
      <c r="L371" s="1887"/>
      <c r="M371" s="1887"/>
      <c r="N371" s="1887"/>
      <c r="O371" s="1887"/>
      <c r="P371" s="1887"/>
      <c r="Q371" s="1887"/>
      <c r="R371" s="1887"/>
      <c r="S371" s="1887"/>
      <c r="T371" s="1887"/>
      <c r="U371" s="1887"/>
      <c r="V371" s="1887"/>
      <c r="W371" s="1887"/>
      <c r="X371" s="1887"/>
      <c r="Y371" s="1887"/>
      <c r="Z371" s="1887"/>
      <c r="AA371" s="1887"/>
      <c r="AB371" s="1887"/>
      <c r="AC371" s="1887"/>
    </row>
    <row r="372">
      <c r="A372" s="1887"/>
      <c r="B372" s="1887"/>
      <c r="C372" s="1887"/>
      <c r="D372" s="1887"/>
      <c r="E372" s="1887"/>
      <c r="F372" s="1887"/>
      <c r="G372" s="1887"/>
      <c r="H372" s="1887"/>
      <c r="I372" s="1887"/>
      <c r="J372" s="1887"/>
      <c r="K372" s="1887"/>
      <c r="L372" s="1887"/>
      <c r="M372" s="1887"/>
      <c r="N372" s="1887"/>
      <c r="O372" s="1887"/>
      <c r="P372" s="1887"/>
      <c r="Q372" s="1887"/>
      <c r="R372" s="1887"/>
      <c r="S372" s="1887"/>
      <c r="T372" s="1887"/>
      <c r="U372" s="1887"/>
      <c r="V372" s="1887"/>
      <c r="W372" s="1887"/>
      <c r="X372" s="1887"/>
      <c r="Y372" s="1887"/>
      <c r="Z372" s="1887"/>
      <c r="AA372" s="1887"/>
      <c r="AB372" s="1887"/>
      <c r="AC372" s="1887"/>
    </row>
    <row r="373">
      <c r="A373" s="1887"/>
      <c r="B373" s="1887"/>
      <c r="C373" s="1887"/>
      <c r="D373" s="1887"/>
      <c r="E373" s="1887"/>
      <c r="F373" s="1887"/>
      <c r="G373" s="1887"/>
      <c r="H373" s="1887"/>
      <c r="I373" s="1887"/>
      <c r="J373" s="1887"/>
      <c r="K373" s="1887"/>
      <c r="L373" s="1887"/>
      <c r="M373" s="1887"/>
      <c r="N373" s="1887"/>
      <c r="O373" s="1887"/>
      <c r="P373" s="1887"/>
      <c r="Q373" s="1887"/>
      <c r="R373" s="1887"/>
      <c r="S373" s="1887"/>
      <c r="T373" s="1887"/>
      <c r="U373" s="1887"/>
      <c r="V373" s="1887"/>
      <c r="W373" s="1887"/>
      <c r="X373" s="1887"/>
      <c r="Y373" s="1887"/>
      <c r="Z373" s="1887"/>
      <c r="AA373" s="1887"/>
      <c r="AB373" s="1887"/>
      <c r="AC373" s="1887"/>
    </row>
    <row r="374">
      <c r="A374" s="1887"/>
      <c r="B374" s="1887"/>
      <c r="C374" s="1887"/>
      <c r="D374" s="1887"/>
      <c r="E374" s="1887"/>
      <c r="F374" s="1887"/>
      <c r="G374" s="1887"/>
      <c r="H374" s="1887"/>
      <c r="I374" s="1887"/>
      <c r="J374" s="1887"/>
      <c r="K374" s="1887"/>
      <c r="L374" s="1887"/>
      <c r="M374" s="1887"/>
      <c r="N374" s="1887"/>
      <c r="O374" s="1887"/>
      <c r="P374" s="1887"/>
      <c r="Q374" s="1887"/>
      <c r="R374" s="1887"/>
      <c r="S374" s="1887"/>
      <c r="T374" s="1887"/>
      <c r="U374" s="1887"/>
      <c r="V374" s="1887"/>
      <c r="W374" s="1887"/>
      <c r="X374" s="1887"/>
      <c r="Y374" s="1887"/>
      <c r="Z374" s="1887"/>
      <c r="AA374" s="1887"/>
      <c r="AB374" s="1887"/>
      <c r="AC374" s="1887"/>
    </row>
    <row r="375">
      <c r="A375" s="1887"/>
      <c r="B375" s="1887"/>
      <c r="C375" s="1887"/>
      <c r="D375" s="1887"/>
      <c r="E375" s="1887"/>
      <c r="F375" s="1887"/>
      <c r="G375" s="1887"/>
      <c r="H375" s="1887"/>
      <c r="I375" s="1887"/>
      <c r="J375" s="1887"/>
      <c r="K375" s="1887"/>
      <c r="L375" s="1887"/>
      <c r="M375" s="1887"/>
      <c r="N375" s="1887"/>
      <c r="O375" s="1887"/>
      <c r="P375" s="1887"/>
      <c r="Q375" s="1887"/>
      <c r="R375" s="1887"/>
      <c r="S375" s="1887"/>
      <c r="T375" s="1887"/>
      <c r="U375" s="1887"/>
      <c r="V375" s="1887"/>
      <c r="W375" s="1887"/>
      <c r="X375" s="1887"/>
      <c r="Y375" s="1887"/>
      <c r="Z375" s="1887"/>
      <c r="AA375" s="1887"/>
      <c r="AB375" s="1887"/>
      <c r="AC375" s="1887"/>
    </row>
    <row r="376">
      <c r="A376" s="1887"/>
      <c r="B376" s="1887"/>
      <c r="C376" s="1887"/>
      <c r="D376" s="1887"/>
      <c r="E376" s="1887"/>
      <c r="F376" s="1887"/>
      <c r="G376" s="1887"/>
      <c r="H376" s="1887"/>
      <c r="I376" s="1887"/>
      <c r="J376" s="1887"/>
      <c r="K376" s="1887"/>
      <c r="L376" s="1887"/>
      <c r="M376" s="1887"/>
      <c r="N376" s="1887"/>
      <c r="O376" s="1887"/>
      <c r="P376" s="1887"/>
      <c r="Q376" s="1887"/>
      <c r="R376" s="1887"/>
      <c r="S376" s="1887"/>
      <c r="T376" s="1887"/>
      <c r="U376" s="1887"/>
      <c r="V376" s="1887"/>
      <c r="W376" s="1887"/>
      <c r="X376" s="1887"/>
      <c r="Y376" s="1887"/>
      <c r="Z376" s="1887"/>
      <c r="AA376" s="1887"/>
      <c r="AB376" s="1887"/>
      <c r="AC376" s="1887"/>
    </row>
    <row r="377">
      <c r="A377" s="1887"/>
      <c r="B377" s="1887"/>
      <c r="C377" s="1887"/>
      <c r="D377" s="1887"/>
      <c r="E377" s="1887"/>
      <c r="F377" s="1887"/>
      <c r="G377" s="1887"/>
      <c r="H377" s="1887"/>
      <c r="I377" s="1887"/>
      <c r="J377" s="1887"/>
      <c r="K377" s="1887"/>
      <c r="L377" s="1887"/>
      <c r="M377" s="1887"/>
      <c r="N377" s="1887"/>
      <c r="O377" s="1887"/>
      <c r="P377" s="1887"/>
      <c r="Q377" s="1887"/>
      <c r="R377" s="1887"/>
      <c r="S377" s="1887"/>
      <c r="T377" s="1887"/>
      <c r="U377" s="1887"/>
      <c r="V377" s="1887"/>
      <c r="W377" s="1887"/>
      <c r="X377" s="1887"/>
      <c r="Y377" s="1887"/>
      <c r="Z377" s="1887"/>
      <c r="AA377" s="1887"/>
      <c r="AB377" s="1887"/>
      <c r="AC377" s="1887"/>
    </row>
    <row r="378">
      <c r="A378" s="1887"/>
      <c r="B378" s="1887"/>
      <c r="C378" s="1887"/>
      <c r="D378" s="1887"/>
      <c r="E378" s="1887"/>
      <c r="F378" s="1887"/>
      <c r="G378" s="1887"/>
      <c r="H378" s="1887"/>
      <c r="I378" s="1887"/>
      <c r="J378" s="1887"/>
      <c r="K378" s="1887"/>
      <c r="L378" s="1887"/>
      <c r="M378" s="1887"/>
      <c r="N378" s="1887"/>
      <c r="O378" s="1887"/>
      <c r="P378" s="1887"/>
      <c r="Q378" s="1887"/>
      <c r="R378" s="1887"/>
      <c r="S378" s="1887"/>
      <c r="T378" s="1887"/>
      <c r="U378" s="1887"/>
      <c r="V378" s="1887"/>
      <c r="W378" s="1887"/>
      <c r="X378" s="1887"/>
      <c r="Y378" s="1887"/>
      <c r="Z378" s="1887"/>
      <c r="AA378" s="1887"/>
      <c r="AB378" s="1887"/>
      <c r="AC378" s="1887"/>
    </row>
    <row r="379">
      <c r="A379" s="1887"/>
      <c r="B379" s="1887"/>
      <c r="C379" s="1887"/>
      <c r="D379" s="1887"/>
      <c r="E379" s="1887"/>
      <c r="F379" s="1887"/>
      <c r="G379" s="1887"/>
      <c r="H379" s="1887"/>
      <c r="I379" s="1887"/>
      <c r="J379" s="1887"/>
      <c r="K379" s="1887"/>
      <c r="L379" s="1887"/>
      <c r="M379" s="1887"/>
      <c r="N379" s="1887"/>
      <c r="O379" s="1887"/>
      <c r="P379" s="1887"/>
      <c r="Q379" s="1887"/>
      <c r="R379" s="1887"/>
      <c r="S379" s="1887"/>
      <c r="T379" s="1887"/>
      <c r="U379" s="1887"/>
      <c r="V379" s="1887"/>
      <c r="W379" s="1887"/>
      <c r="X379" s="1887"/>
      <c r="Y379" s="1887"/>
      <c r="Z379" s="1887"/>
      <c r="AA379" s="1887"/>
      <c r="AB379" s="1887"/>
      <c r="AC379" s="1887"/>
    </row>
    <row r="380">
      <c r="A380" s="1887"/>
      <c r="B380" s="1887"/>
      <c r="C380" s="1887"/>
      <c r="D380" s="1887"/>
      <c r="E380" s="1887"/>
      <c r="F380" s="1887"/>
      <c r="G380" s="1887"/>
      <c r="H380" s="1887"/>
      <c r="I380" s="1887"/>
      <c r="J380" s="1887"/>
      <c r="K380" s="1887"/>
      <c r="L380" s="1887"/>
      <c r="M380" s="1887"/>
      <c r="N380" s="1887"/>
      <c r="O380" s="1887"/>
      <c r="P380" s="1887"/>
      <c r="Q380" s="1887"/>
      <c r="R380" s="1887"/>
      <c r="S380" s="1887"/>
      <c r="T380" s="1887"/>
      <c r="U380" s="1887"/>
      <c r="V380" s="1887"/>
      <c r="W380" s="1887"/>
      <c r="X380" s="1887"/>
      <c r="Y380" s="1887"/>
      <c r="Z380" s="1887"/>
      <c r="AA380" s="1887"/>
      <c r="AB380" s="1887"/>
      <c r="AC380" s="1887"/>
    </row>
    <row r="381">
      <c r="A381" s="1887"/>
      <c r="B381" s="1887"/>
      <c r="C381" s="1887"/>
      <c r="D381" s="1887"/>
      <c r="E381" s="1887"/>
      <c r="F381" s="1887"/>
      <c r="G381" s="1887"/>
      <c r="H381" s="1887"/>
      <c r="I381" s="1887"/>
      <c r="J381" s="1887"/>
      <c r="K381" s="1887"/>
      <c r="L381" s="1887"/>
      <c r="M381" s="1887"/>
      <c r="N381" s="1887"/>
      <c r="O381" s="1887"/>
      <c r="P381" s="1887"/>
      <c r="Q381" s="1887"/>
      <c r="R381" s="1887"/>
      <c r="S381" s="1887"/>
      <c r="T381" s="1887"/>
      <c r="U381" s="1887"/>
      <c r="V381" s="1887"/>
      <c r="W381" s="1887"/>
      <c r="X381" s="1887"/>
      <c r="Y381" s="1887"/>
      <c r="Z381" s="1887"/>
      <c r="AA381" s="1887"/>
      <c r="AB381" s="1887"/>
      <c r="AC381" s="1887"/>
    </row>
    <row r="382">
      <c r="A382" s="1887"/>
      <c r="B382" s="1887"/>
      <c r="C382" s="1887"/>
      <c r="D382" s="1887"/>
      <c r="E382" s="1887"/>
      <c r="F382" s="1887"/>
      <c r="G382" s="1887"/>
      <c r="H382" s="1887"/>
      <c r="I382" s="1887"/>
      <c r="J382" s="1887"/>
      <c r="K382" s="1887"/>
      <c r="L382" s="1887"/>
      <c r="M382" s="1887"/>
      <c r="N382" s="1887"/>
      <c r="O382" s="1887"/>
      <c r="P382" s="1887"/>
      <c r="Q382" s="1887"/>
      <c r="R382" s="1887"/>
      <c r="S382" s="1887"/>
      <c r="T382" s="1887"/>
      <c r="U382" s="1887"/>
      <c r="V382" s="1887"/>
      <c r="W382" s="1887"/>
      <c r="X382" s="1887"/>
      <c r="Y382" s="1887"/>
      <c r="Z382" s="1887"/>
      <c r="AA382" s="1887"/>
      <c r="AB382" s="1887"/>
      <c r="AC382" s="1887"/>
    </row>
    <row r="383">
      <c r="A383" s="1887"/>
      <c r="B383" s="1887"/>
      <c r="C383" s="1887"/>
      <c r="D383" s="1887"/>
      <c r="E383" s="1887"/>
      <c r="F383" s="1887"/>
      <c r="G383" s="1887"/>
      <c r="H383" s="1887"/>
      <c r="I383" s="1887"/>
      <c r="J383" s="1887"/>
      <c r="K383" s="1887"/>
      <c r="L383" s="1887"/>
      <c r="M383" s="1887"/>
      <c r="N383" s="1887"/>
      <c r="O383" s="1887"/>
      <c r="P383" s="1887"/>
      <c r="Q383" s="1887"/>
      <c r="R383" s="1887"/>
      <c r="S383" s="1887"/>
      <c r="T383" s="1887"/>
      <c r="U383" s="1887"/>
      <c r="V383" s="1887"/>
      <c r="W383" s="1887"/>
      <c r="X383" s="1887"/>
      <c r="Y383" s="1887"/>
      <c r="Z383" s="1887"/>
      <c r="AA383" s="1887"/>
      <c r="AB383" s="1887"/>
      <c r="AC383" s="1887"/>
    </row>
    <row r="384">
      <c r="A384" s="1887"/>
      <c r="B384" s="1887"/>
      <c r="C384" s="1887"/>
      <c r="D384" s="1887"/>
      <c r="E384" s="1887"/>
      <c r="F384" s="1887"/>
      <c r="G384" s="1887"/>
      <c r="H384" s="1887"/>
      <c r="I384" s="1887"/>
      <c r="J384" s="1887"/>
      <c r="K384" s="1887"/>
      <c r="L384" s="1887"/>
      <c r="M384" s="1887"/>
      <c r="N384" s="1887"/>
      <c r="O384" s="1887"/>
      <c r="P384" s="1887"/>
      <c r="Q384" s="1887"/>
      <c r="R384" s="1887"/>
      <c r="S384" s="1887"/>
      <c r="T384" s="1887"/>
      <c r="U384" s="1887"/>
      <c r="V384" s="1887"/>
      <c r="W384" s="1887"/>
      <c r="X384" s="1887"/>
      <c r="Y384" s="1887"/>
      <c r="Z384" s="1887"/>
      <c r="AA384" s="1887"/>
      <c r="AB384" s="1887"/>
      <c r="AC384" s="1887"/>
    </row>
    <row r="385">
      <c r="A385" s="1887"/>
      <c r="B385" s="1887"/>
      <c r="C385" s="1887"/>
      <c r="D385" s="1887"/>
      <c r="E385" s="1887"/>
      <c r="F385" s="1887"/>
      <c r="G385" s="1887"/>
      <c r="H385" s="1887"/>
      <c r="I385" s="1887"/>
      <c r="J385" s="1887"/>
      <c r="K385" s="1887"/>
      <c r="L385" s="1887"/>
      <c r="M385" s="1887"/>
      <c r="N385" s="1887"/>
      <c r="O385" s="1887"/>
      <c r="P385" s="1887"/>
      <c r="Q385" s="1887"/>
      <c r="R385" s="1887"/>
      <c r="S385" s="1887"/>
      <c r="T385" s="1887"/>
      <c r="U385" s="1887"/>
      <c r="V385" s="1887"/>
      <c r="W385" s="1887"/>
      <c r="X385" s="1887"/>
      <c r="Y385" s="1887"/>
      <c r="Z385" s="1887"/>
      <c r="AA385" s="1887"/>
      <c r="AB385" s="1887"/>
      <c r="AC385" s="1887"/>
    </row>
    <row r="386">
      <c r="A386" s="1887"/>
      <c r="B386" s="1887"/>
      <c r="C386" s="1887"/>
      <c r="D386" s="1887"/>
      <c r="E386" s="1887"/>
      <c r="F386" s="1887"/>
      <c r="G386" s="1887"/>
      <c r="H386" s="1887"/>
      <c r="I386" s="1887"/>
      <c r="J386" s="1887"/>
      <c r="K386" s="1887"/>
      <c r="L386" s="1887"/>
      <c r="M386" s="1887"/>
      <c r="N386" s="1887"/>
      <c r="O386" s="1887"/>
      <c r="P386" s="1887"/>
      <c r="Q386" s="1887"/>
      <c r="R386" s="1887"/>
      <c r="S386" s="1887"/>
      <c r="T386" s="1887"/>
      <c r="U386" s="1887"/>
      <c r="V386" s="1887"/>
      <c r="W386" s="1887"/>
      <c r="X386" s="1887"/>
      <c r="Y386" s="1887"/>
      <c r="Z386" s="1887"/>
      <c r="AA386" s="1887"/>
      <c r="AB386" s="1887"/>
      <c r="AC386" s="1887"/>
    </row>
    <row r="387">
      <c r="A387" s="1887"/>
      <c r="B387" s="1887"/>
      <c r="C387" s="1887"/>
      <c r="D387" s="1887"/>
      <c r="E387" s="1887"/>
      <c r="F387" s="1887"/>
      <c r="G387" s="1887"/>
      <c r="H387" s="1887"/>
      <c r="I387" s="1887"/>
      <c r="J387" s="1887"/>
      <c r="K387" s="1887"/>
      <c r="L387" s="1887"/>
      <c r="M387" s="1887"/>
      <c r="N387" s="1887"/>
      <c r="O387" s="1887"/>
      <c r="P387" s="1887"/>
      <c r="Q387" s="1887"/>
      <c r="R387" s="1887"/>
      <c r="S387" s="1887"/>
      <c r="T387" s="1887"/>
      <c r="U387" s="1887"/>
      <c r="V387" s="1887"/>
      <c r="W387" s="1887"/>
      <c r="X387" s="1887"/>
      <c r="Y387" s="1887"/>
      <c r="Z387" s="1887"/>
      <c r="AA387" s="1887"/>
      <c r="AB387" s="1887"/>
      <c r="AC387" s="1887"/>
    </row>
    <row r="388">
      <c r="A388" s="1887"/>
      <c r="B388" s="1887"/>
      <c r="C388" s="1887"/>
      <c r="D388" s="1887"/>
      <c r="E388" s="1887"/>
      <c r="F388" s="1887"/>
      <c r="G388" s="1887"/>
      <c r="H388" s="1887"/>
      <c r="I388" s="1887"/>
      <c r="J388" s="1887"/>
      <c r="K388" s="1887"/>
      <c r="L388" s="1887"/>
      <c r="M388" s="1887"/>
      <c r="N388" s="1887"/>
      <c r="O388" s="1887"/>
      <c r="P388" s="1887"/>
      <c r="Q388" s="1887"/>
      <c r="R388" s="1887"/>
      <c r="S388" s="1887"/>
      <c r="T388" s="1887"/>
      <c r="U388" s="1887"/>
      <c r="V388" s="1887"/>
      <c r="W388" s="1887"/>
      <c r="X388" s="1887"/>
      <c r="Y388" s="1887"/>
      <c r="Z388" s="1887"/>
      <c r="AA388" s="1887"/>
      <c r="AB388" s="1887"/>
      <c r="AC388" s="1887"/>
    </row>
    <row r="389">
      <c r="A389" s="1887"/>
      <c r="B389" s="1887"/>
      <c r="C389" s="1887"/>
      <c r="D389" s="1887"/>
      <c r="E389" s="1887"/>
      <c r="F389" s="1887"/>
      <c r="G389" s="1887"/>
      <c r="H389" s="1887"/>
      <c r="I389" s="1887"/>
      <c r="J389" s="1887"/>
      <c r="K389" s="1887"/>
      <c r="L389" s="1887"/>
      <c r="M389" s="1887"/>
      <c r="N389" s="1887"/>
      <c r="O389" s="1887"/>
      <c r="P389" s="1887"/>
      <c r="Q389" s="1887"/>
      <c r="R389" s="1887"/>
      <c r="S389" s="1887"/>
      <c r="T389" s="1887"/>
      <c r="U389" s="1887"/>
      <c r="V389" s="1887"/>
      <c r="W389" s="1887"/>
      <c r="X389" s="1887"/>
      <c r="Y389" s="1887"/>
      <c r="Z389" s="1887"/>
      <c r="AA389" s="1887"/>
      <c r="AB389" s="1887"/>
      <c r="AC389" s="1887"/>
    </row>
    <row r="390">
      <c r="A390" s="1887"/>
      <c r="B390" s="1887"/>
      <c r="C390" s="1887"/>
      <c r="D390" s="1887"/>
      <c r="E390" s="1887"/>
      <c r="F390" s="1887"/>
      <c r="G390" s="1887"/>
      <c r="H390" s="1887"/>
      <c r="I390" s="1887"/>
      <c r="J390" s="1887"/>
      <c r="K390" s="1887"/>
      <c r="L390" s="1887"/>
      <c r="M390" s="1887"/>
      <c r="N390" s="1887"/>
      <c r="O390" s="1887"/>
      <c r="P390" s="1887"/>
      <c r="Q390" s="1887"/>
      <c r="R390" s="1887"/>
      <c r="S390" s="1887"/>
      <c r="T390" s="1887"/>
      <c r="U390" s="1887"/>
      <c r="V390" s="1887"/>
      <c r="W390" s="1887"/>
      <c r="X390" s="1887"/>
      <c r="Y390" s="1887"/>
      <c r="Z390" s="1887"/>
      <c r="AA390" s="1887"/>
      <c r="AB390" s="1887"/>
      <c r="AC390" s="1887"/>
    </row>
    <row r="391">
      <c r="A391" s="1887"/>
      <c r="B391" s="1887"/>
      <c r="C391" s="1887"/>
      <c r="D391" s="1887"/>
      <c r="E391" s="1887"/>
      <c r="F391" s="1887"/>
      <c r="G391" s="1887"/>
      <c r="H391" s="1887"/>
      <c r="I391" s="1887"/>
      <c r="J391" s="1887"/>
      <c r="K391" s="1887"/>
      <c r="L391" s="1887"/>
      <c r="M391" s="1887"/>
      <c r="N391" s="1887"/>
      <c r="O391" s="1887"/>
      <c r="P391" s="1887"/>
      <c r="Q391" s="1887"/>
      <c r="R391" s="1887"/>
      <c r="S391" s="1887"/>
      <c r="T391" s="1887"/>
      <c r="U391" s="1887"/>
      <c r="V391" s="1887"/>
      <c r="W391" s="1887"/>
      <c r="X391" s="1887"/>
      <c r="Y391" s="1887"/>
      <c r="Z391" s="1887"/>
      <c r="AA391" s="1887"/>
      <c r="AB391" s="1887"/>
      <c r="AC391" s="1887"/>
    </row>
    <row r="392">
      <c r="A392" s="1887"/>
      <c r="B392" s="1887"/>
      <c r="C392" s="1887"/>
      <c r="D392" s="1887"/>
      <c r="E392" s="1887"/>
      <c r="F392" s="1887"/>
      <c r="G392" s="1887"/>
      <c r="H392" s="1887"/>
      <c r="I392" s="1887"/>
      <c r="J392" s="1887"/>
      <c r="K392" s="1887"/>
      <c r="L392" s="1887"/>
      <c r="M392" s="1887"/>
      <c r="N392" s="1887"/>
      <c r="O392" s="1887"/>
      <c r="P392" s="1887"/>
      <c r="Q392" s="1887"/>
      <c r="R392" s="1887"/>
      <c r="S392" s="1887"/>
      <c r="T392" s="1887"/>
      <c r="U392" s="1887"/>
      <c r="V392" s="1887"/>
      <c r="W392" s="1887"/>
      <c r="X392" s="1887"/>
      <c r="Y392" s="1887"/>
      <c r="Z392" s="1887"/>
      <c r="AA392" s="1887"/>
      <c r="AB392" s="1887"/>
      <c r="AC392" s="1887"/>
    </row>
    <row r="393">
      <c r="A393" s="1887"/>
      <c r="B393" s="1887"/>
      <c r="C393" s="1887"/>
      <c r="D393" s="1887"/>
      <c r="E393" s="1887"/>
      <c r="F393" s="1887"/>
      <c r="G393" s="1887"/>
      <c r="H393" s="1887"/>
      <c r="I393" s="1887"/>
      <c r="J393" s="1887"/>
      <c r="K393" s="1887"/>
      <c r="L393" s="1887"/>
      <c r="M393" s="1887"/>
      <c r="N393" s="1887"/>
      <c r="O393" s="1887"/>
      <c r="P393" s="1887"/>
      <c r="Q393" s="1887"/>
      <c r="R393" s="1887"/>
      <c r="S393" s="1887"/>
      <c r="T393" s="1887"/>
      <c r="U393" s="1887"/>
      <c r="V393" s="1887"/>
      <c r="W393" s="1887"/>
      <c r="X393" s="1887"/>
      <c r="Y393" s="1887"/>
      <c r="Z393" s="1887"/>
      <c r="AA393" s="1887"/>
      <c r="AB393" s="1887"/>
      <c r="AC393" s="1887"/>
    </row>
    <row r="394">
      <c r="A394" s="1887"/>
      <c r="B394" s="1887"/>
      <c r="C394" s="1887"/>
      <c r="D394" s="1887"/>
      <c r="E394" s="1887"/>
      <c r="F394" s="1887"/>
      <c r="G394" s="1887"/>
      <c r="H394" s="1887"/>
      <c r="I394" s="1887"/>
      <c r="J394" s="1887"/>
      <c r="K394" s="1887"/>
      <c r="L394" s="1887"/>
      <c r="M394" s="1887"/>
      <c r="N394" s="1887"/>
      <c r="O394" s="1887"/>
      <c r="P394" s="1887"/>
      <c r="Q394" s="1887"/>
      <c r="R394" s="1887"/>
      <c r="S394" s="1887"/>
      <c r="T394" s="1887"/>
      <c r="U394" s="1887"/>
      <c r="V394" s="1887"/>
      <c r="W394" s="1887"/>
      <c r="X394" s="1887"/>
      <c r="Y394" s="1887"/>
      <c r="Z394" s="1887"/>
      <c r="AA394" s="1887"/>
      <c r="AB394" s="1887"/>
      <c r="AC394" s="1887"/>
    </row>
    <row r="395">
      <c r="A395" s="1887"/>
      <c r="B395" s="1887"/>
      <c r="C395" s="1887"/>
      <c r="D395" s="1887"/>
      <c r="E395" s="1887"/>
      <c r="F395" s="1887"/>
      <c r="G395" s="1887"/>
      <c r="H395" s="1887"/>
      <c r="I395" s="1887"/>
      <c r="J395" s="1887"/>
      <c r="K395" s="1887"/>
      <c r="L395" s="1887"/>
      <c r="M395" s="1887"/>
      <c r="N395" s="1887"/>
      <c r="O395" s="1887"/>
      <c r="P395" s="1887"/>
      <c r="Q395" s="1887"/>
      <c r="R395" s="1887"/>
      <c r="S395" s="1887"/>
      <c r="T395" s="1887"/>
      <c r="U395" s="1887"/>
      <c r="V395" s="1887"/>
      <c r="W395" s="1887"/>
      <c r="X395" s="1887"/>
      <c r="Y395" s="1887"/>
      <c r="Z395" s="1887"/>
      <c r="AA395" s="1887"/>
      <c r="AB395" s="1887"/>
      <c r="AC395" s="1887"/>
    </row>
    <row r="396">
      <c r="A396" s="1887"/>
      <c r="B396" s="1887"/>
      <c r="C396" s="1887"/>
      <c r="D396" s="1887"/>
      <c r="E396" s="1887"/>
      <c r="F396" s="1887"/>
      <c r="G396" s="1887"/>
      <c r="H396" s="1887"/>
      <c r="I396" s="1887"/>
      <c r="J396" s="1887"/>
      <c r="K396" s="1887"/>
      <c r="L396" s="1887"/>
      <c r="M396" s="1887"/>
      <c r="N396" s="1887"/>
      <c r="O396" s="1887"/>
      <c r="P396" s="1887"/>
      <c r="Q396" s="1887"/>
      <c r="R396" s="1887"/>
      <c r="S396" s="1887"/>
      <c r="T396" s="1887"/>
      <c r="U396" s="1887"/>
      <c r="V396" s="1887"/>
      <c r="W396" s="1887"/>
      <c r="X396" s="1887"/>
      <c r="Y396" s="1887"/>
      <c r="Z396" s="1887"/>
      <c r="AA396" s="1887"/>
      <c r="AB396" s="1887"/>
      <c r="AC396" s="1887"/>
    </row>
    <row r="397">
      <c r="A397" s="1887"/>
      <c r="B397" s="1887"/>
      <c r="C397" s="1887"/>
      <c r="D397" s="1887"/>
      <c r="E397" s="1887"/>
      <c r="F397" s="1887"/>
      <c r="G397" s="1887"/>
      <c r="H397" s="1887"/>
      <c r="I397" s="1887"/>
      <c r="J397" s="1887"/>
      <c r="K397" s="1887"/>
      <c r="L397" s="1887"/>
      <c r="M397" s="1887"/>
      <c r="N397" s="1887"/>
      <c r="O397" s="1887"/>
      <c r="P397" s="1887"/>
      <c r="Q397" s="1887"/>
      <c r="R397" s="1887"/>
      <c r="S397" s="1887"/>
      <c r="T397" s="1887"/>
      <c r="U397" s="1887"/>
      <c r="V397" s="1887"/>
      <c r="W397" s="1887"/>
      <c r="X397" s="1887"/>
      <c r="Y397" s="1887"/>
      <c r="Z397" s="1887"/>
      <c r="AA397" s="1887"/>
      <c r="AB397" s="1887"/>
      <c r="AC397" s="1887"/>
    </row>
    <row r="398">
      <c r="A398" s="1887"/>
      <c r="B398" s="1887"/>
      <c r="C398" s="1887"/>
      <c r="D398" s="1887"/>
      <c r="E398" s="1887"/>
      <c r="F398" s="1887"/>
      <c r="G398" s="1887"/>
      <c r="H398" s="1887"/>
      <c r="I398" s="1887"/>
      <c r="J398" s="1887"/>
      <c r="K398" s="1887"/>
      <c r="L398" s="1887"/>
      <c r="M398" s="1887"/>
      <c r="N398" s="1887"/>
      <c r="O398" s="1887"/>
      <c r="P398" s="1887"/>
      <c r="Q398" s="1887"/>
      <c r="R398" s="1887"/>
      <c r="S398" s="1887"/>
      <c r="T398" s="1887"/>
      <c r="U398" s="1887"/>
      <c r="V398" s="1887"/>
      <c r="W398" s="1887"/>
      <c r="X398" s="1887"/>
      <c r="Y398" s="1887"/>
      <c r="Z398" s="1887"/>
      <c r="AA398" s="1887"/>
      <c r="AB398" s="1887"/>
      <c r="AC398" s="1887"/>
    </row>
    <row r="399">
      <c r="A399" s="1887"/>
      <c r="B399" s="1887"/>
      <c r="C399" s="1887"/>
      <c r="D399" s="1887"/>
      <c r="E399" s="1887"/>
      <c r="F399" s="1887"/>
      <c r="G399" s="1887"/>
      <c r="H399" s="1887"/>
      <c r="I399" s="1887"/>
      <c r="J399" s="1887"/>
      <c r="K399" s="1887"/>
      <c r="L399" s="1887"/>
      <c r="M399" s="1887"/>
      <c r="N399" s="1887"/>
      <c r="O399" s="1887"/>
      <c r="P399" s="1887"/>
      <c r="Q399" s="1887"/>
      <c r="R399" s="1887"/>
      <c r="S399" s="1887"/>
      <c r="T399" s="1887"/>
      <c r="U399" s="1887"/>
      <c r="V399" s="1887"/>
      <c r="W399" s="1887"/>
      <c r="X399" s="1887"/>
      <c r="Y399" s="1887"/>
      <c r="Z399" s="1887"/>
      <c r="AA399" s="1887"/>
      <c r="AB399" s="1887"/>
      <c r="AC399" s="1887"/>
    </row>
    <row r="400">
      <c r="A400" s="1887"/>
      <c r="B400" s="1887"/>
      <c r="C400" s="1887"/>
      <c r="D400" s="1887"/>
      <c r="E400" s="1887"/>
      <c r="F400" s="1887"/>
      <c r="G400" s="1887"/>
      <c r="H400" s="1887"/>
      <c r="I400" s="1887"/>
      <c r="J400" s="1887"/>
      <c r="K400" s="1887"/>
      <c r="L400" s="1887"/>
      <c r="M400" s="1887"/>
      <c r="N400" s="1887"/>
      <c r="O400" s="1887"/>
      <c r="P400" s="1887"/>
      <c r="Q400" s="1887"/>
      <c r="R400" s="1887"/>
      <c r="S400" s="1887"/>
      <c r="T400" s="1887"/>
      <c r="U400" s="1887"/>
      <c r="V400" s="1887"/>
      <c r="W400" s="1887"/>
      <c r="X400" s="1887"/>
      <c r="Y400" s="1887"/>
      <c r="Z400" s="1887"/>
      <c r="AA400" s="1887"/>
      <c r="AB400" s="1887"/>
      <c r="AC400" s="1887"/>
    </row>
    <row r="401">
      <c r="A401" s="1887"/>
      <c r="B401" s="1887"/>
      <c r="C401" s="1887"/>
      <c r="D401" s="1887"/>
      <c r="E401" s="1887"/>
      <c r="F401" s="1887"/>
      <c r="G401" s="1887"/>
      <c r="H401" s="1887"/>
      <c r="I401" s="1887"/>
      <c r="J401" s="1887"/>
      <c r="K401" s="1887"/>
      <c r="L401" s="1887"/>
      <c r="M401" s="1887"/>
      <c r="N401" s="1887"/>
      <c r="O401" s="1887"/>
      <c r="P401" s="1887"/>
      <c r="Q401" s="1887"/>
      <c r="R401" s="1887"/>
      <c r="S401" s="1887"/>
      <c r="T401" s="1887"/>
      <c r="U401" s="1887"/>
      <c r="V401" s="1887"/>
      <c r="W401" s="1887"/>
      <c r="X401" s="1887"/>
      <c r="Y401" s="1887"/>
      <c r="Z401" s="1887"/>
      <c r="AA401" s="1887"/>
      <c r="AB401" s="1887"/>
      <c r="AC401" s="1887"/>
    </row>
    <row r="402">
      <c r="A402" s="1887"/>
      <c r="B402" s="1887"/>
      <c r="C402" s="1887"/>
      <c r="D402" s="1887"/>
      <c r="E402" s="1887"/>
      <c r="F402" s="1887"/>
      <c r="G402" s="1887"/>
      <c r="H402" s="1887"/>
      <c r="I402" s="1887"/>
      <c r="J402" s="1887"/>
      <c r="K402" s="1887"/>
      <c r="L402" s="1887"/>
      <c r="M402" s="1887"/>
      <c r="N402" s="1887"/>
      <c r="O402" s="1887"/>
      <c r="P402" s="1887"/>
      <c r="Q402" s="1887"/>
      <c r="R402" s="1887"/>
      <c r="S402" s="1887"/>
      <c r="T402" s="1887"/>
      <c r="U402" s="1887"/>
      <c r="V402" s="1887"/>
      <c r="W402" s="1887"/>
      <c r="X402" s="1887"/>
      <c r="Y402" s="1887"/>
      <c r="Z402" s="1887"/>
      <c r="AA402" s="1887"/>
      <c r="AB402" s="1887"/>
      <c r="AC402" s="1887"/>
    </row>
    <row r="403">
      <c r="A403" s="1887"/>
      <c r="B403" s="1887"/>
      <c r="C403" s="1887"/>
      <c r="D403" s="1887"/>
      <c r="E403" s="1887"/>
      <c r="F403" s="1887"/>
      <c r="G403" s="1887"/>
      <c r="H403" s="1887"/>
      <c r="I403" s="1887"/>
      <c r="J403" s="1887"/>
      <c r="K403" s="1887"/>
      <c r="L403" s="1887"/>
      <c r="M403" s="1887"/>
      <c r="N403" s="1887"/>
      <c r="O403" s="1887"/>
      <c r="P403" s="1887"/>
      <c r="Q403" s="1887"/>
      <c r="R403" s="1887"/>
      <c r="S403" s="1887"/>
      <c r="T403" s="1887"/>
      <c r="U403" s="1887"/>
      <c r="V403" s="1887"/>
      <c r="W403" s="1887"/>
      <c r="X403" s="1887"/>
      <c r="Y403" s="1887"/>
      <c r="Z403" s="1887"/>
      <c r="AA403" s="1887"/>
      <c r="AB403" s="1887"/>
      <c r="AC403" s="1887"/>
    </row>
    <row r="404">
      <c r="A404" s="1887"/>
      <c r="B404" s="1887"/>
      <c r="C404" s="1887"/>
      <c r="D404" s="1887"/>
      <c r="E404" s="1887"/>
      <c r="F404" s="1887"/>
      <c r="G404" s="1887"/>
      <c r="H404" s="1887"/>
      <c r="I404" s="1887"/>
      <c r="J404" s="1887"/>
      <c r="K404" s="1887"/>
      <c r="L404" s="1887"/>
      <c r="M404" s="1887"/>
      <c r="N404" s="1887"/>
      <c r="O404" s="1887"/>
      <c r="P404" s="1887"/>
      <c r="Q404" s="1887"/>
      <c r="R404" s="1887"/>
      <c r="S404" s="1887"/>
      <c r="T404" s="1887"/>
      <c r="U404" s="1887"/>
      <c r="V404" s="1887"/>
      <c r="W404" s="1887"/>
      <c r="X404" s="1887"/>
      <c r="Y404" s="1887"/>
      <c r="Z404" s="1887"/>
      <c r="AA404" s="1887"/>
      <c r="AB404" s="1887"/>
      <c r="AC404" s="1887"/>
    </row>
    <row r="405">
      <c r="A405" s="1887"/>
      <c r="B405" s="1887"/>
      <c r="C405" s="1887"/>
      <c r="D405" s="1887"/>
      <c r="E405" s="1887"/>
      <c r="F405" s="1887"/>
      <c r="G405" s="1887"/>
      <c r="H405" s="1887"/>
      <c r="I405" s="1887"/>
      <c r="J405" s="1887"/>
      <c r="K405" s="1887"/>
      <c r="L405" s="1887"/>
      <c r="M405" s="1887"/>
      <c r="N405" s="1887"/>
      <c r="O405" s="1887"/>
      <c r="P405" s="1887"/>
      <c r="Q405" s="1887"/>
      <c r="R405" s="1887"/>
      <c r="S405" s="1887"/>
      <c r="T405" s="1887"/>
      <c r="U405" s="1887"/>
      <c r="V405" s="1887"/>
      <c r="W405" s="1887"/>
      <c r="X405" s="1887"/>
      <c r="Y405" s="1887"/>
      <c r="Z405" s="1887"/>
      <c r="AA405" s="1887"/>
      <c r="AB405" s="1887"/>
      <c r="AC405" s="1887"/>
    </row>
    <row r="406">
      <c r="A406" s="1887"/>
      <c r="B406" s="1887"/>
      <c r="C406" s="1887"/>
      <c r="D406" s="1887"/>
      <c r="E406" s="1887"/>
      <c r="F406" s="1887"/>
      <c r="G406" s="1887"/>
      <c r="H406" s="1887"/>
      <c r="I406" s="1887"/>
      <c r="J406" s="1887"/>
      <c r="K406" s="1887"/>
      <c r="L406" s="1887"/>
      <c r="M406" s="1887"/>
      <c r="N406" s="1887"/>
      <c r="O406" s="1887"/>
      <c r="P406" s="1887"/>
      <c r="Q406" s="1887"/>
      <c r="R406" s="1887"/>
      <c r="S406" s="1887"/>
      <c r="T406" s="1887"/>
      <c r="U406" s="1887"/>
      <c r="V406" s="1887"/>
      <c r="W406" s="1887"/>
      <c r="X406" s="1887"/>
      <c r="Y406" s="1887"/>
      <c r="Z406" s="1887"/>
      <c r="AA406" s="1887"/>
      <c r="AB406" s="1887"/>
      <c r="AC406" s="1887"/>
    </row>
    <row r="407">
      <c r="A407" s="1887"/>
      <c r="B407" s="1887"/>
      <c r="C407" s="1887"/>
      <c r="D407" s="1887"/>
      <c r="E407" s="1887"/>
      <c r="F407" s="1887"/>
      <c r="G407" s="1887"/>
      <c r="H407" s="1887"/>
      <c r="I407" s="1887"/>
      <c r="J407" s="1887"/>
      <c r="K407" s="1887"/>
      <c r="L407" s="1887"/>
      <c r="M407" s="1887"/>
      <c r="N407" s="1887"/>
      <c r="O407" s="1887"/>
      <c r="P407" s="1887"/>
      <c r="Q407" s="1887"/>
      <c r="R407" s="1887"/>
      <c r="S407" s="1887"/>
      <c r="T407" s="1887"/>
      <c r="U407" s="1887"/>
      <c r="V407" s="1887"/>
      <c r="W407" s="1887"/>
      <c r="X407" s="1887"/>
      <c r="Y407" s="1887"/>
      <c r="Z407" s="1887"/>
      <c r="AA407" s="1887"/>
      <c r="AB407" s="1887"/>
      <c r="AC407" s="1887"/>
    </row>
    <row r="408">
      <c r="A408" s="1887"/>
      <c r="B408" s="1887"/>
      <c r="C408" s="1887"/>
      <c r="D408" s="1887"/>
      <c r="E408" s="1887"/>
      <c r="F408" s="1887"/>
      <c r="G408" s="1887"/>
      <c r="H408" s="1887"/>
      <c r="I408" s="1887"/>
      <c r="J408" s="1887"/>
      <c r="K408" s="1887"/>
      <c r="L408" s="1887"/>
      <c r="M408" s="1887"/>
      <c r="N408" s="1887"/>
      <c r="O408" s="1887"/>
      <c r="P408" s="1887"/>
      <c r="Q408" s="1887"/>
      <c r="R408" s="1887"/>
      <c r="S408" s="1887"/>
      <c r="T408" s="1887"/>
      <c r="U408" s="1887"/>
      <c r="V408" s="1887"/>
      <c r="W408" s="1887"/>
      <c r="X408" s="1887"/>
      <c r="Y408" s="1887"/>
      <c r="Z408" s="1887"/>
      <c r="AA408" s="1887"/>
      <c r="AB408" s="1887"/>
      <c r="AC408" s="1887"/>
    </row>
    <row r="409">
      <c r="A409" s="1887"/>
      <c r="B409" s="1887"/>
      <c r="C409" s="1887"/>
      <c r="D409" s="1887"/>
      <c r="E409" s="1887"/>
      <c r="F409" s="1887"/>
      <c r="G409" s="1887"/>
      <c r="H409" s="1887"/>
      <c r="I409" s="1887"/>
      <c r="J409" s="1887"/>
      <c r="K409" s="1887"/>
      <c r="L409" s="1887"/>
      <c r="M409" s="1887"/>
      <c r="N409" s="1887"/>
      <c r="O409" s="1887"/>
      <c r="P409" s="1887"/>
      <c r="Q409" s="1887"/>
      <c r="R409" s="1887"/>
      <c r="S409" s="1887"/>
      <c r="T409" s="1887"/>
      <c r="U409" s="1887"/>
      <c r="V409" s="1887"/>
      <c r="W409" s="1887"/>
      <c r="X409" s="1887"/>
      <c r="Y409" s="1887"/>
      <c r="Z409" s="1887"/>
      <c r="AA409" s="1887"/>
      <c r="AB409" s="1887"/>
      <c r="AC409" s="1887"/>
    </row>
    <row r="410">
      <c r="A410" s="1887"/>
      <c r="B410" s="1887"/>
      <c r="C410" s="1887"/>
      <c r="D410" s="1887"/>
      <c r="E410" s="1887"/>
      <c r="F410" s="1887"/>
      <c r="G410" s="1887"/>
      <c r="H410" s="1887"/>
      <c r="I410" s="1887"/>
      <c r="J410" s="1887"/>
      <c r="K410" s="1887"/>
      <c r="L410" s="1887"/>
      <c r="M410" s="1887"/>
      <c r="N410" s="1887"/>
      <c r="O410" s="1887"/>
      <c r="P410" s="1887"/>
      <c r="Q410" s="1887"/>
      <c r="R410" s="1887"/>
      <c r="S410" s="1887"/>
      <c r="T410" s="1887"/>
      <c r="U410" s="1887"/>
      <c r="V410" s="1887"/>
      <c r="W410" s="1887"/>
      <c r="X410" s="1887"/>
      <c r="Y410" s="1887"/>
      <c r="Z410" s="1887"/>
      <c r="AA410" s="1887"/>
      <c r="AB410" s="1887"/>
      <c r="AC410" s="1887"/>
    </row>
    <row r="411">
      <c r="A411" s="1887"/>
      <c r="B411" s="1887"/>
      <c r="C411" s="1887"/>
      <c r="D411" s="1887"/>
      <c r="E411" s="1887"/>
      <c r="F411" s="1887"/>
      <c r="G411" s="1887"/>
      <c r="H411" s="1887"/>
      <c r="I411" s="1887"/>
      <c r="J411" s="1887"/>
      <c r="K411" s="1887"/>
      <c r="L411" s="1887"/>
      <c r="M411" s="1887"/>
      <c r="N411" s="1887"/>
      <c r="O411" s="1887"/>
      <c r="P411" s="1887"/>
      <c r="Q411" s="1887"/>
      <c r="R411" s="1887"/>
      <c r="S411" s="1887"/>
      <c r="T411" s="1887"/>
      <c r="U411" s="1887"/>
      <c r="V411" s="1887"/>
      <c r="W411" s="1887"/>
      <c r="X411" s="1887"/>
      <c r="Y411" s="1887"/>
      <c r="Z411" s="1887"/>
      <c r="AA411" s="1887"/>
      <c r="AB411" s="1887"/>
      <c r="AC411" s="1887"/>
    </row>
    <row r="412">
      <c r="A412" s="1887"/>
      <c r="B412" s="1887"/>
      <c r="C412" s="1887"/>
      <c r="D412" s="1887"/>
      <c r="E412" s="1887"/>
      <c r="F412" s="1887"/>
      <c r="G412" s="1887"/>
      <c r="H412" s="1887"/>
      <c r="I412" s="1887"/>
      <c r="J412" s="1887"/>
      <c r="K412" s="1887"/>
      <c r="L412" s="1887"/>
      <c r="M412" s="1887"/>
      <c r="N412" s="1887"/>
      <c r="O412" s="1887"/>
      <c r="P412" s="1887"/>
      <c r="Q412" s="1887"/>
      <c r="R412" s="1887"/>
      <c r="S412" s="1887"/>
      <c r="T412" s="1887"/>
      <c r="U412" s="1887"/>
      <c r="V412" s="1887"/>
      <c r="W412" s="1887"/>
      <c r="X412" s="1887"/>
      <c r="Y412" s="1887"/>
      <c r="Z412" s="1887"/>
      <c r="AA412" s="1887"/>
      <c r="AB412" s="1887"/>
      <c r="AC412" s="1887"/>
    </row>
    <row r="413">
      <c r="A413" s="1887"/>
      <c r="B413" s="1887"/>
      <c r="C413" s="1887"/>
      <c r="D413" s="1887"/>
      <c r="E413" s="1887"/>
      <c r="F413" s="1887"/>
      <c r="G413" s="1887"/>
      <c r="H413" s="1887"/>
      <c r="I413" s="1887"/>
      <c r="J413" s="1887"/>
      <c r="K413" s="1887"/>
      <c r="L413" s="1887"/>
      <c r="M413" s="1887"/>
      <c r="N413" s="1887"/>
      <c r="O413" s="1887"/>
      <c r="P413" s="1887"/>
      <c r="Q413" s="1887"/>
      <c r="R413" s="1887"/>
      <c r="S413" s="1887"/>
      <c r="T413" s="1887"/>
      <c r="U413" s="1887"/>
      <c r="V413" s="1887"/>
      <c r="W413" s="1887"/>
      <c r="X413" s="1887"/>
      <c r="Y413" s="1887"/>
      <c r="Z413" s="1887"/>
      <c r="AA413" s="1887"/>
      <c r="AB413" s="1887"/>
      <c r="AC413" s="1887"/>
    </row>
    <row r="414">
      <c r="A414" s="1887"/>
      <c r="B414" s="1887"/>
      <c r="C414" s="1887"/>
      <c r="D414" s="1887"/>
      <c r="E414" s="1887"/>
      <c r="F414" s="1887"/>
      <c r="G414" s="1887"/>
      <c r="H414" s="1887"/>
      <c r="I414" s="1887"/>
      <c r="J414" s="1887"/>
      <c r="K414" s="1887"/>
      <c r="L414" s="1887"/>
      <c r="M414" s="1887"/>
      <c r="N414" s="1887"/>
      <c r="O414" s="1887"/>
      <c r="P414" s="1887"/>
      <c r="Q414" s="1887"/>
      <c r="R414" s="1887"/>
      <c r="S414" s="1887"/>
      <c r="T414" s="1887"/>
      <c r="U414" s="1887"/>
      <c r="V414" s="1887"/>
      <c r="W414" s="1887"/>
      <c r="X414" s="1887"/>
      <c r="Y414" s="1887"/>
      <c r="Z414" s="1887"/>
      <c r="AA414" s="1887"/>
      <c r="AB414" s="1887"/>
      <c r="AC414" s="1887"/>
    </row>
    <row r="415">
      <c r="A415" s="1887"/>
      <c r="B415" s="1887"/>
      <c r="C415" s="1887"/>
      <c r="D415" s="1887"/>
      <c r="E415" s="1887"/>
      <c r="F415" s="1887"/>
      <c r="G415" s="1887"/>
      <c r="H415" s="1887"/>
      <c r="I415" s="1887"/>
      <c r="J415" s="1887"/>
      <c r="K415" s="1887"/>
      <c r="L415" s="1887"/>
      <c r="M415" s="1887"/>
      <c r="N415" s="1887"/>
      <c r="O415" s="1887"/>
      <c r="P415" s="1887"/>
      <c r="Q415" s="1887"/>
      <c r="R415" s="1887"/>
      <c r="S415" s="1887"/>
      <c r="T415" s="1887"/>
      <c r="U415" s="1887"/>
      <c r="V415" s="1887"/>
      <c r="W415" s="1887"/>
      <c r="X415" s="1887"/>
      <c r="Y415" s="1887"/>
      <c r="Z415" s="1887"/>
      <c r="AA415" s="1887"/>
      <c r="AB415" s="1887"/>
      <c r="AC415" s="1887"/>
    </row>
    <row r="416">
      <c r="A416" s="1887"/>
      <c r="B416" s="1887"/>
      <c r="C416" s="1887"/>
      <c r="D416" s="1887"/>
      <c r="E416" s="1887"/>
      <c r="F416" s="1887"/>
      <c r="G416" s="1887"/>
      <c r="H416" s="1887"/>
      <c r="I416" s="1887"/>
      <c r="J416" s="1887"/>
      <c r="K416" s="1887"/>
      <c r="L416" s="1887"/>
      <c r="M416" s="1887"/>
      <c r="N416" s="1887"/>
      <c r="O416" s="1887"/>
      <c r="P416" s="1887"/>
      <c r="Q416" s="1887"/>
      <c r="R416" s="1887"/>
      <c r="S416" s="1887"/>
      <c r="T416" s="1887"/>
      <c r="U416" s="1887"/>
      <c r="V416" s="1887"/>
      <c r="W416" s="1887"/>
      <c r="X416" s="1887"/>
      <c r="Y416" s="1887"/>
      <c r="Z416" s="1887"/>
      <c r="AA416" s="1887"/>
      <c r="AB416" s="1887"/>
      <c r="AC416" s="1887"/>
    </row>
    <row r="417">
      <c r="A417" s="1887"/>
      <c r="B417" s="1887"/>
      <c r="C417" s="1887"/>
      <c r="D417" s="1887"/>
      <c r="E417" s="1887"/>
      <c r="F417" s="1887"/>
      <c r="G417" s="1887"/>
      <c r="H417" s="1887"/>
      <c r="I417" s="1887"/>
      <c r="J417" s="1887"/>
      <c r="K417" s="1887"/>
      <c r="L417" s="1887"/>
      <c r="M417" s="1887"/>
      <c r="N417" s="1887"/>
      <c r="O417" s="1887"/>
      <c r="P417" s="1887"/>
      <c r="Q417" s="1887"/>
      <c r="R417" s="1887"/>
      <c r="S417" s="1887"/>
      <c r="T417" s="1887"/>
      <c r="U417" s="1887"/>
      <c r="V417" s="1887"/>
      <c r="W417" s="1887"/>
      <c r="X417" s="1887"/>
      <c r="Y417" s="1887"/>
      <c r="Z417" s="1887"/>
      <c r="AA417" s="1887"/>
      <c r="AB417" s="1887"/>
      <c r="AC417" s="1887"/>
    </row>
    <row r="418">
      <c r="A418" s="1887"/>
      <c r="B418" s="1887"/>
      <c r="C418" s="1887"/>
      <c r="D418" s="1887"/>
      <c r="E418" s="1887"/>
      <c r="F418" s="1887"/>
      <c r="G418" s="1887"/>
      <c r="H418" s="1887"/>
      <c r="I418" s="1887"/>
      <c r="J418" s="1887"/>
      <c r="K418" s="1887"/>
      <c r="L418" s="1887"/>
      <c r="M418" s="1887"/>
      <c r="N418" s="1887"/>
      <c r="O418" s="1887"/>
      <c r="P418" s="1887"/>
      <c r="Q418" s="1887"/>
      <c r="R418" s="1887"/>
      <c r="S418" s="1887"/>
      <c r="T418" s="1887"/>
      <c r="U418" s="1887"/>
      <c r="V418" s="1887"/>
      <c r="W418" s="1887"/>
      <c r="X418" s="1887"/>
      <c r="Y418" s="1887"/>
      <c r="Z418" s="1887"/>
      <c r="AA418" s="1887"/>
      <c r="AB418" s="1887"/>
      <c r="AC418" s="1887"/>
    </row>
    <row r="419">
      <c r="A419" s="1887"/>
      <c r="B419" s="1887"/>
      <c r="C419" s="1887"/>
      <c r="D419" s="1887"/>
      <c r="E419" s="1887"/>
      <c r="F419" s="1887"/>
      <c r="G419" s="1887"/>
      <c r="H419" s="1887"/>
      <c r="I419" s="1887"/>
      <c r="J419" s="1887"/>
      <c r="K419" s="1887"/>
      <c r="L419" s="1887"/>
      <c r="M419" s="1887"/>
      <c r="N419" s="1887"/>
      <c r="O419" s="1887"/>
      <c r="P419" s="1887"/>
      <c r="Q419" s="1887"/>
      <c r="R419" s="1887"/>
      <c r="S419" s="1887"/>
      <c r="T419" s="1887"/>
      <c r="U419" s="1887"/>
      <c r="V419" s="1887"/>
      <c r="W419" s="1887"/>
      <c r="X419" s="1887"/>
      <c r="Y419" s="1887"/>
      <c r="Z419" s="1887"/>
      <c r="AA419" s="1887"/>
      <c r="AB419" s="1887"/>
      <c r="AC419" s="1887"/>
    </row>
    <row r="420">
      <c r="A420" s="1887"/>
      <c r="B420" s="1887"/>
      <c r="C420" s="1887"/>
      <c r="D420" s="1887"/>
      <c r="E420" s="1887"/>
      <c r="F420" s="1887"/>
      <c r="G420" s="1887"/>
      <c r="H420" s="1887"/>
      <c r="I420" s="1887"/>
      <c r="J420" s="1887"/>
      <c r="K420" s="1887"/>
      <c r="L420" s="1887"/>
      <c r="M420" s="1887"/>
      <c r="N420" s="1887"/>
      <c r="O420" s="1887"/>
      <c r="P420" s="1887"/>
      <c r="Q420" s="1887"/>
      <c r="R420" s="1887"/>
      <c r="S420" s="1887"/>
      <c r="T420" s="1887"/>
      <c r="U420" s="1887"/>
      <c r="V420" s="1887"/>
      <c r="W420" s="1887"/>
      <c r="X420" s="1887"/>
      <c r="Y420" s="1887"/>
      <c r="Z420" s="1887"/>
      <c r="AA420" s="1887"/>
      <c r="AB420" s="1887"/>
      <c r="AC420" s="1887"/>
    </row>
    <row r="421">
      <c r="A421" s="1887"/>
      <c r="B421" s="1887"/>
      <c r="C421" s="1887"/>
      <c r="D421" s="1887"/>
      <c r="E421" s="1887"/>
      <c r="F421" s="1887"/>
      <c r="G421" s="1887"/>
      <c r="H421" s="1887"/>
      <c r="I421" s="1887"/>
      <c r="J421" s="1887"/>
      <c r="K421" s="1887"/>
      <c r="L421" s="1887"/>
      <c r="M421" s="1887"/>
      <c r="N421" s="1887"/>
      <c r="O421" s="1887"/>
      <c r="P421" s="1887"/>
      <c r="Q421" s="1887"/>
      <c r="R421" s="1887"/>
      <c r="S421" s="1887"/>
      <c r="T421" s="1887"/>
      <c r="U421" s="1887"/>
      <c r="V421" s="1887"/>
      <c r="W421" s="1887"/>
      <c r="X421" s="1887"/>
      <c r="Y421" s="1887"/>
      <c r="Z421" s="1887"/>
      <c r="AA421" s="1887"/>
      <c r="AB421" s="1887"/>
      <c r="AC421" s="1887"/>
    </row>
    <row r="422">
      <c r="A422" s="1887"/>
      <c r="B422" s="1887"/>
      <c r="C422" s="1887"/>
      <c r="D422" s="1887"/>
      <c r="E422" s="1887"/>
      <c r="F422" s="1887"/>
      <c r="G422" s="1887"/>
      <c r="H422" s="1887"/>
      <c r="I422" s="1887"/>
      <c r="J422" s="1887"/>
      <c r="K422" s="1887"/>
      <c r="L422" s="1887"/>
      <c r="M422" s="1887"/>
      <c r="N422" s="1887"/>
      <c r="O422" s="1887"/>
      <c r="P422" s="1887"/>
      <c r="Q422" s="1887"/>
      <c r="R422" s="1887"/>
      <c r="S422" s="1887"/>
      <c r="T422" s="1887"/>
      <c r="U422" s="1887"/>
      <c r="V422" s="1887"/>
      <c r="W422" s="1887"/>
      <c r="X422" s="1887"/>
      <c r="Y422" s="1887"/>
      <c r="Z422" s="1887"/>
      <c r="AA422" s="1887"/>
      <c r="AB422" s="1887"/>
      <c r="AC422" s="1887"/>
    </row>
    <row r="423">
      <c r="A423" s="1887"/>
      <c r="B423" s="1887"/>
      <c r="C423" s="1887"/>
      <c r="D423" s="1887"/>
      <c r="E423" s="1887"/>
      <c r="F423" s="1887"/>
      <c r="G423" s="1887"/>
      <c r="H423" s="1887"/>
      <c r="I423" s="1887"/>
      <c r="J423" s="1887"/>
      <c r="K423" s="1887"/>
      <c r="L423" s="1887"/>
      <c r="M423" s="1887"/>
      <c r="N423" s="1887"/>
      <c r="O423" s="1887"/>
      <c r="P423" s="1887"/>
      <c r="Q423" s="1887"/>
      <c r="R423" s="1887"/>
      <c r="S423" s="1887"/>
      <c r="T423" s="1887"/>
      <c r="U423" s="1887"/>
      <c r="V423" s="1887"/>
      <c r="W423" s="1887"/>
      <c r="X423" s="1887"/>
      <c r="Y423" s="1887"/>
      <c r="Z423" s="1887"/>
      <c r="AA423" s="1887"/>
      <c r="AB423" s="1887"/>
      <c r="AC423" s="1887"/>
    </row>
    <row r="424">
      <c r="A424" s="1887"/>
      <c r="B424" s="1887"/>
      <c r="C424" s="1887"/>
      <c r="D424" s="1887"/>
      <c r="E424" s="1887"/>
      <c r="F424" s="1887"/>
      <c r="G424" s="1887"/>
      <c r="H424" s="1887"/>
      <c r="I424" s="1887"/>
      <c r="J424" s="1887"/>
      <c r="K424" s="1887"/>
      <c r="L424" s="1887"/>
      <c r="M424" s="1887"/>
      <c r="N424" s="1887"/>
      <c r="O424" s="1887"/>
      <c r="P424" s="1887"/>
      <c r="Q424" s="1887"/>
      <c r="R424" s="1887"/>
      <c r="S424" s="1887"/>
      <c r="T424" s="1887"/>
      <c r="U424" s="1887"/>
      <c r="V424" s="1887"/>
      <c r="W424" s="1887"/>
      <c r="X424" s="1887"/>
      <c r="Y424" s="1887"/>
      <c r="Z424" s="1887"/>
      <c r="AA424" s="1887"/>
      <c r="AB424" s="1887"/>
      <c r="AC424" s="1887"/>
    </row>
    <row r="425">
      <c r="A425" s="1887"/>
      <c r="B425" s="1887"/>
      <c r="C425" s="1887"/>
      <c r="D425" s="1887"/>
      <c r="E425" s="1887"/>
      <c r="F425" s="1887"/>
      <c r="G425" s="1887"/>
      <c r="H425" s="1887"/>
      <c r="I425" s="1887"/>
      <c r="J425" s="1887"/>
      <c r="K425" s="1887"/>
      <c r="L425" s="1887"/>
      <c r="M425" s="1887"/>
      <c r="N425" s="1887"/>
      <c r="O425" s="1887"/>
      <c r="P425" s="1887"/>
      <c r="Q425" s="1887"/>
      <c r="R425" s="1887"/>
      <c r="S425" s="1887"/>
      <c r="T425" s="1887"/>
      <c r="U425" s="1887"/>
      <c r="V425" s="1887"/>
      <c r="W425" s="1887"/>
      <c r="X425" s="1887"/>
      <c r="Y425" s="1887"/>
      <c r="Z425" s="1887"/>
      <c r="AA425" s="1887"/>
      <c r="AB425" s="1887"/>
      <c r="AC425" s="1887"/>
    </row>
    <row r="426">
      <c r="A426" s="1887"/>
      <c r="B426" s="1887"/>
      <c r="C426" s="1887"/>
      <c r="D426" s="1887"/>
      <c r="E426" s="1887"/>
      <c r="F426" s="1887"/>
      <c r="G426" s="1887"/>
      <c r="H426" s="1887"/>
      <c r="I426" s="1887"/>
      <c r="J426" s="1887"/>
      <c r="K426" s="1887"/>
      <c r="L426" s="1887"/>
      <c r="M426" s="1887"/>
      <c r="N426" s="1887"/>
      <c r="O426" s="1887"/>
      <c r="P426" s="1887"/>
      <c r="Q426" s="1887"/>
      <c r="R426" s="1887"/>
      <c r="S426" s="1887"/>
      <c r="T426" s="1887"/>
      <c r="U426" s="1887"/>
      <c r="V426" s="1887"/>
      <c r="W426" s="1887"/>
      <c r="X426" s="1887"/>
      <c r="Y426" s="1887"/>
      <c r="Z426" s="1887"/>
      <c r="AA426" s="1887"/>
      <c r="AB426" s="1887"/>
      <c r="AC426" s="1887"/>
    </row>
    <row r="427">
      <c r="A427" s="1887"/>
      <c r="B427" s="1887"/>
      <c r="C427" s="1887"/>
      <c r="D427" s="1887"/>
      <c r="E427" s="1887"/>
      <c r="F427" s="1887"/>
      <c r="G427" s="1887"/>
      <c r="H427" s="1887"/>
      <c r="I427" s="1887"/>
      <c r="J427" s="1887"/>
      <c r="K427" s="1887"/>
      <c r="L427" s="1887"/>
      <c r="M427" s="1887"/>
      <c r="N427" s="1887"/>
      <c r="O427" s="1887"/>
      <c r="P427" s="1887"/>
      <c r="Q427" s="1887"/>
      <c r="R427" s="1887"/>
      <c r="S427" s="1887"/>
      <c r="T427" s="1887"/>
      <c r="U427" s="1887"/>
      <c r="V427" s="1887"/>
      <c r="W427" s="1887"/>
      <c r="X427" s="1887"/>
      <c r="Y427" s="1887"/>
      <c r="Z427" s="1887"/>
      <c r="AA427" s="1887"/>
      <c r="AB427" s="1887"/>
      <c r="AC427" s="1887"/>
    </row>
    <row r="428">
      <c r="A428" s="1887"/>
      <c r="B428" s="1887"/>
      <c r="C428" s="1887"/>
      <c r="D428" s="1887"/>
      <c r="E428" s="1887"/>
      <c r="F428" s="1887"/>
      <c r="G428" s="1887"/>
      <c r="H428" s="1887"/>
      <c r="I428" s="1887"/>
      <c r="J428" s="1887"/>
      <c r="K428" s="1887"/>
      <c r="L428" s="1887"/>
      <c r="M428" s="1887"/>
      <c r="N428" s="1887"/>
      <c r="O428" s="1887"/>
      <c r="P428" s="1887"/>
      <c r="Q428" s="1887"/>
      <c r="R428" s="1887"/>
      <c r="S428" s="1887"/>
      <c r="T428" s="1887"/>
      <c r="U428" s="1887"/>
      <c r="V428" s="1887"/>
      <c r="W428" s="1887"/>
      <c r="X428" s="1887"/>
      <c r="Y428" s="1887"/>
      <c r="Z428" s="1887"/>
      <c r="AA428" s="1887"/>
      <c r="AB428" s="1887"/>
      <c r="AC428" s="1887"/>
    </row>
    <row r="429">
      <c r="A429" s="1887"/>
      <c r="B429" s="1887"/>
      <c r="C429" s="1887"/>
      <c r="D429" s="1887"/>
      <c r="E429" s="1887"/>
      <c r="F429" s="1887"/>
      <c r="G429" s="1887"/>
      <c r="H429" s="1887"/>
      <c r="I429" s="1887"/>
      <c r="J429" s="1887"/>
      <c r="K429" s="1887"/>
      <c r="L429" s="1887"/>
      <c r="M429" s="1887"/>
      <c r="N429" s="1887"/>
      <c r="O429" s="1887"/>
      <c r="P429" s="1887"/>
      <c r="Q429" s="1887"/>
      <c r="R429" s="1887"/>
      <c r="S429" s="1887"/>
      <c r="T429" s="1887"/>
      <c r="U429" s="1887"/>
      <c r="V429" s="1887"/>
      <c r="W429" s="1887"/>
      <c r="X429" s="1887"/>
      <c r="Y429" s="1887"/>
      <c r="Z429" s="1887"/>
      <c r="AA429" s="1887"/>
      <c r="AB429" s="1887"/>
      <c r="AC429" s="1887"/>
    </row>
    <row r="430">
      <c r="A430" s="1887"/>
      <c r="B430" s="1887"/>
      <c r="C430" s="1887"/>
      <c r="D430" s="1887"/>
      <c r="E430" s="1887"/>
      <c r="F430" s="1887"/>
      <c r="G430" s="1887"/>
      <c r="H430" s="1887"/>
      <c r="I430" s="1887"/>
      <c r="J430" s="1887"/>
      <c r="K430" s="1887"/>
      <c r="L430" s="1887"/>
      <c r="M430" s="1887"/>
      <c r="N430" s="1887"/>
      <c r="O430" s="1887"/>
      <c r="P430" s="1887"/>
      <c r="Q430" s="1887"/>
      <c r="R430" s="1887"/>
      <c r="S430" s="1887"/>
      <c r="T430" s="1887"/>
      <c r="U430" s="1887"/>
      <c r="V430" s="1887"/>
      <c r="W430" s="1887"/>
      <c r="X430" s="1887"/>
      <c r="Y430" s="1887"/>
      <c r="Z430" s="1887"/>
      <c r="AA430" s="1887"/>
      <c r="AB430" s="1887"/>
      <c r="AC430" s="1887"/>
    </row>
    <row r="431">
      <c r="A431" s="1887"/>
      <c r="B431" s="1887"/>
      <c r="C431" s="1887"/>
      <c r="D431" s="1887"/>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row>
    <row r="432">
      <c r="A432" s="1887"/>
      <c r="B432" s="1887"/>
      <c r="C432" s="1887"/>
      <c r="D432" s="1887"/>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row>
    <row r="433">
      <c r="A433" s="1887"/>
      <c r="B433" s="1887"/>
      <c r="C433" s="1887"/>
      <c r="D433" s="1887"/>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row>
    <row r="434">
      <c r="A434" s="1887"/>
      <c r="B434" s="1887"/>
      <c r="C434" s="1887"/>
      <c r="D434" s="1887"/>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row>
    <row r="435">
      <c r="A435" s="1887"/>
      <c r="B435" s="1887"/>
      <c r="C435" s="1887"/>
      <c r="D435" s="1887"/>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row>
    <row r="436">
      <c r="A436" s="1887"/>
      <c r="B436" s="1887"/>
      <c r="C436" s="1887"/>
      <c r="D436" s="1887"/>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row>
    <row r="437">
      <c r="A437" s="1887"/>
      <c r="B437" s="1887"/>
      <c r="C437" s="1887"/>
      <c r="D437" s="1887"/>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row>
    <row r="438">
      <c r="A438" s="1887"/>
      <c r="B438" s="1887"/>
      <c r="C438" s="1887"/>
      <c r="D438" s="1887"/>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row>
    <row r="439">
      <c r="A439" s="1887"/>
      <c r="B439" s="1887"/>
      <c r="C439" s="1887"/>
      <c r="D439" s="1887"/>
      <c r="E439" s="1887"/>
      <c r="F439" s="1887"/>
      <c r="G439" s="1887"/>
      <c r="H439" s="1887"/>
      <c r="I439" s="1887"/>
      <c r="J439" s="1887"/>
      <c r="K439" s="1887"/>
      <c r="L439" s="1887"/>
      <c r="M439" s="1887"/>
      <c r="N439" s="1887"/>
      <c r="O439" s="1887"/>
      <c r="P439" s="1887"/>
      <c r="Q439" s="1887"/>
      <c r="R439" s="1887"/>
      <c r="S439" s="1887"/>
      <c r="T439" s="1887"/>
      <c r="U439" s="1887"/>
      <c r="V439" s="1887"/>
      <c r="W439" s="1887"/>
      <c r="X439" s="1887"/>
      <c r="Y439" s="1887"/>
      <c r="Z439" s="1887"/>
      <c r="AA439" s="1887"/>
      <c r="AB439" s="1887"/>
      <c r="AC439" s="1887"/>
    </row>
    <row r="440">
      <c r="A440" s="1887"/>
      <c r="B440" s="1887"/>
      <c r="C440" s="1887"/>
      <c r="D440" s="1887"/>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row>
    <row r="441">
      <c r="A441" s="1887"/>
      <c r="B441" s="1887"/>
      <c r="C441" s="1887"/>
      <c r="D441" s="1887"/>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row>
    <row r="442">
      <c r="A442" s="1887"/>
      <c r="B442" s="1887"/>
      <c r="C442" s="1887"/>
      <c r="D442" s="1887"/>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row>
    <row r="443">
      <c r="A443" s="1887"/>
      <c r="B443" s="1887"/>
      <c r="C443" s="1887"/>
      <c r="D443" s="1887"/>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row>
    <row r="444">
      <c r="A444" s="1887"/>
      <c r="B444" s="1887"/>
      <c r="C444" s="1887"/>
      <c r="D444" s="1887"/>
      <c r="E444" s="1887"/>
      <c r="F444" s="1887"/>
      <c r="G444" s="1887"/>
      <c r="H444" s="1887"/>
      <c r="I444" s="1887"/>
      <c r="J444" s="1887"/>
      <c r="K444" s="1887"/>
      <c r="L444" s="1887"/>
      <c r="M444" s="1887"/>
      <c r="N444" s="1887"/>
      <c r="O444" s="1887"/>
      <c r="P444" s="1887"/>
      <c r="Q444" s="1887"/>
      <c r="R444" s="1887"/>
      <c r="S444" s="1887"/>
      <c r="T444" s="1887"/>
      <c r="U444" s="1887"/>
      <c r="V444" s="1887"/>
      <c r="W444" s="1887"/>
      <c r="X444" s="1887"/>
      <c r="Y444" s="1887"/>
      <c r="Z444" s="1887"/>
      <c r="AA444" s="1887"/>
      <c r="AB444" s="1887"/>
      <c r="AC444" s="1887"/>
    </row>
    <row r="445">
      <c r="A445" s="1887"/>
      <c r="B445" s="1887"/>
      <c r="C445" s="1887"/>
      <c r="D445" s="1887"/>
      <c r="E445" s="1887"/>
      <c r="F445" s="1887"/>
      <c r="G445" s="1887"/>
      <c r="H445" s="1887"/>
      <c r="I445" s="1887"/>
      <c r="J445" s="1887"/>
      <c r="K445" s="1887"/>
      <c r="L445" s="1887"/>
      <c r="M445" s="1887"/>
      <c r="N445" s="1887"/>
      <c r="O445" s="1887"/>
      <c r="P445" s="1887"/>
      <c r="Q445" s="1887"/>
      <c r="R445" s="1887"/>
      <c r="S445" s="1887"/>
      <c r="T445" s="1887"/>
      <c r="U445" s="1887"/>
      <c r="V445" s="1887"/>
      <c r="W445" s="1887"/>
      <c r="X445" s="1887"/>
      <c r="Y445" s="1887"/>
      <c r="Z445" s="1887"/>
      <c r="AA445" s="1887"/>
      <c r="AB445" s="1887"/>
      <c r="AC445" s="1887"/>
    </row>
    <row r="446">
      <c r="A446" s="1887"/>
      <c r="B446" s="1887"/>
      <c r="C446" s="1887"/>
      <c r="D446" s="1887"/>
      <c r="E446" s="1887"/>
      <c r="F446" s="1887"/>
      <c r="G446" s="1887"/>
      <c r="H446" s="1887"/>
      <c r="I446" s="1887"/>
      <c r="J446" s="1887"/>
      <c r="K446" s="1887"/>
      <c r="L446" s="1887"/>
      <c r="M446" s="1887"/>
      <c r="N446" s="1887"/>
      <c r="O446" s="1887"/>
      <c r="P446" s="1887"/>
      <c r="Q446" s="1887"/>
      <c r="R446" s="1887"/>
      <c r="S446" s="1887"/>
      <c r="T446" s="1887"/>
      <c r="U446" s="1887"/>
      <c r="V446" s="1887"/>
      <c r="W446" s="1887"/>
      <c r="X446" s="1887"/>
      <c r="Y446" s="1887"/>
      <c r="Z446" s="1887"/>
      <c r="AA446" s="1887"/>
      <c r="AB446" s="1887"/>
      <c r="AC446" s="1887"/>
    </row>
    <row r="447">
      <c r="A447" s="1887"/>
      <c r="B447" s="1887"/>
      <c r="C447" s="1887"/>
      <c r="D447" s="1887"/>
      <c r="E447" s="1887"/>
      <c r="F447" s="1887"/>
      <c r="G447" s="1887"/>
      <c r="H447" s="1887"/>
      <c r="I447" s="1887"/>
      <c r="J447" s="1887"/>
      <c r="K447" s="1887"/>
      <c r="L447" s="1887"/>
      <c r="M447" s="1887"/>
      <c r="N447" s="1887"/>
      <c r="O447" s="1887"/>
      <c r="P447" s="1887"/>
      <c r="Q447" s="1887"/>
      <c r="R447" s="1887"/>
      <c r="S447" s="1887"/>
      <c r="T447" s="1887"/>
      <c r="U447" s="1887"/>
      <c r="V447" s="1887"/>
      <c r="W447" s="1887"/>
      <c r="X447" s="1887"/>
      <c r="Y447" s="1887"/>
      <c r="Z447" s="1887"/>
      <c r="AA447" s="1887"/>
      <c r="AB447" s="1887"/>
      <c r="AC447" s="1887"/>
    </row>
    <row r="448">
      <c r="A448" s="1887"/>
      <c r="B448" s="1887"/>
      <c r="C448" s="1887"/>
      <c r="D448" s="1887"/>
      <c r="E448" s="1887"/>
      <c r="F448" s="1887"/>
      <c r="G448" s="1887"/>
      <c r="H448" s="1887"/>
      <c r="I448" s="1887"/>
      <c r="J448" s="1887"/>
      <c r="K448" s="1887"/>
      <c r="L448" s="1887"/>
      <c r="M448" s="1887"/>
      <c r="N448" s="1887"/>
      <c r="O448" s="1887"/>
      <c r="P448" s="1887"/>
      <c r="Q448" s="1887"/>
      <c r="R448" s="1887"/>
      <c r="S448" s="1887"/>
      <c r="T448" s="1887"/>
      <c r="U448" s="1887"/>
      <c r="V448" s="1887"/>
      <c r="W448" s="1887"/>
      <c r="X448" s="1887"/>
      <c r="Y448" s="1887"/>
      <c r="Z448" s="1887"/>
      <c r="AA448" s="1887"/>
      <c r="AB448" s="1887"/>
      <c r="AC448" s="1887"/>
    </row>
    <row r="449">
      <c r="A449" s="1887"/>
      <c r="B449" s="1887"/>
      <c r="C449" s="1887"/>
      <c r="D449" s="1887"/>
      <c r="E449" s="1887"/>
      <c r="F449" s="1887"/>
      <c r="G449" s="1887"/>
      <c r="H449" s="1887"/>
      <c r="I449" s="1887"/>
      <c r="J449" s="1887"/>
      <c r="K449" s="1887"/>
      <c r="L449" s="1887"/>
      <c r="M449" s="1887"/>
      <c r="N449" s="1887"/>
      <c r="O449" s="1887"/>
      <c r="P449" s="1887"/>
      <c r="Q449" s="1887"/>
      <c r="R449" s="1887"/>
      <c r="S449" s="1887"/>
      <c r="T449" s="1887"/>
      <c r="U449" s="1887"/>
      <c r="V449" s="1887"/>
      <c r="W449" s="1887"/>
      <c r="X449" s="1887"/>
      <c r="Y449" s="1887"/>
      <c r="Z449" s="1887"/>
      <c r="AA449" s="1887"/>
      <c r="AB449" s="1887"/>
      <c r="AC449" s="1887"/>
    </row>
    <row r="450">
      <c r="A450" s="1887"/>
      <c r="B450" s="1887"/>
      <c r="C450" s="1887"/>
      <c r="D450" s="1887"/>
      <c r="E450" s="1887"/>
      <c r="F450" s="1887"/>
      <c r="G450" s="1887"/>
      <c r="H450" s="1887"/>
      <c r="I450" s="1887"/>
      <c r="J450" s="1887"/>
      <c r="K450" s="1887"/>
      <c r="L450" s="1887"/>
      <c r="M450" s="1887"/>
      <c r="N450" s="1887"/>
      <c r="O450" s="1887"/>
      <c r="P450" s="1887"/>
      <c r="Q450" s="1887"/>
      <c r="R450" s="1887"/>
      <c r="S450" s="1887"/>
      <c r="T450" s="1887"/>
      <c r="U450" s="1887"/>
      <c r="V450" s="1887"/>
      <c r="W450" s="1887"/>
      <c r="X450" s="1887"/>
      <c r="Y450" s="1887"/>
      <c r="Z450" s="1887"/>
      <c r="AA450" s="1887"/>
      <c r="AB450" s="1887"/>
      <c r="AC450" s="1887"/>
    </row>
    <row r="451">
      <c r="A451" s="1887"/>
      <c r="B451" s="1887"/>
      <c r="C451" s="1887"/>
      <c r="D451" s="1887"/>
      <c r="E451" s="1887"/>
      <c r="F451" s="1887"/>
      <c r="G451" s="1887"/>
      <c r="H451" s="1887"/>
      <c r="I451" s="1887"/>
      <c r="J451" s="1887"/>
      <c r="K451" s="1887"/>
      <c r="L451" s="1887"/>
      <c r="M451" s="1887"/>
      <c r="N451" s="1887"/>
      <c r="O451" s="1887"/>
      <c r="P451" s="1887"/>
      <c r="Q451" s="1887"/>
      <c r="R451" s="1887"/>
      <c r="S451" s="1887"/>
      <c r="T451" s="1887"/>
      <c r="U451" s="1887"/>
      <c r="V451" s="1887"/>
      <c r="W451" s="1887"/>
      <c r="X451" s="1887"/>
      <c r="Y451" s="1887"/>
      <c r="Z451" s="1887"/>
      <c r="AA451" s="1887"/>
      <c r="AB451" s="1887"/>
      <c r="AC451" s="1887"/>
    </row>
    <row r="452">
      <c r="A452" s="1887"/>
      <c r="B452" s="1887"/>
      <c r="C452" s="1887"/>
      <c r="D452" s="1887"/>
      <c r="E452" s="1887"/>
      <c r="F452" s="1887"/>
      <c r="G452" s="1887"/>
      <c r="H452" s="1887"/>
      <c r="I452" s="1887"/>
      <c r="J452" s="1887"/>
      <c r="K452" s="1887"/>
      <c r="L452" s="1887"/>
      <c r="M452" s="1887"/>
      <c r="N452" s="1887"/>
      <c r="O452" s="1887"/>
      <c r="P452" s="1887"/>
      <c r="Q452" s="1887"/>
      <c r="R452" s="1887"/>
      <c r="S452" s="1887"/>
      <c r="T452" s="1887"/>
      <c r="U452" s="1887"/>
      <c r="V452" s="1887"/>
      <c r="W452" s="1887"/>
      <c r="X452" s="1887"/>
      <c r="Y452" s="1887"/>
      <c r="Z452" s="1887"/>
      <c r="AA452" s="1887"/>
      <c r="AB452" s="1887"/>
      <c r="AC452" s="1887"/>
    </row>
    <row r="453">
      <c r="A453" s="1887"/>
      <c r="B453" s="1887"/>
      <c r="C453" s="1887"/>
      <c r="D453" s="1887"/>
      <c r="E453" s="1887"/>
      <c r="F453" s="1887"/>
      <c r="G453" s="1887"/>
      <c r="H453" s="1887"/>
      <c r="I453" s="1887"/>
      <c r="J453" s="1887"/>
      <c r="K453" s="1887"/>
      <c r="L453" s="1887"/>
      <c r="M453" s="1887"/>
      <c r="N453" s="1887"/>
      <c r="O453" s="1887"/>
      <c r="P453" s="1887"/>
      <c r="Q453" s="1887"/>
      <c r="R453" s="1887"/>
      <c r="S453" s="1887"/>
      <c r="T453" s="1887"/>
      <c r="U453" s="1887"/>
      <c r="V453" s="1887"/>
      <c r="W453" s="1887"/>
      <c r="X453" s="1887"/>
      <c r="Y453" s="1887"/>
      <c r="Z453" s="1887"/>
      <c r="AA453" s="1887"/>
      <c r="AB453" s="1887"/>
      <c r="AC453" s="1887"/>
    </row>
    <row r="454">
      <c r="A454" s="1887"/>
      <c r="B454" s="1887"/>
      <c r="C454" s="1887"/>
      <c r="D454" s="1887"/>
      <c r="E454" s="1887"/>
      <c r="F454" s="1887"/>
      <c r="G454" s="1887"/>
      <c r="H454" s="1887"/>
      <c r="I454" s="1887"/>
      <c r="J454" s="1887"/>
      <c r="K454" s="1887"/>
      <c r="L454" s="1887"/>
      <c r="M454" s="1887"/>
      <c r="N454" s="1887"/>
      <c r="O454" s="1887"/>
      <c r="P454" s="1887"/>
      <c r="Q454" s="1887"/>
      <c r="R454" s="1887"/>
      <c r="S454" s="1887"/>
      <c r="T454" s="1887"/>
      <c r="U454" s="1887"/>
      <c r="V454" s="1887"/>
      <c r="W454" s="1887"/>
      <c r="X454" s="1887"/>
      <c r="Y454" s="1887"/>
      <c r="Z454" s="1887"/>
      <c r="AA454" s="1887"/>
      <c r="AB454" s="1887"/>
      <c r="AC454" s="1887"/>
    </row>
    <row r="455">
      <c r="A455" s="1887"/>
      <c r="B455" s="1887"/>
      <c r="C455" s="1887"/>
      <c r="D455" s="1887"/>
      <c r="E455" s="1887"/>
      <c r="F455" s="1887"/>
      <c r="G455" s="1887"/>
      <c r="H455" s="1887"/>
      <c r="I455" s="1887"/>
      <c r="J455" s="1887"/>
      <c r="K455" s="1887"/>
      <c r="L455" s="1887"/>
      <c r="M455" s="1887"/>
      <c r="N455" s="1887"/>
      <c r="O455" s="1887"/>
      <c r="P455" s="1887"/>
      <c r="Q455" s="1887"/>
      <c r="R455" s="1887"/>
      <c r="S455" s="1887"/>
      <c r="T455" s="1887"/>
      <c r="U455" s="1887"/>
      <c r="V455" s="1887"/>
      <c r="W455" s="1887"/>
      <c r="X455" s="1887"/>
      <c r="Y455" s="1887"/>
      <c r="Z455" s="1887"/>
      <c r="AA455" s="1887"/>
      <c r="AB455" s="1887"/>
      <c r="AC455" s="1887"/>
    </row>
    <row r="456">
      <c r="A456" s="1887"/>
      <c r="B456" s="1887"/>
      <c r="C456" s="1887"/>
      <c r="D456" s="1887"/>
      <c r="E456" s="1887"/>
      <c r="F456" s="1887"/>
      <c r="G456" s="1887"/>
      <c r="H456" s="1887"/>
      <c r="I456" s="1887"/>
      <c r="J456" s="1887"/>
      <c r="K456" s="1887"/>
      <c r="L456" s="1887"/>
      <c r="M456" s="1887"/>
      <c r="N456" s="1887"/>
      <c r="O456" s="1887"/>
      <c r="P456" s="1887"/>
      <c r="Q456" s="1887"/>
      <c r="R456" s="1887"/>
      <c r="S456" s="1887"/>
      <c r="T456" s="1887"/>
      <c r="U456" s="1887"/>
      <c r="V456" s="1887"/>
      <c r="W456" s="1887"/>
      <c r="X456" s="1887"/>
      <c r="Y456" s="1887"/>
      <c r="Z456" s="1887"/>
      <c r="AA456" s="1887"/>
      <c r="AB456" s="1887"/>
      <c r="AC456" s="1887"/>
    </row>
    <row r="457">
      <c r="A457" s="1887"/>
      <c r="B457" s="1887"/>
      <c r="C457" s="1887"/>
      <c r="D457" s="1887"/>
      <c r="E457" s="1887"/>
      <c r="F457" s="1887"/>
      <c r="G457" s="1887"/>
      <c r="H457" s="1887"/>
      <c r="I457" s="1887"/>
      <c r="J457" s="1887"/>
      <c r="K457" s="1887"/>
      <c r="L457" s="1887"/>
      <c r="M457" s="1887"/>
      <c r="N457" s="1887"/>
      <c r="O457" s="1887"/>
      <c r="P457" s="1887"/>
      <c r="Q457" s="1887"/>
      <c r="R457" s="1887"/>
      <c r="S457" s="1887"/>
      <c r="T457" s="1887"/>
      <c r="U457" s="1887"/>
      <c r="V457" s="1887"/>
      <c r="W457" s="1887"/>
      <c r="X457" s="1887"/>
      <c r="Y457" s="1887"/>
      <c r="Z457" s="1887"/>
      <c r="AA457" s="1887"/>
      <c r="AB457" s="1887"/>
      <c r="AC457" s="1887"/>
    </row>
    <row r="458">
      <c r="A458" s="1887"/>
      <c r="B458" s="1887"/>
      <c r="C458" s="1887"/>
      <c r="D458" s="1887"/>
      <c r="E458" s="1887"/>
      <c r="F458" s="1887"/>
      <c r="G458" s="1887"/>
      <c r="H458" s="1887"/>
      <c r="I458" s="1887"/>
      <c r="J458" s="1887"/>
      <c r="K458" s="1887"/>
      <c r="L458" s="1887"/>
      <c r="M458" s="1887"/>
      <c r="N458" s="1887"/>
      <c r="O458" s="1887"/>
      <c r="P458" s="1887"/>
      <c r="Q458" s="1887"/>
      <c r="R458" s="1887"/>
      <c r="S458" s="1887"/>
      <c r="T458" s="1887"/>
      <c r="U458" s="1887"/>
      <c r="V458" s="1887"/>
      <c r="W458" s="1887"/>
      <c r="X458" s="1887"/>
      <c r="Y458" s="1887"/>
      <c r="Z458" s="1887"/>
      <c r="AA458" s="1887"/>
      <c r="AB458" s="1887"/>
      <c r="AC458" s="1887"/>
    </row>
    <row r="459">
      <c r="A459" s="1887"/>
      <c r="B459" s="1887"/>
      <c r="C459" s="1887"/>
      <c r="D459" s="1887"/>
      <c r="E459" s="1887"/>
      <c r="F459" s="1887"/>
      <c r="G459" s="1887"/>
      <c r="H459" s="1887"/>
      <c r="I459" s="1887"/>
      <c r="J459" s="1887"/>
      <c r="K459" s="1887"/>
      <c r="L459" s="1887"/>
      <c r="M459" s="1887"/>
      <c r="N459" s="1887"/>
      <c r="O459" s="1887"/>
      <c r="P459" s="1887"/>
      <c r="Q459" s="1887"/>
      <c r="R459" s="1887"/>
      <c r="S459" s="1887"/>
      <c r="T459" s="1887"/>
      <c r="U459" s="1887"/>
      <c r="V459" s="1887"/>
      <c r="W459" s="1887"/>
      <c r="X459" s="1887"/>
      <c r="Y459" s="1887"/>
      <c r="Z459" s="1887"/>
      <c r="AA459" s="1887"/>
      <c r="AB459" s="1887"/>
      <c r="AC459" s="1887"/>
    </row>
    <row r="460">
      <c r="A460" s="1887"/>
      <c r="B460" s="1887"/>
      <c r="C460" s="1887"/>
      <c r="D460" s="1887"/>
      <c r="E460" s="1887"/>
      <c r="F460" s="1887"/>
      <c r="G460" s="1887"/>
      <c r="H460" s="1887"/>
      <c r="I460" s="1887"/>
      <c r="J460" s="1887"/>
      <c r="K460" s="1887"/>
      <c r="L460" s="1887"/>
      <c r="M460" s="1887"/>
      <c r="N460" s="1887"/>
      <c r="O460" s="1887"/>
      <c r="P460" s="1887"/>
      <c r="Q460" s="1887"/>
      <c r="R460" s="1887"/>
      <c r="S460" s="1887"/>
      <c r="T460" s="1887"/>
      <c r="U460" s="1887"/>
      <c r="V460" s="1887"/>
      <c r="W460" s="1887"/>
      <c r="X460" s="1887"/>
      <c r="Y460" s="1887"/>
      <c r="Z460" s="1887"/>
      <c r="AA460" s="1887"/>
      <c r="AB460" s="1887"/>
      <c r="AC460" s="1887"/>
    </row>
    <row r="461">
      <c r="A461" s="1887"/>
      <c r="B461" s="1887"/>
      <c r="C461" s="1887"/>
      <c r="D461" s="1887"/>
      <c r="E461" s="1887"/>
      <c r="F461" s="1887"/>
      <c r="G461" s="1887"/>
      <c r="H461" s="1887"/>
      <c r="I461" s="1887"/>
      <c r="J461" s="1887"/>
      <c r="K461" s="1887"/>
      <c r="L461" s="1887"/>
      <c r="M461" s="1887"/>
      <c r="N461" s="1887"/>
      <c r="O461" s="1887"/>
      <c r="P461" s="1887"/>
      <c r="Q461" s="1887"/>
      <c r="R461" s="1887"/>
      <c r="S461" s="1887"/>
      <c r="T461" s="1887"/>
      <c r="U461" s="1887"/>
      <c r="V461" s="1887"/>
      <c r="W461" s="1887"/>
      <c r="X461" s="1887"/>
      <c r="Y461" s="1887"/>
      <c r="Z461" s="1887"/>
      <c r="AA461" s="1887"/>
      <c r="AB461" s="1887"/>
      <c r="AC461" s="1887"/>
    </row>
    <row r="462">
      <c r="A462" s="1887"/>
      <c r="B462" s="1887"/>
      <c r="C462" s="1887"/>
      <c r="D462" s="1887"/>
      <c r="E462" s="1887"/>
      <c r="F462" s="1887"/>
      <c r="G462" s="1887"/>
      <c r="H462" s="1887"/>
      <c r="I462" s="1887"/>
      <c r="J462" s="1887"/>
      <c r="K462" s="1887"/>
      <c r="L462" s="1887"/>
      <c r="M462" s="1887"/>
      <c r="N462" s="1887"/>
      <c r="O462" s="1887"/>
      <c r="P462" s="1887"/>
      <c r="Q462" s="1887"/>
      <c r="R462" s="1887"/>
      <c r="S462" s="1887"/>
      <c r="T462" s="1887"/>
      <c r="U462" s="1887"/>
      <c r="V462" s="1887"/>
      <c r="W462" s="1887"/>
      <c r="X462" s="1887"/>
      <c r="Y462" s="1887"/>
      <c r="Z462" s="1887"/>
      <c r="AA462" s="1887"/>
      <c r="AB462" s="1887"/>
      <c r="AC462" s="1887"/>
    </row>
    <row r="463">
      <c r="A463" s="1887"/>
      <c r="B463" s="1887"/>
      <c r="C463" s="1887"/>
      <c r="D463" s="1887"/>
      <c r="E463" s="1887"/>
      <c r="F463" s="1887"/>
      <c r="G463" s="1887"/>
      <c r="H463" s="1887"/>
      <c r="I463" s="1887"/>
      <c r="J463" s="1887"/>
      <c r="K463" s="1887"/>
      <c r="L463" s="1887"/>
      <c r="M463" s="1887"/>
      <c r="N463" s="1887"/>
      <c r="O463" s="1887"/>
      <c r="P463" s="1887"/>
      <c r="Q463" s="1887"/>
      <c r="R463" s="1887"/>
      <c r="S463" s="1887"/>
      <c r="T463" s="1887"/>
      <c r="U463" s="1887"/>
      <c r="V463" s="1887"/>
      <c r="W463" s="1887"/>
      <c r="X463" s="1887"/>
      <c r="Y463" s="1887"/>
      <c r="Z463" s="1887"/>
      <c r="AA463" s="1887"/>
      <c r="AB463" s="1887"/>
      <c r="AC463" s="1887"/>
    </row>
    <row r="464">
      <c r="A464" s="1887"/>
      <c r="B464" s="1887"/>
      <c r="C464" s="1887"/>
      <c r="D464" s="1887"/>
      <c r="E464" s="1887"/>
      <c r="F464" s="1887"/>
      <c r="G464" s="1887"/>
      <c r="H464" s="1887"/>
      <c r="I464" s="1887"/>
      <c r="J464" s="1887"/>
      <c r="K464" s="1887"/>
      <c r="L464" s="1887"/>
      <c r="M464" s="1887"/>
      <c r="N464" s="1887"/>
      <c r="O464" s="1887"/>
      <c r="P464" s="1887"/>
      <c r="Q464" s="1887"/>
      <c r="R464" s="1887"/>
      <c r="S464" s="1887"/>
      <c r="T464" s="1887"/>
      <c r="U464" s="1887"/>
      <c r="V464" s="1887"/>
      <c r="W464" s="1887"/>
      <c r="X464" s="1887"/>
      <c r="Y464" s="1887"/>
      <c r="Z464" s="1887"/>
      <c r="AA464" s="1887"/>
      <c r="AB464" s="1887"/>
      <c r="AC464" s="1887"/>
    </row>
    <row r="465">
      <c r="A465" s="1887"/>
      <c r="B465" s="1887"/>
      <c r="C465" s="1887"/>
      <c r="D465" s="1887"/>
      <c r="E465" s="1887"/>
      <c r="F465" s="1887"/>
      <c r="G465" s="1887"/>
      <c r="H465" s="1887"/>
      <c r="I465" s="1887"/>
      <c r="J465" s="1887"/>
      <c r="K465" s="1887"/>
      <c r="L465" s="1887"/>
      <c r="M465" s="1887"/>
      <c r="N465" s="1887"/>
      <c r="O465" s="1887"/>
      <c r="P465" s="1887"/>
      <c r="Q465" s="1887"/>
      <c r="R465" s="1887"/>
      <c r="S465" s="1887"/>
      <c r="T465" s="1887"/>
      <c r="U465" s="1887"/>
      <c r="V465" s="1887"/>
      <c r="W465" s="1887"/>
      <c r="X465" s="1887"/>
      <c r="Y465" s="1887"/>
      <c r="Z465" s="1887"/>
      <c r="AA465" s="1887"/>
      <c r="AB465" s="1887"/>
      <c r="AC465" s="1887"/>
    </row>
    <row r="466">
      <c r="A466" s="1887"/>
      <c r="B466" s="1887"/>
      <c r="C466" s="1887"/>
      <c r="D466" s="1887"/>
      <c r="E466" s="1887"/>
      <c r="F466" s="1887"/>
      <c r="G466" s="1887"/>
      <c r="H466" s="1887"/>
      <c r="I466" s="1887"/>
      <c r="J466" s="1887"/>
      <c r="K466" s="1887"/>
      <c r="L466" s="1887"/>
      <c r="M466" s="1887"/>
      <c r="N466" s="1887"/>
      <c r="O466" s="1887"/>
      <c r="P466" s="1887"/>
      <c r="Q466" s="1887"/>
      <c r="R466" s="1887"/>
      <c r="S466" s="1887"/>
      <c r="T466" s="1887"/>
      <c r="U466" s="1887"/>
      <c r="V466" s="1887"/>
      <c r="W466" s="1887"/>
      <c r="X466" s="1887"/>
      <c r="Y466" s="1887"/>
      <c r="Z466" s="1887"/>
      <c r="AA466" s="1887"/>
      <c r="AB466" s="1887"/>
      <c r="AC466" s="1887"/>
    </row>
    <row r="467">
      <c r="A467" s="1887"/>
      <c r="B467" s="1887"/>
      <c r="C467" s="1887"/>
      <c r="D467" s="1887"/>
      <c r="E467" s="1887"/>
      <c r="F467" s="1887"/>
      <c r="G467" s="1887"/>
      <c r="H467" s="1887"/>
      <c r="I467" s="1887"/>
      <c r="J467" s="1887"/>
      <c r="K467" s="1887"/>
      <c r="L467" s="1887"/>
      <c r="M467" s="1887"/>
      <c r="N467" s="1887"/>
      <c r="O467" s="1887"/>
      <c r="P467" s="1887"/>
      <c r="Q467" s="1887"/>
      <c r="R467" s="1887"/>
      <c r="S467" s="1887"/>
      <c r="T467" s="1887"/>
      <c r="U467" s="1887"/>
      <c r="V467" s="1887"/>
      <c r="W467" s="1887"/>
      <c r="X467" s="1887"/>
      <c r="Y467" s="1887"/>
      <c r="Z467" s="1887"/>
      <c r="AA467" s="1887"/>
      <c r="AB467" s="1887"/>
      <c r="AC467" s="1887"/>
    </row>
    <row r="468">
      <c r="A468" s="1887"/>
      <c r="B468" s="1887"/>
      <c r="C468" s="1887"/>
      <c r="D468" s="1887"/>
      <c r="E468" s="1887"/>
      <c r="F468" s="1887"/>
      <c r="G468" s="1887"/>
      <c r="H468" s="1887"/>
      <c r="I468" s="1887"/>
      <c r="J468" s="1887"/>
      <c r="K468" s="1887"/>
      <c r="L468" s="1887"/>
      <c r="M468" s="1887"/>
      <c r="N468" s="1887"/>
      <c r="O468" s="1887"/>
      <c r="P468" s="1887"/>
      <c r="Q468" s="1887"/>
      <c r="R468" s="1887"/>
      <c r="S468" s="1887"/>
      <c r="T468" s="1887"/>
      <c r="U468" s="1887"/>
      <c r="V468" s="1887"/>
      <c r="W468" s="1887"/>
      <c r="X468" s="1887"/>
      <c r="Y468" s="1887"/>
      <c r="Z468" s="1887"/>
      <c r="AA468" s="1887"/>
      <c r="AB468" s="1887"/>
      <c r="AC468" s="1887"/>
    </row>
    <row r="469">
      <c r="A469" s="1887"/>
      <c r="B469" s="1887"/>
      <c r="C469" s="1887"/>
      <c r="D469" s="1887"/>
      <c r="E469" s="1887"/>
      <c r="F469" s="1887"/>
      <c r="G469" s="1887"/>
      <c r="H469" s="1887"/>
      <c r="I469" s="1887"/>
      <c r="J469" s="1887"/>
      <c r="K469" s="1887"/>
      <c r="L469" s="1887"/>
      <c r="M469" s="1887"/>
      <c r="N469" s="1887"/>
      <c r="O469" s="1887"/>
      <c r="P469" s="1887"/>
      <c r="Q469" s="1887"/>
      <c r="R469" s="1887"/>
      <c r="S469" s="1887"/>
      <c r="T469" s="1887"/>
      <c r="U469" s="1887"/>
      <c r="V469" s="1887"/>
      <c r="W469" s="1887"/>
      <c r="X469" s="1887"/>
      <c r="Y469" s="1887"/>
      <c r="Z469" s="1887"/>
      <c r="AA469" s="1887"/>
      <c r="AB469" s="1887"/>
      <c r="AC469" s="1887"/>
    </row>
    <row r="470">
      <c r="A470" s="1887"/>
      <c r="B470" s="1887"/>
      <c r="C470" s="1887"/>
      <c r="D470" s="1887"/>
      <c r="E470" s="1887"/>
      <c r="F470" s="1887"/>
      <c r="G470" s="1887"/>
      <c r="H470" s="1887"/>
      <c r="I470" s="1887"/>
      <c r="J470" s="1887"/>
      <c r="K470" s="1887"/>
      <c r="L470" s="1887"/>
      <c r="M470" s="1887"/>
      <c r="N470" s="1887"/>
      <c r="O470" s="1887"/>
      <c r="P470" s="1887"/>
      <c r="Q470" s="1887"/>
      <c r="R470" s="1887"/>
      <c r="S470" s="1887"/>
      <c r="T470" s="1887"/>
      <c r="U470" s="1887"/>
      <c r="V470" s="1887"/>
      <c r="W470" s="1887"/>
      <c r="X470" s="1887"/>
      <c r="Y470" s="1887"/>
      <c r="Z470" s="1887"/>
      <c r="AA470" s="1887"/>
      <c r="AB470" s="1887"/>
      <c r="AC470" s="1887"/>
    </row>
    <row r="471">
      <c r="A471" s="1887"/>
      <c r="B471" s="1887"/>
      <c r="C471" s="1887"/>
      <c r="D471" s="1887"/>
      <c r="E471" s="1887"/>
      <c r="F471" s="1887"/>
      <c r="G471" s="1887"/>
      <c r="H471" s="1887"/>
      <c r="I471" s="1887"/>
      <c r="J471" s="1887"/>
      <c r="K471" s="1887"/>
      <c r="L471" s="1887"/>
      <c r="M471" s="1887"/>
      <c r="N471" s="1887"/>
      <c r="O471" s="1887"/>
      <c r="P471" s="1887"/>
      <c r="Q471" s="1887"/>
      <c r="R471" s="1887"/>
      <c r="S471" s="1887"/>
      <c r="T471" s="1887"/>
      <c r="U471" s="1887"/>
      <c r="V471" s="1887"/>
      <c r="W471" s="1887"/>
      <c r="X471" s="1887"/>
      <c r="Y471" s="1887"/>
      <c r="Z471" s="1887"/>
      <c r="AA471" s="1887"/>
      <c r="AB471" s="1887"/>
      <c r="AC471" s="1887"/>
    </row>
    <row r="472">
      <c r="A472" s="1887"/>
      <c r="B472" s="1887"/>
      <c r="C472" s="1887"/>
      <c r="D472" s="1887"/>
      <c r="E472" s="1887"/>
      <c r="F472" s="1887"/>
      <c r="G472" s="1887"/>
      <c r="H472" s="1887"/>
      <c r="I472" s="1887"/>
      <c r="J472" s="1887"/>
      <c r="K472" s="1887"/>
      <c r="L472" s="1887"/>
      <c r="M472" s="1887"/>
      <c r="N472" s="1887"/>
      <c r="O472" s="1887"/>
      <c r="P472" s="1887"/>
      <c r="Q472" s="1887"/>
      <c r="R472" s="1887"/>
      <c r="S472" s="1887"/>
      <c r="T472" s="1887"/>
      <c r="U472" s="1887"/>
      <c r="V472" s="1887"/>
      <c r="W472" s="1887"/>
      <c r="X472" s="1887"/>
      <c r="Y472" s="1887"/>
      <c r="Z472" s="1887"/>
      <c r="AA472" s="1887"/>
      <c r="AB472" s="1887"/>
      <c r="AC472" s="1887"/>
    </row>
    <row r="473">
      <c r="A473" s="1887"/>
      <c r="B473" s="1887"/>
      <c r="C473" s="1887"/>
      <c r="D473" s="1887"/>
      <c r="E473" s="1887"/>
      <c r="F473" s="1887"/>
      <c r="G473" s="1887"/>
      <c r="H473" s="1887"/>
      <c r="I473" s="1887"/>
      <c r="J473" s="1887"/>
      <c r="K473" s="1887"/>
      <c r="L473" s="1887"/>
      <c r="M473" s="1887"/>
      <c r="N473" s="1887"/>
      <c r="O473" s="1887"/>
      <c r="P473" s="1887"/>
      <c r="Q473" s="1887"/>
      <c r="R473" s="1887"/>
      <c r="S473" s="1887"/>
      <c r="T473" s="1887"/>
      <c r="U473" s="1887"/>
      <c r="V473" s="1887"/>
      <c r="W473" s="1887"/>
      <c r="X473" s="1887"/>
      <c r="Y473" s="1887"/>
      <c r="Z473" s="1887"/>
      <c r="AA473" s="1887"/>
      <c r="AB473" s="1887"/>
      <c r="AC473" s="1887"/>
    </row>
    <row r="474">
      <c r="A474" s="1887"/>
      <c r="B474" s="1887"/>
      <c r="C474" s="1887"/>
      <c r="D474" s="1887"/>
      <c r="E474" s="1887"/>
      <c r="F474" s="1887"/>
      <c r="G474" s="1887"/>
      <c r="H474" s="1887"/>
      <c r="I474" s="1887"/>
      <c r="J474" s="1887"/>
      <c r="K474" s="1887"/>
      <c r="L474" s="1887"/>
      <c r="M474" s="1887"/>
      <c r="N474" s="1887"/>
      <c r="O474" s="1887"/>
      <c r="P474" s="1887"/>
      <c r="Q474" s="1887"/>
      <c r="R474" s="1887"/>
      <c r="S474" s="1887"/>
      <c r="T474" s="1887"/>
      <c r="U474" s="1887"/>
      <c r="V474" s="1887"/>
      <c r="W474" s="1887"/>
      <c r="X474" s="1887"/>
      <c r="Y474" s="1887"/>
      <c r="Z474" s="1887"/>
      <c r="AA474" s="1887"/>
      <c r="AB474" s="1887"/>
      <c r="AC474" s="1887"/>
    </row>
    <row r="475">
      <c r="A475" s="1887"/>
      <c r="B475" s="1887"/>
      <c r="C475" s="1887"/>
      <c r="D475" s="1887"/>
      <c r="E475" s="1887"/>
      <c r="F475" s="1887"/>
      <c r="G475" s="1887"/>
      <c r="H475" s="1887"/>
      <c r="I475" s="1887"/>
      <c r="J475" s="1887"/>
      <c r="K475" s="1887"/>
      <c r="L475" s="1887"/>
      <c r="M475" s="1887"/>
      <c r="N475" s="1887"/>
      <c r="O475" s="1887"/>
      <c r="P475" s="1887"/>
      <c r="Q475" s="1887"/>
      <c r="R475" s="1887"/>
      <c r="S475" s="1887"/>
      <c r="T475" s="1887"/>
      <c r="U475" s="1887"/>
      <c r="V475" s="1887"/>
      <c r="W475" s="1887"/>
      <c r="X475" s="1887"/>
      <c r="Y475" s="1887"/>
      <c r="Z475" s="1887"/>
      <c r="AA475" s="1887"/>
      <c r="AB475" s="1887"/>
      <c r="AC475" s="1887"/>
    </row>
    <row r="476">
      <c r="A476" s="1887"/>
      <c r="B476" s="1887"/>
      <c r="C476" s="1887"/>
      <c r="D476" s="1887"/>
      <c r="E476" s="1887"/>
      <c r="F476" s="1887"/>
      <c r="G476" s="1887"/>
      <c r="H476" s="1887"/>
      <c r="I476" s="1887"/>
      <c r="J476" s="1887"/>
      <c r="K476" s="1887"/>
      <c r="L476" s="1887"/>
      <c r="M476" s="1887"/>
      <c r="N476" s="1887"/>
      <c r="O476" s="1887"/>
      <c r="P476" s="1887"/>
      <c r="Q476" s="1887"/>
      <c r="R476" s="1887"/>
      <c r="S476" s="1887"/>
      <c r="T476" s="1887"/>
      <c r="U476" s="1887"/>
      <c r="V476" s="1887"/>
      <c r="W476" s="1887"/>
      <c r="X476" s="1887"/>
      <c r="Y476" s="1887"/>
      <c r="Z476" s="1887"/>
      <c r="AA476" s="1887"/>
      <c r="AB476" s="1887"/>
      <c r="AC476" s="1887"/>
    </row>
    <row r="477">
      <c r="A477" s="1887"/>
      <c r="B477" s="1887"/>
      <c r="C477" s="1887"/>
      <c r="D477" s="1887"/>
      <c r="E477" s="1887"/>
      <c r="F477" s="1887"/>
      <c r="G477" s="1887"/>
      <c r="H477" s="1887"/>
      <c r="I477" s="1887"/>
      <c r="J477" s="1887"/>
      <c r="K477" s="1887"/>
      <c r="L477" s="1887"/>
      <c r="M477" s="1887"/>
      <c r="N477" s="1887"/>
      <c r="O477" s="1887"/>
      <c r="P477" s="1887"/>
      <c r="Q477" s="1887"/>
      <c r="R477" s="1887"/>
      <c r="S477" s="1887"/>
      <c r="T477" s="1887"/>
      <c r="U477" s="1887"/>
      <c r="V477" s="1887"/>
      <c r="W477" s="1887"/>
      <c r="X477" s="1887"/>
      <c r="Y477" s="1887"/>
      <c r="Z477" s="1887"/>
      <c r="AA477" s="1887"/>
      <c r="AB477" s="1887"/>
      <c r="AC477" s="1887"/>
    </row>
    <row r="478">
      <c r="A478" s="1887"/>
      <c r="B478" s="1887"/>
      <c r="C478" s="1887"/>
      <c r="D478" s="1887"/>
      <c r="E478" s="1887"/>
      <c r="F478" s="1887"/>
      <c r="G478" s="1887"/>
      <c r="H478" s="1887"/>
      <c r="I478" s="1887"/>
      <c r="J478" s="1887"/>
      <c r="K478" s="1887"/>
      <c r="L478" s="1887"/>
      <c r="M478" s="1887"/>
      <c r="N478" s="1887"/>
      <c r="O478" s="1887"/>
      <c r="P478" s="1887"/>
      <c r="Q478" s="1887"/>
      <c r="R478" s="1887"/>
      <c r="S478" s="1887"/>
      <c r="T478" s="1887"/>
      <c r="U478" s="1887"/>
      <c r="V478" s="1887"/>
      <c r="W478" s="1887"/>
      <c r="X478" s="1887"/>
      <c r="Y478" s="1887"/>
      <c r="Z478" s="1887"/>
      <c r="AA478" s="1887"/>
      <c r="AB478" s="1887"/>
      <c r="AC478" s="1887"/>
    </row>
    <row r="479">
      <c r="A479" s="1887"/>
      <c r="B479" s="1887"/>
      <c r="C479" s="1887"/>
      <c r="D479" s="1887"/>
      <c r="E479" s="1887"/>
      <c r="F479" s="1887"/>
      <c r="G479" s="1887"/>
      <c r="H479" s="1887"/>
      <c r="I479" s="1887"/>
      <c r="J479" s="1887"/>
      <c r="K479" s="1887"/>
      <c r="L479" s="1887"/>
      <c r="M479" s="1887"/>
      <c r="N479" s="1887"/>
      <c r="O479" s="1887"/>
      <c r="P479" s="1887"/>
      <c r="Q479" s="1887"/>
      <c r="R479" s="1887"/>
      <c r="S479" s="1887"/>
      <c r="T479" s="1887"/>
      <c r="U479" s="1887"/>
      <c r="V479" s="1887"/>
      <c r="W479" s="1887"/>
      <c r="X479" s="1887"/>
      <c r="Y479" s="1887"/>
      <c r="Z479" s="1887"/>
      <c r="AA479" s="1887"/>
      <c r="AB479" s="1887"/>
      <c r="AC479" s="1887"/>
    </row>
    <row r="480">
      <c r="A480" s="1887"/>
      <c r="B480" s="1887"/>
      <c r="C480" s="1887"/>
      <c r="D480" s="1887"/>
      <c r="E480" s="1887"/>
      <c r="F480" s="1887"/>
      <c r="G480" s="1887"/>
      <c r="H480" s="1887"/>
      <c r="I480" s="1887"/>
      <c r="J480" s="1887"/>
      <c r="K480" s="1887"/>
      <c r="L480" s="1887"/>
      <c r="M480" s="1887"/>
      <c r="N480" s="1887"/>
      <c r="O480" s="1887"/>
      <c r="P480" s="1887"/>
      <c r="Q480" s="1887"/>
      <c r="R480" s="1887"/>
      <c r="S480" s="1887"/>
      <c r="T480" s="1887"/>
      <c r="U480" s="1887"/>
      <c r="V480" s="1887"/>
      <c r="W480" s="1887"/>
      <c r="X480" s="1887"/>
      <c r="Y480" s="1887"/>
      <c r="Z480" s="1887"/>
      <c r="AA480" s="1887"/>
      <c r="AB480" s="1887"/>
      <c r="AC480" s="1887"/>
    </row>
    <row r="481">
      <c r="A481" s="1887"/>
      <c r="B481" s="1887"/>
      <c r="C481" s="1887"/>
      <c r="D481" s="1887"/>
      <c r="E481" s="1887"/>
      <c r="F481" s="1887"/>
      <c r="G481" s="1887"/>
      <c r="H481" s="1887"/>
      <c r="I481" s="1887"/>
      <c r="J481" s="1887"/>
      <c r="K481" s="1887"/>
      <c r="L481" s="1887"/>
      <c r="M481" s="1887"/>
      <c r="N481" s="1887"/>
      <c r="O481" s="1887"/>
      <c r="P481" s="1887"/>
      <c r="Q481" s="1887"/>
      <c r="R481" s="1887"/>
      <c r="S481" s="1887"/>
      <c r="T481" s="1887"/>
      <c r="U481" s="1887"/>
      <c r="V481" s="1887"/>
      <c r="W481" s="1887"/>
      <c r="X481" s="1887"/>
      <c r="Y481" s="1887"/>
      <c r="Z481" s="1887"/>
      <c r="AA481" s="1887"/>
      <c r="AB481" s="1887"/>
      <c r="AC481" s="1887"/>
    </row>
    <row r="482">
      <c r="A482" s="1887"/>
      <c r="B482" s="1887"/>
      <c r="C482" s="1887"/>
      <c r="D482" s="1887"/>
      <c r="E482" s="1887"/>
      <c r="F482" s="1887"/>
      <c r="G482" s="1887"/>
      <c r="H482" s="1887"/>
      <c r="I482" s="1887"/>
      <c r="J482" s="1887"/>
      <c r="K482" s="1887"/>
      <c r="L482" s="1887"/>
      <c r="M482" s="1887"/>
      <c r="N482" s="1887"/>
      <c r="O482" s="1887"/>
      <c r="P482" s="1887"/>
      <c r="Q482" s="1887"/>
      <c r="R482" s="1887"/>
      <c r="S482" s="1887"/>
      <c r="T482" s="1887"/>
      <c r="U482" s="1887"/>
      <c r="V482" s="1887"/>
      <c r="W482" s="1887"/>
      <c r="X482" s="1887"/>
      <c r="Y482" s="1887"/>
      <c r="Z482" s="1887"/>
      <c r="AA482" s="1887"/>
      <c r="AB482" s="1887"/>
      <c r="AC482" s="1887"/>
    </row>
    <row r="483">
      <c r="A483" s="1887"/>
      <c r="B483" s="1887"/>
      <c r="C483" s="1887"/>
      <c r="D483" s="1887"/>
      <c r="E483" s="1887"/>
      <c r="F483" s="1887"/>
      <c r="G483" s="1887"/>
      <c r="H483" s="1887"/>
      <c r="I483" s="1887"/>
      <c r="J483" s="1887"/>
      <c r="K483" s="1887"/>
      <c r="L483" s="1887"/>
      <c r="M483" s="1887"/>
      <c r="N483" s="1887"/>
      <c r="O483" s="1887"/>
      <c r="P483" s="1887"/>
      <c r="Q483" s="1887"/>
      <c r="R483" s="1887"/>
      <c r="S483" s="1887"/>
      <c r="T483" s="1887"/>
      <c r="U483" s="1887"/>
      <c r="V483" s="1887"/>
      <c r="W483" s="1887"/>
      <c r="X483" s="1887"/>
      <c r="Y483" s="1887"/>
      <c r="Z483" s="1887"/>
      <c r="AA483" s="1887"/>
      <c r="AB483" s="1887"/>
      <c r="AC483" s="1887"/>
    </row>
    <row r="484">
      <c r="A484" s="1887"/>
      <c r="B484" s="1887"/>
      <c r="C484" s="1887"/>
      <c r="D484" s="1887"/>
      <c r="E484" s="1887"/>
      <c r="F484" s="1887"/>
      <c r="G484" s="1887"/>
      <c r="H484" s="1887"/>
      <c r="I484" s="1887"/>
      <c r="J484" s="1887"/>
      <c r="K484" s="1887"/>
      <c r="L484" s="1887"/>
      <c r="M484" s="1887"/>
      <c r="N484" s="1887"/>
      <c r="O484" s="1887"/>
      <c r="P484" s="1887"/>
      <c r="Q484" s="1887"/>
      <c r="R484" s="1887"/>
      <c r="S484" s="1887"/>
      <c r="T484" s="1887"/>
      <c r="U484" s="1887"/>
      <c r="V484" s="1887"/>
      <c r="W484" s="1887"/>
      <c r="X484" s="1887"/>
      <c r="Y484" s="1887"/>
      <c r="Z484" s="1887"/>
      <c r="AA484" s="1887"/>
      <c r="AB484" s="1887"/>
      <c r="AC484" s="1887"/>
    </row>
    <row r="485">
      <c r="A485" s="1887"/>
      <c r="B485" s="1887"/>
      <c r="C485" s="1887"/>
      <c r="D485" s="1887"/>
      <c r="E485" s="1887"/>
      <c r="F485" s="1887"/>
      <c r="G485" s="1887"/>
      <c r="H485" s="1887"/>
      <c r="I485" s="1887"/>
      <c r="J485" s="1887"/>
      <c r="K485" s="1887"/>
      <c r="L485" s="1887"/>
      <c r="M485" s="1887"/>
      <c r="N485" s="1887"/>
      <c r="O485" s="1887"/>
      <c r="P485" s="1887"/>
      <c r="Q485" s="1887"/>
      <c r="R485" s="1887"/>
      <c r="S485" s="1887"/>
      <c r="T485" s="1887"/>
      <c r="U485" s="1887"/>
      <c r="V485" s="1887"/>
      <c r="W485" s="1887"/>
      <c r="X485" s="1887"/>
      <c r="Y485" s="1887"/>
      <c r="Z485" s="1887"/>
      <c r="AA485" s="1887"/>
      <c r="AB485" s="1887"/>
      <c r="AC485" s="1887"/>
    </row>
    <row r="486">
      <c r="A486" s="1887"/>
      <c r="B486" s="1887"/>
      <c r="C486" s="1887"/>
      <c r="D486" s="1887"/>
      <c r="E486" s="1887"/>
      <c r="F486" s="1887"/>
      <c r="G486" s="1887"/>
      <c r="H486" s="1887"/>
      <c r="I486" s="1887"/>
      <c r="J486" s="1887"/>
      <c r="K486" s="1887"/>
      <c r="L486" s="1887"/>
      <c r="M486" s="1887"/>
      <c r="N486" s="1887"/>
      <c r="O486" s="1887"/>
      <c r="P486" s="1887"/>
      <c r="Q486" s="1887"/>
      <c r="R486" s="1887"/>
      <c r="S486" s="1887"/>
      <c r="T486" s="1887"/>
      <c r="U486" s="1887"/>
      <c r="V486" s="1887"/>
      <c r="W486" s="1887"/>
      <c r="X486" s="1887"/>
      <c r="Y486" s="1887"/>
      <c r="Z486" s="1887"/>
      <c r="AA486" s="1887"/>
      <c r="AB486" s="1887"/>
      <c r="AC486" s="1887"/>
    </row>
    <row r="487">
      <c r="A487" s="1887"/>
      <c r="B487" s="1887"/>
      <c r="C487" s="1887"/>
      <c r="D487" s="1887"/>
      <c r="E487" s="1887"/>
      <c r="F487" s="1887"/>
      <c r="G487" s="1887"/>
      <c r="H487" s="1887"/>
      <c r="I487" s="1887"/>
      <c r="J487" s="1887"/>
      <c r="K487" s="1887"/>
      <c r="L487" s="1887"/>
      <c r="M487" s="1887"/>
      <c r="N487" s="1887"/>
      <c r="O487" s="1887"/>
      <c r="P487" s="1887"/>
      <c r="Q487" s="1887"/>
      <c r="R487" s="1887"/>
      <c r="S487" s="1887"/>
      <c r="T487" s="1887"/>
      <c r="U487" s="1887"/>
      <c r="V487" s="1887"/>
      <c r="W487" s="1887"/>
      <c r="X487" s="1887"/>
      <c r="Y487" s="1887"/>
      <c r="Z487" s="1887"/>
      <c r="AA487" s="1887"/>
      <c r="AB487" s="1887"/>
      <c r="AC487" s="1887"/>
    </row>
    <row r="488">
      <c r="A488" s="1887"/>
      <c r="B488" s="1887"/>
      <c r="C488" s="1887"/>
      <c r="D488" s="1887"/>
      <c r="E488" s="1887"/>
      <c r="F488" s="1887"/>
      <c r="G488" s="1887"/>
      <c r="H488" s="1887"/>
      <c r="I488" s="1887"/>
      <c r="J488" s="1887"/>
      <c r="K488" s="1887"/>
      <c r="L488" s="1887"/>
      <c r="M488" s="1887"/>
      <c r="N488" s="1887"/>
      <c r="O488" s="1887"/>
      <c r="P488" s="1887"/>
      <c r="Q488" s="1887"/>
      <c r="R488" s="1887"/>
      <c r="S488" s="1887"/>
      <c r="T488" s="1887"/>
      <c r="U488" s="1887"/>
      <c r="V488" s="1887"/>
      <c r="W488" s="1887"/>
      <c r="X488" s="1887"/>
      <c r="Y488" s="1887"/>
      <c r="Z488" s="1887"/>
      <c r="AA488" s="1887"/>
      <c r="AB488" s="1887"/>
      <c r="AC488" s="1887"/>
    </row>
    <row r="489">
      <c r="A489" s="1887"/>
      <c r="B489" s="1887"/>
      <c r="C489" s="1887"/>
      <c r="D489" s="1887"/>
      <c r="E489" s="1887"/>
      <c r="F489" s="1887"/>
      <c r="G489" s="1887"/>
      <c r="H489" s="1887"/>
      <c r="I489" s="1887"/>
      <c r="J489" s="1887"/>
      <c r="K489" s="1887"/>
      <c r="L489" s="1887"/>
      <c r="M489" s="1887"/>
      <c r="N489" s="1887"/>
      <c r="O489" s="1887"/>
      <c r="P489" s="1887"/>
      <c r="Q489" s="1887"/>
      <c r="R489" s="1887"/>
      <c r="S489" s="1887"/>
      <c r="T489" s="1887"/>
      <c r="U489" s="1887"/>
      <c r="V489" s="1887"/>
      <c r="W489" s="1887"/>
      <c r="X489" s="1887"/>
      <c r="Y489" s="1887"/>
      <c r="Z489" s="1887"/>
      <c r="AA489" s="1887"/>
      <c r="AB489" s="1887"/>
      <c r="AC489" s="1887"/>
    </row>
    <row r="490">
      <c r="A490" s="1887"/>
      <c r="B490" s="1887"/>
      <c r="C490" s="1887"/>
      <c r="D490" s="1887"/>
      <c r="E490" s="1887"/>
      <c r="F490" s="1887"/>
      <c r="G490" s="1887"/>
      <c r="H490" s="1887"/>
      <c r="I490" s="1887"/>
      <c r="J490" s="1887"/>
      <c r="K490" s="1887"/>
      <c r="L490" s="1887"/>
      <c r="M490" s="1887"/>
      <c r="N490" s="1887"/>
      <c r="O490" s="1887"/>
      <c r="P490" s="1887"/>
      <c r="Q490" s="1887"/>
      <c r="R490" s="1887"/>
      <c r="S490" s="1887"/>
      <c r="T490" s="1887"/>
      <c r="U490" s="1887"/>
      <c r="V490" s="1887"/>
      <c r="W490" s="1887"/>
      <c r="X490" s="1887"/>
      <c r="Y490" s="1887"/>
      <c r="Z490" s="1887"/>
      <c r="AA490" s="1887"/>
      <c r="AB490" s="1887"/>
      <c r="AC490" s="1887"/>
    </row>
    <row r="491">
      <c r="A491" s="1887"/>
      <c r="B491" s="1887"/>
      <c r="C491" s="1887"/>
      <c r="D491" s="1887"/>
      <c r="E491" s="1887"/>
      <c r="F491" s="1887"/>
      <c r="G491" s="1887"/>
      <c r="H491" s="1887"/>
      <c r="I491" s="1887"/>
      <c r="J491" s="1887"/>
      <c r="K491" s="1887"/>
      <c r="L491" s="1887"/>
      <c r="M491" s="1887"/>
      <c r="N491" s="1887"/>
      <c r="O491" s="1887"/>
      <c r="P491" s="1887"/>
      <c r="Q491" s="1887"/>
      <c r="R491" s="1887"/>
      <c r="S491" s="1887"/>
      <c r="T491" s="1887"/>
      <c r="U491" s="1887"/>
      <c r="V491" s="1887"/>
      <c r="W491" s="1887"/>
      <c r="X491" s="1887"/>
      <c r="Y491" s="1887"/>
      <c r="Z491" s="1887"/>
      <c r="AA491" s="1887"/>
      <c r="AB491" s="1887"/>
      <c r="AC491" s="1887"/>
    </row>
    <row r="492">
      <c r="A492" s="1887"/>
      <c r="B492" s="1887"/>
      <c r="C492" s="1887"/>
      <c r="D492" s="1887"/>
      <c r="E492" s="1887"/>
      <c r="F492" s="1887"/>
      <c r="G492" s="1887"/>
      <c r="H492" s="1887"/>
      <c r="I492" s="1887"/>
      <c r="J492" s="1887"/>
      <c r="K492" s="1887"/>
      <c r="L492" s="1887"/>
      <c r="M492" s="1887"/>
      <c r="N492" s="1887"/>
      <c r="O492" s="1887"/>
      <c r="P492" s="1887"/>
      <c r="Q492" s="1887"/>
      <c r="R492" s="1887"/>
      <c r="S492" s="1887"/>
      <c r="T492" s="1887"/>
      <c r="U492" s="1887"/>
      <c r="V492" s="1887"/>
      <c r="W492" s="1887"/>
      <c r="X492" s="1887"/>
      <c r="Y492" s="1887"/>
      <c r="Z492" s="1887"/>
      <c r="AA492" s="1887"/>
      <c r="AB492" s="1887"/>
      <c r="AC492" s="1887"/>
    </row>
    <row r="493">
      <c r="A493" s="1887"/>
      <c r="B493" s="1887"/>
      <c r="C493" s="1887"/>
      <c r="D493" s="1887"/>
      <c r="E493" s="1887"/>
      <c r="F493" s="1887"/>
      <c r="G493" s="1887"/>
      <c r="H493" s="1887"/>
      <c r="I493" s="1887"/>
      <c r="J493" s="1887"/>
      <c r="K493" s="1887"/>
      <c r="L493" s="1887"/>
      <c r="M493" s="1887"/>
      <c r="N493" s="1887"/>
      <c r="O493" s="1887"/>
      <c r="P493" s="1887"/>
      <c r="Q493" s="1887"/>
      <c r="R493" s="1887"/>
      <c r="S493" s="1887"/>
      <c r="T493" s="1887"/>
      <c r="U493" s="1887"/>
      <c r="V493" s="1887"/>
      <c r="W493" s="1887"/>
      <c r="X493" s="1887"/>
      <c r="Y493" s="1887"/>
      <c r="Z493" s="1887"/>
      <c r="AA493" s="1887"/>
      <c r="AB493" s="1887"/>
      <c r="AC493" s="1887"/>
    </row>
    <row r="494">
      <c r="A494" s="1887"/>
      <c r="B494" s="1887"/>
      <c r="C494" s="1887"/>
      <c r="D494" s="1887"/>
      <c r="E494" s="1887"/>
      <c r="F494" s="1887"/>
      <c r="G494" s="1887"/>
      <c r="H494" s="1887"/>
      <c r="I494" s="1887"/>
      <c r="J494" s="1887"/>
      <c r="K494" s="1887"/>
      <c r="L494" s="1887"/>
      <c r="M494" s="1887"/>
      <c r="N494" s="1887"/>
      <c r="O494" s="1887"/>
      <c r="P494" s="1887"/>
      <c r="Q494" s="1887"/>
      <c r="R494" s="1887"/>
      <c r="S494" s="1887"/>
      <c r="T494" s="1887"/>
      <c r="U494" s="1887"/>
      <c r="V494" s="1887"/>
      <c r="W494" s="1887"/>
      <c r="X494" s="1887"/>
      <c r="Y494" s="1887"/>
      <c r="Z494" s="1887"/>
      <c r="AA494" s="1887"/>
      <c r="AB494" s="1887"/>
      <c r="AC494" s="1887"/>
    </row>
    <row r="495">
      <c r="A495" s="1887"/>
      <c r="B495" s="1887"/>
      <c r="C495" s="1887"/>
      <c r="D495" s="1887"/>
      <c r="E495" s="1887"/>
      <c r="F495" s="1887"/>
      <c r="G495" s="1887"/>
      <c r="H495" s="1887"/>
      <c r="I495" s="1887"/>
      <c r="J495" s="1887"/>
      <c r="K495" s="1887"/>
      <c r="L495" s="1887"/>
      <c r="M495" s="1887"/>
      <c r="N495" s="1887"/>
      <c r="O495" s="1887"/>
      <c r="P495" s="1887"/>
      <c r="Q495" s="1887"/>
      <c r="R495" s="1887"/>
      <c r="S495" s="1887"/>
      <c r="T495" s="1887"/>
      <c r="U495" s="1887"/>
      <c r="V495" s="1887"/>
      <c r="W495" s="1887"/>
      <c r="X495" s="1887"/>
      <c r="Y495" s="1887"/>
      <c r="Z495" s="1887"/>
      <c r="AA495" s="1887"/>
      <c r="AB495" s="1887"/>
      <c r="AC495" s="1887"/>
    </row>
    <row r="496">
      <c r="A496" s="1887"/>
      <c r="B496" s="1887"/>
      <c r="C496" s="1887"/>
      <c r="D496" s="1887"/>
      <c r="E496" s="1887"/>
      <c r="F496" s="1887"/>
      <c r="G496" s="1887"/>
      <c r="H496" s="1887"/>
      <c r="I496" s="1887"/>
      <c r="J496" s="1887"/>
      <c r="K496" s="1887"/>
      <c r="L496" s="1887"/>
      <c r="M496" s="1887"/>
      <c r="N496" s="1887"/>
      <c r="O496" s="1887"/>
      <c r="P496" s="1887"/>
      <c r="Q496" s="1887"/>
      <c r="R496" s="1887"/>
      <c r="S496" s="1887"/>
      <c r="T496" s="1887"/>
      <c r="U496" s="1887"/>
      <c r="V496" s="1887"/>
      <c r="W496" s="1887"/>
      <c r="X496" s="1887"/>
      <c r="Y496" s="1887"/>
      <c r="Z496" s="1887"/>
      <c r="AA496" s="1887"/>
      <c r="AB496" s="1887"/>
      <c r="AC496" s="1887"/>
    </row>
    <row r="497">
      <c r="A497" s="1887"/>
      <c r="B497" s="1887"/>
      <c r="C497" s="1887"/>
      <c r="D497" s="1887"/>
      <c r="E497" s="1887"/>
      <c r="F497" s="1887"/>
      <c r="G497" s="1887"/>
      <c r="H497" s="1887"/>
      <c r="I497" s="1887"/>
      <c r="J497" s="1887"/>
      <c r="K497" s="1887"/>
      <c r="L497" s="1887"/>
      <c r="M497" s="1887"/>
      <c r="N497" s="1887"/>
      <c r="O497" s="1887"/>
      <c r="P497" s="1887"/>
      <c r="Q497" s="1887"/>
      <c r="R497" s="1887"/>
      <c r="S497" s="1887"/>
      <c r="T497" s="1887"/>
      <c r="U497" s="1887"/>
      <c r="V497" s="1887"/>
      <c r="W497" s="1887"/>
      <c r="X497" s="1887"/>
      <c r="Y497" s="1887"/>
      <c r="Z497" s="1887"/>
      <c r="AA497" s="1887"/>
      <c r="AB497" s="1887"/>
      <c r="AC497" s="1887"/>
    </row>
    <row r="498">
      <c r="A498" s="1887"/>
      <c r="B498" s="1887"/>
      <c r="C498" s="1887"/>
      <c r="D498" s="1887"/>
      <c r="E498" s="1887"/>
      <c r="F498" s="1887"/>
      <c r="G498" s="1887"/>
      <c r="H498" s="1887"/>
      <c r="I498" s="1887"/>
      <c r="J498" s="1887"/>
      <c r="K498" s="1887"/>
      <c r="L498" s="1887"/>
      <c r="M498" s="1887"/>
      <c r="N498" s="1887"/>
      <c r="O498" s="1887"/>
      <c r="P498" s="1887"/>
      <c r="Q498" s="1887"/>
      <c r="R498" s="1887"/>
      <c r="S498" s="1887"/>
      <c r="T498" s="1887"/>
      <c r="U498" s="1887"/>
      <c r="V498" s="1887"/>
      <c r="W498" s="1887"/>
      <c r="X498" s="1887"/>
      <c r="Y498" s="1887"/>
      <c r="Z498" s="1887"/>
      <c r="AA498" s="1887"/>
      <c r="AB498" s="1887"/>
      <c r="AC498" s="1887"/>
    </row>
    <row r="499">
      <c r="A499" s="1887"/>
      <c r="B499" s="1887"/>
      <c r="C499" s="1887"/>
      <c r="D499" s="1887"/>
      <c r="E499" s="1887"/>
      <c r="F499" s="1887"/>
      <c r="G499" s="1887"/>
      <c r="H499" s="1887"/>
      <c r="I499" s="1887"/>
      <c r="J499" s="1887"/>
      <c r="K499" s="1887"/>
      <c r="L499" s="1887"/>
      <c r="M499" s="1887"/>
      <c r="N499" s="1887"/>
      <c r="O499" s="1887"/>
      <c r="P499" s="1887"/>
      <c r="Q499" s="1887"/>
      <c r="R499" s="1887"/>
      <c r="S499" s="1887"/>
      <c r="T499" s="1887"/>
      <c r="U499" s="1887"/>
      <c r="V499" s="1887"/>
      <c r="W499" s="1887"/>
      <c r="X499" s="1887"/>
      <c r="Y499" s="1887"/>
      <c r="Z499" s="1887"/>
      <c r="AA499" s="1887"/>
      <c r="AB499" s="1887"/>
      <c r="AC499" s="1887"/>
    </row>
    <row r="500">
      <c r="A500" s="1887"/>
      <c r="B500" s="1887"/>
      <c r="C500" s="1887"/>
      <c r="D500" s="1887"/>
      <c r="E500" s="1887"/>
      <c r="F500" s="1887"/>
      <c r="G500" s="1887"/>
      <c r="H500" s="1887"/>
      <c r="I500" s="1887"/>
      <c r="J500" s="1887"/>
      <c r="K500" s="1887"/>
      <c r="L500" s="1887"/>
      <c r="M500" s="1887"/>
      <c r="N500" s="1887"/>
      <c r="O500" s="1887"/>
      <c r="P500" s="1887"/>
      <c r="Q500" s="1887"/>
      <c r="R500" s="1887"/>
      <c r="S500" s="1887"/>
      <c r="T500" s="1887"/>
      <c r="U500" s="1887"/>
      <c r="V500" s="1887"/>
      <c r="W500" s="1887"/>
      <c r="X500" s="1887"/>
      <c r="Y500" s="1887"/>
      <c r="Z500" s="1887"/>
      <c r="AA500" s="1887"/>
      <c r="AB500" s="1887"/>
      <c r="AC500" s="1887"/>
    </row>
    <row r="501">
      <c r="A501" s="1887"/>
      <c r="B501" s="1887"/>
      <c r="C501" s="1887"/>
      <c r="D501" s="1887"/>
      <c r="E501" s="1887"/>
      <c r="F501" s="1887"/>
      <c r="G501" s="1887"/>
      <c r="H501" s="1887"/>
      <c r="I501" s="1887"/>
      <c r="J501" s="1887"/>
      <c r="K501" s="1887"/>
      <c r="L501" s="1887"/>
      <c r="M501" s="1887"/>
      <c r="N501" s="1887"/>
      <c r="O501" s="1887"/>
      <c r="P501" s="1887"/>
      <c r="Q501" s="1887"/>
      <c r="R501" s="1887"/>
      <c r="S501" s="1887"/>
      <c r="T501" s="1887"/>
      <c r="U501" s="1887"/>
      <c r="V501" s="1887"/>
      <c r="W501" s="1887"/>
      <c r="X501" s="1887"/>
      <c r="Y501" s="1887"/>
      <c r="Z501" s="1887"/>
      <c r="AA501" s="1887"/>
      <c r="AB501" s="1887"/>
      <c r="AC501" s="1887"/>
    </row>
    <row r="502">
      <c r="A502" s="1887"/>
      <c r="B502" s="1887"/>
      <c r="C502" s="1887"/>
      <c r="D502" s="1887"/>
      <c r="E502" s="1887"/>
      <c r="F502" s="1887"/>
      <c r="G502" s="1887"/>
      <c r="H502" s="1887"/>
      <c r="I502" s="1887"/>
      <c r="J502" s="1887"/>
      <c r="K502" s="1887"/>
      <c r="L502" s="1887"/>
      <c r="M502" s="1887"/>
      <c r="N502" s="1887"/>
      <c r="O502" s="1887"/>
      <c r="P502" s="1887"/>
      <c r="Q502" s="1887"/>
      <c r="R502" s="1887"/>
      <c r="S502" s="1887"/>
      <c r="T502" s="1887"/>
      <c r="U502" s="1887"/>
      <c r="V502" s="1887"/>
      <c r="W502" s="1887"/>
      <c r="X502" s="1887"/>
      <c r="Y502" s="1887"/>
      <c r="Z502" s="1887"/>
      <c r="AA502" s="1887"/>
      <c r="AB502" s="1887"/>
      <c r="AC502" s="1887"/>
    </row>
    <row r="503">
      <c r="A503" s="1887"/>
      <c r="B503" s="1887"/>
      <c r="C503" s="1887"/>
      <c r="D503" s="1887"/>
      <c r="E503" s="1887"/>
      <c r="F503" s="1887"/>
      <c r="G503" s="1887"/>
      <c r="H503" s="1887"/>
      <c r="I503" s="1887"/>
      <c r="J503" s="1887"/>
      <c r="K503" s="1887"/>
      <c r="L503" s="1887"/>
      <c r="M503" s="1887"/>
      <c r="N503" s="1887"/>
      <c r="O503" s="1887"/>
      <c r="P503" s="1887"/>
      <c r="Q503" s="1887"/>
      <c r="R503" s="1887"/>
      <c r="S503" s="1887"/>
      <c r="T503" s="1887"/>
      <c r="U503" s="1887"/>
      <c r="V503" s="1887"/>
      <c r="W503" s="1887"/>
      <c r="X503" s="1887"/>
      <c r="Y503" s="1887"/>
      <c r="Z503" s="1887"/>
      <c r="AA503" s="1887"/>
      <c r="AB503" s="1887"/>
      <c r="AC503" s="1887"/>
    </row>
    <row r="504">
      <c r="A504" s="1887"/>
      <c r="B504" s="1887"/>
      <c r="C504" s="1887"/>
      <c r="D504" s="1887"/>
      <c r="E504" s="1887"/>
      <c r="F504" s="1887"/>
      <c r="G504" s="1887"/>
      <c r="H504" s="1887"/>
      <c r="I504" s="1887"/>
      <c r="J504" s="1887"/>
      <c r="K504" s="1887"/>
      <c r="L504" s="1887"/>
      <c r="M504" s="1887"/>
      <c r="N504" s="1887"/>
      <c r="O504" s="1887"/>
      <c r="P504" s="1887"/>
      <c r="Q504" s="1887"/>
      <c r="R504" s="1887"/>
      <c r="S504" s="1887"/>
      <c r="T504" s="1887"/>
      <c r="U504" s="1887"/>
      <c r="V504" s="1887"/>
      <c r="W504" s="1887"/>
      <c r="X504" s="1887"/>
      <c r="Y504" s="1887"/>
      <c r="Z504" s="1887"/>
      <c r="AA504" s="1887"/>
      <c r="AB504" s="1887"/>
      <c r="AC504" s="1887"/>
    </row>
    <row r="505">
      <c r="A505" s="1887"/>
      <c r="B505" s="1887"/>
      <c r="C505" s="1887"/>
      <c r="D505" s="1887"/>
      <c r="E505" s="1887"/>
      <c r="F505" s="1887"/>
      <c r="G505" s="1887"/>
      <c r="H505" s="1887"/>
      <c r="I505" s="1887"/>
      <c r="J505" s="1887"/>
      <c r="K505" s="1887"/>
      <c r="L505" s="1887"/>
      <c r="M505" s="1887"/>
      <c r="N505" s="1887"/>
      <c r="O505" s="1887"/>
      <c r="P505" s="1887"/>
      <c r="Q505" s="1887"/>
      <c r="R505" s="1887"/>
      <c r="S505" s="1887"/>
      <c r="T505" s="1887"/>
      <c r="U505" s="1887"/>
      <c r="V505" s="1887"/>
      <c r="W505" s="1887"/>
      <c r="X505" s="1887"/>
      <c r="Y505" s="1887"/>
      <c r="Z505" s="1887"/>
      <c r="AA505" s="1887"/>
      <c r="AB505" s="1887"/>
      <c r="AC505" s="1887"/>
    </row>
    <row r="506">
      <c r="A506" s="1887"/>
      <c r="B506" s="1887"/>
      <c r="C506" s="1887"/>
      <c r="D506" s="1887"/>
      <c r="E506" s="1887"/>
      <c r="F506" s="1887"/>
      <c r="G506" s="1887"/>
      <c r="H506" s="1887"/>
      <c r="I506" s="1887"/>
      <c r="J506" s="1887"/>
      <c r="K506" s="1887"/>
      <c r="L506" s="1887"/>
      <c r="M506" s="1887"/>
      <c r="N506" s="1887"/>
      <c r="O506" s="1887"/>
      <c r="P506" s="1887"/>
      <c r="Q506" s="1887"/>
      <c r="R506" s="1887"/>
      <c r="S506" s="1887"/>
      <c r="T506" s="1887"/>
      <c r="U506" s="1887"/>
      <c r="V506" s="1887"/>
      <c r="W506" s="1887"/>
      <c r="X506" s="1887"/>
      <c r="Y506" s="1887"/>
      <c r="Z506" s="1887"/>
      <c r="AA506" s="1887"/>
      <c r="AB506" s="1887"/>
      <c r="AC506" s="1887"/>
    </row>
    <row r="507">
      <c r="A507" s="1887"/>
      <c r="B507" s="1887"/>
      <c r="C507" s="1887"/>
      <c r="D507" s="1887"/>
      <c r="E507" s="1887"/>
      <c r="F507" s="1887"/>
      <c r="G507" s="1887"/>
      <c r="H507" s="1887"/>
      <c r="I507" s="1887"/>
      <c r="J507" s="1887"/>
      <c r="K507" s="1887"/>
      <c r="L507" s="1887"/>
      <c r="M507" s="1887"/>
      <c r="N507" s="1887"/>
      <c r="O507" s="1887"/>
      <c r="P507" s="1887"/>
      <c r="Q507" s="1887"/>
      <c r="R507" s="1887"/>
      <c r="S507" s="1887"/>
      <c r="T507" s="1887"/>
      <c r="U507" s="1887"/>
      <c r="V507" s="1887"/>
      <c r="W507" s="1887"/>
      <c r="X507" s="1887"/>
      <c r="Y507" s="1887"/>
      <c r="Z507" s="1887"/>
      <c r="AA507" s="1887"/>
      <c r="AB507" s="1887"/>
      <c r="AC507" s="1887"/>
    </row>
    <row r="508">
      <c r="A508" s="1887"/>
      <c r="B508" s="1887"/>
      <c r="C508" s="1887"/>
      <c r="D508" s="1887"/>
      <c r="E508" s="1887"/>
      <c r="F508" s="1887"/>
      <c r="G508" s="1887"/>
      <c r="H508" s="1887"/>
      <c r="I508" s="1887"/>
      <c r="J508" s="1887"/>
      <c r="K508" s="1887"/>
      <c r="L508" s="1887"/>
      <c r="M508" s="1887"/>
      <c r="N508" s="1887"/>
      <c r="O508" s="1887"/>
      <c r="P508" s="1887"/>
      <c r="Q508" s="1887"/>
      <c r="R508" s="1887"/>
      <c r="S508" s="1887"/>
      <c r="T508" s="1887"/>
      <c r="U508" s="1887"/>
      <c r="V508" s="1887"/>
      <c r="W508" s="1887"/>
      <c r="X508" s="1887"/>
      <c r="Y508" s="1887"/>
      <c r="Z508" s="1887"/>
      <c r="AA508" s="1887"/>
      <c r="AB508" s="1887"/>
      <c r="AC508" s="1887"/>
    </row>
    <row r="509">
      <c r="A509" s="1887"/>
      <c r="B509" s="1887"/>
      <c r="C509" s="1887"/>
      <c r="D509" s="1887"/>
      <c r="E509" s="1887"/>
      <c r="F509" s="1887"/>
      <c r="G509" s="1887"/>
      <c r="H509" s="1887"/>
      <c r="I509" s="1887"/>
      <c r="J509" s="1887"/>
      <c r="K509" s="1887"/>
      <c r="L509" s="1887"/>
      <c r="M509" s="1887"/>
      <c r="N509" s="1887"/>
      <c r="O509" s="1887"/>
      <c r="P509" s="1887"/>
      <c r="Q509" s="1887"/>
      <c r="R509" s="1887"/>
      <c r="S509" s="1887"/>
      <c r="T509" s="1887"/>
      <c r="U509" s="1887"/>
      <c r="V509" s="1887"/>
      <c r="W509" s="1887"/>
      <c r="X509" s="1887"/>
      <c r="Y509" s="1887"/>
      <c r="Z509" s="1887"/>
      <c r="AA509" s="1887"/>
      <c r="AB509" s="1887"/>
      <c r="AC509" s="1887"/>
    </row>
    <row r="510">
      <c r="A510" s="1887"/>
      <c r="B510" s="1887"/>
      <c r="C510" s="1887"/>
      <c r="D510" s="1887"/>
      <c r="E510" s="1887"/>
      <c r="F510" s="1887"/>
      <c r="G510" s="1887"/>
      <c r="H510" s="1887"/>
      <c r="I510" s="1887"/>
      <c r="J510" s="1887"/>
      <c r="K510" s="1887"/>
      <c r="L510" s="1887"/>
      <c r="M510" s="1887"/>
      <c r="N510" s="1887"/>
      <c r="O510" s="1887"/>
      <c r="P510" s="1887"/>
      <c r="Q510" s="1887"/>
      <c r="R510" s="1887"/>
      <c r="S510" s="1887"/>
      <c r="T510" s="1887"/>
      <c r="U510" s="1887"/>
      <c r="V510" s="1887"/>
      <c r="W510" s="1887"/>
      <c r="X510" s="1887"/>
      <c r="Y510" s="1887"/>
      <c r="Z510" s="1887"/>
      <c r="AA510" s="1887"/>
      <c r="AB510" s="1887"/>
      <c r="AC510" s="1887"/>
    </row>
    <row r="511">
      <c r="A511" s="1887"/>
      <c r="B511" s="1887"/>
      <c r="C511" s="1887"/>
      <c r="D511" s="1887"/>
      <c r="E511" s="1887"/>
      <c r="F511" s="1887"/>
      <c r="G511" s="1887"/>
      <c r="H511" s="1887"/>
      <c r="I511" s="1887"/>
      <c r="J511" s="1887"/>
      <c r="K511" s="1887"/>
      <c r="L511" s="1887"/>
      <c r="M511" s="1887"/>
      <c r="N511" s="1887"/>
      <c r="O511" s="1887"/>
      <c r="P511" s="1887"/>
      <c r="Q511" s="1887"/>
      <c r="R511" s="1887"/>
      <c r="S511" s="1887"/>
      <c r="T511" s="1887"/>
      <c r="U511" s="1887"/>
      <c r="V511" s="1887"/>
      <c r="W511" s="1887"/>
      <c r="X511" s="1887"/>
      <c r="Y511" s="1887"/>
      <c r="Z511" s="1887"/>
      <c r="AA511" s="1887"/>
      <c r="AB511" s="1887"/>
      <c r="AC511" s="1887"/>
    </row>
    <row r="512">
      <c r="A512" s="1887"/>
      <c r="B512" s="1887"/>
      <c r="C512" s="1887"/>
      <c r="D512" s="1887"/>
      <c r="E512" s="1887"/>
      <c r="F512" s="1887"/>
      <c r="G512" s="1887"/>
      <c r="H512" s="1887"/>
      <c r="I512" s="1887"/>
      <c r="J512" s="1887"/>
      <c r="K512" s="1887"/>
      <c r="L512" s="1887"/>
      <c r="M512" s="1887"/>
      <c r="N512" s="1887"/>
      <c r="O512" s="1887"/>
      <c r="P512" s="1887"/>
      <c r="Q512" s="1887"/>
      <c r="R512" s="1887"/>
      <c r="S512" s="1887"/>
      <c r="T512" s="1887"/>
      <c r="U512" s="1887"/>
      <c r="V512" s="1887"/>
      <c r="W512" s="1887"/>
      <c r="X512" s="1887"/>
      <c r="Y512" s="1887"/>
      <c r="Z512" s="1887"/>
      <c r="AA512" s="1887"/>
      <c r="AB512" s="1887"/>
      <c r="AC512" s="1887"/>
    </row>
    <row r="513">
      <c r="A513" s="1887"/>
      <c r="B513" s="1887"/>
      <c r="C513" s="1887"/>
      <c r="D513" s="1887"/>
      <c r="E513" s="1887"/>
      <c r="F513" s="1887"/>
      <c r="G513" s="1887"/>
      <c r="H513" s="1887"/>
      <c r="I513" s="1887"/>
      <c r="J513" s="1887"/>
      <c r="K513" s="1887"/>
      <c r="L513" s="1887"/>
      <c r="M513" s="1887"/>
      <c r="N513" s="1887"/>
      <c r="O513" s="1887"/>
      <c r="P513" s="1887"/>
      <c r="Q513" s="1887"/>
      <c r="R513" s="1887"/>
      <c r="S513" s="1887"/>
      <c r="T513" s="1887"/>
      <c r="U513" s="1887"/>
      <c r="V513" s="1887"/>
      <c r="W513" s="1887"/>
      <c r="X513" s="1887"/>
      <c r="Y513" s="1887"/>
      <c r="Z513" s="1887"/>
      <c r="AA513" s="1887"/>
      <c r="AB513" s="1887"/>
      <c r="AC513" s="1887"/>
    </row>
    <row r="514">
      <c r="A514" s="1887"/>
      <c r="B514" s="1887"/>
      <c r="C514" s="1887"/>
      <c r="D514" s="1887"/>
      <c r="E514" s="1887"/>
      <c r="F514" s="1887"/>
      <c r="G514" s="1887"/>
      <c r="H514" s="1887"/>
      <c r="I514" s="1887"/>
      <c r="J514" s="1887"/>
      <c r="K514" s="1887"/>
      <c r="L514" s="1887"/>
      <c r="M514" s="1887"/>
      <c r="N514" s="1887"/>
      <c r="O514" s="1887"/>
      <c r="P514" s="1887"/>
      <c r="Q514" s="1887"/>
      <c r="R514" s="1887"/>
      <c r="S514" s="1887"/>
      <c r="T514" s="1887"/>
      <c r="U514" s="1887"/>
      <c r="V514" s="1887"/>
      <c r="W514" s="1887"/>
      <c r="X514" s="1887"/>
      <c r="Y514" s="1887"/>
      <c r="Z514" s="1887"/>
      <c r="AA514" s="1887"/>
      <c r="AB514" s="1887"/>
      <c r="AC514" s="1887"/>
    </row>
    <row r="515">
      <c r="A515" s="1887"/>
      <c r="B515" s="1887"/>
      <c r="C515" s="1887"/>
      <c r="D515" s="1887"/>
      <c r="E515" s="1887"/>
      <c r="F515" s="1887"/>
      <c r="G515" s="1887"/>
      <c r="H515" s="1887"/>
      <c r="I515" s="1887"/>
      <c r="J515" s="1887"/>
      <c r="K515" s="1887"/>
      <c r="L515" s="1887"/>
      <c r="M515" s="1887"/>
      <c r="N515" s="1887"/>
      <c r="O515" s="1887"/>
      <c r="P515" s="1887"/>
      <c r="Q515" s="1887"/>
      <c r="R515" s="1887"/>
      <c r="S515" s="1887"/>
      <c r="T515" s="1887"/>
      <c r="U515" s="1887"/>
      <c r="V515" s="1887"/>
      <c r="W515" s="1887"/>
      <c r="X515" s="1887"/>
      <c r="Y515" s="1887"/>
      <c r="Z515" s="1887"/>
      <c r="AA515" s="1887"/>
      <c r="AB515" s="1887"/>
      <c r="AC515" s="1887"/>
    </row>
    <row r="516">
      <c r="A516" s="1887"/>
      <c r="B516" s="1887"/>
      <c r="C516" s="1887"/>
      <c r="D516" s="1887"/>
      <c r="E516" s="1887"/>
      <c r="F516" s="1887"/>
      <c r="G516" s="1887"/>
      <c r="H516" s="1887"/>
      <c r="I516" s="1887"/>
      <c r="J516" s="1887"/>
      <c r="K516" s="1887"/>
      <c r="L516" s="1887"/>
      <c r="M516" s="1887"/>
      <c r="N516" s="1887"/>
      <c r="O516" s="1887"/>
      <c r="P516" s="1887"/>
      <c r="Q516" s="1887"/>
      <c r="R516" s="1887"/>
      <c r="S516" s="1887"/>
      <c r="T516" s="1887"/>
      <c r="U516" s="1887"/>
      <c r="V516" s="1887"/>
      <c r="W516" s="1887"/>
      <c r="X516" s="1887"/>
      <c r="Y516" s="1887"/>
      <c r="Z516" s="1887"/>
      <c r="AA516" s="1887"/>
      <c r="AB516" s="1887"/>
      <c r="AC516" s="1887"/>
    </row>
    <row r="517">
      <c r="A517" s="1887"/>
      <c r="B517" s="1887"/>
      <c r="C517" s="1887"/>
      <c r="D517" s="1887"/>
      <c r="E517" s="1887"/>
      <c r="F517" s="1887"/>
      <c r="G517" s="1887"/>
      <c r="H517" s="1887"/>
      <c r="I517" s="1887"/>
      <c r="J517" s="1887"/>
      <c r="K517" s="1887"/>
      <c r="L517" s="1887"/>
      <c r="M517" s="1887"/>
      <c r="N517" s="1887"/>
      <c r="O517" s="1887"/>
      <c r="P517" s="1887"/>
      <c r="Q517" s="1887"/>
      <c r="R517" s="1887"/>
      <c r="S517" s="1887"/>
      <c r="T517" s="1887"/>
      <c r="U517" s="1887"/>
      <c r="V517" s="1887"/>
      <c r="W517" s="1887"/>
      <c r="X517" s="1887"/>
      <c r="Y517" s="1887"/>
      <c r="Z517" s="1887"/>
      <c r="AA517" s="1887"/>
      <c r="AB517" s="1887"/>
      <c r="AC517" s="1887"/>
    </row>
    <row r="518">
      <c r="A518" s="1887"/>
      <c r="B518" s="1887"/>
      <c r="C518" s="1887"/>
      <c r="D518" s="1887"/>
      <c r="E518" s="1887"/>
      <c r="F518" s="1887"/>
      <c r="G518" s="1887"/>
      <c r="H518" s="1887"/>
      <c r="I518" s="1887"/>
      <c r="J518" s="1887"/>
      <c r="K518" s="1887"/>
      <c r="L518" s="1887"/>
      <c r="M518" s="1887"/>
      <c r="N518" s="1887"/>
      <c r="O518" s="1887"/>
      <c r="P518" s="1887"/>
      <c r="Q518" s="1887"/>
      <c r="R518" s="1887"/>
      <c r="S518" s="1887"/>
      <c r="T518" s="1887"/>
      <c r="U518" s="1887"/>
      <c r="V518" s="1887"/>
      <c r="W518" s="1887"/>
      <c r="X518" s="1887"/>
      <c r="Y518" s="1887"/>
      <c r="Z518" s="1887"/>
      <c r="AA518" s="1887"/>
      <c r="AB518" s="1887"/>
      <c r="AC518" s="1887"/>
    </row>
    <row r="519">
      <c r="A519" s="1887"/>
      <c r="B519" s="1887"/>
      <c r="C519" s="1887"/>
      <c r="D519" s="1887"/>
      <c r="E519" s="1887"/>
      <c r="F519" s="1887"/>
      <c r="G519" s="1887"/>
      <c r="H519" s="1887"/>
      <c r="I519" s="1887"/>
      <c r="J519" s="1887"/>
      <c r="K519" s="1887"/>
      <c r="L519" s="1887"/>
      <c r="M519" s="1887"/>
      <c r="N519" s="1887"/>
      <c r="O519" s="1887"/>
      <c r="P519" s="1887"/>
      <c r="Q519" s="1887"/>
      <c r="R519" s="1887"/>
      <c r="S519" s="1887"/>
      <c r="T519" s="1887"/>
      <c r="U519" s="1887"/>
      <c r="V519" s="1887"/>
      <c r="W519" s="1887"/>
      <c r="X519" s="1887"/>
      <c r="Y519" s="1887"/>
      <c r="Z519" s="1887"/>
      <c r="AA519" s="1887"/>
      <c r="AB519" s="1887"/>
      <c r="AC519" s="1887"/>
    </row>
    <row r="520">
      <c r="A520" s="1887"/>
      <c r="B520" s="1887"/>
      <c r="C520" s="1887"/>
      <c r="D520" s="1887"/>
      <c r="E520" s="1887"/>
      <c r="F520" s="1887"/>
      <c r="G520" s="1887"/>
      <c r="H520" s="1887"/>
      <c r="I520" s="1887"/>
      <c r="J520" s="1887"/>
      <c r="K520" s="1887"/>
      <c r="L520" s="1887"/>
      <c r="M520" s="1887"/>
      <c r="N520" s="1887"/>
      <c r="O520" s="1887"/>
      <c r="P520" s="1887"/>
      <c r="Q520" s="1887"/>
      <c r="R520" s="1887"/>
      <c r="S520" s="1887"/>
      <c r="T520" s="1887"/>
      <c r="U520" s="1887"/>
      <c r="V520" s="1887"/>
      <c r="W520" s="1887"/>
      <c r="X520" s="1887"/>
      <c r="Y520" s="1887"/>
      <c r="Z520" s="1887"/>
      <c r="AA520" s="1887"/>
      <c r="AB520" s="1887"/>
      <c r="AC520" s="1887"/>
    </row>
    <row r="521">
      <c r="A521" s="1887"/>
      <c r="B521" s="1887"/>
      <c r="C521" s="1887"/>
      <c r="D521" s="1887"/>
      <c r="E521" s="1887"/>
      <c r="F521" s="1887"/>
      <c r="G521" s="1887"/>
      <c r="H521" s="1887"/>
      <c r="I521" s="1887"/>
      <c r="J521" s="1887"/>
      <c r="K521" s="1887"/>
      <c r="L521" s="1887"/>
      <c r="M521" s="1887"/>
      <c r="N521" s="1887"/>
      <c r="O521" s="1887"/>
      <c r="P521" s="1887"/>
      <c r="Q521" s="1887"/>
      <c r="R521" s="1887"/>
      <c r="S521" s="1887"/>
      <c r="T521" s="1887"/>
      <c r="U521" s="1887"/>
      <c r="V521" s="1887"/>
      <c r="W521" s="1887"/>
      <c r="X521" s="1887"/>
      <c r="Y521" s="1887"/>
      <c r="Z521" s="1887"/>
      <c r="AA521" s="1887"/>
      <c r="AB521" s="1887"/>
      <c r="AC521" s="1887"/>
    </row>
    <row r="522">
      <c r="A522" s="1887"/>
      <c r="B522" s="1887"/>
      <c r="C522" s="1887"/>
      <c r="D522" s="1887"/>
      <c r="E522" s="1887"/>
      <c r="F522" s="1887"/>
      <c r="G522" s="1887"/>
      <c r="H522" s="1887"/>
      <c r="I522" s="1887"/>
      <c r="J522" s="1887"/>
      <c r="K522" s="1887"/>
      <c r="L522" s="1887"/>
      <c r="M522" s="1887"/>
      <c r="N522" s="1887"/>
      <c r="O522" s="1887"/>
      <c r="P522" s="1887"/>
      <c r="Q522" s="1887"/>
      <c r="R522" s="1887"/>
      <c r="S522" s="1887"/>
      <c r="T522" s="1887"/>
      <c r="U522" s="1887"/>
      <c r="V522" s="1887"/>
      <c r="W522" s="1887"/>
      <c r="X522" s="1887"/>
      <c r="Y522" s="1887"/>
      <c r="Z522" s="1887"/>
      <c r="AA522" s="1887"/>
      <c r="AB522" s="1887"/>
      <c r="AC522" s="1887"/>
    </row>
    <row r="523">
      <c r="A523" s="1887"/>
      <c r="B523" s="1887"/>
      <c r="C523" s="1887"/>
      <c r="D523" s="1887"/>
      <c r="E523" s="1887"/>
      <c r="F523" s="1887"/>
      <c r="G523" s="1887"/>
      <c r="H523" s="1887"/>
      <c r="I523" s="1887"/>
      <c r="J523" s="1887"/>
      <c r="K523" s="1887"/>
      <c r="L523" s="1887"/>
      <c r="M523" s="1887"/>
      <c r="N523" s="1887"/>
      <c r="O523" s="1887"/>
      <c r="P523" s="1887"/>
      <c r="Q523" s="1887"/>
      <c r="R523" s="1887"/>
      <c r="S523" s="1887"/>
      <c r="T523" s="1887"/>
      <c r="U523" s="1887"/>
      <c r="V523" s="1887"/>
      <c r="W523" s="1887"/>
      <c r="X523" s="1887"/>
      <c r="Y523" s="1887"/>
      <c r="Z523" s="1887"/>
      <c r="AA523" s="1887"/>
      <c r="AB523" s="1887"/>
      <c r="AC523" s="1887"/>
    </row>
    <row r="524">
      <c r="A524" s="1887"/>
      <c r="B524" s="1887"/>
      <c r="C524" s="1887"/>
      <c r="D524" s="1887"/>
      <c r="E524" s="1887"/>
      <c r="F524" s="1887"/>
      <c r="G524" s="1887"/>
      <c r="H524" s="1887"/>
      <c r="I524" s="1887"/>
      <c r="J524" s="1887"/>
      <c r="K524" s="1887"/>
      <c r="L524" s="1887"/>
      <c r="M524" s="1887"/>
      <c r="N524" s="1887"/>
      <c r="O524" s="1887"/>
      <c r="P524" s="1887"/>
      <c r="Q524" s="1887"/>
      <c r="R524" s="1887"/>
      <c r="S524" s="1887"/>
      <c r="T524" s="1887"/>
      <c r="U524" s="1887"/>
      <c r="V524" s="1887"/>
      <c r="W524" s="1887"/>
      <c r="X524" s="1887"/>
      <c r="Y524" s="1887"/>
      <c r="Z524" s="1887"/>
      <c r="AA524" s="1887"/>
      <c r="AB524" s="1887"/>
      <c r="AC524" s="1887"/>
    </row>
    <row r="525">
      <c r="A525" s="1887"/>
      <c r="B525" s="1887"/>
      <c r="C525" s="1887"/>
      <c r="D525" s="1887"/>
      <c r="E525" s="1887"/>
      <c r="F525" s="1887"/>
      <c r="G525" s="1887"/>
      <c r="H525" s="1887"/>
      <c r="I525" s="1887"/>
      <c r="J525" s="1887"/>
      <c r="K525" s="1887"/>
      <c r="L525" s="1887"/>
      <c r="M525" s="1887"/>
      <c r="N525" s="1887"/>
      <c r="O525" s="1887"/>
      <c r="P525" s="1887"/>
      <c r="Q525" s="1887"/>
      <c r="R525" s="1887"/>
      <c r="S525" s="1887"/>
      <c r="T525" s="1887"/>
      <c r="U525" s="1887"/>
      <c r="V525" s="1887"/>
      <c r="W525" s="1887"/>
      <c r="X525" s="1887"/>
      <c r="Y525" s="1887"/>
      <c r="Z525" s="1887"/>
      <c r="AA525" s="1887"/>
      <c r="AB525" s="1887"/>
      <c r="AC525" s="1887"/>
    </row>
    <row r="526">
      <c r="A526" s="1887"/>
      <c r="B526" s="1887"/>
      <c r="C526" s="1887"/>
      <c r="D526" s="1887"/>
      <c r="E526" s="1887"/>
      <c r="F526" s="1887"/>
      <c r="G526" s="1887"/>
      <c r="H526" s="1887"/>
      <c r="I526" s="1887"/>
      <c r="J526" s="1887"/>
      <c r="K526" s="1887"/>
      <c r="L526" s="1887"/>
      <c r="M526" s="1887"/>
      <c r="N526" s="1887"/>
      <c r="O526" s="1887"/>
      <c r="P526" s="1887"/>
      <c r="Q526" s="1887"/>
      <c r="R526" s="1887"/>
      <c r="S526" s="1887"/>
      <c r="T526" s="1887"/>
      <c r="U526" s="1887"/>
      <c r="V526" s="1887"/>
      <c r="W526" s="1887"/>
      <c r="X526" s="1887"/>
      <c r="Y526" s="1887"/>
      <c r="Z526" s="1887"/>
      <c r="AA526" s="1887"/>
      <c r="AB526" s="1887"/>
      <c r="AC526" s="1887"/>
    </row>
    <row r="527">
      <c r="A527" s="1887"/>
      <c r="B527" s="1887"/>
      <c r="C527" s="1887"/>
      <c r="D527" s="1887"/>
      <c r="E527" s="1887"/>
      <c r="F527" s="1887"/>
      <c r="G527" s="1887"/>
      <c r="H527" s="1887"/>
      <c r="I527" s="1887"/>
      <c r="J527" s="1887"/>
      <c r="K527" s="1887"/>
      <c r="L527" s="1887"/>
      <c r="M527" s="1887"/>
      <c r="N527" s="1887"/>
      <c r="O527" s="1887"/>
      <c r="P527" s="1887"/>
      <c r="Q527" s="1887"/>
      <c r="R527" s="1887"/>
      <c r="S527" s="1887"/>
      <c r="T527" s="1887"/>
      <c r="U527" s="1887"/>
      <c r="V527" s="1887"/>
      <c r="W527" s="1887"/>
      <c r="X527" s="1887"/>
      <c r="Y527" s="1887"/>
      <c r="Z527" s="1887"/>
      <c r="AA527" s="1887"/>
      <c r="AB527" s="1887"/>
      <c r="AC527" s="1887"/>
    </row>
    <row r="528">
      <c r="A528" s="1887"/>
      <c r="B528" s="1887"/>
      <c r="C528" s="1887"/>
      <c r="D528" s="1887"/>
      <c r="E528" s="1887"/>
      <c r="F528" s="1887"/>
      <c r="G528" s="1887"/>
      <c r="H528" s="1887"/>
      <c r="I528" s="1887"/>
      <c r="J528" s="1887"/>
      <c r="K528" s="1887"/>
      <c r="L528" s="1887"/>
      <c r="M528" s="1887"/>
      <c r="N528" s="1887"/>
      <c r="O528" s="1887"/>
      <c r="P528" s="1887"/>
      <c r="Q528" s="1887"/>
      <c r="R528" s="1887"/>
      <c r="S528" s="1887"/>
      <c r="T528" s="1887"/>
      <c r="U528" s="1887"/>
      <c r="V528" s="1887"/>
      <c r="W528" s="1887"/>
      <c r="X528" s="1887"/>
      <c r="Y528" s="1887"/>
      <c r="Z528" s="1887"/>
      <c r="AA528" s="1887"/>
      <c r="AB528" s="1887"/>
      <c r="AC528" s="1887"/>
    </row>
    <row r="529">
      <c r="A529" s="1887"/>
      <c r="B529" s="1887"/>
      <c r="C529" s="1887"/>
      <c r="D529" s="1887"/>
      <c r="E529" s="1887"/>
      <c r="F529" s="1887"/>
      <c r="G529" s="1887"/>
      <c r="H529" s="1887"/>
      <c r="I529" s="1887"/>
      <c r="J529" s="1887"/>
      <c r="K529" s="1887"/>
      <c r="L529" s="1887"/>
      <c r="M529" s="1887"/>
      <c r="N529" s="1887"/>
      <c r="O529" s="1887"/>
      <c r="P529" s="1887"/>
      <c r="Q529" s="1887"/>
      <c r="R529" s="1887"/>
      <c r="S529" s="1887"/>
      <c r="T529" s="1887"/>
      <c r="U529" s="1887"/>
      <c r="V529" s="1887"/>
      <c r="W529" s="1887"/>
      <c r="X529" s="1887"/>
      <c r="Y529" s="1887"/>
      <c r="Z529" s="1887"/>
      <c r="AA529" s="1887"/>
      <c r="AB529" s="1887"/>
      <c r="AC529" s="1887"/>
    </row>
    <row r="530">
      <c r="A530" s="1887"/>
      <c r="B530" s="1887"/>
      <c r="C530" s="1887"/>
      <c r="D530" s="1887"/>
      <c r="E530" s="1887"/>
      <c r="F530" s="1887"/>
      <c r="G530" s="1887"/>
      <c r="H530" s="1887"/>
      <c r="I530" s="1887"/>
      <c r="J530" s="1887"/>
      <c r="K530" s="1887"/>
      <c r="L530" s="1887"/>
      <c r="M530" s="1887"/>
      <c r="N530" s="1887"/>
      <c r="O530" s="1887"/>
      <c r="P530" s="1887"/>
      <c r="Q530" s="1887"/>
      <c r="R530" s="1887"/>
      <c r="S530" s="1887"/>
      <c r="T530" s="1887"/>
      <c r="U530" s="1887"/>
      <c r="V530" s="1887"/>
      <c r="W530" s="1887"/>
      <c r="X530" s="1887"/>
      <c r="Y530" s="1887"/>
      <c r="Z530" s="1887"/>
      <c r="AA530" s="1887"/>
      <c r="AB530" s="1887"/>
      <c r="AC530" s="1887"/>
    </row>
    <row r="531">
      <c r="A531" s="1887"/>
      <c r="B531" s="1887"/>
      <c r="C531" s="1887"/>
      <c r="D531" s="1887"/>
      <c r="E531" s="1887"/>
      <c r="F531" s="1887"/>
      <c r="G531" s="1887"/>
      <c r="H531" s="1887"/>
      <c r="I531" s="1887"/>
      <c r="J531" s="1887"/>
      <c r="K531" s="1887"/>
      <c r="L531" s="1887"/>
      <c r="M531" s="1887"/>
      <c r="N531" s="1887"/>
      <c r="O531" s="1887"/>
      <c r="P531" s="1887"/>
      <c r="Q531" s="1887"/>
      <c r="R531" s="1887"/>
      <c r="S531" s="1887"/>
      <c r="T531" s="1887"/>
      <c r="U531" s="1887"/>
      <c r="V531" s="1887"/>
      <c r="W531" s="1887"/>
      <c r="X531" s="1887"/>
      <c r="Y531" s="1887"/>
      <c r="Z531" s="1887"/>
      <c r="AA531" s="1887"/>
      <c r="AB531" s="1887"/>
      <c r="AC531" s="1887"/>
    </row>
    <row r="532">
      <c r="A532" s="1887"/>
      <c r="B532" s="1887"/>
      <c r="C532" s="1887"/>
      <c r="D532" s="1887"/>
      <c r="E532" s="1887"/>
      <c r="F532" s="1887"/>
      <c r="G532" s="1887"/>
      <c r="H532" s="1887"/>
      <c r="I532" s="1887"/>
      <c r="J532" s="1887"/>
      <c r="K532" s="1887"/>
      <c r="L532" s="1887"/>
      <c r="M532" s="1887"/>
      <c r="N532" s="1887"/>
      <c r="O532" s="1887"/>
      <c r="P532" s="1887"/>
      <c r="Q532" s="1887"/>
      <c r="R532" s="1887"/>
      <c r="S532" s="1887"/>
      <c r="T532" s="1887"/>
      <c r="U532" s="1887"/>
      <c r="V532" s="1887"/>
      <c r="W532" s="1887"/>
      <c r="X532" s="1887"/>
      <c r="Y532" s="1887"/>
      <c r="Z532" s="1887"/>
      <c r="AA532" s="1887"/>
      <c r="AB532" s="1887"/>
      <c r="AC532" s="1887"/>
    </row>
    <row r="533">
      <c r="A533" s="1887"/>
      <c r="B533" s="1887"/>
      <c r="C533" s="1887"/>
      <c r="D533" s="1887"/>
      <c r="E533" s="1887"/>
      <c r="F533" s="1887"/>
      <c r="G533" s="1887"/>
      <c r="H533" s="1887"/>
      <c r="I533" s="1887"/>
      <c r="J533" s="1887"/>
      <c r="K533" s="1887"/>
      <c r="L533" s="1887"/>
      <c r="M533" s="1887"/>
      <c r="N533" s="1887"/>
      <c r="O533" s="1887"/>
      <c r="P533" s="1887"/>
      <c r="Q533" s="1887"/>
      <c r="R533" s="1887"/>
      <c r="S533" s="1887"/>
      <c r="T533" s="1887"/>
      <c r="U533" s="1887"/>
      <c r="V533" s="1887"/>
      <c r="W533" s="1887"/>
      <c r="X533" s="1887"/>
      <c r="Y533" s="1887"/>
      <c r="Z533" s="1887"/>
      <c r="AA533" s="1887"/>
      <c r="AB533" s="1887"/>
      <c r="AC533" s="1887"/>
    </row>
    <row r="534">
      <c r="A534" s="1887"/>
      <c r="B534" s="1887"/>
      <c r="C534" s="1887"/>
      <c r="D534" s="1887"/>
      <c r="E534" s="1887"/>
      <c r="F534" s="1887"/>
      <c r="G534" s="1887"/>
      <c r="H534" s="1887"/>
      <c r="I534" s="1887"/>
      <c r="J534" s="1887"/>
      <c r="K534" s="1887"/>
      <c r="L534" s="1887"/>
      <c r="M534" s="1887"/>
      <c r="N534" s="1887"/>
      <c r="O534" s="1887"/>
      <c r="P534" s="1887"/>
      <c r="Q534" s="1887"/>
      <c r="R534" s="1887"/>
      <c r="S534" s="1887"/>
      <c r="T534" s="1887"/>
      <c r="U534" s="1887"/>
      <c r="V534" s="1887"/>
      <c r="W534" s="1887"/>
      <c r="X534" s="1887"/>
      <c r="Y534" s="1887"/>
      <c r="Z534" s="1887"/>
      <c r="AA534" s="1887"/>
      <c r="AB534" s="1887"/>
      <c r="AC534" s="1887"/>
    </row>
    <row r="535">
      <c r="A535" s="1887"/>
      <c r="B535" s="1887"/>
      <c r="C535" s="1887"/>
      <c r="D535" s="1887"/>
      <c r="E535" s="1887"/>
      <c r="F535" s="1887"/>
      <c r="G535" s="1887"/>
      <c r="H535" s="1887"/>
      <c r="I535" s="1887"/>
      <c r="J535" s="1887"/>
      <c r="K535" s="1887"/>
      <c r="L535" s="1887"/>
      <c r="M535" s="1887"/>
      <c r="N535" s="1887"/>
      <c r="O535" s="1887"/>
      <c r="P535" s="1887"/>
      <c r="Q535" s="1887"/>
      <c r="R535" s="1887"/>
      <c r="S535" s="1887"/>
      <c r="T535" s="1887"/>
      <c r="U535" s="1887"/>
      <c r="V535" s="1887"/>
      <c r="W535" s="1887"/>
      <c r="X535" s="1887"/>
      <c r="Y535" s="1887"/>
      <c r="Z535" s="1887"/>
      <c r="AA535" s="1887"/>
      <c r="AB535" s="1887"/>
      <c r="AC535" s="1887"/>
    </row>
    <row r="536">
      <c r="A536" s="1887"/>
      <c r="B536" s="1887"/>
      <c r="C536" s="1887"/>
      <c r="D536" s="1887"/>
      <c r="E536" s="1887"/>
      <c r="F536" s="1887"/>
      <c r="G536" s="1887"/>
      <c r="H536" s="1887"/>
      <c r="I536" s="1887"/>
      <c r="J536" s="1887"/>
      <c r="K536" s="1887"/>
      <c r="L536" s="1887"/>
      <c r="M536" s="1887"/>
      <c r="N536" s="1887"/>
      <c r="O536" s="1887"/>
      <c r="P536" s="1887"/>
      <c r="Q536" s="1887"/>
      <c r="R536" s="1887"/>
      <c r="S536" s="1887"/>
      <c r="T536" s="1887"/>
      <c r="U536" s="1887"/>
      <c r="V536" s="1887"/>
      <c r="W536" s="1887"/>
      <c r="X536" s="1887"/>
      <c r="Y536" s="1887"/>
      <c r="Z536" s="1887"/>
      <c r="AA536" s="1887"/>
      <c r="AB536" s="1887"/>
      <c r="AC536" s="1887"/>
    </row>
    <row r="537">
      <c r="A537" s="1887"/>
      <c r="B537" s="1887"/>
      <c r="C537" s="1887"/>
      <c r="D537" s="1887"/>
      <c r="E537" s="1887"/>
      <c r="F537" s="1887"/>
      <c r="G537" s="1887"/>
      <c r="H537" s="1887"/>
      <c r="I537" s="1887"/>
      <c r="J537" s="1887"/>
      <c r="K537" s="1887"/>
      <c r="L537" s="1887"/>
      <c r="M537" s="1887"/>
      <c r="N537" s="1887"/>
      <c r="O537" s="1887"/>
      <c r="P537" s="1887"/>
      <c r="Q537" s="1887"/>
      <c r="R537" s="1887"/>
      <c r="S537" s="1887"/>
      <c r="T537" s="1887"/>
      <c r="U537" s="1887"/>
      <c r="V537" s="1887"/>
      <c r="W537" s="1887"/>
      <c r="X537" s="1887"/>
      <c r="Y537" s="1887"/>
      <c r="Z537" s="1887"/>
      <c r="AA537" s="1887"/>
      <c r="AB537" s="1887"/>
      <c r="AC537" s="1887"/>
    </row>
    <row r="538">
      <c r="A538" s="1887"/>
      <c r="B538" s="1887"/>
      <c r="C538" s="1887"/>
      <c r="D538" s="1887"/>
      <c r="E538" s="1887"/>
      <c r="F538" s="1887"/>
      <c r="G538" s="1887"/>
      <c r="H538" s="1887"/>
      <c r="I538" s="1887"/>
      <c r="J538" s="1887"/>
      <c r="K538" s="1887"/>
      <c r="L538" s="1887"/>
      <c r="M538" s="1887"/>
      <c r="N538" s="1887"/>
      <c r="O538" s="1887"/>
      <c r="P538" s="1887"/>
      <c r="Q538" s="1887"/>
      <c r="R538" s="1887"/>
      <c r="S538" s="1887"/>
      <c r="T538" s="1887"/>
      <c r="U538" s="1887"/>
      <c r="V538" s="1887"/>
      <c r="W538" s="1887"/>
      <c r="X538" s="1887"/>
      <c r="Y538" s="1887"/>
      <c r="Z538" s="1887"/>
      <c r="AA538" s="1887"/>
      <c r="AB538" s="1887"/>
      <c r="AC538" s="1887"/>
    </row>
    <row r="539">
      <c r="A539" s="1887"/>
      <c r="B539" s="1887"/>
      <c r="C539" s="1887"/>
      <c r="D539" s="1887"/>
      <c r="E539" s="1887"/>
      <c r="F539" s="1887"/>
      <c r="G539" s="1887"/>
      <c r="H539" s="1887"/>
      <c r="I539" s="1887"/>
      <c r="J539" s="1887"/>
      <c r="K539" s="1887"/>
      <c r="L539" s="1887"/>
      <c r="M539" s="1887"/>
      <c r="N539" s="1887"/>
      <c r="O539" s="1887"/>
      <c r="P539" s="1887"/>
      <c r="Q539" s="1887"/>
      <c r="R539" s="1887"/>
      <c r="S539" s="1887"/>
      <c r="T539" s="1887"/>
      <c r="U539" s="1887"/>
      <c r="V539" s="1887"/>
      <c r="W539" s="1887"/>
      <c r="X539" s="1887"/>
      <c r="Y539" s="1887"/>
      <c r="Z539" s="1887"/>
      <c r="AA539" s="1887"/>
      <c r="AB539" s="1887"/>
      <c r="AC539" s="1887"/>
    </row>
    <row r="540">
      <c r="A540" s="1887"/>
      <c r="B540" s="1887"/>
      <c r="C540" s="1887"/>
      <c r="D540" s="1887"/>
      <c r="E540" s="1887"/>
      <c r="F540" s="1887"/>
      <c r="G540" s="1887"/>
      <c r="H540" s="1887"/>
      <c r="I540" s="1887"/>
      <c r="J540" s="1887"/>
      <c r="K540" s="1887"/>
      <c r="L540" s="1887"/>
      <c r="M540" s="1887"/>
      <c r="N540" s="1887"/>
      <c r="O540" s="1887"/>
      <c r="P540" s="1887"/>
      <c r="Q540" s="1887"/>
      <c r="R540" s="1887"/>
      <c r="S540" s="1887"/>
      <c r="T540" s="1887"/>
      <c r="U540" s="1887"/>
      <c r="V540" s="1887"/>
      <c r="W540" s="1887"/>
      <c r="X540" s="1887"/>
      <c r="Y540" s="1887"/>
      <c r="Z540" s="1887"/>
      <c r="AA540" s="1887"/>
      <c r="AB540" s="1887"/>
      <c r="AC540" s="1887"/>
    </row>
    <row r="541">
      <c r="A541" s="1887"/>
      <c r="B541" s="1887"/>
      <c r="C541" s="1887"/>
      <c r="D541" s="1887"/>
      <c r="E541" s="1887"/>
      <c r="F541" s="1887"/>
      <c r="G541" s="1887"/>
      <c r="H541" s="1887"/>
      <c r="I541" s="1887"/>
      <c r="J541" s="1887"/>
      <c r="K541" s="1887"/>
      <c r="L541" s="1887"/>
      <c r="M541" s="1887"/>
      <c r="N541" s="1887"/>
      <c r="O541" s="1887"/>
      <c r="P541" s="1887"/>
      <c r="Q541" s="1887"/>
      <c r="R541" s="1887"/>
      <c r="S541" s="1887"/>
      <c r="T541" s="1887"/>
      <c r="U541" s="1887"/>
      <c r="V541" s="1887"/>
      <c r="W541" s="1887"/>
      <c r="X541" s="1887"/>
      <c r="Y541" s="1887"/>
      <c r="Z541" s="1887"/>
      <c r="AA541" s="1887"/>
      <c r="AB541" s="1887"/>
      <c r="AC541" s="1887"/>
    </row>
    <row r="542">
      <c r="A542" s="1887"/>
      <c r="B542" s="1887"/>
      <c r="C542" s="1887"/>
      <c r="D542" s="1887"/>
      <c r="E542" s="1887"/>
      <c r="F542" s="1887"/>
      <c r="G542" s="1887"/>
      <c r="H542" s="1887"/>
      <c r="I542" s="1887"/>
      <c r="J542" s="1887"/>
      <c r="K542" s="1887"/>
      <c r="L542" s="1887"/>
      <c r="M542" s="1887"/>
      <c r="N542" s="1887"/>
      <c r="O542" s="1887"/>
      <c r="P542" s="1887"/>
      <c r="Q542" s="1887"/>
      <c r="R542" s="1887"/>
      <c r="S542" s="1887"/>
      <c r="T542" s="1887"/>
      <c r="U542" s="1887"/>
      <c r="V542" s="1887"/>
      <c r="W542" s="1887"/>
      <c r="X542" s="1887"/>
      <c r="Y542" s="1887"/>
      <c r="Z542" s="1887"/>
      <c r="AA542" s="1887"/>
      <c r="AB542" s="1887"/>
      <c r="AC542" s="1887"/>
    </row>
    <row r="543">
      <c r="A543" s="1887"/>
      <c r="B543" s="1887"/>
      <c r="C543" s="1887"/>
      <c r="D543" s="1887"/>
      <c r="E543" s="1887"/>
      <c r="F543" s="1887"/>
      <c r="G543" s="1887"/>
      <c r="H543" s="1887"/>
      <c r="I543" s="1887"/>
      <c r="J543" s="1887"/>
      <c r="K543" s="1887"/>
      <c r="L543" s="1887"/>
      <c r="M543" s="1887"/>
      <c r="N543" s="1887"/>
      <c r="O543" s="1887"/>
      <c r="P543" s="1887"/>
      <c r="Q543" s="1887"/>
      <c r="R543" s="1887"/>
      <c r="S543" s="1887"/>
      <c r="T543" s="1887"/>
      <c r="U543" s="1887"/>
      <c r="V543" s="1887"/>
      <c r="W543" s="1887"/>
      <c r="X543" s="1887"/>
      <c r="Y543" s="1887"/>
      <c r="Z543" s="1887"/>
      <c r="AA543" s="1887"/>
      <c r="AB543" s="1887"/>
      <c r="AC543" s="1887"/>
    </row>
    <row r="544">
      <c r="A544" s="1887"/>
      <c r="B544" s="1887"/>
      <c r="C544" s="1887"/>
      <c r="D544" s="1887"/>
      <c r="E544" s="1887"/>
      <c r="F544" s="1887"/>
      <c r="G544" s="1887"/>
      <c r="H544" s="1887"/>
      <c r="I544" s="1887"/>
      <c r="J544" s="1887"/>
      <c r="K544" s="1887"/>
      <c r="L544" s="1887"/>
      <c r="M544" s="1887"/>
      <c r="N544" s="1887"/>
      <c r="O544" s="1887"/>
      <c r="P544" s="1887"/>
      <c r="Q544" s="1887"/>
      <c r="R544" s="1887"/>
      <c r="S544" s="1887"/>
      <c r="T544" s="1887"/>
      <c r="U544" s="1887"/>
      <c r="V544" s="1887"/>
      <c r="W544" s="1887"/>
      <c r="X544" s="1887"/>
      <c r="Y544" s="1887"/>
      <c r="Z544" s="1887"/>
      <c r="AA544" s="1887"/>
      <c r="AB544" s="1887"/>
      <c r="AC544" s="1887"/>
    </row>
    <row r="545">
      <c r="A545" s="1887"/>
      <c r="B545" s="1887"/>
      <c r="C545" s="1887"/>
      <c r="D545" s="1887"/>
      <c r="E545" s="1887"/>
      <c r="F545" s="1887"/>
      <c r="G545" s="1887"/>
      <c r="H545" s="1887"/>
      <c r="I545" s="1887"/>
      <c r="J545" s="1887"/>
      <c r="K545" s="1887"/>
      <c r="L545" s="1887"/>
      <c r="M545" s="1887"/>
      <c r="N545" s="1887"/>
      <c r="O545" s="1887"/>
      <c r="P545" s="1887"/>
      <c r="Q545" s="1887"/>
      <c r="R545" s="1887"/>
      <c r="S545" s="1887"/>
      <c r="T545" s="1887"/>
      <c r="U545" s="1887"/>
      <c r="V545" s="1887"/>
      <c r="W545" s="1887"/>
      <c r="X545" s="1887"/>
      <c r="Y545" s="1887"/>
      <c r="Z545" s="1887"/>
      <c r="AA545" s="1887"/>
      <c r="AB545" s="1887"/>
      <c r="AC545" s="1887"/>
    </row>
    <row r="546">
      <c r="A546" s="1887"/>
      <c r="B546" s="1887"/>
      <c r="C546" s="1887"/>
      <c r="D546" s="1887"/>
      <c r="E546" s="1887"/>
      <c r="F546" s="1887"/>
      <c r="G546" s="1887"/>
      <c r="H546" s="1887"/>
      <c r="I546" s="1887"/>
      <c r="J546" s="1887"/>
      <c r="K546" s="1887"/>
      <c r="L546" s="1887"/>
      <c r="M546" s="1887"/>
      <c r="N546" s="1887"/>
      <c r="O546" s="1887"/>
      <c r="P546" s="1887"/>
      <c r="Q546" s="1887"/>
      <c r="R546" s="1887"/>
      <c r="S546" s="1887"/>
      <c r="T546" s="1887"/>
      <c r="U546" s="1887"/>
      <c r="V546" s="1887"/>
      <c r="W546" s="1887"/>
      <c r="X546" s="1887"/>
      <c r="Y546" s="1887"/>
      <c r="Z546" s="1887"/>
      <c r="AA546" s="1887"/>
      <c r="AB546" s="1887"/>
      <c r="AC546" s="1887"/>
    </row>
    <row r="547">
      <c r="A547" s="1887"/>
      <c r="B547" s="1887"/>
      <c r="C547" s="1887"/>
      <c r="D547" s="1887"/>
      <c r="E547" s="1887"/>
      <c r="F547" s="1887"/>
      <c r="G547" s="1887"/>
      <c r="H547" s="1887"/>
      <c r="I547" s="1887"/>
      <c r="J547" s="1887"/>
      <c r="K547" s="1887"/>
      <c r="L547" s="1887"/>
      <c r="M547" s="1887"/>
      <c r="N547" s="1887"/>
      <c r="O547" s="1887"/>
      <c r="P547" s="1887"/>
      <c r="Q547" s="1887"/>
      <c r="R547" s="1887"/>
      <c r="S547" s="1887"/>
      <c r="T547" s="1887"/>
      <c r="U547" s="1887"/>
      <c r="V547" s="1887"/>
      <c r="W547" s="1887"/>
      <c r="X547" s="1887"/>
      <c r="Y547" s="1887"/>
      <c r="Z547" s="1887"/>
      <c r="AA547" s="1887"/>
      <c r="AB547" s="1887"/>
      <c r="AC547" s="1887"/>
    </row>
    <row r="548">
      <c r="A548" s="1887"/>
      <c r="B548" s="1887"/>
      <c r="C548" s="1887"/>
      <c r="D548" s="1887"/>
      <c r="E548" s="1887"/>
      <c r="F548" s="1887"/>
      <c r="G548" s="1887"/>
      <c r="H548" s="1887"/>
      <c r="I548" s="1887"/>
      <c r="J548" s="1887"/>
      <c r="K548" s="1887"/>
      <c r="L548" s="1887"/>
      <c r="M548" s="1887"/>
      <c r="N548" s="1887"/>
      <c r="O548" s="1887"/>
      <c r="P548" s="1887"/>
      <c r="Q548" s="1887"/>
      <c r="R548" s="1887"/>
      <c r="S548" s="1887"/>
      <c r="T548" s="1887"/>
      <c r="U548" s="1887"/>
      <c r="V548" s="1887"/>
      <c r="W548" s="1887"/>
      <c r="X548" s="1887"/>
      <c r="Y548" s="1887"/>
      <c r="Z548" s="1887"/>
      <c r="AA548" s="1887"/>
      <c r="AB548" s="1887"/>
      <c r="AC548" s="1887"/>
    </row>
    <row r="549">
      <c r="A549" s="1887"/>
      <c r="B549" s="1887"/>
      <c r="C549" s="1887"/>
      <c r="D549" s="1887"/>
      <c r="E549" s="1887"/>
      <c r="F549" s="1887"/>
      <c r="G549" s="1887"/>
      <c r="H549" s="1887"/>
      <c r="I549" s="1887"/>
      <c r="J549" s="1887"/>
      <c r="K549" s="1887"/>
      <c r="L549" s="1887"/>
      <c r="M549" s="1887"/>
      <c r="N549" s="1887"/>
      <c r="O549" s="1887"/>
      <c r="P549" s="1887"/>
      <c r="Q549" s="1887"/>
      <c r="R549" s="1887"/>
      <c r="S549" s="1887"/>
      <c r="T549" s="1887"/>
      <c r="U549" s="1887"/>
      <c r="V549" s="1887"/>
      <c r="W549" s="1887"/>
      <c r="X549" s="1887"/>
      <c r="Y549" s="1887"/>
      <c r="Z549" s="1887"/>
      <c r="AA549" s="1887"/>
      <c r="AB549" s="1887"/>
      <c r="AC549" s="1887"/>
    </row>
    <row r="550">
      <c r="A550" s="1887"/>
      <c r="B550" s="1887"/>
      <c r="C550" s="1887"/>
      <c r="D550" s="1887"/>
      <c r="E550" s="1887"/>
      <c r="F550" s="1887"/>
      <c r="G550" s="1887"/>
      <c r="H550" s="1887"/>
      <c r="I550" s="1887"/>
      <c r="J550" s="1887"/>
      <c r="K550" s="1887"/>
      <c r="L550" s="1887"/>
      <c r="M550" s="1887"/>
      <c r="N550" s="1887"/>
      <c r="O550" s="1887"/>
      <c r="P550" s="1887"/>
      <c r="Q550" s="1887"/>
      <c r="R550" s="1887"/>
      <c r="S550" s="1887"/>
      <c r="T550" s="1887"/>
      <c r="U550" s="1887"/>
      <c r="V550" s="1887"/>
      <c r="W550" s="1887"/>
      <c r="X550" s="1887"/>
      <c r="Y550" s="1887"/>
      <c r="Z550" s="1887"/>
      <c r="AA550" s="1887"/>
      <c r="AB550" s="1887"/>
      <c r="AC550" s="1887"/>
    </row>
    <row r="551">
      <c r="A551" s="1887"/>
      <c r="B551" s="1887"/>
      <c r="C551" s="1887"/>
      <c r="D551" s="1887"/>
      <c r="E551" s="1887"/>
      <c r="F551" s="1887"/>
      <c r="G551" s="1887"/>
      <c r="H551" s="1887"/>
      <c r="I551" s="1887"/>
      <c r="J551" s="1887"/>
      <c r="K551" s="1887"/>
      <c r="L551" s="1887"/>
      <c r="M551" s="1887"/>
      <c r="N551" s="1887"/>
      <c r="O551" s="1887"/>
      <c r="P551" s="1887"/>
      <c r="Q551" s="1887"/>
      <c r="R551" s="1887"/>
      <c r="S551" s="1887"/>
      <c r="T551" s="1887"/>
      <c r="U551" s="1887"/>
      <c r="V551" s="1887"/>
      <c r="W551" s="1887"/>
      <c r="X551" s="1887"/>
      <c r="Y551" s="1887"/>
      <c r="Z551" s="1887"/>
      <c r="AA551" s="1887"/>
      <c r="AB551" s="1887"/>
      <c r="AC551" s="1887"/>
    </row>
    <row r="552">
      <c r="A552" s="1887"/>
      <c r="B552" s="1887"/>
      <c r="C552" s="1887"/>
      <c r="D552" s="1887"/>
      <c r="E552" s="1887"/>
      <c r="F552" s="1887"/>
      <c r="G552" s="1887"/>
      <c r="H552" s="1887"/>
      <c r="I552" s="1887"/>
      <c r="J552" s="1887"/>
      <c r="K552" s="1887"/>
      <c r="L552" s="1887"/>
      <c r="M552" s="1887"/>
      <c r="N552" s="1887"/>
      <c r="O552" s="1887"/>
      <c r="P552" s="1887"/>
      <c r="Q552" s="1887"/>
      <c r="R552" s="1887"/>
      <c r="S552" s="1887"/>
      <c r="T552" s="1887"/>
      <c r="U552" s="1887"/>
      <c r="V552" s="1887"/>
      <c r="W552" s="1887"/>
      <c r="X552" s="1887"/>
      <c r="Y552" s="1887"/>
      <c r="Z552" s="1887"/>
      <c r="AA552" s="1887"/>
      <c r="AB552" s="1887"/>
      <c r="AC552" s="1887"/>
    </row>
    <row r="553">
      <c r="A553" s="1887"/>
      <c r="B553" s="1887"/>
      <c r="C553" s="1887"/>
      <c r="D553" s="1887"/>
      <c r="E553" s="1887"/>
      <c r="F553" s="1887"/>
      <c r="G553" s="1887"/>
      <c r="H553" s="1887"/>
      <c r="I553" s="1887"/>
      <c r="J553" s="1887"/>
      <c r="K553" s="1887"/>
      <c r="L553" s="1887"/>
      <c r="M553" s="1887"/>
      <c r="N553" s="1887"/>
      <c r="O553" s="1887"/>
      <c r="P553" s="1887"/>
      <c r="Q553" s="1887"/>
      <c r="R553" s="1887"/>
      <c r="S553" s="1887"/>
      <c r="T553" s="1887"/>
      <c r="U553" s="1887"/>
      <c r="V553" s="1887"/>
      <c r="W553" s="1887"/>
      <c r="X553" s="1887"/>
      <c r="Y553" s="1887"/>
      <c r="Z553" s="1887"/>
      <c r="AA553" s="1887"/>
      <c r="AB553" s="1887"/>
      <c r="AC553" s="1887"/>
    </row>
    <row r="554">
      <c r="A554" s="1887"/>
      <c r="B554" s="1887"/>
      <c r="C554" s="1887"/>
      <c r="D554" s="1887"/>
      <c r="E554" s="1887"/>
      <c r="F554" s="1887"/>
      <c r="G554" s="1887"/>
      <c r="H554" s="1887"/>
      <c r="I554" s="1887"/>
      <c r="J554" s="1887"/>
      <c r="K554" s="1887"/>
      <c r="L554" s="1887"/>
      <c r="M554" s="1887"/>
      <c r="N554" s="1887"/>
      <c r="O554" s="1887"/>
      <c r="P554" s="1887"/>
      <c r="Q554" s="1887"/>
      <c r="R554" s="1887"/>
      <c r="S554" s="1887"/>
      <c r="T554" s="1887"/>
      <c r="U554" s="1887"/>
      <c r="V554" s="1887"/>
      <c r="W554" s="1887"/>
      <c r="X554" s="1887"/>
      <c r="Y554" s="1887"/>
      <c r="Z554" s="1887"/>
      <c r="AA554" s="1887"/>
      <c r="AB554" s="1887"/>
      <c r="AC554" s="1887"/>
    </row>
    <row r="555">
      <c r="A555" s="1887"/>
      <c r="B555" s="1887"/>
      <c r="C555" s="1887"/>
      <c r="D555" s="1887"/>
      <c r="E555" s="1887"/>
      <c r="F555" s="1887"/>
      <c r="G555" s="1887"/>
      <c r="H555" s="1887"/>
      <c r="I555" s="1887"/>
      <c r="J555" s="1887"/>
      <c r="K555" s="1887"/>
      <c r="L555" s="1887"/>
      <c r="M555" s="1887"/>
      <c r="N555" s="1887"/>
      <c r="O555" s="1887"/>
      <c r="P555" s="1887"/>
      <c r="Q555" s="1887"/>
      <c r="R555" s="1887"/>
      <c r="S555" s="1887"/>
      <c r="T555" s="1887"/>
      <c r="U555" s="1887"/>
      <c r="V555" s="1887"/>
      <c r="W555" s="1887"/>
      <c r="X555" s="1887"/>
      <c r="Y555" s="1887"/>
      <c r="Z555" s="1887"/>
      <c r="AA555" s="1887"/>
      <c r="AB555" s="1887"/>
      <c r="AC555" s="1887"/>
    </row>
    <row r="556">
      <c r="A556" s="1887"/>
      <c r="B556" s="1887"/>
      <c r="C556" s="1887"/>
      <c r="D556" s="1887"/>
      <c r="E556" s="1887"/>
      <c r="F556" s="1887"/>
      <c r="G556" s="1887"/>
      <c r="H556" s="1887"/>
      <c r="I556" s="1887"/>
      <c r="J556" s="1887"/>
      <c r="K556" s="1887"/>
      <c r="L556" s="1887"/>
      <c r="M556" s="1887"/>
      <c r="N556" s="1887"/>
      <c r="O556" s="1887"/>
      <c r="P556" s="1887"/>
      <c r="Q556" s="1887"/>
      <c r="R556" s="1887"/>
      <c r="S556" s="1887"/>
      <c r="T556" s="1887"/>
      <c r="U556" s="1887"/>
      <c r="V556" s="1887"/>
      <c r="W556" s="1887"/>
      <c r="X556" s="1887"/>
      <c r="Y556" s="1887"/>
      <c r="Z556" s="1887"/>
      <c r="AA556" s="1887"/>
      <c r="AB556" s="1887"/>
      <c r="AC556" s="1887"/>
    </row>
    <row r="557">
      <c r="A557" s="1887"/>
      <c r="B557" s="1887"/>
      <c r="C557" s="1887"/>
      <c r="D557" s="1887"/>
      <c r="E557" s="1887"/>
      <c r="F557" s="1887"/>
      <c r="G557" s="1887"/>
      <c r="H557" s="1887"/>
      <c r="I557" s="1887"/>
      <c r="J557" s="1887"/>
      <c r="K557" s="1887"/>
      <c r="L557" s="1887"/>
      <c r="M557" s="1887"/>
      <c r="N557" s="1887"/>
      <c r="O557" s="1887"/>
      <c r="P557" s="1887"/>
      <c r="Q557" s="1887"/>
      <c r="R557" s="1887"/>
      <c r="S557" s="1887"/>
      <c r="T557" s="1887"/>
      <c r="U557" s="1887"/>
      <c r="V557" s="1887"/>
      <c r="W557" s="1887"/>
      <c r="X557" s="1887"/>
      <c r="Y557" s="1887"/>
      <c r="Z557" s="1887"/>
      <c r="AA557" s="1887"/>
      <c r="AB557" s="1887"/>
      <c r="AC557" s="1887"/>
    </row>
    <row r="558">
      <c r="A558" s="1887"/>
      <c r="B558" s="1887"/>
      <c r="C558" s="1887"/>
      <c r="D558" s="1887"/>
      <c r="E558" s="1887"/>
      <c r="F558" s="1887"/>
      <c r="G558" s="1887"/>
      <c r="H558" s="1887"/>
      <c r="I558" s="1887"/>
      <c r="J558" s="1887"/>
      <c r="K558" s="1887"/>
      <c r="L558" s="1887"/>
      <c r="M558" s="1887"/>
      <c r="N558" s="1887"/>
      <c r="O558" s="1887"/>
      <c r="P558" s="1887"/>
      <c r="Q558" s="1887"/>
      <c r="R558" s="1887"/>
      <c r="S558" s="1887"/>
      <c r="T558" s="1887"/>
      <c r="U558" s="1887"/>
      <c r="V558" s="1887"/>
      <c r="W558" s="1887"/>
      <c r="X558" s="1887"/>
      <c r="Y558" s="1887"/>
      <c r="Z558" s="1887"/>
      <c r="AA558" s="1887"/>
      <c r="AB558" s="1887"/>
      <c r="AC558" s="1887"/>
    </row>
    <row r="559">
      <c r="A559" s="1887"/>
      <c r="B559" s="1887"/>
      <c r="C559" s="1887"/>
      <c r="D559" s="1887"/>
      <c r="E559" s="1887"/>
      <c r="F559" s="1887"/>
      <c r="G559" s="1887"/>
      <c r="H559" s="1887"/>
      <c r="I559" s="1887"/>
      <c r="J559" s="1887"/>
      <c r="K559" s="1887"/>
      <c r="L559" s="1887"/>
      <c r="M559" s="1887"/>
      <c r="N559" s="1887"/>
      <c r="O559" s="1887"/>
      <c r="P559" s="1887"/>
      <c r="Q559" s="1887"/>
      <c r="R559" s="1887"/>
      <c r="S559" s="1887"/>
      <c r="T559" s="1887"/>
      <c r="U559" s="1887"/>
      <c r="V559" s="1887"/>
      <c r="W559" s="1887"/>
      <c r="X559" s="1887"/>
      <c r="Y559" s="1887"/>
      <c r="Z559" s="1887"/>
      <c r="AA559" s="1887"/>
      <c r="AB559" s="1887"/>
      <c r="AC559" s="1887"/>
    </row>
    <row r="560">
      <c r="A560" s="1887"/>
      <c r="B560" s="1887"/>
      <c r="C560" s="1887"/>
      <c r="D560" s="1887"/>
      <c r="E560" s="1887"/>
      <c r="F560" s="1887"/>
      <c r="G560" s="1887"/>
      <c r="H560" s="1887"/>
      <c r="I560" s="1887"/>
      <c r="J560" s="1887"/>
      <c r="K560" s="1887"/>
      <c r="L560" s="1887"/>
      <c r="M560" s="1887"/>
      <c r="N560" s="1887"/>
      <c r="O560" s="1887"/>
      <c r="P560" s="1887"/>
      <c r="Q560" s="1887"/>
      <c r="R560" s="1887"/>
      <c r="S560" s="1887"/>
      <c r="T560" s="1887"/>
      <c r="U560" s="1887"/>
      <c r="V560" s="1887"/>
      <c r="W560" s="1887"/>
      <c r="X560" s="1887"/>
      <c r="Y560" s="1887"/>
      <c r="Z560" s="1887"/>
      <c r="AA560" s="1887"/>
      <c r="AB560" s="1887"/>
      <c r="AC560" s="1887"/>
    </row>
    <row r="561">
      <c r="A561" s="1887"/>
      <c r="B561" s="1887"/>
      <c r="C561" s="1887"/>
      <c r="D561" s="1887"/>
      <c r="E561" s="1887"/>
      <c r="F561" s="1887"/>
      <c r="G561" s="1887"/>
      <c r="H561" s="1887"/>
      <c r="I561" s="1887"/>
      <c r="J561" s="1887"/>
      <c r="K561" s="1887"/>
      <c r="L561" s="1887"/>
      <c r="M561" s="1887"/>
      <c r="N561" s="1887"/>
      <c r="O561" s="1887"/>
      <c r="P561" s="1887"/>
      <c r="Q561" s="1887"/>
      <c r="R561" s="1887"/>
      <c r="S561" s="1887"/>
      <c r="T561" s="1887"/>
      <c r="U561" s="1887"/>
      <c r="V561" s="1887"/>
      <c r="W561" s="1887"/>
      <c r="X561" s="1887"/>
      <c r="Y561" s="1887"/>
      <c r="Z561" s="1887"/>
      <c r="AA561" s="1887"/>
      <c r="AB561" s="1887"/>
      <c r="AC561" s="1887"/>
    </row>
    <row r="562">
      <c r="A562" s="1887"/>
      <c r="B562" s="1887"/>
      <c r="C562" s="1887"/>
      <c r="D562" s="1887"/>
      <c r="E562" s="1887"/>
      <c r="F562" s="1887"/>
      <c r="G562" s="1887"/>
      <c r="H562" s="1887"/>
      <c r="I562" s="1887"/>
      <c r="J562" s="1887"/>
      <c r="K562" s="1887"/>
      <c r="L562" s="1887"/>
      <c r="M562" s="1887"/>
      <c r="N562" s="1887"/>
      <c r="O562" s="1887"/>
      <c r="P562" s="1887"/>
      <c r="Q562" s="1887"/>
      <c r="R562" s="1887"/>
      <c r="S562" s="1887"/>
      <c r="T562" s="1887"/>
      <c r="U562" s="1887"/>
      <c r="V562" s="1887"/>
      <c r="W562" s="1887"/>
      <c r="X562" s="1887"/>
      <c r="Y562" s="1887"/>
      <c r="Z562" s="1887"/>
      <c r="AA562" s="1887"/>
      <c r="AB562" s="1887"/>
      <c r="AC562" s="1887"/>
    </row>
    <row r="563">
      <c r="A563" s="1887"/>
      <c r="B563" s="1887"/>
      <c r="C563" s="1887"/>
      <c r="D563" s="1887"/>
      <c r="E563" s="1887"/>
      <c r="F563" s="1887"/>
      <c r="G563" s="1887"/>
      <c r="H563" s="1887"/>
      <c r="I563" s="1887"/>
      <c r="J563" s="1887"/>
      <c r="K563" s="1887"/>
      <c r="L563" s="1887"/>
      <c r="M563" s="1887"/>
      <c r="N563" s="1887"/>
      <c r="O563" s="1887"/>
      <c r="P563" s="1887"/>
      <c r="Q563" s="1887"/>
      <c r="R563" s="1887"/>
      <c r="S563" s="1887"/>
      <c r="T563" s="1887"/>
      <c r="U563" s="1887"/>
      <c r="V563" s="1887"/>
      <c r="W563" s="1887"/>
      <c r="X563" s="1887"/>
      <c r="Y563" s="1887"/>
      <c r="Z563" s="1887"/>
      <c r="AA563" s="1887"/>
      <c r="AB563" s="1887"/>
      <c r="AC563" s="1887"/>
    </row>
    <row r="564">
      <c r="A564" s="1887"/>
      <c r="B564" s="1887"/>
      <c r="C564" s="1887"/>
      <c r="D564" s="1887"/>
      <c r="E564" s="1887"/>
      <c r="F564" s="1887"/>
      <c r="G564" s="1887"/>
      <c r="H564" s="1887"/>
      <c r="I564" s="1887"/>
      <c r="J564" s="1887"/>
      <c r="K564" s="1887"/>
      <c r="L564" s="1887"/>
      <c r="M564" s="1887"/>
      <c r="N564" s="1887"/>
      <c r="O564" s="1887"/>
      <c r="P564" s="1887"/>
      <c r="Q564" s="1887"/>
      <c r="R564" s="1887"/>
      <c r="S564" s="1887"/>
      <c r="T564" s="1887"/>
      <c r="U564" s="1887"/>
      <c r="V564" s="1887"/>
      <c r="W564" s="1887"/>
      <c r="X564" s="1887"/>
      <c r="Y564" s="1887"/>
      <c r="Z564" s="1887"/>
      <c r="AA564" s="1887"/>
      <c r="AB564" s="1887"/>
      <c r="AC564" s="1887"/>
    </row>
    <row r="565">
      <c r="A565" s="1887"/>
      <c r="B565" s="1887"/>
      <c r="C565" s="1887"/>
      <c r="D565" s="1887"/>
      <c r="E565" s="1887"/>
      <c r="F565" s="1887"/>
      <c r="G565" s="1887"/>
      <c r="H565" s="1887"/>
      <c r="I565" s="1887"/>
      <c r="J565" s="1887"/>
      <c r="K565" s="1887"/>
      <c r="L565" s="1887"/>
      <c r="M565" s="1887"/>
      <c r="N565" s="1887"/>
      <c r="O565" s="1887"/>
      <c r="P565" s="1887"/>
      <c r="Q565" s="1887"/>
      <c r="R565" s="1887"/>
      <c r="S565" s="1887"/>
      <c r="T565" s="1887"/>
      <c r="U565" s="1887"/>
      <c r="V565" s="1887"/>
      <c r="W565" s="1887"/>
      <c r="X565" s="1887"/>
      <c r="Y565" s="1887"/>
      <c r="Z565" s="1887"/>
      <c r="AA565" s="1887"/>
      <c r="AB565" s="1887"/>
      <c r="AC565" s="1887"/>
    </row>
    <row r="566">
      <c r="A566" s="1887"/>
      <c r="B566" s="1887"/>
      <c r="C566" s="1887"/>
      <c r="D566" s="1887"/>
      <c r="E566" s="1887"/>
      <c r="F566" s="1887"/>
      <c r="G566" s="1887"/>
      <c r="H566" s="1887"/>
      <c r="I566" s="1887"/>
      <c r="J566" s="1887"/>
      <c r="K566" s="1887"/>
      <c r="L566" s="1887"/>
      <c r="M566" s="1887"/>
      <c r="N566" s="1887"/>
      <c r="O566" s="1887"/>
      <c r="P566" s="1887"/>
      <c r="Q566" s="1887"/>
      <c r="R566" s="1887"/>
      <c r="S566" s="1887"/>
      <c r="T566" s="1887"/>
      <c r="U566" s="1887"/>
      <c r="V566" s="1887"/>
      <c r="W566" s="1887"/>
      <c r="X566" s="1887"/>
      <c r="Y566" s="1887"/>
      <c r="Z566" s="1887"/>
      <c r="AA566" s="1887"/>
      <c r="AB566" s="1887"/>
      <c r="AC566" s="1887"/>
    </row>
    <row r="567">
      <c r="A567" s="1887"/>
      <c r="B567" s="1887"/>
      <c r="C567" s="1887"/>
      <c r="D567" s="1887"/>
      <c r="E567" s="1887"/>
      <c r="F567" s="1887"/>
      <c r="G567" s="1887"/>
      <c r="H567" s="1887"/>
      <c r="I567" s="1887"/>
      <c r="J567" s="1887"/>
      <c r="K567" s="1887"/>
      <c r="L567" s="1887"/>
      <c r="M567" s="1887"/>
      <c r="N567" s="1887"/>
      <c r="O567" s="1887"/>
      <c r="P567" s="1887"/>
      <c r="Q567" s="1887"/>
      <c r="R567" s="1887"/>
      <c r="S567" s="1887"/>
      <c r="T567" s="1887"/>
      <c r="U567" s="1887"/>
      <c r="V567" s="1887"/>
      <c r="W567" s="1887"/>
      <c r="X567" s="1887"/>
      <c r="Y567" s="1887"/>
      <c r="Z567" s="1887"/>
      <c r="AA567" s="1887"/>
      <c r="AB567" s="1887"/>
      <c r="AC567" s="1887"/>
    </row>
    <row r="568">
      <c r="A568" s="1887"/>
      <c r="B568" s="1887"/>
      <c r="C568" s="1887"/>
      <c r="D568" s="1887"/>
      <c r="E568" s="1887"/>
      <c r="F568" s="1887"/>
      <c r="G568" s="1887"/>
      <c r="H568" s="1887"/>
      <c r="I568" s="1887"/>
      <c r="J568" s="1887"/>
      <c r="K568" s="1887"/>
      <c r="L568" s="1887"/>
      <c r="M568" s="1887"/>
      <c r="N568" s="1887"/>
      <c r="O568" s="1887"/>
      <c r="P568" s="1887"/>
      <c r="Q568" s="1887"/>
      <c r="R568" s="1887"/>
      <c r="S568" s="1887"/>
      <c r="T568" s="1887"/>
      <c r="U568" s="1887"/>
      <c r="V568" s="1887"/>
      <c r="W568" s="1887"/>
      <c r="X568" s="1887"/>
      <c r="Y568" s="1887"/>
      <c r="Z568" s="1887"/>
      <c r="AA568" s="1887"/>
      <c r="AB568" s="1887"/>
      <c r="AC568" s="1887"/>
    </row>
    <row r="569">
      <c r="A569" s="1887"/>
      <c r="B569" s="1887"/>
      <c r="C569" s="1887"/>
      <c r="D569" s="1887"/>
      <c r="E569" s="1887"/>
      <c r="F569" s="1887"/>
      <c r="G569" s="1887"/>
      <c r="H569" s="1887"/>
      <c r="I569" s="1887"/>
      <c r="J569" s="1887"/>
      <c r="K569" s="1887"/>
      <c r="L569" s="1887"/>
      <c r="M569" s="1887"/>
      <c r="N569" s="1887"/>
      <c r="O569" s="1887"/>
      <c r="P569" s="1887"/>
      <c r="Q569" s="1887"/>
      <c r="R569" s="1887"/>
      <c r="S569" s="1887"/>
      <c r="T569" s="1887"/>
      <c r="U569" s="1887"/>
      <c r="V569" s="1887"/>
      <c r="W569" s="1887"/>
      <c r="X569" s="1887"/>
      <c r="Y569" s="1887"/>
      <c r="Z569" s="1887"/>
      <c r="AA569" s="1887"/>
      <c r="AB569" s="1887"/>
      <c r="AC569" s="1887"/>
    </row>
    <row r="570">
      <c r="A570" s="1887"/>
      <c r="B570" s="1887"/>
      <c r="C570" s="1887"/>
      <c r="D570" s="1887"/>
      <c r="E570" s="1887"/>
      <c r="F570" s="1887"/>
      <c r="G570" s="1887"/>
      <c r="H570" s="1887"/>
      <c r="I570" s="1887"/>
      <c r="J570" s="1887"/>
      <c r="K570" s="1887"/>
      <c r="L570" s="1887"/>
      <c r="M570" s="1887"/>
      <c r="N570" s="1887"/>
      <c r="O570" s="1887"/>
      <c r="P570" s="1887"/>
      <c r="Q570" s="1887"/>
      <c r="R570" s="1887"/>
      <c r="S570" s="1887"/>
      <c r="T570" s="1887"/>
      <c r="U570" s="1887"/>
      <c r="V570" s="1887"/>
      <c r="W570" s="1887"/>
      <c r="X570" s="1887"/>
      <c r="Y570" s="1887"/>
      <c r="Z570" s="1887"/>
      <c r="AA570" s="1887"/>
      <c r="AB570" s="1887"/>
      <c r="AC570" s="1887"/>
    </row>
    <row r="571">
      <c r="A571" s="1887"/>
      <c r="B571" s="1887"/>
      <c r="C571" s="1887"/>
      <c r="D571" s="1887"/>
      <c r="E571" s="1887"/>
      <c r="F571" s="1887"/>
      <c r="G571" s="1887"/>
      <c r="H571" s="1887"/>
      <c r="I571" s="1887"/>
      <c r="J571" s="1887"/>
      <c r="K571" s="1887"/>
      <c r="L571" s="1887"/>
      <c r="M571" s="1887"/>
      <c r="N571" s="1887"/>
      <c r="O571" s="1887"/>
      <c r="P571" s="1887"/>
      <c r="Q571" s="1887"/>
      <c r="R571" s="1887"/>
      <c r="S571" s="1887"/>
      <c r="T571" s="1887"/>
      <c r="U571" s="1887"/>
      <c r="V571" s="1887"/>
      <c r="W571" s="1887"/>
      <c r="X571" s="1887"/>
      <c r="Y571" s="1887"/>
      <c r="Z571" s="1887"/>
      <c r="AA571" s="1887"/>
      <c r="AB571" s="1887"/>
      <c r="AC571" s="1887"/>
    </row>
    <row r="572">
      <c r="A572" s="1887"/>
      <c r="B572" s="1887"/>
      <c r="C572" s="1887"/>
      <c r="D572" s="1887"/>
      <c r="E572" s="1887"/>
      <c r="F572" s="1887"/>
      <c r="G572" s="1887"/>
      <c r="H572" s="1887"/>
      <c r="I572" s="1887"/>
      <c r="J572" s="1887"/>
      <c r="K572" s="1887"/>
      <c r="L572" s="1887"/>
      <c r="M572" s="1887"/>
      <c r="N572" s="1887"/>
      <c r="O572" s="1887"/>
      <c r="P572" s="1887"/>
      <c r="Q572" s="1887"/>
      <c r="R572" s="1887"/>
      <c r="S572" s="1887"/>
      <c r="T572" s="1887"/>
      <c r="U572" s="1887"/>
      <c r="V572" s="1887"/>
      <c r="W572" s="1887"/>
      <c r="X572" s="1887"/>
      <c r="Y572" s="1887"/>
      <c r="Z572" s="1887"/>
      <c r="AA572" s="1887"/>
      <c r="AB572" s="1887"/>
      <c r="AC572" s="1887"/>
    </row>
    <row r="573">
      <c r="A573" s="1887"/>
      <c r="B573" s="1887"/>
      <c r="C573" s="1887"/>
      <c r="D573" s="1887"/>
      <c r="E573" s="1887"/>
      <c r="F573" s="1887"/>
      <c r="G573" s="1887"/>
      <c r="H573" s="1887"/>
      <c r="I573" s="1887"/>
      <c r="J573" s="1887"/>
      <c r="K573" s="1887"/>
      <c r="L573" s="1887"/>
      <c r="M573" s="1887"/>
      <c r="N573" s="1887"/>
      <c r="O573" s="1887"/>
      <c r="P573" s="1887"/>
      <c r="Q573" s="1887"/>
      <c r="R573" s="1887"/>
      <c r="S573" s="1887"/>
      <c r="T573" s="1887"/>
      <c r="U573" s="1887"/>
      <c r="V573" s="1887"/>
      <c r="W573" s="1887"/>
      <c r="X573" s="1887"/>
      <c r="Y573" s="1887"/>
      <c r="Z573" s="1887"/>
      <c r="AA573" s="1887"/>
      <c r="AB573" s="1887"/>
      <c r="AC573" s="1887"/>
    </row>
    <row r="574">
      <c r="A574" s="1887"/>
      <c r="B574" s="1887"/>
      <c r="C574" s="1887"/>
      <c r="D574" s="1887"/>
      <c r="E574" s="1887"/>
      <c r="F574" s="1887"/>
      <c r="G574" s="1887"/>
      <c r="H574" s="1887"/>
      <c r="I574" s="1887"/>
      <c r="J574" s="1887"/>
      <c r="K574" s="1887"/>
      <c r="L574" s="1887"/>
      <c r="M574" s="1887"/>
      <c r="N574" s="1887"/>
      <c r="O574" s="1887"/>
      <c r="P574" s="1887"/>
      <c r="Q574" s="1887"/>
      <c r="R574" s="1887"/>
      <c r="S574" s="1887"/>
      <c r="T574" s="1887"/>
      <c r="U574" s="1887"/>
      <c r="V574" s="1887"/>
      <c r="W574" s="1887"/>
      <c r="X574" s="1887"/>
      <c r="Y574" s="1887"/>
      <c r="Z574" s="1887"/>
      <c r="AA574" s="1887"/>
      <c r="AB574" s="1887"/>
      <c r="AC574" s="1887"/>
    </row>
    <row r="575">
      <c r="A575" s="1887"/>
      <c r="B575" s="1887"/>
      <c r="C575" s="1887"/>
      <c r="D575" s="1887"/>
      <c r="E575" s="1887"/>
      <c r="F575" s="1887"/>
      <c r="G575" s="1887"/>
      <c r="H575" s="1887"/>
      <c r="I575" s="1887"/>
      <c r="J575" s="1887"/>
      <c r="K575" s="1887"/>
      <c r="L575" s="1887"/>
      <c r="M575" s="1887"/>
      <c r="N575" s="1887"/>
      <c r="O575" s="1887"/>
      <c r="P575" s="1887"/>
      <c r="Q575" s="1887"/>
      <c r="R575" s="1887"/>
      <c r="S575" s="1887"/>
      <c r="T575" s="1887"/>
      <c r="U575" s="1887"/>
      <c r="V575" s="1887"/>
      <c r="W575" s="1887"/>
      <c r="X575" s="1887"/>
      <c r="Y575" s="1887"/>
      <c r="Z575" s="1887"/>
      <c r="AA575" s="1887"/>
      <c r="AB575" s="1887"/>
      <c r="AC575" s="1887"/>
    </row>
    <row r="576">
      <c r="A576" s="1887"/>
      <c r="B576" s="1887"/>
      <c r="C576" s="1887"/>
      <c r="D576" s="1887"/>
      <c r="E576" s="1887"/>
      <c r="F576" s="1887"/>
      <c r="G576" s="1887"/>
      <c r="H576" s="1887"/>
      <c r="I576" s="1887"/>
      <c r="J576" s="1887"/>
      <c r="K576" s="1887"/>
      <c r="L576" s="1887"/>
      <c r="M576" s="1887"/>
      <c r="N576" s="1887"/>
      <c r="O576" s="1887"/>
      <c r="P576" s="1887"/>
      <c r="Q576" s="1887"/>
      <c r="R576" s="1887"/>
      <c r="S576" s="1887"/>
      <c r="T576" s="1887"/>
      <c r="U576" s="1887"/>
      <c r="V576" s="1887"/>
      <c r="W576" s="1887"/>
      <c r="X576" s="1887"/>
      <c r="Y576" s="1887"/>
      <c r="Z576" s="1887"/>
      <c r="AA576" s="1887"/>
      <c r="AB576" s="1887"/>
      <c r="AC576" s="1887"/>
    </row>
    <row r="577">
      <c r="A577" s="1887"/>
      <c r="B577" s="1887"/>
      <c r="C577" s="1887"/>
      <c r="D577" s="1887"/>
      <c r="E577" s="1887"/>
      <c r="F577" s="1887"/>
      <c r="G577" s="1887"/>
      <c r="H577" s="1887"/>
      <c r="I577" s="1887"/>
      <c r="J577" s="1887"/>
      <c r="K577" s="1887"/>
      <c r="L577" s="1887"/>
      <c r="M577" s="1887"/>
      <c r="N577" s="1887"/>
      <c r="O577" s="1887"/>
      <c r="P577" s="1887"/>
      <c r="Q577" s="1887"/>
      <c r="R577" s="1887"/>
      <c r="S577" s="1887"/>
      <c r="T577" s="1887"/>
      <c r="U577" s="1887"/>
      <c r="V577" s="1887"/>
      <c r="W577" s="1887"/>
      <c r="X577" s="1887"/>
      <c r="Y577" s="1887"/>
      <c r="Z577" s="1887"/>
      <c r="AA577" s="1887"/>
      <c r="AB577" s="1887"/>
      <c r="AC577" s="1887"/>
    </row>
    <row r="578">
      <c r="A578" s="1887"/>
      <c r="B578" s="1887"/>
      <c r="C578" s="1887"/>
      <c r="D578" s="1887"/>
      <c r="E578" s="1887"/>
      <c r="F578" s="1887"/>
      <c r="G578" s="1887"/>
      <c r="H578" s="1887"/>
      <c r="I578" s="1887"/>
      <c r="J578" s="1887"/>
      <c r="K578" s="1887"/>
      <c r="L578" s="1887"/>
      <c r="M578" s="1887"/>
      <c r="N578" s="1887"/>
      <c r="O578" s="1887"/>
      <c r="P578" s="1887"/>
      <c r="Q578" s="1887"/>
      <c r="R578" s="1887"/>
      <c r="S578" s="1887"/>
      <c r="T578" s="1887"/>
      <c r="U578" s="1887"/>
      <c r="V578" s="1887"/>
      <c r="W578" s="1887"/>
      <c r="X578" s="1887"/>
      <c r="Y578" s="1887"/>
      <c r="Z578" s="1887"/>
      <c r="AA578" s="1887"/>
      <c r="AB578" s="1887"/>
      <c r="AC578" s="1887"/>
    </row>
    <row r="579">
      <c r="A579" s="1887"/>
      <c r="B579" s="1887"/>
      <c r="C579" s="1887"/>
      <c r="D579" s="1887"/>
      <c r="E579" s="1887"/>
      <c r="F579" s="1887"/>
      <c r="G579" s="1887"/>
      <c r="H579" s="1887"/>
      <c r="I579" s="1887"/>
      <c r="J579" s="1887"/>
      <c r="K579" s="1887"/>
      <c r="L579" s="1887"/>
      <c r="M579" s="1887"/>
      <c r="N579" s="1887"/>
      <c r="O579" s="1887"/>
      <c r="P579" s="1887"/>
      <c r="Q579" s="1887"/>
      <c r="R579" s="1887"/>
      <c r="S579" s="1887"/>
      <c r="T579" s="1887"/>
      <c r="U579" s="1887"/>
      <c r="V579" s="1887"/>
      <c r="W579" s="1887"/>
      <c r="X579" s="1887"/>
      <c r="Y579" s="1887"/>
      <c r="Z579" s="1887"/>
      <c r="AA579" s="1887"/>
      <c r="AB579" s="1887"/>
      <c r="AC579" s="1887"/>
    </row>
    <row r="580">
      <c r="A580" s="1887"/>
      <c r="B580" s="1887"/>
      <c r="C580" s="1887"/>
      <c r="D580" s="1887"/>
      <c r="E580" s="1887"/>
      <c r="F580" s="1887"/>
      <c r="G580" s="1887"/>
      <c r="H580" s="1887"/>
      <c r="I580" s="1887"/>
      <c r="J580" s="1887"/>
      <c r="K580" s="1887"/>
      <c r="L580" s="1887"/>
      <c r="M580" s="1887"/>
      <c r="N580" s="1887"/>
      <c r="O580" s="1887"/>
      <c r="P580" s="1887"/>
      <c r="Q580" s="1887"/>
      <c r="R580" s="1887"/>
      <c r="S580" s="1887"/>
      <c r="T580" s="1887"/>
      <c r="U580" s="1887"/>
      <c r="V580" s="1887"/>
      <c r="W580" s="1887"/>
      <c r="X580" s="1887"/>
      <c r="Y580" s="1887"/>
      <c r="Z580" s="1887"/>
      <c r="AA580" s="1887"/>
      <c r="AB580" s="1887"/>
      <c r="AC580" s="1887"/>
    </row>
    <row r="581">
      <c r="A581" s="1887"/>
      <c r="B581" s="1887"/>
      <c r="C581" s="1887"/>
      <c r="D581" s="1887"/>
      <c r="E581" s="1887"/>
      <c r="F581" s="1887"/>
      <c r="G581" s="1887"/>
      <c r="H581" s="1887"/>
      <c r="I581" s="1887"/>
      <c r="J581" s="1887"/>
      <c r="K581" s="1887"/>
      <c r="L581" s="1887"/>
      <c r="M581" s="1887"/>
      <c r="N581" s="1887"/>
      <c r="O581" s="1887"/>
      <c r="P581" s="1887"/>
      <c r="Q581" s="1887"/>
      <c r="R581" s="1887"/>
      <c r="S581" s="1887"/>
      <c r="T581" s="1887"/>
      <c r="U581" s="1887"/>
      <c r="V581" s="1887"/>
      <c r="W581" s="1887"/>
      <c r="X581" s="1887"/>
      <c r="Y581" s="1887"/>
      <c r="Z581" s="1887"/>
      <c r="AA581" s="1887"/>
      <c r="AB581" s="1887"/>
      <c r="AC581" s="1887"/>
    </row>
    <row r="582">
      <c r="A582" s="1887"/>
      <c r="B582" s="1887"/>
      <c r="C582" s="1887"/>
      <c r="D582" s="1887"/>
      <c r="E582" s="1887"/>
      <c r="F582" s="1887"/>
      <c r="G582" s="1887"/>
      <c r="H582" s="1887"/>
      <c r="I582" s="1887"/>
      <c r="J582" s="1887"/>
      <c r="K582" s="1887"/>
      <c r="L582" s="1887"/>
      <c r="M582" s="1887"/>
      <c r="N582" s="1887"/>
      <c r="O582" s="1887"/>
      <c r="P582" s="1887"/>
      <c r="Q582" s="1887"/>
      <c r="R582" s="1887"/>
      <c r="S582" s="1887"/>
      <c r="T582" s="1887"/>
      <c r="U582" s="1887"/>
      <c r="V582" s="1887"/>
      <c r="W582" s="1887"/>
      <c r="X582" s="1887"/>
      <c r="Y582" s="1887"/>
      <c r="Z582" s="1887"/>
      <c r="AA582" s="1887"/>
      <c r="AB582" s="1887"/>
      <c r="AC582" s="1887"/>
    </row>
    <row r="583">
      <c r="A583" s="1887"/>
      <c r="B583" s="1887"/>
      <c r="C583" s="1887"/>
      <c r="D583" s="1887"/>
      <c r="E583" s="1887"/>
      <c r="F583" s="1887"/>
      <c r="G583" s="1887"/>
      <c r="H583" s="1887"/>
      <c r="I583" s="1887"/>
      <c r="J583" s="1887"/>
      <c r="K583" s="1887"/>
      <c r="L583" s="1887"/>
      <c r="M583" s="1887"/>
      <c r="N583" s="1887"/>
      <c r="O583" s="1887"/>
      <c r="P583" s="1887"/>
      <c r="Q583" s="1887"/>
      <c r="R583" s="1887"/>
      <c r="S583" s="1887"/>
      <c r="T583" s="1887"/>
      <c r="U583" s="1887"/>
      <c r="V583" s="1887"/>
      <c r="W583" s="1887"/>
      <c r="X583" s="1887"/>
      <c r="Y583" s="1887"/>
      <c r="Z583" s="1887"/>
      <c r="AA583" s="1887"/>
      <c r="AB583" s="1887"/>
      <c r="AC583" s="1887"/>
    </row>
    <row r="584">
      <c r="A584" s="1887"/>
      <c r="B584" s="1887"/>
      <c r="C584" s="1887"/>
      <c r="D584" s="1887"/>
      <c r="E584" s="1887"/>
      <c r="F584" s="1887"/>
      <c r="G584" s="1887"/>
      <c r="H584" s="1887"/>
      <c r="I584" s="1887"/>
      <c r="J584" s="1887"/>
      <c r="K584" s="1887"/>
      <c r="L584" s="1887"/>
      <c r="M584" s="1887"/>
      <c r="N584" s="1887"/>
      <c r="O584" s="1887"/>
      <c r="P584" s="1887"/>
      <c r="Q584" s="1887"/>
      <c r="R584" s="1887"/>
      <c r="S584" s="1887"/>
      <c r="T584" s="1887"/>
      <c r="U584" s="1887"/>
      <c r="V584" s="1887"/>
      <c r="W584" s="1887"/>
      <c r="X584" s="1887"/>
      <c r="Y584" s="1887"/>
      <c r="Z584" s="1887"/>
      <c r="AA584" s="1887"/>
      <c r="AB584" s="1887"/>
      <c r="AC584" s="1887"/>
    </row>
    <row r="585">
      <c r="A585" s="1887"/>
      <c r="B585" s="1887"/>
      <c r="C585" s="1887"/>
      <c r="D585" s="1887"/>
      <c r="E585" s="1887"/>
      <c r="F585" s="1887"/>
      <c r="G585" s="1887"/>
      <c r="H585" s="1887"/>
      <c r="I585" s="1887"/>
      <c r="J585" s="1887"/>
      <c r="K585" s="1887"/>
      <c r="L585" s="1887"/>
      <c r="M585" s="1887"/>
      <c r="N585" s="1887"/>
      <c r="O585" s="1887"/>
      <c r="P585" s="1887"/>
      <c r="Q585" s="1887"/>
      <c r="R585" s="1887"/>
      <c r="S585" s="1887"/>
      <c r="T585" s="1887"/>
      <c r="U585" s="1887"/>
      <c r="V585" s="1887"/>
      <c r="W585" s="1887"/>
      <c r="X585" s="1887"/>
      <c r="Y585" s="1887"/>
      <c r="Z585" s="1887"/>
      <c r="AA585" s="1887"/>
      <c r="AB585" s="1887"/>
      <c r="AC585" s="1887"/>
    </row>
    <row r="586">
      <c r="A586" s="1887"/>
      <c r="B586" s="1887"/>
      <c r="C586" s="1887"/>
      <c r="D586" s="1887"/>
      <c r="E586" s="1887"/>
      <c r="F586" s="1887"/>
      <c r="G586" s="1887"/>
      <c r="H586" s="1887"/>
      <c r="I586" s="1887"/>
      <c r="J586" s="1887"/>
      <c r="K586" s="1887"/>
      <c r="L586" s="1887"/>
      <c r="M586" s="1887"/>
      <c r="N586" s="1887"/>
      <c r="O586" s="1887"/>
      <c r="P586" s="1887"/>
      <c r="Q586" s="1887"/>
      <c r="R586" s="1887"/>
      <c r="S586" s="1887"/>
      <c r="T586" s="1887"/>
      <c r="U586" s="1887"/>
      <c r="V586" s="1887"/>
      <c r="W586" s="1887"/>
      <c r="X586" s="1887"/>
      <c r="Y586" s="1887"/>
      <c r="Z586" s="1887"/>
      <c r="AA586" s="1887"/>
      <c r="AB586" s="1887"/>
      <c r="AC586" s="1887"/>
    </row>
    <row r="587">
      <c r="A587" s="1887"/>
      <c r="B587" s="1887"/>
      <c r="C587" s="1887"/>
      <c r="D587" s="1887"/>
      <c r="E587" s="1887"/>
      <c r="F587" s="1887"/>
      <c r="G587" s="1887"/>
      <c r="H587" s="1887"/>
      <c r="I587" s="1887"/>
      <c r="J587" s="1887"/>
      <c r="K587" s="1887"/>
      <c r="L587" s="1887"/>
      <c r="M587" s="1887"/>
      <c r="N587" s="1887"/>
      <c r="O587" s="1887"/>
      <c r="P587" s="1887"/>
      <c r="Q587" s="1887"/>
      <c r="R587" s="1887"/>
      <c r="S587" s="1887"/>
      <c r="T587" s="1887"/>
      <c r="U587" s="1887"/>
      <c r="V587" s="1887"/>
      <c r="W587" s="1887"/>
      <c r="X587" s="1887"/>
      <c r="Y587" s="1887"/>
      <c r="Z587" s="1887"/>
      <c r="AA587" s="1887"/>
      <c r="AB587" s="1887"/>
      <c r="AC587" s="1887"/>
    </row>
    <row r="588">
      <c r="A588" s="1887"/>
      <c r="B588" s="1887"/>
      <c r="C588" s="1887"/>
      <c r="D588" s="1887"/>
      <c r="E588" s="1887"/>
      <c r="F588" s="1887"/>
      <c r="G588" s="1887"/>
      <c r="H588" s="1887"/>
      <c r="I588" s="1887"/>
      <c r="J588" s="1887"/>
      <c r="K588" s="1887"/>
      <c r="L588" s="1887"/>
      <c r="M588" s="1887"/>
      <c r="N588" s="1887"/>
      <c r="O588" s="1887"/>
      <c r="P588" s="1887"/>
      <c r="Q588" s="1887"/>
      <c r="R588" s="1887"/>
      <c r="S588" s="1887"/>
      <c r="T588" s="1887"/>
      <c r="U588" s="1887"/>
      <c r="V588" s="1887"/>
      <c r="W588" s="1887"/>
      <c r="X588" s="1887"/>
      <c r="Y588" s="1887"/>
      <c r="Z588" s="1887"/>
      <c r="AA588" s="1887"/>
      <c r="AB588" s="1887"/>
      <c r="AC588" s="1887"/>
    </row>
    <row r="589">
      <c r="A589" s="1887"/>
      <c r="B589" s="1887"/>
      <c r="C589" s="1887"/>
      <c r="D589" s="1887"/>
      <c r="E589" s="1887"/>
      <c r="F589" s="1887"/>
      <c r="G589" s="1887"/>
      <c r="H589" s="1887"/>
      <c r="I589" s="1887"/>
      <c r="J589" s="1887"/>
      <c r="K589" s="1887"/>
      <c r="L589" s="1887"/>
      <c r="M589" s="1887"/>
      <c r="N589" s="1887"/>
      <c r="O589" s="1887"/>
      <c r="P589" s="1887"/>
      <c r="Q589" s="1887"/>
      <c r="R589" s="1887"/>
      <c r="S589" s="1887"/>
      <c r="T589" s="1887"/>
      <c r="U589" s="1887"/>
      <c r="V589" s="1887"/>
      <c r="W589" s="1887"/>
      <c r="X589" s="1887"/>
      <c r="Y589" s="1887"/>
      <c r="Z589" s="1887"/>
      <c r="AA589" s="1887"/>
      <c r="AB589" s="1887"/>
      <c r="AC589" s="1887"/>
    </row>
    <row r="590">
      <c r="A590" s="1887"/>
      <c r="B590" s="1887"/>
      <c r="C590" s="1887"/>
      <c r="D590" s="1887"/>
      <c r="E590" s="1887"/>
      <c r="F590" s="1887"/>
      <c r="G590" s="1887"/>
      <c r="H590" s="1887"/>
      <c r="I590" s="1887"/>
      <c r="J590" s="1887"/>
      <c r="K590" s="1887"/>
      <c r="L590" s="1887"/>
      <c r="M590" s="1887"/>
      <c r="N590" s="1887"/>
      <c r="O590" s="1887"/>
      <c r="P590" s="1887"/>
      <c r="Q590" s="1887"/>
      <c r="R590" s="1887"/>
      <c r="S590" s="1887"/>
      <c r="T590" s="1887"/>
      <c r="U590" s="1887"/>
      <c r="V590" s="1887"/>
      <c r="W590" s="1887"/>
      <c r="X590" s="1887"/>
      <c r="Y590" s="1887"/>
      <c r="Z590" s="1887"/>
      <c r="AA590" s="1887"/>
      <c r="AB590" s="1887"/>
      <c r="AC590" s="1887"/>
    </row>
    <row r="591">
      <c r="A591" s="1887"/>
      <c r="B591" s="1887"/>
      <c r="C591" s="1887"/>
      <c r="D591" s="1887"/>
      <c r="E591" s="1887"/>
      <c r="F591" s="1887"/>
      <c r="G591" s="1887"/>
      <c r="H591" s="1887"/>
      <c r="I591" s="1887"/>
      <c r="J591" s="1887"/>
      <c r="K591" s="1887"/>
      <c r="L591" s="1887"/>
      <c r="M591" s="1887"/>
      <c r="N591" s="1887"/>
      <c r="O591" s="1887"/>
      <c r="P591" s="1887"/>
      <c r="Q591" s="1887"/>
      <c r="R591" s="1887"/>
      <c r="S591" s="1887"/>
      <c r="T591" s="1887"/>
      <c r="U591" s="1887"/>
      <c r="V591" s="1887"/>
      <c r="W591" s="1887"/>
      <c r="X591" s="1887"/>
      <c r="Y591" s="1887"/>
      <c r="Z591" s="1887"/>
      <c r="AA591" s="1887"/>
      <c r="AB591" s="1887"/>
      <c r="AC591" s="1887"/>
    </row>
    <row r="592">
      <c r="A592" s="1887"/>
      <c r="B592" s="1887"/>
      <c r="C592" s="1887"/>
      <c r="D592" s="1887"/>
      <c r="E592" s="1887"/>
      <c r="F592" s="1887"/>
      <c r="G592" s="1887"/>
      <c r="H592" s="1887"/>
      <c r="I592" s="1887"/>
      <c r="J592" s="1887"/>
      <c r="K592" s="1887"/>
      <c r="L592" s="1887"/>
      <c r="M592" s="1887"/>
      <c r="N592" s="1887"/>
      <c r="O592" s="1887"/>
      <c r="P592" s="1887"/>
      <c r="Q592" s="1887"/>
      <c r="R592" s="1887"/>
      <c r="S592" s="1887"/>
      <c r="T592" s="1887"/>
      <c r="U592" s="1887"/>
      <c r="V592" s="1887"/>
      <c r="W592" s="1887"/>
      <c r="X592" s="1887"/>
      <c r="Y592" s="1887"/>
      <c r="Z592" s="1887"/>
      <c r="AA592" s="1887"/>
      <c r="AB592" s="1887"/>
      <c r="AC592" s="1887"/>
    </row>
    <row r="593">
      <c r="A593" s="1887"/>
      <c r="B593" s="1887"/>
      <c r="C593" s="1887"/>
      <c r="D593" s="1887"/>
      <c r="E593" s="1887"/>
      <c r="F593" s="1887"/>
      <c r="G593" s="1887"/>
      <c r="H593" s="1887"/>
      <c r="I593" s="1887"/>
      <c r="J593" s="1887"/>
      <c r="K593" s="1887"/>
      <c r="L593" s="1887"/>
      <c r="M593" s="1887"/>
      <c r="N593" s="1887"/>
      <c r="O593" s="1887"/>
      <c r="P593" s="1887"/>
      <c r="Q593" s="1887"/>
      <c r="R593" s="1887"/>
      <c r="S593" s="1887"/>
      <c r="T593" s="1887"/>
      <c r="U593" s="1887"/>
      <c r="V593" s="1887"/>
      <c r="W593" s="1887"/>
      <c r="X593" s="1887"/>
      <c r="Y593" s="1887"/>
      <c r="Z593" s="1887"/>
      <c r="AA593" s="1887"/>
      <c r="AB593" s="1887"/>
      <c r="AC593" s="1887"/>
    </row>
    <row r="594">
      <c r="A594" s="1887"/>
      <c r="B594" s="1887"/>
      <c r="C594" s="1887"/>
      <c r="D594" s="1887"/>
      <c r="E594" s="1887"/>
      <c r="F594" s="1887"/>
      <c r="G594" s="1887"/>
      <c r="H594" s="1887"/>
      <c r="I594" s="1887"/>
      <c r="J594" s="1887"/>
      <c r="K594" s="1887"/>
      <c r="L594" s="1887"/>
      <c r="M594" s="1887"/>
      <c r="N594" s="1887"/>
      <c r="O594" s="1887"/>
      <c r="P594" s="1887"/>
      <c r="Q594" s="1887"/>
      <c r="R594" s="1887"/>
      <c r="S594" s="1887"/>
      <c r="T594" s="1887"/>
      <c r="U594" s="1887"/>
      <c r="V594" s="1887"/>
      <c r="W594" s="1887"/>
      <c r="X594" s="1887"/>
      <c r="Y594" s="1887"/>
      <c r="Z594" s="1887"/>
      <c r="AA594" s="1887"/>
      <c r="AB594" s="1887"/>
      <c r="AC594" s="1887"/>
    </row>
    <row r="595">
      <c r="A595" s="1887"/>
      <c r="B595" s="1887"/>
      <c r="C595" s="1887"/>
      <c r="D595" s="1887"/>
      <c r="E595" s="1887"/>
      <c r="F595" s="1887"/>
      <c r="G595" s="1887"/>
      <c r="H595" s="1887"/>
      <c r="I595" s="1887"/>
      <c r="J595" s="1887"/>
      <c r="K595" s="1887"/>
      <c r="L595" s="1887"/>
      <c r="M595" s="1887"/>
      <c r="N595" s="1887"/>
      <c r="O595" s="1887"/>
      <c r="P595" s="1887"/>
      <c r="Q595" s="1887"/>
      <c r="R595" s="1887"/>
      <c r="S595" s="1887"/>
      <c r="T595" s="1887"/>
      <c r="U595" s="1887"/>
      <c r="V595" s="1887"/>
      <c r="W595" s="1887"/>
      <c r="X595" s="1887"/>
      <c r="Y595" s="1887"/>
      <c r="Z595" s="1887"/>
      <c r="AA595" s="1887"/>
      <c r="AB595" s="1887"/>
      <c r="AC595" s="1887"/>
    </row>
    <row r="596">
      <c r="A596" s="1887"/>
      <c r="B596" s="1887"/>
      <c r="C596" s="1887"/>
      <c r="D596" s="1887"/>
      <c r="E596" s="1887"/>
      <c r="F596" s="1887"/>
      <c r="G596" s="1887"/>
      <c r="H596" s="1887"/>
      <c r="I596" s="1887"/>
      <c r="J596" s="1887"/>
      <c r="K596" s="1887"/>
      <c r="L596" s="1887"/>
      <c r="M596" s="1887"/>
      <c r="N596" s="1887"/>
      <c r="O596" s="1887"/>
      <c r="P596" s="1887"/>
      <c r="Q596" s="1887"/>
      <c r="R596" s="1887"/>
      <c r="S596" s="1887"/>
      <c r="T596" s="1887"/>
      <c r="U596" s="1887"/>
      <c r="V596" s="1887"/>
      <c r="W596" s="1887"/>
      <c r="X596" s="1887"/>
      <c r="Y596" s="1887"/>
      <c r="Z596" s="1887"/>
      <c r="AA596" s="1887"/>
      <c r="AB596" s="1887"/>
      <c r="AC596" s="1887"/>
    </row>
    <row r="597">
      <c r="A597" s="1887"/>
      <c r="B597" s="1887"/>
      <c r="C597" s="1887"/>
      <c r="D597" s="1887"/>
      <c r="E597" s="1887"/>
      <c r="F597" s="1887"/>
      <c r="G597" s="1887"/>
      <c r="H597" s="1887"/>
      <c r="I597" s="1887"/>
      <c r="J597" s="1887"/>
      <c r="K597" s="1887"/>
      <c r="L597" s="1887"/>
      <c r="M597" s="1887"/>
      <c r="N597" s="1887"/>
      <c r="O597" s="1887"/>
      <c r="P597" s="1887"/>
      <c r="Q597" s="1887"/>
      <c r="R597" s="1887"/>
      <c r="S597" s="1887"/>
      <c r="T597" s="1887"/>
      <c r="U597" s="1887"/>
      <c r="V597" s="1887"/>
      <c r="W597" s="1887"/>
      <c r="X597" s="1887"/>
      <c r="Y597" s="1887"/>
      <c r="Z597" s="1887"/>
      <c r="AA597" s="1887"/>
      <c r="AB597" s="1887"/>
      <c r="AC597" s="1887"/>
    </row>
    <row r="598">
      <c r="A598" s="1887"/>
      <c r="B598" s="1887"/>
      <c r="C598" s="1887"/>
      <c r="D598" s="1887"/>
      <c r="E598" s="1887"/>
      <c r="F598" s="1887"/>
      <c r="G598" s="1887"/>
      <c r="H598" s="1887"/>
      <c r="I598" s="1887"/>
      <c r="J598" s="1887"/>
      <c r="K598" s="1887"/>
      <c r="L598" s="1887"/>
      <c r="M598" s="1887"/>
      <c r="N598" s="1887"/>
      <c r="O598" s="1887"/>
      <c r="P598" s="1887"/>
      <c r="Q598" s="1887"/>
      <c r="R598" s="1887"/>
      <c r="S598" s="1887"/>
      <c r="T598" s="1887"/>
      <c r="U598" s="1887"/>
      <c r="V598" s="1887"/>
      <c r="W598" s="1887"/>
      <c r="X598" s="1887"/>
      <c r="Y598" s="1887"/>
      <c r="Z598" s="1887"/>
      <c r="AA598" s="1887"/>
      <c r="AB598" s="1887"/>
      <c r="AC598" s="1887"/>
    </row>
    <row r="599">
      <c r="A599" s="1887"/>
      <c r="B599" s="1887"/>
      <c r="C599" s="1887"/>
      <c r="D599" s="1887"/>
      <c r="E599" s="1887"/>
      <c r="F599" s="1887"/>
      <c r="G599" s="1887"/>
      <c r="H599" s="1887"/>
      <c r="I599" s="1887"/>
      <c r="J599" s="1887"/>
      <c r="K599" s="1887"/>
      <c r="L599" s="1887"/>
      <c r="M599" s="1887"/>
      <c r="N599" s="1887"/>
      <c r="O599" s="1887"/>
      <c r="P599" s="1887"/>
      <c r="Q599" s="1887"/>
      <c r="R599" s="1887"/>
      <c r="S599" s="1887"/>
      <c r="T599" s="1887"/>
      <c r="U599" s="1887"/>
      <c r="V599" s="1887"/>
      <c r="W599" s="1887"/>
      <c r="X599" s="1887"/>
      <c r="Y599" s="1887"/>
      <c r="Z599" s="1887"/>
      <c r="AA599" s="1887"/>
      <c r="AB599" s="1887"/>
      <c r="AC599" s="1887"/>
    </row>
    <row r="600">
      <c r="A600" s="1887"/>
      <c r="B600" s="1887"/>
      <c r="C600" s="1887"/>
      <c r="D600" s="1887"/>
      <c r="E600" s="1887"/>
      <c r="F600" s="1887"/>
      <c r="G600" s="1887"/>
      <c r="H600" s="1887"/>
      <c r="I600" s="1887"/>
      <c r="J600" s="1887"/>
      <c r="K600" s="1887"/>
      <c r="L600" s="1887"/>
      <c r="M600" s="1887"/>
      <c r="N600" s="1887"/>
      <c r="O600" s="1887"/>
      <c r="P600" s="1887"/>
      <c r="Q600" s="1887"/>
      <c r="R600" s="1887"/>
      <c r="S600" s="1887"/>
      <c r="T600" s="1887"/>
      <c r="U600" s="1887"/>
      <c r="V600" s="1887"/>
      <c r="W600" s="1887"/>
      <c r="X600" s="1887"/>
      <c r="Y600" s="1887"/>
      <c r="Z600" s="1887"/>
      <c r="AA600" s="1887"/>
      <c r="AB600" s="1887"/>
      <c r="AC600" s="1887"/>
    </row>
    <row r="601">
      <c r="A601" s="1887"/>
      <c r="B601" s="1887"/>
      <c r="C601" s="1887"/>
      <c r="D601" s="1887"/>
      <c r="E601" s="1887"/>
      <c r="F601" s="1887"/>
      <c r="G601" s="1887"/>
      <c r="H601" s="1887"/>
      <c r="I601" s="1887"/>
      <c r="J601" s="1887"/>
      <c r="K601" s="1887"/>
      <c r="L601" s="1887"/>
      <c r="M601" s="1887"/>
      <c r="N601" s="1887"/>
      <c r="O601" s="1887"/>
      <c r="P601" s="1887"/>
      <c r="Q601" s="1887"/>
      <c r="R601" s="1887"/>
      <c r="S601" s="1887"/>
      <c r="T601" s="1887"/>
      <c r="U601" s="1887"/>
      <c r="V601" s="1887"/>
      <c r="W601" s="1887"/>
      <c r="X601" s="1887"/>
      <c r="Y601" s="1887"/>
      <c r="Z601" s="1887"/>
      <c r="AA601" s="1887"/>
      <c r="AB601" s="1887"/>
      <c r="AC601" s="1887"/>
    </row>
    <row r="602">
      <c r="A602" s="1887"/>
      <c r="B602" s="1887"/>
      <c r="C602" s="1887"/>
      <c r="D602" s="1887"/>
      <c r="E602" s="1887"/>
      <c r="F602" s="1887"/>
      <c r="G602" s="1887"/>
      <c r="H602" s="1887"/>
      <c r="I602" s="1887"/>
      <c r="J602" s="1887"/>
      <c r="K602" s="1887"/>
      <c r="L602" s="1887"/>
      <c r="M602" s="1887"/>
      <c r="N602" s="1887"/>
      <c r="O602" s="1887"/>
      <c r="P602" s="1887"/>
      <c r="Q602" s="1887"/>
      <c r="R602" s="1887"/>
      <c r="S602" s="1887"/>
      <c r="T602" s="1887"/>
      <c r="U602" s="1887"/>
      <c r="V602" s="1887"/>
      <c r="W602" s="1887"/>
      <c r="X602" s="1887"/>
      <c r="Y602" s="1887"/>
      <c r="Z602" s="1887"/>
      <c r="AA602" s="1887"/>
      <c r="AB602" s="1887"/>
      <c r="AC602" s="1887"/>
    </row>
    <row r="603">
      <c r="A603" s="1887"/>
      <c r="B603" s="1887"/>
      <c r="C603" s="1887"/>
      <c r="D603" s="1887"/>
      <c r="E603" s="1887"/>
      <c r="F603" s="1887"/>
      <c r="G603" s="1887"/>
      <c r="H603" s="1887"/>
      <c r="I603" s="1887"/>
      <c r="J603" s="1887"/>
      <c r="K603" s="1887"/>
      <c r="L603" s="1887"/>
      <c r="M603" s="1887"/>
      <c r="N603" s="1887"/>
      <c r="O603" s="1887"/>
      <c r="P603" s="1887"/>
      <c r="Q603" s="1887"/>
      <c r="R603" s="1887"/>
      <c r="S603" s="1887"/>
      <c r="T603" s="1887"/>
      <c r="U603" s="1887"/>
      <c r="V603" s="1887"/>
      <c r="W603" s="1887"/>
      <c r="X603" s="1887"/>
      <c r="Y603" s="1887"/>
      <c r="Z603" s="1887"/>
      <c r="AA603" s="1887"/>
      <c r="AB603" s="1887"/>
      <c r="AC603" s="1887"/>
    </row>
    <row r="604">
      <c r="A604" s="1887"/>
      <c r="B604" s="1887"/>
      <c r="C604" s="1887"/>
      <c r="D604" s="1887"/>
      <c r="E604" s="1887"/>
      <c r="F604" s="1887"/>
      <c r="G604" s="1887"/>
      <c r="H604" s="1887"/>
      <c r="I604" s="1887"/>
      <c r="J604" s="1887"/>
      <c r="K604" s="1887"/>
      <c r="L604" s="1887"/>
      <c r="M604" s="1887"/>
      <c r="N604" s="1887"/>
      <c r="O604" s="1887"/>
      <c r="P604" s="1887"/>
      <c r="Q604" s="1887"/>
      <c r="R604" s="1887"/>
      <c r="S604" s="1887"/>
      <c r="T604" s="1887"/>
      <c r="U604" s="1887"/>
      <c r="V604" s="1887"/>
      <c r="W604" s="1887"/>
      <c r="X604" s="1887"/>
      <c r="Y604" s="1887"/>
      <c r="Z604" s="1887"/>
      <c r="AA604" s="1887"/>
      <c r="AB604" s="1887"/>
      <c r="AC604" s="1887"/>
    </row>
    <row r="605">
      <c r="A605" s="1887"/>
      <c r="B605" s="1887"/>
      <c r="C605" s="1887"/>
      <c r="D605" s="1887"/>
      <c r="E605" s="1887"/>
      <c r="F605" s="1887"/>
      <c r="G605" s="1887"/>
      <c r="H605" s="1887"/>
      <c r="I605" s="1887"/>
      <c r="J605" s="1887"/>
      <c r="K605" s="1887"/>
      <c r="L605" s="1887"/>
      <c r="M605" s="1887"/>
      <c r="N605" s="1887"/>
      <c r="O605" s="1887"/>
      <c r="P605" s="1887"/>
      <c r="Q605" s="1887"/>
      <c r="R605" s="1887"/>
      <c r="S605" s="1887"/>
      <c r="T605" s="1887"/>
      <c r="U605" s="1887"/>
      <c r="V605" s="1887"/>
      <c r="W605" s="1887"/>
      <c r="X605" s="1887"/>
      <c r="Y605" s="1887"/>
      <c r="Z605" s="1887"/>
      <c r="AA605" s="1887"/>
      <c r="AB605" s="1887"/>
      <c r="AC605" s="1887"/>
    </row>
    <row r="606">
      <c r="A606" s="1887"/>
      <c r="B606" s="1887"/>
      <c r="C606" s="1887"/>
      <c r="D606" s="1887"/>
      <c r="E606" s="1887"/>
      <c r="F606" s="1887"/>
      <c r="G606" s="1887"/>
      <c r="H606" s="1887"/>
      <c r="I606" s="1887"/>
      <c r="J606" s="1887"/>
      <c r="K606" s="1887"/>
      <c r="L606" s="1887"/>
      <c r="M606" s="1887"/>
      <c r="N606" s="1887"/>
      <c r="O606" s="1887"/>
      <c r="P606" s="1887"/>
      <c r="Q606" s="1887"/>
      <c r="R606" s="1887"/>
      <c r="S606" s="1887"/>
      <c r="T606" s="1887"/>
      <c r="U606" s="1887"/>
      <c r="V606" s="1887"/>
      <c r="W606" s="1887"/>
      <c r="X606" s="1887"/>
      <c r="Y606" s="1887"/>
      <c r="Z606" s="1887"/>
      <c r="AA606" s="1887"/>
      <c r="AB606" s="1887"/>
      <c r="AC606" s="1887"/>
    </row>
    <row r="607">
      <c r="A607" s="1887"/>
      <c r="B607" s="1887"/>
      <c r="C607" s="1887"/>
      <c r="D607" s="1887"/>
      <c r="E607" s="1887"/>
      <c r="F607" s="1887"/>
      <c r="G607" s="1887"/>
      <c r="H607" s="1887"/>
      <c r="I607" s="1887"/>
      <c r="J607" s="1887"/>
      <c r="K607" s="1887"/>
      <c r="L607" s="1887"/>
      <c r="M607" s="1887"/>
      <c r="N607" s="1887"/>
      <c r="O607" s="1887"/>
      <c r="P607" s="1887"/>
      <c r="Q607" s="1887"/>
      <c r="R607" s="1887"/>
      <c r="S607" s="1887"/>
      <c r="T607" s="1887"/>
      <c r="U607" s="1887"/>
      <c r="V607" s="1887"/>
      <c r="W607" s="1887"/>
      <c r="X607" s="1887"/>
      <c r="Y607" s="1887"/>
      <c r="Z607" s="1887"/>
      <c r="AA607" s="1887"/>
      <c r="AB607" s="1887"/>
      <c r="AC607" s="1887"/>
    </row>
    <row r="608">
      <c r="A608" s="1887"/>
      <c r="B608" s="1887"/>
      <c r="C608" s="1887"/>
      <c r="D608" s="1887"/>
      <c r="E608" s="1887"/>
      <c r="F608" s="1887"/>
      <c r="G608" s="1887"/>
      <c r="H608" s="1887"/>
      <c r="I608" s="1887"/>
      <c r="J608" s="1887"/>
      <c r="K608" s="1887"/>
      <c r="L608" s="1887"/>
      <c r="M608" s="1887"/>
      <c r="N608" s="1887"/>
      <c r="O608" s="1887"/>
      <c r="P608" s="1887"/>
      <c r="Q608" s="1887"/>
      <c r="R608" s="1887"/>
      <c r="S608" s="1887"/>
      <c r="T608" s="1887"/>
      <c r="U608" s="1887"/>
      <c r="V608" s="1887"/>
      <c r="W608" s="1887"/>
      <c r="X608" s="1887"/>
      <c r="Y608" s="1887"/>
      <c r="Z608" s="1887"/>
      <c r="AA608" s="1887"/>
      <c r="AB608" s="1887"/>
      <c r="AC608" s="1887"/>
    </row>
    <row r="609">
      <c r="A609" s="1887"/>
      <c r="B609" s="1887"/>
      <c r="C609" s="1887"/>
      <c r="D609" s="1887"/>
      <c r="E609" s="1887"/>
      <c r="F609" s="1887"/>
      <c r="G609" s="1887"/>
      <c r="H609" s="1887"/>
      <c r="I609" s="1887"/>
      <c r="J609" s="1887"/>
      <c r="K609" s="1887"/>
      <c r="L609" s="1887"/>
      <c r="M609" s="1887"/>
      <c r="N609" s="1887"/>
      <c r="O609" s="1887"/>
      <c r="P609" s="1887"/>
      <c r="Q609" s="1887"/>
      <c r="R609" s="1887"/>
      <c r="S609" s="1887"/>
      <c r="T609" s="1887"/>
      <c r="U609" s="1887"/>
      <c r="V609" s="1887"/>
      <c r="W609" s="1887"/>
      <c r="X609" s="1887"/>
      <c r="Y609" s="1887"/>
      <c r="Z609" s="1887"/>
      <c r="AA609" s="1887"/>
      <c r="AB609" s="1887"/>
      <c r="AC609" s="1887"/>
    </row>
    <row r="610">
      <c r="A610" s="1887"/>
      <c r="B610" s="1887"/>
      <c r="C610" s="1887"/>
      <c r="D610" s="1887"/>
      <c r="E610" s="1887"/>
      <c r="F610" s="1887"/>
      <c r="G610" s="1887"/>
      <c r="H610" s="1887"/>
      <c r="I610" s="1887"/>
      <c r="J610" s="1887"/>
      <c r="K610" s="1887"/>
      <c r="L610" s="1887"/>
      <c r="M610" s="1887"/>
      <c r="N610" s="1887"/>
      <c r="O610" s="1887"/>
      <c r="P610" s="1887"/>
      <c r="Q610" s="1887"/>
      <c r="R610" s="1887"/>
      <c r="S610" s="1887"/>
      <c r="T610" s="1887"/>
      <c r="U610" s="1887"/>
      <c r="V610" s="1887"/>
      <c r="W610" s="1887"/>
      <c r="X610" s="1887"/>
      <c r="Y610" s="1887"/>
      <c r="Z610" s="1887"/>
      <c r="AA610" s="1887"/>
      <c r="AB610" s="1887"/>
      <c r="AC610" s="1887"/>
    </row>
    <row r="611">
      <c r="A611" s="1887"/>
      <c r="B611" s="1887"/>
      <c r="C611" s="1887"/>
      <c r="D611" s="1887"/>
      <c r="E611" s="1887"/>
      <c r="F611" s="1887"/>
      <c r="G611" s="1887"/>
      <c r="H611" s="1887"/>
      <c r="I611" s="1887"/>
      <c r="J611" s="1887"/>
      <c r="K611" s="1887"/>
      <c r="L611" s="1887"/>
      <c r="M611" s="1887"/>
      <c r="N611" s="1887"/>
      <c r="O611" s="1887"/>
      <c r="P611" s="1887"/>
      <c r="Q611" s="1887"/>
      <c r="R611" s="1887"/>
      <c r="S611" s="1887"/>
      <c r="T611" s="1887"/>
      <c r="U611" s="1887"/>
      <c r="V611" s="1887"/>
      <c r="W611" s="1887"/>
      <c r="X611" s="1887"/>
      <c r="Y611" s="1887"/>
      <c r="Z611" s="1887"/>
      <c r="AA611" s="1887"/>
      <c r="AB611" s="1887"/>
      <c r="AC611" s="1887"/>
    </row>
    <row r="612">
      <c r="A612" s="1887"/>
      <c r="B612" s="1887"/>
      <c r="C612" s="1887"/>
      <c r="D612" s="1887"/>
      <c r="E612" s="1887"/>
      <c r="F612" s="1887"/>
      <c r="G612" s="1887"/>
      <c r="H612" s="1887"/>
      <c r="I612" s="1887"/>
      <c r="J612" s="1887"/>
      <c r="K612" s="1887"/>
      <c r="L612" s="1887"/>
      <c r="M612" s="1887"/>
      <c r="N612" s="1887"/>
      <c r="O612" s="1887"/>
      <c r="P612" s="1887"/>
      <c r="Q612" s="1887"/>
      <c r="R612" s="1887"/>
      <c r="S612" s="1887"/>
      <c r="T612" s="1887"/>
      <c r="U612" s="1887"/>
      <c r="V612" s="1887"/>
      <c r="W612" s="1887"/>
      <c r="X612" s="1887"/>
      <c r="Y612" s="1887"/>
      <c r="Z612" s="1887"/>
      <c r="AA612" s="1887"/>
      <c r="AB612" s="1887"/>
      <c r="AC612" s="1887"/>
    </row>
    <row r="613">
      <c r="A613" s="1887"/>
      <c r="B613" s="1887"/>
      <c r="C613" s="1887"/>
      <c r="D613" s="1887"/>
      <c r="E613" s="1887"/>
      <c r="F613" s="1887"/>
      <c r="G613" s="1887"/>
      <c r="H613" s="1887"/>
      <c r="I613" s="1887"/>
      <c r="J613" s="1887"/>
      <c r="K613" s="1887"/>
      <c r="L613" s="1887"/>
      <c r="M613" s="1887"/>
      <c r="N613" s="1887"/>
      <c r="O613" s="1887"/>
      <c r="P613" s="1887"/>
      <c r="Q613" s="1887"/>
      <c r="R613" s="1887"/>
      <c r="S613" s="1887"/>
      <c r="T613" s="1887"/>
      <c r="U613" s="1887"/>
      <c r="V613" s="1887"/>
      <c r="W613" s="1887"/>
      <c r="X613" s="1887"/>
      <c r="Y613" s="1887"/>
      <c r="Z613" s="1887"/>
      <c r="AA613" s="1887"/>
      <c r="AB613" s="1887"/>
      <c r="AC613" s="1887"/>
    </row>
    <row r="614">
      <c r="A614" s="1887"/>
      <c r="B614" s="1887"/>
      <c r="C614" s="1887"/>
      <c r="D614" s="1887"/>
      <c r="E614" s="1887"/>
      <c r="F614" s="1887"/>
      <c r="G614" s="1887"/>
      <c r="H614" s="1887"/>
      <c r="I614" s="1887"/>
      <c r="J614" s="1887"/>
      <c r="K614" s="1887"/>
      <c r="L614" s="1887"/>
      <c r="M614" s="1887"/>
      <c r="N614" s="1887"/>
      <c r="O614" s="1887"/>
      <c r="P614" s="1887"/>
      <c r="Q614" s="1887"/>
      <c r="R614" s="1887"/>
      <c r="S614" s="1887"/>
      <c r="T614" s="1887"/>
      <c r="U614" s="1887"/>
      <c r="V614" s="1887"/>
      <c r="W614" s="1887"/>
      <c r="X614" s="1887"/>
      <c r="Y614" s="1887"/>
      <c r="Z614" s="1887"/>
      <c r="AA614" s="1887"/>
      <c r="AB614" s="1887"/>
      <c r="AC614" s="1887"/>
    </row>
    <row r="615">
      <c r="A615" s="1887"/>
      <c r="B615" s="1887"/>
      <c r="C615" s="1887"/>
      <c r="D615" s="1887"/>
      <c r="E615" s="1887"/>
      <c r="F615" s="1887"/>
      <c r="G615" s="1887"/>
      <c r="H615" s="1887"/>
      <c r="I615" s="1887"/>
      <c r="J615" s="1887"/>
      <c r="K615" s="1887"/>
      <c r="L615" s="1887"/>
      <c r="M615" s="1887"/>
      <c r="N615" s="1887"/>
      <c r="O615" s="1887"/>
      <c r="P615" s="1887"/>
      <c r="Q615" s="1887"/>
      <c r="R615" s="1887"/>
      <c r="S615" s="1887"/>
      <c r="T615" s="1887"/>
      <c r="U615" s="1887"/>
      <c r="V615" s="1887"/>
      <c r="W615" s="1887"/>
      <c r="X615" s="1887"/>
      <c r="Y615" s="1887"/>
      <c r="Z615" s="1887"/>
      <c r="AA615" s="1887"/>
      <c r="AB615" s="1887"/>
      <c r="AC615" s="1887"/>
    </row>
    <row r="616">
      <c r="A616" s="1887"/>
      <c r="B616" s="1887"/>
      <c r="C616" s="1887"/>
      <c r="D616" s="1887"/>
      <c r="E616" s="1887"/>
      <c r="F616" s="1887"/>
      <c r="G616" s="1887"/>
      <c r="H616" s="1887"/>
      <c r="I616" s="1887"/>
      <c r="J616" s="1887"/>
      <c r="K616" s="1887"/>
      <c r="L616" s="1887"/>
      <c r="M616" s="1887"/>
      <c r="N616" s="1887"/>
      <c r="O616" s="1887"/>
      <c r="P616" s="1887"/>
      <c r="Q616" s="1887"/>
      <c r="R616" s="1887"/>
      <c r="S616" s="1887"/>
      <c r="T616" s="1887"/>
      <c r="U616" s="1887"/>
      <c r="V616" s="1887"/>
      <c r="W616" s="1887"/>
      <c r="X616" s="1887"/>
      <c r="Y616" s="1887"/>
      <c r="Z616" s="1887"/>
      <c r="AA616" s="1887"/>
      <c r="AB616" s="1887"/>
      <c r="AC616" s="1887"/>
    </row>
    <row r="617">
      <c r="A617" s="1887"/>
      <c r="B617" s="1887"/>
      <c r="C617" s="1887"/>
      <c r="D617" s="1887"/>
      <c r="E617" s="1887"/>
      <c r="F617" s="1887"/>
      <c r="G617" s="1887"/>
      <c r="H617" s="1887"/>
      <c r="I617" s="1887"/>
      <c r="J617" s="1887"/>
      <c r="K617" s="1887"/>
      <c r="L617" s="1887"/>
      <c r="M617" s="1887"/>
      <c r="N617" s="1887"/>
      <c r="O617" s="1887"/>
      <c r="P617" s="1887"/>
      <c r="Q617" s="1887"/>
      <c r="R617" s="1887"/>
      <c r="S617" s="1887"/>
      <c r="T617" s="1887"/>
      <c r="U617" s="1887"/>
      <c r="V617" s="1887"/>
      <c r="W617" s="1887"/>
      <c r="X617" s="1887"/>
      <c r="Y617" s="1887"/>
      <c r="Z617" s="1887"/>
      <c r="AA617" s="1887"/>
      <c r="AB617" s="1887"/>
      <c r="AC617" s="1887"/>
    </row>
    <row r="618">
      <c r="A618" s="1887"/>
      <c r="B618" s="1887"/>
      <c r="C618" s="1887"/>
      <c r="D618" s="1887"/>
      <c r="E618" s="1887"/>
      <c r="F618" s="1887"/>
      <c r="G618" s="1887"/>
      <c r="H618" s="1887"/>
      <c r="I618" s="1887"/>
      <c r="J618" s="1887"/>
      <c r="K618" s="1887"/>
      <c r="L618" s="1887"/>
      <c r="M618" s="1887"/>
      <c r="N618" s="1887"/>
      <c r="O618" s="1887"/>
      <c r="P618" s="1887"/>
      <c r="Q618" s="1887"/>
      <c r="R618" s="1887"/>
      <c r="S618" s="1887"/>
      <c r="T618" s="1887"/>
      <c r="U618" s="1887"/>
      <c r="V618" s="1887"/>
      <c r="W618" s="1887"/>
      <c r="X618" s="1887"/>
      <c r="Y618" s="1887"/>
      <c r="Z618" s="1887"/>
      <c r="AA618" s="1887"/>
      <c r="AB618" s="1887"/>
      <c r="AC618" s="1887"/>
    </row>
    <row r="619">
      <c r="A619" s="1887"/>
      <c r="B619" s="1887"/>
      <c r="C619" s="1887"/>
      <c r="D619" s="1887"/>
      <c r="E619" s="1887"/>
      <c r="F619" s="1887"/>
      <c r="G619" s="1887"/>
      <c r="H619" s="1887"/>
      <c r="I619" s="1887"/>
      <c r="J619" s="1887"/>
      <c r="K619" s="1887"/>
      <c r="L619" s="1887"/>
      <c r="M619" s="1887"/>
      <c r="N619" s="1887"/>
      <c r="O619" s="1887"/>
      <c r="P619" s="1887"/>
      <c r="Q619" s="1887"/>
      <c r="R619" s="1887"/>
      <c r="S619" s="1887"/>
      <c r="T619" s="1887"/>
      <c r="U619" s="1887"/>
      <c r="V619" s="1887"/>
      <c r="W619" s="1887"/>
      <c r="X619" s="1887"/>
      <c r="Y619" s="1887"/>
      <c r="Z619" s="1887"/>
      <c r="AA619" s="1887"/>
      <c r="AB619" s="1887"/>
      <c r="AC619" s="1887"/>
    </row>
    <row r="620">
      <c r="A620" s="1887"/>
      <c r="B620" s="1887"/>
      <c r="C620" s="1887"/>
      <c r="D620" s="1887"/>
      <c r="E620" s="1887"/>
      <c r="F620" s="1887"/>
      <c r="G620" s="1887"/>
      <c r="H620" s="1887"/>
      <c r="I620" s="1887"/>
      <c r="J620" s="1887"/>
      <c r="K620" s="1887"/>
      <c r="L620" s="1887"/>
      <c r="M620" s="1887"/>
      <c r="N620" s="1887"/>
      <c r="O620" s="1887"/>
      <c r="P620" s="1887"/>
      <c r="Q620" s="1887"/>
      <c r="R620" s="1887"/>
      <c r="S620" s="1887"/>
      <c r="T620" s="1887"/>
      <c r="U620" s="1887"/>
      <c r="V620" s="1887"/>
      <c r="W620" s="1887"/>
      <c r="X620" s="1887"/>
      <c r="Y620" s="1887"/>
      <c r="Z620" s="1887"/>
      <c r="AA620" s="1887"/>
      <c r="AB620" s="1887"/>
      <c r="AC620" s="1887"/>
    </row>
    <row r="621">
      <c r="A621" s="1887"/>
      <c r="B621" s="1887"/>
      <c r="C621" s="1887"/>
      <c r="D621" s="1887"/>
      <c r="E621" s="1887"/>
      <c r="F621" s="1887"/>
      <c r="G621" s="1887"/>
      <c r="H621" s="1887"/>
      <c r="I621" s="1887"/>
      <c r="J621" s="1887"/>
      <c r="K621" s="1887"/>
      <c r="L621" s="1887"/>
      <c r="M621" s="1887"/>
      <c r="N621" s="1887"/>
      <c r="O621" s="1887"/>
      <c r="P621" s="1887"/>
      <c r="Q621" s="1887"/>
      <c r="R621" s="1887"/>
      <c r="S621" s="1887"/>
      <c r="T621" s="1887"/>
      <c r="U621" s="1887"/>
      <c r="V621" s="1887"/>
      <c r="W621" s="1887"/>
      <c r="X621" s="1887"/>
      <c r="Y621" s="1887"/>
      <c r="Z621" s="1887"/>
      <c r="AA621" s="1887"/>
      <c r="AB621" s="1887"/>
      <c r="AC621" s="1887"/>
    </row>
    <row r="622">
      <c r="A622" s="1887"/>
      <c r="B622" s="1887"/>
      <c r="C622" s="1887"/>
      <c r="D622" s="1887"/>
      <c r="E622" s="1887"/>
      <c r="F622" s="1887"/>
      <c r="G622" s="1887"/>
      <c r="H622" s="1887"/>
      <c r="I622" s="1887"/>
      <c r="J622" s="1887"/>
      <c r="K622" s="1887"/>
      <c r="L622" s="1887"/>
      <c r="M622" s="1887"/>
      <c r="N622" s="1887"/>
      <c r="O622" s="1887"/>
      <c r="P622" s="1887"/>
      <c r="Q622" s="1887"/>
      <c r="R622" s="1887"/>
      <c r="S622" s="1887"/>
      <c r="T622" s="1887"/>
      <c r="U622" s="1887"/>
      <c r="V622" s="1887"/>
      <c r="W622" s="1887"/>
      <c r="X622" s="1887"/>
      <c r="Y622" s="1887"/>
      <c r="Z622" s="1887"/>
      <c r="AA622" s="1887"/>
      <c r="AB622" s="1887"/>
      <c r="AC622" s="1887"/>
    </row>
    <row r="623">
      <c r="A623" s="1887"/>
      <c r="B623" s="1887"/>
      <c r="C623" s="1887"/>
      <c r="D623" s="1887"/>
      <c r="E623" s="1887"/>
      <c r="F623" s="1887"/>
      <c r="G623" s="1887"/>
      <c r="H623" s="1887"/>
      <c r="I623" s="1887"/>
      <c r="J623" s="1887"/>
      <c r="K623" s="1887"/>
      <c r="L623" s="1887"/>
      <c r="M623" s="1887"/>
      <c r="N623" s="1887"/>
      <c r="O623" s="1887"/>
      <c r="P623" s="1887"/>
      <c r="Q623" s="1887"/>
      <c r="R623" s="1887"/>
      <c r="S623" s="1887"/>
      <c r="T623" s="1887"/>
      <c r="U623" s="1887"/>
      <c r="V623" s="1887"/>
      <c r="W623" s="1887"/>
      <c r="X623" s="1887"/>
      <c r="Y623" s="1887"/>
      <c r="Z623" s="1887"/>
      <c r="AA623" s="1887"/>
      <c r="AB623" s="1887"/>
      <c r="AC623" s="1887"/>
    </row>
    <row r="624">
      <c r="A624" s="1887"/>
      <c r="B624" s="1887"/>
      <c r="C624" s="1887"/>
      <c r="D624" s="1887"/>
      <c r="E624" s="1887"/>
      <c r="F624" s="1887"/>
      <c r="G624" s="1887"/>
      <c r="H624" s="1887"/>
      <c r="I624" s="1887"/>
      <c r="J624" s="1887"/>
      <c r="K624" s="1887"/>
      <c r="L624" s="1887"/>
      <c r="M624" s="1887"/>
      <c r="N624" s="1887"/>
      <c r="O624" s="1887"/>
      <c r="P624" s="1887"/>
      <c r="Q624" s="1887"/>
      <c r="R624" s="1887"/>
      <c r="S624" s="1887"/>
      <c r="T624" s="1887"/>
      <c r="U624" s="1887"/>
      <c r="V624" s="1887"/>
      <c r="W624" s="1887"/>
      <c r="X624" s="1887"/>
      <c r="Y624" s="1887"/>
      <c r="Z624" s="1887"/>
      <c r="AA624" s="1887"/>
      <c r="AB624" s="1887"/>
      <c r="AC624" s="1887"/>
    </row>
    <row r="625">
      <c r="A625" s="1887"/>
      <c r="B625" s="1887"/>
      <c r="C625" s="1887"/>
      <c r="D625" s="1887"/>
      <c r="E625" s="1887"/>
      <c r="F625" s="1887"/>
      <c r="G625" s="1887"/>
      <c r="H625" s="1887"/>
      <c r="I625" s="1887"/>
      <c r="J625" s="1887"/>
      <c r="K625" s="1887"/>
      <c r="L625" s="1887"/>
      <c r="M625" s="1887"/>
      <c r="N625" s="1887"/>
      <c r="O625" s="1887"/>
      <c r="P625" s="1887"/>
      <c r="Q625" s="1887"/>
      <c r="R625" s="1887"/>
      <c r="S625" s="1887"/>
      <c r="T625" s="1887"/>
      <c r="U625" s="1887"/>
      <c r="V625" s="1887"/>
      <c r="W625" s="1887"/>
      <c r="X625" s="1887"/>
      <c r="Y625" s="1887"/>
      <c r="Z625" s="1887"/>
      <c r="AA625" s="1887"/>
      <c r="AB625" s="1887"/>
      <c r="AC625" s="1887"/>
    </row>
    <row r="626">
      <c r="A626" s="1887"/>
      <c r="B626" s="1887"/>
      <c r="C626" s="1887"/>
      <c r="D626" s="1887"/>
      <c r="E626" s="1887"/>
      <c r="F626" s="1887"/>
      <c r="G626" s="1887"/>
      <c r="H626" s="1887"/>
      <c r="I626" s="1887"/>
      <c r="J626" s="1887"/>
      <c r="K626" s="1887"/>
      <c r="L626" s="1887"/>
      <c r="M626" s="1887"/>
      <c r="N626" s="1887"/>
      <c r="O626" s="1887"/>
      <c r="P626" s="1887"/>
      <c r="Q626" s="1887"/>
      <c r="R626" s="1887"/>
      <c r="S626" s="1887"/>
      <c r="T626" s="1887"/>
      <c r="U626" s="1887"/>
      <c r="V626" s="1887"/>
      <c r="W626" s="1887"/>
      <c r="X626" s="1887"/>
      <c r="Y626" s="1887"/>
      <c r="Z626" s="1887"/>
      <c r="AA626" s="1887"/>
      <c r="AB626" s="1887"/>
      <c r="AC626" s="1887"/>
    </row>
    <row r="627">
      <c r="A627" s="1887"/>
      <c r="B627" s="1887"/>
      <c r="C627" s="1887"/>
      <c r="D627" s="1887"/>
      <c r="E627" s="1887"/>
      <c r="F627" s="1887"/>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row>
    <row r="628">
      <c r="A628" s="1887"/>
      <c r="B628" s="1887"/>
      <c r="C628" s="1887"/>
      <c r="D628" s="1887"/>
      <c r="E628" s="1887"/>
      <c r="F628" s="1887"/>
      <c r="G628" s="1887"/>
      <c r="H628" s="1887"/>
      <c r="I628" s="1887"/>
      <c r="J628" s="1887"/>
      <c r="K628" s="1887"/>
      <c r="L628" s="1887"/>
      <c r="M628" s="1887"/>
      <c r="N628" s="1887"/>
      <c r="O628" s="1887"/>
      <c r="P628" s="1887"/>
      <c r="Q628" s="1887"/>
      <c r="R628" s="1887"/>
      <c r="S628" s="1887"/>
      <c r="T628" s="1887"/>
      <c r="U628" s="1887"/>
      <c r="V628" s="1887"/>
      <c r="W628" s="1887"/>
      <c r="X628" s="1887"/>
      <c r="Y628" s="1887"/>
      <c r="Z628" s="1887"/>
      <c r="AA628" s="1887"/>
      <c r="AB628" s="1887"/>
      <c r="AC628" s="1887"/>
    </row>
    <row r="629">
      <c r="A629" s="1887"/>
      <c r="B629" s="1887"/>
      <c r="C629" s="1887"/>
      <c r="D629" s="1887"/>
      <c r="E629" s="1887"/>
      <c r="F629" s="1887"/>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row>
    <row r="630">
      <c r="A630" s="1887"/>
      <c r="B630" s="1887"/>
      <c r="C630" s="1887"/>
      <c r="D630" s="1887"/>
      <c r="E630" s="1887"/>
      <c r="F630" s="1887"/>
      <c r="G630" s="1887"/>
      <c r="H630" s="1887"/>
      <c r="I630" s="1887"/>
      <c r="J630" s="1887"/>
      <c r="K630" s="1887"/>
      <c r="L630" s="1887"/>
      <c r="M630" s="1887"/>
      <c r="N630" s="1887"/>
      <c r="O630" s="1887"/>
      <c r="P630" s="1887"/>
      <c r="Q630" s="1887"/>
      <c r="R630" s="1887"/>
      <c r="S630" s="1887"/>
      <c r="T630" s="1887"/>
      <c r="U630" s="1887"/>
      <c r="V630" s="1887"/>
      <c r="W630" s="1887"/>
      <c r="X630" s="1887"/>
      <c r="Y630" s="1887"/>
      <c r="Z630" s="1887"/>
      <c r="AA630" s="1887"/>
      <c r="AB630" s="1887"/>
      <c r="AC630" s="1887"/>
    </row>
    <row r="631">
      <c r="A631" s="1887"/>
      <c r="B631" s="1887"/>
      <c r="C631" s="1887"/>
      <c r="D631" s="1887"/>
      <c r="E631" s="1887"/>
      <c r="F631" s="1887"/>
      <c r="G631" s="1887"/>
      <c r="H631" s="1887"/>
      <c r="I631" s="1887"/>
      <c r="J631" s="1887"/>
      <c r="K631" s="1887"/>
      <c r="L631" s="1887"/>
      <c r="M631" s="1887"/>
      <c r="N631" s="1887"/>
      <c r="O631" s="1887"/>
      <c r="P631" s="1887"/>
      <c r="Q631" s="1887"/>
      <c r="R631" s="1887"/>
      <c r="S631" s="1887"/>
      <c r="T631" s="1887"/>
      <c r="U631" s="1887"/>
      <c r="V631" s="1887"/>
      <c r="W631" s="1887"/>
      <c r="X631" s="1887"/>
      <c r="Y631" s="1887"/>
      <c r="Z631" s="1887"/>
      <c r="AA631" s="1887"/>
      <c r="AB631" s="1887"/>
      <c r="AC631" s="1887"/>
    </row>
    <row r="632">
      <c r="A632" s="1887"/>
      <c r="B632" s="1887"/>
      <c r="C632" s="1887"/>
      <c r="D632" s="1887"/>
      <c r="E632" s="1887"/>
      <c r="F632" s="1887"/>
      <c r="G632" s="1887"/>
      <c r="H632" s="1887"/>
      <c r="I632" s="1887"/>
      <c r="J632" s="1887"/>
      <c r="K632" s="1887"/>
      <c r="L632" s="1887"/>
      <c r="M632" s="1887"/>
      <c r="N632" s="1887"/>
      <c r="O632" s="1887"/>
      <c r="P632" s="1887"/>
      <c r="Q632" s="1887"/>
      <c r="R632" s="1887"/>
      <c r="S632" s="1887"/>
      <c r="T632" s="1887"/>
      <c r="U632" s="1887"/>
      <c r="V632" s="1887"/>
      <c r="W632" s="1887"/>
      <c r="X632" s="1887"/>
      <c r="Y632" s="1887"/>
      <c r="Z632" s="1887"/>
      <c r="AA632" s="1887"/>
      <c r="AB632" s="1887"/>
      <c r="AC632" s="1887"/>
    </row>
    <row r="633">
      <c r="A633" s="1887"/>
      <c r="B633" s="1887"/>
      <c r="C633" s="1887"/>
      <c r="D633" s="1887"/>
      <c r="E633" s="1887"/>
      <c r="F633" s="1887"/>
      <c r="G633" s="1887"/>
      <c r="H633" s="1887"/>
      <c r="I633" s="1887"/>
      <c r="J633" s="1887"/>
      <c r="K633" s="1887"/>
      <c r="L633" s="1887"/>
      <c r="M633" s="1887"/>
      <c r="N633" s="1887"/>
      <c r="O633" s="1887"/>
      <c r="P633" s="1887"/>
      <c r="Q633" s="1887"/>
      <c r="R633" s="1887"/>
      <c r="S633" s="1887"/>
      <c r="T633" s="1887"/>
      <c r="U633" s="1887"/>
      <c r="V633" s="1887"/>
      <c r="W633" s="1887"/>
      <c r="X633" s="1887"/>
      <c r="Y633" s="1887"/>
      <c r="Z633" s="1887"/>
      <c r="AA633" s="1887"/>
      <c r="AB633" s="1887"/>
      <c r="AC633" s="1887"/>
    </row>
    <row r="634">
      <c r="A634" s="1887"/>
      <c r="B634" s="1887"/>
      <c r="C634" s="1887"/>
      <c r="D634" s="1887"/>
      <c r="E634" s="1887"/>
      <c r="F634" s="1887"/>
      <c r="G634" s="1887"/>
      <c r="H634" s="1887"/>
      <c r="I634" s="1887"/>
      <c r="J634" s="1887"/>
      <c r="K634" s="1887"/>
      <c r="L634" s="1887"/>
      <c r="M634" s="1887"/>
      <c r="N634" s="1887"/>
      <c r="O634" s="1887"/>
      <c r="P634" s="1887"/>
      <c r="Q634" s="1887"/>
      <c r="R634" s="1887"/>
      <c r="S634" s="1887"/>
      <c r="T634" s="1887"/>
      <c r="U634" s="1887"/>
      <c r="V634" s="1887"/>
      <c r="W634" s="1887"/>
      <c r="X634" s="1887"/>
      <c r="Y634" s="1887"/>
      <c r="Z634" s="1887"/>
      <c r="AA634" s="1887"/>
      <c r="AB634" s="1887"/>
      <c r="AC634" s="1887"/>
    </row>
    <row r="635">
      <c r="A635" s="1887"/>
      <c r="B635" s="1887"/>
      <c r="C635" s="1887"/>
      <c r="D635" s="1887"/>
      <c r="E635" s="1887"/>
      <c r="F635" s="1887"/>
      <c r="G635" s="1887"/>
      <c r="H635" s="1887"/>
      <c r="I635" s="1887"/>
      <c r="J635" s="1887"/>
      <c r="K635" s="1887"/>
      <c r="L635" s="1887"/>
      <c r="M635" s="1887"/>
      <c r="N635" s="1887"/>
      <c r="O635" s="1887"/>
      <c r="P635" s="1887"/>
      <c r="Q635" s="1887"/>
      <c r="R635" s="1887"/>
      <c r="S635" s="1887"/>
      <c r="T635" s="1887"/>
      <c r="U635" s="1887"/>
      <c r="V635" s="1887"/>
      <c r="W635" s="1887"/>
      <c r="X635" s="1887"/>
      <c r="Y635" s="1887"/>
      <c r="Z635" s="1887"/>
      <c r="AA635" s="1887"/>
      <c r="AB635" s="1887"/>
      <c r="AC635" s="1887"/>
    </row>
    <row r="636">
      <c r="A636" s="1887"/>
      <c r="B636" s="1887"/>
      <c r="C636" s="1887"/>
      <c r="D636" s="1887"/>
      <c r="E636" s="1887"/>
      <c r="F636" s="1887"/>
      <c r="G636" s="1887"/>
      <c r="H636" s="1887"/>
      <c r="I636" s="1887"/>
      <c r="J636" s="1887"/>
      <c r="K636" s="1887"/>
      <c r="L636" s="1887"/>
      <c r="M636" s="1887"/>
      <c r="N636" s="1887"/>
      <c r="O636" s="1887"/>
      <c r="P636" s="1887"/>
      <c r="Q636" s="1887"/>
      <c r="R636" s="1887"/>
      <c r="S636" s="1887"/>
      <c r="T636" s="1887"/>
      <c r="U636" s="1887"/>
      <c r="V636" s="1887"/>
      <c r="W636" s="1887"/>
      <c r="X636" s="1887"/>
      <c r="Y636" s="1887"/>
      <c r="Z636" s="1887"/>
      <c r="AA636" s="1887"/>
      <c r="AB636" s="1887"/>
      <c r="AC636" s="1887"/>
    </row>
    <row r="637">
      <c r="A637" s="1887"/>
      <c r="B637" s="1887"/>
      <c r="C637" s="1887"/>
      <c r="D637" s="1887"/>
      <c r="E637" s="1887"/>
      <c r="F637" s="1887"/>
      <c r="G637" s="1887"/>
      <c r="H637" s="1887"/>
      <c r="I637" s="1887"/>
      <c r="J637" s="1887"/>
      <c r="K637" s="1887"/>
      <c r="L637" s="1887"/>
      <c r="M637" s="1887"/>
      <c r="N637" s="1887"/>
      <c r="O637" s="1887"/>
      <c r="P637" s="1887"/>
      <c r="Q637" s="1887"/>
      <c r="R637" s="1887"/>
      <c r="S637" s="1887"/>
      <c r="T637" s="1887"/>
      <c r="U637" s="1887"/>
      <c r="V637" s="1887"/>
      <c r="W637" s="1887"/>
      <c r="X637" s="1887"/>
      <c r="Y637" s="1887"/>
      <c r="Z637" s="1887"/>
      <c r="AA637" s="1887"/>
      <c r="AB637" s="1887"/>
      <c r="AC637" s="1887"/>
    </row>
    <row r="638">
      <c r="A638" s="1887"/>
      <c r="B638" s="1887"/>
      <c r="C638" s="1887"/>
      <c r="D638" s="1887"/>
      <c r="E638" s="1887"/>
      <c r="F638" s="1887"/>
      <c r="G638" s="1887"/>
      <c r="H638" s="1887"/>
      <c r="I638" s="1887"/>
      <c r="J638" s="1887"/>
      <c r="K638" s="1887"/>
      <c r="L638" s="1887"/>
      <c r="M638" s="1887"/>
      <c r="N638" s="1887"/>
      <c r="O638" s="1887"/>
      <c r="P638" s="1887"/>
      <c r="Q638" s="1887"/>
      <c r="R638" s="1887"/>
      <c r="S638" s="1887"/>
      <c r="T638" s="1887"/>
      <c r="U638" s="1887"/>
      <c r="V638" s="1887"/>
      <c r="W638" s="1887"/>
      <c r="X638" s="1887"/>
      <c r="Y638" s="1887"/>
      <c r="Z638" s="1887"/>
      <c r="AA638" s="1887"/>
      <c r="AB638" s="1887"/>
      <c r="AC638" s="1887"/>
    </row>
    <row r="639">
      <c r="A639" s="1887"/>
      <c r="B639" s="1887"/>
      <c r="C639" s="1887"/>
      <c r="D639" s="1887"/>
      <c r="E639" s="1887"/>
      <c r="F639" s="1887"/>
      <c r="G639" s="1887"/>
      <c r="H639" s="1887"/>
      <c r="I639" s="1887"/>
      <c r="J639" s="1887"/>
      <c r="K639" s="1887"/>
      <c r="L639" s="1887"/>
      <c r="M639" s="1887"/>
      <c r="N639" s="1887"/>
      <c r="O639" s="1887"/>
      <c r="P639" s="1887"/>
      <c r="Q639" s="1887"/>
      <c r="R639" s="1887"/>
      <c r="S639" s="1887"/>
      <c r="T639" s="1887"/>
      <c r="U639" s="1887"/>
      <c r="V639" s="1887"/>
      <c r="W639" s="1887"/>
      <c r="X639" s="1887"/>
      <c r="Y639" s="1887"/>
      <c r="Z639" s="1887"/>
      <c r="AA639" s="1887"/>
      <c r="AB639" s="1887"/>
      <c r="AC639" s="1887"/>
    </row>
    <row r="640">
      <c r="A640" s="1887"/>
      <c r="B640" s="1887"/>
      <c r="C640" s="1887"/>
      <c r="D640" s="1887"/>
      <c r="E640" s="1887"/>
      <c r="F640" s="1887"/>
      <c r="G640" s="1887"/>
      <c r="H640" s="1887"/>
      <c r="I640" s="1887"/>
      <c r="J640" s="1887"/>
      <c r="K640" s="1887"/>
      <c r="L640" s="1887"/>
      <c r="M640" s="1887"/>
      <c r="N640" s="1887"/>
      <c r="O640" s="1887"/>
      <c r="P640" s="1887"/>
      <c r="Q640" s="1887"/>
      <c r="R640" s="1887"/>
      <c r="S640" s="1887"/>
      <c r="T640" s="1887"/>
      <c r="U640" s="1887"/>
      <c r="V640" s="1887"/>
      <c r="W640" s="1887"/>
      <c r="X640" s="1887"/>
      <c r="Y640" s="1887"/>
      <c r="Z640" s="1887"/>
      <c r="AA640" s="1887"/>
      <c r="AB640" s="1887"/>
      <c r="AC640" s="1887"/>
    </row>
    <row r="641">
      <c r="A641" s="1887"/>
      <c r="B641" s="1887"/>
      <c r="C641" s="1887"/>
      <c r="D641" s="1887"/>
      <c r="E641" s="1887"/>
      <c r="F641" s="1887"/>
      <c r="G641" s="1887"/>
      <c r="H641" s="1887"/>
      <c r="I641" s="1887"/>
      <c r="J641" s="1887"/>
      <c r="K641" s="1887"/>
      <c r="L641" s="1887"/>
      <c r="M641" s="1887"/>
      <c r="N641" s="1887"/>
      <c r="O641" s="1887"/>
      <c r="P641" s="1887"/>
      <c r="Q641" s="1887"/>
      <c r="R641" s="1887"/>
      <c r="S641" s="1887"/>
      <c r="T641" s="1887"/>
      <c r="U641" s="1887"/>
      <c r="V641" s="1887"/>
      <c r="W641" s="1887"/>
      <c r="X641" s="1887"/>
      <c r="Y641" s="1887"/>
      <c r="Z641" s="1887"/>
      <c r="AA641" s="1887"/>
      <c r="AB641" s="1887"/>
      <c r="AC641" s="1887"/>
    </row>
    <row r="642">
      <c r="A642" s="1887"/>
      <c r="B642" s="1887"/>
      <c r="C642" s="1887"/>
      <c r="D642" s="1887"/>
      <c r="E642" s="1887"/>
      <c r="F642" s="1887"/>
      <c r="G642" s="1887"/>
      <c r="H642" s="1887"/>
      <c r="I642" s="1887"/>
      <c r="J642" s="1887"/>
      <c r="K642" s="1887"/>
      <c r="L642" s="1887"/>
      <c r="M642" s="1887"/>
      <c r="N642" s="1887"/>
      <c r="O642" s="1887"/>
      <c r="P642" s="1887"/>
      <c r="Q642" s="1887"/>
      <c r="R642" s="1887"/>
      <c r="S642" s="1887"/>
      <c r="T642" s="1887"/>
      <c r="U642" s="1887"/>
      <c r="V642" s="1887"/>
      <c r="W642" s="1887"/>
      <c r="X642" s="1887"/>
      <c r="Y642" s="1887"/>
      <c r="Z642" s="1887"/>
      <c r="AA642" s="1887"/>
      <c r="AB642" s="1887"/>
      <c r="AC642" s="1887"/>
    </row>
    <row r="643">
      <c r="A643" s="1887"/>
      <c r="B643" s="1887"/>
      <c r="C643" s="1887"/>
      <c r="D643" s="1887"/>
      <c r="E643" s="1887"/>
      <c r="F643" s="1887"/>
      <c r="G643" s="1887"/>
      <c r="H643" s="1887"/>
      <c r="I643" s="1887"/>
      <c r="J643" s="1887"/>
      <c r="K643" s="1887"/>
      <c r="L643" s="1887"/>
      <c r="M643" s="1887"/>
      <c r="N643" s="1887"/>
      <c r="O643" s="1887"/>
      <c r="P643" s="1887"/>
      <c r="Q643" s="1887"/>
      <c r="R643" s="1887"/>
      <c r="S643" s="1887"/>
      <c r="T643" s="1887"/>
      <c r="U643" s="1887"/>
      <c r="V643" s="1887"/>
      <c r="W643" s="1887"/>
      <c r="X643" s="1887"/>
      <c r="Y643" s="1887"/>
      <c r="Z643" s="1887"/>
      <c r="AA643" s="1887"/>
      <c r="AB643" s="1887"/>
      <c r="AC643" s="1887"/>
    </row>
    <row r="644">
      <c r="A644" s="1887"/>
      <c r="B644" s="1887"/>
      <c r="C644" s="1887"/>
      <c r="D644" s="1887"/>
      <c r="E644" s="1887"/>
      <c r="F644" s="1887"/>
      <c r="G644" s="1887"/>
      <c r="H644" s="1887"/>
      <c r="I644" s="1887"/>
      <c r="J644" s="1887"/>
      <c r="K644" s="1887"/>
      <c r="L644" s="1887"/>
      <c r="M644" s="1887"/>
      <c r="N644" s="1887"/>
      <c r="O644" s="1887"/>
      <c r="P644" s="1887"/>
      <c r="Q644" s="1887"/>
      <c r="R644" s="1887"/>
      <c r="S644" s="1887"/>
      <c r="T644" s="1887"/>
      <c r="U644" s="1887"/>
      <c r="V644" s="1887"/>
      <c r="W644" s="1887"/>
      <c r="X644" s="1887"/>
      <c r="Y644" s="1887"/>
      <c r="Z644" s="1887"/>
      <c r="AA644" s="1887"/>
      <c r="AB644" s="1887"/>
      <c r="AC644" s="1887"/>
    </row>
    <row r="645">
      <c r="A645" s="1887"/>
      <c r="B645" s="1887"/>
      <c r="C645" s="1887"/>
      <c r="D645" s="1887"/>
      <c r="E645" s="1887"/>
      <c r="F645" s="1887"/>
      <c r="G645" s="1887"/>
      <c r="H645" s="1887"/>
      <c r="I645" s="1887"/>
      <c r="J645" s="1887"/>
      <c r="K645" s="1887"/>
      <c r="L645" s="1887"/>
      <c r="M645" s="1887"/>
      <c r="N645" s="1887"/>
      <c r="O645" s="1887"/>
      <c r="P645" s="1887"/>
      <c r="Q645" s="1887"/>
      <c r="R645" s="1887"/>
      <c r="S645" s="1887"/>
      <c r="T645" s="1887"/>
      <c r="U645" s="1887"/>
      <c r="V645" s="1887"/>
      <c r="W645" s="1887"/>
      <c r="X645" s="1887"/>
      <c r="Y645" s="1887"/>
      <c r="Z645" s="1887"/>
      <c r="AA645" s="1887"/>
      <c r="AB645" s="1887"/>
      <c r="AC645" s="1887"/>
    </row>
    <row r="646">
      <c r="A646" s="1887"/>
      <c r="B646" s="1887"/>
      <c r="C646" s="1887"/>
      <c r="D646" s="1887"/>
      <c r="E646" s="1887"/>
      <c r="F646" s="1887"/>
      <c r="G646" s="1887"/>
      <c r="H646" s="1887"/>
      <c r="I646" s="1887"/>
      <c r="J646" s="1887"/>
      <c r="K646" s="1887"/>
      <c r="L646" s="1887"/>
      <c r="M646" s="1887"/>
      <c r="N646" s="1887"/>
      <c r="O646" s="1887"/>
      <c r="P646" s="1887"/>
      <c r="Q646" s="1887"/>
      <c r="R646" s="1887"/>
      <c r="S646" s="1887"/>
      <c r="T646" s="1887"/>
      <c r="U646" s="1887"/>
      <c r="V646" s="1887"/>
      <c r="W646" s="1887"/>
      <c r="X646" s="1887"/>
      <c r="Y646" s="1887"/>
      <c r="Z646" s="1887"/>
      <c r="AA646" s="1887"/>
      <c r="AB646" s="1887"/>
      <c r="AC646" s="1887"/>
    </row>
    <row r="647">
      <c r="A647" s="1887"/>
      <c r="B647" s="1887"/>
      <c r="C647" s="1887"/>
      <c r="D647" s="1887"/>
      <c r="E647" s="1887"/>
      <c r="F647" s="1887"/>
      <c r="G647" s="1887"/>
      <c r="H647" s="1887"/>
      <c r="I647" s="1887"/>
      <c r="J647" s="1887"/>
      <c r="K647" s="1887"/>
      <c r="L647" s="1887"/>
      <c r="M647" s="1887"/>
      <c r="N647" s="1887"/>
      <c r="O647" s="1887"/>
      <c r="P647" s="1887"/>
      <c r="Q647" s="1887"/>
      <c r="R647" s="1887"/>
      <c r="S647" s="1887"/>
      <c r="T647" s="1887"/>
      <c r="U647" s="1887"/>
      <c r="V647" s="1887"/>
      <c r="W647" s="1887"/>
      <c r="X647" s="1887"/>
      <c r="Y647" s="1887"/>
      <c r="Z647" s="1887"/>
      <c r="AA647" s="1887"/>
      <c r="AB647" s="1887"/>
      <c r="AC647" s="1887"/>
    </row>
    <row r="648">
      <c r="A648" s="1887"/>
      <c r="B648" s="1887"/>
      <c r="C648" s="1887"/>
      <c r="D648" s="1887"/>
      <c r="E648" s="1887"/>
      <c r="F648" s="1887"/>
      <c r="G648" s="1887"/>
      <c r="H648" s="1887"/>
      <c r="I648" s="1887"/>
      <c r="J648" s="1887"/>
      <c r="K648" s="1887"/>
      <c r="L648" s="1887"/>
      <c r="M648" s="1887"/>
      <c r="N648" s="1887"/>
      <c r="O648" s="1887"/>
      <c r="P648" s="1887"/>
      <c r="Q648" s="1887"/>
      <c r="R648" s="1887"/>
      <c r="S648" s="1887"/>
      <c r="T648" s="1887"/>
      <c r="U648" s="1887"/>
      <c r="V648" s="1887"/>
      <c r="W648" s="1887"/>
      <c r="X648" s="1887"/>
      <c r="Y648" s="1887"/>
      <c r="Z648" s="1887"/>
      <c r="AA648" s="1887"/>
      <c r="AB648" s="1887"/>
      <c r="AC648" s="1887"/>
    </row>
    <row r="649">
      <c r="A649" s="1887"/>
      <c r="B649" s="1887"/>
      <c r="C649" s="1887"/>
      <c r="D649" s="1887"/>
      <c r="E649" s="1887"/>
      <c r="F649" s="1887"/>
      <c r="G649" s="1887"/>
      <c r="H649" s="1887"/>
      <c r="I649" s="1887"/>
      <c r="J649" s="1887"/>
      <c r="K649" s="1887"/>
      <c r="L649" s="1887"/>
      <c r="M649" s="1887"/>
      <c r="N649" s="1887"/>
      <c r="O649" s="1887"/>
      <c r="P649" s="1887"/>
      <c r="Q649" s="1887"/>
      <c r="R649" s="1887"/>
      <c r="S649" s="1887"/>
      <c r="T649" s="1887"/>
      <c r="U649" s="1887"/>
      <c r="V649" s="1887"/>
      <c r="W649" s="1887"/>
      <c r="X649" s="1887"/>
      <c r="Y649" s="1887"/>
      <c r="Z649" s="1887"/>
      <c r="AA649" s="1887"/>
      <c r="AB649" s="1887"/>
      <c r="AC649" s="1887"/>
    </row>
    <row r="650">
      <c r="A650" s="1887"/>
      <c r="B650" s="1887"/>
      <c r="C650" s="1887"/>
      <c r="D650" s="1887"/>
      <c r="E650" s="1887"/>
      <c r="F650" s="1887"/>
      <c r="G650" s="1887"/>
      <c r="H650" s="1887"/>
      <c r="I650" s="1887"/>
      <c r="J650" s="1887"/>
      <c r="K650" s="1887"/>
      <c r="L650" s="1887"/>
      <c r="M650" s="1887"/>
      <c r="N650" s="1887"/>
      <c r="O650" s="1887"/>
      <c r="P650" s="1887"/>
      <c r="Q650" s="1887"/>
      <c r="R650" s="1887"/>
      <c r="S650" s="1887"/>
      <c r="T650" s="1887"/>
      <c r="U650" s="1887"/>
      <c r="V650" s="1887"/>
      <c r="W650" s="1887"/>
      <c r="X650" s="1887"/>
      <c r="Y650" s="1887"/>
      <c r="Z650" s="1887"/>
      <c r="AA650" s="1887"/>
      <c r="AB650" s="1887"/>
      <c r="AC650" s="1887"/>
    </row>
    <row r="651">
      <c r="A651" s="1887"/>
      <c r="B651" s="1887"/>
      <c r="C651" s="1887"/>
      <c r="D651" s="1887"/>
      <c r="E651" s="1887"/>
      <c r="F651" s="1887"/>
      <c r="G651" s="1887"/>
      <c r="H651" s="1887"/>
      <c r="I651" s="1887"/>
      <c r="J651" s="1887"/>
      <c r="K651" s="1887"/>
      <c r="L651" s="1887"/>
      <c r="M651" s="1887"/>
      <c r="N651" s="1887"/>
      <c r="O651" s="1887"/>
      <c r="P651" s="1887"/>
      <c r="Q651" s="1887"/>
      <c r="R651" s="1887"/>
      <c r="S651" s="1887"/>
      <c r="T651" s="1887"/>
      <c r="U651" s="1887"/>
      <c r="V651" s="1887"/>
      <c r="W651" s="1887"/>
      <c r="X651" s="1887"/>
      <c r="Y651" s="1887"/>
      <c r="Z651" s="1887"/>
      <c r="AA651" s="1887"/>
      <c r="AB651" s="1887"/>
      <c r="AC651" s="1887"/>
    </row>
    <row r="652">
      <c r="A652" s="1887"/>
      <c r="B652" s="1887"/>
      <c r="C652" s="1887"/>
      <c r="D652" s="1887"/>
      <c r="E652" s="1887"/>
      <c r="F652" s="1887"/>
      <c r="G652" s="1887"/>
      <c r="H652" s="1887"/>
      <c r="I652" s="1887"/>
      <c r="J652" s="1887"/>
      <c r="K652" s="1887"/>
      <c r="L652" s="1887"/>
      <c r="M652" s="1887"/>
      <c r="N652" s="1887"/>
      <c r="O652" s="1887"/>
      <c r="P652" s="1887"/>
      <c r="Q652" s="1887"/>
      <c r="R652" s="1887"/>
      <c r="S652" s="1887"/>
      <c r="T652" s="1887"/>
      <c r="U652" s="1887"/>
      <c r="V652" s="1887"/>
      <c r="W652" s="1887"/>
      <c r="X652" s="1887"/>
      <c r="Y652" s="1887"/>
      <c r="Z652" s="1887"/>
      <c r="AA652" s="1887"/>
      <c r="AB652" s="1887"/>
      <c r="AC652" s="1887"/>
    </row>
    <row r="653">
      <c r="A653" s="1887"/>
      <c r="B653" s="1887"/>
      <c r="C653" s="1887"/>
      <c r="D653" s="1887"/>
      <c r="E653" s="1887"/>
      <c r="F653" s="1887"/>
      <c r="G653" s="1887"/>
      <c r="H653" s="1887"/>
      <c r="I653" s="1887"/>
      <c r="J653" s="1887"/>
      <c r="K653" s="1887"/>
      <c r="L653" s="1887"/>
      <c r="M653" s="1887"/>
      <c r="N653" s="1887"/>
      <c r="O653" s="1887"/>
      <c r="P653" s="1887"/>
      <c r="Q653" s="1887"/>
      <c r="R653" s="1887"/>
      <c r="S653" s="1887"/>
      <c r="T653" s="1887"/>
      <c r="U653" s="1887"/>
      <c r="V653" s="1887"/>
      <c r="W653" s="1887"/>
      <c r="X653" s="1887"/>
      <c r="Y653" s="1887"/>
      <c r="Z653" s="1887"/>
      <c r="AA653" s="1887"/>
      <c r="AB653" s="1887"/>
      <c r="AC653" s="1887"/>
    </row>
    <row r="654">
      <c r="A654" s="1887"/>
      <c r="B654" s="1887"/>
      <c r="C654" s="1887"/>
      <c r="D654" s="1887"/>
      <c r="E654" s="1887"/>
      <c r="F654" s="1887"/>
      <c r="G654" s="1887"/>
      <c r="H654" s="1887"/>
      <c r="I654" s="1887"/>
      <c r="J654" s="1887"/>
      <c r="K654" s="1887"/>
      <c r="L654" s="1887"/>
      <c r="M654" s="1887"/>
      <c r="N654" s="1887"/>
      <c r="O654" s="1887"/>
      <c r="P654" s="1887"/>
      <c r="Q654" s="1887"/>
      <c r="R654" s="1887"/>
      <c r="S654" s="1887"/>
      <c r="T654" s="1887"/>
      <c r="U654" s="1887"/>
      <c r="V654" s="1887"/>
      <c r="W654" s="1887"/>
      <c r="X654" s="1887"/>
      <c r="Y654" s="1887"/>
      <c r="Z654" s="1887"/>
      <c r="AA654" s="1887"/>
      <c r="AB654" s="1887"/>
      <c r="AC654" s="1887"/>
    </row>
    <row r="655">
      <c r="A655" s="1887"/>
      <c r="B655" s="1887"/>
      <c r="C655" s="1887"/>
      <c r="D655" s="1887"/>
      <c r="E655" s="1887"/>
      <c r="F655" s="1887"/>
      <c r="G655" s="1887"/>
      <c r="H655" s="1887"/>
      <c r="I655" s="1887"/>
      <c r="J655" s="1887"/>
      <c r="K655" s="1887"/>
      <c r="L655" s="1887"/>
      <c r="M655" s="1887"/>
      <c r="N655" s="1887"/>
      <c r="O655" s="1887"/>
      <c r="P655" s="1887"/>
      <c r="Q655" s="1887"/>
      <c r="R655" s="1887"/>
      <c r="S655" s="1887"/>
      <c r="T655" s="1887"/>
      <c r="U655" s="1887"/>
      <c r="V655" s="1887"/>
      <c r="W655" s="1887"/>
      <c r="X655" s="1887"/>
      <c r="Y655" s="1887"/>
      <c r="Z655" s="1887"/>
      <c r="AA655" s="1887"/>
      <c r="AB655" s="1887"/>
      <c r="AC655" s="1887"/>
    </row>
    <row r="656">
      <c r="A656" s="1887"/>
      <c r="B656" s="1887"/>
      <c r="C656" s="1887"/>
      <c r="D656" s="1887"/>
      <c r="E656" s="1887"/>
      <c r="F656" s="1887"/>
      <c r="G656" s="1887"/>
      <c r="H656" s="1887"/>
      <c r="I656" s="1887"/>
      <c r="J656" s="1887"/>
      <c r="K656" s="1887"/>
      <c r="L656" s="1887"/>
      <c r="M656" s="1887"/>
      <c r="N656" s="1887"/>
      <c r="O656" s="1887"/>
      <c r="P656" s="1887"/>
      <c r="Q656" s="1887"/>
      <c r="R656" s="1887"/>
      <c r="S656" s="1887"/>
      <c r="T656" s="1887"/>
      <c r="U656" s="1887"/>
      <c r="V656" s="1887"/>
      <c r="W656" s="1887"/>
      <c r="X656" s="1887"/>
      <c r="Y656" s="1887"/>
      <c r="Z656" s="1887"/>
      <c r="AA656" s="1887"/>
      <c r="AB656" s="1887"/>
      <c r="AC656" s="1887"/>
    </row>
    <row r="657">
      <c r="A657" s="1887"/>
      <c r="B657" s="1887"/>
      <c r="C657" s="1887"/>
      <c r="D657" s="1887"/>
      <c r="E657" s="1887"/>
      <c r="F657" s="1887"/>
      <c r="G657" s="1887"/>
      <c r="H657" s="1887"/>
      <c r="I657" s="1887"/>
      <c r="J657" s="1887"/>
      <c r="K657" s="1887"/>
      <c r="L657" s="1887"/>
      <c r="M657" s="1887"/>
      <c r="N657" s="1887"/>
      <c r="O657" s="1887"/>
      <c r="P657" s="1887"/>
      <c r="Q657" s="1887"/>
      <c r="R657" s="1887"/>
      <c r="S657" s="1887"/>
      <c r="T657" s="1887"/>
      <c r="U657" s="1887"/>
      <c r="V657" s="1887"/>
      <c r="W657" s="1887"/>
      <c r="X657" s="1887"/>
      <c r="Y657" s="1887"/>
      <c r="Z657" s="1887"/>
      <c r="AA657" s="1887"/>
      <c r="AB657" s="1887"/>
      <c r="AC657" s="1887"/>
    </row>
    <row r="658">
      <c r="A658" s="1887"/>
      <c r="B658" s="1887"/>
      <c r="C658" s="1887"/>
      <c r="D658" s="1887"/>
      <c r="E658" s="1887"/>
      <c r="F658" s="1887"/>
      <c r="G658" s="1887"/>
      <c r="H658" s="1887"/>
      <c r="I658" s="1887"/>
      <c r="J658" s="1887"/>
      <c r="K658" s="1887"/>
      <c r="L658" s="1887"/>
      <c r="M658" s="1887"/>
      <c r="N658" s="1887"/>
      <c r="O658" s="1887"/>
      <c r="P658" s="1887"/>
      <c r="Q658" s="1887"/>
      <c r="R658" s="1887"/>
      <c r="S658" s="1887"/>
      <c r="T658" s="1887"/>
      <c r="U658" s="1887"/>
      <c r="V658" s="1887"/>
      <c r="W658" s="1887"/>
      <c r="X658" s="1887"/>
      <c r="Y658" s="1887"/>
      <c r="Z658" s="1887"/>
      <c r="AA658" s="1887"/>
      <c r="AB658" s="1887"/>
      <c r="AC658" s="1887"/>
    </row>
    <row r="659">
      <c r="A659" s="1887"/>
      <c r="B659" s="1887"/>
      <c r="C659" s="1887"/>
      <c r="D659" s="1887"/>
      <c r="E659" s="1887"/>
      <c r="F659" s="1887"/>
      <c r="G659" s="1887"/>
      <c r="H659" s="1887"/>
      <c r="I659" s="1887"/>
      <c r="J659" s="1887"/>
      <c r="K659" s="1887"/>
      <c r="L659" s="1887"/>
      <c r="M659" s="1887"/>
      <c r="N659" s="1887"/>
      <c r="O659" s="1887"/>
      <c r="P659" s="1887"/>
      <c r="Q659" s="1887"/>
      <c r="R659" s="1887"/>
      <c r="S659" s="1887"/>
      <c r="T659" s="1887"/>
      <c r="U659" s="1887"/>
      <c r="V659" s="1887"/>
      <c r="W659" s="1887"/>
      <c r="X659" s="1887"/>
      <c r="Y659" s="1887"/>
      <c r="Z659" s="1887"/>
      <c r="AA659" s="1887"/>
      <c r="AB659" s="1887"/>
      <c r="AC659" s="1887"/>
    </row>
    <row r="660">
      <c r="A660" s="1887"/>
      <c r="B660" s="1887"/>
      <c r="C660" s="1887"/>
      <c r="D660" s="1887"/>
      <c r="E660" s="1887"/>
      <c r="F660" s="1887"/>
      <c r="G660" s="1887"/>
      <c r="H660" s="1887"/>
      <c r="I660" s="1887"/>
      <c r="J660" s="1887"/>
      <c r="K660" s="1887"/>
      <c r="L660" s="1887"/>
      <c r="M660" s="1887"/>
      <c r="N660" s="1887"/>
      <c r="O660" s="1887"/>
      <c r="P660" s="1887"/>
      <c r="Q660" s="1887"/>
      <c r="R660" s="1887"/>
      <c r="S660" s="1887"/>
      <c r="T660" s="1887"/>
      <c r="U660" s="1887"/>
      <c r="V660" s="1887"/>
      <c r="W660" s="1887"/>
      <c r="X660" s="1887"/>
      <c r="Y660" s="1887"/>
      <c r="Z660" s="1887"/>
      <c r="AA660" s="1887"/>
      <c r="AB660" s="1887"/>
      <c r="AC660" s="1887"/>
    </row>
    <row r="661">
      <c r="A661" s="1887"/>
      <c r="B661" s="1887"/>
      <c r="C661" s="1887"/>
      <c r="D661" s="1887"/>
      <c r="E661" s="1887"/>
      <c r="F661" s="1887"/>
      <c r="G661" s="1887"/>
      <c r="H661" s="1887"/>
      <c r="I661" s="1887"/>
      <c r="J661" s="1887"/>
      <c r="K661" s="1887"/>
      <c r="L661" s="1887"/>
      <c r="M661" s="1887"/>
      <c r="N661" s="1887"/>
      <c r="O661" s="1887"/>
      <c r="P661" s="1887"/>
      <c r="Q661" s="1887"/>
      <c r="R661" s="1887"/>
      <c r="S661" s="1887"/>
      <c r="T661" s="1887"/>
      <c r="U661" s="1887"/>
      <c r="V661" s="1887"/>
      <c r="W661" s="1887"/>
      <c r="X661" s="1887"/>
      <c r="Y661" s="1887"/>
      <c r="Z661" s="1887"/>
      <c r="AA661" s="1887"/>
      <c r="AB661" s="1887"/>
      <c r="AC661" s="1887"/>
    </row>
    <row r="662">
      <c r="A662" s="1887"/>
      <c r="B662" s="1887"/>
      <c r="C662" s="1887"/>
      <c r="D662" s="1887"/>
      <c r="E662" s="1887"/>
      <c r="F662" s="1887"/>
      <c r="G662" s="1887"/>
      <c r="H662" s="1887"/>
      <c r="I662" s="1887"/>
      <c r="J662" s="1887"/>
      <c r="K662" s="1887"/>
      <c r="L662" s="1887"/>
      <c r="M662" s="1887"/>
      <c r="N662" s="1887"/>
      <c r="O662" s="1887"/>
      <c r="P662" s="1887"/>
      <c r="Q662" s="1887"/>
      <c r="R662" s="1887"/>
      <c r="S662" s="1887"/>
      <c r="T662" s="1887"/>
      <c r="U662" s="1887"/>
      <c r="V662" s="1887"/>
      <c r="W662" s="1887"/>
      <c r="X662" s="1887"/>
      <c r="Y662" s="1887"/>
      <c r="Z662" s="1887"/>
      <c r="AA662" s="1887"/>
      <c r="AB662" s="1887"/>
      <c r="AC662" s="1887"/>
    </row>
    <row r="663">
      <c r="A663" s="1887"/>
      <c r="B663" s="1887"/>
      <c r="C663" s="1887"/>
      <c r="D663" s="1887"/>
      <c r="E663" s="1887"/>
      <c r="F663" s="1887"/>
      <c r="G663" s="1887"/>
      <c r="H663" s="1887"/>
      <c r="I663" s="1887"/>
      <c r="J663" s="1887"/>
      <c r="K663" s="1887"/>
      <c r="L663" s="1887"/>
      <c r="M663" s="1887"/>
      <c r="N663" s="1887"/>
      <c r="O663" s="1887"/>
      <c r="P663" s="1887"/>
      <c r="Q663" s="1887"/>
      <c r="R663" s="1887"/>
      <c r="S663" s="1887"/>
      <c r="T663" s="1887"/>
      <c r="U663" s="1887"/>
      <c r="V663" s="1887"/>
      <c r="W663" s="1887"/>
      <c r="X663" s="1887"/>
      <c r="Y663" s="1887"/>
      <c r="Z663" s="1887"/>
      <c r="AA663" s="1887"/>
      <c r="AB663" s="1887"/>
      <c r="AC663" s="1887"/>
    </row>
    <row r="664">
      <c r="A664" s="1887"/>
      <c r="B664" s="1887"/>
      <c r="C664" s="1887"/>
      <c r="D664" s="1887"/>
      <c r="E664" s="1887"/>
      <c r="F664" s="1887"/>
      <c r="G664" s="1887"/>
      <c r="H664" s="1887"/>
      <c r="I664" s="1887"/>
      <c r="J664" s="1887"/>
      <c r="K664" s="1887"/>
      <c r="L664" s="1887"/>
      <c r="M664" s="1887"/>
      <c r="N664" s="1887"/>
      <c r="O664" s="1887"/>
      <c r="P664" s="1887"/>
      <c r="Q664" s="1887"/>
      <c r="R664" s="1887"/>
      <c r="S664" s="1887"/>
      <c r="T664" s="1887"/>
      <c r="U664" s="1887"/>
      <c r="V664" s="1887"/>
      <c r="W664" s="1887"/>
      <c r="X664" s="1887"/>
      <c r="Y664" s="1887"/>
      <c r="Z664" s="1887"/>
      <c r="AA664" s="1887"/>
      <c r="AB664" s="1887"/>
      <c r="AC664" s="1887"/>
    </row>
    <row r="665">
      <c r="A665" s="1887"/>
      <c r="B665" s="1887"/>
      <c r="C665" s="1887"/>
      <c r="D665" s="1887"/>
      <c r="E665" s="1887"/>
      <c r="F665" s="1887"/>
      <c r="G665" s="1887"/>
      <c r="H665" s="1887"/>
      <c r="I665" s="1887"/>
      <c r="J665" s="1887"/>
      <c r="K665" s="1887"/>
      <c r="L665" s="1887"/>
      <c r="M665" s="1887"/>
      <c r="N665" s="1887"/>
      <c r="O665" s="1887"/>
      <c r="P665" s="1887"/>
      <c r="Q665" s="1887"/>
      <c r="R665" s="1887"/>
      <c r="S665" s="1887"/>
      <c r="T665" s="1887"/>
      <c r="U665" s="1887"/>
      <c r="V665" s="1887"/>
      <c r="W665" s="1887"/>
      <c r="X665" s="1887"/>
      <c r="Y665" s="1887"/>
      <c r="Z665" s="1887"/>
      <c r="AA665" s="1887"/>
      <c r="AB665" s="1887"/>
      <c r="AC665" s="1887"/>
    </row>
    <row r="666">
      <c r="A666" s="1887"/>
      <c r="B666" s="1887"/>
      <c r="C666" s="1887"/>
      <c r="D666" s="1887"/>
      <c r="E666" s="1887"/>
      <c r="F666" s="1887"/>
      <c r="G666" s="1887"/>
      <c r="H666" s="1887"/>
      <c r="I666" s="1887"/>
      <c r="J666" s="1887"/>
      <c r="K666" s="1887"/>
      <c r="L666" s="1887"/>
      <c r="M666" s="1887"/>
      <c r="N666" s="1887"/>
      <c r="O666" s="1887"/>
      <c r="P666" s="1887"/>
      <c r="Q666" s="1887"/>
      <c r="R666" s="1887"/>
      <c r="S666" s="1887"/>
      <c r="T666" s="1887"/>
      <c r="U666" s="1887"/>
      <c r="V666" s="1887"/>
      <c r="W666" s="1887"/>
      <c r="X666" s="1887"/>
      <c r="Y666" s="1887"/>
      <c r="Z666" s="1887"/>
      <c r="AA666" s="1887"/>
      <c r="AB666" s="1887"/>
      <c r="AC666" s="1887"/>
    </row>
    <row r="667">
      <c r="A667" s="1887"/>
      <c r="B667" s="1887"/>
      <c r="C667" s="1887"/>
      <c r="D667" s="1887"/>
      <c r="E667" s="1887"/>
      <c r="F667" s="1887"/>
      <c r="G667" s="1887"/>
      <c r="H667" s="1887"/>
      <c r="I667" s="1887"/>
      <c r="J667" s="1887"/>
      <c r="K667" s="1887"/>
      <c r="L667" s="1887"/>
      <c r="M667" s="1887"/>
      <c r="N667" s="1887"/>
      <c r="O667" s="1887"/>
      <c r="P667" s="1887"/>
      <c r="Q667" s="1887"/>
      <c r="R667" s="1887"/>
      <c r="S667" s="1887"/>
      <c r="T667" s="1887"/>
      <c r="U667" s="1887"/>
      <c r="V667" s="1887"/>
      <c r="W667" s="1887"/>
      <c r="X667" s="1887"/>
      <c r="Y667" s="1887"/>
      <c r="Z667" s="1887"/>
      <c r="AA667" s="1887"/>
      <c r="AB667" s="1887"/>
      <c r="AC667" s="1887"/>
    </row>
    <row r="668">
      <c r="A668" s="1887"/>
      <c r="B668" s="1887"/>
      <c r="C668" s="1887"/>
      <c r="D668" s="1887"/>
      <c r="E668" s="1887"/>
      <c r="F668" s="1887"/>
      <c r="G668" s="1887"/>
      <c r="H668" s="1887"/>
      <c r="I668" s="1887"/>
      <c r="J668" s="1887"/>
      <c r="K668" s="1887"/>
      <c r="L668" s="1887"/>
      <c r="M668" s="1887"/>
      <c r="N668" s="1887"/>
      <c r="O668" s="1887"/>
      <c r="P668" s="1887"/>
      <c r="Q668" s="1887"/>
      <c r="R668" s="1887"/>
      <c r="S668" s="1887"/>
      <c r="T668" s="1887"/>
      <c r="U668" s="1887"/>
      <c r="V668" s="1887"/>
      <c r="W668" s="1887"/>
      <c r="X668" s="1887"/>
      <c r="Y668" s="1887"/>
      <c r="Z668" s="1887"/>
      <c r="AA668" s="1887"/>
      <c r="AB668" s="1887"/>
      <c r="AC668" s="1887"/>
    </row>
    <row r="669">
      <c r="A669" s="1887"/>
      <c r="B669" s="1887"/>
      <c r="C669" s="1887"/>
      <c r="D669" s="1887"/>
      <c r="E669" s="1887"/>
      <c r="F669" s="1887"/>
      <c r="G669" s="1887"/>
      <c r="H669" s="1887"/>
      <c r="I669" s="1887"/>
      <c r="J669" s="1887"/>
      <c r="K669" s="1887"/>
      <c r="L669" s="1887"/>
      <c r="M669" s="1887"/>
      <c r="N669" s="1887"/>
      <c r="O669" s="1887"/>
      <c r="P669" s="1887"/>
      <c r="Q669" s="1887"/>
      <c r="R669" s="1887"/>
      <c r="S669" s="1887"/>
      <c r="T669" s="1887"/>
      <c r="U669" s="1887"/>
      <c r="V669" s="1887"/>
      <c r="W669" s="1887"/>
      <c r="X669" s="1887"/>
      <c r="Y669" s="1887"/>
      <c r="Z669" s="1887"/>
      <c r="AA669" s="1887"/>
      <c r="AB669" s="1887"/>
      <c r="AC669" s="1887"/>
    </row>
    <row r="670">
      <c r="A670" s="1887"/>
      <c r="B670" s="1887"/>
      <c r="C670" s="1887"/>
      <c r="D670" s="1887"/>
      <c r="E670" s="1887"/>
      <c r="F670" s="1887"/>
      <c r="G670" s="1887"/>
      <c r="H670" s="1887"/>
      <c r="I670" s="1887"/>
      <c r="J670" s="1887"/>
      <c r="K670" s="1887"/>
      <c r="L670" s="1887"/>
      <c r="M670" s="1887"/>
      <c r="N670" s="1887"/>
      <c r="O670" s="1887"/>
      <c r="P670" s="1887"/>
      <c r="Q670" s="1887"/>
      <c r="R670" s="1887"/>
      <c r="S670" s="1887"/>
      <c r="T670" s="1887"/>
      <c r="U670" s="1887"/>
      <c r="V670" s="1887"/>
      <c r="W670" s="1887"/>
      <c r="X670" s="1887"/>
      <c r="Y670" s="1887"/>
      <c r="Z670" s="1887"/>
      <c r="AA670" s="1887"/>
      <c r="AB670" s="1887"/>
      <c r="AC670" s="1887"/>
    </row>
    <row r="671">
      <c r="A671" s="1887"/>
      <c r="B671" s="1887"/>
      <c r="C671" s="1887"/>
      <c r="D671" s="1887"/>
      <c r="E671" s="1887"/>
      <c r="F671" s="1887"/>
      <c r="G671" s="1887"/>
      <c r="H671" s="1887"/>
      <c r="I671" s="1887"/>
      <c r="J671" s="1887"/>
      <c r="K671" s="1887"/>
      <c r="L671" s="1887"/>
      <c r="M671" s="1887"/>
      <c r="N671" s="1887"/>
      <c r="O671" s="1887"/>
      <c r="P671" s="1887"/>
      <c r="Q671" s="1887"/>
      <c r="R671" s="1887"/>
      <c r="S671" s="1887"/>
      <c r="T671" s="1887"/>
      <c r="U671" s="1887"/>
      <c r="V671" s="1887"/>
      <c r="W671" s="1887"/>
      <c r="X671" s="1887"/>
      <c r="Y671" s="1887"/>
      <c r="Z671" s="1887"/>
      <c r="AA671" s="1887"/>
      <c r="AB671" s="1887"/>
      <c r="AC671" s="1887"/>
    </row>
    <row r="672">
      <c r="A672" s="1887"/>
      <c r="B672" s="1887"/>
      <c r="C672" s="1887"/>
      <c r="D672" s="1887"/>
      <c r="E672" s="1887"/>
      <c r="F672" s="1887"/>
      <c r="G672" s="1887"/>
      <c r="H672" s="1887"/>
      <c r="I672" s="1887"/>
      <c r="J672" s="1887"/>
      <c r="K672" s="1887"/>
      <c r="L672" s="1887"/>
      <c r="M672" s="1887"/>
      <c r="N672" s="1887"/>
      <c r="O672" s="1887"/>
      <c r="P672" s="1887"/>
      <c r="Q672" s="1887"/>
      <c r="R672" s="1887"/>
      <c r="S672" s="1887"/>
      <c r="T672" s="1887"/>
      <c r="U672" s="1887"/>
      <c r="V672" s="1887"/>
      <c r="W672" s="1887"/>
      <c r="X672" s="1887"/>
      <c r="Y672" s="1887"/>
      <c r="Z672" s="1887"/>
      <c r="AA672" s="1887"/>
      <c r="AB672" s="1887"/>
      <c r="AC672" s="1887"/>
    </row>
    <row r="673">
      <c r="A673" s="1887"/>
      <c r="B673" s="1887"/>
      <c r="C673" s="1887"/>
      <c r="D673" s="1887"/>
      <c r="E673" s="1887"/>
      <c r="F673" s="1887"/>
      <c r="G673" s="1887"/>
      <c r="H673" s="1887"/>
      <c r="I673" s="1887"/>
      <c r="J673" s="1887"/>
      <c r="K673" s="1887"/>
      <c r="L673" s="1887"/>
      <c r="M673" s="1887"/>
      <c r="N673" s="1887"/>
      <c r="O673" s="1887"/>
      <c r="P673" s="1887"/>
      <c r="Q673" s="1887"/>
      <c r="R673" s="1887"/>
      <c r="S673" s="1887"/>
      <c r="T673" s="1887"/>
      <c r="U673" s="1887"/>
      <c r="V673" s="1887"/>
      <c r="W673" s="1887"/>
      <c r="X673" s="1887"/>
      <c r="Y673" s="1887"/>
      <c r="Z673" s="1887"/>
      <c r="AA673" s="1887"/>
      <c r="AB673" s="1887"/>
      <c r="AC673" s="1887"/>
    </row>
    <row r="674">
      <c r="A674" s="1887"/>
      <c r="B674" s="1887"/>
      <c r="C674" s="1887"/>
      <c r="D674" s="1887"/>
      <c r="E674" s="1887"/>
      <c r="F674" s="1887"/>
      <c r="G674" s="1887"/>
      <c r="H674" s="1887"/>
      <c r="I674" s="1887"/>
      <c r="J674" s="1887"/>
      <c r="K674" s="1887"/>
      <c r="L674" s="1887"/>
      <c r="M674" s="1887"/>
      <c r="N674" s="1887"/>
      <c r="O674" s="1887"/>
      <c r="P674" s="1887"/>
      <c r="Q674" s="1887"/>
      <c r="R674" s="1887"/>
      <c r="S674" s="1887"/>
      <c r="T674" s="1887"/>
      <c r="U674" s="1887"/>
      <c r="V674" s="1887"/>
      <c r="W674" s="1887"/>
      <c r="X674" s="1887"/>
      <c r="Y674" s="1887"/>
      <c r="Z674" s="1887"/>
      <c r="AA674" s="1887"/>
      <c r="AB674" s="1887"/>
      <c r="AC674" s="1887"/>
    </row>
    <row r="675">
      <c r="A675" s="1887"/>
      <c r="B675" s="1887"/>
      <c r="C675" s="1887"/>
      <c r="D675" s="1887"/>
      <c r="E675" s="1887"/>
      <c r="F675" s="1887"/>
      <c r="G675" s="1887"/>
      <c r="H675" s="1887"/>
      <c r="I675" s="1887"/>
      <c r="J675" s="1887"/>
      <c r="K675" s="1887"/>
      <c r="L675" s="1887"/>
      <c r="M675" s="1887"/>
      <c r="N675" s="1887"/>
      <c r="O675" s="1887"/>
      <c r="P675" s="1887"/>
      <c r="Q675" s="1887"/>
      <c r="R675" s="1887"/>
      <c r="S675" s="1887"/>
      <c r="T675" s="1887"/>
      <c r="U675" s="1887"/>
      <c r="V675" s="1887"/>
      <c r="W675" s="1887"/>
      <c r="X675" s="1887"/>
      <c r="Y675" s="1887"/>
      <c r="Z675" s="1887"/>
      <c r="AA675" s="1887"/>
      <c r="AB675" s="1887"/>
      <c r="AC675" s="1887"/>
    </row>
    <row r="676">
      <c r="A676" s="1887"/>
      <c r="B676" s="1887"/>
      <c r="C676" s="1887"/>
      <c r="D676" s="1887"/>
      <c r="E676" s="1887"/>
      <c r="F676" s="1887"/>
      <c r="G676" s="1887"/>
      <c r="H676" s="1887"/>
      <c r="I676" s="1887"/>
      <c r="J676" s="1887"/>
      <c r="K676" s="1887"/>
      <c r="L676" s="1887"/>
      <c r="M676" s="1887"/>
      <c r="N676" s="1887"/>
      <c r="O676" s="1887"/>
      <c r="P676" s="1887"/>
      <c r="Q676" s="1887"/>
      <c r="R676" s="1887"/>
      <c r="S676" s="1887"/>
      <c r="T676" s="1887"/>
      <c r="U676" s="1887"/>
      <c r="V676" s="1887"/>
      <c r="W676" s="1887"/>
      <c r="X676" s="1887"/>
      <c r="Y676" s="1887"/>
      <c r="Z676" s="1887"/>
      <c r="AA676" s="1887"/>
      <c r="AB676" s="1887"/>
      <c r="AC676" s="1887"/>
    </row>
    <row r="677">
      <c r="A677" s="1887"/>
      <c r="B677" s="1887"/>
      <c r="C677" s="1887"/>
      <c r="D677" s="1887"/>
      <c r="E677" s="1887"/>
      <c r="F677" s="1887"/>
      <c r="G677" s="1887"/>
      <c r="H677" s="1887"/>
      <c r="I677" s="1887"/>
      <c r="J677" s="1887"/>
      <c r="K677" s="1887"/>
      <c r="L677" s="1887"/>
      <c r="M677" s="1887"/>
      <c r="N677" s="1887"/>
      <c r="O677" s="1887"/>
      <c r="P677" s="1887"/>
      <c r="Q677" s="1887"/>
      <c r="R677" s="1887"/>
      <c r="S677" s="1887"/>
      <c r="T677" s="1887"/>
      <c r="U677" s="1887"/>
      <c r="V677" s="1887"/>
      <c r="W677" s="1887"/>
      <c r="X677" s="1887"/>
      <c r="Y677" s="1887"/>
      <c r="Z677" s="1887"/>
      <c r="AA677" s="1887"/>
      <c r="AB677" s="1887"/>
      <c r="AC677" s="1887"/>
    </row>
    <row r="678">
      <c r="A678" s="1887"/>
      <c r="B678" s="1887"/>
      <c r="C678" s="1887"/>
      <c r="D678" s="1887"/>
      <c r="E678" s="1887"/>
      <c r="F678" s="1887"/>
      <c r="G678" s="1887"/>
      <c r="H678" s="1887"/>
      <c r="I678" s="1887"/>
      <c r="J678" s="1887"/>
      <c r="K678" s="1887"/>
      <c r="L678" s="1887"/>
      <c r="M678" s="1887"/>
      <c r="N678" s="1887"/>
      <c r="O678" s="1887"/>
      <c r="P678" s="1887"/>
      <c r="Q678" s="1887"/>
      <c r="R678" s="1887"/>
      <c r="S678" s="1887"/>
      <c r="T678" s="1887"/>
      <c r="U678" s="1887"/>
      <c r="V678" s="1887"/>
      <c r="W678" s="1887"/>
      <c r="X678" s="1887"/>
      <c r="Y678" s="1887"/>
      <c r="Z678" s="1887"/>
      <c r="AA678" s="1887"/>
      <c r="AB678" s="1887"/>
      <c r="AC678" s="1887"/>
    </row>
    <row r="679">
      <c r="A679" s="1887"/>
      <c r="B679" s="1887"/>
      <c r="C679" s="1887"/>
      <c r="D679" s="1887"/>
      <c r="E679" s="1887"/>
      <c r="F679" s="1887"/>
      <c r="G679" s="1887"/>
      <c r="H679" s="1887"/>
      <c r="I679" s="1887"/>
      <c r="J679" s="1887"/>
      <c r="K679" s="1887"/>
      <c r="L679" s="1887"/>
      <c r="M679" s="1887"/>
      <c r="N679" s="1887"/>
      <c r="O679" s="1887"/>
      <c r="P679" s="1887"/>
      <c r="Q679" s="1887"/>
      <c r="R679" s="1887"/>
      <c r="S679" s="1887"/>
      <c r="T679" s="1887"/>
      <c r="U679" s="1887"/>
      <c r="V679" s="1887"/>
      <c r="W679" s="1887"/>
      <c r="X679" s="1887"/>
      <c r="Y679" s="1887"/>
      <c r="Z679" s="1887"/>
      <c r="AA679" s="1887"/>
      <c r="AB679" s="1887"/>
      <c r="AC679" s="1887"/>
    </row>
    <row r="680">
      <c r="A680" s="1887"/>
      <c r="B680" s="1887"/>
      <c r="C680" s="1887"/>
      <c r="D680" s="1887"/>
      <c r="E680" s="1887"/>
      <c r="F680" s="1887"/>
      <c r="G680" s="1887"/>
      <c r="H680" s="1887"/>
      <c r="I680" s="1887"/>
      <c r="J680" s="1887"/>
      <c r="K680" s="1887"/>
      <c r="L680" s="1887"/>
      <c r="M680" s="1887"/>
      <c r="N680" s="1887"/>
      <c r="O680" s="1887"/>
      <c r="P680" s="1887"/>
      <c r="Q680" s="1887"/>
      <c r="R680" s="1887"/>
      <c r="S680" s="1887"/>
      <c r="T680" s="1887"/>
      <c r="U680" s="1887"/>
      <c r="V680" s="1887"/>
      <c r="W680" s="1887"/>
      <c r="X680" s="1887"/>
      <c r="Y680" s="1887"/>
      <c r="Z680" s="1887"/>
      <c r="AA680" s="1887"/>
      <c r="AB680" s="1887"/>
      <c r="AC680" s="1887"/>
    </row>
    <row r="681">
      <c r="A681" s="1887"/>
      <c r="B681" s="1887"/>
      <c r="C681" s="1887"/>
      <c r="D681" s="1887"/>
      <c r="E681" s="1887"/>
      <c r="F681" s="1887"/>
      <c r="G681" s="1887"/>
      <c r="H681" s="1887"/>
      <c r="I681" s="1887"/>
      <c r="J681" s="1887"/>
      <c r="K681" s="1887"/>
      <c r="L681" s="1887"/>
      <c r="M681" s="1887"/>
      <c r="N681" s="1887"/>
      <c r="O681" s="1887"/>
      <c r="P681" s="1887"/>
      <c r="Q681" s="1887"/>
      <c r="R681" s="1887"/>
      <c r="S681" s="1887"/>
      <c r="T681" s="1887"/>
      <c r="U681" s="1887"/>
      <c r="V681" s="1887"/>
      <c r="W681" s="1887"/>
      <c r="X681" s="1887"/>
      <c r="Y681" s="1887"/>
      <c r="Z681" s="1887"/>
      <c r="AA681" s="1887"/>
      <c r="AB681" s="1887"/>
      <c r="AC681" s="1887"/>
    </row>
    <row r="682">
      <c r="A682" s="1887"/>
      <c r="B682" s="1887"/>
      <c r="C682" s="1887"/>
      <c r="D682" s="1887"/>
      <c r="E682" s="1887"/>
      <c r="F682" s="1887"/>
      <c r="G682" s="1887"/>
      <c r="H682" s="1887"/>
      <c r="I682" s="1887"/>
      <c r="J682" s="1887"/>
      <c r="K682" s="1887"/>
      <c r="L682" s="1887"/>
      <c r="M682" s="1887"/>
      <c r="N682" s="1887"/>
      <c r="O682" s="1887"/>
      <c r="P682" s="1887"/>
      <c r="Q682" s="1887"/>
      <c r="R682" s="1887"/>
      <c r="S682" s="1887"/>
      <c r="T682" s="1887"/>
      <c r="U682" s="1887"/>
      <c r="V682" s="1887"/>
      <c r="W682" s="1887"/>
      <c r="X682" s="1887"/>
      <c r="Y682" s="1887"/>
      <c r="Z682" s="1887"/>
      <c r="AA682" s="1887"/>
      <c r="AB682" s="1887"/>
      <c r="AC682" s="1887"/>
    </row>
    <row r="683">
      <c r="A683" s="1887"/>
      <c r="B683" s="1887"/>
      <c r="C683" s="1887"/>
      <c r="D683" s="1887"/>
      <c r="E683" s="1887"/>
      <c r="F683" s="1887"/>
      <c r="G683" s="1887"/>
      <c r="H683" s="1887"/>
      <c r="I683" s="1887"/>
      <c r="J683" s="1887"/>
      <c r="K683" s="1887"/>
      <c r="L683" s="1887"/>
      <c r="M683" s="1887"/>
      <c r="N683" s="1887"/>
      <c r="O683" s="1887"/>
      <c r="P683" s="1887"/>
      <c r="Q683" s="1887"/>
      <c r="R683" s="1887"/>
      <c r="S683" s="1887"/>
      <c r="T683" s="1887"/>
      <c r="U683" s="1887"/>
      <c r="V683" s="1887"/>
      <c r="W683" s="1887"/>
      <c r="X683" s="1887"/>
      <c r="Y683" s="1887"/>
      <c r="Z683" s="1887"/>
      <c r="AA683" s="1887"/>
      <c r="AB683" s="1887"/>
      <c r="AC683" s="1887"/>
    </row>
    <row r="684">
      <c r="A684" s="1887"/>
      <c r="B684" s="1887"/>
      <c r="C684" s="1887"/>
      <c r="D684" s="1887"/>
      <c r="E684" s="1887"/>
      <c r="F684" s="1887"/>
      <c r="G684" s="1887"/>
      <c r="H684" s="1887"/>
      <c r="I684" s="1887"/>
      <c r="J684" s="1887"/>
      <c r="K684" s="1887"/>
      <c r="L684" s="1887"/>
      <c r="M684" s="1887"/>
      <c r="N684" s="1887"/>
      <c r="O684" s="1887"/>
      <c r="P684" s="1887"/>
      <c r="Q684" s="1887"/>
      <c r="R684" s="1887"/>
      <c r="S684" s="1887"/>
      <c r="T684" s="1887"/>
      <c r="U684" s="1887"/>
      <c r="V684" s="1887"/>
      <c r="W684" s="1887"/>
      <c r="X684" s="1887"/>
      <c r="Y684" s="1887"/>
      <c r="Z684" s="1887"/>
      <c r="AA684" s="1887"/>
      <c r="AB684" s="1887"/>
      <c r="AC684" s="1887"/>
    </row>
    <row r="685">
      <c r="A685" s="1887"/>
      <c r="B685" s="1887"/>
      <c r="C685" s="1887"/>
      <c r="D685" s="1887"/>
      <c r="E685" s="1887"/>
      <c r="F685" s="1887"/>
      <c r="G685" s="1887"/>
      <c r="H685" s="1887"/>
      <c r="I685" s="1887"/>
      <c r="J685" s="1887"/>
      <c r="K685" s="1887"/>
      <c r="L685" s="1887"/>
      <c r="M685" s="1887"/>
      <c r="N685" s="1887"/>
      <c r="O685" s="1887"/>
      <c r="P685" s="1887"/>
      <c r="Q685" s="1887"/>
      <c r="R685" s="1887"/>
      <c r="S685" s="1887"/>
      <c r="T685" s="1887"/>
      <c r="U685" s="1887"/>
      <c r="V685" s="1887"/>
      <c r="W685" s="1887"/>
      <c r="X685" s="1887"/>
      <c r="Y685" s="1887"/>
      <c r="Z685" s="1887"/>
      <c r="AA685" s="1887"/>
      <c r="AB685" s="1887"/>
      <c r="AC685" s="1887"/>
    </row>
    <row r="686">
      <c r="A686" s="1887"/>
      <c r="B686" s="1887"/>
      <c r="C686" s="1887"/>
      <c r="D686" s="1887"/>
      <c r="E686" s="1887"/>
      <c r="F686" s="1887"/>
      <c r="G686" s="1887"/>
      <c r="H686" s="1887"/>
      <c r="I686" s="1887"/>
      <c r="J686" s="1887"/>
      <c r="K686" s="1887"/>
      <c r="L686" s="1887"/>
      <c r="M686" s="1887"/>
      <c r="N686" s="1887"/>
      <c r="O686" s="1887"/>
      <c r="P686" s="1887"/>
      <c r="Q686" s="1887"/>
      <c r="R686" s="1887"/>
      <c r="S686" s="1887"/>
      <c r="T686" s="1887"/>
      <c r="U686" s="1887"/>
      <c r="V686" s="1887"/>
      <c r="W686" s="1887"/>
      <c r="X686" s="1887"/>
      <c r="Y686" s="1887"/>
      <c r="Z686" s="1887"/>
      <c r="AA686" s="1887"/>
      <c r="AB686" s="1887"/>
      <c r="AC686" s="1887"/>
    </row>
    <row r="687">
      <c r="A687" s="1887"/>
      <c r="B687" s="1887"/>
      <c r="C687" s="1887"/>
      <c r="D687" s="1887"/>
      <c r="E687" s="1887"/>
      <c r="F687" s="1887"/>
      <c r="G687" s="1887"/>
      <c r="H687" s="1887"/>
      <c r="I687" s="1887"/>
      <c r="J687" s="1887"/>
      <c r="K687" s="1887"/>
      <c r="L687" s="1887"/>
      <c r="M687" s="1887"/>
      <c r="N687" s="1887"/>
      <c r="O687" s="1887"/>
      <c r="P687" s="1887"/>
      <c r="Q687" s="1887"/>
      <c r="R687" s="1887"/>
      <c r="S687" s="1887"/>
      <c r="T687" s="1887"/>
      <c r="U687" s="1887"/>
      <c r="V687" s="1887"/>
      <c r="W687" s="1887"/>
      <c r="X687" s="1887"/>
      <c r="Y687" s="1887"/>
      <c r="Z687" s="1887"/>
      <c r="AA687" s="1887"/>
      <c r="AB687" s="1887"/>
      <c r="AC687" s="1887"/>
    </row>
    <row r="688">
      <c r="A688" s="1887"/>
      <c r="B688" s="1887"/>
      <c r="C688" s="1887"/>
      <c r="D688" s="1887"/>
      <c r="E688" s="1887"/>
      <c r="F688" s="1887"/>
      <c r="G688" s="1887"/>
      <c r="H688" s="1887"/>
      <c r="I688" s="1887"/>
      <c r="J688" s="1887"/>
      <c r="K688" s="1887"/>
      <c r="L688" s="1887"/>
      <c r="M688" s="1887"/>
      <c r="N688" s="1887"/>
      <c r="O688" s="1887"/>
      <c r="P688" s="1887"/>
      <c r="Q688" s="1887"/>
      <c r="R688" s="1887"/>
      <c r="S688" s="1887"/>
      <c r="T688" s="1887"/>
      <c r="U688" s="1887"/>
      <c r="V688" s="1887"/>
      <c r="W688" s="1887"/>
      <c r="X688" s="1887"/>
      <c r="Y688" s="1887"/>
      <c r="Z688" s="1887"/>
      <c r="AA688" s="1887"/>
      <c r="AB688" s="1887"/>
      <c r="AC688" s="1887"/>
    </row>
    <row r="689">
      <c r="A689" s="1887"/>
      <c r="B689" s="1887"/>
      <c r="C689" s="1887"/>
      <c r="D689" s="1887"/>
      <c r="E689" s="1887"/>
      <c r="F689" s="1887"/>
      <c r="G689" s="1887"/>
      <c r="H689" s="1887"/>
      <c r="I689" s="1887"/>
      <c r="J689" s="1887"/>
      <c r="K689" s="1887"/>
      <c r="L689" s="1887"/>
      <c r="M689" s="1887"/>
      <c r="N689" s="1887"/>
      <c r="O689" s="1887"/>
      <c r="P689" s="1887"/>
      <c r="Q689" s="1887"/>
      <c r="R689" s="1887"/>
      <c r="S689" s="1887"/>
      <c r="T689" s="1887"/>
      <c r="U689" s="1887"/>
      <c r="V689" s="1887"/>
      <c r="W689" s="1887"/>
      <c r="X689" s="1887"/>
      <c r="Y689" s="1887"/>
      <c r="Z689" s="1887"/>
      <c r="AA689" s="1887"/>
      <c r="AB689" s="1887"/>
      <c r="AC689" s="1887"/>
    </row>
    <row r="690">
      <c r="A690" s="1887"/>
      <c r="B690" s="1887"/>
      <c r="C690" s="1887"/>
      <c r="D690" s="1887"/>
      <c r="E690" s="1887"/>
      <c r="F690" s="1887"/>
      <c r="G690" s="1887"/>
      <c r="H690" s="1887"/>
      <c r="I690" s="1887"/>
      <c r="J690" s="1887"/>
      <c r="K690" s="1887"/>
      <c r="L690" s="1887"/>
      <c r="M690" s="1887"/>
      <c r="N690" s="1887"/>
      <c r="O690" s="1887"/>
      <c r="P690" s="1887"/>
      <c r="Q690" s="1887"/>
      <c r="R690" s="1887"/>
      <c r="S690" s="1887"/>
      <c r="T690" s="1887"/>
      <c r="U690" s="1887"/>
      <c r="V690" s="1887"/>
      <c r="W690" s="1887"/>
      <c r="X690" s="1887"/>
      <c r="Y690" s="1887"/>
      <c r="Z690" s="1887"/>
      <c r="AA690" s="1887"/>
      <c r="AB690" s="1887"/>
      <c r="AC690" s="1887"/>
    </row>
    <row r="691">
      <c r="A691" s="1887"/>
      <c r="B691" s="1887"/>
      <c r="C691" s="1887"/>
      <c r="D691" s="1887"/>
      <c r="E691" s="1887"/>
      <c r="F691" s="1887"/>
      <c r="G691" s="1887"/>
      <c r="H691" s="1887"/>
      <c r="I691" s="1887"/>
      <c r="J691" s="1887"/>
      <c r="K691" s="1887"/>
      <c r="L691" s="1887"/>
      <c r="M691" s="1887"/>
      <c r="N691" s="1887"/>
      <c r="O691" s="1887"/>
      <c r="P691" s="1887"/>
      <c r="Q691" s="1887"/>
      <c r="R691" s="1887"/>
      <c r="S691" s="1887"/>
      <c r="T691" s="1887"/>
      <c r="U691" s="1887"/>
      <c r="V691" s="1887"/>
      <c r="W691" s="1887"/>
      <c r="X691" s="1887"/>
      <c r="Y691" s="1887"/>
      <c r="Z691" s="1887"/>
      <c r="AA691" s="1887"/>
      <c r="AB691" s="1887"/>
      <c r="AC691" s="1887"/>
    </row>
    <row r="692">
      <c r="A692" s="1887"/>
      <c r="B692" s="1887"/>
      <c r="C692" s="1887"/>
      <c r="D692" s="1887"/>
      <c r="E692" s="1887"/>
      <c r="F692" s="1887"/>
      <c r="G692" s="1887"/>
      <c r="H692" s="1887"/>
      <c r="I692" s="1887"/>
      <c r="J692" s="1887"/>
      <c r="K692" s="1887"/>
      <c r="L692" s="1887"/>
      <c r="M692" s="1887"/>
      <c r="N692" s="1887"/>
      <c r="O692" s="1887"/>
      <c r="P692" s="1887"/>
      <c r="Q692" s="1887"/>
      <c r="R692" s="1887"/>
      <c r="S692" s="1887"/>
      <c r="T692" s="1887"/>
      <c r="U692" s="1887"/>
      <c r="V692" s="1887"/>
      <c r="W692" s="1887"/>
      <c r="X692" s="1887"/>
      <c r="Y692" s="1887"/>
      <c r="Z692" s="1887"/>
      <c r="AA692" s="1887"/>
      <c r="AB692" s="1887"/>
      <c r="AC692" s="1887"/>
    </row>
    <row r="693">
      <c r="A693" s="1887"/>
      <c r="B693" s="1887"/>
      <c r="C693" s="1887"/>
      <c r="D693" s="1887"/>
      <c r="E693" s="1887"/>
      <c r="F693" s="1887"/>
      <c r="G693" s="1887"/>
      <c r="H693" s="1887"/>
      <c r="I693" s="1887"/>
      <c r="J693" s="1887"/>
      <c r="K693" s="1887"/>
      <c r="L693" s="1887"/>
      <c r="M693" s="1887"/>
      <c r="N693" s="1887"/>
      <c r="O693" s="1887"/>
      <c r="P693" s="1887"/>
      <c r="Q693" s="1887"/>
      <c r="R693" s="1887"/>
      <c r="S693" s="1887"/>
      <c r="T693" s="1887"/>
      <c r="U693" s="1887"/>
      <c r="V693" s="1887"/>
      <c r="W693" s="1887"/>
      <c r="X693" s="1887"/>
      <c r="Y693" s="1887"/>
      <c r="Z693" s="1887"/>
      <c r="AA693" s="1887"/>
      <c r="AB693" s="1887"/>
      <c r="AC693" s="1887"/>
    </row>
    <row r="694">
      <c r="A694" s="1887"/>
      <c r="B694" s="1887"/>
      <c r="C694" s="1887"/>
      <c r="D694" s="1887"/>
      <c r="E694" s="1887"/>
      <c r="F694" s="1887"/>
      <c r="G694" s="1887"/>
      <c r="H694" s="1887"/>
      <c r="I694" s="1887"/>
      <c r="J694" s="1887"/>
      <c r="K694" s="1887"/>
      <c r="L694" s="1887"/>
      <c r="M694" s="1887"/>
      <c r="N694" s="1887"/>
      <c r="O694" s="1887"/>
      <c r="P694" s="1887"/>
      <c r="Q694" s="1887"/>
      <c r="R694" s="1887"/>
      <c r="S694" s="1887"/>
      <c r="T694" s="1887"/>
      <c r="U694" s="1887"/>
      <c r="V694" s="1887"/>
      <c r="W694" s="1887"/>
      <c r="X694" s="1887"/>
      <c r="Y694" s="1887"/>
      <c r="Z694" s="1887"/>
      <c r="AA694" s="1887"/>
      <c r="AB694" s="1887"/>
      <c r="AC694" s="1887"/>
    </row>
    <row r="695">
      <c r="A695" s="1887"/>
      <c r="B695" s="1887"/>
      <c r="C695" s="1887"/>
      <c r="D695" s="1887"/>
      <c r="E695" s="1887"/>
      <c r="F695" s="1887"/>
      <c r="G695" s="1887"/>
      <c r="H695" s="1887"/>
      <c r="I695" s="1887"/>
      <c r="J695" s="1887"/>
      <c r="K695" s="1887"/>
      <c r="L695" s="1887"/>
      <c r="M695" s="1887"/>
      <c r="N695" s="1887"/>
      <c r="O695" s="1887"/>
      <c r="P695" s="1887"/>
      <c r="Q695" s="1887"/>
      <c r="R695" s="1887"/>
      <c r="S695" s="1887"/>
      <c r="T695" s="1887"/>
      <c r="U695" s="1887"/>
      <c r="V695" s="1887"/>
      <c r="W695" s="1887"/>
      <c r="X695" s="1887"/>
      <c r="Y695" s="1887"/>
      <c r="Z695" s="1887"/>
      <c r="AA695" s="1887"/>
      <c r="AB695" s="1887"/>
      <c r="AC695" s="1887"/>
    </row>
    <row r="696">
      <c r="A696" s="1887"/>
      <c r="B696" s="1887"/>
      <c r="C696" s="1887"/>
      <c r="D696" s="1887"/>
      <c r="E696" s="1887"/>
      <c r="F696" s="1887"/>
      <c r="G696" s="1887"/>
      <c r="H696" s="1887"/>
      <c r="I696" s="1887"/>
      <c r="J696" s="1887"/>
      <c r="K696" s="1887"/>
      <c r="L696" s="1887"/>
      <c r="M696" s="1887"/>
      <c r="N696" s="1887"/>
      <c r="O696" s="1887"/>
      <c r="P696" s="1887"/>
      <c r="Q696" s="1887"/>
      <c r="R696" s="1887"/>
      <c r="S696" s="1887"/>
      <c r="T696" s="1887"/>
      <c r="U696" s="1887"/>
      <c r="V696" s="1887"/>
      <c r="W696" s="1887"/>
      <c r="X696" s="1887"/>
      <c r="Y696" s="1887"/>
      <c r="Z696" s="1887"/>
      <c r="AA696" s="1887"/>
      <c r="AB696" s="1887"/>
      <c r="AC696" s="1887"/>
    </row>
    <row r="697">
      <c r="A697" s="1887"/>
      <c r="B697" s="1887"/>
      <c r="C697" s="1887"/>
      <c r="D697" s="1887"/>
      <c r="E697" s="1887"/>
      <c r="F697" s="1887"/>
      <c r="G697" s="1887"/>
      <c r="H697" s="1887"/>
      <c r="I697" s="1887"/>
      <c r="J697" s="1887"/>
      <c r="K697" s="1887"/>
      <c r="L697" s="1887"/>
      <c r="M697" s="1887"/>
      <c r="N697" s="1887"/>
      <c r="O697" s="1887"/>
      <c r="P697" s="1887"/>
      <c r="Q697" s="1887"/>
      <c r="R697" s="1887"/>
      <c r="S697" s="1887"/>
      <c r="T697" s="1887"/>
      <c r="U697" s="1887"/>
      <c r="V697" s="1887"/>
      <c r="W697" s="1887"/>
      <c r="X697" s="1887"/>
      <c r="Y697" s="1887"/>
      <c r="Z697" s="1887"/>
      <c r="AA697" s="1887"/>
      <c r="AB697" s="1887"/>
      <c r="AC697" s="1887"/>
    </row>
    <row r="698">
      <c r="A698" s="1887"/>
      <c r="B698" s="1887"/>
      <c r="C698" s="1887"/>
      <c r="D698" s="1887"/>
      <c r="E698" s="1887"/>
      <c r="F698" s="1887"/>
      <c r="G698" s="1887"/>
      <c r="H698" s="1887"/>
      <c r="I698" s="1887"/>
      <c r="J698" s="1887"/>
      <c r="K698" s="1887"/>
      <c r="L698" s="1887"/>
      <c r="M698" s="1887"/>
      <c r="N698" s="1887"/>
      <c r="O698" s="1887"/>
      <c r="P698" s="1887"/>
      <c r="Q698" s="1887"/>
      <c r="R698" s="1887"/>
      <c r="S698" s="1887"/>
      <c r="T698" s="1887"/>
      <c r="U698" s="1887"/>
      <c r="V698" s="1887"/>
      <c r="W698" s="1887"/>
      <c r="X698" s="1887"/>
      <c r="Y698" s="1887"/>
      <c r="Z698" s="1887"/>
      <c r="AA698" s="1887"/>
      <c r="AB698" s="1887"/>
      <c r="AC698" s="1887"/>
    </row>
    <row r="699">
      <c r="A699" s="1887"/>
      <c r="B699" s="1887"/>
      <c r="C699" s="1887"/>
      <c r="D699" s="1887"/>
      <c r="E699" s="1887"/>
      <c r="F699" s="1887"/>
      <c r="G699" s="1887"/>
      <c r="H699" s="1887"/>
      <c r="I699" s="1887"/>
      <c r="J699" s="1887"/>
      <c r="K699" s="1887"/>
      <c r="L699" s="1887"/>
      <c r="M699" s="1887"/>
      <c r="N699" s="1887"/>
      <c r="O699" s="1887"/>
      <c r="P699" s="1887"/>
      <c r="Q699" s="1887"/>
      <c r="R699" s="1887"/>
      <c r="S699" s="1887"/>
      <c r="T699" s="1887"/>
      <c r="U699" s="1887"/>
      <c r="V699" s="1887"/>
      <c r="W699" s="1887"/>
      <c r="X699" s="1887"/>
      <c r="Y699" s="1887"/>
      <c r="Z699" s="1887"/>
      <c r="AA699" s="1887"/>
      <c r="AB699" s="1887"/>
      <c r="AC699" s="1887"/>
    </row>
    <row r="700">
      <c r="A700" s="1887"/>
      <c r="B700" s="1887"/>
      <c r="C700" s="1887"/>
      <c r="D700" s="1887"/>
      <c r="E700" s="1887"/>
      <c r="F700" s="1887"/>
      <c r="G700" s="1887"/>
      <c r="H700" s="1887"/>
      <c r="I700" s="1887"/>
      <c r="J700" s="1887"/>
      <c r="K700" s="1887"/>
      <c r="L700" s="1887"/>
      <c r="M700" s="1887"/>
      <c r="N700" s="1887"/>
      <c r="O700" s="1887"/>
      <c r="P700" s="1887"/>
      <c r="Q700" s="1887"/>
      <c r="R700" s="1887"/>
      <c r="S700" s="1887"/>
      <c r="T700" s="1887"/>
      <c r="U700" s="1887"/>
      <c r="V700" s="1887"/>
      <c r="W700" s="1887"/>
      <c r="X700" s="1887"/>
      <c r="Y700" s="1887"/>
      <c r="Z700" s="1887"/>
      <c r="AA700" s="1887"/>
      <c r="AB700" s="1887"/>
      <c r="AC700" s="1887"/>
    </row>
    <row r="701">
      <c r="A701" s="1887"/>
      <c r="B701" s="1887"/>
      <c r="C701" s="1887"/>
      <c r="D701" s="1887"/>
      <c r="E701" s="1887"/>
      <c r="F701" s="1887"/>
      <c r="G701" s="1887"/>
      <c r="H701" s="1887"/>
      <c r="I701" s="1887"/>
      <c r="J701" s="1887"/>
      <c r="K701" s="1887"/>
      <c r="L701" s="1887"/>
      <c r="M701" s="1887"/>
      <c r="N701" s="1887"/>
      <c r="O701" s="1887"/>
      <c r="P701" s="1887"/>
      <c r="Q701" s="1887"/>
      <c r="R701" s="1887"/>
      <c r="S701" s="1887"/>
      <c r="T701" s="1887"/>
      <c r="U701" s="1887"/>
      <c r="V701" s="1887"/>
      <c r="W701" s="1887"/>
      <c r="X701" s="1887"/>
      <c r="Y701" s="1887"/>
      <c r="Z701" s="1887"/>
      <c r="AA701" s="1887"/>
      <c r="AB701" s="1887"/>
      <c r="AC701" s="1887"/>
    </row>
    <row r="702">
      <c r="A702" s="1887"/>
      <c r="B702" s="1887"/>
      <c r="C702" s="1887"/>
      <c r="D702" s="1887"/>
      <c r="E702" s="1887"/>
      <c r="F702" s="1887"/>
      <c r="G702" s="1887"/>
      <c r="H702" s="1887"/>
      <c r="I702" s="1887"/>
      <c r="J702" s="1887"/>
      <c r="K702" s="1887"/>
      <c r="L702" s="1887"/>
      <c r="M702" s="1887"/>
      <c r="N702" s="1887"/>
      <c r="O702" s="1887"/>
      <c r="P702" s="1887"/>
      <c r="Q702" s="1887"/>
      <c r="R702" s="1887"/>
      <c r="S702" s="1887"/>
      <c r="T702" s="1887"/>
      <c r="U702" s="1887"/>
      <c r="V702" s="1887"/>
      <c r="W702" s="1887"/>
      <c r="X702" s="1887"/>
      <c r="Y702" s="1887"/>
      <c r="Z702" s="1887"/>
      <c r="AA702" s="1887"/>
      <c r="AB702" s="1887"/>
      <c r="AC702" s="1887"/>
    </row>
    <row r="703">
      <c r="A703" s="1887"/>
      <c r="B703" s="1887"/>
      <c r="C703" s="1887"/>
      <c r="D703" s="1887"/>
      <c r="E703" s="1887"/>
      <c r="F703" s="1887"/>
      <c r="G703" s="1887"/>
      <c r="H703" s="1887"/>
      <c r="I703" s="1887"/>
      <c r="J703" s="1887"/>
      <c r="K703" s="1887"/>
      <c r="L703" s="1887"/>
      <c r="M703" s="1887"/>
      <c r="N703" s="1887"/>
      <c r="O703" s="1887"/>
      <c r="P703" s="1887"/>
      <c r="Q703" s="1887"/>
      <c r="R703" s="1887"/>
      <c r="S703" s="1887"/>
      <c r="T703" s="1887"/>
      <c r="U703" s="1887"/>
      <c r="V703" s="1887"/>
      <c r="W703" s="1887"/>
      <c r="X703" s="1887"/>
      <c r="Y703" s="1887"/>
      <c r="Z703" s="1887"/>
      <c r="AA703" s="1887"/>
      <c r="AB703" s="1887"/>
      <c r="AC703" s="1887"/>
    </row>
    <row r="704">
      <c r="A704" s="1887"/>
      <c r="B704" s="1887"/>
      <c r="C704" s="1887"/>
      <c r="D704" s="1887"/>
      <c r="E704" s="1887"/>
      <c r="F704" s="1887"/>
      <c r="G704" s="1887"/>
      <c r="H704" s="1887"/>
      <c r="I704" s="1887"/>
      <c r="J704" s="1887"/>
      <c r="K704" s="1887"/>
      <c r="L704" s="1887"/>
      <c r="M704" s="1887"/>
      <c r="N704" s="1887"/>
      <c r="O704" s="1887"/>
      <c r="P704" s="1887"/>
      <c r="Q704" s="1887"/>
      <c r="R704" s="1887"/>
      <c r="S704" s="1887"/>
      <c r="T704" s="1887"/>
      <c r="U704" s="1887"/>
      <c r="V704" s="1887"/>
      <c r="W704" s="1887"/>
      <c r="X704" s="1887"/>
      <c r="Y704" s="1887"/>
      <c r="Z704" s="1887"/>
      <c r="AA704" s="1887"/>
      <c r="AB704" s="1887"/>
      <c r="AC704" s="1887"/>
    </row>
    <row r="705">
      <c r="A705" s="1887"/>
      <c r="B705" s="1887"/>
      <c r="C705" s="1887"/>
      <c r="D705" s="1887"/>
      <c r="E705" s="1887"/>
      <c r="F705" s="1887"/>
      <c r="G705" s="1887"/>
      <c r="H705" s="1887"/>
      <c r="I705" s="1887"/>
      <c r="J705" s="1887"/>
      <c r="K705" s="1887"/>
      <c r="L705" s="1887"/>
      <c r="M705" s="1887"/>
      <c r="N705" s="1887"/>
      <c r="O705" s="1887"/>
      <c r="P705" s="1887"/>
      <c r="Q705" s="1887"/>
      <c r="R705" s="1887"/>
      <c r="S705" s="1887"/>
      <c r="T705" s="1887"/>
      <c r="U705" s="1887"/>
      <c r="V705" s="1887"/>
      <c r="W705" s="1887"/>
      <c r="X705" s="1887"/>
      <c r="Y705" s="1887"/>
      <c r="Z705" s="1887"/>
      <c r="AA705" s="1887"/>
      <c r="AB705" s="1887"/>
      <c r="AC705" s="1887"/>
    </row>
    <row r="706">
      <c r="A706" s="1887"/>
      <c r="B706" s="1887"/>
      <c r="C706" s="1887"/>
      <c r="D706" s="1887"/>
      <c r="E706" s="1887"/>
      <c r="F706" s="1887"/>
      <c r="G706" s="1887"/>
      <c r="H706" s="1887"/>
      <c r="I706" s="1887"/>
      <c r="J706" s="1887"/>
      <c r="K706" s="1887"/>
      <c r="L706" s="1887"/>
      <c r="M706" s="1887"/>
      <c r="N706" s="1887"/>
      <c r="O706" s="1887"/>
      <c r="P706" s="1887"/>
      <c r="Q706" s="1887"/>
      <c r="R706" s="1887"/>
      <c r="S706" s="1887"/>
      <c r="T706" s="1887"/>
      <c r="U706" s="1887"/>
      <c r="V706" s="1887"/>
      <c r="W706" s="1887"/>
      <c r="X706" s="1887"/>
      <c r="Y706" s="1887"/>
      <c r="Z706" s="1887"/>
      <c r="AA706" s="1887"/>
      <c r="AB706" s="1887"/>
      <c r="AC706" s="1887"/>
    </row>
    <row r="707">
      <c r="A707" s="1887"/>
      <c r="B707" s="1887"/>
      <c r="C707" s="1887"/>
      <c r="D707" s="1887"/>
      <c r="E707" s="1887"/>
      <c r="F707" s="1887"/>
      <c r="G707" s="1887"/>
      <c r="H707" s="1887"/>
      <c r="I707" s="1887"/>
      <c r="J707" s="1887"/>
      <c r="K707" s="1887"/>
      <c r="L707" s="1887"/>
      <c r="M707" s="1887"/>
      <c r="N707" s="1887"/>
      <c r="O707" s="1887"/>
      <c r="P707" s="1887"/>
      <c r="Q707" s="1887"/>
      <c r="R707" s="1887"/>
      <c r="S707" s="1887"/>
      <c r="T707" s="1887"/>
      <c r="U707" s="1887"/>
      <c r="V707" s="1887"/>
      <c r="W707" s="1887"/>
      <c r="X707" s="1887"/>
      <c r="Y707" s="1887"/>
      <c r="Z707" s="1887"/>
      <c r="AA707" s="1887"/>
      <c r="AB707" s="1887"/>
      <c r="AC707" s="1887"/>
    </row>
    <row r="708">
      <c r="A708" s="1887"/>
      <c r="B708" s="1887"/>
      <c r="C708" s="1887"/>
      <c r="D708" s="1887"/>
      <c r="E708" s="1887"/>
      <c r="F708" s="1887"/>
      <c r="G708" s="1887"/>
      <c r="H708" s="1887"/>
      <c r="I708" s="1887"/>
      <c r="J708" s="1887"/>
      <c r="K708" s="1887"/>
      <c r="L708" s="1887"/>
      <c r="M708" s="1887"/>
      <c r="N708" s="1887"/>
      <c r="O708" s="1887"/>
      <c r="P708" s="1887"/>
      <c r="Q708" s="1887"/>
      <c r="R708" s="1887"/>
      <c r="S708" s="1887"/>
      <c r="T708" s="1887"/>
      <c r="U708" s="1887"/>
      <c r="V708" s="1887"/>
      <c r="W708" s="1887"/>
      <c r="X708" s="1887"/>
      <c r="Y708" s="1887"/>
      <c r="Z708" s="1887"/>
      <c r="AA708" s="1887"/>
      <c r="AB708" s="1887"/>
      <c r="AC708" s="1887"/>
    </row>
    <row r="709">
      <c r="A709" s="1887"/>
      <c r="B709" s="1887"/>
      <c r="C709" s="1887"/>
      <c r="D709" s="1887"/>
      <c r="E709" s="1887"/>
      <c r="F709" s="1887"/>
      <c r="G709" s="1887"/>
      <c r="H709" s="1887"/>
      <c r="I709" s="1887"/>
      <c r="J709" s="1887"/>
      <c r="K709" s="1887"/>
      <c r="L709" s="1887"/>
      <c r="M709" s="1887"/>
      <c r="N709" s="1887"/>
      <c r="O709" s="1887"/>
      <c r="P709" s="1887"/>
      <c r="Q709" s="1887"/>
      <c r="R709" s="1887"/>
      <c r="S709" s="1887"/>
      <c r="T709" s="1887"/>
      <c r="U709" s="1887"/>
      <c r="V709" s="1887"/>
      <c r="W709" s="1887"/>
      <c r="X709" s="1887"/>
      <c r="Y709" s="1887"/>
      <c r="Z709" s="1887"/>
      <c r="AA709" s="1887"/>
      <c r="AB709" s="1887"/>
      <c r="AC709" s="1887"/>
    </row>
    <row r="710">
      <c r="A710" s="1887"/>
      <c r="B710" s="1887"/>
      <c r="C710" s="1887"/>
      <c r="D710" s="1887"/>
      <c r="E710" s="1887"/>
      <c r="F710" s="1887"/>
      <c r="G710" s="1887"/>
      <c r="H710" s="1887"/>
      <c r="I710" s="1887"/>
      <c r="J710" s="1887"/>
      <c r="K710" s="1887"/>
      <c r="L710" s="1887"/>
      <c r="M710" s="1887"/>
      <c r="N710" s="1887"/>
      <c r="O710" s="1887"/>
      <c r="P710" s="1887"/>
      <c r="Q710" s="1887"/>
      <c r="R710" s="1887"/>
      <c r="S710" s="1887"/>
      <c r="T710" s="1887"/>
      <c r="U710" s="1887"/>
      <c r="V710" s="1887"/>
      <c r="W710" s="1887"/>
      <c r="X710" s="1887"/>
      <c r="Y710" s="1887"/>
      <c r="Z710" s="1887"/>
      <c r="AA710" s="1887"/>
      <c r="AB710" s="1887"/>
      <c r="AC710" s="1887"/>
    </row>
    <row r="711">
      <c r="A711" s="1887"/>
      <c r="B711" s="1887"/>
      <c r="C711" s="1887"/>
      <c r="D711" s="1887"/>
      <c r="E711" s="1887"/>
      <c r="F711" s="1887"/>
      <c r="G711" s="1887"/>
      <c r="H711" s="1887"/>
      <c r="I711" s="1887"/>
      <c r="J711" s="1887"/>
      <c r="K711" s="1887"/>
      <c r="L711" s="1887"/>
      <c r="M711" s="1887"/>
      <c r="N711" s="1887"/>
      <c r="O711" s="1887"/>
      <c r="P711" s="1887"/>
      <c r="Q711" s="1887"/>
      <c r="R711" s="1887"/>
      <c r="S711" s="1887"/>
      <c r="T711" s="1887"/>
      <c r="U711" s="1887"/>
      <c r="V711" s="1887"/>
      <c r="W711" s="1887"/>
      <c r="X711" s="1887"/>
      <c r="Y711" s="1887"/>
      <c r="Z711" s="1887"/>
      <c r="AA711" s="1887"/>
      <c r="AB711" s="1887"/>
      <c r="AC711" s="1887"/>
    </row>
    <row r="712">
      <c r="A712" s="1887"/>
      <c r="B712" s="1887"/>
      <c r="C712" s="1887"/>
      <c r="D712" s="1887"/>
      <c r="E712" s="1887"/>
      <c r="F712" s="1887"/>
      <c r="G712" s="1887"/>
      <c r="H712" s="1887"/>
      <c r="I712" s="1887"/>
      <c r="J712" s="1887"/>
      <c r="K712" s="1887"/>
      <c r="L712" s="1887"/>
      <c r="M712" s="1887"/>
      <c r="N712" s="1887"/>
      <c r="O712" s="1887"/>
      <c r="P712" s="1887"/>
      <c r="Q712" s="1887"/>
      <c r="R712" s="1887"/>
      <c r="S712" s="1887"/>
      <c r="T712" s="1887"/>
      <c r="U712" s="1887"/>
      <c r="V712" s="1887"/>
      <c r="W712" s="1887"/>
      <c r="X712" s="1887"/>
      <c r="Y712" s="1887"/>
      <c r="Z712" s="1887"/>
      <c r="AA712" s="1887"/>
      <c r="AB712" s="1887"/>
      <c r="AC712" s="1887"/>
    </row>
    <row r="713">
      <c r="A713" s="1887"/>
      <c r="B713" s="1887"/>
      <c r="C713" s="1887"/>
      <c r="D713" s="1887"/>
      <c r="E713" s="1887"/>
      <c r="F713" s="1887"/>
      <c r="G713" s="1887"/>
      <c r="H713" s="1887"/>
      <c r="I713" s="1887"/>
      <c r="J713" s="1887"/>
      <c r="K713" s="1887"/>
      <c r="L713" s="1887"/>
      <c r="M713" s="1887"/>
      <c r="N713" s="1887"/>
      <c r="O713" s="1887"/>
      <c r="P713" s="1887"/>
      <c r="Q713" s="1887"/>
      <c r="R713" s="1887"/>
      <c r="S713" s="1887"/>
      <c r="T713" s="1887"/>
      <c r="U713" s="1887"/>
      <c r="V713" s="1887"/>
      <c r="W713" s="1887"/>
      <c r="X713" s="1887"/>
      <c r="Y713" s="1887"/>
      <c r="Z713" s="1887"/>
      <c r="AA713" s="1887"/>
      <c r="AB713" s="1887"/>
      <c r="AC713" s="1887"/>
    </row>
    <row r="714">
      <c r="A714" s="1887"/>
      <c r="B714" s="1887"/>
      <c r="C714" s="1887"/>
      <c r="D714" s="1887"/>
      <c r="E714" s="1887"/>
      <c r="F714" s="1887"/>
      <c r="G714" s="1887"/>
      <c r="H714" s="1887"/>
      <c r="I714" s="1887"/>
      <c r="J714" s="1887"/>
      <c r="K714" s="1887"/>
      <c r="L714" s="1887"/>
      <c r="M714" s="1887"/>
      <c r="N714" s="1887"/>
      <c r="O714" s="1887"/>
      <c r="P714" s="1887"/>
      <c r="Q714" s="1887"/>
      <c r="R714" s="1887"/>
      <c r="S714" s="1887"/>
      <c r="T714" s="1887"/>
      <c r="U714" s="1887"/>
      <c r="V714" s="1887"/>
      <c r="W714" s="1887"/>
      <c r="X714" s="1887"/>
      <c r="Y714" s="1887"/>
      <c r="Z714" s="1887"/>
      <c r="AA714" s="1887"/>
      <c r="AB714" s="1887"/>
      <c r="AC714" s="1887"/>
    </row>
    <row r="715">
      <c r="A715" s="1887"/>
      <c r="B715" s="1887"/>
      <c r="C715" s="1887"/>
      <c r="D715" s="1887"/>
      <c r="E715" s="1887"/>
      <c r="F715" s="1887"/>
      <c r="G715" s="1887"/>
      <c r="H715" s="1887"/>
      <c r="I715" s="1887"/>
      <c r="J715" s="1887"/>
      <c r="K715" s="1887"/>
      <c r="L715" s="1887"/>
      <c r="M715" s="1887"/>
      <c r="N715" s="1887"/>
      <c r="O715" s="1887"/>
      <c r="P715" s="1887"/>
      <c r="Q715" s="1887"/>
      <c r="R715" s="1887"/>
      <c r="S715" s="1887"/>
      <c r="T715" s="1887"/>
      <c r="U715" s="1887"/>
      <c r="V715" s="1887"/>
      <c r="W715" s="1887"/>
      <c r="X715" s="1887"/>
      <c r="Y715" s="1887"/>
      <c r="Z715" s="1887"/>
      <c r="AA715" s="1887"/>
      <c r="AB715" s="1887"/>
      <c r="AC715" s="1887"/>
    </row>
    <row r="716">
      <c r="A716" s="1887"/>
      <c r="B716" s="1887"/>
      <c r="C716" s="1887"/>
      <c r="D716" s="1887"/>
      <c r="E716" s="1887"/>
      <c r="F716" s="1887"/>
      <c r="G716" s="1887"/>
      <c r="H716" s="1887"/>
      <c r="I716" s="1887"/>
      <c r="J716" s="1887"/>
      <c r="K716" s="1887"/>
      <c r="L716" s="1887"/>
      <c r="M716" s="1887"/>
      <c r="N716" s="1887"/>
      <c r="O716" s="1887"/>
      <c r="P716" s="1887"/>
      <c r="Q716" s="1887"/>
      <c r="R716" s="1887"/>
      <c r="S716" s="1887"/>
      <c r="T716" s="1887"/>
      <c r="U716" s="1887"/>
      <c r="V716" s="1887"/>
      <c r="W716" s="1887"/>
      <c r="X716" s="1887"/>
      <c r="Y716" s="1887"/>
      <c r="Z716" s="1887"/>
      <c r="AA716" s="1887"/>
      <c r="AB716" s="1887"/>
      <c r="AC716" s="1887"/>
    </row>
    <row r="717">
      <c r="A717" s="1887"/>
      <c r="B717" s="1887"/>
      <c r="C717" s="1887"/>
      <c r="D717" s="1887"/>
      <c r="E717" s="1887"/>
      <c r="F717" s="1887"/>
      <c r="G717" s="1887"/>
      <c r="H717" s="1887"/>
      <c r="I717" s="1887"/>
      <c r="J717" s="1887"/>
      <c r="K717" s="1887"/>
      <c r="L717" s="1887"/>
      <c r="M717" s="1887"/>
      <c r="N717" s="1887"/>
      <c r="O717" s="1887"/>
      <c r="P717" s="1887"/>
      <c r="Q717" s="1887"/>
      <c r="R717" s="1887"/>
      <c r="S717" s="1887"/>
      <c r="T717" s="1887"/>
      <c r="U717" s="1887"/>
      <c r="V717" s="1887"/>
      <c r="W717" s="1887"/>
      <c r="X717" s="1887"/>
      <c r="Y717" s="1887"/>
      <c r="Z717" s="1887"/>
      <c r="AA717" s="1887"/>
      <c r="AB717" s="1887"/>
      <c r="AC717" s="1887"/>
    </row>
    <row r="718">
      <c r="A718" s="1887"/>
      <c r="B718" s="1887"/>
      <c r="C718" s="1887"/>
      <c r="D718" s="1887"/>
      <c r="E718" s="1887"/>
      <c r="F718" s="1887"/>
      <c r="G718" s="1887"/>
      <c r="H718" s="1887"/>
      <c r="I718" s="1887"/>
      <c r="J718" s="1887"/>
      <c r="K718" s="1887"/>
      <c r="L718" s="1887"/>
      <c r="M718" s="1887"/>
      <c r="N718" s="1887"/>
      <c r="O718" s="1887"/>
      <c r="P718" s="1887"/>
      <c r="Q718" s="1887"/>
      <c r="R718" s="1887"/>
      <c r="S718" s="1887"/>
      <c r="T718" s="1887"/>
      <c r="U718" s="1887"/>
      <c r="V718" s="1887"/>
      <c r="W718" s="1887"/>
      <c r="X718" s="1887"/>
      <c r="Y718" s="1887"/>
      <c r="Z718" s="1887"/>
      <c r="AA718" s="1887"/>
      <c r="AB718" s="1887"/>
      <c r="AC718" s="1887"/>
    </row>
    <row r="719">
      <c r="A719" s="1887"/>
      <c r="B719" s="1887"/>
      <c r="C719" s="1887"/>
      <c r="D719" s="1887"/>
      <c r="E719" s="1887"/>
      <c r="F719" s="1887"/>
      <c r="G719" s="1887"/>
      <c r="H719" s="1887"/>
      <c r="I719" s="1887"/>
      <c r="J719" s="1887"/>
      <c r="K719" s="1887"/>
      <c r="L719" s="1887"/>
      <c r="M719" s="1887"/>
      <c r="N719" s="1887"/>
      <c r="O719" s="1887"/>
      <c r="P719" s="1887"/>
      <c r="Q719" s="1887"/>
      <c r="R719" s="1887"/>
      <c r="S719" s="1887"/>
      <c r="T719" s="1887"/>
      <c r="U719" s="1887"/>
      <c r="V719" s="1887"/>
      <c r="W719" s="1887"/>
      <c r="X719" s="1887"/>
      <c r="Y719" s="1887"/>
      <c r="Z719" s="1887"/>
      <c r="AA719" s="1887"/>
      <c r="AB719" s="1887"/>
      <c r="AC719" s="1887"/>
    </row>
    <row r="720">
      <c r="A720" s="1887"/>
      <c r="B720" s="1887"/>
      <c r="C720" s="1887"/>
      <c r="D720" s="1887"/>
      <c r="E720" s="1887"/>
      <c r="F720" s="1887"/>
      <c r="G720" s="1887"/>
      <c r="H720" s="1887"/>
      <c r="I720" s="1887"/>
      <c r="J720" s="1887"/>
      <c r="K720" s="1887"/>
      <c r="L720" s="1887"/>
      <c r="M720" s="1887"/>
      <c r="N720" s="1887"/>
      <c r="O720" s="1887"/>
      <c r="P720" s="1887"/>
      <c r="Q720" s="1887"/>
      <c r="R720" s="1887"/>
      <c r="S720" s="1887"/>
      <c r="T720" s="1887"/>
      <c r="U720" s="1887"/>
      <c r="V720" s="1887"/>
      <c r="W720" s="1887"/>
      <c r="X720" s="1887"/>
      <c r="Y720" s="1887"/>
      <c r="Z720" s="1887"/>
      <c r="AA720" s="1887"/>
      <c r="AB720" s="1887"/>
      <c r="AC720" s="1887"/>
    </row>
    <row r="721">
      <c r="A721" s="1887"/>
      <c r="B721" s="1887"/>
      <c r="C721" s="1887"/>
      <c r="D721" s="1887"/>
      <c r="E721" s="1887"/>
      <c r="F721" s="1887"/>
      <c r="G721" s="1887"/>
      <c r="H721" s="1887"/>
      <c r="I721" s="1887"/>
      <c r="J721" s="1887"/>
      <c r="K721" s="1887"/>
      <c r="L721" s="1887"/>
      <c r="M721" s="1887"/>
      <c r="N721" s="1887"/>
      <c r="O721" s="1887"/>
      <c r="P721" s="1887"/>
      <c r="Q721" s="1887"/>
      <c r="R721" s="1887"/>
      <c r="S721" s="1887"/>
      <c r="T721" s="1887"/>
      <c r="U721" s="1887"/>
      <c r="V721" s="1887"/>
      <c r="W721" s="1887"/>
      <c r="X721" s="1887"/>
      <c r="Y721" s="1887"/>
      <c r="Z721" s="1887"/>
      <c r="AA721" s="1887"/>
      <c r="AB721" s="1887"/>
      <c r="AC721" s="1887"/>
    </row>
    <row r="722">
      <c r="A722" s="1887"/>
      <c r="B722" s="1887"/>
      <c r="C722" s="1887"/>
      <c r="D722" s="1887"/>
      <c r="E722" s="1887"/>
      <c r="F722" s="1887"/>
      <c r="G722" s="1887"/>
      <c r="H722" s="1887"/>
      <c r="I722" s="1887"/>
      <c r="J722" s="1887"/>
      <c r="K722" s="1887"/>
      <c r="L722" s="1887"/>
      <c r="M722" s="1887"/>
      <c r="N722" s="1887"/>
      <c r="O722" s="1887"/>
      <c r="P722" s="1887"/>
      <c r="Q722" s="1887"/>
      <c r="R722" s="1887"/>
      <c r="S722" s="1887"/>
      <c r="T722" s="1887"/>
      <c r="U722" s="1887"/>
      <c r="V722" s="1887"/>
      <c r="W722" s="1887"/>
      <c r="X722" s="1887"/>
      <c r="Y722" s="1887"/>
      <c r="Z722" s="1887"/>
      <c r="AA722" s="1887"/>
      <c r="AB722" s="1887"/>
      <c r="AC722" s="1887"/>
    </row>
    <row r="723">
      <c r="A723" s="1887"/>
      <c r="B723" s="1887"/>
      <c r="C723" s="1887"/>
      <c r="D723" s="1887"/>
      <c r="E723" s="1887"/>
      <c r="F723" s="1887"/>
      <c r="G723" s="1887"/>
      <c r="H723" s="1887"/>
      <c r="I723" s="1887"/>
      <c r="J723" s="1887"/>
      <c r="K723" s="1887"/>
      <c r="L723" s="1887"/>
      <c r="M723" s="1887"/>
      <c r="N723" s="1887"/>
      <c r="O723" s="1887"/>
      <c r="P723" s="1887"/>
      <c r="Q723" s="1887"/>
      <c r="R723" s="1887"/>
      <c r="S723" s="1887"/>
      <c r="T723" s="1887"/>
      <c r="U723" s="1887"/>
      <c r="V723" s="1887"/>
      <c r="W723" s="1887"/>
      <c r="X723" s="1887"/>
      <c r="Y723" s="1887"/>
      <c r="Z723" s="1887"/>
      <c r="AA723" s="1887"/>
      <c r="AB723" s="1887"/>
      <c r="AC723" s="1887"/>
    </row>
    <row r="724">
      <c r="A724" s="1887"/>
      <c r="B724" s="1887"/>
      <c r="C724" s="1887"/>
      <c r="D724" s="1887"/>
      <c r="E724" s="1887"/>
      <c r="F724" s="1887"/>
      <c r="G724" s="1887"/>
      <c r="H724" s="1887"/>
      <c r="I724" s="1887"/>
      <c r="J724" s="1887"/>
      <c r="K724" s="1887"/>
      <c r="L724" s="1887"/>
      <c r="M724" s="1887"/>
      <c r="N724" s="1887"/>
      <c r="O724" s="1887"/>
      <c r="P724" s="1887"/>
      <c r="Q724" s="1887"/>
      <c r="R724" s="1887"/>
      <c r="S724" s="1887"/>
      <c r="T724" s="1887"/>
      <c r="U724" s="1887"/>
      <c r="V724" s="1887"/>
      <c r="W724" s="1887"/>
      <c r="X724" s="1887"/>
      <c r="Y724" s="1887"/>
      <c r="Z724" s="1887"/>
      <c r="AA724" s="1887"/>
      <c r="AB724" s="1887"/>
      <c r="AC724" s="1887"/>
    </row>
    <row r="725">
      <c r="A725" s="1887"/>
      <c r="B725" s="1887"/>
      <c r="C725" s="1887"/>
      <c r="D725" s="1887"/>
      <c r="E725" s="1887"/>
      <c r="F725" s="1887"/>
      <c r="G725" s="1887"/>
      <c r="H725" s="1887"/>
      <c r="I725" s="1887"/>
      <c r="J725" s="1887"/>
      <c r="K725" s="1887"/>
      <c r="L725" s="1887"/>
      <c r="M725" s="1887"/>
      <c r="N725" s="1887"/>
      <c r="O725" s="1887"/>
      <c r="P725" s="1887"/>
      <c r="Q725" s="1887"/>
      <c r="R725" s="1887"/>
      <c r="S725" s="1887"/>
      <c r="T725" s="1887"/>
      <c r="U725" s="1887"/>
      <c r="V725" s="1887"/>
      <c r="W725" s="1887"/>
      <c r="X725" s="1887"/>
      <c r="Y725" s="1887"/>
      <c r="Z725" s="1887"/>
      <c r="AA725" s="1887"/>
      <c r="AB725" s="1887"/>
      <c r="AC725" s="1887"/>
    </row>
    <row r="726">
      <c r="A726" s="1887"/>
      <c r="B726" s="1887"/>
      <c r="C726" s="1887"/>
      <c r="D726" s="1887"/>
      <c r="E726" s="1887"/>
      <c r="F726" s="1887"/>
      <c r="G726" s="1887"/>
      <c r="H726" s="1887"/>
      <c r="I726" s="1887"/>
      <c r="J726" s="1887"/>
      <c r="K726" s="1887"/>
      <c r="L726" s="1887"/>
      <c r="M726" s="1887"/>
      <c r="N726" s="1887"/>
      <c r="O726" s="1887"/>
      <c r="P726" s="1887"/>
      <c r="Q726" s="1887"/>
      <c r="R726" s="1887"/>
      <c r="S726" s="1887"/>
      <c r="T726" s="1887"/>
      <c r="U726" s="1887"/>
      <c r="V726" s="1887"/>
      <c r="W726" s="1887"/>
      <c r="X726" s="1887"/>
      <c r="Y726" s="1887"/>
      <c r="Z726" s="1887"/>
      <c r="AA726" s="1887"/>
      <c r="AB726" s="1887"/>
      <c r="AC726" s="1887"/>
    </row>
    <row r="727">
      <c r="A727" s="1887"/>
      <c r="B727" s="1887"/>
      <c r="C727" s="1887"/>
      <c r="D727" s="1887"/>
      <c r="E727" s="1887"/>
      <c r="F727" s="1887"/>
      <c r="G727" s="1887"/>
      <c r="H727" s="1887"/>
      <c r="I727" s="1887"/>
      <c r="J727" s="1887"/>
      <c r="K727" s="1887"/>
      <c r="L727" s="1887"/>
      <c r="M727" s="1887"/>
      <c r="N727" s="1887"/>
      <c r="O727" s="1887"/>
      <c r="P727" s="1887"/>
      <c r="Q727" s="1887"/>
      <c r="R727" s="1887"/>
      <c r="S727" s="1887"/>
      <c r="T727" s="1887"/>
      <c r="U727" s="1887"/>
      <c r="V727" s="1887"/>
      <c r="W727" s="1887"/>
      <c r="X727" s="1887"/>
      <c r="Y727" s="1887"/>
      <c r="Z727" s="1887"/>
      <c r="AA727" s="1887"/>
      <c r="AB727" s="1887"/>
      <c r="AC727" s="1887"/>
    </row>
    <row r="728">
      <c r="A728" s="1887"/>
      <c r="B728" s="1887"/>
      <c r="C728" s="1887"/>
      <c r="D728" s="1887"/>
      <c r="E728" s="1887"/>
      <c r="F728" s="1887"/>
      <c r="G728" s="1887"/>
      <c r="H728" s="1887"/>
      <c r="I728" s="1887"/>
      <c r="J728" s="1887"/>
      <c r="K728" s="1887"/>
      <c r="L728" s="1887"/>
      <c r="M728" s="1887"/>
      <c r="N728" s="1887"/>
      <c r="O728" s="1887"/>
      <c r="P728" s="1887"/>
      <c r="Q728" s="1887"/>
      <c r="R728" s="1887"/>
      <c r="S728" s="1887"/>
      <c r="T728" s="1887"/>
      <c r="U728" s="1887"/>
      <c r="V728" s="1887"/>
      <c r="W728" s="1887"/>
      <c r="X728" s="1887"/>
      <c r="Y728" s="1887"/>
      <c r="Z728" s="1887"/>
      <c r="AA728" s="1887"/>
      <c r="AB728" s="1887"/>
      <c r="AC728" s="1887"/>
    </row>
    <row r="729">
      <c r="A729" s="1887"/>
      <c r="B729" s="1887"/>
      <c r="C729" s="1887"/>
      <c r="D729" s="1887"/>
      <c r="E729" s="1887"/>
      <c r="F729" s="1887"/>
      <c r="G729" s="1887"/>
      <c r="H729" s="1887"/>
      <c r="I729" s="1887"/>
      <c r="J729" s="1887"/>
      <c r="K729" s="1887"/>
      <c r="L729" s="1887"/>
      <c r="M729" s="1887"/>
      <c r="N729" s="1887"/>
      <c r="O729" s="1887"/>
      <c r="P729" s="1887"/>
      <c r="Q729" s="1887"/>
      <c r="R729" s="1887"/>
      <c r="S729" s="1887"/>
      <c r="T729" s="1887"/>
      <c r="U729" s="1887"/>
      <c r="V729" s="1887"/>
      <c r="W729" s="1887"/>
      <c r="X729" s="1887"/>
      <c r="Y729" s="1887"/>
      <c r="Z729" s="1887"/>
      <c r="AA729" s="1887"/>
      <c r="AB729" s="1887"/>
      <c r="AC729" s="1887"/>
    </row>
    <row r="730">
      <c r="A730" s="1887"/>
      <c r="B730" s="1887"/>
      <c r="C730" s="1887"/>
      <c r="D730" s="1887"/>
      <c r="E730" s="1887"/>
      <c r="F730" s="1887"/>
      <c r="G730" s="1887"/>
      <c r="H730" s="1887"/>
      <c r="I730" s="1887"/>
      <c r="J730" s="1887"/>
      <c r="K730" s="1887"/>
      <c r="L730" s="1887"/>
      <c r="M730" s="1887"/>
      <c r="N730" s="1887"/>
      <c r="O730" s="1887"/>
      <c r="P730" s="1887"/>
      <c r="Q730" s="1887"/>
      <c r="R730" s="1887"/>
      <c r="S730" s="1887"/>
      <c r="T730" s="1887"/>
      <c r="U730" s="1887"/>
      <c r="V730" s="1887"/>
      <c r="W730" s="1887"/>
      <c r="X730" s="1887"/>
      <c r="Y730" s="1887"/>
      <c r="Z730" s="1887"/>
      <c r="AA730" s="1887"/>
      <c r="AB730" s="1887"/>
      <c r="AC730" s="1887"/>
    </row>
    <row r="731">
      <c r="A731" s="1887"/>
      <c r="B731" s="1887"/>
      <c r="C731" s="1887"/>
      <c r="D731" s="1887"/>
      <c r="E731" s="1887"/>
      <c r="F731" s="1887"/>
      <c r="G731" s="1887"/>
      <c r="H731" s="1887"/>
      <c r="I731" s="1887"/>
      <c r="J731" s="1887"/>
      <c r="K731" s="1887"/>
      <c r="L731" s="1887"/>
      <c r="M731" s="1887"/>
      <c r="N731" s="1887"/>
      <c r="O731" s="1887"/>
      <c r="P731" s="1887"/>
      <c r="Q731" s="1887"/>
      <c r="R731" s="1887"/>
      <c r="S731" s="1887"/>
      <c r="T731" s="1887"/>
      <c r="U731" s="1887"/>
      <c r="V731" s="1887"/>
      <c r="W731" s="1887"/>
      <c r="X731" s="1887"/>
      <c r="Y731" s="1887"/>
      <c r="Z731" s="1887"/>
      <c r="AA731" s="1887"/>
      <c r="AB731" s="1887"/>
      <c r="AC731" s="1887"/>
    </row>
    <row r="732">
      <c r="A732" s="1887"/>
      <c r="B732" s="1887"/>
      <c r="C732" s="1887"/>
      <c r="D732" s="1887"/>
      <c r="E732" s="1887"/>
      <c r="F732" s="1887"/>
      <c r="G732" s="1887"/>
      <c r="H732" s="1887"/>
      <c r="I732" s="1887"/>
      <c r="J732" s="1887"/>
      <c r="K732" s="1887"/>
      <c r="L732" s="1887"/>
      <c r="M732" s="1887"/>
      <c r="N732" s="1887"/>
      <c r="O732" s="1887"/>
      <c r="P732" s="1887"/>
      <c r="Q732" s="1887"/>
      <c r="R732" s="1887"/>
      <c r="S732" s="1887"/>
      <c r="T732" s="1887"/>
      <c r="U732" s="1887"/>
      <c r="V732" s="1887"/>
      <c r="W732" s="1887"/>
      <c r="X732" s="1887"/>
      <c r="Y732" s="1887"/>
      <c r="Z732" s="1887"/>
      <c r="AA732" s="1887"/>
      <c r="AB732" s="1887"/>
      <c r="AC732" s="1887"/>
    </row>
    <row r="733">
      <c r="A733" s="1887"/>
      <c r="B733" s="1887"/>
      <c r="C733" s="1887"/>
      <c r="D733" s="1887"/>
      <c r="E733" s="1887"/>
      <c r="F733" s="1887"/>
      <c r="G733" s="1887"/>
      <c r="H733" s="1887"/>
      <c r="I733" s="1887"/>
      <c r="J733" s="1887"/>
      <c r="K733" s="1887"/>
      <c r="L733" s="1887"/>
      <c r="M733" s="1887"/>
      <c r="N733" s="1887"/>
      <c r="O733" s="1887"/>
      <c r="P733" s="1887"/>
      <c r="Q733" s="1887"/>
      <c r="R733" s="1887"/>
      <c r="S733" s="1887"/>
      <c r="T733" s="1887"/>
      <c r="U733" s="1887"/>
      <c r="V733" s="1887"/>
      <c r="W733" s="1887"/>
      <c r="X733" s="1887"/>
      <c r="Y733" s="1887"/>
      <c r="Z733" s="1887"/>
      <c r="AA733" s="1887"/>
      <c r="AB733" s="1887"/>
      <c r="AC733" s="1887"/>
    </row>
    <row r="734">
      <c r="A734" s="1887"/>
      <c r="B734" s="1887"/>
      <c r="C734" s="1887"/>
      <c r="D734" s="1887"/>
      <c r="E734" s="1887"/>
      <c r="F734" s="1887"/>
      <c r="G734" s="1887"/>
      <c r="H734" s="1887"/>
      <c r="I734" s="1887"/>
      <c r="J734" s="1887"/>
      <c r="K734" s="1887"/>
      <c r="L734" s="1887"/>
      <c r="M734" s="1887"/>
      <c r="N734" s="1887"/>
      <c r="O734" s="1887"/>
      <c r="P734" s="1887"/>
      <c r="Q734" s="1887"/>
      <c r="R734" s="1887"/>
      <c r="S734" s="1887"/>
      <c r="T734" s="1887"/>
      <c r="U734" s="1887"/>
      <c r="V734" s="1887"/>
      <c r="W734" s="1887"/>
      <c r="X734" s="1887"/>
      <c r="Y734" s="1887"/>
      <c r="Z734" s="1887"/>
      <c r="AA734" s="1887"/>
      <c r="AB734" s="1887"/>
      <c r="AC734" s="1887"/>
    </row>
    <row r="735">
      <c r="A735" s="1887"/>
      <c r="B735" s="1887"/>
      <c r="C735" s="1887"/>
      <c r="D735" s="1887"/>
      <c r="E735" s="1887"/>
      <c r="F735" s="1887"/>
      <c r="G735" s="1887"/>
      <c r="H735" s="1887"/>
      <c r="I735" s="1887"/>
      <c r="J735" s="1887"/>
      <c r="K735" s="1887"/>
      <c r="L735" s="1887"/>
      <c r="M735" s="1887"/>
      <c r="N735" s="1887"/>
      <c r="O735" s="1887"/>
      <c r="P735" s="1887"/>
      <c r="Q735" s="1887"/>
      <c r="R735" s="1887"/>
      <c r="S735" s="1887"/>
      <c r="T735" s="1887"/>
      <c r="U735" s="1887"/>
      <c r="V735" s="1887"/>
      <c r="W735" s="1887"/>
      <c r="X735" s="1887"/>
      <c r="Y735" s="1887"/>
      <c r="Z735" s="1887"/>
      <c r="AA735" s="1887"/>
      <c r="AB735" s="1887"/>
      <c r="AC735" s="1887"/>
    </row>
    <row r="736">
      <c r="A736" s="1887"/>
      <c r="B736" s="1887"/>
      <c r="C736" s="1887"/>
      <c r="D736" s="1887"/>
      <c r="E736" s="1887"/>
      <c r="F736" s="1887"/>
      <c r="G736" s="1887"/>
      <c r="H736" s="1887"/>
      <c r="I736" s="1887"/>
      <c r="J736" s="1887"/>
      <c r="K736" s="1887"/>
      <c r="L736" s="1887"/>
      <c r="M736" s="1887"/>
      <c r="N736" s="1887"/>
      <c r="O736" s="1887"/>
      <c r="P736" s="1887"/>
      <c r="Q736" s="1887"/>
      <c r="R736" s="1887"/>
      <c r="S736" s="1887"/>
      <c r="T736" s="1887"/>
      <c r="U736" s="1887"/>
      <c r="V736" s="1887"/>
      <c r="W736" s="1887"/>
      <c r="X736" s="1887"/>
      <c r="Y736" s="1887"/>
      <c r="Z736" s="1887"/>
      <c r="AA736" s="1887"/>
      <c r="AB736" s="1887"/>
      <c r="AC736" s="1887"/>
    </row>
    <row r="737">
      <c r="A737" s="1887"/>
      <c r="B737" s="1887"/>
      <c r="C737" s="1887"/>
      <c r="D737" s="1887"/>
      <c r="E737" s="1887"/>
      <c r="F737" s="1887"/>
      <c r="G737" s="1887"/>
      <c r="H737" s="1887"/>
      <c r="I737" s="1887"/>
      <c r="J737" s="1887"/>
      <c r="K737" s="1887"/>
      <c r="L737" s="1887"/>
      <c r="M737" s="1887"/>
      <c r="N737" s="1887"/>
      <c r="O737" s="1887"/>
      <c r="P737" s="1887"/>
      <c r="Q737" s="1887"/>
      <c r="R737" s="1887"/>
      <c r="S737" s="1887"/>
      <c r="T737" s="1887"/>
      <c r="U737" s="1887"/>
      <c r="V737" s="1887"/>
      <c r="W737" s="1887"/>
      <c r="X737" s="1887"/>
      <c r="Y737" s="1887"/>
      <c r="Z737" s="1887"/>
      <c r="AA737" s="1887"/>
      <c r="AB737" s="1887"/>
      <c r="AC737" s="1887"/>
    </row>
    <row r="738">
      <c r="A738" s="1887"/>
      <c r="B738" s="1887"/>
      <c r="C738" s="1887"/>
      <c r="D738" s="1887"/>
      <c r="E738" s="1887"/>
      <c r="F738" s="1887"/>
      <c r="G738" s="1887"/>
      <c r="H738" s="1887"/>
      <c r="I738" s="1887"/>
      <c r="J738" s="1887"/>
      <c r="K738" s="1887"/>
      <c r="L738" s="1887"/>
      <c r="M738" s="1887"/>
      <c r="N738" s="1887"/>
      <c r="O738" s="1887"/>
      <c r="P738" s="1887"/>
      <c r="Q738" s="1887"/>
      <c r="R738" s="1887"/>
      <c r="S738" s="1887"/>
      <c r="T738" s="1887"/>
      <c r="U738" s="1887"/>
      <c r="V738" s="1887"/>
      <c r="W738" s="1887"/>
      <c r="X738" s="1887"/>
      <c r="Y738" s="1887"/>
      <c r="Z738" s="1887"/>
      <c r="AA738" s="1887"/>
      <c r="AB738" s="1887"/>
      <c r="AC738" s="1887"/>
    </row>
    <row r="739">
      <c r="A739" s="1887"/>
      <c r="B739" s="1887"/>
      <c r="C739" s="1887"/>
      <c r="D739" s="1887"/>
      <c r="E739" s="1887"/>
      <c r="F739" s="1887"/>
      <c r="G739" s="1887"/>
      <c r="H739" s="1887"/>
      <c r="I739" s="1887"/>
      <c r="J739" s="1887"/>
      <c r="K739" s="1887"/>
      <c r="L739" s="1887"/>
      <c r="M739" s="1887"/>
      <c r="N739" s="1887"/>
      <c r="O739" s="1887"/>
      <c r="P739" s="1887"/>
      <c r="Q739" s="1887"/>
      <c r="R739" s="1887"/>
      <c r="S739" s="1887"/>
      <c r="T739" s="1887"/>
      <c r="U739" s="1887"/>
      <c r="V739" s="1887"/>
      <c r="W739" s="1887"/>
      <c r="X739" s="1887"/>
      <c r="Y739" s="1887"/>
      <c r="Z739" s="1887"/>
      <c r="AA739" s="1887"/>
      <c r="AB739" s="1887"/>
      <c r="AC739" s="1887"/>
    </row>
    <row r="740">
      <c r="A740" s="1887"/>
      <c r="B740" s="1887"/>
      <c r="C740" s="1887"/>
      <c r="D740" s="1887"/>
      <c r="E740" s="1887"/>
      <c r="F740" s="1887"/>
      <c r="G740" s="1887"/>
      <c r="H740" s="1887"/>
      <c r="I740" s="1887"/>
      <c r="J740" s="1887"/>
      <c r="K740" s="1887"/>
      <c r="L740" s="1887"/>
      <c r="M740" s="1887"/>
      <c r="N740" s="1887"/>
      <c r="O740" s="1887"/>
      <c r="P740" s="1887"/>
      <c r="Q740" s="1887"/>
      <c r="R740" s="1887"/>
      <c r="S740" s="1887"/>
      <c r="T740" s="1887"/>
      <c r="U740" s="1887"/>
      <c r="V740" s="1887"/>
      <c r="W740" s="1887"/>
      <c r="X740" s="1887"/>
      <c r="Y740" s="1887"/>
      <c r="Z740" s="1887"/>
      <c r="AA740" s="1887"/>
      <c r="AB740" s="1887"/>
      <c r="AC740" s="1887"/>
    </row>
    <row r="741">
      <c r="A741" s="1887"/>
      <c r="B741" s="1887"/>
      <c r="C741" s="1887"/>
      <c r="D741" s="1887"/>
      <c r="E741" s="1887"/>
      <c r="F741" s="1887"/>
      <c r="G741" s="1887"/>
      <c r="H741" s="1887"/>
      <c r="I741" s="1887"/>
      <c r="J741" s="1887"/>
      <c r="K741" s="1887"/>
      <c r="L741" s="1887"/>
      <c r="M741" s="1887"/>
      <c r="N741" s="1887"/>
      <c r="O741" s="1887"/>
      <c r="P741" s="1887"/>
      <c r="Q741" s="1887"/>
      <c r="R741" s="1887"/>
      <c r="S741" s="1887"/>
      <c r="T741" s="1887"/>
      <c r="U741" s="1887"/>
      <c r="V741" s="1887"/>
      <c r="W741" s="1887"/>
      <c r="X741" s="1887"/>
      <c r="Y741" s="1887"/>
      <c r="Z741" s="1887"/>
      <c r="AA741" s="1887"/>
      <c r="AB741" s="1887"/>
      <c r="AC741" s="1887"/>
    </row>
    <row r="742">
      <c r="A742" s="1887"/>
      <c r="B742" s="1887"/>
      <c r="C742" s="1887"/>
      <c r="D742" s="1887"/>
      <c r="E742" s="1887"/>
      <c r="F742" s="1887"/>
      <c r="G742" s="1887"/>
      <c r="H742" s="1887"/>
      <c r="I742" s="1887"/>
      <c r="J742" s="1887"/>
      <c r="K742" s="1887"/>
      <c r="L742" s="1887"/>
      <c r="M742" s="1887"/>
      <c r="N742" s="1887"/>
      <c r="O742" s="1887"/>
      <c r="P742" s="1887"/>
      <c r="Q742" s="1887"/>
      <c r="R742" s="1887"/>
      <c r="S742" s="1887"/>
      <c r="T742" s="1887"/>
      <c r="U742" s="1887"/>
      <c r="V742" s="1887"/>
      <c r="W742" s="1887"/>
      <c r="X742" s="1887"/>
      <c r="Y742" s="1887"/>
      <c r="Z742" s="1887"/>
      <c r="AA742" s="1887"/>
      <c r="AB742" s="1887"/>
      <c r="AC742" s="1887"/>
    </row>
    <row r="743">
      <c r="A743" s="1887"/>
      <c r="B743" s="1887"/>
      <c r="C743" s="1887"/>
      <c r="D743" s="1887"/>
      <c r="E743" s="1887"/>
      <c r="F743" s="1887"/>
      <c r="G743" s="1887"/>
      <c r="H743" s="1887"/>
      <c r="I743" s="1887"/>
      <c r="J743" s="1887"/>
      <c r="K743" s="1887"/>
      <c r="L743" s="1887"/>
      <c r="M743" s="1887"/>
      <c r="N743" s="1887"/>
      <c r="O743" s="1887"/>
      <c r="P743" s="1887"/>
      <c r="Q743" s="1887"/>
      <c r="R743" s="1887"/>
      <c r="S743" s="1887"/>
      <c r="T743" s="1887"/>
      <c r="U743" s="1887"/>
      <c r="V743" s="1887"/>
      <c r="W743" s="1887"/>
      <c r="X743" s="1887"/>
      <c r="Y743" s="1887"/>
      <c r="Z743" s="1887"/>
      <c r="AA743" s="1887"/>
      <c r="AB743" s="1887"/>
      <c r="AC743" s="1887"/>
    </row>
    <row r="744">
      <c r="A744" s="1887"/>
      <c r="B744" s="1887"/>
      <c r="C744" s="1887"/>
      <c r="D744" s="1887"/>
      <c r="E744" s="1887"/>
      <c r="F744" s="1887"/>
      <c r="G744" s="1887"/>
      <c r="H744" s="1887"/>
      <c r="I744" s="1887"/>
      <c r="J744" s="1887"/>
      <c r="K744" s="1887"/>
      <c r="L744" s="1887"/>
      <c r="M744" s="1887"/>
      <c r="N744" s="1887"/>
      <c r="O744" s="1887"/>
      <c r="P744" s="1887"/>
      <c r="Q744" s="1887"/>
      <c r="R744" s="1887"/>
      <c r="S744" s="1887"/>
      <c r="T744" s="1887"/>
      <c r="U744" s="1887"/>
      <c r="V744" s="1887"/>
      <c r="W744" s="1887"/>
      <c r="X744" s="1887"/>
      <c r="Y744" s="1887"/>
      <c r="Z744" s="1887"/>
      <c r="AA744" s="1887"/>
      <c r="AB744" s="1887"/>
      <c r="AC744" s="1887"/>
    </row>
    <row r="745">
      <c r="A745" s="1887"/>
      <c r="B745" s="1887"/>
      <c r="C745" s="1887"/>
      <c r="D745" s="1887"/>
      <c r="E745" s="1887"/>
      <c r="F745" s="1887"/>
      <c r="G745" s="1887"/>
      <c r="H745" s="1887"/>
      <c r="I745" s="1887"/>
      <c r="J745" s="1887"/>
      <c r="K745" s="1887"/>
      <c r="L745" s="1887"/>
      <c r="M745" s="1887"/>
      <c r="N745" s="1887"/>
      <c r="O745" s="1887"/>
      <c r="P745" s="1887"/>
      <c r="Q745" s="1887"/>
      <c r="R745" s="1887"/>
      <c r="S745" s="1887"/>
      <c r="T745" s="1887"/>
      <c r="U745" s="1887"/>
      <c r="V745" s="1887"/>
      <c r="W745" s="1887"/>
      <c r="X745" s="1887"/>
      <c r="Y745" s="1887"/>
      <c r="Z745" s="1887"/>
      <c r="AA745" s="1887"/>
      <c r="AB745" s="1887"/>
      <c r="AC745" s="1887"/>
    </row>
    <row r="746">
      <c r="A746" s="1887"/>
      <c r="B746" s="1887"/>
      <c r="C746" s="1887"/>
      <c r="D746" s="1887"/>
      <c r="E746" s="1887"/>
      <c r="F746" s="1887"/>
      <c r="G746" s="1887"/>
      <c r="H746" s="1887"/>
      <c r="I746" s="1887"/>
      <c r="J746" s="1887"/>
      <c r="K746" s="1887"/>
      <c r="L746" s="1887"/>
      <c r="M746" s="1887"/>
      <c r="N746" s="1887"/>
      <c r="O746" s="1887"/>
      <c r="P746" s="1887"/>
      <c r="Q746" s="1887"/>
      <c r="R746" s="1887"/>
      <c r="S746" s="1887"/>
      <c r="T746" s="1887"/>
      <c r="U746" s="1887"/>
      <c r="V746" s="1887"/>
      <c r="W746" s="1887"/>
      <c r="X746" s="1887"/>
      <c r="Y746" s="1887"/>
      <c r="Z746" s="1887"/>
      <c r="AA746" s="1887"/>
      <c r="AB746" s="1887"/>
      <c r="AC746" s="1887"/>
    </row>
    <row r="747">
      <c r="A747" s="1887"/>
      <c r="B747" s="1887"/>
      <c r="C747" s="1887"/>
      <c r="D747" s="1887"/>
      <c r="E747" s="1887"/>
      <c r="F747" s="1887"/>
      <c r="G747" s="1887"/>
      <c r="H747" s="1887"/>
      <c r="I747" s="1887"/>
      <c r="J747" s="1887"/>
      <c r="K747" s="1887"/>
      <c r="L747" s="1887"/>
      <c r="M747" s="1887"/>
      <c r="N747" s="1887"/>
      <c r="O747" s="1887"/>
      <c r="P747" s="1887"/>
      <c r="Q747" s="1887"/>
      <c r="R747" s="1887"/>
      <c r="S747" s="1887"/>
      <c r="T747" s="1887"/>
      <c r="U747" s="1887"/>
      <c r="V747" s="1887"/>
      <c r="W747" s="1887"/>
      <c r="X747" s="1887"/>
      <c r="Y747" s="1887"/>
      <c r="Z747" s="1887"/>
      <c r="AA747" s="1887"/>
      <c r="AB747" s="1887"/>
      <c r="AC747" s="1887"/>
    </row>
    <row r="748">
      <c r="A748" s="1887"/>
      <c r="B748" s="1887"/>
      <c r="C748" s="1887"/>
      <c r="D748" s="1887"/>
      <c r="E748" s="1887"/>
      <c r="F748" s="1887"/>
      <c r="G748" s="1887"/>
      <c r="H748" s="1887"/>
      <c r="I748" s="1887"/>
      <c r="J748" s="1887"/>
      <c r="K748" s="1887"/>
      <c r="L748" s="1887"/>
      <c r="M748" s="1887"/>
      <c r="N748" s="1887"/>
      <c r="O748" s="1887"/>
      <c r="P748" s="1887"/>
      <c r="Q748" s="1887"/>
      <c r="R748" s="1887"/>
      <c r="S748" s="1887"/>
      <c r="T748" s="1887"/>
      <c r="U748" s="1887"/>
      <c r="V748" s="1887"/>
      <c r="W748" s="1887"/>
      <c r="X748" s="1887"/>
      <c r="Y748" s="1887"/>
      <c r="Z748" s="1887"/>
      <c r="AA748" s="1887"/>
      <c r="AB748" s="1887"/>
      <c r="AC748" s="1887"/>
    </row>
    <row r="749">
      <c r="A749" s="1887"/>
      <c r="B749" s="1887"/>
      <c r="C749" s="1887"/>
      <c r="D749" s="1887"/>
      <c r="E749" s="1887"/>
      <c r="F749" s="1887"/>
      <c r="G749" s="1887"/>
      <c r="H749" s="1887"/>
      <c r="I749" s="1887"/>
      <c r="J749" s="1887"/>
      <c r="K749" s="1887"/>
      <c r="L749" s="1887"/>
      <c r="M749" s="1887"/>
      <c r="N749" s="1887"/>
      <c r="O749" s="1887"/>
      <c r="P749" s="1887"/>
      <c r="Q749" s="1887"/>
      <c r="R749" s="1887"/>
      <c r="S749" s="1887"/>
      <c r="T749" s="1887"/>
      <c r="U749" s="1887"/>
      <c r="V749" s="1887"/>
      <c r="W749" s="1887"/>
      <c r="X749" s="1887"/>
      <c r="Y749" s="1887"/>
      <c r="Z749" s="1887"/>
      <c r="AA749" s="1887"/>
      <c r="AB749" s="1887"/>
      <c r="AC749" s="1887"/>
    </row>
    <row r="750">
      <c r="A750" s="1887"/>
      <c r="B750" s="1887"/>
      <c r="C750" s="1887"/>
      <c r="D750" s="1887"/>
      <c r="E750" s="1887"/>
      <c r="F750" s="1887"/>
      <c r="G750" s="1887"/>
      <c r="H750" s="1887"/>
      <c r="I750" s="1887"/>
      <c r="J750" s="1887"/>
      <c r="K750" s="1887"/>
      <c r="L750" s="1887"/>
      <c r="M750" s="1887"/>
      <c r="N750" s="1887"/>
      <c r="O750" s="1887"/>
      <c r="P750" s="1887"/>
      <c r="Q750" s="1887"/>
      <c r="R750" s="1887"/>
      <c r="S750" s="1887"/>
      <c r="T750" s="1887"/>
      <c r="U750" s="1887"/>
      <c r="V750" s="1887"/>
      <c r="W750" s="1887"/>
      <c r="X750" s="1887"/>
      <c r="Y750" s="1887"/>
      <c r="Z750" s="1887"/>
      <c r="AA750" s="1887"/>
      <c r="AB750" s="1887"/>
      <c r="AC750" s="1887"/>
    </row>
    <row r="751">
      <c r="A751" s="1887"/>
      <c r="B751" s="1887"/>
      <c r="C751" s="1887"/>
      <c r="D751" s="1887"/>
      <c r="E751" s="1887"/>
      <c r="F751" s="1887"/>
      <c r="G751" s="1887"/>
      <c r="H751" s="1887"/>
      <c r="I751" s="1887"/>
      <c r="J751" s="1887"/>
      <c r="K751" s="1887"/>
      <c r="L751" s="1887"/>
      <c r="M751" s="1887"/>
      <c r="N751" s="1887"/>
      <c r="O751" s="1887"/>
      <c r="P751" s="1887"/>
      <c r="Q751" s="1887"/>
      <c r="R751" s="1887"/>
      <c r="S751" s="1887"/>
      <c r="T751" s="1887"/>
      <c r="U751" s="1887"/>
      <c r="V751" s="1887"/>
      <c r="W751" s="1887"/>
      <c r="X751" s="1887"/>
      <c r="Y751" s="1887"/>
      <c r="Z751" s="1887"/>
      <c r="AA751" s="1887"/>
      <c r="AB751" s="1887"/>
      <c r="AC751" s="1887"/>
    </row>
    <row r="752">
      <c r="A752" s="1887"/>
      <c r="B752" s="1887"/>
      <c r="C752" s="1887"/>
      <c r="D752" s="1887"/>
      <c r="E752" s="1887"/>
      <c r="F752" s="1887"/>
      <c r="G752" s="1887"/>
      <c r="H752" s="1887"/>
      <c r="I752" s="1887"/>
      <c r="J752" s="1887"/>
      <c r="K752" s="1887"/>
      <c r="L752" s="1887"/>
      <c r="M752" s="1887"/>
      <c r="N752" s="1887"/>
      <c r="O752" s="1887"/>
      <c r="P752" s="1887"/>
      <c r="Q752" s="1887"/>
      <c r="R752" s="1887"/>
      <c r="S752" s="1887"/>
      <c r="T752" s="1887"/>
      <c r="U752" s="1887"/>
      <c r="V752" s="1887"/>
      <c r="W752" s="1887"/>
      <c r="X752" s="1887"/>
      <c r="Y752" s="1887"/>
      <c r="Z752" s="1887"/>
      <c r="AA752" s="1887"/>
      <c r="AB752" s="1887"/>
      <c r="AC752" s="1887"/>
    </row>
    <row r="753">
      <c r="A753" s="1887"/>
      <c r="B753" s="1887"/>
      <c r="C753" s="1887"/>
      <c r="D753" s="1887"/>
      <c r="E753" s="1887"/>
      <c r="F753" s="1887"/>
      <c r="G753" s="1887"/>
      <c r="H753" s="1887"/>
      <c r="I753" s="1887"/>
      <c r="J753" s="1887"/>
      <c r="K753" s="1887"/>
      <c r="L753" s="1887"/>
      <c r="M753" s="1887"/>
      <c r="N753" s="1887"/>
      <c r="O753" s="1887"/>
      <c r="P753" s="1887"/>
      <c r="Q753" s="1887"/>
      <c r="R753" s="1887"/>
      <c r="S753" s="1887"/>
      <c r="T753" s="1887"/>
      <c r="U753" s="1887"/>
      <c r="V753" s="1887"/>
      <c r="W753" s="1887"/>
      <c r="X753" s="1887"/>
      <c r="Y753" s="1887"/>
      <c r="Z753" s="1887"/>
      <c r="AA753" s="1887"/>
      <c r="AB753" s="1887"/>
      <c r="AC753" s="1887"/>
    </row>
    <row r="754">
      <c r="A754" s="1887"/>
      <c r="B754" s="1887"/>
      <c r="C754" s="1887"/>
      <c r="D754" s="1887"/>
      <c r="E754" s="1887"/>
      <c r="F754" s="1887"/>
      <c r="G754" s="1887"/>
      <c r="H754" s="1887"/>
      <c r="I754" s="1887"/>
      <c r="J754" s="1887"/>
      <c r="K754" s="1887"/>
      <c r="L754" s="1887"/>
      <c r="M754" s="1887"/>
      <c r="N754" s="1887"/>
      <c r="O754" s="1887"/>
      <c r="P754" s="1887"/>
      <c r="Q754" s="1887"/>
      <c r="R754" s="1887"/>
      <c r="S754" s="1887"/>
      <c r="T754" s="1887"/>
      <c r="U754" s="1887"/>
      <c r="V754" s="1887"/>
      <c r="W754" s="1887"/>
      <c r="X754" s="1887"/>
      <c r="Y754" s="1887"/>
      <c r="Z754" s="1887"/>
      <c r="AA754" s="1887"/>
      <c r="AB754" s="1887"/>
      <c r="AC754" s="1887"/>
    </row>
    <row r="755">
      <c r="A755" s="1887"/>
      <c r="B755" s="1887"/>
      <c r="C755" s="1887"/>
      <c r="D755" s="1887"/>
      <c r="E755" s="1887"/>
      <c r="F755" s="1887"/>
      <c r="G755" s="1887"/>
      <c r="H755" s="1887"/>
      <c r="I755" s="1887"/>
      <c r="J755" s="1887"/>
      <c r="K755" s="1887"/>
      <c r="L755" s="1887"/>
      <c r="M755" s="1887"/>
      <c r="N755" s="1887"/>
      <c r="O755" s="1887"/>
      <c r="P755" s="1887"/>
      <c r="Q755" s="1887"/>
      <c r="R755" s="1887"/>
      <c r="S755" s="1887"/>
      <c r="T755" s="1887"/>
      <c r="U755" s="1887"/>
      <c r="V755" s="1887"/>
      <c r="W755" s="1887"/>
      <c r="X755" s="1887"/>
      <c r="Y755" s="1887"/>
      <c r="Z755" s="1887"/>
      <c r="AA755" s="1887"/>
      <c r="AB755" s="1887"/>
      <c r="AC755" s="1887"/>
    </row>
    <row r="756">
      <c r="A756" s="1887"/>
      <c r="B756" s="1887"/>
      <c r="C756" s="1887"/>
      <c r="D756" s="1887"/>
      <c r="E756" s="1887"/>
      <c r="F756" s="1887"/>
      <c r="G756" s="1887"/>
      <c r="H756" s="1887"/>
      <c r="I756" s="1887"/>
      <c r="J756" s="1887"/>
      <c r="K756" s="1887"/>
      <c r="L756" s="1887"/>
      <c r="M756" s="1887"/>
      <c r="N756" s="1887"/>
      <c r="O756" s="1887"/>
      <c r="P756" s="1887"/>
      <c r="Q756" s="1887"/>
      <c r="R756" s="1887"/>
      <c r="S756" s="1887"/>
      <c r="T756" s="1887"/>
      <c r="U756" s="1887"/>
      <c r="V756" s="1887"/>
      <c r="W756" s="1887"/>
      <c r="X756" s="1887"/>
      <c r="Y756" s="1887"/>
      <c r="Z756" s="1887"/>
      <c r="AA756" s="1887"/>
      <c r="AB756" s="1887"/>
      <c r="AC756" s="1887"/>
    </row>
    <row r="757">
      <c r="A757" s="1887"/>
      <c r="B757" s="1887"/>
      <c r="C757" s="1887"/>
      <c r="D757" s="1887"/>
      <c r="E757" s="1887"/>
      <c r="F757" s="1887"/>
      <c r="G757" s="1887"/>
      <c r="H757" s="1887"/>
      <c r="I757" s="1887"/>
      <c r="J757" s="1887"/>
      <c r="K757" s="1887"/>
      <c r="L757" s="1887"/>
      <c r="M757" s="1887"/>
      <c r="N757" s="1887"/>
      <c r="O757" s="1887"/>
      <c r="P757" s="1887"/>
      <c r="Q757" s="1887"/>
      <c r="R757" s="1887"/>
      <c r="S757" s="1887"/>
      <c r="T757" s="1887"/>
      <c r="U757" s="1887"/>
      <c r="V757" s="1887"/>
      <c r="W757" s="1887"/>
      <c r="X757" s="1887"/>
      <c r="Y757" s="1887"/>
      <c r="Z757" s="1887"/>
      <c r="AA757" s="1887"/>
      <c r="AB757" s="1887"/>
      <c r="AC757" s="1887"/>
    </row>
    <row r="758">
      <c r="A758" s="1887"/>
      <c r="B758" s="1887"/>
      <c r="C758" s="1887"/>
      <c r="D758" s="1887"/>
      <c r="E758" s="1887"/>
      <c r="F758" s="1887"/>
      <c r="G758" s="1887"/>
      <c r="H758" s="1887"/>
      <c r="I758" s="1887"/>
      <c r="J758" s="1887"/>
      <c r="K758" s="1887"/>
      <c r="L758" s="1887"/>
      <c r="M758" s="1887"/>
      <c r="N758" s="1887"/>
      <c r="O758" s="1887"/>
      <c r="P758" s="1887"/>
      <c r="Q758" s="1887"/>
      <c r="R758" s="1887"/>
      <c r="S758" s="1887"/>
      <c r="T758" s="1887"/>
      <c r="U758" s="1887"/>
      <c r="V758" s="1887"/>
      <c r="W758" s="1887"/>
      <c r="X758" s="1887"/>
      <c r="Y758" s="1887"/>
      <c r="Z758" s="1887"/>
      <c r="AA758" s="1887"/>
      <c r="AB758" s="1887"/>
      <c r="AC758" s="1887"/>
    </row>
    <row r="759">
      <c r="A759" s="1887"/>
      <c r="B759" s="1887"/>
      <c r="C759" s="1887"/>
      <c r="D759" s="1887"/>
      <c r="E759" s="1887"/>
      <c r="F759" s="1887"/>
      <c r="G759" s="1887"/>
      <c r="H759" s="1887"/>
      <c r="I759" s="1887"/>
      <c r="J759" s="1887"/>
      <c r="K759" s="1887"/>
      <c r="L759" s="1887"/>
      <c r="M759" s="1887"/>
      <c r="N759" s="1887"/>
      <c r="O759" s="1887"/>
      <c r="P759" s="1887"/>
      <c r="Q759" s="1887"/>
      <c r="R759" s="1887"/>
      <c r="S759" s="1887"/>
      <c r="T759" s="1887"/>
      <c r="U759" s="1887"/>
      <c r="V759" s="1887"/>
      <c r="W759" s="1887"/>
      <c r="X759" s="1887"/>
      <c r="Y759" s="1887"/>
      <c r="Z759" s="1887"/>
      <c r="AA759" s="1887"/>
      <c r="AB759" s="1887"/>
      <c r="AC759" s="1887"/>
    </row>
    <row r="760">
      <c r="A760" s="1887"/>
      <c r="B760" s="1887"/>
      <c r="C760" s="1887"/>
      <c r="D760" s="1887"/>
      <c r="E760" s="1887"/>
      <c r="F760" s="1887"/>
      <c r="G760" s="1887"/>
      <c r="H760" s="1887"/>
      <c r="I760" s="1887"/>
      <c r="J760" s="1887"/>
      <c r="K760" s="1887"/>
      <c r="L760" s="1887"/>
      <c r="M760" s="1887"/>
      <c r="N760" s="1887"/>
      <c r="O760" s="1887"/>
      <c r="P760" s="1887"/>
      <c r="Q760" s="1887"/>
      <c r="R760" s="1887"/>
      <c r="S760" s="1887"/>
      <c r="T760" s="1887"/>
      <c r="U760" s="1887"/>
      <c r="V760" s="1887"/>
      <c r="W760" s="1887"/>
      <c r="X760" s="1887"/>
      <c r="Y760" s="1887"/>
      <c r="Z760" s="1887"/>
      <c r="AA760" s="1887"/>
      <c r="AB760" s="1887"/>
      <c r="AC760" s="1887"/>
    </row>
    <row r="761">
      <c r="A761" s="1887"/>
      <c r="B761" s="1887"/>
      <c r="C761" s="1887"/>
      <c r="D761" s="1887"/>
      <c r="E761" s="1887"/>
      <c r="F761" s="1887"/>
      <c r="G761" s="1887"/>
      <c r="H761" s="1887"/>
      <c r="I761" s="1887"/>
      <c r="J761" s="1887"/>
      <c r="K761" s="1887"/>
      <c r="L761" s="1887"/>
      <c r="M761" s="1887"/>
      <c r="N761" s="1887"/>
      <c r="O761" s="1887"/>
      <c r="P761" s="1887"/>
      <c r="Q761" s="1887"/>
      <c r="R761" s="1887"/>
      <c r="S761" s="1887"/>
      <c r="T761" s="1887"/>
      <c r="U761" s="1887"/>
      <c r="V761" s="1887"/>
      <c r="W761" s="1887"/>
      <c r="X761" s="1887"/>
      <c r="Y761" s="1887"/>
      <c r="Z761" s="1887"/>
      <c r="AA761" s="1887"/>
      <c r="AB761" s="1887"/>
      <c r="AC761" s="1887"/>
    </row>
    <row r="762">
      <c r="A762" s="1887"/>
      <c r="B762" s="1887"/>
      <c r="C762" s="1887"/>
      <c r="D762" s="1887"/>
      <c r="E762" s="1887"/>
      <c r="F762" s="1887"/>
      <c r="G762" s="1887"/>
      <c r="H762" s="1887"/>
      <c r="I762" s="1887"/>
      <c r="J762" s="1887"/>
      <c r="K762" s="1887"/>
      <c r="L762" s="1887"/>
      <c r="M762" s="1887"/>
      <c r="N762" s="1887"/>
      <c r="O762" s="1887"/>
      <c r="P762" s="1887"/>
      <c r="Q762" s="1887"/>
      <c r="R762" s="1887"/>
      <c r="S762" s="1887"/>
      <c r="T762" s="1887"/>
      <c r="U762" s="1887"/>
      <c r="V762" s="1887"/>
      <c r="W762" s="1887"/>
      <c r="X762" s="1887"/>
      <c r="Y762" s="1887"/>
      <c r="Z762" s="1887"/>
      <c r="AA762" s="1887"/>
      <c r="AB762" s="1887"/>
      <c r="AC762" s="1887"/>
    </row>
    <row r="763">
      <c r="A763" s="1887"/>
      <c r="B763" s="1887"/>
      <c r="C763" s="1887"/>
      <c r="D763" s="1887"/>
      <c r="E763" s="1887"/>
      <c r="F763" s="1887"/>
      <c r="G763" s="1887"/>
      <c r="H763" s="1887"/>
      <c r="I763" s="1887"/>
      <c r="J763" s="1887"/>
      <c r="K763" s="1887"/>
      <c r="L763" s="1887"/>
      <c r="M763" s="1887"/>
      <c r="N763" s="1887"/>
      <c r="O763" s="1887"/>
      <c r="P763" s="1887"/>
      <c r="Q763" s="1887"/>
      <c r="R763" s="1887"/>
      <c r="S763" s="1887"/>
      <c r="T763" s="1887"/>
      <c r="U763" s="1887"/>
      <c r="V763" s="1887"/>
      <c r="W763" s="1887"/>
      <c r="X763" s="1887"/>
      <c r="Y763" s="1887"/>
      <c r="Z763" s="1887"/>
      <c r="AA763" s="1887"/>
      <c r="AB763" s="1887"/>
      <c r="AC763" s="1887"/>
    </row>
    <row r="764">
      <c r="A764" s="1887"/>
      <c r="B764" s="1887"/>
      <c r="C764" s="1887"/>
      <c r="D764" s="1887"/>
      <c r="E764" s="1887"/>
      <c r="F764" s="1887"/>
      <c r="G764" s="1887"/>
      <c r="H764" s="1887"/>
      <c r="I764" s="1887"/>
      <c r="J764" s="1887"/>
      <c r="K764" s="1887"/>
      <c r="L764" s="1887"/>
      <c r="M764" s="1887"/>
      <c r="N764" s="1887"/>
      <c r="O764" s="1887"/>
      <c r="P764" s="1887"/>
      <c r="Q764" s="1887"/>
      <c r="R764" s="1887"/>
      <c r="S764" s="1887"/>
      <c r="T764" s="1887"/>
      <c r="U764" s="1887"/>
      <c r="V764" s="1887"/>
      <c r="W764" s="1887"/>
      <c r="X764" s="1887"/>
      <c r="Y764" s="1887"/>
      <c r="Z764" s="1887"/>
      <c r="AA764" s="1887"/>
      <c r="AB764" s="1887"/>
      <c r="AC764" s="1887"/>
    </row>
    <row r="765">
      <c r="A765" s="1887"/>
      <c r="B765" s="1887"/>
      <c r="C765" s="1887"/>
      <c r="D765" s="1887"/>
      <c r="E765" s="1887"/>
      <c r="F765" s="1887"/>
      <c r="G765" s="1887"/>
      <c r="H765" s="1887"/>
      <c r="I765" s="1887"/>
      <c r="J765" s="1887"/>
      <c r="K765" s="1887"/>
      <c r="L765" s="1887"/>
      <c r="M765" s="1887"/>
      <c r="N765" s="1887"/>
      <c r="O765" s="1887"/>
      <c r="P765" s="1887"/>
      <c r="Q765" s="1887"/>
      <c r="R765" s="1887"/>
      <c r="S765" s="1887"/>
      <c r="T765" s="1887"/>
      <c r="U765" s="1887"/>
      <c r="V765" s="1887"/>
      <c r="W765" s="1887"/>
      <c r="X765" s="1887"/>
      <c r="Y765" s="1887"/>
      <c r="Z765" s="1887"/>
      <c r="AA765" s="1887"/>
      <c r="AB765" s="1887"/>
      <c r="AC765" s="1887"/>
    </row>
    <row r="766">
      <c r="A766" s="1887"/>
      <c r="B766" s="1887"/>
      <c r="C766" s="1887"/>
      <c r="D766" s="1887"/>
      <c r="E766" s="1887"/>
      <c r="F766" s="1887"/>
      <c r="G766" s="1887"/>
      <c r="H766" s="1887"/>
      <c r="I766" s="1887"/>
      <c r="J766" s="1887"/>
      <c r="K766" s="1887"/>
      <c r="L766" s="1887"/>
      <c r="M766" s="1887"/>
      <c r="N766" s="1887"/>
      <c r="O766" s="1887"/>
      <c r="P766" s="1887"/>
      <c r="Q766" s="1887"/>
      <c r="R766" s="1887"/>
      <c r="S766" s="1887"/>
      <c r="T766" s="1887"/>
      <c r="U766" s="1887"/>
      <c r="V766" s="1887"/>
      <c r="W766" s="1887"/>
      <c r="X766" s="1887"/>
      <c r="Y766" s="1887"/>
      <c r="Z766" s="1887"/>
      <c r="AA766" s="1887"/>
      <c r="AB766" s="1887"/>
      <c r="AC766" s="1887"/>
    </row>
    <row r="767">
      <c r="A767" s="1887"/>
      <c r="B767" s="1887"/>
      <c r="C767" s="1887"/>
      <c r="D767" s="1887"/>
      <c r="E767" s="1887"/>
      <c r="F767" s="1887"/>
      <c r="G767" s="1887"/>
      <c r="H767" s="1887"/>
      <c r="I767" s="1887"/>
      <c r="J767" s="1887"/>
      <c r="K767" s="1887"/>
      <c r="L767" s="1887"/>
      <c r="M767" s="1887"/>
      <c r="N767" s="1887"/>
      <c r="O767" s="1887"/>
      <c r="P767" s="1887"/>
      <c r="Q767" s="1887"/>
      <c r="R767" s="1887"/>
      <c r="S767" s="1887"/>
      <c r="T767" s="1887"/>
      <c r="U767" s="1887"/>
      <c r="V767" s="1887"/>
      <c r="W767" s="1887"/>
      <c r="X767" s="1887"/>
      <c r="Y767" s="1887"/>
      <c r="Z767" s="1887"/>
      <c r="AA767" s="1887"/>
      <c r="AB767" s="1887"/>
      <c r="AC767" s="1887"/>
    </row>
    <row r="768">
      <c r="A768" s="1887"/>
      <c r="B768" s="1887"/>
      <c r="C768" s="1887"/>
      <c r="D768" s="1887"/>
      <c r="E768" s="1887"/>
      <c r="F768" s="1887"/>
      <c r="G768" s="1887"/>
      <c r="H768" s="1887"/>
      <c r="I768" s="1887"/>
      <c r="J768" s="1887"/>
      <c r="K768" s="1887"/>
      <c r="L768" s="1887"/>
      <c r="M768" s="1887"/>
      <c r="N768" s="1887"/>
      <c r="O768" s="1887"/>
      <c r="P768" s="1887"/>
      <c r="Q768" s="1887"/>
      <c r="R768" s="1887"/>
      <c r="S768" s="1887"/>
      <c r="T768" s="1887"/>
      <c r="U768" s="1887"/>
      <c r="V768" s="1887"/>
      <c r="W768" s="1887"/>
      <c r="X768" s="1887"/>
      <c r="Y768" s="1887"/>
      <c r="Z768" s="1887"/>
      <c r="AA768" s="1887"/>
      <c r="AB768" s="1887"/>
      <c r="AC768" s="1887"/>
    </row>
    <row r="769">
      <c r="A769" s="1887"/>
      <c r="B769" s="1887"/>
      <c r="C769" s="1887"/>
      <c r="D769" s="1887"/>
      <c r="E769" s="1887"/>
      <c r="F769" s="1887"/>
      <c r="G769" s="1887"/>
      <c r="H769" s="1887"/>
      <c r="I769" s="1887"/>
      <c r="J769" s="1887"/>
      <c r="K769" s="1887"/>
      <c r="L769" s="1887"/>
      <c r="M769" s="1887"/>
      <c r="N769" s="1887"/>
      <c r="O769" s="1887"/>
      <c r="P769" s="1887"/>
      <c r="Q769" s="1887"/>
      <c r="R769" s="1887"/>
      <c r="S769" s="1887"/>
      <c r="T769" s="1887"/>
      <c r="U769" s="1887"/>
      <c r="V769" s="1887"/>
      <c r="W769" s="1887"/>
      <c r="X769" s="1887"/>
      <c r="Y769" s="1887"/>
      <c r="Z769" s="1887"/>
      <c r="AA769" s="1887"/>
      <c r="AB769" s="1887"/>
      <c r="AC769" s="1887"/>
    </row>
    <row r="770">
      <c r="A770" s="1887"/>
      <c r="B770" s="1887"/>
      <c r="C770" s="1887"/>
      <c r="D770" s="1887"/>
      <c r="E770" s="1887"/>
      <c r="F770" s="1887"/>
      <c r="G770" s="1887"/>
      <c r="H770" s="1887"/>
      <c r="I770" s="1887"/>
      <c r="J770" s="1887"/>
      <c r="K770" s="1887"/>
      <c r="L770" s="1887"/>
      <c r="M770" s="1887"/>
      <c r="N770" s="1887"/>
      <c r="O770" s="1887"/>
      <c r="P770" s="1887"/>
      <c r="Q770" s="1887"/>
      <c r="R770" s="1887"/>
      <c r="S770" s="1887"/>
      <c r="T770" s="1887"/>
      <c r="U770" s="1887"/>
      <c r="V770" s="1887"/>
      <c r="W770" s="1887"/>
      <c r="X770" s="1887"/>
      <c r="Y770" s="1887"/>
      <c r="Z770" s="1887"/>
      <c r="AA770" s="1887"/>
      <c r="AB770" s="1887"/>
      <c r="AC770" s="1887"/>
    </row>
    <row r="771">
      <c r="A771" s="1887"/>
      <c r="B771" s="1887"/>
      <c r="C771" s="1887"/>
      <c r="D771" s="1887"/>
      <c r="E771" s="1887"/>
      <c r="F771" s="1887"/>
      <c r="G771" s="1887"/>
      <c r="H771" s="1887"/>
      <c r="I771" s="1887"/>
      <c r="J771" s="1887"/>
      <c r="K771" s="1887"/>
      <c r="L771" s="1887"/>
      <c r="M771" s="1887"/>
      <c r="N771" s="1887"/>
      <c r="O771" s="1887"/>
      <c r="P771" s="1887"/>
      <c r="Q771" s="1887"/>
      <c r="R771" s="1887"/>
      <c r="S771" s="1887"/>
      <c r="T771" s="1887"/>
      <c r="U771" s="1887"/>
      <c r="V771" s="1887"/>
      <c r="W771" s="1887"/>
      <c r="X771" s="1887"/>
      <c r="Y771" s="1887"/>
      <c r="Z771" s="1887"/>
      <c r="AA771" s="1887"/>
      <c r="AB771" s="1887"/>
      <c r="AC771" s="1887"/>
    </row>
    <row r="772">
      <c r="A772" s="1887"/>
      <c r="B772" s="1887"/>
      <c r="C772" s="1887"/>
      <c r="D772" s="1887"/>
      <c r="E772" s="1887"/>
      <c r="F772" s="1887"/>
      <c r="G772" s="1887"/>
      <c r="H772" s="1887"/>
      <c r="I772" s="1887"/>
      <c r="J772" s="1887"/>
      <c r="K772" s="1887"/>
      <c r="L772" s="1887"/>
      <c r="M772" s="1887"/>
      <c r="N772" s="1887"/>
      <c r="O772" s="1887"/>
      <c r="P772" s="1887"/>
      <c r="Q772" s="1887"/>
      <c r="R772" s="1887"/>
      <c r="S772" s="1887"/>
      <c r="T772" s="1887"/>
      <c r="U772" s="1887"/>
      <c r="V772" s="1887"/>
      <c r="W772" s="1887"/>
      <c r="X772" s="1887"/>
      <c r="Y772" s="1887"/>
      <c r="Z772" s="1887"/>
      <c r="AA772" s="1887"/>
      <c r="AB772" s="1887"/>
      <c r="AC772" s="1887"/>
    </row>
    <row r="773">
      <c r="A773" s="1887"/>
      <c r="B773" s="1887"/>
      <c r="C773" s="1887"/>
      <c r="D773" s="1887"/>
      <c r="E773" s="1887"/>
      <c r="F773" s="1887"/>
      <c r="G773" s="1887"/>
      <c r="H773" s="1887"/>
      <c r="I773" s="1887"/>
      <c r="J773" s="1887"/>
      <c r="K773" s="1887"/>
      <c r="L773" s="1887"/>
      <c r="M773" s="1887"/>
      <c r="N773" s="1887"/>
      <c r="O773" s="1887"/>
      <c r="P773" s="1887"/>
      <c r="Q773" s="1887"/>
      <c r="R773" s="1887"/>
      <c r="S773" s="1887"/>
      <c r="T773" s="1887"/>
      <c r="U773" s="1887"/>
      <c r="V773" s="1887"/>
      <c r="W773" s="1887"/>
      <c r="X773" s="1887"/>
      <c r="Y773" s="1887"/>
      <c r="Z773" s="1887"/>
      <c r="AA773" s="1887"/>
      <c r="AB773" s="1887"/>
      <c r="AC773" s="1887"/>
    </row>
    <row r="774">
      <c r="A774" s="1887"/>
      <c r="B774" s="1887"/>
      <c r="C774" s="1887"/>
      <c r="D774" s="1887"/>
      <c r="E774" s="1887"/>
      <c r="F774" s="1887"/>
      <c r="G774" s="1887"/>
      <c r="H774" s="1887"/>
      <c r="I774" s="1887"/>
      <c r="J774" s="1887"/>
      <c r="K774" s="1887"/>
      <c r="L774" s="1887"/>
      <c r="M774" s="1887"/>
      <c r="N774" s="1887"/>
      <c r="O774" s="1887"/>
      <c r="P774" s="1887"/>
      <c r="Q774" s="1887"/>
      <c r="R774" s="1887"/>
      <c r="S774" s="1887"/>
      <c r="T774" s="1887"/>
      <c r="U774" s="1887"/>
      <c r="V774" s="1887"/>
      <c r="W774" s="1887"/>
      <c r="X774" s="1887"/>
      <c r="Y774" s="1887"/>
      <c r="Z774" s="1887"/>
      <c r="AA774" s="1887"/>
      <c r="AB774" s="1887"/>
      <c r="AC774" s="1887"/>
    </row>
    <row r="775">
      <c r="A775" s="1887"/>
      <c r="B775" s="1887"/>
      <c r="C775" s="1887"/>
      <c r="D775" s="1887"/>
      <c r="E775" s="1887"/>
      <c r="F775" s="1887"/>
      <c r="G775" s="1887"/>
      <c r="H775" s="1887"/>
      <c r="I775" s="1887"/>
      <c r="J775" s="1887"/>
      <c r="K775" s="1887"/>
      <c r="L775" s="1887"/>
      <c r="M775" s="1887"/>
      <c r="N775" s="1887"/>
      <c r="O775" s="1887"/>
      <c r="P775" s="1887"/>
      <c r="Q775" s="1887"/>
      <c r="R775" s="1887"/>
      <c r="S775" s="1887"/>
      <c r="T775" s="1887"/>
      <c r="U775" s="1887"/>
      <c r="V775" s="1887"/>
      <c r="W775" s="1887"/>
      <c r="X775" s="1887"/>
      <c r="Y775" s="1887"/>
      <c r="Z775" s="1887"/>
      <c r="AA775" s="1887"/>
      <c r="AB775" s="1887"/>
      <c r="AC775" s="1887"/>
    </row>
    <row r="776">
      <c r="A776" s="1887"/>
      <c r="B776" s="1887"/>
      <c r="C776" s="1887"/>
      <c r="D776" s="1887"/>
      <c r="E776" s="1887"/>
      <c r="F776" s="1887"/>
      <c r="G776" s="1887"/>
      <c r="H776" s="1887"/>
      <c r="I776" s="1887"/>
      <c r="J776" s="1887"/>
      <c r="K776" s="1887"/>
      <c r="L776" s="1887"/>
      <c r="M776" s="1887"/>
      <c r="N776" s="1887"/>
      <c r="O776" s="1887"/>
      <c r="P776" s="1887"/>
      <c r="Q776" s="1887"/>
      <c r="R776" s="1887"/>
      <c r="S776" s="1887"/>
      <c r="T776" s="1887"/>
      <c r="U776" s="1887"/>
      <c r="V776" s="1887"/>
      <c r="W776" s="1887"/>
      <c r="X776" s="1887"/>
      <c r="Y776" s="1887"/>
      <c r="Z776" s="1887"/>
      <c r="AA776" s="1887"/>
      <c r="AB776" s="1887"/>
      <c r="AC776" s="1887"/>
    </row>
    <row r="777">
      <c r="A777" s="1887"/>
      <c r="B777" s="1887"/>
      <c r="C777" s="1887"/>
      <c r="D777" s="1887"/>
      <c r="E777" s="1887"/>
      <c r="F777" s="1887"/>
      <c r="G777" s="1887"/>
      <c r="H777" s="1887"/>
      <c r="I777" s="1887"/>
      <c r="J777" s="1887"/>
      <c r="K777" s="1887"/>
      <c r="L777" s="1887"/>
      <c r="M777" s="1887"/>
      <c r="N777" s="1887"/>
      <c r="O777" s="1887"/>
      <c r="P777" s="1887"/>
      <c r="Q777" s="1887"/>
      <c r="R777" s="1887"/>
      <c r="S777" s="1887"/>
      <c r="T777" s="1887"/>
      <c r="U777" s="1887"/>
      <c r="V777" s="1887"/>
      <c r="W777" s="1887"/>
      <c r="X777" s="1887"/>
      <c r="Y777" s="1887"/>
      <c r="Z777" s="1887"/>
      <c r="AA777" s="1887"/>
      <c r="AB777" s="1887"/>
      <c r="AC777" s="1887"/>
    </row>
    <row r="778">
      <c r="A778" s="1887"/>
      <c r="B778" s="1887"/>
      <c r="C778" s="1887"/>
      <c r="D778" s="1887"/>
      <c r="E778" s="1887"/>
      <c r="F778" s="1887"/>
      <c r="G778" s="1887"/>
      <c r="H778" s="1887"/>
      <c r="I778" s="1887"/>
      <c r="J778" s="1887"/>
      <c r="K778" s="1887"/>
      <c r="L778" s="1887"/>
      <c r="M778" s="1887"/>
      <c r="N778" s="1887"/>
      <c r="O778" s="1887"/>
      <c r="P778" s="1887"/>
      <c r="Q778" s="1887"/>
      <c r="R778" s="1887"/>
      <c r="S778" s="1887"/>
      <c r="T778" s="1887"/>
      <c r="U778" s="1887"/>
      <c r="V778" s="1887"/>
      <c r="W778" s="1887"/>
      <c r="X778" s="1887"/>
      <c r="Y778" s="1887"/>
      <c r="Z778" s="1887"/>
      <c r="AA778" s="1887"/>
      <c r="AB778" s="1887"/>
      <c r="AC778" s="1887"/>
    </row>
    <row r="779">
      <c r="A779" s="1887"/>
      <c r="B779" s="1887"/>
      <c r="C779" s="1887"/>
      <c r="D779" s="1887"/>
      <c r="E779" s="1887"/>
      <c r="F779" s="1887"/>
      <c r="G779" s="1887"/>
      <c r="H779" s="1887"/>
      <c r="I779" s="1887"/>
      <c r="J779" s="1887"/>
      <c r="K779" s="1887"/>
      <c r="L779" s="1887"/>
      <c r="M779" s="1887"/>
      <c r="N779" s="1887"/>
      <c r="O779" s="1887"/>
      <c r="P779" s="1887"/>
      <c r="Q779" s="1887"/>
      <c r="R779" s="1887"/>
      <c r="S779" s="1887"/>
      <c r="T779" s="1887"/>
      <c r="U779" s="1887"/>
      <c r="V779" s="1887"/>
      <c r="W779" s="1887"/>
      <c r="X779" s="1887"/>
      <c r="Y779" s="1887"/>
      <c r="Z779" s="1887"/>
      <c r="AA779" s="1887"/>
      <c r="AB779" s="1887"/>
      <c r="AC779" s="1887"/>
    </row>
    <row r="780">
      <c r="A780" s="1887"/>
      <c r="B780" s="1887"/>
      <c r="C780" s="1887"/>
      <c r="D780" s="1887"/>
      <c r="E780" s="1887"/>
      <c r="F780" s="1887"/>
      <c r="G780" s="1887"/>
      <c r="H780" s="1887"/>
      <c r="I780" s="1887"/>
      <c r="J780" s="1887"/>
      <c r="K780" s="1887"/>
      <c r="L780" s="1887"/>
      <c r="M780" s="1887"/>
      <c r="N780" s="1887"/>
      <c r="O780" s="1887"/>
      <c r="P780" s="1887"/>
      <c r="Q780" s="1887"/>
      <c r="R780" s="1887"/>
      <c r="S780" s="1887"/>
      <c r="T780" s="1887"/>
      <c r="U780" s="1887"/>
      <c r="V780" s="1887"/>
      <c r="W780" s="1887"/>
      <c r="X780" s="1887"/>
      <c r="Y780" s="1887"/>
      <c r="Z780" s="1887"/>
      <c r="AA780" s="1887"/>
      <c r="AB780" s="1887"/>
      <c r="AC780" s="1887"/>
    </row>
    <row r="781">
      <c r="A781" s="1887"/>
      <c r="B781" s="1887"/>
      <c r="C781" s="1887"/>
      <c r="D781" s="1887"/>
      <c r="E781" s="1887"/>
      <c r="F781" s="1887"/>
      <c r="G781" s="1887"/>
      <c r="H781" s="1887"/>
      <c r="I781" s="1887"/>
      <c r="J781" s="1887"/>
      <c r="K781" s="1887"/>
      <c r="L781" s="1887"/>
      <c r="M781" s="1887"/>
      <c r="N781" s="1887"/>
      <c r="O781" s="1887"/>
      <c r="P781" s="1887"/>
      <c r="Q781" s="1887"/>
      <c r="R781" s="1887"/>
      <c r="S781" s="1887"/>
      <c r="T781" s="1887"/>
      <c r="U781" s="1887"/>
      <c r="V781" s="1887"/>
      <c r="W781" s="1887"/>
      <c r="X781" s="1887"/>
      <c r="Y781" s="1887"/>
      <c r="Z781" s="1887"/>
      <c r="AA781" s="1887"/>
      <c r="AB781" s="1887"/>
      <c r="AC781" s="1887"/>
    </row>
    <row r="782">
      <c r="A782" s="1887"/>
      <c r="B782" s="1887"/>
      <c r="C782" s="1887"/>
      <c r="D782" s="1887"/>
      <c r="E782" s="1887"/>
      <c r="F782" s="1887"/>
      <c r="G782" s="1887"/>
      <c r="H782" s="1887"/>
      <c r="I782" s="1887"/>
      <c r="J782" s="1887"/>
      <c r="K782" s="1887"/>
      <c r="L782" s="1887"/>
      <c r="M782" s="1887"/>
      <c r="N782" s="1887"/>
      <c r="O782" s="1887"/>
      <c r="P782" s="1887"/>
      <c r="Q782" s="1887"/>
      <c r="R782" s="1887"/>
      <c r="S782" s="1887"/>
      <c r="T782" s="1887"/>
      <c r="U782" s="1887"/>
      <c r="V782" s="1887"/>
      <c r="W782" s="1887"/>
      <c r="X782" s="1887"/>
      <c r="Y782" s="1887"/>
      <c r="Z782" s="1887"/>
      <c r="AA782" s="1887"/>
      <c r="AB782" s="1887"/>
      <c r="AC782" s="1887"/>
    </row>
    <row r="783">
      <c r="A783" s="1887"/>
      <c r="B783" s="1887"/>
      <c r="C783" s="1887"/>
      <c r="D783" s="1887"/>
      <c r="E783" s="1887"/>
      <c r="F783" s="1887"/>
      <c r="G783" s="1887"/>
      <c r="H783" s="1887"/>
      <c r="I783" s="1887"/>
      <c r="J783" s="1887"/>
      <c r="K783" s="1887"/>
      <c r="L783" s="1887"/>
      <c r="M783" s="1887"/>
      <c r="N783" s="1887"/>
      <c r="O783" s="1887"/>
      <c r="P783" s="1887"/>
      <c r="Q783" s="1887"/>
      <c r="R783" s="1887"/>
      <c r="S783" s="1887"/>
      <c r="T783" s="1887"/>
      <c r="U783" s="1887"/>
      <c r="V783" s="1887"/>
      <c r="W783" s="1887"/>
      <c r="X783" s="1887"/>
      <c r="Y783" s="1887"/>
      <c r="Z783" s="1887"/>
      <c r="AA783" s="1887"/>
      <c r="AB783" s="1887"/>
      <c r="AC783" s="1887"/>
    </row>
    <row r="784">
      <c r="A784" s="1887"/>
      <c r="B784" s="1887"/>
      <c r="C784" s="1887"/>
      <c r="D784" s="1887"/>
      <c r="E784" s="1887"/>
      <c r="F784" s="1887"/>
      <c r="G784" s="1887"/>
      <c r="H784" s="1887"/>
      <c r="I784" s="1887"/>
      <c r="J784" s="1887"/>
      <c r="K784" s="1887"/>
      <c r="L784" s="1887"/>
      <c r="M784" s="1887"/>
      <c r="N784" s="1887"/>
      <c r="O784" s="1887"/>
      <c r="P784" s="1887"/>
      <c r="Q784" s="1887"/>
      <c r="R784" s="1887"/>
      <c r="S784" s="1887"/>
      <c r="T784" s="1887"/>
      <c r="U784" s="1887"/>
      <c r="V784" s="1887"/>
      <c r="W784" s="1887"/>
      <c r="X784" s="1887"/>
      <c r="Y784" s="1887"/>
      <c r="Z784" s="1887"/>
      <c r="AA784" s="1887"/>
      <c r="AB784" s="1887"/>
      <c r="AC784" s="1887"/>
    </row>
    <row r="785">
      <c r="A785" s="1887"/>
      <c r="B785" s="1887"/>
      <c r="C785" s="1887"/>
      <c r="D785" s="1887"/>
      <c r="E785" s="1887"/>
      <c r="F785" s="1887"/>
      <c r="G785" s="1887"/>
      <c r="H785" s="1887"/>
      <c r="I785" s="1887"/>
      <c r="J785" s="1887"/>
      <c r="K785" s="1887"/>
      <c r="L785" s="1887"/>
      <c r="M785" s="1887"/>
      <c r="N785" s="1887"/>
      <c r="O785" s="1887"/>
      <c r="P785" s="1887"/>
      <c r="Q785" s="1887"/>
      <c r="R785" s="1887"/>
      <c r="S785" s="1887"/>
      <c r="T785" s="1887"/>
      <c r="U785" s="1887"/>
      <c r="V785" s="1887"/>
      <c r="W785" s="1887"/>
      <c r="X785" s="1887"/>
      <c r="Y785" s="1887"/>
      <c r="Z785" s="1887"/>
      <c r="AA785" s="1887"/>
      <c r="AB785" s="1887"/>
      <c r="AC785" s="1887"/>
    </row>
    <row r="786">
      <c r="A786" s="1887"/>
      <c r="B786" s="1887"/>
      <c r="C786" s="1887"/>
      <c r="D786" s="1887"/>
      <c r="E786" s="1887"/>
      <c r="F786" s="1887"/>
      <c r="G786" s="1887"/>
      <c r="H786" s="1887"/>
      <c r="I786" s="1887"/>
      <c r="J786" s="1887"/>
      <c r="K786" s="1887"/>
      <c r="L786" s="1887"/>
      <c r="M786" s="1887"/>
      <c r="N786" s="1887"/>
      <c r="O786" s="1887"/>
      <c r="P786" s="1887"/>
      <c r="Q786" s="1887"/>
      <c r="R786" s="1887"/>
      <c r="S786" s="1887"/>
      <c r="T786" s="1887"/>
      <c r="U786" s="1887"/>
      <c r="V786" s="1887"/>
      <c r="W786" s="1887"/>
      <c r="X786" s="1887"/>
      <c r="Y786" s="1887"/>
      <c r="Z786" s="1887"/>
      <c r="AA786" s="1887"/>
      <c r="AB786" s="1887"/>
      <c r="AC786" s="1887"/>
    </row>
    <row r="787">
      <c r="A787" s="1887"/>
      <c r="B787" s="1887"/>
      <c r="C787" s="1887"/>
      <c r="D787" s="1887"/>
      <c r="E787" s="1887"/>
      <c r="F787" s="1887"/>
      <c r="G787" s="1887"/>
      <c r="H787" s="1887"/>
      <c r="I787" s="1887"/>
      <c r="J787" s="1887"/>
      <c r="K787" s="1887"/>
      <c r="L787" s="1887"/>
      <c r="M787" s="1887"/>
      <c r="N787" s="1887"/>
      <c r="O787" s="1887"/>
      <c r="P787" s="1887"/>
      <c r="Q787" s="1887"/>
      <c r="R787" s="1887"/>
      <c r="S787" s="1887"/>
      <c r="T787" s="1887"/>
      <c r="U787" s="1887"/>
      <c r="V787" s="1887"/>
      <c r="W787" s="1887"/>
      <c r="X787" s="1887"/>
      <c r="Y787" s="1887"/>
      <c r="Z787" s="1887"/>
      <c r="AA787" s="1887"/>
      <c r="AB787" s="1887"/>
      <c r="AC787" s="1887"/>
    </row>
    <row r="788">
      <c r="A788" s="1887"/>
      <c r="B788" s="1887"/>
      <c r="C788" s="1887"/>
      <c r="D788" s="1887"/>
      <c r="E788" s="1887"/>
      <c r="F788" s="1887"/>
      <c r="G788" s="1887"/>
      <c r="H788" s="1887"/>
      <c r="I788" s="1887"/>
      <c r="J788" s="1887"/>
      <c r="K788" s="1887"/>
      <c r="L788" s="1887"/>
      <c r="M788" s="1887"/>
      <c r="N788" s="1887"/>
      <c r="O788" s="1887"/>
      <c r="P788" s="1887"/>
      <c r="Q788" s="1887"/>
      <c r="R788" s="1887"/>
      <c r="S788" s="1887"/>
      <c r="T788" s="1887"/>
      <c r="U788" s="1887"/>
      <c r="V788" s="1887"/>
      <c r="W788" s="1887"/>
      <c r="X788" s="1887"/>
      <c r="Y788" s="1887"/>
      <c r="Z788" s="1887"/>
      <c r="AA788" s="1887"/>
      <c r="AB788" s="1887"/>
      <c r="AC788" s="1887"/>
    </row>
    <row r="789">
      <c r="A789" s="1887"/>
      <c r="B789" s="1887"/>
      <c r="C789" s="1887"/>
      <c r="D789" s="1887"/>
      <c r="E789" s="1887"/>
      <c r="F789" s="1887"/>
      <c r="G789" s="1887"/>
      <c r="H789" s="1887"/>
      <c r="I789" s="1887"/>
      <c r="J789" s="1887"/>
      <c r="K789" s="1887"/>
      <c r="L789" s="1887"/>
      <c r="M789" s="1887"/>
      <c r="N789" s="1887"/>
      <c r="O789" s="1887"/>
      <c r="P789" s="1887"/>
      <c r="Q789" s="1887"/>
      <c r="R789" s="1887"/>
      <c r="S789" s="1887"/>
      <c r="T789" s="1887"/>
      <c r="U789" s="1887"/>
      <c r="V789" s="1887"/>
      <c r="W789" s="1887"/>
      <c r="X789" s="1887"/>
      <c r="Y789" s="1887"/>
      <c r="Z789" s="1887"/>
      <c r="AA789" s="1887"/>
      <c r="AB789" s="1887"/>
      <c r="AC789" s="1887"/>
    </row>
    <row r="790">
      <c r="A790" s="1887"/>
      <c r="B790" s="1887"/>
      <c r="C790" s="1887"/>
      <c r="D790" s="1887"/>
      <c r="E790" s="1887"/>
      <c r="F790" s="1887"/>
      <c r="G790" s="1887"/>
      <c r="H790" s="1887"/>
      <c r="I790" s="1887"/>
      <c r="J790" s="1887"/>
      <c r="K790" s="1887"/>
      <c r="L790" s="1887"/>
      <c r="M790" s="1887"/>
      <c r="N790" s="1887"/>
      <c r="O790" s="1887"/>
      <c r="P790" s="1887"/>
      <c r="Q790" s="1887"/>
      <c r="R790" s="1887"/>
      <c r="S790" s="1887"/>
      <c r="T790" s="1887"/>
      <c r="U790" s="1887"/>
      <c r="V790" s="1887"/>
      <c r="W790" s="1887"/>
      <c r="X790" s="1887"/>
      <c r="Y790" s="1887"/>
      <c r="Z790" s="1887"/>
      <c r="AA790" s="1887"/>
      <c r="AB790" s="1887"/>
      <c r="AC790" s="1887"/>
    </row>
    <row r="791">
      <c r="A791" s="1887"/>
      <c r="B791" s="1887"/>
      <c r="C791" s="1887"/>
      <c r="D791" s="1887"/>
      <c r="E791" s="1887"/>
      <c r="F791" s="1887"/>
      <c r="G791" s="1887"/>
      <c r="H791" s="1887"/>
      <c r="I791" s="1887"/>
      <c r="J791" s="1887"/>
      <c r="K791" s="1887"/>
      <c r="L791" s="1887"/>
      <c r="M791" s="1887"/>
      <c r="N791" s="1887"/>
      <c r="O791" s="1887"/>
      <c r="P791" s="1887"/>
      <c r="Q791" s="1887"/>
      <c r="R791" s="1887"/>
      <c r="S791" s="1887"/>
      <c r="T791" s="1887"/>
      <c r="U791" s="1887"/>
      <c r="V791" s="1887"/>
      <c r="W791" s="1887"/>
      <c r="X791" s="1887"/>
      <c r="Y791" s="1887"/>
      <c r="Z791" s="1887"/>
      <c r="AA791" s="1887"/>
      <c r="AB791" s="1887"/>
      <c r="AC791" s="1887"/>
    </row>
    <row r="792">
      <c r="A792" s="1887"/>
      <c r="B792" s="1887"/>
      <c r="C792" s="1887"/>
      <c r="D792" s="1887"/>
      <c r="E792" s="1887"/>
      <c r="F792" s="1887"/>
      <c r="G792" s="1887"/>
      <c r="H792" s="1887"/>
      <c r="I792" s="1887"/>
      <c r="J792" s="1887"/>
      <c r="K792" s="1887"/>
      <c r="L792" s="1887"/>
      <c r="M792" s="1887"/>
      <c r="N792" s="1887"/>
      <c r="O792" s="1887"/>
      <c r="P792" s="1887"/>
      <c r="Q792" s="1887"/>
      <c r="R792" s="1887"/>
      <c r="S792" s="1887"/>
      <c r="T792" s="1887"/>
      <c r="U792" s="1887"/>
      <c r="V792" s="1887"/>
      <c r="W792" s="1887"/>
      <c r="X792" s="1887"/>
      <c r="Y792" s="1887"/>
      <c r="Z792" s="1887"/>
      <c r="AA792" s="1887"/>
      <c r="AB792" s="1887"/>
      <c r="AC792" s="1887"/>
    </row>
    <row r="793">
      <c r="A793" s="1887"/>
      <c r="B793" s="1887"/>
      <c r="C793" s="1887"/>
      <c r="D793" s="1887"/>
      <c r="E793" s="1887"/>
      <c r="F793" s="1887"/>
      <c r="G793" s="1887"/>
      <c r="H793" s="1887"/>
      <c r="I793" s="1887"/>
      <c r="J793" s="1887"/>
      <c r="K793" s="1887"/>
      <c r="L793" s="1887"/>
      <c r="M793" s="1887"/>
      <c r="N793" s="1887"/>
      <c r="O793" s="1887"/>
      <c r="P793" s="1887"/>
      <c r="Q793" s="1887"/>
      <c r="R793" s="1887"/>
      <c r="S793" s="1887"/>
      <c r="T793" s="1887"/>
      <c r="U793" s="1887"/>
      <c r="V793" s="1887"/>
      <c r="W793" s="1887"/>
      <c r="X793" s="1887"/>
      <c r="Y793" s="1887"/>
      <c r="Z793" s="1887"/>
      <c r="AA793" s="1887"/>
      <c r="AB793" s="1887"/>
      <c r="AC793" s="1887"/>
    </row>
    <row r="794">
      <c r="A794" s="1887"/>
      <c r="B794" s="1887"/>
      <c r="C794" s="1887"/>
      <c r="D794" s="1887"/>
      <c r="E794" s="1887"/>
      <c r="F794" s="1887"/>
      <c r="G794" s="1887"/>
      <c r="H794" s="1887"/>
      <c r="I794" s="1887"/>
      <c r="J794" s="1887"/>
      <c r="K794" s="1887"/>
      <c r="L794" s="1887"/>
      <c r="M794" s="1887"/>
      <c r="N794" s="1887"/>
      <c r="O794" s="1887"/>
      <c r="P794" s="1887"/>
      <c r="Q794" s="1887"/>
      <c r="R794" s="1887"/>
      <c r="S794" s="1887"/>
      <c r="T794" s="1887"/>
      <c r="U794" s="1887"/>
      <c r="V794" s="1887"/>
      <c r="W794" s="1887"/>
      <c r="X794" s="1887"/>
      <c r="Y794" s="1887"/>
      <c r="Z794" s="1887"/>
      <c r="AA794" s="1887"/>
      <c r="AB794" s="1887"/>
      <c r="AC794" s="1887"/>
    </row>
    <row r="795">
      <c r="A795" s="1887"/>
      <c r="B795" s="1887"/>
      <c r="C795" s="1887"/>
      <c r="D795" s="1887"/>
      <c r="E795" s="1887"/>
      <c r="F795" s="1887"/>
      <c r="G795" s="1887"/>
      <c r="H795" s="1887"/>
      <c r="I795" s="1887"/>
      <c r="J795" s="1887"/>
      <c r="K795" s="1887"/>
      <c r="L795" s="1887"/>
      <c r="M795" s="1887"/>
      <c r="N795" s="1887"/>
      <c r="O795" s="1887"/>
      <c r="P795" s="1887"/>
      <c r="Q795" s="1887"/>
      <c r="R795" s="1887"/>
      <c r="S795" s="1887"/>
      <c r="T795" s="1887"/>
      <c r="U795" s="1887"/>
      <c r="V795" s="1887"/>
      <c r="W795" s="1887"/>
      <c r="X795" s="1887"/>
      <c r="Y795" s="1887"/>
      <c r="Z795" s="1887"/>
      <c r="AA795" s="1887"/>
      <c r="AB795" s="1887"/>
      <c r="AC795" s="1887"/>
    </row>
    <row r="796">
      <c r="A796" s="1887"/>
      <c r="B796" s="1887"/>
      <c r="C796" s="1887"/>
      <c r="D796" s="1887"/>
      <c r="E796" s="1887"/>
      <c r="F796" s="1887"/>
      <c r="G796" s="1887"/>
      <c r="H796" s="1887"/>
      <c r="I796" s="1887"/>
      <c r="J796" s="1887"/>
      <c r="K796" s="1887"/>
      <c r="L796" s="1887"/>
      <c r="M796" s="1887"/>
      <c r="N796" s="1887"/>
      <c r="O796" s="1887"/>
      <c r="P796" s="1887"/>
      <c r="Q796" s="1887"/>
      <c r="R796" s="1887"/>
      <c r="S796" s="1887"/>
      <c r="T796" s="1887"/>
      <c r="U796" s="1887"/>
      <c r="V796" s="1887"/>
      <c r="W796" s="1887"/>
      <c r="X796" s="1887"/>
      <c r="Y796" s="1887"/>
      <c r="Z796" s="1887"/>
      <c r="AA796" s="1887"/>
      <c r="AB796" s="1887"/>
      <c r="AC796" s="1887"/>
    </row>
    <row r="797">
      <c r="A797" s="1887"/>
      <c r="B797" s="1887"/>
      <c r="C797" s="1887"/>
      <c r="D797" s="1887"/>
      <c r="E797" s="1887"/>
      <c r="F797" s="1887"/>
      <c r="G797" s="1887"/>
      <c r="H797" s="1887"/>
      <c r="I797" s="1887"/>
      <c r="J797" s="1887"/>
      <c r="K797" s="1887"/>
      <c r="L797" s="1887"/>
      <c r="M797" s="1887"/>
      <c r="N797" s="1887"/>
      <c r="O797" s="1887"/>
      <c r="P797" s="1887"/>
      <c r="Q797" s="1887"/>
      <c r="R797" s="1887"/>
      <c r="S797" s="1887"/>
      <c r="T797" s="1887"/>
      <c r="U797" s="1887"/>
      <c r="V797" s="1887"/>
      <c r="W797" s="1887"/>
      <c r="X797" s="1887"/>
      <c r="Y797" s="1887"/>
      <c r="Z797" s="1887"/>
      <c r="AA797" s="1887"/>
      <c r="AB797" s="1887"/>
      <c r="AC797" s="1887"/>
    </row>
    <row r="798">
      <c r="A798" s="1887"/>
      <c r="B798" s="1887"/>
      <c r="C798" s="1887"/>
      <c r="D798" s="1887"/>
      <c r="E798" s="1887"/>
      <c r="F798" s="1887"/>
      <c r="G798" s="1887"/>
      <c r="H798" s="1887"/>
      <c r="I798" s="1887"/>
      <c r="J798" s="1887"/>
      <c r="K798" s="1887"/>
      <c r="L798" s="1887"/>
      <c r="M798" s="1887"/>
      <c r="N798" s="1887"/>
      <c r="O798" s="1887"/>
      <c r="P798" s="1887"/>
      <c r="Q798" s="1887"/>
      <c r="R798" s="1887"/>
      <c r="S798" s="1887"/>
      <c r="T798" s="1887"/>
      <c r="U798" s="1887"/>
      <c r="V798" s="1887"/>
      <c r="W798" s="1887"/>
      <c r="X798" s="1887"/>
      <c r="Y798" s="1887"/>
      <c r="Z798" s="1887"/>
      <c r="AA798" s="1887"/>
      <c r="AB798" s="1887"/>
      <c r="AC798" s="1887"/>
    </row>
    <row r="799">
      <c r="A799" s="1887"/>
      <c r="B799" s="1887"/>
      <c r="C799" s="1887"/>
      <c r="D799" s="1887"/>
      <c r="E799" s="1887"/>
      <c r="F799" s="1887"/>
      <c r="G799" s="1887"/>
      <c r="H799" s="1887"/>
      <c r="I799" s="1887"/>
      <c r="J799" s="1887"/>
      <c r="K799" s="1887"/>
      <c r="L799" s="1887"/>
      <c r="M799" s="1887"/>
      <c r="N799" s="1887"/>
      <c r="O799" s="1887"/>
      <c r="P799" s="1887"/>
      <c r="Q799" s="1887"/>
      <c r="R799" s="1887"/>
      <c r="S799" s="1887"/>
      <c r="T799" s="1887"/>
      <c r="U799" s="1887"/>
      <c r="V799" s="1887"/>
      <c r="W799" s="1887"/>
      <c r="X799" s="1887"/>
      <c r="Y799" s="1887"/>
      <c r="Z799" s="1887"/>
      <c r="AA799" s="1887"/>
      <c r="AB799" s="1887"/>
      <c r="AC799" s="1887"/>
    </row>
    <row r="800">
      <c r="A800" s="1887"/>
      <c r="B800" s="1887"/>
      <c r="C800" s="1887"/>
      <c r="D800" s="1887"/>
      <c r="E800" s="1887"/>
      <c r="F800" s="1887"/>
      <c r="G800" s="1887"/>
      <c r="H800" s="1887"/>
      <c r="I800" s="1887"/>
      <c r="J800" s="1887"/>
      <c r="K800" s="1887"/>
      <c r="L800" s="1887"/>
      <c r="M800" s="1887"/>
      <c r="N800" s="1887"/>
      <c r="O800" s="1887"/>
      <c r="P800" s="1887"/>
      <c r="Q800" s="1887"/>
      <c r="R800" s="1887"/>
      <c r="S800" s="1887"/>
      <c r="T800" s="1887"/>
      <c r="U800" s="1887"/>
      <c r="V800" s="1887"/>
      <c r="W800" s="1887"/>
      <c r="X800" s="1887"/>
      <c r="Y800" s="1887"/>
      <c r="Z800" s="1887"/>
      <c r="AA800" s="1887"/>
      <c r="AB800" s="1887"/>
      <c r="AC800" s="1887"/>
    </row>
    <row r="801">
      <c r="A801" s="1887"/>
      <c r="B801" s="1887"/>
      <c r="C801" s="1887"/>
      <c r="D801" s="1887"/>
      <c r="E801" s="1887"/>
      <c r="F801" s="1887"/>
      <c r="G801" s="1887"/>
      <c r="H801" s="1887"/>
      <c r="I801" s="1887"/>
      <c r="J801" s="1887"/>
      <c r="K801" s="1887"/>
      <c r="L801" s="1887"/>
      <c r="M801" s="1887"/>
      <c r="N801" s="1887"/>
      <c r="O801" s="1887"/>
      <c r="P801" s="1887"/>
      <c r="Q801" s="1887"/>
      <c r="R801" s="1887"/>
      <c r="S801" s="1887"/>
      <c r="T801" s="1887"/>
      <c r="U801" s="1887"/>
      <c r="V801" s="1887"/>
      <c r="W801" s="1887"/>
      <c r="X801" s="1887"/>
      <c r="Y801" s="1887"/>
      <c r="Z801" s="1887"/>
      <c r="AA801" s="1887"/>
      <c r="AB801" s="1887"/>
      <c r="AC801" s="1887"/>
    </row>
    <row r="802">
      <c r="A802" s="1887"/>
      <c r="B802" s="1887"/>
      <c r="C802" s="1887"/>
      <c r="D802" s="1887"/>
      <c r="E802" s="1887"/>
      <c r="F802" s="1887"/>
      <c r="G802" s="1887"/>
      <c r="H802" s="1887"/>
      <c r="I802" s="1887"/>
      <c r="J802" s="1887"/>
      <c r="K802" s="1887"/>
      <c r="L802" s="1887"/>
      <c r="M802" s="1887"/>
      <c r="N802" s="1887"/>
      <c r="O802" s="1887"/>
      <c r="P802" s="1887"/>
      <c r="Q802" s="1887"/>
      <c r="R802" s="1887"/>
      <c r="S802" s="1887"/>
      <c r="T802" s="1887"/>
      <c r="U802" s="1887"/>
      <c r="V802" s="1887"/>
      <c r="W802" s="1887"/>
      <c r="X802" s="1887"/>
      <c r="Y802" s="1887"/>
      <c r="Z802" s="1887"/>
      <c r="AA802" s="1887"/>
      <c r="AB802" s="1887"/>
      <c r="AC802" s="1887"/>
    </row>
    <row r="803">
      <c r="A803" s="1887"/>
      <c r="B803" s="1887"/>
      <c r="C803" s="1887"/>
      <c r="D803" s="1887"/>
      <c r="E803" s="1887"/>
      <c r="F803" s="1887"/>
      <c r="G803" s="1887"/>
      <c r="H803" s="1887"/>
      <c r="I803" s="1887"/>
      <c r="J803" s="1887"/>
      <c r="K803" s="1887"/>
      <c r="L803" s="1887"/>
      <c r="M803" s="1887"/>
      <c r="N803" s="1887"/>
      <c r="O803" s="1887"/>
      <c r="P803" s="1887"/>
      <c r="Q803" s="1887"/>
      <c r="R803" s="1887"/>
      <c r="S803" s="1887"/>
      <c r="T803" s="1887"/>
      <c r="U803" s="1887"/>
      <c r="V803" s="1887"/>
      <c r="W803" s="1887"/>
      <c r="X803" s="1887"/>
      <c r="Y803" s="1887"/>
      <c r="Z803" s="1887"/>
      <c r="AA803" s="1887"/>
      <c r="AB803" s="1887"/>
      <c r="AC803" s="1887"/>
    </row>
    <row r="804">
      <c r="A804" s="1887"/>
      <c r="B804" s="1887"/>
      <c r="C804" s="1887"/>
      <c r="D804" s="1887"/>
      <c r="E804" s="1887"/>
      <c r="F804" s="1887"/>
      <c r="G804" s="1887"/>
      <c r="H804" s="1887"/>
      <c r="I804" s="1887"/>
      <c r="J804" s="1887"/>
      <c r="K804" s="1887"/>
      <c r="L804" s="1887"/>
      <c r="M804" s="1887"/>
      <c r="N804" s="1887"/>
      <c r="O804" s="1887"/>
      <c r="P804" s="1887"/>
      <c r="Q804" s="1887"/>
      <c r="R804" s="1887"/>
      <c r="S804" s="1887"/>
      <c r="T804" s="1887"/>
      <c r="U804" s="1887"/>
      <c r="V804" s="1887"/>
      <c r="W804" s="1887"/>
      <c r="X804" s="1887"/>
      <c r="Y804" s="1887"/>
      <c r="Z804" s="1887"/>
      <c r="AA804" s="1887"/>
      <c r="AB804" s="1887"/>
      <c r="AC804" s="1887"/>
    </row>
    <row r="805">
      <c r="A805" s="1887"/>
      <c r="B805" s="1887"/>
      <c r="C805" s="1887"/>
      <c r="D805" s="1887"/>
      <c r="E805" s="1887"/>
      <c r="F805" s="1887"/>
      <c r="G805" s="1887"/>
      <c r="H805" s="1887"/>
      <c r="I805" s="1887"/>
      <c r="J805" s="1887"/>
      <c r="K805" s="1887"/>
      <c r="L805" s="1887"/>
      <c r="M805" s="1887"/>
      <c r="N805" s="1887"/>
      <c r="O805" s="1887"/>
      <c r="P805" s="1887"/>
      <c r="Q805" s="1887"/>
      <c r="R805" s="1887"/>
      <c r="S805" s="1887"/>
      <c r="T805" s="1887"/>
      <c r="U805" s="1887"/>
      <c r="V805" s="1887"/>
      <c r="W805" s="1887"/>
      <c r="X805" s="1887"/>
      <c r="Y805" s="1887"/>
      <c r="Z805" s="1887"/>
      <c r="AA805" s="1887"/>
      <c r="AB805" s="1887"/>
      <c r="AC805" s="1887"/>
    </row>
    <row r="806">
      <c r="A806" s="1887"/>
      <c r="B806" s="1887"/>
      <c r="C806" s="1887"/>
      <c r="D806" s="1887"/>
      <c r="E806" s="1887"/>
      <c r="F806" s="1887"/>
      <c r="G806" s="1887"/>
      <c r="H806" s="1887"/>
      <c r="I806" s="1887"/>
      <c r="J806" s="1887"/>
      <c r="K806" s="1887"/>
      <c r="L806" s="1887"/>
      <c r="M806" s="1887"/>
      <c r="N806" s="1887"/>
      <c r="O806" s="1887"/>
      <c r="P806" s="1887"/>
      <c r="Q806" s="1887"/>
      <c r="R806" s="1887"/>
      <c r="S806" s="1887"/>
      <c r="T806" s="1887"/>
      <c r="U806" s="1887"/>
      <c r="V806" s="1887"/>
      <c r="W806" s="1887"/>
      <c r="X806" s="1887"/>
      <c r="Y806" s="1887"/>
      <c r="Z806" s="1887"/>
      <c r="AA806" s="1887"/>
      <c r="AB806" s="1887"/>
      <c r="AC806" s="1887"/>
    </row>
    <row r="807">
      <c r="A807" s="1887"/>
      <c r="B807" s="1887"/>
      <c r="C807" s="1887"/>
      <c r="D807" s="1887"/>
      <c r="E807" s="1887"/>
      <c r="F807" s="1887"/>
      <c r="G807" s="1887"/>
      <c r="H807" s="1887"/>
      <c r="I807" s="1887"/>
      <c r="J807" s="1887"/>
      <c r="K807" s="1887"/>
      <c r="L807" s="1887"/>
      <c r="M807" s="1887"/>
      <c r="N807" s="1887"/>
      <c r="O807" s="1887"/>
      <c r="P807" s="1887"/>
      <c r="Q807" s="1887"/>
      <c r="R807" s="1887"/>
      <c r="S807" s="1887"/>
      <c r="T807" s="1887"/>
      <c r="U807" s="1887"/>
      <c r="V807" s="1887"/>
      <c r="W807" s="1887"/>
      <c r="X807" s="1887"/>
      <c r="Y807" s="1887"/>
      <c r="Z807" s="1887"/>
      <c r="AA807" s="1887"/>
      <c r="AB807" s="1887"/>
      <c r="AC807" s="1887"/>
    </row>
    <row r="808">
      <c r="A808" s="1887"/>
      <c r="B808" s="1887"/>
      <c r="C808" s="1887"/>
      <c r="D808" s="1887"/>
      <c r="E808" s="1887"/>
      <c r="F808" s="1887"/>
      <c r="G808" s="1887"/>
      <c r="H808" s="1887"/>
      <c r="I808" s="1887"/>
      <c r="J808" s="1887"/>
      <c r="K808" s="1887"/>
      <c r="L808" s="1887"/>
      <c r="M808" s="1887"/>
      <c r="N808" s="1887"/>
      <c r="O808" s="1887"/>
      <c r="P808" s="1887"/>
      <c r="Q808" s="1887"/>
      <c r="R808" s="1887"/>
      <c r="S808" s="1887"/>
      <c r="T808" s="1887"/>
      <c r="U808" s="1887"/>
      <c r="V808" s="1887"/>
      <c r="W808" s="1887"/>
      <c r="X808" s="1887"/>
      <c r="Y808" s="1887"/>
      <c r="Z808" s="1887"/>
      <c r="AA808" s="1887"/>
      <c r="AB808" s="1887"/>
      <c r="AC808" s="1887"/>
    </row>
    <row r="809">
      <c r="A809" s="1887"/>
      <c r="B809" s="1887"/>
      <c r="C809" s="1887"/>
      <c r="D809" s="1887"/>
      <c r="E809" s="1887"/>
      <c r="F809" s="1887"/>
      <c r="G809" s="1887"/>
      <c r="H809" s="1887"/>
      <c r="I809" s="1887"/>
      <c r="J809" s="1887"/>
      <c r="K809" s="1887"/>
      <c r="L809" s="1887"/>
      <c r="M809" s="1887"/>
      <c r="N809" s="1887"/>
      <c r="O809" s="1887"/>
      <c r="P809" s="1887"/>
      <c r="Q809" s="1887"/>
      <c r="R809" s="1887"/>
      <c r="S809" s="1887"/>
      <c r="T809" s="1887"/>
      <c r="U809" s="1887"/>
      <c r="V809" s="1887"/>
      <c r="W809" s="1887"/>
      <c r="X809" s="1887"/>
      <c r="Y809" s="1887"/>
      <c r="Z809" s="1887"/>
      <c r="AA809" s="1887"/>
      <c r="AB809" s="1887"/>
      <c r="AC809" s="1887"/>
    </row>
    <row r="810">
      <c r="A810" s="1887"/>
      <c r="B810" s="1887"/>
      <c r="C810" s="1887"/>
      <c r="D810" s="1887"/>
      <c r="E810" s="1887"/>
      <c r="F810" s="1887"/>
      <c r="G810" s="1887"/>
      <c r="H810" s="1887"/>
      <c r="I810" s="1887"/>
      <c r="J810" s="1887"/>
      <c r="K810" s="1887"/>
      <c r="L810" s="1887"/>
      <c r="M810" s="1887"/>
      <c r="N810" s="1887"/>
      <c r="O810" s="1887"/>
      <c r="P810" s="1887"/>
      <c r="Q810" s="1887"/>
      <c r="R810" s="1887"/>
      <c r="S810" s="1887"/>
      <c r="T810" s="1887"/>
      <c r="U810" s="1887"/>
      <c r="V810" s="1887"/>
      <c r="W810" s="1887"/>
      <c r="X810" s="1887"/>
      <c r="Y810" s="1887"/>
      <c r="Z810" s="1887"/>
      <c r="AA810" s="1887"/>
      <c r="AB810" s="1887"/>
      <c r="AC810" s="1887"/>
    </row>
    <row r="811">
      <c r="A811" s="1887"/>
      <c r="B811" s="1887"/>
      <c r="C811" s="1887"/>
      <c r="D811" s="1887"/>
      <c r="E811" s="1887"/>
      <c r="F811" s="1887"/>
      <c r="G811" s="1887"/>
      <c r="H811" s="1887"/>
      <c r="I811" s="1887"/>
      <c r="J811" s="1887"/>
      <c r="K811" s="1887"/>
      <c r="L811" s="1887"/>
      <c r="M811" s="1887"/>
      <c r="N811" s="1887"/>
      <c r="O811" s="1887"/>
      <c r="P811" s="1887"/>
      <c r="Q811" s="1887"/>
      <c r="R811" s="1887"/>
      <c r="S811" s="1887"/>
      <c r="T811" s="1887"/>
      <c r="U811" s="1887"/>
      <c r="V811" s="1887"/>
      <c r="W811" s="1887"/>
      <c r="X811" s="1887"/>
      <c r="Y811" s="1887"/>
      <c r="Z811" s="1887"/>
      <c r="AA811" s="1887"/>
      <c r="AB811" s="1887"/>
      <c r="AC811" s="1887"/>
    </row>
    <row r="812">
      <c r="A812" s="1887"/>
      <c r="B812" s="1887"/>
      <c r="C812" s="1887"/>
      <c r="D812" s="1887"/>
      <c r="E812" s="1887"/>
      <c r="F812" s="1887"/>
      <c r="G812" s="1887"/>
      <c r="H812" s="1887"/>
      <c r="I812" s="1887"/>
      <c r="J812" s="1887"/>
      <c r="K812" s="1887"/>
      <c r="L812" s="1887"/>
      <c r="M812" s="1887"/>
      <c r="N812" s="1887"/>
      <c r="O812" s="1887"/>
      <c r="P812" s="1887"/>
      <c r="Q812" s="1887"/>
      <c r="R812" s="1887"/>
      <c r="S812" s="1887"/>
      <c r="T812" s="1887"/>
      <c r="U812" s="1887"/>
      <c r="V812" s="1887"/>
      <c r="W812" s="1887"/>
      <c r="X812" s="1887"/>
      <c r="Y812" s="1887"/>
      <c r="Z812" s="1887"/>
      <c r="AA812" s="1887"/>
      <c r="AB812" s="1887"/>
      <c r="AC812" s="1887"/>
    </row>
    <row r="813">
      <c r="A813" s="1887"/>
      <c r="B813" s="1887"/>
      <c r="C813" s="1887"/>
      <c r="D813" s="1887"/>
      <c r="E813" s="1887"/>
      <c r="F813" s="1887"/>
      <c r="G813" s="1887"/>
      <c r="H813" s="1887"/>
      <c r="I813" s="1887"/>
      <c r="J813" s="1887"/>
      <c r="K813" s="1887"/>
      <c r="L813" s="1887"/>
      <c r="M813" s="1887"/>
      <c r="N813" s="1887"/>
      <c r="O813" s="1887"/>
      <c r="P813" s="1887"/>
      <c r="Q813" s="1887"/>
      <c r="R813" s="1887"/>
      <c r="S813" s="1887"/>
      <c r="T813" s="1887"/>
      <c r="U813" s="1887"/>
      <c r="V813" s="1887"/>
      <c r="W813" s="1887"/>
      <c r="X813" s="1887"/>
      <c r="Y813" s="1887"/>
      <c r="Z813" s="1887"/>
      <c r="AA813" s="1887"/>
      <c r="AB813" s="1887"/>
      <c r="AC813" s="1887"/>
    </row>
    <row r="814">
      <c r="A814" s="1887"/>
      <c r="B814" s="1887"/>
      <c r="C814" s="1887"/>
      <c r="D814" s="1887"/>
      <c r="E814" s="1887"/>
      <c r="F814" s="1887"/>
      <c r="G814" s="1887"/>
      <c r="H814" s="1887"/>
      <c r="I814" s="1887"/>
      <c r="J814" s="1887"/>
      <c r="K814" s="1887"/>
      <c r="L814" s="1887"/>
      <c r="M814" s="1887"/>
      <c r="N814" s="1887"/>
      <c r="O814" s="1887"/>
      <c r="P814" s="1887"/>
      <c r="Q814" s="1887"/>
      <c r="R814" s="1887"/>
      <c r="S814" s="1887"/>
      <c r="T814" s="1887"/>
      <c r="U814" s="1887"/>
      <c r="V814" s="1887"/>
      <c r="W814" s="1887"/>
      <c r="X814" s="1887"/>
      <c r="Y814" s="1887"/>
      <c r="Z814" s="1887"/>
      <c r="AA814" s="1887"/>
      <c r="AB814" s="1887"/>
      <c r="AC814" s="1887"/>
    </row>
    <row r="815">
      <c r="A815" s="1887"/>
      <c r="B815" s="1887"/>
      <c r="C815" s="1887"/>
      <c r="D815" s="1887"/>
      <c r="E815" s="1887"/>
      <c r="F815" s="1887"/>
      <c r="G815" s="1887"/>
      <c r="H815" s="1887"/>
      <c r="I815" s="1887"/>
      <c r="J815" s="1887"/>
      <c r="K815" s="1887"/>
      <c r="L815" s="1887"/>
      <c r="M815" s="1887"/>
      <c r="N815" s="1887"/>
      <c r="O815" s="1887"/>
      <c r="P815" s="1887"/>
      <c r="Q815" s="1887"/>
      <c r="R815" s="1887"/>
      <c r="S815" s="1887"/>
      <c r="T815" s="1887"/>
      <c r="U815" s="1887"/>
      <c r="V815" s="1887"/>
      <c r="W815" s="1887"/>
      <c r="X815" s="1887"/>
      <c r="Y815" s="1887"/>
      <c r="Z815" s="1887"/>
      <c r="AA815" s="1887"/>
      <c r="AB815" s="1887"/>
      <c r="AC815" s="1887"/>
    </row>
    <row r="816">
      <c r="A816" s="1887"/>
      <c r="B816" s="1887"/>
      <c r="C816" s="1887"/>
      <c r="D816" s="1887"/>
      <c r="E816" s="1887"/>
      <c r="F816" s="1887"/>
      <c r="G816" s="1887"/>
      <c r="H816" s="1887"/>
      <c r="I816" s="1887"/>
      <c r="J816" s="1887"/>
      <c r="K816" s="1887"/>
      <c r="L816" s="1887"/>
      <c r="M816" s="1887"/>
      <c r="N816" s="1887"/>
      <c r="O816" s="1887"/>
      <c r="P816" s="1887"/>
      <c r="Q816" s="1887"/>
      <c r="R816" s="1887"/>
      <c r="S816" s="1887"/>
      <c r="T816" s="1887"/>
      <c r="U816" s="1887"/>
      <c r="V816" s="1887"/>
      <c r="W816" s="1887"/>
      <c r="X816" s="1887"/>
      <c r="Y816" s="1887"/>
      <c r="Z816" s="1887"/>
      <c r="AA816" s="1887"/>
      <c r="AB816" s="1887"/>
      <c r="AC816" s="1887"/>
    </row>
    <row r="817">
      <c r="A817" s="1887"/>
      <c r="B817" s="1887"/>
      <c r="C817" s="1887"/>
      <c r="D817" s="1887"/>
      <c r="E817" s="1887"/>
      <c r="F817" s="1887"/>
      <c r="G817" s="1887"/>
      <c r="H817" s="1887"/>
      <c r="I817" s="1887"/>
      <c r="J817" s="1887"/>
      <c r="K817" s="1887"/>
      <c r="L817" s="1887"/>
      <c r="M817" s="1887"/>
      <c r="N817" s="1887"/>
      <c r="O817" s="1887"/>
      <c r="P817" s="1887"/>
      <c r="Q817" s="1887"/>
      <c r="R817" s="1887"/>
      <c r="S817" s="1887"/>
      <c r="T817" s="1887"/>
      <c r="U817" s="1887"/>
      <c r="V817" s="1887"/>
      <c r="W817" s="1887"/>
      <c r="X817" s="1887"/>
      <c r="Y817" s="1887"/>
      <c r="Z817" s="1887"/>
      <c r="AA817" s="1887"/>
      <c r="AB817" s="1887"/>
      <c r="AC817" s="1887"/>
    </row>
    <row r="818">
      <c r="A818" s="1887"/>
      <c r="B818" s="1887"/>
      <c r="C818" s="1887"/>
      <c r="D818" s="1887"/>
      <c r="E818" s="1887"/>
      <c r="F818" s="1887"/>
      <c r="G818" s="1887"/>
      <c r="H818" s="1887"/>
      <c r="I818" s="1887"/>
      <c r="J818" s="1887"/>
      <c r="K818" s="1887"/>
      <c r="L818" s="1887"/>
      <c r="M818" s="1887"/>
      <c r="N818" s="1887"/>
      <c r="O818" s="1887"/>
      <c r="P818" s="1887"/>
      <c r="Q818" s="1887"/>
      <c r="R818" s="1887"/>
      <c r="S818" s="1887"/>
      <c r="T818" s="1887"/>
      <c r="U818" s="1887"/>
      <c r="V818" s="1887"/>
      <c r="W818" s="1887"/>
      <c r="X818" s="1887"/>
      <c r="Y818" s="1887"/>
      <c r="Z818" s="1887"/>
      <c r="AA818" s="1887"/>
      <c r="AB818" s="1887"/>
      <c r="AC818" s="1887"/>
    </row>
    <row r="819">
      <c r="A819" s="1887"/>
      <c r="B819" s="1887"/>
      <c r="C819" s="1887"/>
      <c r="D819" s="1887"/>
      <c r="E819" s="1887"/>
      <c r="F819" s="1887"/>
      <c r="G819" s="1887"/>
      <c r="H819" s="1887"/>
      <c r="I819" s="1887"/>
      <c r="J819" s="1887"/>
      <c r="K819" s="1887"/>
      <c r="L819" s="1887"/>
      <c r="M819" s="1887"/>
      <c r="N819" s="1887"/>
      <c r="O819" s="1887"/>
      <c r="P819" s="1887"/>
      <c r="Q819" s="1887"/>
      <c r="R819" s="1887"/>
      <c r="S819" s="1887"/>
      <c r="T819" s="1887"/>
      <c r="U819" s="1887"/>
      <c r="V819" s="1887"/>
      <c r="W819" s="1887"/>
      <c r="X819" s="1887"/>
      <c r="Y819" s="1887"/>
      <c r="Z819" s="1887"/>
      <c r="AA819" s="1887"/>
      <c r="AB819" s="1887"/>
      <c r="AC819" s="1887"/>
    </row>
    <row r="820">
      <c r="A820" s="1887"/>
      <c r="B820" s="1887"/>
      <c r="C820" s="1887"/>
      <c r="D820" s="1887"/>
      <c r="E820" s="1887"/>
      <c r="F820" s="1887"/>
      <c r="G820" s="1887"/>
      <c r="H820" s="1887"/>
      <c r="I820" s="1887"/>
      <c r="J820" s="1887"/>
      <c r="K820" s="1887"/>
      <c r="L820" s="1887"/>
      <c r="M820" s="1887"/>
      <c r="N820" s="1887"/>
      <c r="O820" s="1887"/>
      <c r="P820" s="1887"/>
      <c r="Q820" s="1887"/>
      <c r="R820" s="1887"/>
      <c r="S820" s="1887"/>
      <c r="T820" s="1887"/>
      <c r="U820" s="1887"/>
      <c r="V820" s="1887"/>
      <c r="W820" s="1887"/>
      <c r="X820" s="1887"/>
      <c r="Y820" s="1887"/>
      <c r="Z820" s="1887"/>
      <c r="AA820" s="1887"/>
      <c r="AB820" s="1887"/>
      <c r="AC820" s="1887"/>
    </row>
    <row r="821">
      <c r="A821" s="1887"/>
      <c r="B821" s="1887"/>
      <c r="C821" s="1887"/>
      <c r="D821" s="1887"/>
      <c r="E821" s="1887"/>
      <c r="F821" s="1887"/>
      <c r="G821" s="1887"/>
      <c r="H821" s="1887"/>
      <c r="I821" s="1887"/>
      <c r="J821" s="1887"/>
      <c r="K821" s="1887"/>
      <c r="L821" s="1887"/>
      <c r="M821" s="1887"/>
      <c r="N821" s="1887"/>
      <c r="O821" s="1887"/>
      <c r="P821" s="1887"/>
      <c r="Q821" s="1887"/>
      <c r="R821" s="1887"/>
      <c r="S821" s="1887"/>
      <c r="T821" s="1887"/>
      <c r="U821" s="1887"/>
      <c r="V821" s="1887"/>
      <c r="W821" s="1887"/>
      <c r="X821" s="1887"/>
      <c r="Y821" s="1887"/>
      <c r="Z821" s="1887"/>
      <c r="AA821" s="1887"/>
      <c r="AB821" s="1887"/>
      <c r="AC821" s="1887"/>
    </row>
    <row r="822">
      <c r="A822" s="1887"/>
      <c r="B822" s="1887"/>
      <c r="C822" s="1887"/>
      <c r="D822" s="1887"/>
      <c r="E822" s="1887"/>
      <c r="F822" s="1887"/>
      <c r="G822" s="1887"/>
      <c r="H822" s="1887"/>
      <c r="I822" s="1887"/>
      <c r="J822" s="1887"/>
      <c r="K822" s="1887"/>
      <c r="L822" s="1887"/>
      <c r="M822" s="1887"/>
      <c r="N822" s="1887"/>
      <c r="O822" s="1887"/>
      <c r="P822" s="1887"/>
      <c r="Q822" s="1887"/>
      <c r="R822" s="1887"/>
      <c r="S822" s="1887"/>
      <c r="T822" s="1887"/>
      <c r="U822" s="1887"/>
      <c r="V822" s="1887"/>
      <c r="W822" s="1887"/>
      <c r="X822" s="1887"/>
      <c r="Y822" s="1887"/>
      <c r="Z822" s="1887"/>
      <c r="AA822" s="1887"/>
      <c r="AB822" s="1887"/>
      <c r="AC822" s="1887"/>
    </row>
    <row r="823">
      <c r="A823" s="1887"/>
      <c r="B823" s="1887"/>
      <c r="C823" s="1887"/>
      <c r="D823" s="1887"/>
      <c r="E823" s="1887"/>
      <c r="F823" s="1887"/>
      <c r="G823" s="1887"/>
      <c r="H823" s="1887"/>
      <c r="I823" s="1887"/>
      <c r="J823" s="1887"/>
      <c r="K823" s="1887"/>
      <c r="L823" s="1887"/>
      <c r="M823" s="1887"/>
      <c r="N823" s="1887"/>
      <c r="O823" s="1887"/>
      <c r="P823" s="1887"/>
      <c r="Q823" s="1887"/>
      <c r="R823" s="1887"/>
      <c r="S823" s="1887"/>
      <c r="T823" s="1887"/>
      <c r="U823" s="1887"/>
      <c r="V823" s="1887"/>
      <c r="W823" s="1887"/>
      <c r="X823" s="1887"/>
      <c r="Y823" s="1887"/>
      <c r="Z823" s="1887"/>
      <c r="AA823" s="1887"/>
      <c r="AB823" s="1887"/>
      <c r="AC823" s="1887"/>
    </row>
    <row r="824">
      <c r="A824" s="1887"/>
      <c r="B824" s="1887"/>
      <c r="C824" s="1887"/>
      <c r="D824" s="1887"/>
      <c r="E824" s="1887"/>
      <c r="F824" s="1887"/>
      <c r="G824" s="1887"/>
      <c r="H824" s="1887"/>
      <c r="I824" s="1887"/>
      <c r="J824" s="1887"/>
      <c r="K824" s="1887"/>
      <c r="L824" s="1887"/>
      <c r="M824" s="1887"/>
      <c r="N824" s="1887"/>
      <c r="O824" s="1887"/>
      <c r="P824" s="1887"/>
      <c r="Q824" s="1887"/>
      <c r="R824" s="1887"/>
      <c r="S824" s="1887"/>
      <c r="T824" s="1887"/>
      <c r="U824" s="1887"/>
      <c r="V824" s="1887"/>
      <c r="W824" s="1887"/>
      <c r="X824" s="1887"/>
      <c r="Y824" s="1887"/>
      <c r="Z824" s="1887"/>
      <c r="AA824" s="1887"/>
      <c r="AB824" s="1887"/>
      <c r="AC824" s="1887"/>
    </row>
    <row r="825">
      <c r="A825" s="1887"/>
      <c r="B825" s="1887"/>
      <c r="C825" s="1887"/>
      <c r="D825" s="1887"/>
      <c r="E825" s="1887"/>
      <c r="F825" s="1887"/>
      <c r="G825" s="1887"/>
      <c r="H825" s="1887"/>
      <c r="I825" s="1887"/>
      <c r="J825" s="1887"/>
      <c r="K825" s="1887"/>
      <c r="L825" s="1887"/>
      <c r="M825" s="1887"/>
      <c r="N825" s="1887"/>
      <c r="O825" s="1887"/>
      <c r="P825" s="1887"/>
      <c r="Q825" s="1887"/>
      <c r="R825" s="1887"/>
      <c r="S825" s="1887"/>
      <c r="T825" s="1887"/>
      <c r="U825" s="1887"/>
      <c r="V825" s="1887"/>
      <c r="W825" s="1887"/>
      <c r="X825" s="1887"/>
      <c r="Y825" s="1887"/>
      <c r="Z825" s="1887"/>
      <c r="AA825" s="1887"/>
      <c r="AB825" s="1887"/>
      <c r="AC825" s="1887"/>
    </row>
    <row r="826">
      <c r="A826" s="1887"/>
      <c r="B826" s="1887"/>
      <c r="C826" s="1887"/>
      <c r="D826" s="1887"/>
      <c r="E826" s="1887"/>
      <c r="F826" s="1887"/>
      <c r="G826" s="1887"/>
      <c r="H826" s="1887"/>
      <c r="I826" s="1887"/>
      <c r="J826" s="1887"/>
      <c r="K826" s="1887"/>
      <c r="L826" s="1887"/>
      <c r="M826" s="1887"/>
      <c r="N826" s="1887"/>
      <c r="O826" s="1887"/>
      <c r="P826" s="1887"/>
      <c r="Q826" s="1887"/>
      <c r="R826" s="1887"/>
      <c r="S826" s="1887"/>
      <c r="T826" s="1887"/>
      <c r="U826" s="1887"/>
      <c r="V826" s="1887"/>
      <c r="W826" s="1887"/>
      <c r="X826" s="1887"/>
      <c r="Y826" s="1887"/>
      <c r="Z826" s="1887"/>
      <c r="AA826" s="1887"/>
      <c r="AB826" s="1887"/>
      <c r="AC826" s="1887"/>
    </row>
    <row r="827">
      <c r="A827" s="1887"/>
      <c r="B827" s="1887"/>
      <c r="C827" s="1887"/>
      <c r="D827" s="1887"/>
      <c r="E827" s="1887"/>
      <c r="F827" s="1887"/>
      <c r="G827" s="1887"/>
      <c r="H827" s="1887"/>
      <c r="I827" s="1887"/>
      <c r="J827" s="1887"/>
      <c r="K827" s="1887"/>
      <c r="L827" s="1887"/>
      <c r="M827" s="1887"/>
      <c r="N827" s="1887"/>
      <c r="O827" s="1887"/>
      <c r="P827" s="1887"/>
      <c r="Q827" s="1887"/>
      <c r="R827" s="1887"/>
      <c r="S827" s="1887"/>
      <c r="T827" s="1887"/>
      <c r="U827" s="1887"/>
      <c r="V827" s="1887"/>
      <c r="W827" s="1887"/>
      <c r="X827" s="1887"/>
      <c r="Y827" s="1887"/>
      <c r="Z827" s="1887"/>
      <c r="AA827" s="1887"/>
      <c r="AB827" s="1887"/>
      <c r="AC827" s="1887"/>
    </row>
    <row r="828">
      <c r="A828" s="1887"/>
      <c r="B828" s="1887"/>
      <c r="C828" s="1887"/>
      <c r="D828" s="1887"/>
      <c r="E828" s="1887"/>
      <c r="F828" s="1887"/>
      <c r="G828" s="1887"/>
      <c r="H828" s="1887"/>
      <c r="I828" s="1887"/>
      <c r="J828" s="1887"/>
      <c r="K828" s="1887"/>
      <c r="L828" s="1887"/>
      <c r="M828" s="1887"/>
      <c r="N828" s="1887"/>
      <c r="O828" s="1887"/>
      <c r="P828" s="1887"/>
      <c r="Q828" s="1887"/>
      <c r="R828" s="1887"/>
      <c r="S828" s="1887"/>
      <c r="T828" s="1887"/>
      <c r="U828" s="1887"/>
      <c r="V828" s="1887"/>
      <c r="W828" s="1887"/>
      <c r="X828" s="1887"/>
      <c r="Y828" s="1887"/>
      <c r="Z828" s="1887"/>
      <c r="AA828" s="1887"/>
      <c r="AB828" s="1887"/>
      <c r="AC828" s="1887"/>
    </row>
    <row r="829">
      <c r="A829" s="1887"/>
      <c r="B829" s="1887"/>
      <c r="C829" s="1887"/>
      <c r="D829" s="1887"/>
      <c r="E829" s="1887"/>
      <c r="F829" s="1887"/>
      <c r="G829" s="1887"/>
      <c r="H829" s="1887"/>
      <c r="I829" s="1887"/>
      <c r="J829" s="1887"/>
      <c r="K829" s="1887"/>
      <c r="L829" s="1887"/>
      <c r="M829" s="1887"/>
      <c r="N829" s="1887"/>
      <c r="O829" s="1887"/>
      <c r="P829" s="1887"/>
      <c r="Q829" s="1887"/>
      <c r="R829" s="1887"/>
      <c r="S829" s="1887"/>
      <c r="T829" s="1887"/>
      <c r="U829" s="1887"/>
      <c r="V829" s="1887"/>
      <c r="W829" s="1887"/>
      <c r="X829" s="1887"/>
      <c r="Y829" s="1887"/>
      <c r="Z829" s="1887"/>
      <c r="AA829" s="1887"/>
      <c r="AB829" s="1887"/>
      <c r="AC829" s="1887"/>
    </row>
    <row r="830">
      <c r="A830" s="1887"/>
      <c r="B830" s="1887"/>
      <c r="C830" s="1887"/>
      <c r="D830" s="1887"/>
      <c r="E830" s="1887"/>
      <c r="F830" s="1887"/>
      <c r="G830" s="1887"/>
      <c r="H830" s="1887"/>
      <c r="I830" s="1887"/>
      <c r="J830" s="1887"/>
      <c r="K830" s="1887"/>
      <c r="L830" s="1887"/>
      <c r="M830" s="1887"/>
      <c r="N830" s="1887"/>
      <c r="O830" s="1887"/>
      <c r="P830" s="1887"/>
      <c r="Q830" s="1887"/>
      <c r="R830" s="1887"/>
      <c r="S830" s="1887"/>
      <c r="T830" s="1887"/>
      <c r="U830" s="1887"/>
      <c r="V830" s="1887"/>
      <c r="W830" s="1887"/>
      <c r="X830" s="1887"/>
      <c r="Y830" s="1887"/>
      <c r="Z830" s="1887"/>
      <c r="AA830" s="1887"/>
      <c r="AB830" s="1887"/>
      <c r="AC830" s="1887"/>
    </row>
    <row r="831">
      <c r="A831" s="1887"/>
      <c r="B831" s="1887"/>
      <c r="C831" s="1887"/>
      <c r="D831" s="1887"/>
      <c r="E831" s="1887"/>
      <c r="F831" s="1887"/>
      <c r="G831" s="1887"/>
      <c r="H831" s="1887"/>
      <c r="I831" s="1887"/>
      <c r="J831" s="1887"/>
      <c r="K831" s="1887"/>
      <c r="L831" s="1887"/>
      <c r="M831" s="1887"/>
      <c r="N831" s="1887"/>
      <c r="O831" s="1887"/>
      <c r="P831" s="1887"/>
      <c r="Q831" s="1887"/>
      <c r="R831" s="1887"/>
      <c r="S831" s="1887"/>
      <c r="T831" s="1887"/>
      <c r="U831" s="1887"/>
      <c r="V831" s="1887"/>
      <c r="W831" s="1887"/>
      <c r="X831" s="1887"/>
      <c r="Y831" s="1887"/>
      <c r="Z831" s="1887"/>
      <c r="AA831" s="1887"/>
      <c r="AB831" s="1887"/>
      <c r="AC831" s="1887"/>
    </row>
    <row r="832">
      <c r="A832" s="1887"/>
      <c r="B832" s="1887"/>
      <c r="C832" s="1887"/>
      <c r="D832" s="1887"/>
      <c r="E832" s="1887"/>
      <c r="F832" s="1887"/>
      <c r="G832" s="1887"/>
      <c r="H832" s="1887"/>
      <c r="I832" s="1887"/>
      <c r="J832" s="1887"/>
      <c r="K832" s="1887"/>
      <c r="L832" s="1887"/>
      <c r="M832" s="1887"/>
      <c r="N832" s="1887"/>
      <c r="O832" s="1887"/>
      <c r="P832" s="1887"/>
      <c r="Q832" s="1887"/>
      <c r="R832" s="1887"/>
      <c r="S832" s="1887"/>
      <c r="T832" s="1887"/>
      <c r="U832" s="1887"/>
      <c r="V832" s="1887"/>
      <c r="W832" s="1887"/>
      <c r="X832" s="1887"/>
      <c r="Y832" s="1887"/>
      <c r="Z832" s="1887"/>
      <c r="AA832" s="1887"/>
      <c r="AB832" s="1887"/>
      <c r="AC832" s="1887"/>
    </row>
    <row r="833">
      <c r="A833" s="1887"/>
      <c r="B833" s="1887"/>
      <c r="C833" s="1887"/>
      <c r="D833" s="1887"/>
      <c r="E833" s="1887"/>
      <c r="F833" s="1887"/>
      <c r="G833" s="1887"/>
      <c r="H833" s="1887"/>
      <c r="I833" s="1887"/>
      <c r="J833" s="1887"/>
      <c r="K833" s="1887"/>
      <c r="L833" s="1887"/>
      <c r="M833" s="1887"/>
      <c r="N833" s="1887"/>
      <c r="O833" s="1887"/>
      <c r="P833" s="1887"/>
      <c r="Q833" s="1887"/>
      <c r="R833" s="1887"/>
      <c r="S833" s="1887"/>
      <c r="T833" s="1887"/>
      <c r="U833" s="1887"/>
      <c r="V833" s="1887"/>
      <c r="W833" s="1887"/>
      <c r="X833" s="1887"/>
      <c r="Y833" s="1887"/>
      <c r="Z833" s="1887"/>
      <c r="AA833" s="1887"/>
      <c r="AB833" s="1887"/>
      <c r="AC833" s="1887"/>
    </row>
    <row r="834">
      <c r="A834" s="1887"/>
      <c r="B834" s="1887"/>
      <c r="C834" s="1887"/>
      <c r="D834" s="1887"/>
      <c r="E834" s="1887"/>
      <c r="F834" s="1887"/>
      <c r="G834" s="1887"/>
      <c r="H834" s="1887"/>
      <c r="I834" s="1887"/>
      <c r="J834" s="1887"/>
      <c r="K834" s="1887"/>
      <c r="L834" s="1887"/>
      <c r="M834" s="1887"/>
      <c r="N834" s="1887"/>
      <c r="O834" s="1887"/>
      <c r="P834" s="1887"/>
      <c r="Q834" s="1887"/>
      <c r="R834" s="1887"/>
      <c r="S834" s="1887"/>
      <c r="T834" s="1887"/>
      <c r="U834" s="1887"/>
      <c r="V834" s="1887"/>
      <c r="W834" s="1887"/>
      <c r="X834" s="1887"/>
      <c r="Y834" s="1887"/>
      <c r="Z834" s="1887"/>
      <c r="AA834" s="1887"/>
      <c r="AB834" s="1887"/>
      <c r="AC834" s="1887"/>
    </row>
    <row r="835">
      <c r="A835" s="1887"/>
      <c r="B835" s="1887"/>
      <c r="C835" s="1887"/>
      <c r="D835" s="1887"/>
      <c r="E835" s="1887"/>
      <c r="F835" s="1887"/>
      <c r="G835" s="1887"/>
      <c r="H835" s="1887"/>
      <c r="I835" s="1887"/>
      <c r="J835" s="1887"/>
      <c r="K835" s="1887"/>
      <c r="L835" s="1887"/>
      <c r="M835" s="1887"/>
      <c r="N835" s="1887"/>
      <c r="O835" s="1887"/>
      <c r="P835" s="1887"/>
      <c r="Q835" s="1887"/>
      <c r="R835" s="1887"/>
      <c r="S835" s="1887"/>
      <c r="T835" s="1887"/>
      <c r="U835" s="1887"/>
      <c r="V835" s="1887"/>
      <c r="W835" s="1887"/>
      <c r="X835" s="1887"/>
      <c r="Y835" s="1887"/>
      <c r="Z835" s="1887"/>
      <c r="AA835" s="1887"/>
      <c r="AB835" s="1887"/>
      <c r="AC835" s="1887"/>
    </row>
    <row r="836">
      <c r="A836" s="1887"/>
      <c r="B836" s="1887"/>
      <c r="C836" s="1887"/>
      <c r="D836" s="1887"/>
      <c r="E836" s="1887"/>
      <c r="F836" s="1887"/>
      <c r="G836" s="1887"/>
      <c r="H836" s="1887"/>
      <c r="I836" s="1887"/>
      <c r="J836" s="1887"/>
      <c r="K836" s="1887"/>
      <c r="L836" s="1887"/>
      <c r="M836" s="1887"/>
      <c r="N836" s="1887"/>
      <c r="O836" s="1887"/>
      <c r="P836" s="1887"/>
      <c r="Q836" s="1887"/>
      <c r="R836" s="1887"/>
      <c r="S836" s="1887"/>
      <c r="T836" s="1887"/>
      <c r="U836" s="1887"/>
      <c r="V836" s="1887"/>
      <c r="W836" s="1887"/>
      <c r="X836" s="1887"/>
      <c r="Y836" s="1887"/>
      <c r="Z836" s="1887"/>
      <c r="AA836" s="1887"/>
      <c r="AB836" s="1887"/>
      <c r="AC836" s="1887"/>
    </row>
    <row r="837">
      <c r="A837" s="1887"/>
      <c r="B837" s="1887"/>
      <c r="C837" s="1887"/>
      <c r="D837" s="1887"/>
      <c r="E837" s="1887"/>
      <c r="F837" s="1887"/>
      <c r="G837" s="1887"/>
      <c r="H837" s="1887"/>
      <c r="I837" s="1887"/>
      <c r="J837" s="1887"/>
      <c r="K837" s="1887"/>
      <c r="L837" s="1887"/>
      <c r="M837" s="1887"/>
      <c r="N837" s="1887"/>
      <c r="O837" s="1887"/>
      <c r="P837" s="1887"/>
      <c r="Q837" s="1887"/>
      <c r="R837" s="1887"/>
      <c r="S837" s="1887"/>
      <c r="T837" s="1887"/>
      <c r="U837" s="1887"/>
      <c r="V837" s="1887"/>
      <c r="W837" s="1887"/>
      <c r="X837" s="1887"/>
      <c r="Y837" s="1887"/>
      <c r="Z837" s="1887"/>
      <c r="AA837" s="1887"/>
      <c r="AB837" s="1887"/>
      <c r="AC837" s="1887"/>
    </row>
    <row r="838">
      <c r="A838" s="1887"/>
      <c r="B838" s="1887"/>
      <c r="C838" s="1887"/>
      <c r="D838" s="1887"/>
      <c r="E838" s="1887"/>
      <c r="F838" s="1887"/>
      <c r="G838" s="1887"/>
      <c r="H838" s="1887"/>
      <c r="I838" s="1887"/>
      <c r="J838" s="1887"/>
      <c r="K838" s="1887"/>
      <c r="L838" s="1887"/>
      <c r="M838" s="1887"/>
      <c r="N838" s="1887"/>
      <c r="O838" s="1887"/>
      <c r="P838" s="1887"/>
      <c r="Q838" s="1887"/>
      <c r="R838" s="1887"/>
      <c r="S838" s="1887"/>
      <c r="T838" s="1887"/>
      <c r="U838" s="1887"/>
      <c r="V838" s="1887"/>
      <c r="W838" s="1887"/>
      <c r="X838" s="1887"/>
      <c r="Y838" s="1887"/>
      <c r="Z838" s="1887"/>
      <c r="AA838" s="1887"/>
      <c r="AB838" s="1887"/>
      <c r="AC838" s="1887"/>
    </row>
    <row r="839">
      <c r="A839" s="1887"/>
      <c r="B839" s="1887"/>
      <c r="C839" s="1887"/>
      <c r="D839" s="1887"/>
      <c r="E839" s="1887"/>
      <c r="F839" s="1887"/>
      <c r="G839" s="1887"/>
      <c r="H839" s="1887"/>
      <c r="I839" s="1887"/>
      <c r="J839" s="1887"/>
      <c r="K839" s="1887"/>
      <c r="L839" s="1887"/>
      <c r="M839" s="1887"/>
      <c r="N839" s="1887"/>
      <c r="O839" s="1887"/>
      <c r="P839" s="1887"/>
      <c r="Q839" s="1887"/>
      <c r="R839" s="1887"/>
      <c r="S839" s="1887"/>
      <c r="T839" s="1887"/>
      <c r="U839" s="1887"/>
      <c r="V839" s="1887"/>
      <c r="W839" s="1887"/>
      <c r="X839" s="1887"/>
      <c r="Y839" s="1887"/>
      <c r="Z839" s="1887"/>
      <c r="AA839" s="1887"/>
      <c r="AB839" s="1887"/>
      <c r="AC839" s="1887"/>
    </row>
    <row r="840">
      <c r="A840" s="1887"/>
      <c r="B840" s="1887"/>
      <c r="C840" s="1887"/>
      <c r="D840" s="1887"/>
      <c r="E840" s="1887"/>
      <c r="F840" s="1887"/>
      <c r="G840" s="1887"/>
      <c r="H840" s="1887"/>
      <c r="I840" s="1887"/>
      <c r="J840" s="1887"/>
      <c r="K840" s="1887"/>
      <c r="L840" s="1887"/>
      <c r="M840" s="1887"/>
      <c r="N840" s="1887"/>
      <c r="O840" s="1887"/>
      <c r="P840" s="1887"/>
      <c r="Q840" s="1887"/>
      <c r="R840" s="1887"/>
      <c r="S840" s="1887"/>
      <c r="T840" s="1887"/>
      <c r="U840" s="1887"/>
      <c r="V840" s="1887"/>
      <c r="W840" s="1887"/>
      <c r="X840" s="1887"/>
      <c r="Y840" s="1887"/>
      <c r="Z840" s="1887"/>
      <c r="AA840" s="1887"/>
      <c r="AB840" s="1887"/>
      <c r="AC840" s="1887"/>
    </row>
    <row r="841">
      <c r="A841" s="1887"/>
      <c r="B841" s="1887"/>
      <c r="C841" s="1887"/>
      <c r="D841" s="1887"/>
      <c r="E841" s="1887"/>
      <c r="F841" s="1887"/>
      <c r="G841" s="1887"/>
      <c r="H841" s="1887"/>
      <c r="I841" s="1887"/>
      <c r="J841" s="1887"/>
      <c r="K841" s="1887"/>
      <c r="L841" s="1887"/>
      <c r="M841" s="1887"/>
      <c r="N841" s="1887"/>
      <c r="O841" s="1887"/>
      <c r="P841" s="1887"/>
      <c r="Q841" s="1887"/>
      <c r="R841" s="1887"/>
      <c r="S841" s="1887"/>
      <c r="T841" s="1887"/>
      <c r="U841" s="1887"/>
      <c r="V841" s="1887"/>
      <c r="W841" s="1887"/>
      <c r="X841" s="1887"/>
      <c r="Y841" s="1887"/>
      <c r="Z841" s="1887"/>
      <c r="AA841" s="1887"/>
      <c r="AB841" s="1887"/>
      <c r="AC841" s="1887"/>
    </row>
    <row r="842">
      <c r="A842" s="1887"/>
      <c r="B842" s="1887"/>
      <c r="C842" s="1887"/>
      <c r="D842" s="1887"/>
      <c r="E842" s="1887"/>
      <c r="F842" s="1887"/>
      <c r="G842" s="1887"/>
      <c r="H842" s="1887"/>
      <c r="I842" s="1887"/>
      <c r="J842" s="1887"/>
      <c r="K842" s="1887"/>
      <c r="L842" s="1887"/>
      <c r="M842" s="1887"/>
      <c r="N842" s="1887"/>
      <c r="O842" s="1887"/>
      <c r="P842" s="1887"/>
      <c r="Q842" s="1887"/>
      <c r="R842" s="1887"/>
      <c r="S842" s="1887"/>
      <c r="T842" s="1887"/>
      <c r="U842" s="1887"/>
      <c r="V842" s="1887"/>
      <c r="W842" s="1887"/>
      <c r="X842" s="1887"/>
      <c r="Y842" s="1887"/>
      <c r="Z842" s="1887"/>
      <c r="AA842" s="1887"/>
      <c r="AB842" s="1887"/>
      <c r="AC842" s="1887"/>
    </row>
    <row r="843">
      <c r="A843" s="1887"/>
      <c r="B843" s="1887"/>
      <c r="C843" s="1887"/>
      <c r="D843" s="1887"/>
      <c r="E843" s="1887"/>
      <c r="F843" s="1887"/>
      <c r="G843" s="1887"/>
      <c r="H843" s="1887"/>
      <c r="I843" s="1887"/>
      <c r="J843" s="1887"/>
      <c r="K843" s="1887"/>
      <c r="L843" s="1887"/>
      <c r="M843" s="1887"/>
      <c r="N843" s="1887"/>
      <c r="O843" s="1887"/>
      <c r="P843" s="1887"/>
      <c r="Q843" s="1887"/>
      <c r="R843" s="1887"/>
      <c r="S843" s="1887"/>
      <c r="T843" s="1887"/>
      <c r="U843" s="1887"/>
      <c r="V843" s="1887"/>
      <c r="W843" s="1887"/>
      <c r="X843" s="1887"/>
      <c r="Y843" s="1887"/>
      <c r="Z843" s="1887"/>
      <c r="AA843" s="1887"/>
      <c r="AB843" s="1887"/>
      <c r="AC843" s="1887"/>
    </row>
    <row r="844">
      <c r="A844" s="1887"/>
      <c r="B844" s="1887"/>
      <c r="C844" s="1887"/>
      <c r="D844" s="1887"/>
      <c r="E844" s="1887"/>
      <c r="F844" s="1887"/>
      <c r="G844" s="1887"/>
      <c r="H844" s="1887"/>
      <c r="I844" s="1887"/>
      <c r="J844" s="1887"/>
      <c r="K844" s="1887"/>
      <c r="L844" s="1887"/>
      <c r="M844" s="1887"/>
      <c r="N844" s="1887"/>
      <c r="O844" s="1887"/>
      <c r="P844" s="1887"/>
      <c r="Q844" s="1887"/>
      <c r="R844" s="1887"/>
      <c r="S844" s="1887"/>
      <c r="T844" s="1887"/>
      <c r="U844" s="1887"/>
      <c r="V844" s="1887"/>
      <c r="W844" s="1887"/>
      <c r="X844" s="1887"/>
      <c r="Y844" s="1887"/>
      <c r="Z844" s="1887"/>
      <c r="AA844" s="1887"/>
      <c r="AB844" s="1887"/>
      <c r="AC844" s="1887"/>
    </row>
    <row r="845">
      <c r="A845" s="1887"/>
      <c r="B845" s="1887"/>
      <c r="C845" s="1887"/>
      <c r="D845" s="1887"/>
      <c r="E845" s="1887"/>
      <c r="F845" s="1887"/>
      <c r="G845" s="1887"/>
      <c r="H845" s="1887"/>
      <c r="I845" s="1887"/>
      <c r="J845" s="1887"/>
      <c r="K845" s="1887"/>
      <c r="L845" s="1887"/>
      <c r="M845" s="1887"/>
      <c r="N845" s="1887"/>
      <c r="O845" s="1887"/>
      <c r="P845" s="1887"/>
      <c r="Q845" s="1887"/>
      <c r="R845" s="1887"/>
      <c r="S845" s="1887"/>
      <c r="T845" s="1887"/>
      <c r="U845" s="1887"/>
      <c r="V845" s="1887"/>
      <c r="W845" s="1887"/>
      <c r="X845" s="1887"/>
      <c r="Y845" s="1887"/>
      <c r="Z845" s="1887"/>
      <c r="AA845" s="1887"/>
      <c r="AB845" s="1887"/>
      <c r="AC845" s="1887"/>
    </row>
    <row r="846">
      <c r="A846" s="1887"/>
      <c r="B846" s="1887"/>
      <c r="C846" s="1887"/>
      <c r="D846" s="1887"/>
      <c r="E846" s="1887"/>
      <c r="F846" s="1887"/>
      <c r="G846" s="1887"/>
      <c r="H846" s="1887"/>
      <c r="I846" s="1887"/>
      <c r="J846" s="1887"/>
      <c r="K846" s="1887"/>
      <c r="L846" s="1887"/>
      <c r="M846" s="1887"/>
      <c r="N846" s="1887"/>
      <c r="O846" s="1887"/>
      <c r="P846" s="1887"/>
      <c r="Q846" s="1887"/>
      <c r="R846" s="1887"/>
      <c r="S846" s="1887"/>
      <c r="T846" s="1887"/>
      <c r="U846" s="1887"/>
      <c r="V846" s="1887"/>
      <c r="W846" s="1887"/>
      <c r="X846" s="1887"/>
      <c r="Y846" s="1887"/>
      <c r="Z846" s="1887"/>
      <c r="AA846" s="1887"/>
      <c r="AB846" s="1887"/>
      <c r="AC846" s="1887"/>
    </row>
    <row r="847">
      <c r="A847" s="1887"/>
      <c r="B847" s="1887"/>
      <c r="C847" s="1887"/>
      <c r="D847" s="1887"/>
      <c r="E847" s="1887"/>
      <c r="F847" s="1887"/>
      <c r="G847" s="1887"/>
      <c r="H847" s="1887"/>
      <c r="I847" s="1887"/>
      <c r="J847" s="1887"/>
      <c r="K847" s="1887"/>
      <c r="L847" s="1887"/>
      <c r="M847" s="1887"/>
      <c r="N847" s="1887"/>
      <c r="O847" s="1887"/>
      <c r="P847" s="1887"/>
      <c r="Q847" s="1887"/>
      <c r="R847" s="1887"/>
      <c r="S847" s="1887"/>
      <c r="T847" s="1887"/>
      <c r="U847" s="1887"/>
      <c r="V847" s="1887"/>
      <c r="W847" s="1887"/>
      <c r="X847" s="1887"/>
      <c r="Y847" s="1887"/>
      <c r="Z847" s="1887"/>
      <c r="AA847" s="1887"/>
      <c r="AB847" s="1887"/>
      <c r="AC847" s="1887"/>
    </row>
    <row r="848">
      <c r="A848" s="1887"/>
      <c r="B848" s="1887"/>
      <c r="C848" s="1887"/>
      <c r="D848" s="1887"/>
      <c r="E848" s="1887"/>
      <c r="F848" s="1887"/>
      <c r="G848" s="1887"/>
      <c r="H848" s="1887"/>
      <c r="I848" s="1887"/>
      <c r="J848" s="1887"/>
      <c r="K848" s="1887"/>
      <c r="L848" s="1887"/>
      <c r="M848" s="1887"/>
      <c r="N848" s="1887"/>
      <c r="O848" s="1887"/>
      <c r="P848" s="1887"/>
      <c r="Q848" s="1887"/>
      <c r="R848" s="1887"/>
      <c r="S848" s="1887"/>
      <c r="T848" s="1887"/>
      <c r="U848" s="1887"/>
      <c r="V848" s="1887"/>
      <c r="W848" s="1887"/>
      <c r="X848" s="1887"/>
      <c r="Y848" s="1887"/>
      <c r="Z848" s="1887"/>
      <c r="AA848" s="1887"/>
      <c r="AB848" s="1887"/>
      <c r="AC848" s="1887"/>
    </row>
    <row r="849">
      <c r="A849" s="1887"/>
      <c r="B849" s="1887"/>
      <c r="C849" s="1887"/>
      <c r="D849" s="1887"/>
      <c r="E849" s="1887"/>
      <c r="F849" s="1887"/>
      <c r="G849" s="1887"/>
      <c r="H849" s="1887"/>
      <c r="I849" s="1887"/>
      <c r="J849" s="1887"/>
      <c r="K849" s="1887"/>
      <c r="L849" s="1887"/>
      <c r="M849" s="1887"/>
      <c r="N849" s="1887"/>
      <c r="O849" s="1887"/>
      <c r="P849" s="1887"/>
      <c r="Q849" s="1887"/>
      <c r="R849" s="1887"/>
      <c r="S849" s="1887"/>
      <c r="T849" s="1887"/>
      <c r="U849" s="1887"/>
      <c r="V849" s="1887"/>
      <c r="W849" s="1887"/>
      <c r="X849" s="1887"/>
      <c r="Y849" s="1887"/>
      <c r="Z849" s="1887"/>
      <c r="AA849" s="1887"/>
      <c r="AB849" s="1887"/>
      <c r="AC849" s="1887"/>
    </row>
    <row r="850">
      <c r="A850" s="1887"/>
      <c r="B850" s="1887"/>
      <c r="C850" s="1887"/>
      <c r="D850" s="1887"/>
      <c r="E850" s="1887"/>
      <c r="F850" s="1887"/>
      <c r="G850" s="1887"/>
      <c r="H850" s="1887"/>
      <c r="I850" s="1887"/>
      <c r="J850" s="1887"/>
      <c r="K850" s="1887"/>
      <c r="L850" s="1887"/>
      <c r="M850" s="1887"/>
      <c r="N850" s="1887"/>
      <c r="O850" s="1887"/>
      <c r="P850" s="1887"/>
      <c r="Q850" s="1887"/>
      <c r="R850" s="1887"/>
      <c r="S850" s="1887"/>
      <c r="T850" s="1887"/>
      <c r="U850" s="1887"/>
      <c r="V850" s="1887"/>
      <c r="W850" s="1887"/>
      <c r="X850" s="1887"/>
      <c r="Y850" s="1887"/>
      <c r="Z850" s="1887"/>
      <c r="AA850" s="1887"/>
      <c r="AB850" s="1887"/>
      <c r="AC850" s="1887"/>
    </row>
    <row r="851">
      <c r="A851" s="1887"/>
      <c r="B851" s="1887"/>
      <c r="C851" s="1887"/>
      <c r="D851" s="1887"/>
      <c r="E851" s="1887"/>
      <c r="F851" s="1887"/>
      <c r="G851" s="1887"/>
      <c r="H851" s="1887"/>
      <c r="I851" s="1887"/>
      <c r="J851" s="1887"/>
      <c r="K851" s="1887"/>
      <c r="L851" s="1887"/>
      <c r="M851" s="1887"/>
      <c r="N851" s="1887"/>
      <c r="O851" s="1887"/>
      <c r="P851" s="1887"/>
      <c r="Q851" s="1887"/>
      <c r="R851" s="1887"/>
      <c r="S851" s="1887"/>
      <c r="T851" s="1887"/>
      <c r="U851" s="1887"/>
      <c r="V851" s="1887"/>
      <c r="W851" s="1887"/>
      <c r="X851" s="1887"/>
      <c r="Y851" s="1887"/>
      <c r="Z851" s="1887"/>
      <c r="AA851" s="1887"/>
      <c r="AB851" s="1887"/>
      <c r="AC851" s="1887"/>
    </row>
    <row r="852">
      <c r="A852" s="1887"/>
      <c r="B852" s="1887"/>
      <c r="C852" s="1887"/>
      <c r="D852" s="1887"/>
      <c r="E852" s="1887"/>
      <c r="F852" s="1887"/>
      <c r="G852" s="1887"/>
      <c r="H852" s="1887"/>
      <c r="I852" s="1887"/>
      <c r="J852" s="1887"/>
      <c r="K852" s="1887"/>
      <c r="L852" s="1887"/>
      <c r="M852" s="1887"/>
      <c r="N852" s="1887"/>
      <c r="O852" s="1887"/>
      <c r="P852" s="1887"/>
      <c r="Q852" s="1887"/>
      <c r="R852" s="1887"/>
      <c r="S852" s="1887"/>
      <c r="T852" s="1887"/>
      <c r="U852" s="1887"/>
      <c r="V852" s="1887"/>
      <c r="W852" s="1887"/>
      <c r="X852" s="1887"/>
      <c r="Y852" s="1887"/>
      <c r="Z852" s="1887"/>
      <c r="AA852" s="1887"/>
      <c r="AB852" s="1887"/>
      <c r="AC852" s="1887"/>
    </row>
    <row r="853">
      <c r="A853" s="1887"/>
      <c r="B853" s="1887"/>
      <c r="C853" s="1887"/>
      <c r="D853" s="1887"/>
      <c r="E853" s="1887"/>
      <c r="F853" s="1887"/>
      <c r="G853" s="1887"/>
      <c r="H853" s="1887"/>
      <c r="I853" s="1887"/>
      <c r="J853" s="1887"/>
      <c r="K853" s="1887"/>
      <c r="L853" s="1887"/>
      <c r="M853" s="1887"/>
      <c r="N853" s="1887"/>
      <c r="O853" s="1887"/>
      <c r="P853" s="1887"/>
      <c r="Q853" s="1887"/>
      <c r="R853" s="1887"/>
      <c r="S853" s="1887"/>
      <c r="T853" s="1887"/>
      <c r="U853" s="1887"/>
      <c r="V853" s="1887"/>
      <c r="W853" s="1887"/>
      <c r="X853" s="1887"/>
      <c r="Y853" s="1887"/>
      <c r="Z853" s="1887"/>
      <c r="AA853" s="1887"/>
      <c r="AB853" s="1887"/>
      <c r="AC853" s="1887"/>
    </row>
    <row r="854">
      <c r="A854" s="1887"/>
      <c r="B854" s="1887"/>
      <c r="C854" s="1887"/>
      <c r="D854" s="1887"/>
      <c r="E854" s="1887"/>
      <c r="F854" s="1887"/>
      <c r="G854" s="1887"/>
      <c r="H854" s="1887"/>
      <c r="I854" s="1887"/>
      <c r="J854" s="1887"/>
      <c r="K854" s="1887"/>
      <c r="L854" s="1887"/>
      <c r="M854" s="1887"/>
      <c r="N854" s="1887"/>
      <c r="O854" s="1887"/>
      <c r="P854" s="1887"/>
      <c r="Q854" s="1887"/>
      <c r="R854" s="1887"/>
      <c r="S854" s="1887"/>
      <c r="T854" s="1887"/>
      <c r="U854" s="1887"/>
      <c r="V854" s="1887"/>
      <c r="W854" s="1887"/>
      <c r="X854" s="1887"/>
      <c r="Y854" s="1887"/>
      <c r="Z854" s="1887"/>
      <c r="AA854" s="1887"/>
      <c r="AB854" s="1887"/>
      <c r="AC854" s="1887"/>
    </row>
    <row r="855">
      <c r="A855" s="1887"/>
      <c r="B855" s="1887"/>
      <c r="C855" s="1887"/>
      <c r="D855" s="1887"/>
      <c r="E855" s="1887"/>
      <c r="F855" s="1887"/>
      <c r="G855" s="1887"/>
      <c r="H855" s="1887"/>
      <c r="I855" s="1887"/>
      <c r="J855" s="1887"/>
      <c r="K855" s="1887"/>
      <c r="L855" s="1887"/>
      <c r="M855" s="1887"/>
      <c r="N855" s="1887"/>
      <c r="O855" s="1887"/>
      <c r="P855" s="1887"/>
      <c r="Q855" s="1887"/>
      <c r="R855" s="1887"/>
      <c r="S855" s="1887"/>
      <c r="T855" s="1887"/>
      <c r="U855" s="1887"/>
      <c r="V855" s="1887"/>
      <c r="W855" s="1887"/>
      <c r="X855" s="1887"/>
      <c r="Y855" s="1887"/>
      <c r="Z855" s="1887"/>
      <c r="AA855" s="1887"/>
      <c r="AB855" s="1887"/>
      <c r="AC855" s="1887"/>
    </row>
    <row r="856">
      <c r="A856" s="1887"/>
      <c r="B856" s="1887"/>
      <c r="C856" s="1887"/>
      <c r="D856" s="1887"/>
      <c r="E856" s="1887"/>
      <c r="F856" s="1887"/>
      <c r="G856" s="1887"/>
      <c r="H856" s="1887"/>
      <c r="I856" s="1887"/>
      <c r="J856" s="1887"/>
      <c r="K856" s="1887"/>
      <c r="L856" s="1887"/>
      <c r="M856" s="1887"/>
      <c r="N856" s="1887"/>
      <c r="O856" s="1887"/>
      <c r="P856" s="1887"/>
      <c r="Q856" s="1887"/>
      <c r="R856" s="1887"/>
      <c r="S856" s="1887"/>
      <c r="T856" s="1887"/>
      <c r="U856" s="1887"/>
      <c r="V856" s="1887"/>
      <c r="W856" s="1887"/>
      <c r="X856" s="1887"/>
      <c r="Y856" s="1887"/>
      <c r="Z856" s="1887"/>
      <c r="AA856" s="1887"/>
      <c r="AB856" s="1887"/>
      <c r="AC856" s="1887"/>
    </row>
    <row r="857">
      <c r="A857" s="1887"/>
      <c r="B857" s="1887"/>
      <c r="C857" s="1887"/>
      <c r="D857" s="1887"/>
      <c r="E857" s="1887"/>
      <c r="F857" s="1887"/>
      <c r="G857" s="1887"/>
      <c r="H857" s="1887"/>
      <c r="I857" s="1887"/>
      <c r="J857" s="1887"/>
      <c r="K857" s="1887"/>
      <c r="L857" s="1887"/>
      <c r="M857" s="1887"/>
      <c r="N857" s="1887"/>
      <c r="O857" s="1887"/>
      <c r="P857" s="1887"/>
      <c r="Q857" s="1887"/>
      <c r="R857" s="1887"/>
      <c r="S857" s="1887"/>
      <c r="T857" s="1887"/>
      <c r="U857" s="1887"/>
      <c r="V857" s="1887"/>
      <c r="W857" s="1887"/>
      <c r="X857" s="1887"/>
      <c r="Y857" s="1887"/>
      <c r="Z857" s="1887"/>
      <c r="AA857" s="1887"/>
      <c r="AB857" s="1887"/>
      <c r="AC857" s="1887"/>
    </row>
    <row r="858">
      <c r="A858" s="1887"/>
      <c r="B858" s="1887"/>
      <c r="C858" s="1887"/>
      <c r="D858" s="1887"/>
      <c r="E858" s="1887"/>
      <c r="F858" s="1887"/>
      <c r="G858" s="1887"/>
      <c r="H858" s="1887"/>
      <c r="I858" s="1887"/>
      <c r="J858" s="1887"/>
      <c r="K858" s="1887"/>
      <c r="L858" s="1887"/>
      <c r="M858" s="1887"/>
      <c r="N858" s="1887"/>
      <c r="O858" s="1887"/>
      <c r="P858" s="1887"/>
      <c r="Q858" s="1887"/>
      <c r="R858" s="1887"/>
      <c r="S858" s="1887"/>
      <c r="T858" s="1887"/>
      <c r="U858" s="1887"/>
      <c r="V858" s="1887"/>
      <c r="W858" s="1887"/>
      <c r="X858" s="1887"/>
      <c r="Y858" s="1887"/>
      <c r="Z858" s="1887"/>
      <c r="AA858" s="1887"/>
      <c r="AB858" s="1887"/>
      <c r="AC858" s="1887"/>
    </row>
    <row r="859">
      <c r="A859" s="1887"/>
      <c r="B859" s="1887"/>
      <c r="C859" s="1887"/>
      <c r="D859" s="1887"/>
      <c r="E859" s="1887"/>
      <c r="F859" s="1887"/>
      <c r="G859" s="1887"/>
      <c r="H859" s="1887"/>
      <c r="I859" s="1887"/>
      <c r="J859" s="1887"/>
      <c r="K859" s="1887"/>
      <c r="L859" s="1887"/>
      <c r="M859" s="1887"/>
      <c r="N859" s="1887"/>
      <c r="O859" s="1887"/>
      <c r="P859" s="1887"/>
      <c r="Q859" s="1887"/>
      <c r="R859" s="1887"/>
      <c r="S859" s="1887"/>
      <c r="T859" s="1887"/>
      <c r="U859" s="1887"/>
      <c r="V859" s="1887"/>
      <c r="W859" s="1887"/>
      <c r="X859" s="1887"/>
      <c r="Y859" s="1887"/>
      <c r="Z859" s="1887"/>
      <c r="AA859" s="1887"/>
      <c r="AB859" s="1887"/>
      <c r="AC859" s="1887"/>
    </row>
    <row r="860">
      <c r="A860" s="1887"/>
      <c r="B860" s="1887"/>
      <c r="C860" s="1887"/>
      <c r="D860" s="1887"/>
      <c r="E860" s="1887"/>
      <c r="F860" s="1887"/>
      <c r="G860" s="1887"/>
      <c r="H860" s="1887"/>
      <c r="I860" s="1887"/>
      <c r="J860" s="1887"/>
      <c r="K860" s="1887"/>
      <c r="L860" s="1887"/>
      <c r="M860" s="1887"/>
      <c r="N860" s="1887"/>
      <c r="O860" s="1887"/>
      <c r="P860" s="1887"/>
      <c r="Q860" s="1887"/>
      <c r="R860" s="1887"/>
      <c r="S860" s="1887"/>
      <c r="T860" s="1887"/>
      <c r="U860" s="1887"/>
      <c r="V860" s="1887"/>
      <c r="W860" s="1887"/>
      <c r="X860" s="1887"/>
      <c r="Y860" s="1887"/>
      <c r="Z860" s="1887"/>
      <c r="AA860" s="1887"/>
      <c r="AB860" s="1887"/>
      <c r="AC860" s="1887"/>
    </row>
    <row r="861">
      <c r="A861" s="1887"/>
      <c r="B861" s="1887"/>
      <c r="C861" s="1887"/>
      <c r="D861" s="1887"/>
      <c r="E861" s="1887"/>
      <c r="F861" s="1887"/>
      <c r="G861" s="1887"/>
      <c r="H861" s="1887"/>
      <c r="I861" s="1887"/>
      <c r="J861" s="1887"/>
      <c r="K861" s="1887"/>
      <c r="L861" s="1887"/>
      <c r="M861" s="1887"/>
      <c r="N861" s="1887"/>
      <c r="O861" s="1887"/>
      <c r="P861" s="1887"/>
      <c r="Q861" s="1887"/>
      <c r="R861" s="1887"/>
      <c r="S861" s="1887"/>
      <c r="T861" s="1887"/>
      <c r="U861" s="1887"/>
      <c r="V861" s="1887"/>
      <c r="W861" s="1887"/>
      <c r="X861" s="1887"/>
      <c r="Y861" s="1887"/>
      <c r="Z861" s="1887"/>
      <c r="AA861" s="1887"/>
      <c r="AB861" s="1887"/>
      <c r="AC861" s="1887"/>
    </row>
    <row r="862">
      <c r="A862" s="1887"/>
      <c r="B862" s="1887"/>
      <c r="C862" s="1887"/>
      <c r="D862" s="1887"/>
      <c r="E862" s="1887"/>
      <c r="F862" s="1887"/>
      <c r="G862" s="1887"/>
      <c r="H862" s="1887"/>
      <c r="I862" s="1887"/>
      <c r="J862" s="1887"/>
      <c r="K862" s="1887"/>
      <c r="L862" s="1887"/>
      <c r="M862" s="1887"/>
      <c r="N862" s="1887"/>
      <c r="O862" s="1887"/>
      <c r="P862" s="1887"/>
      <c r="Q862" s="1887"/>
      <c r="R862" s="1887"/>
      <c r="S862" s="1887"/>
      <c r="T862" s="1887"/>
      <c r="U862" s="1887"/>
      <c r="V862" s="1887"/>
      <c r="W862" s="1887"/>
      <c r="X862" s="1887"/>
      <c r="Y862" s="1887"/>
      <c r="Z862" s="1887"/>
      <c r="AA862" s="1887"/>
      <c r="AB862" s="1887"/>
      <c r="AC862" s="1887"/>
    </row>
    <row r="863">
      <c r="A863" s="1887"/>
      <c r="B863" s="1887"/>
      <c r="C863" s="1887"/>
      <c r="D863" s="1887"/>
      <c r="E863" s="1887"/>
      <c r="F863" s="1887"/>
      <c r="G863" s="1887"/>
      <c r="H863" s="1887"/>
      <c r="I863" s="1887"/>
      <c r="J863" s="1887"/>
      <c r="K863" s="1887"/>
      <c r="L863" s="1887"/>
      <c r="M863" s="1887"/>
      <c r="N863" s="1887"/>
      <c r="O863" s="1887"/>
      <c r="P863" s="1887"/>
      <c r="Q863" s="1887"/>
      <c r="R863" s="1887"/>
      <c r="S863" s="1887"/>
      <c r="T863" s="1887"/>
      <c r="U863" s="1887"/>
      <c r="V863" s="1887"/>
      <c r="W863" s="1887"/>
      <c r="X863" s="1887"/>
      <c r="Y863" s="1887"/>
      <c r="Z863" s="1887"/>
      <c r="AA863" s="1887"/>
      <c r="AB863" s="1887"/>
      <c r="AC863" s="1887"/>
    </row>
    <row r="864">
      <c r="A864" s="1887"/>
      <c r="B864" s="1887"/>
      <c r="C864" s="1887"/>
      <c r="D864" s="1887"/>
      <c r="E864" s="1887"/>
      <c r="F864" s="1887"/>
      <c r="G864" s="1887"/>
      <c r="H864" s="1887"/>
      <c r="I864" s="1887"/>
      <c r="J864" s="1887"/>
      <c r="K864" s="1887"/>
      <c r="L864" s="1887"/>
      <c r="M864" s="1887"/>
      <c r="N864" s="1887"/>
      <c r="O864" s="1887"/>
      <c r="P864" s="1887"/>
      <c r="Q864" s="1887"/>
      <c r="R864" s="1887"/>
      <c r="S864" s="1887"/>
      <c r="T864" s="1887"/>
      <c r="U864" s="1887"/>
      <c r="V864" s="1887"/>
      <c r="W864" s="1887"/>
      <c r="X864" s="1887"/>
      <c r="Y864" s="1887"/>
      <c r="Z864" s="1887"/>
      <c r="AA864" s="1887"/>
      <c r="AB864" s="1887"/>
      <c r="AC864" s="1887"/>
    </row>
    <row r="865">
      <c r="A865" s="1887"/>
      <c r="B865" s="1887"/>
      <c r="C865" s="1887"/>
      <c r="D865" s="1887"/>
      <c r="E865" s="1887"/>
      <c r="F865" s="1887"/>
      <c r="G865" s="1887"/>
      <c r="H865" s="1887"/>
      <c r="I865" s="1887"/>
      <c r="J865" s="1887"/>
      <c r="K865" s="1887"/>
      <c r="L865" s="1887"/>
      <c r="M865" s="1887"/>
      <c r="N865" s="1887"/>
      <c r="O865" s="1887"/>
      <c r="P865" s="1887"/>
      <c r="Q865" s="1887"/>
      <c r="R865" s="1887"/>
      <c r="S865" s="1887"/>
      <c r="T865" s="1887"/>
      <c r="U865" s="1887"/>
      <c r="V865" s="1887"/>
      <c r="W865" s="1887"/>
      <c r="X865" s="1887"/>
      <c r="Y865" s="1887"/>
      <c r="Z865" s="1887"/>
      <c r="AA865" s="1887"/>
      <c r="AB865" s="1887"/>
      <c r="AC865" s="1887"/>
    </row>
    <row r="866">
      <c r="A866" s="1887"/>
      <c r="B866" s="1887"/>
      <c r="C866" s="1887"/>
      <c r="D866" s="1887"/>
      <c r="E866" s="1887"/>
      <c r="F866" s="1887"/>
      <c r="G866" s="1887"/>
      <c r="H866" s="1887"/>
      <c r="I866" s="1887"/>
      <c r="J866" s="1887"/>
      <c r="K866" s="1887"/>
      <c r="L866" s="1887"/>
      <c r="M866" s="1887"/>
      <c r="N866" s="1887"/>
      <c r="O866" s="1887"/>
      <c r="P866" s="1887"/>
      <c r="Q866" s="1887"/>
      <c r="R866" s="1887"/>
      <c r="S866" s="1887"/>
      <c r="T866" s="1887"/>
      <c r="U866" s="1887"/>
      <c r="V866" s="1887"/>
      <c r="W866" s="1887"/>
      <c r="X866" s="1887"/>
      <c r="Y866" s="1887"/>
      <c r="Z866" s="1887"/>
      <c r="AA866" s="1887"/>
      <c r="AB866" s="1887"/>
      <c r="AC866" s="1887"/>
    </row>
    <row r="867">
      <c r="A867" s="1887"/>
      <c r="B867" s="1887"/>
      <c r="C867" s="1887"/>
      <c r="D867" s="1887"/>
      <c r="E867" s="1887"/>
      <c r="F867" s="1887"/>
      <c r="G867" s="1887"/>
      <c r="H867" s="1887"/>
      <c r="I867" s="1887"/>
      <c r="J867" s="1887"/>
      <c r="K867" s="1887"/>
      <c r="L867" s="1887"/>
      <c r="M867" s="1887"/>
      <c r="N867" s="1887"/>
      <c r="O867" s="1887"/>
      <c r="P867" s="1887"/>
      <c r="Q867" s="1887"/>
      <c r="R867" s="1887"/>
      <c r="S867" s="1887"/>
      <c r="T867" s="1887"/>
      <c r="U867" s="1887"/>
      <c r="V867" s="1887"/>
      <c r="W867" s="1887"/>
      <c r="X867" s="1887"/>
      <c r="Y867" s="1887"/>
      <c r="Z867" s="1887"/>
      <c r="AA867" s="1887"/>
      <c r="AB867" s="1887"/>
      <c r="AC867" s="1887"/>
    </row>
    <row r="868">
      <c r="A868" s="1887"/>
      <c r="B868" s="1887"/>
      <c r="C868" s="1887"/>
      <c r="D868" s="1887"/>
      <c r="E868" s="1887"/>
      <c r="F868" s="1887"/>
      <c r="G868" s="1887"/>
      <c r="H868" s="1887"/>
      <c r="I868" s="1887"/>
      <c r="J868" s="1887"/>
      <c r="K868" s="1887"/>
      <c r="L868" s="1887"/>
      <c r="M868" s="1887"/>
      <c r="N868" s="1887"/>
      <c r="O868" s="1887"/>
      <c r="P868" s="1887"/>
      <c r="Q868" s="1887"/>
      <c r="R868" s="1887"/>
      <c r="S868" s="1887"/>
      <c r="T868" s="1887"/>
      <c r="U868" s="1887"/>
      <c r="V868" s="1887"/>
      <c r="W868" s="1887"/>
      <c r="X868" s="1887"/>
      <c r="Y868" s="1887"/>
      <c r="Z868" s="1887"/>
      <c r="AA868" s="1887"/>
      <c r="AB868" s="1887"/>
      <c r="AC868" s="1887"/>
    </row>
    <row r="869">
      <c r="A869" s="1887"/>
      <c r="B869" s="1887"/>
      <c r="C869" s="1887"/>
      <c r="D869" s="1887"/>
      <c r="E869" s="1887"/>
      <c r="F869" s="1887"/>
      <c r="G869" s="1887"/>
      <c r="H869" s="1887"/>
      <c r="I869" s="1887"/>
      <c r="J869" s="1887"/>
      <c r="K869" s="1887"/>
      <c r="L869" s="1887"/>
      <c r="M869" s="1887"/>
      <c r="N869" s="1887"/>
      <c r="O869" s="1887"/>
      <c r="P869" s="1887"/>
      <c r="Q869" s="1887"/>
      <c r="R869" s="1887"/>
      <c r="S869" s="1887"/>
      <c r="T869" s="1887"/>
      <c r="U869" s="1887"/>
      <c r="V869" s="1887"/>
      <c r="W869" s="1887"/>
      <c r="X869" s="1887"/>
      <c r="Y869" s="1887"/>
      <c r="Z869" s="1887"/>
      <c r="AA869" s="1887"/>
      <c r="AB869" s="1887"/>
      <c r="AC869" s="1887"/>
    </row>
    <row r="870">
      <c r="A870" s="1887"/>
      <c r="B870" s="1887"/>
      <c r="C870" s="1887"/>
      <c r="D870" s="1887"/>
      <c r="E870" s="1887"/>
      <c r="F870" s="1887"/>
      <c r="G870" s="1887"/>
      <c r="H870" s="1887"/>
      <c r="I870" s="1887"/>
      <c r="J870" s="1887"/>
      <c r="K870" s="1887"/>
      <c r="L870" s="1887"/>
      <c r="M870" s="1887"/>
      <c r="N870" s="1887"/>
      <c r="O870" s="1887"/>
      <c r="P870" s="1887"/>
      <c r="Q870" s="1887"/>
      <c r="R870" s="1887"/>
      <c r="S870" s="1887"/>
      <c r="T870" s="1887"/>
      <c r="U870" s="1887"/>
      <c r="V870" s="1887"/>
      <c r="W870" s="1887"/>
      <c r="X870" s="1887"/>
      <c r="Y870" s="1887"/>
      <c r="Z870" s="1887"/>
      <c r="AA870" s="1887"/>
      <c r="AB870" s="1887"/>
      <c r="AC870" s="1887"/>
    </row>
    <row r="871">
      <c r="A871" s="1887"/>
      <c r="B871" s="1887"/>
      <c r="C871" s="1887"/>
      <c r="D871" s="1887"/>
      <c r="E871" s="1887"/>
      <c r="F871" s="1887"/>
      <c r="G871" s="1887"/>
      <c r="H871" s="1887"/>
      <c r="I871" s="1887"/>
      <c r="J871" s="1887"/>
      <c r="K871" s="1887"/>
      <c r="L871" s="1887"/>
      <c r="M871" s="1887"/>
      <c r="N871" s="1887"/>
      <c r="O871" s="1887"/>
      <c r="P871" s="1887"/>
      <c r="Q871" s="1887"/>
      <c r="R871" s="1887"/>
      <c r="S871" s="1887"/>
      <c r="T871" s="1887"/>
      <c r="U871" s="1887"/>
      <c r="V871" s="1887"/>
      <c r="W871" s="1887"/>
      <c r="X871" s="1887"/>
      <c r="Y871" s="1887"/>
      <c r="Z871" s="1887"/>
      <c r="AA871" s="1887"/>
      <c r="AB871" s="1887"/>
      <c r="AC871" s="1887"/>
    </row>
    <row r="872">
      <c r="A872" s="1887"/>
      <c r="B872" s="1887"/>
      <c r="C872" s="1887"/>
      <c r="D872" s="1887"/>
      <c r="E872" s="1887"/>
      <c r="F872" s="1887"/>
      <c r="G872" s="1887"/>
      <c r="H872" s="1887"/>
      <c r="I872" s="1887"/>
      <c r="J872" s="1887"/>
      <c r="K872" s="1887"/>
      <c r="L872" s="1887"/>
      <c r="M872" s="1887"/>
      <c r="N872" s="1887"/>
      <c r="O872" s="1887"/>
      <c r="P872" s="1887"/>
      <c r="Q872" s="1887"/>
      <c r="R872" s="1887"/>
      <c r="S872" s="1887"/>
      <c r="T872" s="1887"/>
      <c r="U872" s="1887"/>
      <c r="V872" s="1887"/>
      <c r="W872" s="1887"/>
      <c r="X872" s="1887"/>
      <c r="Y872" s="1887"/>
      <c r="Z872" s="1887"/>
      <c r="AA872" s="1887"/>
      <c r="AB872" s="1887"/>
      <c r="AC872" s="1887"/>
    </row>
    <row r="873">
      <c r="A873" s="1887"/>
      <c r="B873" s="1887"/>
      <c r="C873" s="1887"/>
      <c r="D873" s="1887"/>
      <c r="E873" s="1887"/>
      <c r="F873" s="1887"/>
      <c r="G873" s="1887"/>
      <c r="H873" s="1887"/>
      <c r="I873" s="1887"/>
      <c r="J873" s="1887"/>
      <c r="K873" s="1887"/>
      <c r="L873" s="1887"/>
      <c r="M873" s="1887"/>
      <c r="N873" s="1887"/>
      <c r="O873" s="1887"/>
      <c r="P873" s="1887"/>
      <c r="Q873" s="1887"/>
      <c r="R873" s="1887"/>
      <c r="S873" s="1887"/>
      <c r="T873" s="1887"/>
      <c r="U873" s="1887"/>
      <c r="V873" s="1887"/>
      <c r="W873" s="1887"/>
      <c r="X873" s="1887"/>
      <c r="Y873" s="1887"/>
      <c r="Z873" s="1887"/>
      <c r="AA873" s="1887"/>
      <c r="AB873" s="1887"/>
      <c r="AC873" s="1887"/>
    </row>
    <row r="874">
      <c r="A874" s="1887"/>
      <c r="B874" s="1887"/>
      <c r="C874" s="1887"/>
      <c r="D874" s="1887"/>
      <c r="E874" s="1887"/>
      <c r="F874" s="1887"/>
      <c r="G874" s="1887"/>
      <c r="H874" s="1887"/>
      <c r="I874" s="1887"/>
      <c r="J874" s="1887"/>
      <c r="K874" s="1887"/>
      <c r="L874" s="1887"/>
      <c r="M874" s="1887"/>
      <c r="N874" s="1887"/>
      <c r="O874" s="1887"/>
      <c r="P874" s="1887"/>
      <c r="Q874" s="1887"/>
      <c r="R874" s="1887"/>
      <c r="S874" s="1887"/>
      <c r="T874" s="1887"/>
      <c r="U874" s="1887"/>
      <c r="V874" s="1887"/>
      <c r="W874" s="1887"/>
      <c r="X874" s="1887"/>
      <c r="Y874" s="1887"/>
      <c r="Z874" s="1887"/>
      <c r="AA874" s="1887"/>
      <c r="AB874" s="1887"/>
      <c r="AC874" s="1887"/>
    </row>
    <row r="875">
      <c r="A875" s="1887"/>
      <c r="B875" s="1887"/>
      <c r="C875" s="1887"/>
      <c r="D875" s="1887"/>
      <c r="E875" s="1887"/>
      <c r="F875" s="1887"/>
      <c r="G875" s="1887"/>
      <c r="H875" s="1887"/>
      <c r="I875" s="1887"/>
      <c r="J875" s="1887"/>
      <c r="K875" s="1887"/>
      <c r="L875" s="1887"/>
      <c r="M875" s="1887"/>
      <c r="N875" s="1887"/>
      <c r="O875" s="1887"/>
      <c r="P875" s="1887"/>
      <c r="Q875" s="1887"/>
      <c r="R875" s="1887"/>
      <c r="S875" s="1887"/>
      <c r="T875" s="1887"/>
      <c r="U875" s="1887"/>
      <c r="V875" s="1887"/>
      <c r="W875" s="1887"/>
      <c r="X875" s="1887"/>
      <c r="Y875" s="1887"/>
      <c r="Z875" s="1887"/>
      <c r="AA875" s="1887"/>
      <c r="AB875" s="1887"/>
      <c r="AC875" s="1887"/>
    </row>
    <row r="876">
      <c r="A876" s="1887"/>
      <c r="B876" s="1887"/>
      <c r="C876" s="1887"/>
      <c r="D876" s="1887"/>
      <c r="E876" s="1887"/>
      <c r="F876" s="1887"/>
      <c r="G876" s="1887"/>
      <c r="H876" s="1887"/>
      <c r="I876" s="1887"/>
      <c r="J876" s="1887"/>
      <c r="K876" s="1887"/>
      <c r="L876" s="1887"/>
      <c r="M876" s="1887"/>
      <c r="N876" s="1887"/>
      <c r="O876" s="1887"/>
      <c r="P876" s="1887"/>
      <c r="Q876" s="1887"/>
      <c r="R876" s="1887"/>
      <c r="S876" s="1887"/>
      <c r="T876" s="1887"/>
      <c r="U876" s="1887"/>
      <c r="V876" s="1887"/>
      <c r="W876" s="1887"/>
      <c r="X876" s="1887"/>
      <c r="Y876" s="1887"/>
      <c r="Z876" s="1887"/>
      <c r="AA876" s="1887"/>
      <c r="AB876" s="1887"/>
      <c r="AC876" s="1887"/>
    </row>
    <row r="877">
      <c r="A877" s="1887"/>
      <c r="B877" s="1887"/>
      <c r="C877" s="1887"/>
      <c r="D877" s="1887"/>
      <c r="E877" s="1887"/>
      <c r="F877" s="1887"/>
      <c r="G877" s="1887"/>
      <c r="H877" s="1887"/>
      <c r="I877" s="1887"/>
      <c r="J877" s="1887"/>
      <c r="K877" s="1887"/>
      <c r="L877" s="1887"/>
      <c r="M877" s="1887"/>
      <c r="N877" s="1887"/>
      <c r="O877" s="1887"/>
      <c r="P877" s="1887"/>
      <c r="Q877" s="1887"/>
      <c r="R877" s="1887"/>
      <c r="S877" s="1887"/>
      <c r="T877" s="1887"/>
      <c r="U877" s="1887"/>
      <c r="V877" s="1887"/>
      <c r="W877" s="1887"/>
      <c r="X877" s="1887"/>
      <c r="Y877" s="1887"/>
      <c r="Z877" s="1887"/>
      <c r="AA877" s="1887"/>
      <c r="AB877" s="1887"/>
      <c r="AC877" s="1887"/>
    </row>
    <row r="878">
      <c r="A878" s="1887"/>
      <c r="B878" s="1887"/>
      <c r="C878" s="1887"/>
      <c r="D878" s="1887"/>
      <c r="E878" s="1887"/>
      <c r="F878" s="1887"/>
      <c r="G878" s="1887"/>
      <c r="H878" s="1887"/>
      <c r="I878" s="1887"/>
      <c r="J878" s="1887"/>
      <c r="K878" s="1887"/>
      <c r="L878" s="1887"/>
      <c r="M878" s="1887"/>
      <c r="N878" s="1887"/>
      <c r="O878" s="1887"/>
      <c r="P878" s="1887"/>
      <c r="Q878" s="1887"/>
      <c r="R878" s="1887"/>
      <c r="S878" s="1887"/>
      <c r="T878" s="1887"/>
      <c r="U878" s="1887"/>
      <c r="V878" s="1887"/>
      <c r="W878" s="1887"/>
      <c r="X878" s="1887"/>
      <c r="Y878" s="1887"/>
      <c r="Z878" s="1887"/>
      <c r="AA878" s="1887"/>
      <c r="AB878" s="1887"/>
      <c r="AC878" s="1887"/>
    </row>
    <row r="879">
      <c r="A879" s="1887"/>
      <c r="B879" s="1887"/>
      <c r="C879" s="1887"/>
      <c r="D879" s="1887"/>
      <c r="E879" s="1887"/>
      <c r="F879" s="1887"/>
      <c r="G879" s="1887"/>
      <c r="H879" s="1887"/>
      <c r="I879" s="1887"/>
      <c r="J879" s="1887"/>
      <c r="K879" s="1887"/>
      <c r="L879" s="1887"/>
      <c r="M879" s="1887"/>
      <c r="N879" s="1887"/>
      <c r="O879" s="1887"/>
      <c r="P879" s="1887"/>
      <c r="Q879" s="1887"/>
      <c r="R879" s="1887"/>
      <c r="S879" s="1887"/>
      <c r="T879" s="1887"/>
      <c r="U879" s="1887"/>
      <c r="V879" s="1887"/>
      <c r="W879" s="1887"/>
      <c r="X879" s="1887"/>
      <c r="Y879" s="1887"/>
      <c r="Z879" s="1887"/>
      <c r="AA879" s="1887"/>
      <c r="AB879" s="1887"/>
      <c r="AC879" s="1887"/>
    </row>
    <row r="880">
      <c r="A880" s="1887"/>
      <c r="B880" s="1887"/>
      <c r="C880" s="1887"/>
      <c r="D880" s="1887"/>
      <c r="E880" s="1887"/>
      <c r="F880" s="1887"/>
      <c r="G880" s="1887"/>
      <c r="H880" s="1887"/>
      <c r="I880" s="1887"/>
      <c r="J880" s="1887"/>
      <c r="K880" s="1887"/>
      <c r="L880" s="1887"/>
      <c r="M880" s="1887"/>
      <c r="N880" s="1887"/>
      <c r="O880" s="1887"/>
      <c r="P880" s="1887"/>
      <c r="Q880" s="1887"/>
      <c r="R880" s="1887"/>
      <c r="S880" s="1887"/>
      <c r="T880" s="1887"/>
      <c r="U880" s="1887"/>
      <c r="V880" s="1887"/>
      <c r="W880" s="1887"/>
      <c r="X880" s="1887"/>
      <c r="Y880" s="1887"/>
      <c r="Z880" s="1887"/>
      <c r="AA880" s="1887"/>
      <c r="AB880" s="1887"/>
      <c r="AC880" s="1887"/>
    </row>
    <row r="881">
      <c r="A881" s="1887"/>
      <c r="B881" s="1887"/>
      <c r="C881" s="1887"/>
      <c r="D881" s="1887"/>
      <c r="E881" s="1887"/>
      <c r="F881" s="1887"/>
      <c r="G881" s="1887"/>
      <c r="H881" s="1887"/>
      <c r="I881" s="1887"/>
      <c r="J881" s="1887"/>
      <c r="K881" s="1887"/>
      <c r="L881" s="1887"/>
      <c r="M881" s="1887"/>
      <c r="N881" s="1887"/>
      <c r="O881" s="1887"/>
      <c r="P881" s="1887"/>
      <c r="Q881" s="1887"/>
      <c r="R881" s="1887"/>
      <c r="S881" s="1887"/>
      <c r="T881" s="1887"/>
      <c r="U881" s="1887"/>
      <c r="V881" s="1887"/>
      <c r="W881" s="1887"/>
      <c r="X881" s="1887"/>
      <c r="Y881" s="1887"/>
      <c r="Z881" s="1887"/>
      <c r="AA881" s="1887"/>
      <c r="AB881" s="1887"/>
      <c r="AC881" s="1887"/>
    </row>
    <row r="882">
      <c r="A882" s="1887"/>
      <c r="B882" s="1887"/>
      <c r="C882" s="1887"/>
      <c r="D882" s="1887"/>
      <c r="E882" s="1887"/>
      <c r="F882" s="1887"/>
      <c r="G882" s="1887"/>
      <c r="H882" s="1887"/>
      <c r="I882" s="1887"/>
      <c r="J882" s="1887"/>
      <c r="K882" s="1887"/>
      <c r="L882" s="1887"/>
      <c r="M882" s="1887"/>
      <c r="N882" s="1887"/>
      <c r="O882" s="1887"/>
      <c r="P882" s="1887"/>
      <c r="Q882" s="1887"/>
      <c r="R882" s="1887"/>
      <c r="S882" s="1887"/>
      <c r="T882" s="1887"/>
      <c r="U882" s="1887"/>
      <c r="V882" s="1887"/>
      <c r="W882" s="1887"/>
      <c r="X882" s="1887"/>
      <c r="Y882" s="1887"/>
      <c r="Z882" s="1887"/>
      <c r="AA882" s="1887"/>
      <c r="AB882" s="1887"/>
      <c r="AC882" s="1887"/>
    </row>
    <row r="883">
      <c r="A883" s="1887"/>
      <c r="B883" s="1887"/>
      <c r="C883" s="1887"/>
      <c r="D883" s="1887"/>
      <c r="E883" s="1887"/>
      <c r="F883" s="1887"/>
      <c r="G883" s="1887"/>
      <c r="H883" s="1887"/>
      <c r="I883" s="1887"/>
      <c r="J883" s="1887"/>
      <c r="K883" s="1887"/>
      <c r="L883" s="1887"/>
      <c r="M883" s="1887"/>
      <c r="N883" s="1887"/>
      <c r="O883" s="1887"/>
      <c r="P883" s="1887"/>
      <c r="Q883" s="1887"/>
      <c r="R883" s="1887"/>
      <c r="S883" s="1887"/>
      <c r="T883" s="1887"/>
      <c r="U883" s="1887"/>
      <c r="V883" s="1887"/>
      <c r="W883" s="1887"/>
      <c r="X883" s="1887"/>
      <c r="Y883" s="1887"/>
      <c r="Z883" s="1887"/>
      <c r="AA883" s="1887"/>
      <c r="AB883" s="1887"/>
      <c r="AC883" s="1887"/>
    </row>
    <row r="884">
      <c r="A884" s="1887"/>
      <c r="B884" s="1887"/>
      <c r="C884" s="1887"/>
      <c r="D884" s="1887"/>
      <c r="E884" s="1887"/>
      <c r="F884" s="1887"/>
      <c r="G884" s="1887"/>
      <c r="H884" s="1887"/>
      <c r="I884" s="1887"/>
      <c r="J884" s="1887"/>
      <c r="K884" s="1887"/>
      <c r="L884" s="1887"/>
      <c r="M884" s="1887"/>
      <c r="N884" s="1887"/>
      <c r="O884" s="1887"/>
      <c r="P884" s="1887"/>
      <c r="Q884" s="1887"/>
      <c r="R884" s="1887"/>
      <c r="S884" s="1887"/>
      <c r="T884" s="1887"/>
      <c r="U884" s="1887"/>
      <c r="V884" s="1887"/>
      <c r="W884" s="1887"/>
      <c r="X884" s="1887"/>
      <c r="Y884" s="1887"/>
      <c r="Z884" s="1887"/>
      <c r="AA884" s="1887"/>
      <c r="AB884" s="1887"/>
      <c r="AC884" s="1887"/>
    </row>
    <row r="885">
      <c r="A885" s="1887"/>
      <c r="B885" s="1887"/>
      <c r="C885" s="1887"/>
      <c r="D885" s="1887"/>
      <c r="E885" s="1887"/>
      <c r="F885" s="1887"/>
      <c r="G885" s="1887"/>
      <c r="H885" s="1887"/>
      <c r="I885" s="1887"/>
      <c r="J885" s="1887"/>
      <c r="K885" s="1887"/>
      <c r="L885" s="1887"/>
      <c r="M885" s="1887"/>
      <c r="N885" s="1887"/>
      <c r="O885" s="1887"/>
      <c r="P885" s="1887"/>
      <c r="Q885" s="1887"/>
      <c r="R885" s="1887"/>
      <c r="S885" s="1887"/>
      <c r="T885" s="1887"/>
      <c r="U885" s="1887"/>
      <c r="V885" s="1887"/>
      <c r="W885" s="1887"/>
      <c r="X885" s="1887"/>
      <c r="Y885" s="1887"/>
      <c r="Z885" s="1887"/>
      <c r="AA885" s="1887"/>
      <c r="AB885" s="1887"/>
      <c r="AC885" s="1887"/>
    </row>
    <row r="886">
      <c r="A886" s="1887"/>
      <c r="B886" s="1887"/>
      <c r="C886" s="1887"/>
      <c r="D886" s="1887"/>
      <c r="E886" s="1887"/>
      <c r="F886" s="1887"/>
      <c r="G886" s="1887"/>
      <c r="H886" s="1887"/>
      <c r="I886" s="1887"/>
      <c r="J886" s="1887"/>
      <c r="K886" s="1887"/>
      <c r="L886" s="1887"/>
      <c r="M886" s="1887"/>
      <c r="N886" s="1887"/>
      <c r="O886" s="1887"/>
      <c r="P886" s="1887"/>
      <c r="Q886" s="1887"/>
      <c r="R886" s="1887"/>
      <c r="S886" s="1887"/>
      <c r="T886" s="1887"/>
      <c r="U886" s="1887"/>
      <c r="V886" s="1887"/>
      <c r="W886" s="1887"/>
      <c r="X886" s="1887"/>
      <c r="Y886" s="1887"/>
      <c r="Z886" s="1887"/>
      <c r="AA886" s="1887"/>
      <c r="AB886" s="1887"/>
      <c r="AC886" s="1887"/>
    </row>
    <row r="887">
      <c r="A887" s="1887"/>
      <c r="B887" s="1887"/>
      <c r="C887" s="1887"/>
      <c r="D887" s="1887"/>
      <c r="E887" s="1887"/>
      <c r="F887" s="1887"/>
      <c r="G887" s="1887"/>
      <c r="H887" s="1887"/>
      <c r="I887" s="1887"/>
      <c r="J887" s="1887"/>
      <c r="K887" s="1887"/>
      <c r="L887" s="1887"/>
      <c r="M887" s="1887"/>
      <c r="N887" s="1887"/>
      <c r="O887" s="1887"/>
      <c r="P887" s="1887"/>
      <c r="Q887" s="1887"/>
      <c r="R887" s="1887"/>
      <c r="S887" s="1887"/>
      <c r="T887" s="1887"/>
      <c r="U887" s="1887"/>
      <c r="V887" s="1887"/>
      <c r="W887" s="1887"/>
      <c r="X887" s="1887"/>
      <c r="Y887" s="1887"/>
      <c r="Z887" s="1887"/>
      <c r="AA887" s="1887"/>
      <c r="AB887" s="1887"/>
      <c r="AC887" s="1887"/>
    </row>
    <row r="888">
      <c r="A888" s="1887"/>
      <c r="B888" s="1887"/>
      <c r="C888" s="1887"/>
      <c r="D888" s="1887"/>
      <c r="E888" s="1887"/>
      <c r="F888" s="1887"/>
      <c r="G888" s="1887"/>
      <c r="H888" s="1887"/>
      <c r="I888" s="1887"/>
      <c r="J888" s="1887"/>
      <c r="K888" s="1887"/>
      <c r="L888" s="1887"/>
      <c r="M888" s="1887"/>
      <c r="N888" s="1887"/>
      <c r="O888" s="1887"/>
      <c r="P888" s="1887"/>
      <c r="Q888" s="1887"/>
      <c r="R888" s="1887"/>
      <c r="S888" s="1887"/>
      <c r="T888" s="1887"/>
      <c r="U888" s="1887"/>
      <c r="V888" s="1887"/>
      <c r="W888" s="1887"/>
      <c r="X888" s="1887"/>
      <c r="Y888" s="1887"/>
      <c r="Z888" s="1887"/>
      <c r="AA888" s="1887"/>
      <c r="AB888" s="1887"/>
      <c r="AC888" s="1887"/>
    </row>
    <row r="889">
      <c r="A889" s="1887"/>
      <c r="B889" s="1887"/>
      <c r="C889" s="1887"/>
      <c r="D889" s="1887"/>
      <c r="E889" s="1887"/>
      <c r="F889" s="1887"/>
      <c r="G889" s="1887"/>
      <c r="H889" s="1887"/>
      <c r="I889" s="1887"/>
      <c r="J889" s="1887"/>
      <c r="K889" s="1887"/>
      <c r="L889" s="1887"/>
      <c r="M889" s="1887"/>
      <c r="N889" s="1887"/>
      <c r="O889" s="1887"/>
      <c r="P889" s="1887"/>
      <c r="Q889" s="1887"/>
      <c r="R889" s="1887"/>
      <c r="S889" s="1887"/>
      <c r="T889" s="1887"/>
      <c r="U889" s="1887"/>
      <c r="V889" s="1887"/>
      <c r="W889" s="1887"/>
      <c r="X889" s="1887"/>
      <c r="Y889" s="1887"/>
      <c r="Z889" s="1887"/>
      <c r="AA889" s="1887"/>
      <c r="AB889" s="1887"/>
      <c r="AC889" s="1887"/>
    </row>
    <row r="890">
      <c r="A890" s="1887"/>
      <c r="B890" s="1887"/>
      <c r="C890" s="1887"/>
      <c r="D890" s="1887"/>
      <c r="E890" s="1887"/>
      <c r="F890" s="1887"/>
      <c r="G890" s="1887"/>
      <c r="H890" s="1887"/>
      <c r="I890" s="1887"/>
      <c r="J890" s="1887"/>
      <c r="K890" s="1887"/>
      <c r="L890" s="1887"/>
      <c r="M890" s="1887"/>
      <c r="N890" s="1887"/>
      <c r="O890" s="1887"/>
      <c r="P890" s="1887"/>
      <c r="Q890" s="1887"/>
      <c r="R890" s="1887"/>
      <c r="S890" s="1887"/>
      <c r="T890" s="1887"/>
      <c r="U890" s="1887"/>
      <c r="V890" s="1887"/>
      <c r="W890" s="1887"/>
      <c r="X890" s="1887"/>
      <c r="Y890" s="1887"/>
      <c r="Z890" s="1887"/>
      <c r="AA890" s="1887"/>
      <c r="AB890" s="1887"/>
      <c r="AC890" s="1887"/>
    </row>
    <row r="891">
      <c r="A891" s="1887"/>
      <c r="B891" s="1887"/>
      <c r="C891" s="1887"/>
      <c r="D891" s="1887"/>
      <c r="E891" s="1887"/>
      <c r="F891" s="1887"/>
      <c r="G891" s="1887"/>
      <c r="H891" s="1887"/>
      <c r="I891" s="1887"/>
      <c r="J891" s="1887"/>
      <c r="K891" s="1887"/>
      <c r="L891" s="1887"/>
      <c r="M891" s="1887"/>
      <c r="N891" s="1887"/>
      <c r="O891" s="1887"/>
      <c r="P891" s="1887"/>
      <c r="Q891" s="1887"/>
      <c r="R891" s="1887"/>
      <c r="S891" s="1887"/>
      <c r="T891" s="1887"/>
      <c r="U891" s="1887"/>
      <c r="V891" s="1887"/>
      <c r="W891" s="1887"/>
      <c r="X891" s="1887"/>
      <c r="Y891" s="1887"/>
      <c r="Z891" s="1887"/>
      <c r="AA891" s="1887"/>
      <c r="AB891" s="1887"/>
      <c r="AC891" s="1887"/>
    </row>
    <row r="892">
      <c r="A892" s="1887"/>
      <c r="B892" s="1887"/>
      <c r="C892" s="1887"/>
      <c r="D892" s="1887"/>
      <c r="E892" s="1887"/>
      <c r="F892" s="1887"/>
      <c r="G892" s="1887"/>
      <c r="H892" s="1887"/>
      <c r="I892" s="1887"/>
      <c r="J892" s="1887"/>
      <c r="K892" s="1887"/>
      <c r="L892" s="1887"/>
      <c r="M892" s="1887"/>
      <c r="N892" s="1887"/>
      <c r="O892" s="1887"/>
      <c r="P892" s="1887"/>
      <c r="Q892" s="1887"/>
      <c r="R892" s="1887"/>
      <c r="S892" s="1887"/>
      <c r="T892" s="1887"/>
      <c r="U892" s="1887"/>
      <c r="V892" s="1887"/>
      <c r="W892" s="1887"/>
      <c r="X892" s="1887"/>
      <c r="Y892" s="1887"/>
      <c r="Z892" s="1887"/>
      <c r="AA892" s="1887"/>
      <c r="AB892" s="1887"/>
      <c r="AC892" s="1887"/>
    </row>
    <row r="893">
      <c r="A893" s="1887"/>
      <c r="B893" s="1887"/>
      <c r="C893" s="1887"/>
      <c r="D893" s="1887"/>
      <c r="E893" s="1887"/>
      <c r="F893" s="1887"/>
      <c r="G893" s="1887"/>
      <c r="H893" s="1887"/>
      <c r="I893" s="1887"/>
      <c r="J893" s="1887"/>
      <c r="K893" s="1887"/>
      <c r="L893" s="1887"/>
      <c r="M893" s="1887"/>
      <c r="N893" s="1887"/>
      <c r="O893" s="1887"/>
      <c r="P893" s="1887"/>
      <c r="Q893" s="1887"/>
      <c r="R893" s="1887"/>
      <c r="S893" s="1887"/>
      <c r="T893" s="1887"/>
      <c r="U893" s="1887"/>
      <c r="V893" s="1887"/>
      <c r="W893" s="1887"/>
      <c r="X893" s="1887"/>
      <c r="Y893" s="1887"/>
      <c r="Z893" s="1887"/>
      <c r="AA893" s="1887"/>
      <c r="AB893" s="1887"/>
      <c r="AC893" s="1887"/>
    </row>
    <row r="894">
      <c r="A894" s="1887"/>
      <c r="B894" s="1887"/>
      <c r="C894" s="1887"/>
      <c r="D894" s="1887"/>
      <c r="E894" s="1887"/>
      <c r="F894" s="1887"/>
      <c r="G894" s="1887"/>
      <c r="H894" s="1887"/>
      <c r="I894" s="1887"/>
      <c r="J894" s="1887"/>
      <c r="K894" s="1887"/>
      <c r="L894" s="1887"/>
      <c r="M894" s="1887"/>
      <c r="N894" s="1887"/>
      <c r="O894" s="1887"/>
      <c r="P894" s="1887"/>
      <c r="Q894" s="1887"/>
      <c r="R894" s="1887"/>
      <c r="S894" s="1887"/>
      <c r="T894" s="1887"/>
      <c r="U894" s="1887"/>
      <c r="V894" s="1887"/>
      <c r="W894" s="1887"/>
      <c r="X894" s="1887"/>
      <c r="Y894" s="1887"/>
      <c r="Z894" s="1887"/>
      <c r="AA894" s="1887"/>
      <c r="AB894" s="1887"/>
      <c r="AC894" s="1887"/>
    </row>
    <row r="895">
      <c r="A895" s="1887"/>
      <c r="B895" s="1887"/>
      <c r="C895" s="1887"/>
      <c r="D895" s="1887"/>
      <c r="E895" s="1887"/>
      <c r="F895" s="1887"/>
      <c r="G895" s="1887"/>
      <c r="H895" s="1887"/>
      <c r="I895" s="1887"/>
      <c r="J895" s="1887"/>
      <c r="K895" s="1887"/>
      <c r="L895" s="1887"/>
      <c r="M895" s="1887"/>
      <c r="N895" s="1887"/>
      <c r="O895" s="1887"/>
      <c r="P895" s="1887"/>
      <c r="Q895" s="1887"/>
      <c r="R895" s="1887"/>
      <c r="S895" s="1887"/>
      <c r="T895" s="1887"/>
      <c r="U895" s="1887"/>
      <c r="V895" s="1887"/>
      <c r="W895" s="1887"/>
      <c r="X895" s="1887"/>
      <c r="Y895" s="1887"/>
      <c r="Z895" s="1887"/>
      <c r="AA895" s="1887"/>
      <c r="AB895" s="1887"/>
      <c r="AC895" s="1887"/>
    </row>
    <row r="896">
      <c r="A896" s="1887"/>
      <c r="B896" s="1887"/>
      <c r="C896" s="1887"/>
      <c r="D896" s="1887"/>
      <c r="E896" s="1887"/>
      <c r="F896" s="1887"/>
      <c r="G896" s="1887"/>
      <c r="H896" s="1887"/>
      <c r="I896" s="1887"/>
      <c r="J896" s="1887"/>
      <c r="K896" s="1887"/>
      <c r="L896" s="1887"/>
      <c r="M896" s="1887"/>
      <c r="N896" s="1887"/>
      <c r="O896" s="1887"/>
      <c r="P896" s="1887"/>
      <c r="Q896" s="1887"/>
      <c r="R896" s="1887"/>
      <c r="S896" s="1887"/>
      <c r="T896" s="1887"/>
      <c r="U896" s="1887"/>
      <c r="V896" s="1887"/>
      <c r="W896" s="1887"/>
      <c r="X896" s="1887"/>
      <c r="Y896" s="1887"/>
      <c r="Z896" s="1887"/>
      <c r="AA896" s="1887"/>
      <c r="AB896" s="1887"/>
      <c r="AC896" s="1887"/>
    </row>
    <row r="897">
      <c r="A897" s="1887"/>
      <c r="B897" s="1887"/>
      <c r="C897" s="1887"/>
      <c r="D897" s="1887"/>
      <c r="E897" s="1887"/>
      <c r="F897" s="1887"/>
      <c r="G897" s="1887"/>
      <c r="H897" s="1887"/>
      <c r="I897" s="1887"/>
      <c r="J897" s="1887"/>
      <c r="K897" s="1887"/>
      <c r="L897" s="1887"/>
      <c r="M897" s="1887"/>
      <c r="N897" s="1887"/>
      <c r="O897" s="1887"/>
      <c r="P897" s="1887"/>
      <c r="Q897" s="1887"/>
      <c r="R897" s="1887"/>
      <c r="S897" s="1887"/>
      <c r="T897" s="1887"/>
      <c r="U897" s="1887"/>
      <c r="V897" s="1887"/>
      <c r="W897" s="1887"/>
      <c r="X897" s="1887"/>
      <c r="Y897" s="1887"/>
      <c r="Z897" s="1887"/>
      <c r="AA897" s="1887"/>
      <c r="AB897" s="1887"/>
      <c r="AC897" s="1887"/>
    </row>
    <row r="898">
      <c r="A898" s="1887"/>
      <c r="B898" s="1887"/>
      <c r="C898" s="1887"/>
      <c r="D898" s="1887"/>
      <c r="E898" s="1887"/>
      <c r="F898" s="1887"/>
      <c r="G898" s="1887"/>
      <c r="H898" s="1887"/>
      <c r="I898" s="1887"/>
      <c r="J898" s="1887"/>
      <c r="K898" s="1887"/>
      <c r="L898" s="1887"/>
      <c r="M898" s="1887"/>
      <c r="N898" s="1887"/>
      <c r="O898" s="1887"/>
      <c r="P898" s="1887"/>
      <c r="Q898" s="1887"/>
      <c r="R898" s="1887"/>
      <c r="S898" s="1887"/>
      <c r="T898" s="1887"/>
      <c r="U898" s="1887"/>
      <c r="V898" s="1887"/>
      <c r="W898" s="1887"/>
      <c r="X898" s="1887"/>
      <c r="Y898" s="1887"/>
      <c r="Z898" s="1887"/>
      <c r="AA898" s="1887"/>
      <c r="AB898" s="1887"/>
      <c r="AC898" s="1887"/>
    </row>
    <row r="899">
      <c r="A899" s="1887"/>
      <c r="B899" s="1887"/>
      <c r="C899" s="1887"/>
      <c r="D899" s="1887"/>
      <c r="E899" s="1887"/>
      <c r="F899" s="1887"/>
      <c r="G899" s="1887"/>
      <c r="H899" s="1887"/>
      <c r="I899" s="1887"/>
      <c r="J899" s="1887"/>
      <c r="K899" s="1887"/>
      <c r="L899" s="1887"/>
      <c r="M899" s="1887"/>
      <c r="N899" s="1887"/>
      <c r="O899" s="1887"/>
      <c r="P899" s="1887"/>
      <c r="Q899" s="1887"/>
      <c r="R899" s="1887"/>
      <c r="S899" s="1887"/>
      <c r="T899" s="1887"/>
      <c r="U899" s="1887"/>
      <c r="V899" s="1887"/>
      <c r="W899" s="1887"/>
      <c r="X899" s="1887"/>
      <c r="Y899" s="1887"/>
      <c r="Z899" s="1887"/>
      <c r="AA899" s="1887"/>
      <c r="AB899" s="1887"/>
      <c r="AC899" s="1887"/>
    </row>
    <row r="900">
      <c r="A900" s="1887"/>
      <c r="B900" s="1887"/>
      <c r="C900" s="1887"/>
      <c r="D900" s="1887"/>
      <c r="E900" s="1887"/>
      <c r="F900" s="1887"/>
      <c r="G900" s="1887"/>
      <c r="H900" s="1887"/>
      <c r="I900" s="1887"/>
      <c r="J900" s="1887"/>
      <c r="K900" s="1887"/>
      <c r="L900" s="1887"/>
      <c r="M900" s="1887"/>
      <c r="N900" s="1887"/>
      <c r="O900" s="1887"/>
      <c r="P900" s="1887"/>
      <c r="Q900" s="1887"/>
      <c r="R900" s="1887"/>
      <c r="S900" s="1887"/>
      <c r="T900" s="1887"/>
      <c r="U900" s="1887"/>
      <c r="V900" s="1887"/>
      <c r="W900" s="1887"/>
      <c r="X900" s="1887"/>
      <c r="Y900" s="1887"/>
      <c r="Z900" s="1887"/>
      <c r="AA900" s="1887"/>
      <c r="AB900" s="1887"/>
      <c r="AC900" s="1887"/>
    </row>
    <row r="901">
      <c r="A901" s="1887"/>
      <c r="B901" s="1887"/>
      <c r="C901" s="1887"/>
      <c r="D901" s="1887"/>
      <c r="E901" s="1887"/>
      <c r="F901" s="1887"/>
      <c r="G901" s="1887"/>
      <c r="H901" s="1887"/>
      <c r="I901" s="1887"/>
      <c r="J901" s="1887"/>
      <c r="K901" s="1887"/>
      <c r="L901" s="1887"/>
      <c r="M901" s="1887"/>
      <c r="N901" s="1887"/>
      <c r="O901" s="1887"/>
      <c r="P901" s="1887"/>
      <c r="Q901" s="1887"/>
      <c r="R901" s="1887"/>
      <c r="S901" s="1887"/>
      <c r="T901" s="1887"/>
      <c r="U901" s="1887"/>
      <c r="V901" s="1887"/>
      <c r="W901" s="1887"/>
      <c r="X901" s="1887"/>
      <c r="Y901" s="1887"/>
      <c r="Z901" s="1887"/>
      <c r="AA901" s="1887"/>
      <c r="AB901" s="1887"/>
      <c r="AC901" s="1887"/>
    </row>
    <row r="902">
      <c r="A902" s="1887"/>
      <c r="B902" s="1887"/>
      <c r="C902" s="1887"/>
      <c r="D902" s="1887"/>
      <c r="E902" s="1887"/>
      <c r="F902" s="1887"/>
      <c r="G902" s="1887"/>
      <c r="H902" s="1887"/>
      <c r="I902" s="1887"/>
      <c r="J902" s="1887"/>
      <c r="K902" s="1887"/>
      <c r="L902" s="1887"/>
      <c r="M902" s="1887"/>
      <c r="N902" s="1887"/>
      <c r="O902" s="1887"/>
      <c r="P902" s="1887"/>
      <c r="Q902" s="1887"/>
      <c r="R902" s="1887"/>
      <c r="S902" s="1887"/>
      <c r="T902" s="1887"/>
      <c r="U902" s="1887"/>
      <c r="V902" s="1887"/>
      <c r="W902" s="1887"/>
      <c r="X902" s="1887"/>
      <c r="Y902" s="1887"/>
      <c r="Z902" s="1887"/>
      <c r="AA902" s="1887"/>
      <c r="AB902" s="1887"/>
      <c r="AC902" s="1887"/>
    </row>
    <row r="903">
      <c r="A903" s="1887"/>
      <c r="B903" s="1887"/>
      <c r="C903" s="1887"/>
      <c r="D903" s="1887"/>
      <c r="E903" s="1887"/>
      <c r="F903" s="1887"/>
      <c r="G903" s="1887"/>
      <c r="H903" s="1887"/>
      <c r="I903" s="1887"/>
      <c r="J903" s="1887"/>
      <c r="K903" s="1887"/>
      <c r="L903" s="1887"/>
      <c r="M903" s="1887"/>
      <c r="N903" s="1887"/>
      <c r="O903" s="1887"/>
      <c r="P903" s="1887"/>
      <c r="Q903" s="1887"/>
      <c r="R903" s="1887"/>
      <c r="S903" s="1887"/>
      <c r="T903" s="1887"/>
      <c r="U903" s="1887"/>
      <c r="V903" s="1887"/>
      <c r="W903" s="1887"/>
      <c r="X903" s="1887"/>
      <c r="Y903" s="1887"/>
      <c r="Z903" s="1887"/>
      <c r="AA903" s="1887"/>
      <c r="AB903" s="1887"/>
      <c r="AC903" s="1887"/>
    </row>
    <row r="904">
      <c r="A904" s="1887"/>
      <c r="B904" s="1887"/>
      <c r="C904" s="1887"/>
      <c r="D904" s="1887"/>
      <c r="E904" s="1887"/>
      <c r="F904" s="1887"/>
      <c r="G904" s="1887"/>
      <c r="H904" s="1887"/>
      <c r="I904" s="1887"/>
      <c r="J904" s="1887"/>
      <c r="K904" s="1887"/>
      <c r="L904" s="1887"/>
      <c r="M904" s="1887"/>
      <c r="N904" s="1887"/>
      <c r="O904" s="1887"/>
      <c r="P904" s="1887"/>
      <c r="Q904" s="1887"/>
      <c r="R904" s="1887"/>
      <c r="S904" s="1887"/>
      <c r="T904" s="1887"/>
      <c r="U904" s="1887"/>
      <c r="V904" s="1887"/>
      <c r="W904" s="1887"/>
      <c r="X904" s="1887"/>
      <c r="Y904" s="1887"/>
      <c r="Z904" s="1887"/>
      <c r="AA904" s="1887"/>
      <c r="AB904" s="1887"/>
      <c r="AC904" s="1887"/>
    </row>
    <row r="905">
      <c r="A905" s="1887"/>
      <c r="B905" s="1887"/>
      <c r="C905" s="1887"/>
      <c r="D905" s="1887"/>
      <c r="E905" s="1887"/>
      <c r="F905" s="1887"/>
      <c r="G905" s="1887"/>
      <c r="H905" s="1887"/>
      <c r="I905" s="1887"/>
      <c r="J905" s="1887"/>
      <c r="K905" s="1887"/>
      <c r="L905" s="1887"/>
      <c r="M905" s="1887"/>
      <c r="N905" s="1887"/>
      <c r="O905" s="1887"/>
      <c r="P905" s="1887"/>
      <c r="Q905" s="1887"/>
      <c r="R905" s="1887"/>
      <c r="S905" s="1887"/>
      <c r="T905" s="1887"/>
      <c r="U905" s="1887"/>
      <c r="V905" s="1887"/>
      <c r="W905" s="1887"/>
      <c r="X905" s="1887"/>
      <c r="Y905" s="1887"/>
      <c r="Z905" s="1887"/>
      <c r="AA905" s="1887"/>
      <c r="AB905" s="1887"/>
      <c r="AC905" s="1887"/>
    </row>
    <row r="906">
      <c r="A906" s="1887"/>
      <c r="B906" s="1887"/>
      <c r="C906" s="1887"/>
      <c r="D906" s="1887"/>
      <c r="E906" s="1887"/>
      <c r="F906" s="1887"/>
      <c r="G906" s="1887"/>
      <c r="H906" s="1887"/>
      <c r="I906" s="1887"/>
      <c r="J906" s="1887"/>
      <c r="K906" s="1887"/>
      <c r="L906" s="1887"/>
      <c r="M906" s="1887"/>
      <c r="N906" s="1887"/>
      <c r="O906" s="1887"/>
      <c r="P906" s="1887"/>
      <c r="Q906" s="1887"/>
      <c r="R906" s="1887"/>
      <c r="S906" s="1887"/>
      <c r="T906" s="1887"/>
      <c r="U906" s="1887"/>
      <c r="V906" s="1887"/>
      <c r="W906" s="1887"/>
      <c r="X906" s="1887"/>
      <c r="Y906" s="1887"/>
      <c r="Z906" s="1887"/>
      <c r="AA906" s="1887"/>
      <c r="AB906" s="1887"/>
      <c r="AC906" s="1887"/>
    </row>
    <row r="907">
      <c r="A907" s="1887"/>
      <c r="B907" s="1887"/>
      <c r="C907" s="1887"/>
      <c r="D907" s="1887"/>
      <c r="E907" s="1887"/>
      <c r="F907" s="1887"/>
      <c r="G907" s="1887"/>
      <c r="H907" s="1887"/>
      <c r="I907" s="1887"/>
      <c r="J907" s="1887"/>
      <c r="K907" s="1887"/>
      <c r="L907" s="1887"/>
      <c r="M907" s="1887"/>
      <c r="N907" s="1887"/>
      <c r="O907" s="1887"/>
      <c r="P907" s="1887"/>
      <c r="Q907" s="1887"/>
      <c r="R907" s="1887"/>
      <c r="S907" s="1887"/>
      <c r="T907" s="1887"/>
      <c r="U907" s="1887"/>
      <c r="V907" s="1887"/>
      <c r="W907" s="1887"/>
      <c r="X907" s="1887"/>
      <c r="Y907" s="1887"/>
      <c r="Z907" s="1887"/>
      <c r="AA907" s="1887"/>
      <c r="AB907" s="1887"/>
      <c r="AC907" s="1887"/>
    </row>
    <row r="908">
      <c r="A908" s="1887"/>
      <c r="B908" s="1887"/>
      <c r="C908" s="1887"/>
      <c r="D908" s="1887"/>
      <c r="E908" s="1887"/>
      <c r="F908" s="1887"/>
      <c r="G908" s="1887"/>
      <c r="H908" s="1887"/>
      <c r="I908" s="1887"/>
      <c r="J908" s="1887"/>
      <c r="K908" s="1887"/>
      <c r="L908" s="1887"/>
      <c r="M908" s="1887"/>
      <c r="N908" s="1887"/>
      <c r="O908" s="1887"/>
      <c r="P908" s="1887"/>
      <c r="Q908" s="1887"/>
      <c r="R908" s="1887"/>
      <c r="S908" s="1887"/>
      <c r="T908" s="1887"/>
      <c r="U908" s="1887"/>
      <c r="V908" s="1887"/>
      <c r="W908" s="1887"/>
      <c r="X908" s="1887"/>
      <c r="Y908" s="1887"/>
      <c r="Z908" s="1887"/>
      <c r="AA908" s="1887"/>
      <c r="AB908" s="1887"/>
      <c r="AC908" s="1887"/>
    </row>
    <row r="909">
      <c r="A909" s="1887"/>
      <c r="B909" s="1887"/>
      <c r="C909" s="1887"/>
      <c r="D909" s="1887"/>
      <c r="E909" s="1887"/>
      <c r="F909" s="1887"/>
      <c r="G909" s="1887"/>
      <c r="H909" s="1887"/>
      <c r="I909" s="1887"/>
      <c r="J909" s="1887"/>
      <c r="K909" s="1887"/>
      <c r="L909" s="1887"/>
      <c r="M909" s="1887"/>
      <c r="N909" s="1887"/>
      <c r="O909" s="1887"/>
      <c r="P909" s="1887"/>
      <c r="Q909" s="1887"/>
      <c r="R909" s="1887"/>
      <c r="S909" s="1887"/>
      <c r="T909" s="1887"/>
      <c r="U909" s="1887"/>
      <c r="V909" s="1887"/>
      <c r="W909" s="1887"/>
      <c r="X909" s="1887"/>
      <c r="Y909" s="1887"/>
      <c r="Z909" s="1887"/>
      <c r="AA909" s="1887"/>
      <c r="AB909" s="1887"/>
      <c r="AC909" s="1887"/>
    </row>
    <row r="910">
      <c r="A910" s="1887"/>
      <c r="B910" s="1887"/>
      <c r="C910" s="1887"/>
      <c r="D910" s="1887"/>
      <c r="E910" s="1887"/>
      <c r="F910" s="1887"/>
      <c r="G910" s="1887"/>
      <c r="H910" s="1887"/>
      <c r="I910" s="1887"/>
      <c r="J910" s="1887"/>
      <c r="K910" s="1887"/>
      <c r="L910" s="1887"/>
      <c r="M910" s="1887"/>
      <c r="N910" s="1887"/>
      <c r="O910" s="1887"/>
      <c r="P910" s="1887"/>
      <c r="Q910" s="1887"/>
      <c r="R910" s="1887"/>
      <c r="S910" s="1887"/>
      <c r="T910" s="1887"/>
      <c r="U910" s="1887"/>
      <c r="V910" s="1887"/>
      <c r="W910" s="1887"/>
      <c r="X910" s="1887"/>
      <c r="Y910" s="1887"/>
      <c r="Z910" s="1887"/>
      <c r="AA910" s="1887"/>
      <c r="AB910" s="1887"/>
      <c r="AC910" s="1887"/>
    </row>
    <row r="911">
      <c r="A911" s="1887"/>
      <c r="B911" s="1887"/>
      <c r="C911" s="1887"/>
      <c r="D911" s="1887"/>
      <c r="E911" s="1887"/>
      <c r="F911" s="1887"/>
      <c r="G911" s="1887"/>
      <c r="H911" s="1887"/>
      <c r="I911" s="1887"/>
      <c r="J911" s="1887"/>
      <c r="K911" s="1887"/>
      <c r="L911" s="1887"/>
      <c r="M911" s="1887"/>
      <c r="N911" s="1887"/>
      <c r="O911" s="1887"/>
      <c r="P911" s="1887"/>
      <c r="Q911" s="1887"/>
      <c r="R911" s="1887"/>
      <c r="S911" s="1887"/>
      <c r="T911" s="1887"/>
      <c r="U911" s="1887"/>
      <c r="V911" s="1887"/>
      <c r="W911" s="1887"/>
      <c r="X911" s="1887"/>
      <c r="Y911" s="1887"/>
      <c r="Z911" s="1887"/>
      <c r="AA911" s="1887"/>
      <c r="AB911" s="1887"/>
      <c r="AC911" s="1887"/>
    </row>
    <row r="912">
      <c r="A912" s="1887"/>
      <c r="B912" s="1887"/>
      <c r="C912" s="1887"/>
      <c r="D912" s="1887"/>
      <c r="E912" s="1887"/>
      <c r="F912" s="1887"/>
      <c r="G912" s="1887"/>
      <c r="H912" s="1887"/>
      <c r="I912" s="1887"/>
      <c r="J912" s="1887"/>
      <c r="K912" s="1887"/>
      <c r="L912" s="1887"/>
      <c r="M912" s="1887"/>
      <c r="N912" s="1887"/>
      <c r="O912" s="1887"/>
      <c r="P912" s="1887"/>
      <c r="Q912" s="1887"/>
      <c r="R912" s="1887"/>
      <c r="S912" s="1887"/>
      <c r="T912" s="1887"/>
      <c r="U912" s="1887"/>
      <c r="V912" s="1887"/>
      <c r="W912" s="1887"/>
      <c r="X912" s="1887"/>
      <c r="Y912" s="1887"/>
      <c r="Z912" s="1887"/>
      <c r="AA912" s="1887"/>
      <c r="AB912" s="1887"/>
      <c r="AC912" s="1887"/>
    </row>
    <row r="913">
      <c r="A913" s="1887"/>
      <c r="B913" s="1887"/>
      <c r="C913" s="1887"/>
      <c r="D913" s="1887"/>
      <c r="E913" s="1887"/>
      <c r="F913" s="1887"/>
      <c r="G913" s="1887"/>
      <c r="H913" s="1887"/>
      <c r="I913" s="1887"/>
      <c r="J913" s="1887"/>
      <c r="K913" s="1887"/>
      <c r="L913" s="1887"/>
      <c r="M913" s="1887"/>
      <c r="N913" s="1887"/>
      <c r="O913" s="1887"/>
      <c r="P913" s="1887"/>
      <c r="Q913" s="1887"/>
      <c r="R913" s="1887"/>
      <c r="S913" s="1887"/>
      <c r="T913" s="1887"/>
      <c r="U913" s="1887"/>
      <c r="V913" s="1887"/>
      <c r="W913" s="1887"/>
      <c r="X913" s="1887"/>
      <c r="Y913" s="1887"/>
      <c r="Z913" s="1887"/>
      <c r="AA913" s="1887"/>
      <c r="AB913" s="1887"/>
      <c r="AC913" s="1887"/>
    </row>
    <row r="914">
      <c r="A914" s="1887"/>
      <c r="B914" s="1887"/>
      <c r="C914" s="1887"/>
      <c r="D914" s="1887"/>
      <c r="E914" s="1887"/>
      <c r="F914" s="1887"/>
      <c r="G914" s="1887"/>
      <c r="H914" s="1887"/>
      <c r="I914" s="1887"/>
      <c r="J914" s="1887"/>
      <c r="K914" s="1887"/>
      <c r="L914" s="1887"/>
      <c r="M914" s="1887"/>
      <c r="N914" s="1887"/>
      <c r="O914" s="1887"/>
      <c r="P914" s="1887"/>
      <c r="Q914" s="1887"/>
      <c r="R914" s="1887"/>
      <c r="S914" s="1887"/>
      <c r="T914" s="1887"/>
      <c r="U914" s="1887"/>
      <c r="V914" s="1887"/>
      <c r="W914" s="1887"/>
      <c r="X914" s="1887"/>
      <c r="Y914" s="1887"/>
      <c r="Z914" s="1887"/>
      <c r="AA914" s="1887"/>
      <c r="AB914" s="1887"/>
      <c r="AC914" s="1887"/>
    </row>
    <row r="915">
      <c r="A915" s="1887"/>
      <c r="B915" s="1887"/>
      <c r="C915" s="1887"/>
      <c r="D915" s="1887"/>
      <c r="E915" s="1887"/>
      <c r="F915" s="1887"/>
      <c r="G915" s="1887"/>
      <c r="H915" s="1887"/>
      <c r="I915" s="1887"/>
      <c r="J915" s="1887"/>
      <c r="K915" s="1887"/>
      <c r="L915" s="1887"/>
      <c r="M915" s="1887"/>
      <c r="N915" s="1887"/>
      <c r="O915" s="1887"/>
      <c r="P915" s="1887"/>
      <c r="Q915" s="1887"/>
      <c r="R915" s="1887"/>
      <c r="S915" s="1887"/>
      <c r="T915" s="1887"/>
      <c r="U915" s="1887"/>
      <c r="V915" s="1887"/>
      <c r="W915" s="1887"/>
      <c r="X915" s="1887"/>
      <c r="Y915" s="1887"/>
      <c r="Z915" s="1887"/>
      <c r="AA915" s="1887"/>
      <c r="AB915" s="1887"/>
      <c r="AC915" s="1887"/>
    </row>
    <row r="916">
      <c r="A916" s="1887"/>
      <c r="B916" s="1887"/>
      <c r="C916" s="1887"/>
      <c r="D916" s="1887"/>
      <c r="E916" s="1887"/>
      <c r="F916" s="1887"/>
      <c r="G916" s="1887"/>
      <c r="H916" s="1887"/>
      <c r="I916" s="1887"/>
      <c r="J916" s="1887"/>
      <c r="K916" s="1887"/>
      <c r="L916" s="1887"/>
      <c r="M916" s="1887"/>
      <c r="N916" s="1887"/>
      <c r="O916" s="1887"/>
      <c r="P916" s="1887"/>
      <c r="Q916" s="1887"/>
      <c r="R916" s="1887"/>
      <c r="S916" s="1887"/>
      <c r="T916" s="1887"/>
      <c r="U916" s="1887"/>
      <c r="V916" s="1887"/>
      <c r="W916" s="1887"/>
      <c r="X916" s="1887"/>
      <c r="Y916" s="1887"/>
      <c r="Z916" s="1887"/>
      <c r="AA916" s="1887"/>
      <c r="AB916" s="1887"/>
      <c r="AC916" s="1887"/>
    </row>
    <row r="917">
      <c r="A917" s="1887"/>
      <c r="B917" s="1887"/>
      <c r="C917" s="1887"/>
      <c r="D917" s="1887"/>
      <c r="E917" s="1887"/>
      <c r="F917" s="1887"/>
      <c r="G917" s="1887"/>
      <c r="H917" s="1887"/>
      <c r="I917" s="1887"/>
      <c r="J917" s="1887"/>
      <c r="K917" s="1887"/>
      <c r="L917" s="1887"/>
      <c r="M917" s="1887"/>
      <c r="N917" s="1887"/>
      <c r="O917" s="1887"/>
      <c r="P917" s="1887"/>
      <c r="Q917" s="1887"/>
      <c r="R917" s="1887"/>
      <c r="S917" s="1887"/>
      <c r="T917" s="1887"/>
      <c r="U917" s="1887"/>
      <c r="V917" s="1887"/>
      <c r="W917" s="1887"/>
      <c r="X917" s="1887"/>
      <c r="Y917" s="1887"/>
      <c r="Z917" s="1887"/>
      <c r="AA917" s="1887"/>
      <c r="AB917" s="1887"/>
      <c r="AC917" s="1887"/>
    </row>
    <row r="918">
      <c r="A918" s="1887"/>
      <c r="B918" s="1887"/>
      <c r="C918" s="1887"/>
      <c r="D918" s="1887"/>
      <c r="E918" s="1887"/>
      <c r="F918" s="1887"/>
      <c r="G918" s="1887"/>
      <c r="H918" s="1887"/>
      <c r="I918" s="1887"/>
      <c r="J918" s="1887"/>
      <c r="K918" s="1887"/>
      <c r="L918" s="1887"/>
      <c r="M918" s="1887"/>
      <c r="N918" s="1887"/>
      <c r="O918" s="1887"/>
      <c r="P918" s="1887"/>
      <c r="Q918" s="1887"/>
      <c r="R918" s="1887"/>
      <c r="S918" s="1887"/>
      <c r="T918" s="1887"/>
      <c r="U918" s="1887"/>
      <c r="V918" s="1887"/>
      <c r="W918" s="1887"/>
      <c r="X918" s="1887"/>
      <c r="Y918" s="1887"/>
      <c r="Z918" s="1887"/>
      <c r="AA918" s="1887"/>
      <c r="AB918" s="1887"/>
      <c r="AC918" s="1887"/>
    </row>
    <row r="919">
      <c r="A919" s="1887"/>
      <c r="B919" s="1887"/>
      <c r="C919" s="1887"/>
      <c r="D919" s="1887"/>
      <c r="E919" s="1887"/>
      <c r="F919" s="1887"/>
      <c r="G919" s="1887"/>
      <c r="H919" s="1887"/>
      <c r="I919" s="1887"/>
      <c r="J919" s="1887"/>
      <c r="K919" s="1887"/>
      <c r="L919" s="1887"/>
      <c r="M919" s="1887"/>
      <c r="N919" s="1887"/>
      <c r="O919" s="1887"/>
      <c r="P919" s="1887"/>
      <c r="Q919" s="1887"/>
      <c r="R919" s="1887"/>
      <c r="S919" s="1887"/>
      <c r="T919" s="1887"/>
      <c r="U919" s="1887"/>
      <c r="V919" s="1887"/>
      <c r="W919" s="1887"/>
      <c r="X919" s="1887"/>
      <c r="Y919" s="1887"/>
      <c r="Z919" s="1887"/>
      <c r="AA919" s="1887"/>
      <c r="AB919" s="1887"/>
      <c r="AC919" s="1887"/>
    </row>
    <row r="920">
      <c r="A920" s="1887"/>
      <c r="B920" s="1887"/>
      <c r="C920" s="1887"/>
      <c r="D920" s="1887"/>
      <c r="E920" s="1887"/>
      <c r="F920" s="1887"/>
      <c r="G920" s="1887"/>
      <c r="H920" s="1887"/>
      <c r="I920" s="1887"/>
      <c r="J920" s="1887"/>
      <c r="K920" s="1887"/>
      <c r="L920" s="1887"/>
      <c r="M920" s="1887"/>
      <c r="N920" s="1887"/>
      <c r="O920" s="1887"/>
      <c r="P920" s="1887"/>
      <c r="Q920" s="1887"/>
      <c r="R920" s="1887"/>
      <c r="S920" s="1887"/>
      <c r="T920" s="1887"/>
      <c r="U920" s="1887"/>
      <c r="V920" s="1887"/>
      <c r="W920" s="1887"/>
      <c r="X920" s="1887"/>
      <c r="Y920" s="1887"/>
      <c r="Z920" s="1887"/>
      <c r="AA920" s="1887"/>
      <c r="AB920" s="1887"/>
      <c r="AC920" s="1887"/>
    </row>
    <row r="921">
      <c r="A921" s="1887"/>
      <c r="B921" s="1887"/>
      <c r="C921" s="1887"/>
      <c r="D921" s="1887"/>
      <c r="E921" s="1887"/>
      <c r="F921" s="1887"/>
      <c r="G921" s="1887"/>
      <c r="H921" s="1887"/>
      <c r="I921" s="1887"/>
      <c r="J921" s="1887"/>
      <c r="K921" s="1887"/>
      <c r="L921" s="1887"/>
      <c r="M921" s="1887"/>
      <c r="N921" s="1887"/>
      <c r="O921" s="1887"/>
      <c r="P921" s="1887"/>
      <c r="Q921" s="1887"/>
      <c r="R921" s="1887"/>
      <c r="S921" s="1887"/>
      <c r="T921" s="1887"/>
      <c r="U921" s="1887"/>
      <c r="V921" s="1887"/>
      <c r="W921" s="1887"/>
      <c r="X921" s="1887"/>
      <c r="Y921" s="1887"/>
      <c r="Z921" s="1887"/>
      <c r="AA921" s="1887"/>
      <c r="AB921" s="1887"/>
      <c r="AC921" s="1887"/>
    </row>
    <row r="922">
      <c r="A922" s="1887"/>
      <c r="B922" s="1887"/>
      <c r="C922" s="1887"/>
      <c r="D922" s="1887"/>
      <c r="E922" s="1887"/>
      <c r="F922" s="1887"/>
      <c r="G922" s="1887"/>
      <c r="H922" s="1887"/>
      <c r="I922" s="1887"/>
      <c r="J922" s="1887"/>
      <c r="K922" s="1887"/>
      <c r="L922" s="1887"/>
      <c r="M922" s="1887"/>
      <c r="N922" s="1887"/>
      <c r="O922" s="1887"/>
      <c r="P922" s="1887"/>
      <c r="Q922" s="1887"/>
      <c r="R922" s="1887"/>
      <c r="S922" s="1887"/>
      <c r="T922" s="1887"/>
      <c r="U922" s="1887"/>
      <c r="V922" s="1887"/>
      <c r="W922" s="1887"/>
      <c r="X922" s="1887"/>
      <c r="Y922" s="1887"/>
      <c r="Z922" s="1887"/>
      <c r="AA922" s="1887"/>
      <c r="AB922" s="1887"/>
      <c r="AC922" s="1887"/>
    </row>
    <row r="923">
      <c r="A923" s="1887"/>
      <c r="B923" s="1887"/>
      <c r="C923" s="1887"/>
      <c r="D923" s="1887"/>
      <c r="E923" s="1887"/>
      <c r="F923" s="1887"/>
      <c r="G923" s="1887"/>
      <c r="H923" s="1887"/>
      <c r="I923" s="1887"/>
      <c r="J923" s="1887"/>
      <c r="K923" s="1887"/>
      <c r="L923" s="1887"/>
      <c r="M923" s="1887"/>
      <c r="N923" s="1887"/>
      <c r="O923" s="1887"/>
      <c r="P923" s="1887"/>
      <c r="Q923" s="1887"/>
      <c r="R923" s="1887"/>
      <c r="S923" s="1887"/>
      <c r="T923" s="1887"/>
      <c r="U923" s="1887"/>
      <c r="V923" s="1887"/>
      <c r="W923" s="1887"/>
      <c r="X923" s="1887"/>
      <c r="Y923" s="1887"/>
      <c r="Z923" s="1887"/>
      <c r="AA923" s="1887"/>
      <c r="AB923" s="1887"/>
      <c r="AC923" s="1887"/>
    </row>
    <row r="924">
      <c r="A924" s="1887"/>
      <c r="B924" s="1887"/>
      <c r="C924" s="1887"/>
      <c r="D924" s="1887"/>
      <c r="E924" s="1887"/>
      <c r="F924" s="1887"/>
      <c r="G924" s="1887"/>
      <c r="H924" s="1887"/>
      <c r="I924" s="1887"/>
      <c r="J924" s="1887"/>
      <c r="K924" s="1887"/>
      <c r="L924" s="1887"/>
      <c r="M924" s="1887"/>
      <c r="N924" s="1887"/>
      <c r="O924" s="1887"/>
      <c r="P924" s="1887"/>
      <c r="Q924" s="1887"/>
      <c r="R924" s="1887"/>
      <c r="S924" s="1887"/>
      <c r="T924" s="1887"/>
      <c r="U924" s="1887"/>
      <c r="V924" s="1887"/>
      <c r="W924" s="1887"/>
      <c r="X924" s="1887"/>
      <c r="Y924" s="1887"/>
      <c r="Z924" s="1887"/>
      <c r="AA924" s="1887"/>
      <c r="AB924" s="1887"/>
      <c r="AC924" s="1887"/>
    </row>
    <row r="925">
      <c r="A925" s="1887"/>
      <c r="B925" s="1887"/>
      <c r="C925" s="1887"/>
      <c r="D925" s="1887"/>
      <c r="E925" s="1887"/>
      <c r="F925" s="1887"/>
      <c r="G925" s="1887"/>
      <c r="H925" s="1887"/>
      <c r="I925" s="1887"/>
      <c r="J925" s="1887"/>
      <c r="K925" s="1887"/>
      <c r="L925" s="1887"/>
      <c r="M925" s="1887"/>
      <c r="N925" s="1887"/>
      <c r="O925" s="1887"/>
      <c r="P925" s="1887"/>
      <c r="Q925" s="1887"/>
      <c r="R925" s="1887"/>
      <c r="S925" s="1887"/>
      <c r="T925" s="1887"/>
      <c r="U925" s="1887"/>
      <c r="V925" s="1887"/>
      <c r="W925" s="1887"/>
      <c r="X925" s="1887"/>
      <c r="Y925" s="1887"/>
      <c r="Z925" s="1887"/>
      <c r="AA925" s="1887"/>
      <c r="AB925" s="1887"/>
      <c r="AC925" s="1887"/>
    </row>
    <row r="926">
      <c r="A926" s="1887"/>
      <c r="B926" s="1887"/>
      <c r="C926" s="1887"/>
      <c r="D926" s="1887"/>
      <c r="E926" s="1887"/>
      <c r="F926" s="1887"/>
      <c r="G926" s="1887"/>
      <c r="H926" s="1887"/>
      <c r="I926" s="1887"/>
      <c r="J926" s="1887"/>
      <c r="K926" s="1887"/>
      <c r="L926" s="1887"/>
      <c r="M926" s="1887"/>
      <c r="N926" s="1887"/>
      <c r="O926" s="1887"/>
      <c r="P926" s="1887"/>
      <c r="Q926" s="1887"/>
      <c r="R926" s="1887"/>
      <c r="S926" s="1887"/>
      <c r="T926" s="1887"/>
      <c r="U926" s="1887"/>
      <c r="V926" s="1887"/>
      <c r="W926" s="1887"/>
      <c r="X926" s="1887"/>
      <c r="Y926" s="1887"/>
      <c r="Z926" s="1887"/>
      <c r="AA926" s="1887"/>
      <c r="AB926" s="1887"/>
      <c r="AC926" s="1887"/>
    </row>
    <row r="927">
      <c r="A927" s="1887"/>
      <c r="B927" s="1887"/>
      <c r="C927" s="1887"/>
      <c r="D927" s="1887"/>
      <c r="E927" s="1887"/>
      <c r="F927" s="1887"/>
      <c r="G927" s="1887"/>
      <c r="H927" s="1887"/>
      <c r="I927" s="1887"/>
      <c r="J927" s="1887"/>
      <c r="K927" s="1887"/>
      <c r="L927" s="1887"/>
      <c r="M927" s="1887"/>
      <c r="N927" s="1887"/>
      <c r="O927" s="1887"/>
      <c r="P927" s="1887"/>
      <c r="Q927" s="1887"/>
      <c r="R927" s="1887"/>
      <c r="S927" s="1887"/>
      <c r="T927" s="1887"/>
      <c r="U927" s="1887"/>
      <c r="V927" s="1887"/>
      <c r="W927" s="1887"/>
      <c r="X927" s="1887"/>
      <c r="Y927" s="1887"/>
      <c r="Z927" s="1887"/>
      <c r="AA927" s="1887"/>
      <c r="AB927" s="1887"/>
      <c r="AC927" s="1887"/>
    </row>
    <row r="928">
      <c r="A928" s="1887"/>
      <c r="B928" s="1887"/>
      <c r="C928" s="1887"/>
      <c r="D928" s="1887"/>
      <c r="E928" s="1887"/>
      <c r="F928" s="1887"/>
      <c r="G928" s="1887"/>
      <c r="H928" s="1887"/>
      <c r="I928" s="1887"/>
      <c r="J928" s="1887"/>
      <c r="K928" s="1887"/>
      <c r="L928" s="1887"/>
      <c r="M928" s="1887"/>
      <c r="N928" s="1887"/>
      <c r="O928" s="1887"/>
      <c r="P928" s="1887"/>
      <c r="Q928" s="1887"/>
      <c r="R928" s="1887"/>
      <c r="S928" s="1887"/>
      <c r="T928" s="1887"/>
      <c r="U928" s="1887"/>
      <c r="V928" s="1887"/>
      <c r="W928" s="1887"/>
      <c r="X928" s="1887"/>
      <c r="Y928" s="1887"/>
      <c r="Z928" s="1887"/>
      <c r="AA928" s="1887"/>
      <c r="AB928" s="1887"/>
      <c r="AC928" s="1887"/>
    </row>
    <row r="929">
      <c r="A929" s="1887"/>
      <c r="B929" s="1887"/>
      <c r="C929" s="1887"/>
      <c r="D929" s="1887"/>
      <c r="E929" s="1887"/>
      <c r="F929" s="1887"/>
      <c r="G929" s="1887"/>
      <c r="H929" s="1887"/>
      <c r="I929" s="1887"/>
      <c r="J929" s="1887"/>
      <c r="K929" s="1887"/>
      <c r="L929" s="1887"/>
      <c r="M929" s="1887"/>
      <c r="N929" s="1887"/>
      <c r="O929" s="1887"/>
      <c r="P929" s="1887"/>
      <c r="Q929" s="1887"/>
      <c r="R929" s="1887"/>
      <c r="S929" s="1887"/>
      <c r="T929" s="1887"/>
      <c r="U929" s="1887"/>
      <c r="V929" s="1887"/>
      <c r="W929" s="1887"/>
      <c r="X929" s="1887"/>
      <c r="Y929" s="1887"/>
      <c r="Z929" s="1887"/>
      <c r="AA929" s="1887"/>
      <c r="AB929" s="1887"/>
      <c r="AC929" s="1887"/>
    </row>
    <row r="930">
      <c r="A930" s="1887"/>
      <c r="B930" s="1887"/>
      <c r="C930" s="1887"/>
      <c r="D930" s="1887"/>
      <c r="E930" s="1887"/>
      <c r="F930" s="1887"/>
      <c r="G930" s="1887"/>
      <c r="H930" s="1887"/>
      <c r="I930" s="1887"/>
      <c r="J930" s="1887"/>
      <c r="K930" s="1887"/>
      <c r="L930" s="1887"/>
      <c r="M930" s="1887"/>
      <c r="N930" s="1887"/>
      <c r="O930" s="1887"/>
      <c r="P930" s="1887"/>
      <c r="Q930" s="1887"/>
      <c r="R930" s="1887"/>
      <c r="S930" s="1887"/>
      <c r="T930" s="1887"/>
      <c r="U930" s="1887"/>
      <c r="V930" s="1887"/>
      <c r="W930" s="1887"/>
      <c r="X930" s="1887"/>
      <c r="Y930" s="1887"/>
      <c r="Z930" s="1887"/>
      <c r="AA930" s="1887"/>
      <c r="AB930" s="1887"/>
      <c r="AC930" s="1887"/>
    </row>
    <row r="931">
      <c r="A931" s="1887"/>
      <c r="B931" s="1887"/>
      <c r="C931" s="1887"/>
      <c r="D931" s="1887"/>
      <c r="E931" s="1887"/>
      <c r="F931" s="1887"/>
      <c r="G931" s="1887"/>
      <c r="H931" s="1887"/>
      <c r="I931" s="1887"/>
      <c r="J931" s="1887"/>
      <c r="K931" s="1887"/>
      <c r="L931" s="1887"/>
      <c r="M931" s="1887"/>
      <c r="N931" s="1887"/>
      <c r="O931" s="1887"/>
      <c r="P931" s="1887"/>
      <c r="Q931" s="1887"/>
      <c r="R931" s="1887"/>
      <c r="S931" s="1887"/>
      <c r="T931" s="1887"/>
      <c r="U931" s="1887"/>
      <c r="V931" s="1887"/>
      <c r="W931" s="1887"/>
      <c r="X931" s="1887"/>
      <c r="Y931" s="1887"/>
      <c r="Z931" s="1887"/>
      <c r="AA931" s="1887"/>
      <c r="AB931" s="1887"/>
      <c r="AC931" s="1887"/>
    </row>
    <row r="932">
      <c r="A932" s="1887"/>
      <c r="B932" s="1887"/>
      <c r="C932" s="1887"/>
      <c r="D932" s="1887"/>
      <c r="E932" s="1887"/>
      <c r="F932" s="1887"/>
      <c r="G932" s="1887"/>
      <c r="H932" s="1887"/>
      <c r="I932" s="1887"/>
      <c r="J932" s="1887"/>
      <c r="K932" s="1887"/>
      <c r="L932" s="1887"/>
      <c r="M932" s="1887"/>
      <c r="N932" s="1887"/>
      <c r="O932" s="1887"/>
      <c r="P932" s="1887"/>
      <c r="Q932" s="1887"/>
      <c r="R932" s="1887"/>
      <c r="S932" s="1887"/>
      <c r="T932" s="1887"/>
      <c r="U932" s="1887"/>
      <c r="V932" s="1887"/>
      <c r="W932" s="1887"/>
      <c r="X932" s="1887"/>
      <c r="Y932" s="1887"/>
      <c r="Z932" s="1887"/>
      <c r="AA932" s="1887"/>
      <c r="AB932" s="1887"/>
      <c r="AC932" s="1887"/>
    </row>
    <row r="933">
      <c r="A933" s="1887"/>
      <c r="B933" s="1887"/>
      <c r="C933" s="1887"/>
      <c r="D933" s="1887"/>
      <c r="E933" s="1887"/>
      <c r="F933" s="1887"/>
      <c r="G933" s="1887"/>
      <c r="H933" s="1887"/>
      <c r="I933" s="1887"/>
      <c r="J933" s="1887"/>
      <c r="K933" s="1887"/>
      <c r="L933" s="1887"/>
      <c r="M933" s="1887"/>
      <c r="N933" s="1887"/>
      <c r="O933" s="1887"/>
      <c r="P933" s="1887"/>
      <c r="Q933" s="1887"/>
      <c r="R933" s="1887"/>
      <c r="S933" s="1887"/>
      <c r="T933" s="1887"/>
      <c r="U933" s="1887"/>
      <c r="V933" s="1887"/>
      <c r="W933" s="1887"/>
      <c r="X933" s="1887"/>
      <c r="Y933" s="1887"/>
      <c r="Z933" s="1887"/>
      <c r="AA933" s="1887"/>
      <c r="AB933" s="1887"/>
      <c r="AC933" s="1887"/>
    </row>
    <row r="934">
      <c r="A934" s="1887"/>
      <c r="B934" s="1887"/>
      <c r="C934" s="1887"/>
      <c r="D934" s="1887"/>
      <c r="E934" s="1887"/>
      <c r="F934" s="1887"/>
      <c r="G934" s="1887"/>
      <c r="H934" s="1887"/>
      <c r="I934" s="1887"/>
      <c r="J934" s="1887"/>
      <c r="K934" s="1887"/>
      <c r="L934" s="1887"/>
      <c r="M934" s="1887"/>
      <c r="N934" s="1887"/>
      <c r="O934" s="1887"/>
      <c r="P934" s="1887"/>
      <c r="Q934" s="1887"/>
      <c r="R934" s="1887"/>
      <c r="S934" s="1887"/>
      <c r="T934" s="1887"/>
      <c r="U934" s="1887"/>
      <c r="V934" s="1887"/>
      <c r="W934" s="1887"/>
      <c r="X934" s="1887"/>
      <c r="Y934" s="1887"/>
      <c r="Z934" s="1887"/>
      <c r="AA934" s="1887"/>
      <c r="AB934" s="1887"/>
      <c r="AC934" s="1887"/>
    </row>
    <row r="935">
      <c r="A935" s="1887"/>
      <c r="B935" s="1887"/>
      <c r="C935" s="1887"/>
      <c r="D935" s="1887"/>
      <c r="E935" s="1887"/>
      <c r="F935" s="1887"/>
      <c r="G935" s="1887"/>
      <c r="H935" s="1887"/>
      <c r="I935" s="1887"/>
      <c r="J935" s="1887"/>
      <c r="K935" s="1887"/>
      <c r="L935" s="1887"/>
      <c r="M935" s="1887"/>
      <c r="N935" s="1887"/>
      <c r="O935" s="1887"/>
      <c r="P935" s="1887"/>
      <c r="Q935" s="1887"/>
      <c r="R935" s="1887"/>
      <c r="S935" s="1887"/>
      <c r="T935" s="1887"/>
      <c r="U935" s="1887"/>
      <c r="V935" s="1887"/>
      <c r="W935" s="1887"/>
      <c r="X935" s="1887"/>
      <c r="Y935" s="1887"/>
      <c r="Z935" s="1887"/>
      <c r="AA935" s="1887"/>
      <c r="AB935" s="1887"/>
      <c r="AC935" s="1887"/>
    </row>
    <row r="936">
      <c r="A936" s="1887"/>
      <c r="B936" s="1887"/>
      <c r="C936" s="1887"/>
      <c r="D936" s="1887"/>
      <c r="E936" s="1887"/>
      <c r="F936" s="1887"/>
      <c r="G936" s="1887"/>
      <c r="H936" s="1887"/>
      <c r="I936" s="1887"/>
      <c r="J936" s="1887"/>
      <c r="K936" s="1887"/>
      <c r="L936" s="1887"/>
      <c r="M936" s="1887"/>
      <c r="N936" s="1887"/>
      <c r="O936" s="1887"/>
      <c r="P936" s="1887"/>
      <c r="Q936" s="1887"/>
      <c r="R936" s="1887"/>
      <c r="S936" s="1887"/>
      <c r="T936" s="1887"/>
      <c r="U936" s="1887"/>
      <c r="V936" s="1887"/>
      <c r="W936" s="1887"/>
      <c r="X936" s="1887"/>
      <c r="Y936" s="1887"/>
      <c r="Z936" s="1887"/>
      <c r="AA936" s="1887"/>
      <c r="AB936" s="1887"/>
      <c r="AC936" s="1887"/>
    </row>
    <row r="937">
      <c r="A937" s="1887"/>
      <c r="B937" s="1887"/>
      <c r="C937" s="1887"/>
      <c r="D937" s="1887"/>
      <c r="E937" s="1887"/>
      <c r="F937" s="1887"/>
      <c r="G937" s="1887"/>
      <c r="H937" s="1887"/>
      <c r="I937" s="1887"/>
      <c r="J937" s="1887"/>
      <c r="K937" s="1887"/>
      <c r="L937" s="1887"/>
      <c r="M937" s="1887"/>
      <c r="N937" s="1887"/>
      <c r="O937" s="1887"/>
      <c r="P937" s="1887"/>
      <c r="Q937" s="1887"/>
      <c r="R937" s="1887"/>
      <c r="S937" s="1887"/>
      <c r="T937" s="1887"/>
      <c r="U937" s="1887"/>
      <c r="V937" s="1887"/>
      <c r="W937" s="1887"/>
      <c r="X937" s="1887"/>
      <c r="Y937" s="1887"/>
      <c r="Z937" s="1887"/>
      <c r="AA937" s="1887"/>
      <c r="AB937" s="1887"/>
      <c r="AC937" s="1887"/>
    </row>
    <row r="938">
      <c r="A938" s="1887"/>
      <c r="B938" s="1887"/>
      <c r="C938" s="1887"/>
      <c r="D938" s="1887"/>
      <c r="E938" s="1887"/>
      <c r="F938" s="1887"/>
      <c r="G938" s="1887"/>
      <c r="H938" s="1887"/>
      <c r="I938" s="1887"/>
      <c r="J938" s="1887"/>
      <c r="K938" s="1887"/>
      <c r="L938" s="1887"/>
      <c r="M938" s="1887"/>
      <c r="N938" s="1887"/>
      <c r="O938" s="1887"/>
      <c r="P938" s="1887"/>
      <c r="Q938" s="1887"/>
      <c r="R938" s="1887"/>
      <c r="S938" s="1887"/>
      <c r="T938" s="1887"/>
      <c r="U938" s="1887"/>
      <c r="V938" s="1887"/>
      <c r="W938" s="1887"/>
      <c r="X938" s="1887"/>
      <c r="Y938" s="1887"/>
      <c r="Z938" s="1887"/>
      <c r="AA938" s="1887"/>
      <c r="AB938" s="1887"/>
      <c r="AC938" s="1887"/>
    </row>
    <row r="939">
      <c r="A939" s="1887"/>
      <c r="B939" s="1887"/>
      <c r="C939" s="1887"/>
      <c r="D939" s="1887"/>
      <c r="E939" s="1887"/>
      <c r="F939" s="1887"/>
      <c r="G939" s="1887"/>
      <c r="H939" s="1887"/>
      <c r="I939" s="1887"/>
      <c r="J939" s="1887"/>
      <c r="K939" s="1887"/>
      <c r="L939" s="1887"/>
      <c r="M939" s="1887"/>
      <c r="N939" s="1887"/>
      <c r="O939" s="1887"/>
      <c r="P939" s="1887"/>
      <c r="Q939" s="1887"/>
      <c r="R939" s="1887"/>
      <c r="S939" s="1887"/>
      <c r="T939" s="1887"/>
      <c r="U939" s="1887"/>
      <c r="V939" s="1887"/>
      <c r="W939" s="1887"/>
      <c r="X939" s="1887"/>
      <c r="Y939" s="1887"/>
      <c r="Z939" s="1887"/>
      <c r="AA939" s="1887"/>
      <c r="AB939" s="1887"/>
      <c r="AC939" s="1887"/>
    </row>
    <row r="940">
      <c r="A940" s="1887"/>
      <c r="B940" s="1887"/>
      <c r="C940" s="1887"/>
      <c r="D940" s="1887"/>
      <c r="E940" s="1887"/>
      <c r="F940" s="1887"/>
      <c r="G940" s="1887"/>
      <c r="H940" s="1887"/>
      <c r="I940" s="1887"/>
      <c r="J940" s="1887"/>
      <c r="K940" s="1887"/>
      <c r="L940" s="1887"/>
      <c r="M940" s="1887"/>
      <c r="N940" s="1887"/>
      <c r="O940" s="1887"/>
      <c r="P940" s="1887"/>
      <c r="Q940" s="1887"/>
      <c r="R940" s="1887"/>
      <c r="S940" s="1887"/>
      <c r="T940" s="1887"/>
      <c r="U940" s="1887"/>
      <c r="V940" s="1887"/>
      <c r="W940" s="1887"/>
      <c r="X940" s="1887"/>
      <c r="Y940" s="1887"/>
      <c r="Z940" s="1887"/>
      <c r="AA940" s="1887"/>
      <c r="AB940" s="1887"/>
      <c r="AC940" s="1887"/>
    </row>
    <row r="941">
      <c r="A941" s="1887"/>
      <c r="B941" s="1887"/>
      <c r="C941" s="1887"/>
      <c r="D941" s="1887"/>
      <c r="E941" s="1887"/>
      <c r="F941" s="1887"/>
      <c r="G941" s="1887"/>
      <c r="H941" s="1887"/>
      <c r="I941" s="1887"/>
      <c r="J941" s="1887"/>
      <c r="K941" s="1887"/>
      <c r="L941" s="1887"/>
      <c r="M941" s="1887"/>
      <c r="N941" s="1887"/>
      <c r="O941" s="1887"/>
      <c r="P941" s="1887"/>
      <c r="Q941" s="1887"/>
      <c r="R941" s="1887"/>
      <c r="S941" s="1887"/>
      <c r="T941" s="1887"/>
      <c r="U941" s="1887"/>
      <c r="V941" s="1887"/>
      <c r="W941" s="1887"/>
      <c r="X941" s="1887"/>
      <c r="Y941" s="1887"/>
      <c r="Z941" s="1887"/>
      <c r="AA941" s="1887"/>
      <c r="AB941" s="1887"/>
      <c r="AC941" s="1887"/>
    </row>
    <row r="942">
      <c r="A942" s="1887"/>
      <c r="B942" s="1887"/>
      <c r="C942" s="1887"/>
      <c r="D942" s="1887"/>
      <c r="E942" s="1887"/>
      <c r="F942" s="1887"/>
      <c r="G942" s="1887"/>
      <c r="H942" s="1887"/>
      <c r="I942" s="1887"/>
      <c r="J942" s="1887"/>
      <c r="K942" s="1887"/>
      <c r="L942" s="1887"/>
      <c r="M942" s="1887"/>
      <c r="N942" s="1887"/>
      <c r="O942" s="1887"/>
      <c r="P942" s="1887"/>
      <c r="Q942" s="1887"/>
      <c r="R942" s="1887"/>
      <c r="S942" s="1887"/>
      <c r="T942" s="1887"/>
      <c r="U942" s="1887"/>
      <c r="V942" s="1887"/>
      <c r="W942" s="1887"/>
      <c r="X942" s="1887"/>
      <c r="Y942" s="1887"/>
      <c r="Z942" s="1887"/>
      <c r="AA942" s="1887"/>
      <c r="AB942" s="1887"/>
      <c r="AC942" s="1887"/>
    </row>
    <row r="943">
      <c r="A943" s="1887"/>
      <c r="B943" s="1887"/>
      <c r="C943" s="1887"/>
      <c r="D943" s="1887"/>
      <c r="E943" s="1887"/>
      <c r="F943" s="1887"/>
      <c r="G943" s="1887"/>
      <c r="H943" s="1887"/>
      <c r="I943" s="1887"/>
      <c r="J943" s="1887"/>
      <c r="K943" s="1887"/>
      <c r="L943" s="1887"/>
      <c r="M943" s="1887"/>
      <c r="N943" s="1887"/>
      <c r="O943" s="1887"/>
      <c r="P943" s="1887"/>
      <c r="Q943" s="1887"/>
      <c r="R943" s="1887"/>
      <c r="S943" s="1887"/>
      <c r="T943" s="1887"/>
      <c r="U943" s="1887"/>
      <c r="V943" s="1887"/>
      <c r="W943" s="1887"/>
      <c r="X943" s="1887"/>
      <c r="Y943" s="1887"/>
      <c r="Z943" s="1887"/>
      <c r="AA943" s="1887"/>
      <c r="AB943" s="1887"/>
      <c r="AC943" s="1887"/>
    </row>
    <row r="944">
      <c r="A944" s="1887"/>
      <c r="B944" s="1887"/>
      <c r="C944" s="1887"/>
      <c r="D944" s="1887"/>
      <c r="E944" s="1887"/>
      <c r="F944" s="1887"/>
      <c r="G944" s="1887"/>
      <c r="H944" s="1887"/>
      <c r="I944" s="1887"/>
      <c r="J944" s="1887"/>
      <c r="K944" s="1887"/>
      <c r="L944" s="1887"/>
      <c r="M944" s="1887"/>
      <c r="N944" s="1887"/>
      <c r="O944" s="1887"/>
      <c r="P944" s="1887"/>
      <c r="Q944" s="1887"/>
      <c r="R944" s="1887"/>
      <c r="S944" s="1887"/>
      <c r="T944" s="1887"/>
      <c r="U944" s="1887"/>
      <c r="V944" s="1887"/>
      <c r="W944" s="1887"/>
      <c r="X944" s="1887"/>
      <c r="Y944" s="1887"/>
      <c r="Z944" s="1887"/>
      <c r="AA944" s="1887"/>
      <c r="AB944" s="1887"/>
      <c r="AC944" s="1887"/>
    </row>
    <row r="945">
      <c r="A945" s="1887"/>
      <c r="B945" s="1887"/>
      <c r="C945" s="1887"/>
      <c r="D945" s="1887"/>
      <c r="E945" s="1887"/>
      <c r="F945" s="1887"/>
      <c r="G945" s="1887"/>
      <c r="H945" s="1887"/>
      <c r="I945" s="1887"/>
      <c r="J945" s="1887"/>
      <c r="K945" s="1887"/>
      <c r="L945" s="1887"/>
      <c r="M945" s="1887"/>
      <c r="N945" s="1887"/>
      <c r="O945" s="1887"/>
      <c r="P945" s="1887"/>
      <c r="Q945" s="1887"/>
      <c r="R945" s="1887"/>
      <c r="S945" s="1887"/>
      <c r="T945" s="1887"/>
      <c r="U945" s="1887"/>
      <c r="V945" s="1887"/>
      <c r="W945" s="1887"/>
      <c r="X945" s="1887"/>
      <c r="Y945" s="1887"/>
      <c r="Z945" s="1887"/>
      <c r="AA945" s="1887"/>
      <c r="AB945" s="1887"/>
      <c r="AC945" s="1887"/>
    </row>
    <row r="946">
      <c r="A946" s="1887"/>
      <c r="B946" s="1887"/>
      <c r="C946" s="1887"/>
      <c r="D946" s="1887"/>
      <c r="E946" s="1887"/>
      <c r="F946" s="1887"/>
      <c r="G946" s="1887"/>
      <c r="H946" s="1887"/>
      <c r="I946" s="1887"/>
      <c r="J946" s="1887"/>
      <c r="K946" s="1887"/>
      <c r="L946" s="1887"/>
      <c r="M946" s="1887"/>
      <c r="N946" s="1887"/>
      <c r="O946" s="1887"/>
      <c r="P946" s="1887"/>
      <c r="Q946" s="1887"/>
      <c r="R946" s="1887"/>
      <c r="S946" s="1887"/>
      <c r="T946" s="1887"/>
      <c r="U946" s="1887"/>
      <c r="V946" s="1887"/>
      <c r="W946" s="1887"/>
      <c r="X946" s="1887"/>
      <c r="Y946" s="1887"/>
      <c r="Z946" s="1887"/>
      <c r="AA946" s="1887"/>
      <c r="AB946" s="1887"/>
      <c r="AC946" s="1887"/>
    </row>
    <row r="947">
      <c r="A947" s="1887"/>
      <c r="B947" s="1887"/>
      <c r="C947" s="1887"/>
      <c r="D947" s="1887"/>
      <c r="E947" s="1887"/>
      <c r="F947" s="1887"/>
      <c r="G947" s="1887"/>
      <c r="H947" s="1887"/>
      <c r="I947" s="1887"/>
      <c r="J947" s="1887"/>
      <c r="K947" s="1887"/>
      <c r="L947" s="1887"/>
      <c r="M947" s="1887"/>
      <c r="N947" s="1887"/>
      <c r="O947" s="1887"/>
      <c r="P947" s="1887"/>
      <c r="Q947" s="1887"/>
      <c r="R947" s="1887"/>
      <c r="S947" s="1887"/>
      <c r="T947" s="1887"/>
      <c r="U947" s="1887"/>
      <c r="V947" s="1887"/>
      <c r="W947" s="1887"/>
      <c r="X947" s="1887"/>
      <c r="Y947" s="1887"/>
      <c r="Z947" s="1887"/>
      <c r="AA947" s="1887"/>
      <c r="AB947" s="1887"/>
      <c r="AC947" s="1887"/>
    </row>
    <row r="948">
      <c r="A948" s="1887"/>
      <c r="B948" s="1887"/>
      <c r="C948" s="1887"/>
      <c r="D948" s="1887"/>
      <c r="E948" s="1887"/>
      <c r="F948" s="1887"/>
      <c r="G948" s="1887"/>
      <c r="H948" s="1887"/>
      <c r="I948" s="1887"/>
      <c r="J948" s="1887"/>
      <c r="K948" s="1887"/>
      <c r="L948" s="1887"/>
      <c r="M948" s="1887"/>
      <c r="N948" s="1887"/>
      <c r="O948" s="1887"/>
      <c r="P948" s="1887"/>
      <c r="Q948" s="1887"/>
      <c r="R948" s="1887"/>
      <c r="S948" s="1887"/>
      <c r="T948" s="1887"/>
      <c r="U948" s="1887"/>
      <c r="V948" s="1887"/>
      <c r="W948" s="1887"/>
      <c r="X948" s="1887"/>
      <c r="Y948" s="1887"/>
      <c r="Z948" s="1887"/>
      <c r="AA948" s="1887"/>
      <c r="AB948" s="1887"/>
      <c r="AC948" s="1887"/>
    </row>
    <row r="949">
      <c r="A949" s="1887"/>
      <c r="B949" s="1887"/>
      <c r="C949" s="1887"/>
      <c r="D949" s="1887"/>
      <c r="E949" s="1887"/>
      <c r="F949" s="1887"/>
      <c r="G949" s="1887"/>
      <c r="H949" s="1887"/>
      <c r="I949" s="1887"/>
      <c r="J949" s="1887"/>
      <c r="K949" s="1887"/>
      <c r="L949" s="1887"/>
      <c r="M949" s="1887"/>
      <c r="N949" s="1887"/>
      <c r="O949" s="1887"/>
      <c r="P949" s="1887"/>
      <c r="Q949" s="1887"/>
      <c r="R949" s="1887"/>
      <c r="S949" s="1887"/>
      <c r="T949" s="1887"/>
      <c r="U949" s="1887"/>
      <c r="V949" s="1887"/>
      <c r="W949" s="1887"/>
      <c r="X949" s="1887"/>
      <c r="Y949" s="1887"/>
      <c r="Z949" s="1887"/>
      <c r="AA949" s="1887"/>
      <c r="AB949" s="1887"/>
      <c r="AC949" s="1887"/>
    </row>
    <row r="950">
      <c r="A950" s="1887"/>
      <c r="B950" s="1887"/>
      <c r="C950" s="1887"/>
      <c r="D950" s="1887"/>
      <c r="E950" s="1887"/>
      <c r="F950" s="1887"/>
      <c r="G950" s="1887"/>
      <c r="H950" s="1887"/>
      <c r="I950" s="1887"/>
      <c r="J950" s="1887"/>
      <c r="K950" s="1887"/>
      <c r="L950" s="1887"/>
      <c r="M950" s="1887"/>
      <c r="N950" s="1887"/>
      <c r="O950" s="1887"/>
      <c r="P950" s="1887"/>
      <c r="Q950" s="1887"/>
      <c r="R950" s="1887"/>
      <c r="S950" s="1887"/>
      <c r="T950" s="1887"/>
      <c r="U950" s="1887"/>
      <c r="V950" s="1887"/>
      <c r="W950" s="1887"/>
      <c r="X950" s="1887"/>
      <c r="Y950" s="1887"/>
      <c r="Z950" s="1887"/>
      <c r="AA950" s="1887"/>
      <c r="AB950" s="1887"/>
      <c r="AC950" s="1887"/>
    </row>
    <row r="951">
      <c r="A951" s="1887"/>
      <c r="B951" s="1887"/>
      <c r="C951" s="1887"/>
      <c r="D951" s="1887"/>
      <c r="E951" s="1887"/>
      <c r="F951" s="1887"/>
      <c r="G951" s="1887"/>
      <c r="H951" s="1887"/>
      <c r="I951" s="1887"/>
      <c r="J951" s="1887"/>
      <c r="K951" s="1887"/>
      <c r="L951" s="1887"/>
      <c r="M951" s="1887"/>
      <c r="N951" s="1887"/>
      <c r="O951" s="1887"/>
      <c r="P951" s="1887"/>
      <c r="Q951" s="1887"/>
      <c r="R951" s="1887"/>
      <c r="S951" s="1887"/>
      <c r="T951" s="1887"/>
      <c r="U951" s="1887"/>
      <c r="V951" s="1887"/>
      <c r="W951" s="1887"/>
      <c r="X951" s="1887"/>
      <c r="Y951" s="1887"/>
      <c r="Z951" s="1887"/>
      <c r="AA951" s="1887"/>
      <c r="AB951" s="1887"/>
      <c r="AC951" s="1887"/>
    </row>
    <row r="952">
      <c r="A952" s="1887"/>
      <c r="B952" s="1887"/>
      <c r="C952" s="1887"/>
      <c r="D952" s="1887"/>
      <c r="E952" s="1887"/>
      <c r="F952" s="1887"/>
      <c r="G952" s="1887"/>
      <c r="H952" s="1887"/>
      <c r="I952" s="1887"/>
      <c r="J952" s="1887"/>
      <c r="K952" s="1887"/>
      <c r="L952" s="1887"/>
      <c r="M952" s="1887"/>
      <c r="N952" s="1887"/>
      <c r="O952" s="1887"/>
      <c r="P952" s="1887"/>
      <c r="Q952" s="1887"/>
      <c r="R952" s="1887"/>
      <c r="S952" s="1887"/>
      <c r="T952" s="1887"/>
      <c r="U952" s="1887"/>
      <c r="V952" s="1887"/>
      <c r="W952" s="1887"/>
      <c r="X952" s="1887"/>
      <c r="Y952" s="1887"/>
      <c r="Z952" s="1887"/>
      <c r="AA952" s="1887"/>
      <c r="AB952" s="1887"/>
      <c r="AC952" s="1887"/>
    </row>
    <row r="953">
      <c r="A953" s="1887"/>
      <c r="B953" s="1887"/>
      <c r="C953" s="1887"/>
      <c r="D953" s="1887"/>
      <c r="E953" s="1887"/>
      <c r="F953" s="1887"/>
      <c r="G953" s="1887"/>
      <c r="H953" s="1887"/>
      <c r="I953" s="1887"/>
      <c r="J953" s="1887"/>
      <c r="K953" s="1887"/>
      <c r="L953" s="1887"/>
      <c r="M953" s="1887"/>
      <c r="N953" s="1887"/>
      <c r="O953" s="1887"/>
      <c r="P953" s="1887"/>
      <c r="Q953" s="1887"/>
      <c r="R953" s="1887"/>
      <c r="S953" s="1887"/>
      <c r="T953" s="1887"/>
      <c r="U953" s="1887"/>
      <c r="V953" s="1887"/>
      <c r="W953" s="1887"/>
      <c r="X953" s="1887"/>
      <c r="Y953" s="1887"/>
      <c r="Z953" s="1887"/>
      <c r="AA953" s="1887"/>
      <c r="AB953" s="1887"/>
      <c r="AC953" s="1887"/>
    </row>
    <row r="954">
      <c r="A954" s="1887"/>
      <c r="B954" s="1887"/>
      <c r="C954" s="1887"/>
      <c r="D954" s="1887"/>
      <c r="E954" s="1887"/>
      <c r="F954" s="1887"/>
      <c r="G954" s="1887"/>
      <c r="H954" s="1887"/>
      <c r="I954" s="1887"/>
      <c r="J954" s="1887"/>
      <c r="K954" s="1887"/>
      <c r="L954" s="1887"/>
      <c r="M954" s="1887"/>
      <c r="N954" s="1887"/>
      <c r="O954" s="1887"/>
      <c r="P954" s="1887"/>
      <c r="Q954" s="1887"/>
      <c r="R954" s="1887"/>
      <c r="S954" s="1887"/>
      <c r="T954" s="1887"/>
      <c r="U954" s="1887"/>
      <c r="V954" s="1887"/>
      <c r="W954" s="1887"/>
      <c r="X954" s="1887"/>
      <c r="Y954" s="1887"/>
      <c r="Z954" s="1887"/>
      <c r="AA954" s="1887"/>
      <c r="AB954" s="1887"/>
      <c r="AC954" s="1887"/>
    </row>
    <row r="955">
      <c r="A955" s="1887"/>
      <c r="B955" s="1887"/>
      <c r="C955" s="1887"/>
      <c r="D955" s="1887"/>
      <c r="E955" s="1887"/>
      <c r="F955" s="1887"/>
      <c r="G955" s="1887"/>
      <c r="H955" s="1887"/>
      <c r="I955" s="1887"/>
      <c r="J955" s="1887"/>
      <c r="K955" s="1887"/>
      <c r="L955" s="1887"/>
      <c r="M955" s="1887"/>
      <c r="N955" s="1887"/>
      <c r="O955" s="1887"/>
      <c r="P955" s="1887"/>
      <c r="Q955" s="1887"/>
      <c r="R955" s="1887"/>
      <c r="S955" s="1887"/>
      <c r="T955" s="1887"/>
      <c r="U955" s="1887"/>
      <c r="V955" s="1887"/>
      <c r="W955" s="1887"/>
      <c r="X955" s="1887"/>
      <c r="Y955" s="1887"/>
      <c r="Z955" s="1887"/>
      <c r="AA955" s="1887"/>
      <c r="AB955" s="1887"/>
      <c r="AC955" s="1887"/>
    </row>
    <row r="956">
      <c r="A956" s="1887"/>
      <c r="B956" s="1887"/>
      <c r="C956" s="1887"/>
      <c r="D956" s="1887"/>
      <c r="E956" s="1887"/>
      <c r="F956" s="1887"/>
      <c r="G956" s="1887"/>
      <c r="H956" s="1887"/>
      <c r="I956" s="1887"/>
      <c r="J956" s="1887"/>
      <c r="K956" s="1887"/>
      <c r="L956" s="1887"/>
      <c r="M956" s="1887"/>
      <c r="N956" s="1887"/>
      <c r="O956" s="1887"/>
      <c r="P956" s="1887"/>
      <c r="Q956" s="1887"/>
      <c r="R956" s="1887"/>
      <c r="S956" s="1887"/>
      <c r="T956" s="1887"/>
      <c r="U956" s="1887"/>
      <c r="V956" s="1887"/>
      <c r="W956" s="1887"/>
      <c r="X956" s="1887"/>
      <c r="Y956" s="1887"/>
      <c r="Z956" s="1887"/>
      <c r="AA956" s="1887"/>
      <c r="AB956" s="1887"/>
      <c r="AC956" s="1887"/>
    </row>
    <row r="957">
      <c r="A957" s="1887"/>
      <c r="B957" s="1887"/>
      <c r="C957" s="1887"/>
      <c r="D957" s="1887"/>
      <c r="E957" s="1887"/>
      <c r="F957" s="1887"/>
      <c r="G957" s="1887"/>
      <c r="H957" s="1887"/>
      <c r="I957" s="1887"/>
      <c r="J957" s="1887"/>
      <c r="K957" s="1887"/>
      <c r="L957" s="1887"/>
      <c r="M957" s="1887"/>
      <c r="N957" s="1887"/>
      <c r="O957" s="1887"/>
      <c r="P957" s="1887"/>
      <c r="Q957" s="1887"/>
      <c r="R957" s="1887"/>
      <c r="S957" s="1887"/>
      <c r="T957" s="1887"/>
      <c r="U957" s="1887"/>
      <c r="V957" s="1887"/>
      <c r="W957" s="1887"/>
      <c r="X957" s="1887"/>
      <c r="Y957" s="1887"/>
      <c r="Z957" s="1887"/>
      <c r="AA957" s="1887"/>
      <c r="AB957" s="1887"/>
      <c r="AC957" s="1887"/>
    </row>
    <row r="958">
      <c r="A958" s="1887"/>
      <c r="B958" s="1887"/>
      <c r="C958" s="1887"/>
      <c r="D958" s="1887"/>
      <c r="E958" s="1887"/>
      <c r="F958" s="1887"/>
      <c r="G958" s="1887"/>
      <c r="H958" s="1887"/>
      <c r="I958" s="1887"/>
      <c r="J958" s="1887"/>
      <c r="K958" s="1887"/>
      <c r="L958" s="1887"/>
      <c r="M958" s="1887"/>
      <c r="N958" s="1887"/>
      <c r="O958" s="1887"/>
      <c r="P958" s="1887"/>
      <c r="Q958" s="1887"/>
      <c r="R958" s="1887"/>
      <c r="S958" s="1887"/>
      <c r="T958" s="1887"/>
      <c r="U958" s="1887"/>
      <c r="V958" s="1887"/>
      <c r="W958" s="1887"/>
      <c r="X958" s="1887"/>
      <c r="Y958" s="1887"/>
      <c r="Z958" s="1887"/>
      <c r="AA958" s="1887"/>
      <c r="AB958" s="1887"/>
      <c r="AC958" s="1887"/>
    </row>
    <row r="959">
      <c r="A959" s="1887"/>
      <c r="B959" s="1887"/>
      <c r="C959" s="1887"/>
      <c r="D959" s="1887"/>
      <c r="E959" s="1887"/>
      <c r="F959" s="1887"/>
      <c r="G959" s="1887"/>
      <c r="H959" s="1887"/>
      <c r="I959" s="1887"/>
      <c r="J959" s="1887"/>
      <c r="K959" s="1887"/>
      <c r="L959" s="1887"/>
      <c r="M959" s="1887"/>
      <c r="N959" s="1887"/>
      <c r="O959" s="1887"/>
      <c r="P959" s="1887"/>
      <c r="Q959" s="1887"/>
      <c r="R959" s="1887"/>
      <c r="S959" s="1887"/>
      <c r="T959" s="1887"/>
      <c r="U959" s="1887"/>
      <c r="V959" s="1887"/>
      <c r="W959" s="1887"/>
      <c r="X959" s="1887"/>
      <c r="Y959" s="1887"/>
      <c r="Z959" s="1887"/>
      <c r="AA959" s="1887"/>
      <c r="AB959" s="1887"/>
      <c r="AC959" s="1887"/>
    </row>
    <row r="960">
      <c r="A960" s="1887"/>
      <c r="B960" s="1887"/>
      <c r="C960" s="1887"/>
      <c r="D960" s="1887"/>
      <c r="E960" s="1887"/>
      <c r="F960" s="1887"/>
      <c r="G960" s="1887"/>
      <c r="H960" s="1887"/>
      <c r="I960" s="1887"/>
      <c r="J960" s="1887"/>
      <c r="K960" s="1887"/>
      <c r="L960" s="1887"/>
      <c r="M960" s="1887"/>
      <c r="N960" s="1887"/>
      <c r="O960" s="1887"/>
      <c r="P960" s="1887"/>
      <c r="Q960" s="1887"/>
      <c r="R960" s="1887"/>
      <c r="S960" s="1887"/>
      <c r="T960" s="1887"/>
      <c r="U960" s="1887"/>
      <c r="V960" s="1887"/>
      <c r="W960" s="1887"/>
      <c r="X960" s="1887"/>
      <c r="Y960" s="1887"/>
      <c r="Z960" s="1887"/>
      <c r="AA960" s="1887"/>
      <c r="AB960" s="1887"/>
      <c r="AC960" s="1887"/>
    </row>
    <row r="961">
      <c r="A961" s="1887"/>
      <c r="B961" s="1887"/>
      <c r="C961" s="1887"/>
      <c r="D961" s="1887"/>
      <c r="E961" s="1887"/>
      <c r="F961" s="1887"/>
      <c r="G961" s="1887"/>
      <c r="H961" s="1887"/>
      <c r="I961" s="1887"/>
      <c r="J961" s="1887"/>
      <c r="K961" s="1887"/>
      <c r="L961" s="1887"/>
      <c r="M961" s="1887"/>
      <c r="N961" s="1887"/>
      <c r="O961" s="1887"/>
      <c r="P961" s="1887"/>
      <c r="Q961" s="1887"/>
      <c r="R961" s="1887"/>
      <c r="S961" s="1887"/>
      <c r="T961" s="1887"/>
      <c r="U961" s="1887"/>
      <c r="V961" s="1887"/>
      <c r="W961" s="1887"/>
      <c r="X961" s="1887"/>
      <c r="Y961" s="1887"/>
      <c r="Z961" s="1887"/>
      <c r="AA961" s="1887"/>
      <c r="AB961" s="1887"/>
      <c r="AC961" s="1887"/>
    </row>
    <row r="962">
      <c r="A962" s="1887"/>
      <c r="B962" s="1887"/>
      <c r="C962" s="1887"/>
      <c r="D962" s="1887"/>
      <c r="E962" s="1887"/>
      <c r="F962" s="1887"/>
      <c r="G962" s="1887"/>
      <c r="H962" s="1887"/>
      <c r="I962" s="1887"/>
      <c r="J962" s="1887"/>
      <c r="K962" s="1887"/>
      <c r="L962" s="1887"/>
      <c r="M962" s="1887"/>
      <c r="N962" s="1887"/>
      <c r="O962" s="1887"/>
      <c r="P962" s="1887"/>
      <c r="Q962" s="1887"/>
      <c r="R962" s="1887"/>
      <c r="S962" s="1887"/>
      <c r="T962" s="1887"/>
      <c r="U962" s="1887"/>
      <c r="V962" s="1887"/>
      <c r="W962" s="1887"/>
      <c r="X962" s="1887"/>
      <c r="Y962" s="1887"/>
      <c r="Z962" s="1887"/>
      <c r="AA962" s="1887"/>
      <c r="AB962" s="1887"/>
      <c r="AC962" s="1887"/>
    </row>
    <row r="963">
      <c r="A963" s="1887"/>
      <c r="B963" s="1887"/>
      <c r="C963" s="1887"/>
      <c r="D963" s="1887"/>
      <c r="E963" s="1887"/>
      <c r="F963" s="1887"/>
      <c r="G963" s="1887"/>
      <c r="H963" s="1887"/>
      <c r="I963" s="1887"/>
      <c r="J963" s="1887"/>
      <c r="K963" s="1887"/>
      <c r="L963" s="1887"/>
      <c r="M963" s="1887"/>
      <c r="N963" s="1887"/>
      <c r="O963" s="1887"/>
      <c r="P963" s="1887"/>
      <c r="Q963" s="1887"/>
      <c r="R963" s="1887"/>
      <c r="S963" s="1887"/>
      <c r="T963" s="1887"/>
      <c r="U963" s="1887"/>
      <c r="V963" s="1887"/>
      <c r="W963" s="1887"/>
      <c r="X963" s="1887"/>
      <c r="Y963" s="1887"/>
      <c r="Z963" s="1887"/>
      <c r="AA963" s="1887"/>
      <c r="AB963" s="1887"/>
      <c r="AC963" s="1887"/>
    </row>
    <row r="964">
      <c r="A964" s="1887"/>
      <c r="B964" s="1887"/>
      <c r="C964" s="1887"/>
      <c r="D964" s="1887"/>
      <c r="E964" s="1887"/>
      <c r="F964" s="1887"/>
      <c r="G964" s="1887"/>
      <c r="H964" s="1887"/>
      <c r="I964" s="1887"/>
      <c r="J964" s="1887"/>
      <c r="K964" s="1887"/>
      <c r="L964" s="1887"/>
      <c r="M964" s="1887"/>
      <c r="N964" s="1887"/>
      <c r="O964" s="1887"/>
      <c r="P964" s="1887"/>
      <c r="Q964" s="1887"/>
      <c r="R964" s="1887"/>
      <c r="S964" s="1887"/>
      <c r="T964" s="1887"/>
      <c r="U964" s="1887"/>
      <c r="V964" s="1887"/>
      <c r="W964" s="1887"/>
      <c r="X964" s="1887"/>
      <c r="Y964" s="1887"/>
      <c r="Z964" s="1887"/>
      <c r="AA964" s="1887"/>
      <c r="AB964" s="1887"/>
      <c r="AC964" s="1887"/>
    </row>
    <row r="965">
      <c r="A965" s="1887"/>
      <c r="B965" s="1887"/>
      <c r="C965" s="1887"/>
      <c r="D965" s="1887"/>
      <c r="E965" s="1887"/>
      <c r="F965" s="1887"/>
      <c r="G965" s="1887"/>
      <c r="H965" s="1887"/>
      <c r="I965" s="1887"/>
      <c r="J965" s="1887"/>
      <c r="K965" s="1887"/>
      <c r="L965" s="1887"/>
      <c r="M965" s="1887"/>
      <c r="N965" s="1887"/>
      <c r="O965" s="1887"/>
      <c r="P965" s="1887"/>
      <c r="Q965" s="1887"/>
      <c r="R965" s="1887"/>
      <c r="S965" s="1887"/>
      <c r="T965" s="1887"/>
      <c r="U965" s="1887"/>
      <c r="V965" s="1887"/>
      <c r="W965" s="1887"/>
      <c r="X965" s="1887"/>
      <c r="Y965" s="1887"/>
      <c r="Z965" s="1887"/>
      <c r="AA965" s="1887"/>
      <c r="AB965" s="1887"/>
      <c r="AC965" s="1887"/>
    </row>
    <row r="966">
      <c r="A966" s="1887"/>
      <c r="B966" s="1887"/>
      <c r="C966" s="1887"/>
      <c r="D966" s="1887"/>
      <c r="E966" s="1887"/>
      <c r="F966" s="1887"/>
      <c r="G966" s="1887"/>
      <c r="H966" s="1887"/>
      <c r="I966" s="1887"/>
      <c r="J966" s="1887"/>
      <c r="K966" s="1887"/>
      <c r="L966" s="1887"/>
      <c r="M966" s="1887"/>
      <c r="N966" s="1887"/>
      <c r="O966" s="1887"/>
      <c r="P966" s="1887"/>
      <c r="Q966" s="1887"/>
      <c r="R966" s="1887"/>
      <c r="S966" s="1887"/>
      <c r="T966" s="1887"/>
      <c r="U966" s="1887"/>
      <c r="V966" s="1887"/>
      <c r="W966" s="1887"/>
      <c r="X966" s="1887"/>
      <c r="Y966" s="1887"/>
      <c r="Z966" s="1887"/>
      <c r="AA966" s="1887"/>
      <c r="AB966" s="1887"/>
      <c r="AC966" s="1887"/>
    </row>
    <row r="967">
      <c r="A967" s="1887"/>
      <c r="B967" s="1887"/>
      <c r="C967" s="1887"/>
      <c r="D967" s="1887"/>
      <c r="E967" s="1887"/>
      <c r="F967" s="1887"/>
      <c r="G967" s="1887"/>
      <c r="H967" s="1887"/>
      <c r="I967" s="1887"/>
      <c r="J967" s="1887"/>
      <c r="K967" s="1887"/>
      <c r="L967" s="1887"/>
      <c r="M967" s="1887"/>
      <c r="N967" s="1887"/>
      <c r="O967" s="1887"/>
      <c r="P967" s="1887"/>
      <c r="Q967" s="1887"/>
      <c r="R967" s="1887"/>
      <c r="S967" s="1887"/>
      <c r="T967" s="1887"/>
      <c r="U967" s="1887"/>
      <c r="V967" s="1887"/>
      <c r="W967" s="1887"/>
      <c r="X967" s="1887"/>
      <c r="Y967" s="1887"/>
      <c r="Z967" s="1887"/>
      <c r="AA967" s="1887"/>
      <c r="AB967" s="1887"/>
      <c r="AC967" s="1887"/>
    </row>
    <row r="968">
      <c r="A968" s="1887"/>
      <c r="B968" s="1887"/>
      <c r="C968" s="1887"/>
      <c r="D968" s="1887"/>
      <c r="E968" s="1887"/>
      <c r="F968" s="1887"/>
      <c r="G968" s="1887"/>
      <c r="H968" s="1887"/>
      <c r="I968" s="1887"/>
      <c r="J968" s="1887"/>
      <c r="K968" s="1887"/>
      <c r="L968" s="1887"/>
      <c r="M968" s="1887"/>
      <c r="N968" s="1887"/>
      <c r="O968" s="1887"/>
      <c r="P968" s="1887"/>
      <c r="Q968" s="1887"/>
      <c r="R968" s="1887"/>
      <c r="S968" s="1887"/>
      <c r="T968" s="1887"/>
      <c r="U968" s="1887"/>
      <c r="V968" s="1887"/>
      <c r="W968" s="1887"/>
      <c r="X968" s="1887"/>
      <c r="Y968" s="1887"/>
      <c r="Z968" s="1887"/>
      <c r="AA968" s="1887"/>
      <c r="AB968" s="1887"/>
      <c r="AC968" s="1887"/>
    </row>
    <row r="969">
      <c r="A969" s="1887"/>
      <c r="B969" s="1887"/>
      <c r="C969" s="1887"/>
      <c r="D969" s="1887"/>
      <c r="E969" s="1887"/>
      <c r="F969" s="1887"/>
      <c r="G969" s="1887"/>
      <c r="H969" s="1887"/>
      <c r="I969" s="1887"/>
      <c r="J969" s="1887"/>
      <c r="K969" s="1887"/>
      <c r="L969" s="1887"/>
      <c r="M969" s="1887"/>
      <c r="N969" s="1887"/>
      <c r="O969" s="1887"/>
      <c r="P969" s="1887"/>
      <c r="Q969" s="1887"/>
      <c r="R969" s="1887"/>
      <c r="S969" s="1887"/>
      <c r="T969" s="1887"/>
      <c r="U969" s="1887"/>
      <c r="V969" s="1887"/>
      <c r="W969" s="1887"/>
      <c r="X969" s="1887"/>
      <c r="Y969" s="1887"/>
      <c r="Z969" s="1887"/>
      <c r="AA969" s="1887"/>
      <c r="AB969" s="1887"/>
      <c r="AC969" s="1887"/>
    </row>
    <row r="970">
      <c r="A970" s="1887"/>
      <c r="B970" s="1887"/>
      <c r="C970" s="1887"/>
      <c r="D970" s="1887"/>
      <c r="E970" s="1887"/>
      <c r="F970" s="1887"/>
      <c r="G970" s="1887"/>
      <c r="H970" s="1887"/>
      <c r="I970" s="1887"/>
      <c r="J970" s="1887"/>
      <c r="K970" s="1887"/>
      <c r="L970" s="1887"/>
      <c r="M970" s="1887"/>
      <c r="N970" s="1887"/>
      <c r="O970" s="1887"/>
      <c r="P970" s="1887"/>
      <c r="Q970" s="1887"/>
      <c r="R970" s="1887"/>
      <c r="S970" s="1887"/>
      <c r="T970" s="1887"/>
      <c r="U970" s="1887"/>
      <c r="V970" s="1887"/>
      <c r="W970" s="1887"/>
      <c r="X970" s="1887"/>
      <c r="Y970" s="1887"/>
      <c r="Z970" s="1887"/>
      <c r="AA970" s="1887"/>
      <c r="AB970" s="1887"/>
      <c r="AC970" s="1887"/>
    </row>
    <row r="971">
      <c r="A971" s="1887"/>
      <c r="B971" s="1887"/>
      <c r="C971" s="1887"/>
      <c r="D971" s="1887"/>
      <c r="E971" s="1887"/>
      <c r="F971" s="1887"/>
      <c r="G971" s="1887"/>
      <c r="H971" s="1887"/>
      <c r="I971" s="1887"/>
      <c r="J971" s="1887"/>
      <c r="K971" s="1887"/>
      <c r="L971" s="1887"/>
      <c r="M971" s="1887"/>
      <c r="N971" s="1887"/>
      <c r="O971" s="1887"/>
      <c r="P971" s="1887"/>
      <c r="Q971" s="1887"/>
      <c r="R971" s="1887"/>
      <c r="S971" s="1887"/>
      <c r="T971" s="1887"/>
      <c r="U971" s="1887"/>
      <c r="V971" s="1887"/>
      <c r="W971" s="1887"/>
      <c r="X971" s="1887"/>
      <c r="Y971" s="1887"/>
      <c r="Z971" s="1887"/>
      <c r="AA971" s="1887"/>
      <c r="AB971" s="1887"/>
      <c r="AC971" s="1887"/>
    </row>
    <row r="972">
      <c r="A972" s="1887"/>
      <c r="B972" s="1887"/>
      <c r="C972" s="1887"/>
      <c r="D972" s="1887"/>
      <c r="E972" s="1887"/>
      <c r="F972" s="1887"/>
      <c r="G972" s="1887"/>
      <c r="H972" s="1887"/>
      <c r="I972" s="1887"/>
      <c r="J972" s="1887"/>
      <c r="K972" s="1887"/>
      <c r="L972" s="1887"/>
      <c r="M972" s="1887"/>
      <c r="N972" s="1887"/>
      <c r="O972" s="1887"/>
      <c r="P972" s="1887"/>
      <c r="Q972" s="1887"/>
      <c r="R972" s="1887"/>
      <c r="S972" s="1887"/>
      <c r="T972" s="1887"/>
      <c r="U972" s="1887"/>
      <c r="V972" s="1887"/>
      <c r="W972" s="1887"/>
      <c r="X972" s="1887"/>
      <c r="Y972" s="1887"/>
      <c r="Z972" s="1887"/>
      <c r="AA972" s="1887"/>
      <c r="AB972" s="1887"/>
      <c r="AC972" s="1887"/>
    </row>
    <row r="973">
      <c r="A973" s="1887"/>
      <c r="B973" s="1887"/>
      <c r="C973" s="1887"/>
      <c r="D973" s="1887"/>
      <c r="E973" s="1887"/>
      <c r="F973" s="1887"/>
      <c r="G973" s="1887"/>
      <c r="H973" s="1887"/>
      <c r="I973" s="1887"/>
      <c r="J973" s="1887"/>
      <c r="K973" s="1887"/>
      <c r="L973" s="1887"/>
      <c r="M973" s="1887"/>
      <c r="N973" s="1887"/>
      <c r="O973" s="1887"/>
      <c r="P973" s="1887"/>
      <c r="Q973" s="1887"/>
      <c r="R973" s="1887"/>
      <c r="S973" s="1887"/>
      <c r="T973" s="1887"/>
      <c r="U973" s="1887"/>
      <c r="V973" s="1887"/>
      <c r="W973" s="1887"/>
      <c r="X973" s="1887"/>
      <c r="Y973" s="1887"/>
      <c r="Z973" s="1887"/>
      <c r="AA973" s="1887"/>
      <c r="AB973" s="1887"/>
      <c r="AC973" s="1887"/>
    </row>
    <row r="974">
      <c r="A974" s="1887"/>
      <c r="B974" s="1887"/>
      <c r="C974" s="1887"/>
      <c r="D974" s="1887"/>
      <c r="E974" s="1887"/>
      <c r="F974" s="1887"/>
      <c r="G974" s="1887"/>
      <c r="H974" s="1887"/>
      <c r="I974" s="1887"/>
      <c r="J974" s="1887"/>
      <c r="K974" s="1887"/>
      <c r="L974" s="1887"/>
      <c r="M974" s="1887"/>
      <c r="N974" s="1887"/>
      <c r="O974" s="1887"/>
      <c r="P974" s="1887"/>
      <c r="Q974" s="1887"/>
      <c r="R974" s="1887"/>
      <c r="S974" s="1887"/>
      <c r="T974" s="1887"/>
      <c r="U974" s="1887"/>
      <c r="V974" s="1887"/>
      <c r="W974" s="1887"/>
      <c r="X974" s="1887"/>
      <c r="Y974" s="1887"/>
      <c r="Z974" s="1887"/>
      <c r="AA974" s="1887"/>
      <c r="AB974" s="1887"/>
      <c r="AC974" s="1887"/>
    </row>
    <row r="975">
      <c r="A975" s="1887"/>
      <c r="B975" s="1887"/>
      <c r="C975" s="1887"/>
      <c r="D975" s="1887"/>
      <c r="E975" s="1887"/>
      <c r="F975" s="1887"/>
      <c r="G975" s="1887"/>
      <c r="H975" s="1887"/>
      <c r="I975" s="1887"/>
      <c r="J975" s="1887"/>
      <c r="K975" s="1887"/>
      <c r="L975" s="1887"/>
      <c r="M975" s="1887"/>
      <c r="N975" s="1887"/>
      <c r="O975" s="1887"/>
      <c r="P975" s="1887"/>
      <c r="Q975" s="1887"/>
      <c r="R975" s="1887"/>
      <c r="S975" s="1887"/>
      <c r="T975" s="1887"/>
      <c r="U975" s="1887"/>
      <c r="V975" s="1887"/>
      <c r="W975" s="1887"/>
      <c r="X975" s="1887"/>
      <c r="Y975" s="1887"/>
      <c r="Z975" s="1887"/>
      <c r="AA975" s="1887"/>
      <c r="AB975" s="1887"/>
      <c r="AC975" s="1887"/>
    </row>
    <row r="976">
      <c r="A976" s="1887"/>
      <c r="B976" s="1887"/>
      <c r="C976" s="1887"/>
      <c r="D976" s="1887"/>
      <c r="E976" s="1887"/>
      <c r="F976" s="1887"/>
      <c r="G976" s="1887"/>
      <c r="H976" s="1887"/>
      <c r="I976" s="1887"/>
      <c r="J976" s="1887"/>
      <c r="K976" s="1887"/>
      <c r="L976" s="1887"/>
      <c r="M976" s="1887"/>
      <c r="N976" s="1887"/>
      <c r="O976" s="1887"/>
      <c r="P976" s="1887"/>
      <c r="Q976" s="1887"/>
      <c r="R976" s="1887"/>
      <c r="S976" s="1887"/>
      <c r="T976" s="1887"/>
      <c r="U976" s="1887"/>
      <c r="V976" s="1887"/>
      <c r="W976" s="1887"/>
      <c r="X976" s="1887"/>
      <c r="Y976" s="1887"/>
      <c r="Z976" s="1887"/>
      <c r="AA976" s="1887"/>
      <c r="AB976" s="1887"/>
      <c r="AC976" s="1887"/>
    </row>
    <row r="977">
      <c r="A977" s="1887"/>
      <c r="B977" s="1887"/>
      <c r="C977" s="1887"/>
      <c r="D977" s="1887"/>
      <c r="E977" s="1887"/>
      <c r="F977" s="1887"/>
      <c r="G977" s="1887"/>
      <c r="H977" s="1887"/>
      <c r="I977" s="1887"/>
      <c r="J977" s="1887"/>
      <c r="K977" s="1887"/>
      <c r="L977" s="1887"/>
      <c r="M977" s="1887"/>
      <c r="N977" s="1887"/>
      <c r="O977" s="1887"/>
      <c r="P977" s="1887"/>
      <c r="Q977" s="1887"/>
      <c r="R977" s="1887"/>
      <c r="S977" s="1887"/>
      <c r="T977" s="1887"/>
      <c r="U977" s="1887"/>
      <c r="V977" s="1887"/>
      <c r="W977" s="1887"/>
      <c r="X977" s="1887"/>
      <c r="Y977" s="1887"/>
      <c r="Z977" s="1887"/>
      <c r="AA977" s="1887"/>
      <c r="AB977" s="1887"/>
      <c r="AC977" s="1887"/>
    </row>
    <row r="978">
      <c r="A978" s="1887"/>
      <c r="B978" s="1887"/>
      <c r="C978" s="1887"/>
      <c r="D978" s="1887"/>
      <c r="E978" s="1887"/>
      <c r="F978" s="1887"/>
      <c r="G978" s="1887"/>
      <c r="H978" s="1887"/>
      <c r="I978" s="1887"/>
      <c r="J978" s="1887"/>
      <c r="K978" s="1887"/>
      <c r="L978" s="1887"/>
      <c r="M978" s="1887"/>
      <c r="N978" s="1887"/>
      <c r="O978" s="1887"/>
      <c r="P978" s="1887"/>
      <c r="Q978" s="1887"/>
      <c r="R978" s="1887"/>
      <c r="S978" s="1887"/>
      <c r="T978" s="1887"/>
      <c r="U978" s="1887"/>
      <c r="V978" s="1887"/>
      <c r="W978" s="1887"/>
      <c r="X978" s="1887"/>
      <c r="Y978" s="1887"/>
      <c r="Z978" s="1887"/>
      <c r="AA978" s="1887"/>
      <c r="AB978" s="1887"/>
      <c r="AC978" s="1887"/>
    </row>
    <row r="979">
      <c r="A979" s="1887"/>
      <c r="B979" s="1887"/>
      <c r="C979" s="1887"/>
      <c r="D979" s="1887"/>
      <c r="E979" s="1887"/>
      <c r="F979" s="1887"/>
      <c r="G979" s="1887"/>
      <c r="H979" s="1887"/>
      <c r="I979" s="1887"/>
      <c r="J979" s="1887"/>
      <c r="K979" s="1887"/>
      <c r="L979" s="1887"/>
      <c r="M979" s="1887"/>
      <c r="N979" s="1887"/>
      <c r="O979" s="1887"/>
      <c r="P979" s="1887"/>
      <c r="Q979" s="1887"/>
      <c r="R979" s="1887"/>
      <c r="S979" s="1887"/>
      <c r="T979" s="1887"/>
      <c r="U979" s="1887"/>
      <c r="V979" s="1887"/>
      <c r="W979" s="1887"/>
      <c r="X979" s="1887"/>
      <c r="Y979" s="1887"/>
      <c r="Z979" s="1887"/>
      <c r="AA979" s="1887"/>
      <c r="AB979" s="1887"/>
      <c r="AC979" s="1887"/>
    </row>
    <row r="980">
      <c r="A980" s="1887"/>
      <c r="B980" s="1887"/>
      <c r="C980" s="1887"/>
      <c r="D980" s="1887"/>
      <c r="E980" s="1887"/>
      <c r="F980" s="1887"/>
      <c r="G980" s="1887"/>
      <c r="H980" s="1887"/>
      <c r="I980" s="1887"/>
      <c r="J980" s="1887"/>
      <c r="K980" s="1887"/>
      <c r="L980" s="1887"/>
      <c r="M980" s="1887"/>
      <c r="N980" s="1887"/>
      <c r="O980" s="1887"/>
      <c r="P980" s="1887"/>
      <c r="Q980" s="1887"/>
      <c r="R980" s="1887"/>
      <c r="S980" s="1887"/>
      <c r="T980" s="1887"/>
      <c r="U980" s="1887"/>
      <c r="V980" s="1887"/>
      <c r="W980" s="1887"/>
      <c r="X980" s="1887"/>
      <c r="Y980" s="1887"/>
      <c r="Z980" s="1887"/>
      <c r="AA980" s="1887"/>
      <c r="AB980" s="1887"/>
      <c r="AC980" s="1887"/>
    </row>
    <row r="981">
      <c r="A981" s="1887"/>
      <c r="B981" s="1887"/>
      <c r="C981" s="1887"/>
      <c r="D981" s="1887"/>
      <c r="E981" s="1887"/>
      <c r="F981" s="1887"/>
      <c r="G981" s="1887"/>
      <c r="H981" s="1887"/>
      <c r="I981" s="1887"/>
      <c r="J981" s="1887"/>
      <c r="K981" s="1887"/>
      <c r="L981" s="1887"/>
      <c r="M981" s="1887"/>
      <c r="N981" s="1887"/>
      <c r="O981" s="1887"/>
      <c r="P981" s="1887"/>
      <c r="Q981" s="1887"/>
      <c r="R981" s="1887"/>
      <c r="S981" s="1887"/>
      <c r="T981" s="1887"/>
      <c r="U981" s="1887"/>
      <c r="V981" s="1887"/>
      <c r="W981" s="1887"/>
      <c r="X981" s="1887"/>
      <c r="Y981" s="1887"/>
      <c r="Z981" s="1887"/>
      <c r="AA981" s="1887"/>
      <c r="AB981" s="1887"/>
      <c r="AC981" s="1887"/>
    </row>
    <row r="982">
      <c r="A982" s="1887"/>
      <c r="B982" s="1887"/>
      <c r="C982" s="1887"/>
      <c r="D982" s="1887"/>
      <c r="E982" s="1887"/>
      <c r="F982" s="1887"/>
      <c r="G982" s="1887"/>
      <c r="H982" s="1887"/>
      <c r="I982" s="1887"/>
      <c r="J982" s="1887"/>
      <c r="K982" s="1887"/>
      <c r="L982" s="1887"/>
      <c r="M982" s="1887"/>
      <c r="N982" s="1887"/>
      <c r="O982" s="1887"/>
      <c r="P982" s="1887"/>
      <c r="Q982" s="1887"/>
      <c r="R982" s="1887"/>
      <c r="S982" s="1887"/>
      <c r="T982" s="1887"/>
      <c r="U982" s="1887"/>
      <c r="V982" s="1887"/>
      <c r="W982" s="1887"/>
      <c r="X982" s="1887"/>
      <c r="Y982" s="1887"/>
      <c r="Z982" s="1887"/>
      <c r="AA982" s="1887"/>
      <c r="AB982" s="1887"/>
      <c r="AC982" s="1887"/>
    </row>
    <row r="983">
      <c r="A983" s="1887"/>
      <c r="B983" s="1887"/>
      <c r="C983" s="1887"/>
      <c r="D983" s="1887"/>
      <c r="E983" s="1887"/>
      <c r="F983" s="1887"/>
      <c r="G983" s="1887"/>
      <c r="H983" s="1887"/>
      <c r="I983" s="1887"/>
      <c r="J983" s="1887"/>
      <c r="K983" s="1887"/>
      <c r="L983" s="1887"/>
      <c r="M983" s="1887"/>
      <c r="N983" s="1887"/>
      <c r="O983" s="1887"/>
      <c r="P983" s="1887"/>
      <c r="Q983" s="1887"/>
      <c r="R983" s="1887"/>
      <c r="S983" s="1887"/>
      <c r="T983" s="1887"/>
      <c r="U983" s="1887"/>
      <c r="V983" s="1887"/>
      <c r="W983" s="1887"/>
      <c r="X983" s="1887"/>
      <c r="Y983" s="1887"/>
      <c r="Z983" s="1887"/>
      <c r="AA983" s="1887"/>
      <c r="AB983" s="1887"/>
      <c r="AC983" s="1887"/>
    </row>
    <row r="984">
      <c r="A984" s="1887"/>
      <c r="B984" s="1887"/>
      <c r="C984" s="1887"/>
      <c r="D984" s="1887"/>
      <c r="E984" s="1887"/>
      <c r="F984" s="1887"/>
      <c r="G984" s="1887"/>
      <c r="H984" s="1887"/>
      <c r="I984" s="1887"/>
      <c r="J984" s="1887"/>
      <c r="K984" s="1887"/>
      <c r="L984" s="1887"/>
      <c r="M984" s="1887"/>
      <c r="N984" s="1887"/>
      <c r="O984" s="1887"/>
      <c r="P984" s="1887"/>
      <c r="Q984" s="1887"/>
      <c r="R984" s="1887"/>
      <c r="S984" s="1887"/>
      <c r="T984" s="1887"/>
      <c r="U984" s="1887"/>
      <c r="V984" s="1887"/>
      <c r="W984" s="1887"/>
      <c r="X984" s="1887"/>
      <c r="Y984" s="1887"/>
      <c r="Z984" s="1887"/>
      <c r="AA984" s="1887"/>
      <c r="AB984" s="1887"/>
      <c r="AC984" s="1887"/>
    </row>
    <row r="985">
      <c r="A985" s="1887"/>
      <c r="B985" s="1887"/>
      <c r="C985" s="1887"/>
      <c r="D985" s="1887"/>
      <c r="E985" s="1887"/>
      <c r="F985" s="1887"/>
      <c r="G985" s="1887"/>
      <c r="H985" s="1887"/>
      <c r="I985" s="1887"/>
      <c r="J985" s="1887"/>
      <c r="K985" s="1887"/>
      <c r="L985" s="1887"/>
      <c r="M985" s="1887"/>
      <c r="N985" s="1887"/>
      <c r="O985" s="1887"/>
      <c r="P985" s="1887"/>
      <c r="Q985" s="1887"/>
      <c r="R985" s="1887"/>
      <c r="S985" s="1887"/>
      <c r="T985" s="1887"/>
      <c r="U985" s="1887"/>
      <c r="V985" s="1887"/>
      <c r="W985" s="1887"/>
      <c r="X985" s="1887"/>
      <c r="Y985" s="1887"/>
      <c r="Z985" s="1887"/>
      <c r="AA985" s="1887"/>
      <c r="AB985" s="1887"/>
      <c r="AC985" s="1887"/>
    </row>
    <row r="986">
      <c r="A986" s="1887"/>
      <c r="B986" s="1887"/>
      <c r="C986" s="1887"/>
      <c r="D986" s="1887"/>
      <c r="E986" s="1887"/>
      <c r="F986" s="1887"/>
      <c r="G986" s="1887"/>
      <c r="H986" s="1887"/>
      <c r="I986" s="1887"/>
      <c r="J986" s="1887"/>
      <c r="K986" s="1887"/>
      <c r="L986" s="1887"/>
      <c r="M986" s="1887"/>
      <c r="N986" s="1887"/>
      <c r="O986" s="1887"/>
      <c r="P986" s="1887"/>
      <c r="Q986" s="1887"/>
      <c r="R986" s="1887"/>
      <c r="S986" s="1887"/>
      <c r="T986" s="1887"/>
      <c r="U986" s="1887"/>
      <c r="V986" s="1887"/>
      <c r="W986" s="1887"/>
      <c r="X986" s="1887"/>
      <c r="Y986" s="1887"/>
      <c r="Z986" s="1887"/>
      <c r="AA986" s="1887"/>
      <c r="AB986" s="1887"/>
      <c r="AC986" s="1887"/>
    </row>
    <row r="987">
      <c r="A987" s="1887"/>
      <c r="B987" s="1887"/>
      <c r="C987" s="1887"/>
      <c r="D987" s="1887"/>
      <c r="E987" s="1887"/>
      <c r="F987" s="1887"/>
      <c r="G987" s="1887"/>
      <c r="H987" s="1887"/>
      <c r="I987" s="1887"/>
      <c r="J987" s="1887"/>
      <c r="K987" s="1887"/>
      <c r="L987" s="1887"/>
      <c r="M987" s="1887"/>
      <c r="N987" s="1887"/>
      <c r="O987" s="1887"/>
      <c r="P987" s="1887"/>
      <c r="Q987" s="1887"/>
      <c r="R987" s="1887"/>
      <c r="S987" s="1887"/>
      <c r="T987" s="1887"/>
      <c r="U987" s="1887"/>
      <c r="V987" s="1887"/>
      <c r="W987" s="1887"/>
      <c r="X987" s="1887"/>
      <c r="Y987" s="1887"/>
      <c r="Z987" s="1887"/>
      <c r="AA987" s="1887"/>
      <c r="AB987" s="1887"/>
      <c r="AC987" s="1887"/>
    </row>
    <row r="988">
      <c r="A988" s="1887"/>
      <c r="B988" s="1887"/>
      <c r="C988" s="1887"/>
      <c r="D988" s="1887"/>
      <c r="E988" s="1887"/>
      <c r="F988" s="1887"/>
      <c r="G988" s="1887"/>
      <c r="H988" s="1887"/>
      <c r="I988" s="1887"/>
      <c r="J988" s="1887"/>
      <c r="K988" s="1887"/>
      <c r="L988" s="1887"/>
      <c r="M988" s="1887"/>
      <c r="N988" s="1887"/>
      <c r="O988" s="1887"/>
      <c r="P988" s="1887"/>
      <c r="Q988" s="1887"/>
      <c r="R988" s="1887"/>
      <c r="S988" s="1887"/>
      <c r="T988" s="1887"/>
      <c r="U988" s="1887"/>
      <c r="V988" s="1887"/>
      <c r="W988" s="1887"/>
      <c r="X988" s="1887"/>
      <c r="Y988" s="1887"/>
      <c r="Z988" s="1887"/>
      <c r="AA988" s="1887"/>
      <c r="AB988" s="1887"/>
      <c r="AC988" s="1887"/>
    </row>
    <row r="989">
      <c r="A989" s="1887"/>
      <c r="B989" s="1887"/>
      <c r="C989" s="1887"/>
      <c r="D989" s="1887"/>
      <c r="E989" s="1887"/>
      <c r="F989" s="1887"/>
      <c r="G989" s="1887"/>
      <c r="H989" s="1887"/>
      <c r="I989" s="1887"/>
      <c r="J989" s="1887"/>
      <c r="K989" s="1887"/>
      <c r="L989" s="1887"/>
      <c r="M989" s="1887"/>
      <c r="N989" s="1887"/>
      <c r="O989" s="1887"/>
      <c r="P989" s="1887"/>
      <c r="Q989" s="1887"/>
      <c r="R989" s="1887"/>
      <c r="S989" s="1887"/>
      <c r="T989" s="1887"/>
      <c r="U989" s="1887"/>
      <c r="V989" s="1887"/>
      <c r="W989" s="1887"/>
      <c r="X989" s="1887"/>
      <c r="Y989" s="1887"/>
      <c r="Z989" s="1887"/>
      <c r="AA989" s="1887"/>
      <c r="AB989" s="1887"/>
      <c r="AC989" s="1887"/>
    </row>
    <row r="990">
      <c r="A990" s="1887"/>
      <c r="B990" s="1887"/>
      <c r="C990" s="1887"/>
      <c r="D990" s="1887"/>
      <c r="E990" s="1887"/>
      <c r="F990" s="1887"/>
      <c r="G990" s="1887"/>
      <c r="H990" s="1887"/>
      <c r="I990" s="1887"/>
      <c r="J990" s="1887"/>
      <c r="K990" s="1887"/>
      <c r="L990" s="1887"/>
      <c r="M990" s="1887"/>
      <c r="N990" s="1887"/>
      <c r="O990" s="1887"/>
      <c r="P990" s="1887"/>
      <c r="Q990" s="1887"/>
      <c r="R990" s="1887"/>
      <c r="S990" s="1887"/>
      <c r="T990" s="1887"/>
      <c r="U990" s="1887"/>
      <c r="V990" s="1887"/>
      <c r="W990" s="1887"/>
      <c r="X990" s="1887"/>
      <c r="Y990" s="1887"/>
      <c r="Z990" s="1887"/>
      <c r="AA990" s="1887"/>
      <c r="AB990" s="1887"/>
      <c r="AC990" s="1887"/>
    </row>
    <row r="991">
      <c r="A991" s="1887"/>
      <c r="B991" s="1887"/>
      <c r="C991" s="1887"/>
      <c r="D991" s="1887"/>
      <c r="E991" s="1887"/>
      <c r="F991" s="1887"/>
      <c r="G991" s="1887"/>
      <c r="H991" s="1887"/>
      <c r="I991" s="1887"/>
      <c r="J991" s="1887"/>
      <c r="K991" s="1887"/>
      <c r="L991" s="1887"/>
      <c r="M991" s="1887"/>
      <c r="N991" s="1887"/>
      <c r="O991" s="1887"/>
      <c r="P991" s="1887"/>
      <c r="Q991" s="1887"/>
      <c r="R991" s="1887"/>
      <c r="S991" s="1887"/>
      <c r="T991" s="1887"/>
      <c r="U991" s="1887"/>
      <c r="V991" s="1887"/>
      <c r="W991" s="1887"/>
      <c r="X991" s="1887"/>
      <c r="Y991" s="1887"/>
      <c r="Z991" s="1887"/>
      <c r="AA991" s="1887"/>
      <c r="AB991" s="1887"/>
      <c r="AC991" s="1887"/>
    </row>
    <row r="992">
      <c r="A992" s="1887"/>
      <c r="B992" s="1887"/>
      <c r="C992" s="1887"/>
      <c r="D992" s="1887"/>
      <c r="E992" s="1887"/>
      <c r="F992" s="1887"/>
      <c r="G992" s="1887"/>
      <c r="H992" s="1887"/>
      <c r="I992" s="1887"/>
      <c r="J992" s="1887"/>
      <c r="K992" s="1887"/>
      <c r="L992" s="1887"/>
      <c r="M992" s="1887"/>
      <c r="N992" s="1887"/>
      <c r="O992" s="1887"/>
      <c r="P992" s="1887"/>
      <c r="Q992" s="1887"/>
      <c r="R992" s="1887"/>
      <c r="S992" s="1887"/>
      <c r="T992" s="1887"/>
      <c r="U992" s="1887"/>
      <c r="V992" s="1887"/>
      <c r="W992" s="1887"/>
      <c r="X992" s="1887"/>
      <c r="Y992" s="1887"/>
      <c r="Z992" s="1887"/>
      <c r="AA992" s="1887"/>
      <c r="AB992" s="1887"/>
      <c r="AC992" s="1887"/>
    </row>
    <row r="993">
      <c r="A993" s="1887"/>
      <c r="B993" s="1887"/>
      <c r="C993" s="1887"/>
      <c r="D993" s="1887"/>
      <c r="E993" s="1887"/>
      <c r="F993" s="1887"/>
      <c r="G993" s="1887"/>
      <c r="H993" s="1887"/>
      <c r="I993" s="1887"/>
      <c r="J993" s="1887"/>
      <c r="K993" s="1887"/>
      <c r="L993" s="1887"/>
      <c r="M993" s="1887"/>
      <c r="N993" s="1887"/>
      <c r="O993" s="1887"/>
      <c r="P993" s="1887"/>
      <c r="Q993" s="1887"/>
      <c r="R993" s="1887"/>
      <c r="S993" s="1887"/>
      <c r="T993" s="1887"/>
      <c r="U993" s="1887"/>
      <c r="V993" s="1887"/>
      <c r="W993" s="1887"/>
      <c r="X993" s="1887"/>
      <c r="Y993" s="1887"/>
      <c r="Z993" s="1887"/>
      <c r="AA993" s="1887"/>
      <c r="AB993" s="1887"/>
      <c r="AC993" s="1887"/>
    </row>
    <row r="994">
      <c r="A994" s="1887"/>
      <c r="B994" s="1887"/>
      <c r="C994" s="1887"/>
      <c r="D994" s="1887"/>
      <c r="E994" s="1887"/>
      <c r="F994" s="1887"/>
      <c r="G994" s="1887"/>
      <c r="H994" s="1887"/>
      <c r="I994" s="1887"/>
      <c r="J994" s="1887"/>
      <c r="K994" s="1887"/>
      <c r="L994" s="1887"/>
      <c r="M994" s="1887"/>
      <c r="N994" s="1887"/>
      <c r="O994" s="1887"/>
      <c r="P994" s="1887"/>
      <c r="Q994" s="1887"/>
      <c r="R994" s="1887"/>
      <c r="S994" s="1887"/>
      <c r="T994" s="1887"/>
      <c r="U994" s="1887"/>
      <c r="V994" s="1887"/>
      <c r="W994" s="1887"/>
      <c r="X994" s="1887"/>
      <c r="Y994" s="1887"/>
      <c r="Z994" s="1887"/>
      <c r="AA994" s="1887"/>
      <c r="AB994" s="1887"/>
      <c r="AC994" s="1887"/>
    </row>
    <row r="995">
      <c r="A995" s="1887"/>
      <c r="B995" s="1887"/>
      <c r="C995" s="1887"/>
      <c r="D995" s="1887"/>
      <c r="E995" s="1887"/>
      <c r="F995" s="1887"/>
      <c r="G995" s="1887"/>
      <c r="H995" s="1887"/>
      <c r="I995" s="1887"/>
      <c r="J995" s="1887"/>
      <c r="K995" s="1887"/>
      <c r="L995" s="1887"/>
      <c r="M995" s="1887"/>
      <c r="N995" s="1887"/>
      <c r="O995" s="1887"/>
      <c r="P995" s="1887"/>
      <c r="Q995" s="1887"/>
      <c r="R995" s="1887"/>
      <c r="S995" s="1887"/>
      <c r="T995" s="1887"/>
      <c r="U995" s="1887"/>
      <c r="V995" s="1887"/>
      <c r="W995" s="1887"/>
      <c r="X995" s="1887"/>
      <c r="Y995" s="1887"/>
      <c r="Z995" s="1887"/>
      <c r="AA995" s="1887"/>
      <c r="AB995" s="1887"/>
      <c r="AC995" s="1887"/>
    </row>
    <row r="996">
      <c r="A996" s="1887"/>
      <c r="B996" s="1887"/>
      <c r="C996" s="1887"/>
      <c r="D996" s="1887"/>
      <c r="E996" s="1887"/>
      <c r="F996" s="1887"/>
      <c r="G996" s="1887"/>
      <c r="H996" s="1887"/>
      <c r="I996" s="1887"/>
      <c r="J996" s="1887"/>
      <c r="K996" s="1887"/>
      <c r="L996" s="1887"/>
      <c r="M996" s="1887"/>
      <c r="N996" s="1887"/>
      <c r="O996" s="1887"/>
      <c r="P996" s="1887"/>
      <c r="Q996" s="1887"/>
      <c r="R996" s="1887"/>
      <c r="S996" s="1887"/>
      <c r="T996" s="1887"/>
      <c r="U996" s="1887"/>
      <c r="V996" s="1887"/>
      <c r="W996" s="1887"/>
      <c r="X996" s="1887"/>
      <c r="Y996" s="1887"/>
      <c r="Z996" s="1887"/>
      <c r="AA996" s="1887"/>
      <c r="AB996" s="1887"/>
      <c r="AC996" s="1887"/>
    </row>
    <row r="997">
      <c r="A997" s="1887"/>
      <c r="B997" s="1887"/>
      <c r="C997" s="1887"/>
      <c r="D997" s="1887"/>
      <c r="E997" s="1887"/>
      <c r="F997" s="1887"/>
      <c r="G997" s="1887"/>
      <c r="H997" s="1887"/>
      <c r="I997" s="1887"/>
      <c r="J997" s="1887"/>
      <c r="K997" s="1887"/>
      <c r="L997" s="1887"/>
      <c r="M997" s="1887"/>
      <c r="N997" s="1887"/>
      <c r="O997" s="1887"/>
      <c r="P997" s="1887"/>
      <c r="Q997" s="1887"/>
      <c r="R997" s="1887"/>
      <c r="S997" s="1887"/>
      <c r="T997" s="1887"/>
      <c r="U997" s="1887"/>
      <c r="V997" s="1887"/>
      <c r="W997" s="1887"/>
      <c r="X997" s="1887"/>
      <c r="Y997" s="1887"/>
      <c r="Z997" s="1887"/>
      <c r="AA997" s="1887"/>
      <c r="AB997" s="1887"/>
      <c r="AC997" s="1887"/>
    </row>
    <row r="998">
      <c r="A998" s="1887"/>
      <c r="B998" s="1887"/>
      <c r="C998" s="1887"/>
      <c r="D998" s="1887"/>
      <c r="E998" s="1887"/>
      <c r="F998" s="1887"/>
      <c r="G998" s="1887"/>
      <c r="H998" s="1887"/>
      <c r="I998" s="1887"/>
      <c r="J998" s="1887"/>
      <c r="K998" s="1887"/>
      <c r="L998" s="1887"/>
      <c r="M998" s="1887"/>
      <c r="N998" s="1887"/>
      <c r="O998" s="1887"/>
      <c r="P998" s="1887"/>
      <c r="Q998" s="1887"/>
      <c r="R998" s="1887"/>
      <c r="S998" s="1887"/>
      <c r="T998" s="1887"/>
      <c r="U998" s="1887"/>
      <c r="V998" s="1887"/>
      <c r="W998" s="1887"/>
      <c r="X998" s="1887"/>
      <c r="Y998" s="1887"/>
      <c r="Z998" s="1887"/>
      <c r="AA998" s="1887"/>
      <c r="AB998" s="1887"/>
      <c r="AC998" s="1887"/>
    </row>
    <row r="999">
      <c r="A999" s="1887"/>
      <c r="B999" s="1887"/>
      <c r="C999" s="1887"/>
      <c r="D999" s="1887"/>
      <c r="E999" s="1887"/>
      <c r="F999" s="1887"/>
      <c r="G999" s="1887"/>
      <c r="H999" s="1887"/>
      <c r="I999" s="1887"/>
      <c r="J999" s="1887"/>
      <c r="K999" s="1887"/>
      <c r="L999" s="1887"/>
      <c r="M999" s="1887"/>
      <c r="N999" s="1887"/>
      <c r="O999" s="1887"/>
      <c r="P999" s="1887"/>
      <c r="Q999" s="1887"/>
      <c r="R999" s="1887"/>
      <c r="S999" s="1887"/>
      <c r="T999" s="1887"/>
      <c r="U999" s="1887"/>
      <c r="V999" s="1887"/>
      <c r="W999" s="1887"/>
      <c r="X999" s="1887"/>
      <c r="Y999" s="1887"/>
      <c r="Z999" s="1887"/>
      <c r="AA999" s="1887"/>
      <c r="AB999" s="1887"/>
      <c r="AC999" s="1887"/>
    </row>
  </sheetData>
  <dataValidations>
    <dataValidation type="list" allowBlank="1" showErrorMessage="1" sqref="G6">
      <formula1>'Списки'!$G$98:$G$104</formula1>
    </dataValidation>
    <dataValidation type="list" allowBlank="1" showErrorMessage="1" sqref="F24:F72">
      <formula1>'Списки'!$H$98:$H$100</formula1>
    </dataValidation>
    <dataValidation type="list" allowBlank="1" showErrorMessage="1" sqref="G3:G4">
      <formula1>'Профессии и боевые навыки'!$E$3:$E$61</formula1>
    </dataValidation>
  </dataValidation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
    <col customWidth="1" min="2" max="2" width="24.0"/>
    <col customWidth="1" min="3" max="3" width="22.88"/>
    <col customWidth="1" min="4" max="4" width="15.38"/>
    <col customWidth="1" min="5" max="5" width="19.88"/>
    <col customWidth="1" min="6" max="6" width="10.75"/>
    <col customWidth="1" min="7" max="8" width="21.38"/>
    <col customWidth="1" min="9" max="9" width="21.5"/>
    <col customWidth="1" min="10" max="11" width="21.38"/>
    <col customWidth="1" min="12" max="12" width="25.63"/>
    <col customWidth="1" min="13" max="13" width="20.63"/>
    <col customWidth="1" min="14" max="14" width="20.88"/>
    <col customWidth="1" min="15" max="15" width="18.13"/>
    <col customWidth="1" min="16" max="16" width="13.5"/>
    <col customWidth="1" min="17" max="17" width="17.38"/>
    <col customWidth="1" min="18" max="18" width="20.25"/>
    <col customWidth="1" min="19" max="19" width="22.38"/>
    <col customWidth="1" min="26" max="26" width="14.5"/>
    <col customWidth="1" min="27" max="27" width="20.63"/>
  </cols>
  <sheetData>
    <row r="1">
      <c r="A1" s="1912"/>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row>
    <row r="2">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row>
    <row r="3">
      <c r="A3" s="1912"/>
      <c r="B3" s="1913" t="s">
        <v>118</v>
      </c>
      <c r="C3" s="1914" t="s">
        <v>2447</v>
      </c>
      <c r="D3" s="1914" t="s">
        <v>130</v>
      </c>
      <c r="E3" s="1914" t="s">
        <v>236</v>
      </c>
      <c r="F3" s="1912"/>
      <c r="G3" s="1915" t="s">
        <v>745</v>
      </c>
      <c r="H3" s="1915" t="s">
        <v>795</v>
      </c>
      <c r="I3" s="1916" t="s">
        <v>880</v>
      </c>
      <c r="J3" s="1915" t="s">
        <v>965</v>
      </c>
      <c r="K3" s="1915" t="s">
        <v>1012</v>
      </c>
      <c r="L3" s="1915" t="s">
        <v>1035</v>
      </c>
      <c r="M3" s="1915" t="s">
        <v>1068</v>
      </c>
      <c r="N3" s="1915" t="s">
        <v>1170</v>
      </c>
      <c r="O3" s="1915" t="s">
        <v>1146</v>
      </c>
      <c r="P3" s="1915" t="s">
        <v>1097</v>
      </c>
      <c r="Q3" s="1915" t="s">
        <v>1117</v>
      </c>
      <c r="R3" s="1915" t="s">
        <v>175</v>
      </c>
      <c r="S3" s="1916" t="s">
        <v>2422</v>
      </c>
      <c r="T3" s="1912"/>
      <c r="U3" s="1912"/>
      <c r="V3" s="1912"/>
      <c r="W3" s="1912"/>
      <c r="X3" s="1912"/>
      <c r="Y3" s="1912"/>
      <c r="Z3" s="1912"/>
      <c r="AA3" s="1912"/>
      <c r="AB3" s="1912"/>
      <c r="AC3" s="1912"/>
      <c r="AD3" s="1912"/>
      <c r="AE3" s="1912"/>
      <c r="AF3" s="1912"/>
      <c r="AG3" s="1912"/>
    </row>
    <row r="4">
      <c r="A4" s="1912"/>
      <c r="B4" s="1917" t="s">
        <v>747</v>
      </c>
      <c r="C4" s="1918" t="s">
        <v>2417</v>
      </c>
      <c r="D4" s="1918" t="s">
        <v>2151</v>
      </c>
      <c r="E4" s="1918">
        <v>7.0</v>
      </c>
      <c r="F4" s="1912"/>
      <c r="G4" s="1917" t="s">
        <v>747</v>
      </c>
      <c r="H4" s="1919" t="s">
        <v>796</v>
      </c>
      <c r="I4" s="1083" t="s">
        <v>888</v>
      </c>
      <c r="J4" s="1920" t="s">
        <v>967</v>
      </c>
      <c r="K4" s="1921" t="s">
        <v>1014</v>
      </c>
      <c r="L4" s="1922" t="s">
        <v>2448</v>
      </c>
      <c r="M4" s="1923" t="s">
        <v>1069</v>
      </c>
      <c r="N4" s="867" t="s">
        <v>1171</v>
      </c>
      <c r="O4" s="1924" t="s">
        <v>199</v>
      </c>
      <c r="P4" s="1925" t="s">
        <v>1098</v>
      </c>
      <c r="Q4" s="1926" t="s">
        <v>2449</v>
      </c>
      <c r="R4" s="757" t="s">
        <v>206</v>
      </c>
      <c r="S4" s="1926" t="s">
        <v>1541</v>
      </c>
      <c r="T4" s="1912"/>
      <c r="U4" s="1912"/>
      <c r="V4" s="1912"/>
      <c r="W4" s="1912"/>
      <c r="X4" s="1912"/>
      <c r="Y4" s="1912"/>
      <c r="Z4" s="1912"/>
      <c r="AA4" s="1912"/>
      <c r="AB4" s="1912"/>
      <c r="AC4" s="1912"/>
      <c r="AD4" s="1912"/>
      <c r="AE4" s="1912"/>
      <c r="AF4" s="1912"/>
      <c r="AG4" s="1912"/>
    </row>
    <row r="5">
      <c r="A5" s="1912"/>
      <c r="B5" s="1917" t="s">
        <v>763</v>
      </c>
      <c r="C5" s="1918" t="s">
        <v>2417</v>
      </c>
      <c r="D5" s="1918" t="s">
        <v>2151</v>
      </c>
      <c r="E5" s="1918">
        <v>8.0</v>
      </c>
      <c r="F5" s="1912"/>
      <c r="G5" s="1917" t="s">
        <v>763</v>
      </c>
      <c r="H5" s="1919" t="s">
        <v>806</v>
      </c>
      <c r="I5" s="1083" t="s">
        <v>900</v>
      </c>
      <c r="J5" s="1927" t="s">
        <v>971</v>
      </c>
      <c r="K5" s="1921" t="s">
        <v>1017</v>
      </c>
      <c r="L5" s="1922" t="s">
        <v>1045</v>
      </c>
      <c r="M5" s="1923" t="s">
        <v>1076</v>
      </c>
      <c r="N5" s="867" t="s">
        <v>1179</v>
      </c>
      <c r="O5" s="1924" t="s">
        <v>1157</v>
      </c>
      <c r="P5" s="1925" t="s">
        <v>1109</v>
      </c>
      <c r="Q5" s="1926" t="s">
        <v>1119</v>
      </c>
      <c r="R5" s="757" t="s">
        <v>1127</v>
      </c>
      <c r="S5" s="1926" t="s">
        <v>1556</v>
      </c>
      <c r="T5" s="1912"/>
      <c r="U5" s="1912"/>
      <c r="V5" s="1912"/>
      <c r="W5" s="1912"/>
      <c r="X5" s="1912"/>
      <c r="Y5" s="1912"/>
      <c r="Z5" s="1912"/>
      <c r="AA5" s="1912"/>
      <c r="AB5" s="1912"/>
      <c r="AC5" s="1912"/>
      <c r="AD5" s="1912"/>
      <c r="AE5" s="1912"/>
      <c r="AF5" s="1912"/>
      <c r="AG5" s="1912"/>
    </row>
    <row r="6">
      <c r="A6" s="1912"/>
      <c r="B6" s="1928" t="s">
        <v>766</v>
      </c>
      <c r="C6" s="1918" t="s">
        <v>2417</v>
      </c>
      <c r="D6" s="1918" t="s">
        <v>2151</v>
      </c>
      <c r="E6" s="1918">
        <v>5.0</v>
      </c>
      <c r="F6" s="1912"/>
      <c r="G6" s="1928" t="s">
        <v>766</v>
      </c>
      <c r="H6" s="1919" t="s">
        <v>815</v>
      </c>
      <c r="I6" s="1929" t="s">
        <v>911</v>
      </c>
      <c r="J6" s="1920" t="s">
        <v>978</v>
      </c>
      <c r="K6" s="1921" t="s">
        <v>1018</v>
      </c>
      <c r="L6" s="1922" t="s">
        <v>1051</v>
      </c>
      <c r="M6" s="1923" t="s">
        <v>1079</v>
      </c>
      <c r="N6" s="867" t="s">
        <v>1184</v>
      </c>
      <c r="O6" s="1924" t="s">
        <v>1158</v>
      </c>
      <c r="P6" s="1912"/>
      <c r="Q6" s="1912"/>
      <c r="R6" s="757" t="s">
        <v>119</v>
      </c>
      <c r="S6" s="1926" t="s">
        <v>1569</v>
      </c>
      <c r="T6" s="1912"/>
      <c r="U6" s="1912"/>
      <c r="V6" s="1912"/>
      <c r="W6" s="1912"/>
      <c r="X6" s="1912"/>
      <c r="Y6" s="1912"/>
      <c r="Z6" s="1912"/>
      <c r="AA6" s="1912"/>
      <c r="AB6" s="1912"/>
      <c r="AC6" s="1912"/>
      <c r="AD6" s="1912"/>
      <c r="AE6" s="1912"/>
      <c r="AF6" s="1912"/>
      <c r="AG6" s="1912"/>
    </row>
    <row r="7">
      <c r="A7" s="1912"/>
      <c r="B7" s="1917" t="s">
        <v>769</v>
      </c>
      <c r="C7" s="1918" t="s">
        <v>2417</v>
      </c>
      <c r="D7" s="1918" t="s">
        <v>2151</v>
      </c>
      <c r="E7" s="1918">
        <v>6.0</v>
      </c>
      <c r="F7" s="1912"/>
      <c r="G7" s="1917" t="s">
        <v>769</v>
      </c>
      <c r="H7" s="1919" t="s">
        <v>825</v>
      </c>
      <c r="I7" s="1083" t="s">
        <v>915</v>
      </c>
      <c r="J7" s="1920" t="s">
        <v>981</v>
      </c>
      <c r="K7" s="1921" t="s">
        <v>1020</v>
      </c>
      <c r="L7" s="1930" t="s">
        <v>1058</v>
      </c>
      <c r="M7" s="1931" t="s">
        <v>1081</v>
      </c>
      <c r="N7" s="867" t="s">
        <v>1186</v>
      </c>
      <c r="O7" s="1924" t="s">
        <v>1164</v>
      </c>
      <c r="P7" s="1912"/>
      <c r="Q7" s="1912"/>
      <c r="R7" s="757" t="s">
        <v>1131</v>
      </c>
      <c r="S7" s="1912"/>
      <c r="T7" s="1912"/>
      <c r="U7" s="1912"/>
      <c r="V7" s="1912"/>
      <c r="W7" s="1912"/>
      <c r="X7" s="1912"/>
      <c r="Y7" s="1912"/>
      <c r="Z7" s="1912"/>
      <c r="AA7" s="1912"/>
      <c r="AB7" s="1912"/>
      <c r="AC7" s="1912"/>
      <c r="AD7" s="1912"/>
      <c r="AE7" s="1912"/>
      <c r="AF7" s="1912"/>
      <c r="AG7" s="1912"/>
    </row>
    <row r="8">
      <c r="A8" s="1912"/>
      <c r="B8" s="1932" t="s">
        <v>772</v>
      </c>
      <c r="C8" s="1918" t="s">
        <v>2417</v>
      </c>
      <c r="D8" s="1918" t="s">
        <v>2151</v>
      </c>
      <c r="E8" s="1918">
        <v>12.0</v>
      </c>
      <c r="F8" s="1912"/>
      <c r="G8" s="1932" t="s">
        <v>772</v>
      </c>
      <c r="H8" s="1919" t="s">
        <v>829</v>
      </c>
      <c r="I8" s="1083" t="s">
        <v>920</v>
      </c>
      <c r="J8" s="1920" t="s">
        <v>989</v>
      </c>
      <c r="K8" s="1921" t="s">
        <v>1033</v>
      </c>
      <c r="L8" s="1922" t="s">
        <v>1061</v>
      </c>
      <c r="M8" s="1912"/>
      <c r="N8" s="1912"/>
      <c r="O8" s="1912"/>
      <c r="P8" s="1912"/>
      <c r="Q8" s="1912"/>
      <c r="R8" s="1933" t="s">
        <v>1134</v>
      </c>
      <c r="S8" s="1912"/>
      <c r="T8" s="1912"/>
      <c r="U8" s="1912"/>
      <c r="V8" s="1912"/>
      <c r="W8" s="1912"/>
      <c r="X8" s="1912"/>
      <c r="Y8" s="1912"/>
      <c r="Z8" s="1912"/>
      <c r="AA8" s="1912"/>
      <c r="AB8" s="1912"/>
      <c r="AC8" s="1912"/>
      <c r="AD8" s="1912"/>
      <c r="AE8" s="1912"/>
      <c r="AF8" s="1912"/>
      <c r="AG8" s="1912"/>
    </row>
    <row r="9">
      <c r="A9" s="1912"/>
      <c r="B9" s="1917" t="s">
        <v>195</v>
      </c>
      <c r="C9" s="1918" t="s">
        <v>2417</v>
      </c>
      <c r="D9" s="1918" t="s">
        <v>2151</v>
      </c>
      <c r="E9" s="1918">
        <v>13.0</v>
      </c>
      <c r="F9" s="1912"/>
      <c r="G9" s="1917" t="s">
        <v>195</v>
      </c>
      <c r="H9" s="1919" t="s">
        <v>832</v>
      </c>
      <c r="I9" s="1083" t="s">
        <v>923</v>
      </c>
      <c r="J9" s="1920" t="s">
        <v>996</v>
      </c>
      <c r="K9" s="1921" t="s">
        <v>1028</v>
      </c>
      <c r="L9" s="1930" t="s">
        <v>1063</v>
      </c>
      <c r="M9" s="1912"/>
      <c r="N9" s="1912"/>
      <c r="O9" s="1912"/>
      <c r="P9" s="1912"/>
      <c r="Q9" s="1912"/>
      <c r="R9" s="1912"/>
      <c r="S9" s="1912"/>
      <c r="T9" s="1912"/>
      <c r="U9" s="1912"/>
      <c r="V9" s="1912"/>
      <c r="W9" s="1912"/>
      <c r="X9" s="1912"/>
      <c r="Y9" s="1912"/>
      <c r="Z9" s="1912"/>
      <c r="AA9" s="1912"/>
      <c r="AB9" s="1912"/>
      <c r="AC9" s="1912"/>
      <c r="AD9" s="1912"/>
      <c r="AE9" s="1912"/>
      <c r="AF9" s="1912"/>
      <c r="AG9" s="1912"/>
    </row>
    <row r="10">
      <c r="A10" s="1912"/>
      <c r="B10" s="1917" t="s">
        <v>788</v>
      </c>
      <c r="C10" s="1918" t="s">
        <v>2417</v>
      </c>
      <c r="D10" s="1918" t="s">
        <v>2151</v>
      </c>
      <c r="E10" s="1918">
        <v>14.0</v>
      </c>
      <c r="F10" s="1912"/>
      <c r="G10" s="1917" t="s">
        <v>788</v>
      </c>
      <c r="H10" s="1919" t="s">
        <v>850</v>
      </c>
      <c r="I10" s="1083" t="s">
        <v>931</v>
      </c>
      <c r="J10" s="1920" t="s">
        <v>1000</v>
      </c>
      <c r="K10" s="1934" t="s">
        <v>1025</v>
      </c>
      <c r="L10" s="1922" t="s">
        <v>1066</v>
      </c>
      <c r="M10" s="1912"/>
      <c r="N10" s="1912"/>
      <c r="O10" s="1912"/>
      <c r="P10" s="1912"/>
      <c r="Q10" s="1912"/>
      <c r="R10" s="1912"/>
      <c r="S10" s="1912"/>
      <c r="T10" s="1912"/>
      <c r="U10" s="1912"/>
      <c r="V10" s="1912"/>
      <c r="W10" s="1912"/>
      <c r="X10" s="1912"/>
      <c r="Y10" s="1912"/>
      <c r="Z10" s="1912"/>
      <c r="AA10" s="1912"/>
      <c r="AB10" s="1912"/>
      <c r="AC10" s="1912"/>
      <c r="AD10" s="1912"/>
      <c r="AE10" s="1912"/>
      <c r="AF10" s="1912"/>
      <c r="AG10" s="1912"/>
    </row>
    <row r="11">
      <c r="A11" s="1912"/>
      <c r="B11" s="1919" t="s">
        <v>796</v>
      </c>
      <c r="C11" s="1935" t="s">
        <v>2414</v>
      </c>
      <c r="D11" s="1935" t="s">
        <v>2151</v>
      </c>
      <c r="E11" s="1935">
        <v>16.0</v>
      </c>
      <c r="F11" s="1912"/>
      <c r="G11" s="1912"/>
      <c r="H11" s="1919" t="s">
        <v>842</v>
      </c>
      <c r="I11" s="1083" t="s">
        <v>933</v>
      </c>
      <c r="J11" s="1927" t="s">
        <v>1004</v>
      </c>
      <c r="K11" s="1934" t="s">
        <v>850</v>
      </c>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row>
    <row r="12">
      <c r="A12" s="1912"/>
      <c r="B12" s="1919" t="s">
        <v>806</v>
      </c>
      <c r="C12" s="1935" t="s">
        <v>2414</v>
      </c>
      <c r="D12" s="1935" t="s">
        <v>2151</v>
      </c>
      <c r="E12" s="1935">
        <v>17.0</v>
      </c>
      <c r="F12" s="1912"/>
      <c r="G12" s="1912"/>
      <c r="H12" s="1919" t="s">
        <v>861</v>
      </c>
      <c r="I12" s="1083" t="s">
        <v>940</v>
      </c>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c r="AG12" s="1912"/>
    </row>
    <row r="13">
      <c r="A13" s="1912"/>
      <c r="B13" s="1919" t="s">
        <v>815</v>
      </c>
      <c r="C13" s="1935" t="s">
        <v>2414</v>
      </c>
      <c r="D13" s="1935" t="s">
        <v>2151</v>
      </c>
      <c r="E13" s="1935">
        <v>18.0</v>
      </c>
      <c r="F13" s="1912"/>
      <c r="G13" s="1912"/>
      <c r="H13" s="1936" t="s">
        <v>870</v>
      </c>
      <c r="I13" s="1083" t="s">
        <v>946</v>
      </c>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row>
    <row r="14">
      <c r="A14" s="1912"/>
      <c r="B14" s="1919" t="s">
        <v>825</v>
      </c>
      <c r="C14" s="1935" t="s">
        <v>2414</v>
      </c>
      <c r="D14" s="1935" t="s">
        <v>2151</v>
      </c>
      <c r="E14" s="1935">
        <v>18.0</v>
      </c>
      <c r="F14" s="1912"/>
      <c r="G14" s="1912"/>
      <c r="H14" s="1912"/>
      <c r="I14" s="1083" t="s">
        <v>949</v>
      </c>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row>
    <row r="15">
      <c r="A15" s="1912"/>
      <c r="B15" s="1919" t="s">
        <v>829</v>
      </c>
      <c r="C15" s="1935" t="s">
        <v>2414</v>
      </c>
      <c r="D15" s="1935" t="s">
        <v>2151</v>
      </c>
      <c r="E15" s="1935">
        <v>19.0</v>
      </c>
      <c r="F15" s="1912"/>
      <c r="G15" s="1912"/>
      <c r="H15" s="1912"/>
      <c r="I15" s="1929" t="s">
        <v>957</v>
      </c>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row>
    <row r="16">
      <c r="A16" s="1912"/>
      <c r="B16" s="1919" t="s">
        <v>832</v>
      </c>
      <c r="C16" s="1935" t="s">
        <v>2414</v>
      </c>
      <c r="D16" s="1935" t="s">
        <v>2151</v>
      </c>
      <c r="E16" s="1935">
        <v>20.0</v>
      </c>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row>
    <row r="17">
      <c r="A17" s="1912"/>
      <c r="B17" s="1919" t="s">
        <v>850</v>
      </c>
      <c r="C17" s="1935" t="s">
        <v>2414</v>
      </c>
      <c r="D17" s="1935" t="s">
        <v>2151</v>
      </c>
      <c r="E17" s="1935">
        <v>23.0</v>
      </c>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row>
    <row r="18">
      <c r="A18" s="1912"/>
      <c r="B18" s="1919" t="s">
        <v>842</v>
      </c>
      <c r="C18" s="1935" t="s">
        <v>2414</v>
      </c>
      <c r="D18" s="1935" t="s">
        <v>2151</v>
      </c>
      <c r="E18" s="1935">
        <v>25.0</v>
      </c>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row>
    <row r="19">
      <c r="A19" s="1912"/>
      <c r="B19" s="1919" t="s">
        <v>861</v>
      </c>
      <c r="C19" s="1935" t="s">
        <v>2414</v>
      </c>
      <c r="D19" s="1935" t="s">
        <v>2151</v>
      </c>
      <c r="E19" s="1935">
        <v>26.0</v>
      </c>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row>
    <row r="20">
      <c r="A20" s="1912"/>
      <c r="B20" s="1936" t="s">
        <v>870</v>
      </c>
      <c r="C20" s="1935" t="s">
        <v>2414</v>
      </c>
      <c r="D20" s="1935" t="s">
        <v>2151</v>
      </c>
      <c r="E20" s="1935">
        <v>28.0</v>
      </c>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row>
    <row r="21">
      <c r="A21" s="1912"/>
      <c r="B21" s="1083" t="s">
        <v>888</v>
      </c>
      <c r="C21" s="1937" t="s">
        <v>2421</v>
      </c>
      <c r="D21" s="1937" t="s">
        <v>2152</v>
      </c>
      <c r="E21" s="1937">
        <v>6.0</v>
      </c>
      <c r="F21" s="1912"/>
      <c r="G21" s="403" t="s">
        <v>2450</v>
      </c>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row>
    <row r="22">
      <c r="A22" s="1912"/>
      <c r="B22" s="1083" t="s">
        <v>900</v>
      </c>
      <c r="C22" s="1937" t="s">
        <v>2421</v>
      </c>
      <c r="D22" s="1937" t="s">
        <v>2151</v>
      </c>
      <c r="E22" s="1937">
        <v>15.0</v>
      </c>
      <c r="F22" s="1912"/>
      <c r="G22" s="1912"/>
      <c r="H22" s="1912"/>
      <c r="I22" s="1912"/>
      <c r="J22" s="1912"/>
      <c r="K22" s="1912"/>
      <c r="L22" s="1912"/>
      <c r="M22" s="1912"/>
      <c r="N22" s="1912"/>
      <c r="O22" s="1912"/>
      <c r="P22" s="1912"/>
      <c r="Q22" s="1912"/>
      <c r="R22" s="1912"/>
      <c r="S22" s="1912"/>
      <c r="T22" s="1912"/>
      <c r="U22" s="1912"/>
      <c r="V22" s="1938"/>
      <c r="W22" s="1938"/>
      <c r="X22" s="1938"/>
      <c r="Y22" s="1938"/>
      <c r="AA22" s="1912"/>
      <c r="AB22" s="1938" t="s">
        <v>9</v>
      </c>
      <c r="AC22" s="1912"/>
      <c r="AD22" s="1912"/>
      <c r="AE22" s="1912"/>
      <c r="AF22" s="1912"/>
      <c r="AG22" s="1912"/>
    </row>
    <row r="23">
      <c r="A23" s="1912"/>
      <c r="B23" s="1929" t="s">
        <v>911</v>
      </c>
      <c r="C23" s="1937" t="s">
        <v>2421</v>
      </c>
      <c r="D23" s="1937" t="s">
        <v>2151</v>
      </c>
      <c r="E23" s="1937">
        <v>18.0</v>
      </c>
      <c r="F23" s="1912"/>
      <c r="G23" s="1939" t="s">
        <v>745</v>
      </c>
      <c r="H23" s="1939" t="s">
        <v>795</v>
      </c>
      <c r="I23" s="403" t="s">
        <v>880</v>
      </c>
      <c r="J23" s="1939" t="s">
        <v>965</v>
      </c>
      <c r="K23" s="1939" t="s">
        <v>1012</v>
      </c>
      <c r="L23" s="1939" t="s">
        <v>1035</v>
      </c>
      <c r="M23" s="1939" t="s">
        <v>1068</v>
      </c>
      <c r="N23" s="1939" t="s">
        <v>1170</v>
      </c>
      <c r="O23" s="1939" t="s">
        <v>1146</v>
      </c>
      <c r="P23" s="1939" t="s">
        <v>1097</v>
      </c>
      <c r="Q23" s="1939" t="s">
        <v>1117</v>
      </c>
      <c r="R23" s="1939" t="s">
        <v>175</v>
      </c>
      <c r="S23" s="403" t="s">
        <v>2422</v>
      </c>
      <c r="T23" s="403" t="s">
        <v>2430</v>
      </c>
      <c r="U23" s="403" t="s">
        <v>2451</v>
      </c>
      <c r="V23" s="403" t="s">
        <v>2452</v>
      </c>
      <c r="W23" s="403" t="s">
        <v>2453</v>
      </c>
      <c r="X23" s="403" t="s">
        <v>2454</v>
      </c>
      <c r="Y23" s="403" t="s">
        <v>2435</v>
      </c>
      <c r="Z23" s="410" t="s">
        <v>30</v>
      </c>
      <c r="AA23" s="1912"/>
      <c r="AB23" s="1912" t="str">
        <f>'Персонаж'!L2</f>
        <v>&lt; Имя персонажа &gt;</v>
      </c>
      <c r="AC23" s="1912"/>
      <c r="AD23" s="1912"/>
      <c r="AE23" s="1912"/>
      <c r="AF23" s="1912"/>
      <c r="AG23" s="1912"/>
    </row>
    <row r="24">
      <c r="A24" s="1912"/>
      <c r="B24" s="1083" t="s">
        <v>915</v>
      </c>
      <c r="C24" s="1937" t="s">
        <v>2421</v>
      </c>
      <c r="D24" s="1937" t="s">
        <v>2151</v>
      </c>
      <c r="E24" s="1937">
        <v>17.0</v>
      </c>
      <c r="F24" s="1912"/>
      <c r="G24" s="1940" t="s">
        <v>2455</v>
      </c>
      <c r="H24" s="1940" t="s">
        <v>2455</v>
      </c>
      <c r="I24" s="1940" t="s">
        <v>2455</v>
      </c>
      <c r="J24" s="1940" t="s">
        <v>2455</v>
      </c>
      <c r="K24" s="1940" t="s">
        <v>2455</v>
      </c>
      <c r="L24" s="1940" t="s">
        <v>2456</v>
      </c>
      <c r="M24" s="1940" t="s">
        <v>2457</v>
      </c>
      <c r="N24" s="1940" t="s">
        <v>2456</v>
      </c>
      <c r="O24" s="1940" t="s">
        <v>2456</v>
      </c>
      <c r="P24" s="1940" t="s">
        <v>1098</v>
      </c>
      <c r="Q24" s="1940" t="s">
        <v>1117</v>
      </c>
      <c r="R24" s="1940" t="s">
        <v>175</v>
      </c>
      <c r="S24" s="1940" t="s">
        <v>2455</v>
      </c>
      <c r="T24" s="1940" t="s">
        <v>2458</v>
      </c>
      <c r="U24" s="1940" t="s">
        <v>2458</v>
      </c>
      <c r="V24" s="1940" t="s">
        <v>2458</v>
      </c>
      <c r="W24" s="1940" t="s">
        <v>2458</v>
      </c>
      <c r="X24" s="1940" t="s">
        <v>2458</v>
      </c>
      <c r="Y24" s="1940" t="s">
        <v>2458</v>
      </c>
      <c r="Z24" s="410" t="s">
        <v>30</v>
      </c>
      <c r="AA24" s="1912"/>
      <c r="AB24" s="1912" t="str">
        <f>INDIRECT('Персонаж'!L44)</f>
        <v>Импровизированный бой</v>
      </c>
      <c r="AC24" s="1912"/>
      <c r="AD24" s="1912"/>
      <c r="AE24" s="1912"/>
      <c r="AF24" s="1912"/>
      <c r="AG24" s="1912"/>
    </row>
    <row r="25">
      <c r="A25" s="1912"/>
      <c r="B25" s="1083" t="s">
        <v>920</v>
      </c>
      <c r="C25" s="1937" t="s">
        <v>2421</v>
      </c>
      <c r="D25" s="1937" t="s">
        <v>2151</v>
      </c>
      <c r="E25" s="1937">
        <v>22.0</v>
      </c>
      <c r="F25" s="1912"/>
      <c r="G25" s="1940" t="s">
        <v>2459</v>
      </c>
      <c r="H25" s="1940" t="s">
        <v>2459</v>
      </c>
      <c r="I25" s="1940" t="s">
        <v>2459</v>
      </c>
      <c r="J25" s="1940" t="s">
        <v>2459</v>
      </c>
      <c r="K25" s="1940" t="s">
        <v>2459</v>
      </c>
      <c r="L25" s="1912"/>
      <c r="M25" s="1912"/>
      <c r="N25" s="1912"/>
      <c r="O25" s="1912"/>
      <c r="P25" s="1938" t="s">
        <v>1109</v>
      </c>
      <c r="Q25" s="1912"/>
      <c r="R25" s="1912"/>
      <c r="S25" s="1940"/>
      <c r="T25" s="1938"/>
      <c r="U25" s="1938"/>
      <c r="V25" s="1938"/>
      <c r="W25" s="1938"/>
      <c r="X25" s="1938"/>
      <c r="Y25" s="1938"/>
      <c r="AA25" s="1912"/>
      <c r="AB25" s="1912"/>
      <c r="AC25" s="1912"/>
      <c r="AD25" s="1912"/>
      <c r="AE25" s="1912"/>
      <c r="AF25" s="1912"/>
      <c r="AG25" s="1912"/>
    </row>
    <row r="26">
      <c r="A26" s="1912"/>
      <c r="B26" s="1083" t="s">
        <v>923</v>
      </c>
      <c r="C26" s="1937" t="s">
        <v>2421</v>
      </c>
      <c r="D26" s="1937" t="s">
        <v>2151</v>
      </c>
      <c r="E26" s="1937">
        <v>20.0</v>
      </c>
      <c r="F26" s="1912"/>
      <c r="G26" s="1940"/>
      <c r="H26" s="1940"/>
      <c r="I26" s="1940"/>
      <c r="J26" s="1940"/>
      <c r="K26" s="1940"/>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row>
    <row r="27">
      <c r="A27" s="1912"/>
      <c r="B27" s="1083" t="s">
        <v>931</v>
      </c>
      <c r="C27" s="1937" t="s">
        <v>2421</v>
      </c>
      <c r="D27" s="1937" t="s">
        <v>2151</v>
      </c>
      <c r="E27" s="1937">
        <v>22.0</v>
      </c>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row>
    <row r="28">
      <c r="A28" s="1912"/>
      <c r="B28" s="1083" t="s">
        <v>933</v>
      </c>
      <c r="C28" s="1937" t="s">
        <v>2421</v>
      </c>
      <c r="D28" s="1937" t="s">
        <v>2151</v>
      </c>
      <c r="E28" s="1937">
        <v>23.0</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row>
    <row r="29">
      <c r="A29" s="1912"/>
      <c r="B29" s="1083" t="s">
        <v>940</v>
      </c>
      <c r="C29" s="1937" t="s">
        <v>2421</v>
      </c>
      <c r="D29" s="1937" t="s">
        <v>2151</v>
      </c>
      <c r="E29" s="1937">
        <v>23.0</v>
      </c>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row>
    <row r="30">
      <c r="A30" s="1912"/>
      <c r="B30" s="1083" t="s">
        <v>946</v>
      </c>
      <c r="C30" s="1937" t="s">
        <v>2421</v>
      </c>
      <c r="D30" s="1937" t="s">
        <v>2151</v>
      </c>
      <c r="E30" s="1937">
        <v>25.0</v>
      </c>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row>
    <row r="31">
      <c r="A31" s="1912"/>
      <c r="B31" s="1083" t="s">
        <v>949</v>
      </c>
      <c r="C31" s="1937" t="s">
        <v>2421</v>
      </c>
      <c r="D31" s="1937" t="s">
        <v>2151</v>
      </c>
      <c r="E31" s="1937">
        <v>30.0</v>
      </c>
      <c r="F31" s="1912"/>
      <c r="G31" s="1912"/>
      <c r="H31" s="1912"/>
      <c r="I31" s="1912"/>
      <c r="J31" s="1912"/>
      <c r="K31" s="1912"/>
      <c r="L31" s="1938" t="s">
        <v>129</v>
      </c>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row>
    <row r="32">
      <c r="A32" s="1912"/>
      <c r="B32" s="1929" t="s">
        <v>957</v>
      </c>
      <c r="C32" s="1937" t="s">
        <v>2421</v>
      </c>
      <c r="D32" s="1937" t="s">
        <v>2151</v>
      </c>
      <c r="E32" s="1937">
        <v>29.0</v>
      </c>
      <c r="F32" s="1912"/>
      <c r="G32" s="403" t="s">
        <v>135</v>
      </c>
      <c r="H32" s="1912"/>
      <c r="I32" s="1938" t="s">
        <v>9</v>
      </c>
      <c r="J32" s="1912"/>
      <c r="K32" s="1912"/>
      <c r="L32" s="403" t="s">
        <v>2151</v>
      </c>
      <c r="M32" s="403" t="s">
        <v>2152</v>
      </c>
      <c r="N32" s="1912"/>
      <c r="O32" s="403" t="s">
        <v>9</v>
      </c>
      <c r="P32" s="1912"/>
      <c r="Q32" s="1912"/>
      <c r="R32" s="1912"/>
      <c r="S32" s="403"/>
      <c r="T32" s="1912"/>
      <c r="U32" s="1912"/>
      <c r="V32" s="1912"/>
      <c r="W32" s="1912"/>
      <c r="X32" s="1912"/>
      <c r="Y32" s="1912"/>
      <c r="Z32" s="1912"/>
      <c r="AA32" s="1912"/>
      <c r="AB32" s="1912"/>
      <c r="AC32" s="1912"/>
      <c r="AD32" s="1912"/>
      <c r="AE32" s="1912"/>
      <c r="AF32" s="1912"/>
      <c r="AG32" s="1912"/>
    </row>
    <row r="33">
      <c r="A33" s="1912"/>
      <c r="B33" s="1920" t="s">
        <v>967</v>
      </c>
      <c r="C33" s="1941" t="s">
        <v>2415</v>
      </c>
      <c r="D33" s="1941" t="s">
        <v>2152</v>
      </c>
      <c r="E33" s="1941">
        <v>5.0</v>
      </c>
      <c r="F33" s="1912"/>
      <c r="G33" s="1938" t="s">
        <v>1098</v>
      </c>
      <c r="H33" s="1938" t="s">
        <v>1109</v>
      </c>
      <c r="I33" s="1912" t="str">
        <f>'Персонаж'!L2</f>
        <v>&lt; Имя персонажа &gt;</v>
      </c>
      <c r="J33" s="1912"/>
      <c r="K33" s="1912"/>
      <c r="L33" s="1940" t="s">
        <v>172</v>
      </c>
      <c r="M33" s="1940" t="s">
        <v>1148</v>
      </c>
      <c r="N33" s="1912"/>
      <c r="O33" s="1912" t="str">
        <f>IF(VLOOKUP('Персонаж'!L32,B4:D96,3,FALSE)="Метал",INDIRECT(VLOOKUP('Персонаж'!L32,B4:D96,3,FALSE)),IF(VLOOKUP('Персонаж'!L32,B4:D96,3,FALSE)="Древесина",INDIRECT(VLOOKUP('Персонаж'!L32,B4:D96,3,FALSE)), IF(VLOOKUP('Персонаж'!L32,B4:D96,3,FALSE)="ДревесинаМетал",INDIRECT(VLOOKUP('Персонаж'!L32,B4:D96,3,FALSE)),"_")))</f>
        <v>_</v>
      </c>
      <c r="P33" s="1912"/>
      <c r="Q33" s="1940"/>
      <c r="R33" s="1912"/>
      <c r="S33" s="1912"/>
      <c r="T33" s="1912"/>
      <c r="U33" s="1912"/>
      <c r="V33" s="1912"/>
      <c r="W33" s="1912"/>
      <c r="X33" s="1912"/>
      <c r="Y33" s="1912"/>
      <c r="Z33" s="1912"/>
      <c r="AA33" s="1912"/>
      <c r="AB33" s="1912"/>
      <c r="AC33" s="1912"/>
      <c r="AD33" s="1912"/>
      <c r="AE33" s="1912"/>
      <c r="AF33" s="1912"/>
      <c r="AG33" s="1912"/>
    </row>
    <row r="34">
      <c r="A34" s="1912"/>
      <c r="B34" s="1927" t="s">
        <v>971</v>
      </c>
      <c r="C34" s="1941" t="s">
        <v>2415</v>
      </c>
      <c r="D34" s="1942" t="s">
        <v>2151</v>
      </c>
      <c r="E34" s="1942">
        <v>14.0</v>
      </c>
      <c r="F34" s="1912"/>
      <c r="G34" s="1938" t="s">
        <v>1106</v>
      </c>
      <c r="H34" s="1938" t="s">
        <v>2460</v>
      </c>
      <c r="I34" s="1938" t="s">
        <v>136</v>
      </c>
      <c r="J34" s="1912"/>
      <c r="K34" s="1912"/>
      <c r="L34" s="1940" t="s">
        <v>738</v>
      </c>
      <c r="M34" s="1940" t="s">
        <v>1149</v>
      </c>
      <c r="N34" s="1912"/>
      <c r="O34" s="1912"/>
      <c r="P34" s="1912"/>
      <c r="Q34" s="1940"/>
      <c r="R34" s="1912"/>
      <c r="S34" s="1940"/>
      <c r="T34" s="1912"/>
      <c r="U34" s="1912"/>
      <c r="V34" s="1912"/>
      <c r="W34" s="1912"/>
      <c r="X34" s="1912"/>
      <c r="Y34" s="1912"/>
      <c r="Z34" s="1912"/>
      <c r="AA34" s="1912"/>
      <c r="AB34" s="1912"/>
      <c r="AC34" s="1912"/>
      <c r="AD34" s="1912"/>
      <c r="AE34" s="1912"/>
      <c r="AF34" s="1912"/>
      <c r="AG34" s="1912"/>
    </row>
    <row r="35">
      <c r="A35" s="1912"/>
      <c r="B35" s="1920" t="s">
        <v>978</v>
      </c>
      <c r="C35" s="1941" t="s">
        <v>2415</v>
      </c>
      <c r="D35" s="1941" t="s">
        <v>2151</v>
      </c>
      <c r="E35" s="1941">
        <v>15.0</v>
      </c>
      <c r="F35" s="1912"/>
      <c r="G35" s="1938" t="s">
        <v>1144</v>
      </c>
      <c r="H35" s="1938" t="s">
        <v>1144</v>
      </c>
      <c r="I35" s="1912"/>
      <c r="J35" s="1912"/>
      <c r="K35" s="1912"/>
      <c r="L35" s="1940" t="s">
        <v>739</v>
      </c>
      <c r="M35" s="1940" t="s">
        <v>1150</v>
      </c>
      <c r="N35" s="1912"/>
      <c r="O35" s="1912"/>
      <c r="P35" s="1912"/>
      <c r="Q35" s="1940"/>
      <c r="R35" s="1912"/>
      <c r="S35" s="1940"/>
      <c r="T35" s="1912"/>
      <c r="U35" s="1912"/>
      <c r="V35" s="1912"/>
      <c r="W35" s="1912"/>
      <c r="X35" s="1912"/>
      <c r="Y35" s="1912"/>
      <c r="Z35" s="1912"/>
      <c r="AA35" s="1912"/>
      <c r="AB35" s="1912"/>
      <c r="AC35" s="1912"/>
      <c r="AD35" s="1912"/>
      <c r="AE35" s="1912"/>
      <c r="AF35" s="1912"/>
      <c r="AG35" s="1912"/>
    </row>
    <row r="36">
      <c r="A36" s="1912"/>
      <c r="B36" s="1920" t="s">
        <v>981</v>
      </c>
      <c r="C36" s="1941" t="s">
        <v>2415</v>
      </c>
      <c r="D36" s="1941" t="s">
        <v>2151</v>
      </c>
      <c r="E36" s="1941">
        <v>20.0</v>
      </c>
      <c r="F36" s="1912"/>
      <c r="G36" s="1912"/>
      <c r="H36" s="1912"/>
      <c r="I36" s="1912"/>
      <c r="J36" s="1912"/>
      <c r="K36" s="1912"/>
      <c r="L36" s="1940" t="s">
        <v>740</v>
      </c>
      <c r="M36" s="1940" t="s">
        <v>1151</v>
      </c>
      <c r="N36" s="1912"/>
      <c r="O36" s="1912"/>
      <c r="P36" s="1912"/>
      <c r="Q36" s="1940"/>
      <c r="R36" s="1912"/>
      <c r="S36" s="1940"/>
      <c r="T36" s="1912"/>
      <c r="U36" s="1912"/>
      <c r="V36" s="1912"/>
      <c r="W36" s="1912"/>
      <c r="X36" s="1912"/>
      <c r="Y36" s="1912"/>
      <c r="Z36" s="1912"/>
      <c r="AA36" s="1912"/>
      <c r="AB36" s="1912"/>
      <c r="AC36" s="1912"/>
      <c r="AD36" s="1912"/>
      <c r="AE36" s="1912"/>
      <c r="AF36" s="1912"/>
      <c r="AG36" s="1912"/>
    </row>
    <row r="37">
      <c r="A37" s="1912"/>
      <c r="B37" s="1920" t="s">
        <v>989</v>
      </c>
      <c r="C37" s="1941" t="s">
        <v>2415</v>
      </c>
      <c r="D37" s="1941" t="s">
        <v>2151</v>
      </c>
      <c r="E37" s="1941">
        <v>25.0</v>
      </c>
      <c r="F37" s="1912"/>
      <c r="G37" s="1912"/>
      <c r="H37" s="1912"/>
      <c r="I37" s="1912"/>
      <c r="J37" s="1912"/>
      <c r="K37" s="1912"/>
      <c r="L37" s="1940" t="s">
        <v>741</v>
      </c>
      <c r="M37" s="1940" t="s">
        <v>1152</v>
      </c>
      <c r="N37" s="1912"/>
      <c r="O37" s="1912"/>
      <c r="P37" s="1912"/>
      <c r="Q37" s="1940"/>
      <c r="R37" s="1912"/>
      <c r="S37" s="1940"/>
      <c r="T37" s="1912"/>
      <c r="U37" s="1912"/>
      <c r="V37" s="1912"/>
      <c r="W37" s="1912"/>
      <c r="X37" s="1912"/>
      <c r="Y37" s="1912"/>
      <c r="Z37" s="1912"/>
      <c r="AA37" s="1912"/>
      <c r="AB37" s="1912"/>
      <c r="AC37" s="1912"/>
      <c r="AD37" s="1912"/>
      <c r="AE37" s="1912"/>
      <c r="AF37" s="1912"/>
      <c r="AG37" s="1912"/>
    </row>
    <row r="38">
      <c r="A38" s="1912"/>
      <c r="B38" s="1920" t="s">
        <v>996</v>
      </c>
      <c r="C38" s="1941" t="s">
        <v>2415</v>
      </c>
      <c r="D38" s="1941" t="s">
        <v>2151</v>
      </c>
      <c r="E38" s="1941">
        <v>26.0</v>
      </c>
      <c r="F38" s="1912"/>
      <c r="G38" s="1912"/>
      <c r="H38" s="1912"/>
      <c r="I38" s="1912"/>
      <c r="J38" s="1912"/>
      <c r="K38" s="1912"/>
      <c r="L38" s="1940" t="s">
        <v>742</v>
      </c>
      <c r="M38" s="1940" t="s">
        <v>1153</v>
      </c>
      <c r="N38" s="1912"/>
      <c r="O38" s="1912"/>
      <c r="P38" s="1912"/>
      <c r="Q38" s="1940"/>
      <c r="R38" s="1912"/>
      <c r="S38" s="1940"/>
      <c r="T38" s="1912"/>
      <c r="U38" s="1912"/>
      <c r="V38" s="1912"/>
      <c r="W38" s="1912"/>
      <c r="X38" s="1912"/>
      <c r="Y38" s="1912"/>
      <c r="Z38" s="1912"/>
      <c r="AA38" s="1912"/>
      <c r="AB38" s="1912"/>
      <c r="AC38" s="1912"/>
      <c r="AD38" s="1912"/>
      <c r="AE38" s="1912"/>
      <c r="AF38" s="1912"/>
      <c r="AG38" s="1912"/>
    </row>
    <row r="39">
      <c r="A39" s="1912"/>
      <c r="B39" s="1920" t="s">
        <v>1000</v>
      </c>
      <c r="C39" s="1941" t="s">
        <v>2415</v>
      </c>
      <c r="D39" s="1941" t="s">
        <v>2151</v>
      </c>
      <c r="E39" s="1941">
        <v>26.0</v>
      </c>
      <c r="F39" s="1912"/>
      <c r="G39" s="1912"/>
      <c r="H39" s="1912"/>
      <c r="I39" s="1912"/>
      <c r="J39" s="1912"/>
      <c r="K39" s="1912"/>
      <c r="L39" s="1940" t="s">
        <v>743</v>
      </c>
      <c r="M39" s="1940" t="s">
        <v>1154</v>
      </c>
      <c r="N39" s="1912"/>
      <c r="O39" s="1912"/>
      <c r="P39" s="1912"/>
      <c r="Q39" s="1940"/>
      <c r="R39" s="1912"/>
      <c r="S39" s="1940"/>
      <c r="T39" s="1912"/>
      <c r="U39" s="1912"/>
      <c r="V39" s="1912"/>
      <c r="W39" s="1912"/>
      <c r="X39" s="1912"/>
      <c r="Y39" s="1912"/>
      <c r="Z39" s="1912"/>
      <c r="AA39" s="1912"/>
      <c r="AB39" s="1912"/>
      <c r="AC39" s="1912"/>
      <c r="AD39" s="1912"/>
      <c r="AE39" s="1912"/>
      <c r="AF39" s="1912"/>
      <c r="AG39" s="1912"/>
    </row>
    <row r="40">
      <c r="A40" s="1912"/>
      <c r="B40" s="1927" t="s">
        <v>1004</v>
      </c>
      <c r="C40" s="1941" t="s">
        <v>2415</v>
      </c>
      <c r="D40" s="1942" t="s">
        <v>2151</v>
      </c>
      <c r="E40" s="1942">
        <v>27.0</v>
      </c>
      <c r="F40" s="1912"/>
      <c r="G40" s="1912"/>
      <c r="H40" s="1912"/>
      <c r="I40" s="1912"/>
      <c r="J40" s="1912"/>
      <c r="K40" s="1912"/>
      <c r="L40" s="1938" t="s">
        <v>30</v>
      </c>
      <c r="M40" s="1938" t="s">
        <v>30</v>
      </c>
      <c r="N40" s="1912"/>
      <c r="O40" s="1912"/>
      <c r="P40" s="1912"/>
      <c r="Q40" s="1912"/>
      <c r="R40" s="1912"/>
      <c r="S40" s="1940"/>
      <c r="T40" s="1912"/>
      <c r="U40" s="1912"/>
      <c r="V40" s="1912"/>
      <c r="W40" s="1912"/>
      <c r="X40" s="1912"/>
      <c r="Y40" s="1912"/>
      <c r="Z40" s="1912"/>
      <c r="AA40" s="1912"/>
      <c r="AB40" s="1912"/>
      <c r="AC40" s="1912"/>
      <c r="AD40" s="1912"/>
      <c r="AE40" s="1912"/>
      <c r="AF40" s="1912"/>
      <c r="AG40" s="1912"/>
    </row>
    <row r="41">
      <c r="A41" s="1912"/>
      <c r="B41" s="1921" t="s">
        <v>1014</v>
      </c>
      <c r="C41" s="1943" t="s">
        <v>2423</v>
      </c>
      <c r="D41" s="1943" t="s">
        <v>2151</v>
      </c>
      <c r="E41" s="1943">
        <v>6.0</v>
      </c>
      <c r="F41" s="1912"/>
      <c r="G41" s="1912"/>
      <c r="H41" s="1912"/>
      <c r="I41" s="1912"/>
      <c r="J41" s="1912"/>
      <c r="K41" s="1912"/>
      <c r="L41" s="1912"/>
      <c r="M41" s="1912"/>
      <c r="N41" s="1912"/>
      <c r="O41" s="1912"/>
      <c r="P41" s="1912"/>
      <c r="Q41" s="1912"/>
      <c r="R41" s="1912"/>
      <c r="S41" s="1912"/>
      <c r="T41" s="1912"/>
      <c r="U41" s="1912"/>
      <c r="V41" s="1912"/>
      <c r="W41" s="1912"/>
      <c r="X41" s="1912"/>
      <c r="Y41" s="1912"/>
      <c r="Z41" s="1912"/>
      <c r="AA41" s="1912"/>
      <c r="AB41" s="1912"/>
      <c r="AC41" s="1912"/>
      <c r="AD41" s="1912"/>
      <c r="AE41" s="1912"/>
      <c r="AF41" s="1912"/>
      <c r="AG41" s="1912"/>
    </row>
    <row r="42">
      <c r="A42" s="1912"/>
      <c r="B42" s="1921" t="s">
        <v>1017</v>
      </c>
      <c r="C42" s="1943" t="s">
        <v>2423</v>
      </c>
      <c r="D42" s="1943" t="s">
        <v>2151</v>
      </c>
      <c r="E42" s="1943">
        <v>7.0</v>
      </c>
      <c r="F42" s="1912"/>
      <c r="G42" s="1912"/>
      <c r="H42" s="1912"/>
      <c r="I42" s="1912"/>
      <c r="J42" s="1912"/>
      <c r="K42" s="1912"/>
      <c r="L42" s="1912"/>
      <c r="M42" s="1912"/>
      <c r="N42" s="1912"/>
      <c r="O42" s="1912"/>
      <c r="P42" s="1912"/>
      <c r="Q42" s="1912"/>
      <c r="R42" s="1912"/>
      <c r="S42" s="1912"/>
      <c r="T42" s="1912"/>
      <c r="U42" s="1912"/>
      <c r="V42" s="1912"/>
      <c r="W42" s="1912"/>
      <c r="X42" s="1912"/>
      <c r="Y42" s="1912"/>
      <c r="Z42" s="1912"/>
      <c r="AA42" s="1912"/>
      <c r="AB42" s="1912"/>
      <c r="AC42" s="1912"/>
      <c r="AD42" s="1912"/>
      <c r="AE42" s="1912"/>
      <c r="AF42" s="1912"/>
      <c r="AG42" s="1912"/>
    </row>
    <row r="43">
      <c r="A43" s="1912"/>
      <c r="B43" s="1921" t="s">
        <v>1018</v>
      </c>
      <c r="C43" s="1943" t="s">
        <v>2423</v>
      </c>
      <c r="D43" s="1943" t="s">
        <v>2151</v>
      </c>
      <c r="E43" s="1943">
        <v>8.0</v>
      </c>
      <c r="F43" s="1912"/>
      <c r="G43" s="1912"/>
      <c r="H43" s="1912"/>
      <c r="I43" s="1912"/>
      <c r="J43" s="1912"/>
      <c r="K43" s="1912"/>
      <c r="L43" s="1912"/>
      <c r="M43" s="1912"/>
      <c r="N43" s="1912"/>
      <c r="O43" s="1912"/>
      <c r="P43" s="1912"/>
      <c r="Q43" s="1912"/>
      <c r="R43" s="1912"/>
      <c r="S43" s="1912"/>
      <c r="T43" s="1912"/>
      <c r="U43" s="1912"/>
      <c r="V43" s="1912"/>
      <c r="W43" s="1912"/>
      <c r="X43" s="1912"/>
      <c r="Y43" s="1912"/>
      <c r="Z43" s="1912"/>
      <c r="AA43" s="1912"/>
      <c r="AB43" s="1912"/>
      <c r="AC43" s="1912"/>
      <c r="AD43" s="1912"/>
      <c r="AE43" s="1912"/>
      <c r="AF43" s="1912"/>
      <c r="AG43" s="1912"/>
    </row>
    <row r="44">
      <c r="A44" s="1912"/>
      <c r="B44" s="1921" t="s">
        <v>1020</v>
      </c>
      <c r="C44" s="1943" t="s">
        <v>2423</v>
      </c>
      <c r="D44" s="1943" t="s">
        <v>2151</v>
      </c>
      <c r="E44" s="1943">
        <v>9.0</v>
      </c>
      <c r="F44" s="1912"/>
      <c r="G44" s="1912"/>
      <c r="H44" s="1912"/>
      <c r="I44" s="1938"/>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2"/>
    </row>
    <row r="45">
      <c r="A45" s="1912"/>
      <c r="B45" s="1921" t="s">
        <v>1033</v>
      </c>
      <c r="C45" s="1943" t="s">
        <v>2423</v>
      </c>
      <c r="D45" s="1943" t="s">
        <v>2151</v>
      </c>
      <c r="E45" s="1943">
        <v>13.0</v>
      </c>
      <c r="F45" s="1912"/>
      <c r="G45" s="1944" t="s">
        <v>2461</v>
      </c>
      <c r="H45" s="1945" t="s">
        <v>54</v>
      </c>
      <c r="I45" s="1938" t="s">
        <v>2462</v>
      </c>
      <c r="J45" s="1938" t="s">
        <v>247</v>
      </c>
      <c r="K45" s="1912"/>
      <c r="L45" s="1912"/>
      <c r="M45" s="1912"/>
      <c r="N45" s="1912"/>
      <c r="O45" s="1912"/>
      <c r="P45" s="1912"/>
      <c r="Q45" s="1912"/>
      <c r="R45" s="1912"/>
      <c r="S45" s="1912"/>
      <c r="T45" s="1912"/>
      <c r="U45" s="1912"/>
      <c r="V45" s="1912"/>
      <c r="W45" s="1912"/>
      <c r="X45" s="1912"/>
      <c r="Y45" s="1912"/>
      <c r="Z45" s="1912"/>
      <c r="AA45" s="1912"/>
      <c r="AB45" s="1912"/>
      <c r="AC45" s="1912"/>
      <c r="AD45" s="1912"/>
      <c r="AE45" s="1912"/>
      <c r="AF45" s="1912"/>
      <c r="AG45" s="1912"/>
    </row>
    <row r="46">
      <c r="A46" s="1912"/>
      <c r="B46" s="1921" t="s">
        <v>1028</v>
      </c>
      <c r="C46" s="1943" t="s">
        <v>2423</v>
      </c>
      <c r="D46" s="1943" t="s">
        <v>2151</v>
      </c>
      <c r="E46" s="1943">
        <v>15.0</v>
      </c>
      <c r="F46" s="1912"/>
      <c r="G46" s="1912">
        <f t="array" ref="G46:G52">TRANSPOSE(SEQUENCE(1,'Персонаж'!L10+4,-3,1))</f>
        <v>-3</v>
      </c>
      <c r="H46" s="1946">
        <v>0.05</v>
      </c>
      <c r="I46" s="1938" t="s">
        <v>2463</v>
      </c>
      <c r="J46" s="1912">
        <f t="array" ref="J46:J48">TRANSPOSE(SEQUENCE(1,'Персонаж'!I18+1,0,1))</f>
        <v>0</v>
      </c>
      <c r="K46" s="1938" t="s">
        <v>2464</v>
      </c>
      <c r="L46" s="1912"/>
      <c r="M46" s="1912"/>
      <c r="N46" s="1912"/>
      <c r="O46" s="1912"/>
      <c r="P46" s="1912"/>
      <c r="Q46" s="1912"/>
      <c r="R46" s="1912"/>
      <c r="S46" s="1912"/>
      <c r="T46" s="1912"/>
      <c r="U46" s="1912"/>
      <c r="V46" s="1912"/>
      <c r="W46" s="1912"/>
      <c r="X46" s="1912"/>
      <c r="Y46" s="1912"/>
      <c r="Z46" s="1912"/>
      <c r="AA46" s="1912"/>
      <c r="AB46" s="1912"/>
      <c r="AC46" s="1912"/>
      <c r="AD46" s="1912"/>
      <c r="AE46" s="1912"/>
      <c r="AF46" s="1912"/>
      <c r="AG46" s="1912"/>
    </row>
    <row r="47">
      <c r="A47" s="1912"/>
      <c r="B47" s="1934" t="s">
        <v>1025</v>
      </c>
      <c r="C47" s="1943" t="s">
        <v>2423</v>
      </c>
      <c r="D47" s="1943" t="s">
        <v>2151</v>
      </c>
      <c r="E47" s="1943">
        <v>14.0</v>
      </c>
      <c r="F47" s="1912"/>
      <c r="G47" s="1912">
        <v>-2.0</v>
      </c>
      <c r="H47" s="1946">
        <v>0.1</v>
      </c>
      <c r="I47" s="1938" t="s">
        <v>258</v>
      </c>
      <c r="J47" s="1912">
        <v>1.0</v>
      </c>
      <c r="K47" s="1947" t="s">
        <v>2465</v>
      </c>
      <c r="L47" s="1946"/>
      <c r="M47" s="1946"/>
      <c r="N47" s="1946"/>
      <c r="O47" s="1946"/>
      <c r="P47" s="1912"/>
      <c r="Q47" s="1912"/>
      <c r="R47" s="1912"/>
      <c r="S47" s="1912"/>
      <c r="T47" s="1912"/>
      <c r="U47" s="1912"/>
      <c r="V47" s="1912"/>
      <c r="W47" s="1912"/>
      <c r="X47" s="1912"/>
      <c r="Y47" s="1912"/>
      <c r="Z47" s="1912"/>
      <c r="AA47" s="1912"/>
      <c r="AB47" s="1912"/>
      <c r="AC47" s="1912"/>
      <c r="AD47" s="1912"/>
      <c r="AE47" s="1912"/>
      <c r="AF47" s="1912"/>
      <c r="AG47" s="1912"/>
    </row>
    <row r="48">
      <c r="A48" s="1912"/>
      <c r="B48" s="1934" t="s">
        <v>850</v>
      </c>
      <c r="C48" s="1943" t="s">
        <v>2423</v>
      </c>
      <c r="D48" s="1943" t="s">
        <v>2151</v>
      </c>
      <c r="E48" s="1943">
        <v>23.0</v>
      </c>
      <c r="F48" s="1912"/>
      <c r="G48" s="1912">
        <v>-1.0</v>
      </c>
      <c r="H48" s="1946">
        <v>0.2</v>
      </c>
      <c r="I48" s="1938" t="s">
        <v>2466</v>
      </c>
      <c r="J48" s="1912">
        <v>2.0</v>
      </c>
      <c r="K48" s="1938" t="s">
        <v>2467</v>
      </c>
      <c r="L48" s="1912"/>
      <c r="M48" s="1912"/>
      <c r="N48" s="1912"/>
      <c r="O48" s="1912"/>
      <c r="P48" s="1912"/>
      <c r="Q48" s="1912"/>
      <c r="R48" s="1912"/>
      <c r="S48" s="1912"/>
      <c r="T48" s="1912"/>
      <c r="U48" s="1912"/>
      <c r="V48" s="1912"/>
      <c r="W48" s="1912"/>
      <c r="X48" s="1912"/>
      <c r="Y48" s="1912"/>
      <c r="Z48" s="1912"/>
      <c r="AA48" s="1912"/>
      <c r="AB48" s="1912"/>
      <c r="AC48" s="1912"/>
      <c r="AD48" s="1912"/>
      <c r="AE48" s="1912"/>
      <c r="AF48" s="1912"/>
      <c r="AG48" s="1912"/>
    </row>
    <row r="49">
      <c r="A49" s="1912"/>
      <c r="B49" s="1923" t="s">
        <v>1069</v>
      </c>
      <c r="C49" s="1948" t="s">
        <v>2418</v>
      </c>
      <c r="D49" s="1948" t="s">
        <v>2151</v>
      </c>
      <c r="E49" s="1948">
        <v>8.0</v>
      </c>
      <c r="F49" s="1912"/>
      <c r="G49" s="1912">
        <v>0.0</v>
      </c>
      <c r="H49" s="1946">
        <v>0.3</v>
      </c>
      <c r="I49" s="1938" t="s">
        <v>2468</v>
      </c>
      <c r="J49" s="1912"/>
      <c r="K49" s="1938" t="s">
        <v>2469</v>
      </c>
      <c r="L49" s="1912"/>
      <c r="M49" s="1912"/>
      <c r="N49" s="1912"/>
      <c r="O49" s="1912"/>
      <c r="P49" s="1912"/>
      <c r="Q49" s="1912"/>
      <c r="R49" s="1912"/>
      <c r="S49" s="1912"/>
      <c r="T49" s="1912"/>
      <c r="U49" s="1912"/>
      <c r="V49" s="1912"/>
      <c r="W49" s="1912"/>
      <c r="X49" s="1912"/>
      <c r="Y49" s="1912"/>
      <c r="Z49" s="1912"/>
      <c r="AA49" s="1912"/>
      <c r="AB49" s="1912"/>
      <c r="AC49" s="1912"/>
      <c r="AD49" s="1912"/>
      <c r="AE49" s="1912"/>
      <c r="AF49" s="1912"/>
      <c r="AG49" s="1912"/>
    </row>
    <row r="50">
      <c r="A50" s="1912"/>
      <c r="B50" s="1923" t="s">
        <v>1076</v>
      </c>
      <c r="C50" s="1948" t="s">
        <v>2418</v>
      </c>
      <c r="D50" s="1948" t="s">
        <v>2151</v>
      </c>
      <c r="E50" s="1948">
        <v>10.0</v>
      </c>
      <c r="F50" s="1912"/>
      <c r="G50" s="1912">
        <v>1.0</v>
      </c>
      <c r="H50" s="1946">
        <v>0.5</v>
      </c>
      <c r="I50" s="1938" t="s">
        <v>2470</v>
      </c>
      <c r="J50" s="1912"/>
      <c r="K50" s="1938" t="s">
        <v>2471</v>
      </c>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row>
    <row r="51">
      <c r="A51" s="1912"/>
      <c r="B51" s="1923" t="s">
        <v>1079</v>
      </c>
      <c r="C51" s="1948" t="s">
        <v>2418</v>
      </c>
      <c r="D51" s="1948" t="s">
        <v>2151</v>
      </c>
      <c r="E51" s="1948">
        <v>15.0</v>
      </c>
      <c r="F51" s="1912"/>
      <c r="G51" s="1912">
        <v>2.0</v>
      </c>
      <c r="H51" s="1946">
        <v>0.6</v>
      </c>
      <c r="I51" s="1938" t="s">
        <v>2472</v>
      </c>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row>
    <row r="52">
      <c r="A52" s="1912"/>
      <c r="B52" s="1931" t="s">
        <v>1081</v>
      </c>
      <c r="C52" s="1948" t="s">
        <v>2418</v>
      </c>
      <c r="D52" s="1948" t="s">
        <v>2151</v>
      </c>
      <c r="E52" s="1948">
        <v>16.0</v>
      </c>
      <c r="F52" s="1912"/>
      <c r="G52" s="1912">
        <v>3.0</v>
      </c>
      <c r="H52" s="1946">
        <v>0.7</v>
      </c>
      <c r="I52" s="1949" t="s">
        <v>30</v>
      </c>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row>
    <row r="53">
      <c r="A53" s="1912"/>
      <c r="B53" s="1925" t="s">
        <v>1098</v>
      </c>
      <c r="C53" s="1950" t="s">
        <v>2420</v>
      </c>
      <c r="D53" s="1950" t="s">
        <v>30</v>
      </c>
      <c r="E53" s="1950">
        <v>0.0</v>
      </c>
      <c r="F53" s="1912"/>
      <c r="G53" s="1912"/>
      <c r="H53" s="1946">
        <v>0.8</v>
      </c>
      <c r="I53" s="1912"/>
      <c r="J53" s="1912"/>
      <c r="K53" s="1912"/>
      <c r="L53" s="1912"/>
      <c r="M53" s="1912"/>
      <c r="N53" s="1912"/>
      <c r="O53" s="1912"/>
      <c r="P53" s="1912"/>
      <c r="Q53" s="1912"/>
      <c r="R53" s="1912"/>
      <c r="S53" s="1912"/>
      <c r="T53" s="1912"/>
      <c r="U53" s="1912"/>
      <c r="V53" s="1912"/>
      <c r="W53" s="1912"/>
      <c r="X53" s="1912"/>
      <c r="Y53" s="1912"/>
      <c r="Z53" s="1912"/>
      <c r="AA53" s="1912"/>
      <c r="AB53" s="1912"/>
      <c r="AC53" s="1912"/>
      <c r="AD53" s="1912"/>
      <c r="AE53" s="1912"/>
      <c r="AF53" s="1912"/>
      <c r="AG53" s="1912"/>
    </row>
    <row r="54">
      <c r="A54" s="1912"/>
      <c r="B54" s="1925" t="s">
        <v>1106</v>
      </c>
      <c r="C54" s="1950" t="s">
        <v>2420</v>
      </c>
      <c r="D54" s="1950" t="s">
        <v>2151</v>
      </c>
      <c r="E54" s="1950">
        <v>0.0</v>
      </c>
      <c r="F54" s="1912"/>
      <c r="G54" s="1912"/>
      <c r="H54" s="1946">
        <v>0.85</v>
      </c>
      <c r="I54" s="1912"/>
      <c r="J54" s="1912"/>
      <c r="K54" s="1912"/>
      <c r="L54" s="1912"/>
      <c r="M54" s="1912"/>
      <c r="N54" s="1912"/>
      <c r="O54" s="1912"/>
      <c r="P54" s="1912"/>
      <c r="Q54" s="1912"/>
      <c r="R54" s="1912"/>
      <c r="S54" s="1912"/>
      <c r="T54" s="1912"/>
      <c r="U54" s="1912"/>
      <c r="V54" s="1912"/>
      <c r="W54" s="1912"/>
      <c r="X54" s="1912"/>
      <c r="Y54" s="1912"/>
      <c r="Z54" s="1912"/>
      <c r="AA54" s="1912"/>
      <c r="AB54" s="1912"/>
      <c r="AC54" s="1912"/>
      <c r="AD54" s="1912"/>
      <c r="AE54" s="1912"/>
      <c r="AF54" s="1912"/>
      <c r="AG54" s="1912"/>
    </row>
    <row r="55">
      <c r="A55" s="1912"/>
      <c r="B55" s="1925" t="s">
        <v>1109</v>
      </c>
      <c r="C55" s="1950" t="s">
        <v>2420</v>
      </c>
      <c r="D55" s="1950" t="s">
        <v>30</v>
      </c>
      <c r="E55" s="1950">
        <v>0.0</v>
      </c>
      <c r="F55" s="1912"/>
      <c r="G55" s="1912"/>
      <c r="H55" s="1912"/>
      <c r="I55" s="1912"/>
      <c r="J55" s="1912"/>
      <c r="K55" s="1912"/>
      <c r="L55" s="1912"/>
      <c r="M55" s="1912"/>
      <c r="N55" s="1912"/>
      <c r="O55" s="1912"/>
      <c r="P55" s="1912"/>
      <c r="Q55" s="1912"/>
      <c r="R55" s="1912"/>
      <c r="S55" s="1912"/>
      <c r="T55" s="1912"/>
      <c r="U55" s="1912"/>
      <c r="V55" s="1912"/>
      <c r="W55" s="1912"/>
      <c r="X55" s="1912"/>
      <c r="Y55" s="1912"/>
      <c r="Z55" s="1912"/>
      <c r="AA55" s="1912"/>
      <c r="AB55" s="1912"/>
      <c r="AC55" s="1912"/>
      <c r="AD55" s="1912"/>
      <c r="AE55" s="1912"/>
      <c r="AF55" s="1912"/>
      <c r="AG55" s="1912"/>
    </row>
    <row r="56">
      <c r="A56" s="1912"/>
      <c r="B56" s="1925" t="s">
        <v>1113</v>
      </c>
      <c r="C56" s="1950" t="s">
        <v>2420</v>
      </c>
      <c r="D56" s="1950" t="s">
        <v>2151</v>
      </c>
      <c r="E56" s="1950">
        <v>0.0</v>
      </c>
      <c r="F56" s="1912"/>
      <c r="G56" s="1912"/>
      <c r="H56" s="1912"/>
      <c r="I56" s="1912"/>
      <c r="J56" s="1912"/>
      <c r="K56" s="1912"/>
      <c r="L56" s="1912"/>
      <c r="M56" s="1912"/>
      <c r="N56" s="1912"/>
      <c r="O56" s="1912"/>
      <c r="P56" s="1912"/>
      <c r="Q56" s="1912"/>
      <c r="R56" s="1912"/>
      <c r="S56" s="1912"/>
      <c r="T56" s="1912"/>
      <c r="U56" s="1912"/>
      <c r="V56" s="1912"/>
      <c r="W56" s="1912"/>
      <c r="X56" s="1912"/>
      <c r="Y56" s="1912"/>
      <c r="Z56" s="1912"/>
      <c r="AA56" s="1912"/>
      <c r="AB56" s="1912"/>
      <c r="AC56" s="1912"/>
      <c r="AD56" s="1912"/>
      <c r="AE56" s="1912"/>
      <c r="AF56" s="1912"/>
      <c r="AG56" s="1912"/>
    </row>
    <row r="57">
      <c r="A57" s="1912"/>
      <c r="B57" s="1922" t="s">
        <v>1036</v>
      </c>
      <c r="C57" s="1951" t="s">
        <v>2419</v>
      </c>
      <c r="D57" s="1951" t="s">
        <v>2151</v>
      </c>
      <c r="E57" s="1951">
        <v>12.0</v>
      </c>
      <c r="F57" s="1912"/>
      <c r="G57" s="1912"/>
      <c r="H57" s="1912"/>
      <c r="I57" s="1912"/>
      <c r="J57" s="1912"/>
      <c r="K57" s="1912"/>
      <c r="L57" s="1912"/>
      <c r="M57" s="1912"/>
      <c r="N57" s="1912"/>
      <c r="O57" s="1912"/>
      <c r="P57" s="1912"/>
      <c r="Q57" s="1912"/>
      <c r="R57" s="1912"/>
      <c r="S57" s="1912"/>
      <c r="T57" s="1912"/>
      <c r="U57" s="1912"/>
      <c r="V57" s="1912"/>
      <c r="W57" s="1912"/>
      <c r="X57" s="1912"/>
      <c r="Y57" s="1912"/>
      <c r="Z57" s="1912"/>
      <c r="AA57" s="1912"/>
      <c r="AB57" s="1912"/>
      <c r="AC57" s="1912"/>
      <c r="AD57" s="1912"/>
      <c r="AE57" s="1912"/>
      <c r="AF57" s="1912"/>
      <c r="AG57" s="1912"/>
    </row>
    <row r="58">
      <c r="A58" s="1912"/>
      <c r="B58" s="1922" t="s">
        <v>1045</v>
      </c>
      <c r="C58" s="1951" t="s">
        <v>2419</v>
      </c>
      <c r="D58" s="1951" t="s">
        <v>2151</v>
      </c>
      <c r="E58" s="1951">
        <v>8.0</v>
      </c>
      <c r="F58" s="1912"/>
      <c r="G58" s="1912"/>
      <c r="H58" s="1912"/>
      <c r="I58" s="1912"/>
      <c r="J58" s="1912"/>
      <c r="K58" s="1912"/>
      <c r="L58" s="1912"/>
      <c r="M58" s="1912"/>
      <c r="N58" s="1912"/>
      <c r="O58" s="1912"/>
      <c r="P58" s="1912"/>
      <c r="Q58" s="1912"/>
      <c r="R58" s="1912"/>
      <c r="S58" s="1912"/>
      <c r="T58" s="1912"/>
      <c r="U58" s="1912"/>
      <c r="V58" s="1912"/>
      <c r="W58" s="1912"/>
      <c r="X58" s="1912"/>
      <c r="Y58" s="1912"/>
      <c r="Z58" s="1912"/>
      <c r="AA58" s="1912"/>
      <c r="AB58" s="1912"/>
      <c r="AC58" s="1912"/>
      <c r="AD58" s="1912"/>
      <c r="AE58" s="1912"/>
      <c r="AF58" s="1912"/>
      <c r="AG58" s="1912"/>
    </row>
    <row r="59">
      <c r="A59" s="1912"/>
      <c r="B59" s="1922" t="s">
        <v>1051</v>
      </c>
      <c r="C59" s="1951" t="s">
        <v>2419</v>
      </c>
      <c r="D59" s="1951" t="s">
        <v>2151</v>
      </c>
      <c r="E59" s="1951">
        <v>14.0</v>
      </c>
      <c r="F59" s="1912"/>
      <c r="G59" s="1938" t="s">
        <v>60</v>
      </c>
      <c r="H59" s="1938" t="s">
        <v>2473</v>
      </c>
      <c r="I59" s="1912"/>
      <c r="J59" s="1912"/>
      <c r="K59" s="1912"/>
      <c r="L59" s="1912"/>
      <c r="M59" s="1912"/>
      <c r="N59" s="1938" t="s">
        <v>55</v>
      </c>
      <c r="O59" s="1938" t="s">
        <v>1392</v>
      </c>
      <c r="P59" s="1912"/>
      <c r="Q59" s="1912"/>
      <c r="R59" s="1938" t="s">
        <v>69</v>
      </c>
      <c r="S59" s="1938" t="s">
        <v>74</v>
      </c>
      <c r="T59" s="1912"/>
      <c r="U59" s="1912"/>
      <c r="V59" s="1912"/>
      <c r="W59" s="1912"/>
      <c r="X59" s="1912"/>
      <c r="Y59" s="1912"/>
      <c r="Z59" s="1912"/>
      <c r="AA59" s="1912"/>
      <c r="AB59" s="1912"/>
      <c r="AC59" s="1912"/>
      <c r="AD59" s="1912"/>
      <c r="AE59" s="1912"/>
      <c r="AF59" s="1912"/>
      <c r="AG59" s="1912"/>
    </row>
    <row r="60">
      <c r="A60" s="1912"/>
      <c r="B60" s="1930" t="s">
        <v>1058</v>
      </c>
      <c r="C60" s="1951" t="s">
        <v>2419</v>
      </c>
      <c r="D60" s="1952" t="s">
        <v>2151</v>
      </c>
      <c r="E60" s="1952">
        <v>8.0</v>
      </c>
      <c r="F60" s="1912"/>
      <c r="G60" s="1953">
        <v>2.0</v>
      </c>
      <c r="H60" s="1953">
        <v>0.0</v>
      </c>
      <c r="I60" s="1912"/>
      <c r="J60" s="1912"/>
      <c r="K60" s="1912"/>
      <c r="L60" s="1912"/>
      <c r="M60" s="1912"/>
      <c r="N60" s="1938">
        <v>1.0</v>
      </c>
      <c r="O60" s="1938">
        <v>1.0</v>
      </c>
      <c r="P60" s="1912"/>
      <c r="Q60" s="1912"/>
      <c r="R60" s="1938">
        <v>1.0</v>
      </c>
      <c r="S60" s="1912">
        <f>R60*2%</f>
        <v>0.02</v>
      </c>
      <c r="T60" s="1912"/>
      <c r="U60" s="1912"/>
      <c r="V60" s="1912"/>
      <c r="W60" s="1912"/>
      <c r="X60" s="1912"/>
      <c r="Y60" s="1912"/>
      <c r="Z60" s="1912"/>
      <c r="AA60" s="1912"/>
      <c r="AB60" s="1912"/>
      <c r="AC60" s="1912"/>
      <c r="AD60" s="1912"/>
      <c r="AE60" s="1912"/>
      <c r="AF60" s="1912"/>
      <c r="AG60" s="1912"/>
    </row>
    <row r="61">
      <c r="A61" s="1912"/>
      <c r="B61" s="1922" t="s">
        <v>1061</v>
      </c>
      <c r="C61" s="1951" t="s">
        <v>2419</v>
      </c>
      <c r="D61" s="1951" t="s">
        <v>2151</v>
      </c>
      <c r="E61" s="1951">
        <v>14.0</v>
      </c>
      <c r="F61" s="1912"/>
      <c r="G61" s="1953">
        <v>3.0</v>
      </c>
      <c r="H61" s="1953">
        <v>0.0</v>
      </c>
      <c r="I61" s="1912"/>
      <c r="J61" s="1912"/>
      <c r="K61" s="1912"/>
      <c r="L61" s="1912"/>
      <c r="M61" s="1912"/>
      <c r="N61" s="1938">
        <v>2.0</v>
      </c>
      <c r="O61" s="1938">
        <v>2.0</v>
      </c>
      <c r="P61" s="1912"/>
      <c r="Q61" s="1912"/>
      <c r="R61" s="1938">
        <v>2.0</v>
      </c>
      <c r="S61" s="1912"/>
      <c r="T61" s="1912"/>
      <c r="U61" s="1912"/>
      <c r="V61" s="1912"/>
      <c r="W61" s="1912"/>
      <c r="X61" s="1912"/>
      <c r="Y61" s="1912"/>
      <c r="Z61" s="1912"/>
      <c r="AA61" s="1912"/>
      <c r="AB61" s="1912"/>
      <c r="AC61" s="1912"/>
      <c r="AD61" s="1912"/>
      <c r="AE61" s="1912"/>
      <c r="AF61" s="1912"/>
      <c r="AG61" s="1912"/>
    </row>
    <row r="62">
      <c r="A62" s="1912"/>
      <c r="B62" s="1930" t="s">
        <v>1063</v>
      </c>
      <c r="C62" s="1951" t="s">
        <v>2419</v>
      </c>
      <c r="D62" s="1952" t="s">
        <v>2151</v>
      </c>
      <c r="E62" s="1952">
        <v>8.0</v>
      </c>
      <c r="F62" s="1912"/>
      <c r="G62" s="1953">
        <v>4.0</v>
      </c>
      <c r="H62" s="1953">
        <v>0.0</v>
      </c>
      <c r="I62" s="1912"/>
      <c r="J62" s="1912"/>
      <c r="K62" s="1912"/>
      <c r="L62" s="1912"/>
      <c r="M62" s="1912"/>
      <c r="N62" s="1938">
        <v>3.0</v>
      </c>
      <c r="O62" s="1938">
        <v>3.0</v>
      </c>
      <c r="P62" s="1912"/>
      <c r="Q62" s="1912"/>
      <c r="R62" s="1938">
        <v>3.0</v>
      </c>
      <c r="S62" s="1912"/>
      <c r="T62" s="1912"/>
      <c r="U62" s="1912"/>
      <c r="V62" s="1912"/>
      <c r="W62" s="1912"/>
      <c r="X62" s="1912"/>
      <c r="Y62" s="1912"/>
      <c r="Z62" s="1912"/>
      <c r="AA62" s="1912"/>
      <c r="AB62" s="1912"/>
      <c r="AC62" s="1912"/>
      <c r="AD62" s="1912"/>
      <c r="AE62" s="1912"/>
      <c r="AF62" s="1912"/>
      <c r="AG62" s="1912"/>
    </row>
    <row r="63">
      <c r="A63" s="1912"/>
      <c r="B63" s="1922" t="s">
        <v>1066</v>
      </c>
      <c r="C63" s="1951" t="s">
        <v>2419</v>
      </c>
      <c r="D63" s="1951" t="s">
        <v>2151</v>
      </c>
      <c r="E63" s="1951">
        <v>14.0</v>
      </c>
      <c r="F63" s="1912"/>
      <c r="G63" s="1953">
        <v>5.0</v>
      </c>
      <c r="H63" s="1954">
        <v>-0.1</v>
      </c>
      <c r="I63" s="1912"/>
      <c r="J63" s="1912"/>
      <c r="K63" s="1912"/>
      <c r="L63" s="1912"/>
      <c r="M63" s="1912"/>
      <c r="N63" s="1938">
        <v>4.0</v>
      </c>
      <c r="O63" s="1938">
        <v>4.0</v>
      </c>
      <c r="P63" s="1912"/>
      <c r="Q63" s="1912"/>
      <c r="R63" s="1938">
        <v>4.0</v>
      </c>
      <c r="S63" s="1912"/>
      <c r="T63" s="1912"/>
      <c r="U63" s="1912"/>
      <c r="V63" s="1912"/>
      <c r="W63" s="1912"/>
      <c r="X63" s="1912"/>
      <c r="Y63" s="1912"/>
      <c r="Z63" s="1912"/>
      <c r="AA63" s="1912"/>
      <c r="AB63" s="1912"/>
      <c r="AC63" s="1912"/>
      <c r="AD63" s="1912"/>
      <c r="AE63" s="1912"/>
      <c r="AF63" s="1912"/>
      <c r="AG63" s="1912"/>
    </row>
    <row r="64">
      <c r="A64" s="1912"/>
      <c r="B64" s="1931" t="s">
        <v>1140</v>
      </c>
      <c r="C64" s="1955"/>
      <c r="D64" s="1956" t="s">
        <v>2151</v>
      </c>
      <c r="E64" s="1956">
        <v>0.0</v>
      </c>
      <c r="F64" s="1912"/>
      <c r="G64" s="1953">
        <v>6.0</v>
      </c>
      <c r="H64" s="1954">
        <v>-0.1</v>
      </c>
      <c r="I64" s="1912"/>
      <c r="J64" s="1912"/>
      <c r="K64" s="1912"/>
      <c r="L64" s="1912"/>
      <c r="M64" s="1912"/>
      <c r="N64" s="1938">
        <v>5.0</v>
      </c>
      <c r="O64" s="1938">
        <v>5.0</v>
      </c>
      <c r="P64" s="1912"/>
      <c r="Q64" s="1912"/>
      <c r="R64" s="1938">
        <v>5.0</v>
      </c>
      <c r="S64" s="1912"/>
      <c r="T64" s="1912"/>
      <c r="U64" s="1912"/>
      <c r="V64" s="1912"/>
      <c r="W64" s="1912"/>
      <c r="X64" s="1912"/>
      <c r="Y64" s="1912"/>
      <c r="Z64" s="1912"/>
      <c r="AA64" s="1912"/>
      <c r="AB64" s="1912"/>
      <c r="AC64" s="1912"/>
      <c r="AD64" s="1912"/>
      <c r="AE64" s="1912"/>
      <c r="AF64" s="1912"/>
      <c r="AG64" s="1912"/>
    </row>
    <row r="65">
      <c r="A65" s="1912"/>
      <c r="B65" s="1931" t="s">
        <v>1084</v>
      </c>
      <c r="C65" s="1956" t="s">
        <v>2418</v>
      </c>
      <c r="D65" s="1956" t="s">
        <v>2151</v>
      </c>
      <c r="E65" s="1956">
        <v>4.0</v>
      </c>
      <c r="F65" s="1912"/>
      <c r="G65" s="1953">
        <v>7.0</v>
      </c>
      <c r="H65" s="1954">
        <v>-0.15</v>
      </c>
      <c r="I65" s="1912"/>
      <c r="J65" s="1912"/>
      <c r="K65" s="1912"/>
      <c r="L65" s="1912"/>
      <c r="M65" s="1912"/>
      <c r="N65" s="1938">
        <v>6.0</v>
      </c>
      <c r="O65" s="1938">
        <v>6.0</v>
      </c>
      <c r="P65" s="1912"/>
      <c r="Q65" s="1912"/>
      <c r="R65" s="1938">
        <v>6.0</v>
      </c>
      <c r="S65" s="1912"/>
      <c r="T65" s="1912"/>
      <c r="U65" s="1912"/>
      <c r="V65" s="1912"/>
      <c r="W65" s="1912"/>
      <c r="X65" s="1912"/>
      <c r="Y65" s="1912"/>
      <c r="Z65" s="1912"/>
      <c r="AA65" s="1912"/>
      <c r="AB65" s="1912"/>
      <c r="AC65" s="1912"/>
      <c r="AD65" s="1912"/>
      <c r="AE65" s="1912"/>
      <c r="AF65" s="1912"/>
      <c r="AG65" s="1912"/>
    </row>
    <row r="66">
      <c r="A66" s="1912"/>
      <c r="B66" s="1924" t="s">
        <v>199</v>
      </c>
      <c r="C66" s="1957" t="s">
        <v>1146</v>
      </c>
      <c r="D66" s="1957" t="s">
        <v>2152</v>
      </c>
      <c r="E66" s="1957">
        <v>4.0</v>
      </c>
      <c r="F66" s="1912"/>
      <c r="G66" s="1953">
        <v>8.0</v>
      </c>
      <c r="H66" s="1954">
        <v>-0.15</v>
      </c>
      <c r="I66" s="1912"/>
      <c r="J66" s="1912"/>
      <c r="K66" s="1912"/>
      <c r="L66" s="1912"/>
      <c r="M66" s="1912"/>
      <c r="N66" s="1938">
        <v>7.0</v>
      </c>
      <c r="O66" s="1938">
        <v>7.0</v>
      </c>
      <c r="P66" s="1912"/>
      <c r="Q66" s="1912"/>
      <c r="R66" s="1938">
        <v>7.0</v>
      </c>
      <c r="S66" s="1912"/>
      <c r="T66" s="1912"/>
      <c r="U66" s="1912"/>
      <c r="V66" s="1912"/>
      <c r="W66" s="1912"/>
      <c r="X66" s="1912"/>
      <c r="Y66" s="1912"/>
      <c r="Z66" s="1912"/>
      <c r="AA66" s="1912"/>
      <c r="AB66" s="1912"/>
      <c r="AC66" s="1912"/>
      <c r="AD66" s="1912"/>
      <c r="AE66" s="1912"/>
      <c r="AF66" s="1912"/>
      <c r="AG66" s="1912"/>
    </row>
    <row r="67">
      <c r="A67" s="1912"/>
      <c r="B67" s="1924" t="s">
        <v>1157</v>
      </c>
      <c r="C67" s="1957" t="s">
        <v>1146</v>
      </c>
      <c r="D67" s="1957" t="s">
        <v>2152</v>
      </c>
      <c r="E67" s="1957">
        <v>5.0</v>
      </c>
      <c r="F67" s="1912"/>
      <c r="G67" s="1953">
        <v>9.0</v>
      </c>
      <c r="H67" s="1954">
        <v>-0.2</v>
      </c>
      <c r="I67" s="1912"/>
      <c r="J67" s="1912"/>
      <c r="K67" s="1912"/>
      <c r="L67" s="1912"/>
      <c r="M67" s="1912"/>
      <c r="N67" s="1938">
        <v>8.0</v>
      </c>
      <c r="O67" s="1938">
        <v>8.0</v>
      </c>
      <c r="P67" s="1912"/>
      <c r="Q67" s="1912"/>
      <c r="R67" s="1938">
        <v>8.0</v>
      </c>
      <c r="S67" s="1912"/>
      <c r="T67" s="1912"/>
      <c r="U67" s="1912"/>
      <c r="V67" s="1912"/>
      <c r="W67" s="1912"/>
      <c r="X67" s="1912"/>
      <c r="Y67" s="1912"/>
      <c r="Z67" s="1912"/>
      <c r="AA67" s="1912"/>
      <c r="AB67" s="1912"/>
      <c r="AC67" s="1912"/>
      <c r="AD67" s="1912"/>
      <c r="AE67" s="1912"/>
      <c r="AF67" s="1912"/>
      <c r="AG67" s="1912"/>
    </row>
    <row r="68">
      <c r="A68" s="1912"/>
      <c r="B68" s="1924" t="s">
        <v>1158</v>
      </c>
      <c r="C68" s="1957" t="s">
        <v>1146</v>
      </c>
      <c r="D68" s="1957" t="s">
        <v>2152</v>
      </c>
      <c r="E68" s="1957">
        <v>4.0</v>
      </c>
      <c r="F68" s="1912"/>
      <c r="G68" s="1953">
        <v>10.0</v>
      </c>
      <c r="H68" s="1954">
        <v>-0.2</v>
      </c>
      <c r="I68" s="1912"/>
      <c r="J68" s="1912"/>
      <c r="K68" s="1912"/>
      <c r="L68" s="1912"/>
      <c r="M68" s="1912"/>
      <c r="N68" s="1938">
        <v>9.0</v>
      </c>
      <c r="O68" s="1938">
        <v>9.0</v>
      </c>
      <c r="P68" s="1912"/>
      <c r="Q68" s="1912"/>
      <c r="R68" s="1938">
        <v>9.0</v>
      </c>
      <c r="S68" s="1912"/>
      <c r="T68" s="1912"/>
      <c r="U68" s="1912"/>
      <c r="V68" s="1912"/>
      <c r="W68" s="1912"/>
      <c r="X68" s="1912"/>
      <c r="Y68" s="1912"/>
      <c r="Z68" s="1912"/>
      <c r="AA68" s="1912"/>
      <c r="AB68" s="1912"/>
      <c r="AC68" s="1912"/>
      <c r="AD68" s="1912"/>
      <c r="AE68" s="1912"/>
      <c r="AF68" s="1912"/>
      <c r="AG68" s="1912"/>
    </row>
    <row r="69">
      <c r="A69" s="1912"/>
      <c r="B69" s="1924" t="s">
        <v>1164</v>
      </c>
      <c r="C69" s="1957" t="s">
        <v>1146</v>
      </c>
      <c r="D69" s="1957" t="s">
        <v>2152</v>
      </c>
      <c r="E69" s="1957">
        <v>5.0</v>
      </c>
      <c r="F69" s="1912"/>
      <c r="G69" s="1953">
        <v>11.0</v>
      </c>
      <c r="H69" s="1954">
        <v>-0.25</v>
      </c>
      <c r="I69" s="1912"/>
      <c r="J69" s="1912"/>
      <c r="K69" s="1912"/>
      <c r="L69" s="1912"/>
      <c r="M69" s="1912"/>
      <c r="N69" s="1938">
        <v>10.0</v>
      </c>
      <c r="O69" s="1938">
        <v>10.0</v>
      </c>
      <c r="P69" s="1912"/>
      <c r="Q69" s="1912"/>
      <c r="R69" s="1938">
        <v>10.0</v>
      </c>
      <c r="S69" s="1912"/>
      <c r="T69" s="1912"/>
      <c r="U69" s="1912"/>
      <c r="V69" s="1912"/>
      <c r="W69" s="1912"/>
      <c r="X69" s="1912"/>
      <c r="Y69" s="1912"/>
      <c r="Z69" s="1912"/>
      <c r="AA69" s="1912"/>
      <c r="AB69" s="1912"/>
      <c r="AC69" s="1912"/>
      <c r="AD69" s="1912"/>
      <c r="AE69" s="1912"/>
      <c r="AF69" s="1912"/>
      <c r="AG69" s="1912"/>
    </row>
    <row r="70">
      <c r="A70" s="1912"/>
      <c r="B70" s="867" t="s">
        <v>1171</v>
      </c>
      <c r="C70" s="1958" t="s">
        <v>1170</v>
      </c>
      <c r="D70" s="1958" t="s">
        <v>2152</v>
      </c>
      <c r="E70" s="1958">
        <v>4.0</v>
      </c>
      <c r="F70" s="1912"/>
      <c r="G70" s="1953">
        <v>12.0</v>
      </c>
      <c r="H70" s="1954">
        <v>-0.25</v>
      </c>
      <c r="I70" s="1912"/>
      <c r="J70" s="1912"/>
      <c r="K70" s="1912"/>
      <c r="L70" s="1912"/>
      <c r="M70" s="1912"/>
      <c r="N70" s="1938">
        <v>11.0</v>
      </c>
      <c r="O70" s="1938">
        <v>11.0</v>
      </c>
      <c r="P70" s="1912"/>
      <c r="Q70" s="1912"/>
      <c r="R70" s="1938">
        <v>11.0</v>
      </c>
      <c r="S70" s="1912"/>
      <c r="T70" s="1912"/>
      <c r="U70" s="1912"/>
      <c r="V70" s="1912"/>
      <c r="W70" s="1912"/>
      <c r="X70" s="1912"/>
      <c r="Y70" s="1912"/>
      <c r="Z70" s="1912"/>
      <c r="AA70" s="1912"/>
      <c r="AB70" s="1912"/>
      <c r="AC70" s="1912"/>
      <c r="AD70" s="1912"/>
      <c r="AE70" s="1912"/>
      <c r="AF70" s="1912"/>
      <c r="AG70" s="1912"/>
    </row>
    <row r="71">
      <c r="A71" s="1912"/>
      <c r="B71" s="867" t="s">
        <v>1179</v>
      </c>
      <c r="C71" s="1958" t="s">
        <v>1170</v>
      </c>
      <c r="D71" s="1958" t="s">
        <v>2152</v>
      </c>
      <c r="E71" s="1958">
        <v>5.0</v>
      </c>
      <c r="F71" s="1912"/>
      <c r="G71" s="1953">
        <v>13.0</v>
      </c>
      <c r="H71" s="1954">
        <v>-0.3</v>
      </c>
      <c r="I71" s="1912"/>
      <c r="J71" s="1912"/>
      <c r="K71" s="1912"/>
      <c r="L71" s="1912"/>
      <c r="M71" s="1912"/>
      <c r="N71" s="1938">
        <v>12.0</v>
      </c>
      <c r="O71" s="1938">
        <v>12.0</v>
      </c>
      <c r="P71" s="1912"/>
      <c r="Q71" s="1912"/>
      <c r="R71" s="1938">
        <v>12.0</v>
      </c>
      <c r="S71" s="1912"/>
      <c r="T71" s="1912"/>
      <c r="U71" s="1912"/>
      <c r="V71" s="1912"/>
      <c r="W71" s="1912"/>
      <c r="X71" s="1912"/>
      <c r="Y71" s="1912"/>
      <c r="Z71" s="1912"/>
      <c r="AA71" s="1912"/>
      <c r="AB71" s="1912"/>
      <c r="AC71" s="1912"/>
      <c r="AD71" s="1912"/>
      <c r="AE71" s="1912"/>
      <c r="AF71" s="1912"/>
      <c r="AG71" s="1912"/>
    </row>
    <row r="72">
      <c r="A72" s="1912"/>
      <c r="B72" s="867" t="s">
        <v>1184</v>
      </c>
      <c r="C72" s="1958" t="s">
        <v>1170</v>
      </c>
      <c r="D72" s="1958" t="s">
        <v>2152</v>
      </c>
      <c r="E72" s="1958">
        <v>6.0</v>
      </c>
      <c r="F72" s="1912"/>
      <c r="G72" s="1953">
        <v>14.0</v>
      </c>
      <c r="H72" s="1954">
        <v>-0.3</v>
      </c>
      <c r="I72" s="1912"/>
      <c r="J72" s="1912"/>
      <c r="K72" s="1912"/>
      <c r="L72" s="1912"/>
      <c r="M72" s="1912"/>
      <c r="N72" s="1959">
        <v>13.0</v>
      </c>
      <c r="O72" s="1959">
        <v>12.0</v>
      </c>
      <c r="P72" s="1912"/>
      <c r="Q72" s="1912"/>
      <c r="R72" s="1938">
        <v>13.0</v>
      </c>
      <c r="S72" s="1912"/>
      <c r="T72" s="1912"/>
      <c r="U72" s="1912"/>
      <c r="V72" s="1912"/>
      <c r="W72" s="1912"/>
      <c r="X72" s="1912"/>
      <c r="Y72" s="1912"/>
      <c r="Z72" s="1912"/>
      <c r="AA72" s="1912"/>
      <c r="AB72" s="1912"/>
      <c r="AC72" s="1912"/>
      <c r="AD72" s="1912"/>
      <c r="AE72" s="1912"/>
      <c r="AF72" s="1912"/>
      <c r="AG72" s="1912"/>
    </row>
    <row r="73">
      <c r="A73" s="1912"/>
      <c r="B73" s="867" t="s">
        <v>1186</v>
      </c>
      <c r="C73" s="1958" t="s">
        <v>1170</v>
      </c>
      <c r="D73" s="1958" t="s">
        <v>2152</v>
      </c>
      <c r="E73" s="1958">
        <v>7.0</v>
      </c>
      <c r="F73" s="1912"/>
      <c r="G73" s="1953">
        <v>15.0</v>
      </c>
      <c r="H73" s="1954">
        <v>-0.35</v>
      </c>
      <c r="I73" s="1912"/>
      <c r="J73" s="1912"/>
      <c r="K73" s="1912"/>
      <c r="L73" s="1912"/>
      <c r="M73" s="1912"/>
      <c r="N73" s="1959">
        <v>14.0</v>
      </c>
      <c r="O73" s="1959">
        <v>13.0</v>
      </c>
      <c r="P73" s="1912"/>
      <c r="Q73" s="1912"/>
      <c r="R73" s="1938">
        <v>14.0</v>
      </c>
      <c r="S73" s="1912"/>
      <c r="T73" s="1912"/>
      <c r="U73" s="1912"/>
      <c r="V73" s="1912"/>
      <c r="W73" s="1912"/>
      <c r="X73" s="1912"/>
      <c r="Y73" s="1912"/>
      <c r="Z73" s="1912"/>
      <c r="AA73" s="1912"/>
      <c r="AB73" s="1912"/>
      <c r="AC73" s="1912"/>
      <c r="AD73" s="1912"/>
      <c r="AE73" s="1912"/>
      <c r="AF73" s="1912"/>
      <c r="AG73" s="1912"/>
    </row>
    <row r="74">
      <c r="A74" s="1912"/>
      <c r="B74" s="757" t="s">
        <v>206</v>
      </c>
      <c r="C74" s="1960" t="s">
        <v>2416</v>
      </c>
      <c r="D74" s="1960" t="s">
        <v>30</v>
      </c>
      <c r="E74" s="1960">
        <v>0.0</v>
      </c>
      <c r="F74" s="1912"/>
      <c r="G74" s="1953">
        <v>16.0</v>
      </c>
      <c r="H74" s="1954">
        <v>-0.35</v>
      </c>
      <c r="I74" s="1912"/>
      <c r="J74" s="1912"/>
      <c r="K74" s="1912"/>
      <c r="L74" s="1912"/>
      <c r="M74" s="1912"/>
      <c r="N74" s="1959">
        <v>15.0</v>
      </c>
      <c r="O74" s="1959">
        <v>13.0</v>
      </c>
      <c r="P74" s="1912"/>
      <c r="Q74" s="1912"/>
      <c r="R74" s="1938">
        <v>15.0</v>
      </c>
      <c r="S74" s="1912"/>
      <c r="T74" s="1912"/>
      <c r="U74" s="1912"/>
      <c r="V74" s="1912"/>
      <c r="W74" s="1912"/>
      <c r="X74" s="1912"/>
      <c r="Y74" s="1912"/>
      <c r="Z74" s="1912"/>
      <c r="AA74" s="1912"/>
      <c r="AB74" s="1912"/>
      <c r="AC74" s="1912"/>
      <c r="AD74" s="1912"/>
      <c r="AE74" s="1912"/>
      <c r="AF74" s="1912"/>
      <c r="AG74" s="1912"/>
    </row>
    <row r="75">
      <c r="A75" s="1912"/>
      <c r="B75" s="757" t="s">
        <v>1127</v>
      </c>
      <c r="C75" s="1960" t="s">
        <v>2416</v>
      </c>
      <c r="D75" s="1960" t="s">
        <v>30</v>
      </c>
      <c r="E75" s="1960">
        <v>0.0</v>
      </c>
      <c r="F75" s="1912"/>
      <c r="G75" s="1953">
        <v>17.0</v>
      </c>
      <c r="H75" s="1954">
        <v>-0.4</v>
      </c>
      <c r="I75" s="1912"/>
      <c r="J75" s="1912"/>
      <c r="K75" s="1912"/>
      <c r="L75" s="1912"/>
      <c r="M75" s="1912"/>
      <c r="N75" s="1959">
        <v>16.0</v>
      </c>
      <c r="O75" s="1959">
        <v>14.0</v>
      </c>
      <c r="P75" s="1912"/>
      <c r="Q75" s="1912"/>
      <c r="R75" s="1938">
        <v>16.0</v>
      </c>
      <c r="S75" s="1912"/>
      <c r="T75" s="1912"/>
      <c r="U75" s="1912"/>
      <c r="V75" s="1912"/>
      <c r="W75" s="1912"/>
      <c r="X75" s="1912"/>
      <c r="Y75" s="1912"/>
      <c r="Z75" s="1912"/>
      <c r="AA75" s="1912"/>
      <c r="AB75" s="1912"/>
      <c r="AC75" s="1912"/>
      <c r="AD75" s="1912"/>
      <c r="AE75" s="1912"/>
      <c r="AF75" s="1912"/>
      <c r="AG75" s="1912"/>
    </row>
    <row r="76">
      <c r="A76" s="1912"/>
      <c r="B76" s="757" t="s">
        <v>119</v>
      </c>
      <c r="C76" s="1960" t="s">
        <v>2416</v>
      </c>
      <c r="D76" s="1960" t="s">
        <v>30</v>
      </c>
      <c r="E76" s="1960">
        <v>0.0</v>
      </c>
      <c r="F76" s="1912"/>
      <c r="G76" s="1953">
        <v>18.0</v>
      </c>
      <c r="H76" s="1954">
        <v>-0.4</v>
      </c>
      <c r="I76" s="1912"/>
      <c r="J76" s="1912"/>
      <c r="K76" s="1912"/>
      <c r="L76" s="1912"/>
      <c r="M76" s="1912"/>
      <c r="N76" s="1959">
        <v>17.0</v>
      </c>
      <c r="O76" s="1959">
        <v>14.0</v>
      </c>
      <c r="P76" s="1912"/>
      <c r="Q76" s="1912"/>
      <c r="R76" s="1938">
        <v>17.0</v>
      </c>
      <c r="S76" s="1912"/>
      <c r="T76" s="1912"/>
      <c r="U76" s="1912"/>
      <c r="V76" s="1912"/>
      <c r="W76" s="1912"/>
      <c r="X76" s="1912"/>
      <c r="Y76" s="1912"/>
      <c r="Z76" s="1912"/>
      <c r="AA76" s="1912"/>
      <c r="AB76" s="1912"/>
      <c r="AC76" s="1912"/>
      <c r="AD76" s="1912"/>
      <c r="AE76" s="1912"/>
      <c r="AF76" s="1912"/>
      <c r="AG76" s="1912"/>
    </row>
    <row r="77">
      <c r="A77" s="1912"/>
      <c r="B77" s="757" t="s">
        <v>1131</v>
      </c>
      <c r="C77" s="1960" t="s">
        <v>2416</v>
      </c>
      <c r="D77" s="1960" t="s">
        <v>30</v>
      </c>
      <c r="E77" s="1960">
        <v>0.0</v>
      </c>
      <c r="F77" s="1912"/>
      <c r="G77" s="1953">
        <v>19.0</v>
      </c>
      <c r="H77" s="1954">
        <v>-0.45</v>
      </c>
      <c r="I77" s="1912"/>
      <c r="J77" s="1912"/>
      <c r="K77" s="1912"/>
      <c r="L77" s="1912"/>
      <c r="M77" s="1912"/>
      <c r="N77" s="1959">
        <v>18.0</v>
      </c>
      <c r="O77" s="1959">
        <v>15.0</v>
      </c>
      <c r="P77" s="1912"/>
      <c r="Q77" s="1912"/>
      <c r="R77" s="1938">
        <v>18.0</v>
      </c>
      <c r="S77" s="1912"/>
      <c r="T77" s="1912"/>
      <c r="U77" s="1912"/>
      <c r="V77" s="1912"/>
      <c r="W77" s="1912"/>
      <c r="X77" s="1912"/>
      <c r="Y77" s="1912"/>
      <c r="Z77" s="1912"/>
      <c r="AA77" s="1912"/>
      <c r="AB77" s="1912"/>
      <c r="AC77" s="1912"/>
      <c r="AD77" s="1912"/>
      <c r="AE77" s="1912"/>
      <c r="AF77" s="1912"/>
      <c r="AG77" s="1912"/>
    </row>
    <row r="78">
      <c r="A78" s="1912"/>
      <c r="B78" s="1933" t="s">
        <v>1134</v>
      </c>
      <c r="C78" s="1960" t="s">
        <v>2416</v>
      </c>
      <c r="D78" s="1960" t="s">
        <v>30</v>
      </c>
      <c r="E78" s="1960">
        <v>0.0</v>
      </c>
      <c r="F78" s="1912"/>
      <c r="G78" s="1953">
        <v>20.0</v>
      </c>
      <c r="H78" s="1954">
        <v>-0.45</v>
      </c>
      <c r="I78" s="1912"/>
      <c r="J78" s="1912"/>
      <c r="K78" s="1912"/>
      <c r="L78" s="1912"/>
      <c r="M78" s="1912"/>
      <c r="N78" s="1959">
        <v>19.0</v>
      </c>
      <c r="O78" s="1959">
        <v>15.0</v>
      </c>
      <c r="P78" s="1912"/>
      <c r="Q78" s="1912"/>
      <c r="R78" s="1938">
        <v>19.0</v>
      </c>
      <c r="S78" s="1912"/>
      <c r="T78" s="1912"/>
      <c r="U78" s="1912"/>
      <c r="V78" s="1912"/>
      <c r="W78" s="1912"/>
      <c r="X78" s="1912"/>
      <c r="Y78" s="1912"/>
      <c r="Z78" s="1912"/>
      <c r="AA78" s="1912"/>
      <c r="AB78" s="1912"/>
      <c r="AC78" s="1912"/>
      <c r="AD78" s="1912"/>
      <c r="AE78" s="1912"/>
      <c r="AF78" s="1912"/>
      <c r="AG78" s="1912"/>
    </row>
    <row r="79">
      <c r="A79" s="1912"/>
      <c r="B79" s="1961" t="s">
        <v>136</v>
      </c>
      <c r="C79" s="1962"/>
      <c r="D79" s="1962" t="s">
        <v>30</v>
      </c>
      <c r="E79" s="1962"/>
      <c r="F79" s="1912"/>
      <c r="G79" s="1953">
        <v>21.0</v>
      </c>
      <c r="H79" s="1954">
        <v>-0.5</v>
      </c>
      <c r="I79" s="1912"/>
      <c r="J79" s="1912"/>
      <c r="K79" s="1912"/>
      <c r="L79" s="1912"/>
      <c r="M79" s="1912"/>
      <c r="N79" s="1959">
        <v>20.0</v>
      </c>
      <c r="O79" s="1959">
        <v>16.0</v>
      </c>
      <c r="P79" s="1912"/>
      <c r="Q79" s="1912"/>
      <c r="R79" s="1938">
        <v>20.0</v>
      </c>
      <c r="S79" s="1912"/>
      <c r="T79" s="1912"/>
      <c r="U79" s="1912"/>
      <c r="V79" s="1912"/>
      <c r="W79" s="1912"/>
      <c r="X79" s="1912"/>
      <c r="Y79" s="1912"/>
      <c r="Z79" s="1912"/>
      <c r="AA79" s="1912"/>
      <c r="AB79" s="1912"/>
      <c r="AC79" s="1912"/>
      <c r="AD79" s="1912"/>
      <c r="AE79" s="1912"/>
      <c r="AF79" s="1912"/>
      <c r="AG79" s="1912"/>
    </row>
    <row r="80">
      <c r="A80" s="1912"/>
      <c r="B80" s="1963" t="s">
        <v>30</v>
      </c>
      <c r="C80" s="1964"/>
      <c r="D80" s="1964"/>
      <c r="E80" s="1964"/>
      <c r="F80" s="1912"/>
      <c r="G80" s="1953">
        <v>22.0</v>
      </c>
      <c r="H80" s="1954">
        <v>-0.5</v>
      </c>
      <c r="I80" s="1912"/>
      <c r="J80" s="1912"/>
      <c r="K80" s="1912"/>
      <c r="L80" s="1912"/>
      <c r="M80" s="1912"/>
      <c r="N80" s="1959">
        <v>21.0</v>
      </c>
      <c r="O80" s="1959">
        <v>16.0</v>
      </c>
      <c r="P80" s="1912"/>
      <c r="Q80" s="1912"/>
      <c r="R80" s="1938">
        <v>21.0</v>
      </c>
      <c r="S80" s="1912"/>
      <c r="T80" s="1912"/>
      <c r="U80" s="1912"/>
      <c r="V80" s="1912"/>
      <c r="W80" s="1912"/>
      <c r="X80" s="1912"/>
      <c r="Y80" s="1912"/>
      <c r="Z80" s="1912"/>
      <c r="AA80" s="1912"/>
      <c r="AB80" s="1912"/>
      <c r="AC80" s="1912"/>
      <c r="AD80" s="1912"/>
      <c r="AE80" s="1912"/>
      <c r="AF80" s="1912"/>
      <c r="AG80" s="1912"/>
    </row>
    <row r="81">
      <c r="A81" s="1912"/>
      <c r="B81" s="1963"/>
      <c r="C81" s="1964"/>
      <c r="D81" s="1964"/>
      <c r="E81" s="1964"/>
      <c r="F81" s="1912"/>
      <c r="G81" s="1953">
        <v>23.0</v>
      </c>
      <c r="H81" s="1954">
        <v>-0.55</v>
      </c>
      <c r="I81" s="1912"/>
      <c r="J81" s="1912"/>
      <c r="K81" s="1912"/>
      <c r="L81" s="1912"/>
      <c r="M81" s="1912"/>
      <c r="N81" s="1959">
        <v>22.0</v>
      </c>
      <c r="O81" s="1959">
        <v>17.0</v>
      </c>
      <c r="P81" s="1912"/>
      <c r="Q81" s="1912"/>
      <c r="R81" s="1938">
        <v>22.0</v>
      </c>
      <c r="S81" s="1912"/>
      <c r="T81" s="1912"/>
      <c r="U81" s="1912"/>
      <c r="V81" s="1912"/>
      <c r="W81" s="1912"/>
      <c r="X81" s="1912"/>
      <c r="Y81" s="1912"/>
      <c r="Z81" s="1912"/>
      <c r="AA81" s="1912"/>
      <c r="AB81" s="1912"/>
      <c r="AC81" s="1912"/>
      <c r="AD81" s="1912"/>
      <c r="AE81" s="1912"/>
      <c r="AF81" s="1912"/>
      <c r="AG81" s="1912"/>
    </row>
    <row r="82">
      <c r="A82" s="1912"/>
      <c r="B82" s="1926" t="s">
        <v>1192</v>
      </c>
      <c r="C82" s="1965" t="s">
        <v>2422</v>
      </c>
      <c r="D82" s="1965" t="s">
        <v>2151</v>
      </c>
      <c r="E82" s="1965">
        <v>15.0</v>
      </c>
      <c r="F82" s="1912"/>
      <c r="G82" s="1953">
        <v>24.0</v>
      </c>
      <c r="H82" s="1954">
        <v>-0.55</v>
      </c>
      <c r="I82" s="1912"/>
      <c r="J82" s="1912"/>
      <c r="K82" s="1912"/>
      <c r="L82" s="1912"/>
      <c r="M82" s="1912"/>
      <c r="N82" s="1959">
        <v>23.0</v>
      </c>
      <c r="O82" s="1959">
        <v>17.0</v>
      </c>
      <c r="P82" s="1912"/>
      <c r="Q82" s="1912"/>
      <c r="R82" s="1938">
        <v>23.0</v>
      </c>
      <c r="S82" s="1912"/>
      <c r="T82" s="1912"/>
      <c r="U82" s="1912"/>
      <c r="V82" s="1912"/>
      <c r="W82" s="1912"/>
      <c r="X82" s="1912"/>
      <c r="Y82" s="1912"/>
      <c r="Z82" s="1912"/>
      <c r="AA82" s="1912"/>
      <c r="AB82" s="1912"/>
      <c r="AC82" s="1912"/>
      <c r="AD82" s="1912"/>
      <c r="AE82" s="1912"/>
      <c r="AF82" s="1912"/>
      <c r="AG82" s="1912"/>
    </row>
    <row r="83">
      <c r="A83" s="1912"/>
      <c r="B83" s="1926" t="s">
        <v>1202</v>
      </c>
      <c r="C83" s="1965" t="s">
        <v>2422</v>
      </c>
      <c r="D83" s="1965" t="s">
        <v>2152</v>
      </c>
      <c r="E83" s="1965">
        <v>15.0</v>
      </c>
      <c r="F83" s="1912"/>
      <c r="G83" s="1953">
        <v>25.0</v>
      </c>
      <c r="H83" s="1954">
        <v>-0.6</v>
      </c>
      <c r="I83" s="1912"/>
      <c r="J83" s="1912"/>
      <c r="K83" s="1912"/>
      <c r="L83" s="1912"/>
      <c r="M83" s="1912"/>
      <c r="N83" s="1959">
        <v>24.0</v>
      </c>
      <c r="O83" s="1959">
        <v>18.0</v>
      </c>
      <c r="P83" s="1912"/>
      <c r="Q83" s="1912"/>
      <c r="R83" s="1938">
        <v>24.0</v>
      </c>
      <c r="S83" s="1912"/>
      <c r="T83" s="1912"/>
      <c r="U83" s="1912"/>
      <c r="V83" s="1912"/>
      <c r="W83" s="1912"/>
      <c r="X83" s="1912"/>
      <c r="Y83" s="1912"/>
      <c r="Z83" s="1912"/>
      <c r="AA83" s="1912"/>
      <c r="AB83" s="1912"/>
      <c r="AC83" s="1912"/>
      <c r="AD83" s="1912"/>
      <c r="AE83" s="1912"/>
      <c r="AF83" s="1912"/>
      <c r="AG83" s="1912"/>
    </row>
    <row r="84">
      <c r="A84" s="1912"/>
      <c r="B84" s="1926" t="s">
        <v>1195</v>
      </c>
      <c r="C84" s="1965" t="s">
        <v>2422</v>
      </c>
      <c r="D84" s="1965" t="s">
        <v>2151</v>
      </c>
      <c r="E84" s="1965">
        <v>23.0</v>
      </c>
      <c r="F84" s="1912"/>
      <c r="G84" s="1966">
        <v>26.0</v>
      </c>
      <c r="H84" s="1954">
        <v>-0.6</v>
      </c>
      <c r="I84" s="1912"/>
      <c r="J84" s="1938" t="s">
        <v>153</v>
      </c>
      <c r="K84" s="1938" t="s">
        <v>154</v>
      </c>
      <c r="L84" s="1938" t="s">
        <v>2474</v>
      </c>
      <c r="M84" s="1912"/>
      <c r="N84" s="1959">
        <v>25.0</v>
      </c>
      <c r="O84" s="1959">
        <v>18.0</v>
      </c>
      <c r="P84" s="1912"/>
      <c r="Q84" s="1912"/>
      <c r="R84" s="1938">
        <v>25.0</v>
      </c>
      <c r="S84" s="1912"/>
      <c r="T84" s="1912"/>
      <c r="U84" s="1912"/>
      <c r="V84" s="1912"/>
      <c r="W84" s="1912"/>
      <c r="X84" s="1912"/>
      <c r="Y84" s="1912"/>
      <c r="Z84" s="1912"/>
      <c r="AA84" s="1912"/>
      <c r="AB84" s="1912"/>
      <c r="AC84" s="1912"/>
      <c r="AD84" s="1912"/>
      <c r="AE84" s="1912"/>
      <c r="AF84" s="1912"/>
      <c r="AG84" s="1912"/>
    </row>
    <row r="85">
      <c r="A85" s="1912"/>
      <c r="B85" s="1926" t="s">
        <v>1203</v>
      </c>
      <c r="C85" s="1965" t="s">
        <v>2422</v>
      </c>
      <c r="D85" s="1965" t="s">
        <v>2152</v>
      </c>
      <c r="E85" s="1965">
        <v>23.0</v>
      </c>
      <c r="F85" s="1912"/>
      <c r="G85" s="1966">
        <v>27.0</v>
      </c>
      <c r="H85" s="1954">
        <v>-0.65</v>
      </c>
      <c r="I85" s="1912"/>
      <c r="J85" s="1938" t="s">
        <v>2475</v>
      </c>
      <c r="K85" s="1938">
        <v>0.0</v>
      </c>
      <c r="L85" s="1938">
        <v>0.0</v>
      </c>
      <c r="M85" s="1912"/>
      <c r="N85" s="1959">
        <v>26.0</v>
      </c>
      <c r="O85" s="1959">
        <v>19.0</v>
      </c>
      <c r="P85" s="1912"/>
      <c r="Q85" s="1912"/>
      <c r="R85" s="1938">
        <v>26.0</v>
      </c>
      <c r="S85" s="1912"/>
      <c r="T85" s="1912"/>
      <c r="U85" s="1912"/>
      <c r="V85" s="1912"/>
      <c r="W85" s="1912"/>
      <c r="X85" s="1912"/>
      <c r="Y85" s="1912"/>
      <c r="Z85" s="1912"/>
      <c r="AA85" s="1912"/>
      <c r="AB85" s="1912"/>
      <c r="AC85" s="1912"/>
      <c r="AD85" s="1912"/>
      <c r="AE85" s="1912"/>
      <c r="AF85" s="1912"/>
      <c r="AG85" s="1912"/>
    </row>
    <row r="86">
      <c r="A86" s="1912"/>
      <c r="B86" s="1926" t="s">
        <v>1198</v>
      </c>
      <c r="C86" s="1965" t="s">
        <v>2422</v>
      </c>
      <c r="D86" s="1965" t="s">
        <v>2151</v>
      </c>
      <c r="E86" s="1965">
        <v>32.0</v>
      </c>
      <c r="F86" s="1912"/>
      <c r="G86" s="1966">
        <v>28.0</v>
      </c>
      <c r="H86" s="1954">
        <v>-0.65</v>
      </c>
      <c r="I86" s="1912"/>
      <c r="J86" s="1938" t="s">
        <v>2476</v>
      </c>
      <c r="K86" s="1938">
        <v>0.0</v>
      </c>
      <c r="L86" s="1938">
        <v>0.0</v>
      </c>
      <c r="M86" s="1912"/>
      <c r="N86" s="1959">
        <v>27.0</v>
      </c>
      <c r="O86" s="1959">
        <v>19.0</v>
      </c>
      <c r="P86" s="1912"/>
      <c r="Q86" s="1912"/>
      <c r="R86" s="1938">
        <v>27.0</v>
      </c>
      <c r="S86" s="1912"/>
      <c r="T86" s="1912"/>
      <c r="U86" s="1912"/>
      <c r="V86" s="1912"/>
      <c r="W86" s="1912"/>
      <c r="X86" s="1912"/>
      <c r="Y86" s="1912"/>
      <c r="Z86" s="1912"/>
      <c r="AA86" s="1912"/>
      <c r="AB86" s="1912"/>
      <c r="AC86" s="1912"/>
      <c r="AD86" s="1912"/>
      <c r="AE86" s="1912"/>
      <c r="AF86" s="1912"/>
      <c r="AG86" s="1912"/>
    </row>
    <row r="87">
      <c r="A87" s="1912"/>
      <c r="B87" s="1926" t="s">
        <v>1204</v>
      </c>
      <c r="C87" s="1965" t="s">
        <v>2422</v>
      </c>
      <c r="D87" s="1965" t="s">
        <v>2152</v>
      </c>
      <c r="E87" s="1965">
        <v>32.0</v>
      </c>
      <c r="F87" s="1912"/>
      <c r="G87" s="1966">
        <v>29.0</v>
      </c>
      <c r="H87" s="1954">
        <v>-0.7</v>
      </c>
      <c r="I87" s="1912"/>
      <c r="J87" s="1938" t="s">
        <v>2477</v>
      </c>
      <c r="K87" s="1938">
        <v>5.0</v>
      </c>
      <c r="L87" s="1938">
        <v>0.0</v>
      </c>
      <c r="M87" s="1912"/>
      <c r="N87" s="1959">
        <v>28.0</v>
      </c>
      <c r="O87" s="1959">
        <v>20.0</v>
      </c>
      <c r="P87" s="1912"/>
      <c r="Q87" s="1912"/>
      <c r="R87" s="1938">
        <v>28.0</v>
      </c>
      <c r="S87" s="1912"/>
      <c r="T87" s="1912"/>
      <c r="U87" s="1912"/>
      <c r="V87" s="1912"/>
      <c r="W87" s="1912"/>
      <c r="X87" s="1912"/>
      <c r="Y87" s="1912"/>
      <c r="Z87" s="1912"/>
      <c r="AA87" s="1912"/>
      <c r="AB87" s="1912"/>
      <c r="AC87" s="1912"/>
      <c r="AD87" s="1912"/>
      <c r="AE87" s="1912"/>
      <c r="AF87" s="1912"/>
      <c r="AG87" s="1912"/>
    </row>
    <row r="88">
      <c r="A88" s="1912"/>
      <c r="B88" s="1926" t="s">
        <v>2449</v>
      </c>
      <c r="C88" s="1965" t="s">
        <v>1117</v>
      </c>
      <c r="D88" s="1965" t="s">
        <v>30</v>
      </c>
      <c r="E88" s="1965">
        <v>0.0</v>
      </c>
      <c r="F88" s="1912"/>
      <c r="G88" s="1966">
        <v>30.0</v>
      </c>
      <c r="H88" s="1954">
        <v>-0.7</v>
      </c>
      <c r="I88" s="1912"/>
      <c r="J88" s="1938" t="s">
        <v>2478</v>
      </c>
      <c r="K88" s="1938">
        <v>10.0</v>
      </c>
      <c r="L88" s="1938">
        <v>1.0</v>
      </c>
      <c r="M88" s="1912"/>
      <c r="N88" s="1959">
        <v>29.0</v>
      </c>
      <c r="O88" s="1959">
        <v>20.0</v>
      </c>
      <c r="P88" s="1912"/>
      <c r="Q88" s="1912"/>
      <c r="R88" s="1938">
        <v>29.0</v>
      </c>
      <c r="S88" s="1912"/>
      <c r="T88" s="1912"/>
      <c r="U88" s="1912"/>
      <c r="V88" s="1912"/>
      <c r="W88" s="1912"/>
      <c r="X88" s="1912"/>
      <c r="Y88" s="1912"/>
      <c r="Z88" s="1912"/>
      <c r="AA88" s="1912"/>
      <c r="AB88" s="1912"/>
      <c r="AC88" s="1912"/>
      <c r="AD88" s="1912"/>
      <c r="AE88" s="1912"/>
      <c r="AF88" s="1912"/>
      <c r="AG88" s="1912"/>
    </row>
    <row r="89">
      <c r="A89" s="1912"/>
      <c r="B89" s="1926" t="s">
        <v>1119</v>
      </c>
      <c r="C89" s="1965" t="s">
        <v>1117</v>
      </c>
      <c r="D89" s="1965" t="s">
        <v>30</v>
      </c>
      <c r="E89" s="1965">
        <v>0.0</v>
      </c>
      <c r="F89" s="1912"/>
      <c r="G89" s="1966">
        <v>31.0</v>
      </c>
      <c r="H89" s="1954">
        <v>-0.75</v>
      </c>
      <c r="I89" s="1912"/>
      <c r="J89" s="1938" t="s">
        <v>2479</v>
      </c>
      <c r="K89" s="1938">
        <v>20.0</v>
      </c>
      <c r="L89" s="1938">
        <v>2.0</v>
      </c>
      <c r="M89" s="1912"/>
      <c r="N89" s="1959">
        <v>30.0</v>
      </c>
      <c r="O89" s="1959">
        <v>21.0</v>
      </c>
      <c r="P89" s="1912"/>
      <c r="Q89" s="1912"/>
      <c r="R89" s="1938">
        <v>30.0</v>
      </c>
      <c r="S89" s="1912"/>
      <c r="T89" s="1912"/>
      <c r="U89" s="1912"/>
      <c r="V89" s="1912"/>
      <c r="W89" s="1912"/>
      <c r="X89" s="1912"/>
      <c r="Y89" s="1912"/>
      <c r="Z89" s="1912"/>
      <c r="AA89" s="1912"/>
      <c r="AB89" s="1912"/>
      <c r="AC89" s="1912"/>
      <c r="AD89" s="1912"/>
      <c r="AE89" s="1912"/>
      <c r="AF89" s="1912"/>
      <c r="AG89" s="1912"/>
    </row>
    <row r="90">
      <c r="A90" s="1912"/>
      <c r="B90" s="1912"/>
      <c r="C90" s="1912"/>
      <c r="D90" s="1912"/>
      <c r="E90" s="1912"/>
      <c r="F90" s="1912"/>
      <c r="G90" s="1966"/>
      <c r="H90" s="1954"/>
      <c r="I90" s="1912"/>
      <c r="J90" s="1938" t="s">
        <v>30</v>
      </c>
      <c r="K90" s="1912"/>
      <c r="L90" s="1912"/>
      <c r="M90" s="1912"/>
      <c r="N90" s="1959">
        <v>31.0</v>
      </c>
      <c r="O90" s="1959">
        <v>21.0</v>
      </c>
      <c r="P90" s="1912"/>
      <c r="Q90" s="1912"/>
      <c r="R90" s="1938">
        <v>31.0</v>
      </c>
      <c r="S90" s="1912"/>
      <c r="T90" s="1912"/>
      <c r="U90" s="1912"/>
      <c r="V90" s="1912"/>
      <c r="W90" s="1912"/>
      <c r="X90" s="1912"/>
      <c r="Y90" s="1912"/>
      <c r="Z90" s="1912"/>
      <c r="AA90" s="1912"/>
      <c r="AB90" s="1912"/>
      <c r="AC90" s="1912"/>
      <c r="AD90" s="1912"/>
      <c r="AE90" s="1912"/>
      <c r="AF90" s="1912"/>
      <c r="AG90" s="1912"/>
    </row>
    <row r="91">
      <c r="A91" s="1912"/>
      <c r="B91" s="1912"/>
      <c r="C91" s="1912"/>
      <c r="D91" s="1912"/>
      <c r="E91" s="1912"/>
      <c r="F91" s="1912"/>
      <c r="G91" s="1966"/>
      <c r="H91" s="1954"/>
      <c r="I91" s="1912"/>
      <c r="J91" s="1912"/>
      <c r="K91" s="1912"/>
      <c r="L91" s="1912"/>
      <c r="M91" s="1912"/>
      <c r="N91" s="1959">
        <v>32.0</v>
      </c>
      <c r="O91" s="1959">
        <v>22.0</v>
      </c>
      <c r="P91" s="1912"/>
      <c r="Q91" s="1912"/>
      <c r="R91" s="1938">
        <v>32.0</v>
      </c>
      <c r="S91" s="1912"/>
      <c r="T91" s="1912"/>
      <c r="U91" s="1912"/>
      <c r="V91" s="1912"/>
      <c r="W91" s="1912"/>
      <c r="X91" s="1912"/>
      <c r="Y91" s="1912"/>
      <c r="Z91" s="1912"/>
      <c r="AA91" s="1912"/>
      <c r="AB91" s="1912"/>
      <c r="AC91" s="1912"/>
      <c r="AD91" s="1912"/>
      <c r="AE91" s="1912"/>
      <c r="AF91" s="1912"/>
      <c r="AG91" s="1912"/>
    </row>
    <row r="92">
      <c r="A92" s="1912"/>
      <c r="B92" s="1912"/>
      <c r="C92" s="1912"/>
      <c r="D92" s="1912"/>
      <c r="E92" s="1912"/>
      <c r="F92" s="1912"/>
      <c r="G92" s="1966"/>
      <c r="H92" s="1954"/>
      <c r="I92" s="1912"/>
      <c r="J92" s="1912"/>
      <c r="K92" s="1912"/>
      <c r="L92" s="1912"/>
      <c r="M92" s="1912"/>
      <c r="N92" s="1959">
        <v>33.0</v>
      </c>
      <c r="O92" s="1959">
        <v>22.0</v>
      </c>
      <c r="P92" s="1912"/>
      <c r="Q92" s="1912"/>
      <c r="R92" s="1938">
        <v>33.0</v>
      </c>
      <c r="S92" s="1912"/>
      <c r="T92" s="1912"/>
      <c r="U92" s="1912"/>
      <c r="V92" s="1912"/>
      <c r="W92" s="1912"/>
      <c r="X92" s="1912"/>
      <c r="Y92" s="1912"/>
      <c r="Z92" s="1912"/>
      <c r="AA92" s="1912"/>
      <c r="AB92" s="1912"/>
      <c r="AC92" s="1912"/>
      <c r="AD92" s="1912"/>
      <c r="AE92" s="1912"/>
      <c r="AF92" s="1912"/>
      <c r="AG92" s="1912"/>
    </row>
    <row r="93">
      <c r="A93" s="1912"/>
      <c r="B93" s="1912"/>
      <c r="C93" s="1912"/>
      <c r="D93" s="1912"/>
      <c r="E93" s="1912"/>
      <c r="F93" s="1912"/>
      <c r="G93" s="1966"/>
      <c r="H93" s="1954"/>
      <c r="I93" s="1912"/>
      <c r="J93" s="1912"/>
      <c r="K93" s="1912"/>
      <c r="L93" s="1912"/>
      <c r="M93" s="1912"/>
      <c r="N93" s="1959">
        <v>34.0</v>
      </c>
      <c r="O93" s="1959">
        <v>23.0</v>
      </c>
      <c r="P93" s="1912"/>
      <c r="Q93" s="1912"/>
      <c r="R93" s="1938">
        <v>34.0</v>
      </c>
      <c r="S93" s="1912"/>
      <c r="T93" s="1912"/>
      <c r="U93" s="1912"/>
      <c r="V93" s="1912"/>
      <c r="W93" s="1912"/>
      <c r="X93" s="1912"/>
      <c r="Y93" s="1912"/>
      <c r="Z93" s="1912"/>
      <c r="AA93" s="1912"/>
      <c r="AB93" s="1912"/>
      <c r="AC93" s="1912"/>
      <c r="AD93" s="1912"/>
      <c r="AE93" s="1912"/>
      <c r="AF93" s="1912"/>
      <c r="AG93" s="1912"/>
    </row>
    <row r="94">
      <c r="A94" s="1912"/>
      <c r="B94" s="1912"/>
      <c r="C94" s="1912"/>
      <c r="D94" s="1912"/>
      <c r="E94" s="1912"/>
      <c r="F94" s="1912"/>
      <c r="G94" s="1966"/>
      <c r="H94" s="1954"/>
      <c r="I94" s="1912"/>
      <c r="J94" s="1912"/>
      <c r="K94" s="1912"/>
      <c r="L94" s="1912"/>
      <c r="M94" s="1912"/>
      <c r="N94" s="1959">
        <v>35.0</v>
      </c>
      <c r="O94" s="1959">
        <v>23.0</v>
      </c>
      <c r="P94" s="1912"/>
      <c r="Q94" s="1912"/>
      <c r="R94" s="1938">
        <v>35.0</v>
      </c>
      <c r="S94" s="1912"/>
      <c r="T94" s="1912"/>
      <c r="U94" s="1912"/>
      <c r="V94" s="1912"/>
      <c r="W94" s="1912"/>
      <c r="X94" s="1912"/>
      <c r="Y94" s="1912"/>
      <c r="Z94" s="1912"/>
      <c r="AA94" s="1912"/>
      <c r="AB94" s="1912"/>
      <c r="AC94" s="1912"/>
      <c r="AD94" s="1912"/>
      <c r="AE94" s="1912"/>
      <c r="AF94" s="1912"/>
      <c r="AG94" s="1912"/>
    </row>
    <row r="95">
      <c r="A95" s="1912"/>
      <c r="B95" s="1912"/>
      <c r="C95" s="1912"/>
      <c r="D95" s="1912"/>
      <c r="E95" s="1912"/>
      <c r="F95" s="1912"/>
      <c r="G95" s="1912"/>
      <c r="H95" s="1912"/>
      <c r="I95" s="1912"/>
      <c r="J95" s="1912"/>
      <c r="K95" s="1912"/>
      <c r="L95" s="1912"/>
      <c r="M95" s="1912"/>
      <c r="N95" s="1959">
        <v>36.0</v>
      </c>
      <c r="O95" s="1959">
        <v>24.0</v>
      </c>
      <c r="P95" s="1912"/>
      <c r="Q95" s="1912"/>
      <c r="R95" s="1938">
        <v>36.0</v>
      </c>
      <c r="S95" s="1912"/>
      <c r="T95" s="1912"/>
      <c r="U95" s="1912"/>
      <c r="V95" s="1912"/>
      <c r="W95" s="1912"/>
      <c r="X95" s="1912"/>
      <c r="Y95" s="1912"/>
      <c r="Z95" s="1912"/>
      <c r="AA95" s="1912"/>
      <c r="AB95" s="1912"/>
      <c r="AC95" s="1912"/>
      <c r="AD95" s="1912"/>
      <c r="AE95" s="1912"/>
      <c r="AF95" s="1912"/>
      <c r="AG95" s="1912"/>
    </row>
    <row r="96">
      <c r="A96" s="1912"/>
      <c r="B96" s="1912"/>
      <c r="C96" s="1912"/>
      <c r="D96" s="1912"/>
      <c r="E96" s="1912"/>
      <c r="F96" s="1912"/>
      <c r="G96" s="1912"/>
      <c r="H96" s="1912"/>
      <c r="I96" s="1912"/>
      <c r="J96" s="1912"/>
      <c r="K96" s="1912"/>
      <c r="L96" s="1912"/>
      <c r="M96" s="1912"/>
      <c r="N96" s="1912"/>
      <c r="O96" s="1912"/>
      <c r="P96" s="1912"/>
      <c r="Q96" s="1912"/>
      <c r="R96" s="1912"/>
      <c r="S96" s="1912"/>
      <c r="T96" s="1912"/>
      <c r="U96" s="1912"/>
      <c r="V96" s="1912"/>
      <c r="W96" s="1912"/>
      <c r="X96" s="1912"/>
      <c r="Y96" s="1912"/>
      <c r="Z96" s="1912"/>
      <c r="AA96" s="1912"/>
      <c r="AB96" s="1912"/>
      <c r="AC96" s="1912"/>
      <c r="AD96" s="1912"/>
      <c r="AE96" s="1912"/>
      <c r="AF96" s="1912"/>
      <c r="AG96" s="1912"/>
    </row>
    <row r="97">
      <c r="A97" s="1912"/>
      <c r="B97" s="1912"/>
      <c r="C97" s="1912"/>
      <c r="D97" s="1912"/>
      <c r="E97" s="1912"/>
      <c r="F97" s="1912"/>
      <c r="G97" s="1967" t="s">
        <v>2480</v>
      </c>
      <c r="H97" s="403" t="s">
        <v>2481</v>
      </c>
      <c r="I97" s="1912"/>
      <c r="J97" s="403" t="s">
        <v>2482</v>
      </c>
      <c r="K97" s="1912"/>
      <c r="L97" s="403" t="s">
        <v>20</v>
      </c>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row>
    <row r="98">
      <c r="A98" s="1912"/>
      <c r="B98" s="1912"/>
      <c r="C98" s="1912"/>
      <c r="D98" s="1912"/>
      <c r="E98" s="1912"/>
      <c r="F98" s="1912"/>
      <c r="G98" s="1968">
        <v>3.0</v>
      </c>
      <c r="H98" s="1938" t="s">
        <v>2483</v>
      </c>
      <c r="I98" s="1912"/>
      <c r="J98" s="1938" t="s">
        <v>107</v>
      </c>
      <c r="K98" s="1912"/>
      <c r="L98" s="1938" t="s">
        <v>21</v>
      </c>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row>
    <row r="99">
      <c r="A99" s="1912"/>
      <c r="B99" s="1912"/>
      <c r="C99" s="1912"/>
      <c r="D99" s="1912"/>
      <c r="E99" s="1912"/>
      <c r="F99" s="1912"/>
      <c r="G99" s="1968">
        <v>4.0</v>
      </c>
      <c r="H99" s="1938" t="s">
        <v>2484</v>
      </c>
      <c r="I99" s="1912"/>
      <c r="J99" s="1938" t="s">
        <v>2485</v>
      </c>
      <c r="K99" s="1912"/>
      <c r="L99" s="1938" t="s">
        <v>2486</v>
      </c>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row>
    <row r="100">
      <c r="A100" s="1912"/>
      <c r="B100" s="1912"/>
      <c r="C100" s="1912"/>
      <c r="D100" s="1912"/>
      <c r="E100" s="1912"/>
      <c r="F100" s="1912"/>
      <c r="G100" s="1968">
        <v>5.0</v>
      </c>
      <c r="H100" s="1938" t="s">
        <v>2487</v>
      </c>
      <c r="I100" s="1912"/>
      <c r="J100" s="1938" t="s">
        <v>2488</v>
      </c>
      <c r="K100" s="1912"/>
      <c r="L100" s="1938" t="s">
        <v>2489</v>
      </c>
      <c r="M100" s="1912"/>
      <c r="N100" s="1912"/>
      <c r="O100" s="1912"/>
      <c r="P100" s="1912"/>
      <c r="Q100" s="1912"/>
      <c r="R100" s="1912"/>
      <c r="S100" s="1912"/>
      <c r="T100" s="1912"/>
      <c r="U100" s="1912"/>
      <c r="V100" s="1912"/>
      <c r="W100" s="1912"/>
      <c r="X100" s="1912"/>
      <c r="Y100" s="1912"/>
      <c r="Z100" s="1912"/>
      <c r="AA100" s="1912"/>
      <c r="AB100" s="1912"/>
      <c r="AC100" s="1912"/>
      <c r="AD100" s="1912"/>
      <c r="AE100" s="1912"/>
      <c r="AF100" s="1912"/>
      <c r="AG100" s="1912"/>
    </row>
    <row r="101">
      <c r="A101" s="1912"/>
      <c r="B101" s="1912"/>
      <c r="C101" s="1912"/>
      <c r="D101" s="1912"/>
      <c r="E101" s="1912"/>
      <c r="F101" s="1912"/>
      <c r="G101" s="1968">
        <v>6.0</v>
      </c>
      <c r="H101" s="1912"/>
      <c r="I101" s="1912"/>
      <c r="J101" s="1938" t="s">
        <v>36</v>
      </c>
      <c r="K101" s="1912"/>
      <c r="L101" s="1912"/>
      <c r="M101" s="1912"/>
      <c r="N101" s="1912"/>
      <c r="O101" s="1912"/>
      <c r="P101" s="1912"/>
      <c r="Q101" s="1912"/>
      <c r="R101" s="1912"/>
      <c r="S101" s="1912"/>
      <c r="T101" s="1912"/>
      <c r="U101" s="1912"/>
      <c r="V101" s="1912"/>
      <c r="W101" s="1912"/>
      <c r="X101" s="1912"/>
      <c r="Y101" s="1912"/>
      <c r="Z101" s="1912"/>
      <c r="AA101" s="1912"/>
      <c r="AB101" s="1912"/>
      <c r="AC101" s="1912"/>
      <c r="AD101" s="1912"/>
      <c r="AE101" s="1912"/>
      <c r="AF101" s="1912"/>
      <c r="AG101" s="1912"/>
    </row>
    <row r="102">
      <c r="A102" s="1912"/>
      <c r="B102" s="1912"/>
      <c r="C102" s="1912"/>
      <c r="D102" s="1912"/>
      <c r="E102" s="1912"/>
      <c r="F102" s="1912"/>
      <c r="G102" s="1968">
        <v>7.0</v>
      </c>
      <c r="H102" s="1912"/>
      <c r="I102" s="1912"/>
      <c r="J102" s="1912"/>
      <c r="K102" s="1912"/>
      <c r="L102" s="1912"/>
      <c r="M102" s="1912"/>
      <c r="N102" s="14"/>
      <c r="O102" s="1912"/>
      <c r="P102" s="1912"/>
      <c r="Q102" s="1912"/>
      <c r="R102" s="1912"/>
      <c r="S102" s="1912"/>
      <c r="T102" s="1912"/>
      <c r="U102" s="1912"/>
      <c r="V102" s="1912"/>
      <c r="W102" s="1912"/>
      <c r="X102" s="1912"/>
      <c r="Y102" s="1912"/>
      <c r="Z102" s="1912"/>
      <c r="AA102" s="1912"/>
      <c r="AB102" s="1912"/>
      <c r="AC102" s="1912"/>
      <c r="AD102" s="1912"/>
      <c r="AE102" s="1912"/>
      <c r="AF102" s="1912"/>
      <c r="AG102" s="1912"/>
    </row>
    <row r="103">
      <c r="A103" s="1912"/>
      <c r="B103" s="1912"/>
      <c r="C103" s="1912"/>
      <c r="D103" s="1912"/>
      <c r="E103" s="1912"/>
      <c r="F103" s="1912"/>
      <c r="G103" s="1968">
        <v>8.0</v>
      </c>
      <c r="H103" s="1912"/>
      <c r="I103" s="1912"/>
      <c r="J103" s="1912"/>
      <c r="K103" s="1912"/>
      <c r="L103" s="1912"/>
      <c r="M103" s="1912"/>
      <c r="N103" s="14" t="s">
        <v>295</v>
      </c>
      <c r="O103" s="14" t="s">
        <v>297</v>
      </c>
      <c r="P103" s="14" t="s">
        <v>299</v>
      </c>
      <c r="Q103" s="14" t="s">
        <v>302</v>
      </c>
      <c r="R103" s="14" t="s">
        <v>304</v>
      </c>
      <c r="S103" s="14" t="s">
        <v>306</v>
      </c>
      <c r="T103" s="1912"/>
      <c r="U103" s="1912"/>
      <c r="V103" s="1912"/>
      <c r="W103" s="1912"/>
      <c r="X103" s="1912"/>
      <c r="Y103" s="1912"/>
      <c r="Z103" s="1912"/>
      <c r="AA103" s="1912"/>
      <c r="AB103" s="1912"/>
      <c r="AC103" s="1912"/>
      <c r="AD103" s="1912"/>
      <c r="AE103" s="1912"/>
      <c r="AF103" s="1912"/>
      <c r="AG103" s="1912"/>
    </row>
    <row r="104">
      <c r="A104" s="1912"/>
      <c r="B104" s="1912"/>
      <c r="C104" s="1912"/>
      <c r="D104" s="1912"/>
      <c r="E104" s="1912"/>
      <c r="F104" s="1912"/>
      <c r="G104" s="1968">
        <v>9.0</v>
      </c>
      <c r="H104" s="1912"/>
      <c r="I104" s="1912"/>
      <c r="J104" s="1912"/>
      <c r="K104" s="1912"/>
      <c r="L104" s="1912"/>
      <c r="M104" s="1912"/>
      <c r="N104" s="14" t="str">
        <f>INDIRECT('Персонаж'!K127)</f>
        <v>#REF!</v>
      </c>
      <c r="O104" s="1912"/>
      <c r="P104" s="1912"/>
      <c r="Q104" s="1912"/>
      <c r="R104" s="1912"/>
      <c r="S104" s="1912"/>
      <c r="T104" s="1912"/>
      <c r="U104" s="1912"/>
      <c r="V104" s="1912"/>
      <c r="W104" s="1912"/>
      <c r="X104" s="1912"/>
      <c r="Y104" s="1912"/>
      <c r="Z104" s="1912"/>
      <c r="AA104" s="1912"/>
      <c r="AB104" s="1912"/>
      <c r="AC104" s="1912"/>
      <c r="AD104" s="1912"/>
      <c r="AE104" s="1912"/>
      <c r="AF104" s="1912"/>
      <c r="AG104" s="1912"/>
    </row>
    <row r="105">
      <c r="A105" s="1912"/>
      <c r="B105" s="1912"/>
      <c r="C105" s="1912"/>
      <c r="D105" s="1912"/>
      <c r="E105" s="1912"/>
      <c r="F105" s="1912"/>
      <c r="G105" s="1912"/>
      <c r="H105" s="1912"/>
      <c r="I105" s="1912"/>
      <c r="J105" s="1912"/>
      <c r="K105" s="1912"/>
      <c r="L105" s="1912"/>
      <c r="M105" s="1912"/>
      <c r="N105" s="14"/>
      <c r="O105" s="1912"/>
      <c r="P105" s="1912"/>
      <c r="Q105" s="1912"/>
      <c r="R105" s="1912"/>
      <c r="S105" s="1912"/>
      <c r="T105" s="1912"/>
      <c r="U105" s="1912"/>
      <c r="V105" s="1912"/>
      <c r="W105" s="1912"/>
      <c r="X105" s="1912"/>
      <c r="Y105" s="1912"/>
      <c r="Z105" s="1912"/>
      <c r="AA105" s="1912"/>
      <c r="AB105" s="1912"/>
      <c r="AC105" s="1912"/>
      <c r="AD105" s="1912"/>
      <c r="AE105" s="1912"/>
      <c r="AF105" s="1912"/>
      <c r="AG105" s="1912"/>
    </row>
    <row r="106">
      <c r="A106" s="1912"/>
      <c r="B106" s="1912"/>
      <c r="C106" s="1912"/>
      <c r="D106" s="1912"/>
      <c r="E106" s="1912"/>
      <c r="F106" s="1912"/>
      <c r="G106" s="1912"/>
      <c r="H106" s="1912"/>
      <c r="I106" s="1912"/>
      <c r="J106" s="1912"/>
      <c r="K106" s="1912"/>
      <c r="L106" s="1912"/>
      <c r="M106" s="1912"/>
      <c r="N106" s="14"/>
      <c r="O106" s="1912"/>
      <c r="P106" s="1912"/>
      <c r="Q106" s="1912"/>
      <c r="R106" s="1912"/>
      <c r="S106" s="1912"/>
      <c r="T106" s="1912"/>
      <c r="U106" s="1912"/>
      <c r="V106" s="1912"/>
      <c r="W106" s="1912"/>
      <c r="X106" s="1912"/>
      <c r="Y106" s="1912"/>
      <c r="Z106" s="1912"/>
      <c r="AA106" s="1912"/>
      <c r="AB106" s="1912"/>
      <c r="AC106" s="1912"/>
      <c r="AD106" s="1912"/>
      <c r="AE106" s="1912"/>
      <c r="AF106" s="1912"/>
      <c r="AG106" s="1912"/>
    </row>
    <row r="107">
      <c r="A107" s="1912"/>
      <c r="B107" s="1969"/>
      <c r="C107" s="1969"/>
      <c r="D107" s="1969"/>
      <c r="E107" s="1969"/>
      <c r="F107" s="1969"/>
      <c r="G107" s="1969"/>
      <c r="H107" s="1969"/>
      <c r="I107" s="1969"/>
      <c r="J107" s="1969"/>
      <c r="K107" s="1969"/>
      <c r="L107" s="1970" t="s">
        <v>2151</v>
      </c>
      <c r="M107" s="1971" t="s">
        <v>2490</v>
      </c>
      <c r="N107" s="1972" t="s">
        <v>2491</v>
      </c>
      <c r="O107" s="1972" t="s">
        <v>2492</v>
      </c>
      <c r="P107" s="1973" t="s">
        <v>2493</v>
      </c>
      <c r="Q107" s="1912"/>
      <c r="R107" s="1912"/>
      <c r="S107" s="1912"/>
      <c r="T107" s="1912"/>
      <c r="U107" s="1912"/>
      <c r="V107" s="1912"/>
      <c r="W107" s="1912"/>
      <c r="X107" s="1912"/>
      <c r="Y107" s="1912"/>
      <c r="Z107" s="1912"/>
      <c r="AA107" s="1912"/>
      <c r="AB107" s="1912"/>
      <c r="AC107" s="1912"/>
      <c r="AD107" s="1912"/>
      <c r="AE107" s="1912"/>
      <c r="AF107" s="1912"/>
      <c r="AG107" s="1912"/>
    </row>
    <row r="108">
      <c r="A108" s="1912"/>
      <c r="B108" s="1974" t="s">
        <v>2494</v>
      </c>
      <c r="C108" s="1975" t="s">
        <v>2495</v>
      </c>
      <c r="D108" s="1975" t="s">
        <v>2496</v>
      </c>
      <c r="E108" s="1975"/>
      <c r="F108" s="1975"/>
      <c r="G108" s="1975"/>
      <c r="H108" s="70"/>
      <c r="I108" s="11"/>
      <c r="J108" s="1912"/>
      <c r="K108" s="1912"/>
      <c r="L108" s="1976" t="s">
        <v>172</v>
      </c>
      <c r="M108" s="1977" t="str">
        <f>'Рудокоп'!C82</f>
        <v>Древесный уголь</v>
      </c>
      <c r="N108" s="1977">
        <f>'Рудокоп'!C84</f>
        <v>2</v>
      </c>
      <c r="O108" s="1978">
        <f>'Материалы и инструменты'!$E$149*N108</f>
        <v>0.14</v>
      </c>
      <c r="P108" s="1979">
        <f>'Материалы и инструменты'!D24</f>
        <v>0.5</v>
      </c>
      <c r="Q108" s="1912"/>
      <c r="R108" s="1912"/>
      <c r="S108" s="1912"/>
      <c r="T108" s="1912"/>
      <c r="U108" s="1912"/>
      <c r="V108" s="1912"/>
      <c r="W108" s="1912"/>
      <c r="X108" s="1912"/>
      <c r="Y108" s="1912"/>
      <c r="Z108" s="1912"/>
      <c r="AA108" s="1912"/>
      <c r="AB108" s="1912"/>
      <c r="AC108" s="1912"/>
      <c r="AD108" s="1912"/>
      <c r="AE108" s="1912"/>
      <c r="AF108" s="1912"/>
      <c r="AG108" s="1912"/>
    </row>
    <row r="109">
      <c r="A109" s="1912"/>
      <c r="B109" s="1980" t="s">
        <v>2497</v>
      </c>
      <c r="C109" s="11" t="str">
        <f>'Персонаж'!L2</f>
        <v>&lt; Имя персонажа &gt;</v>
      </c>
      <c r="E109" s="20" t="s">
        <v>2498</v>
      </c>
      <c r="F109" s="20" t="s">
        <v>2499</v>
      </c>
      <c r="G109" s="12"/>
      <c r="H109" s="1981" t="s">
        <v>15</v>
      </c>
      <c r="I109" s="11"/>
      <c r="J109" s="1912"/>
      <c r="K109" s="1912"/>
      <c r="L109" s="1976" t="s">
        <v>738</v>
      </c>
      <c r="M109" s="1977" t="str">
        <f>'Рудокоп'!H61</f>
        <v>Древесный уголь</v>
      </c>
      <c r="N109" s="1977">
        <f>'Рудокоп'!H63</f>
        <v>3</v>
      </c>
      <c r="O109" s="1978">
        <f>'Материалы и инструменты'!$E$149*N109</f>
        <v>0.21</v>
      </c>
      <c r="P109" s="1979">
        <f>'Материалы и инструменты'!E24</f>
        <v>1.51</v>
      </c>
      <c r="Q109" s="1912"/>
      <c r="R109" s="1912"/>
      <c r="S109" s="1912"/>
      <c r="T109" s="1912"/>
      <c r="U109" s="1912"/>
      <c r="V109" s="1912"/>
      <c r="W109" s="1912"/>
      <c r="X109" s="1912"/>
      <c r="Y109" s="1912"/>
      <c r="Z109" s="1912"/>
      <c r="AA109" s="1912"/>
      <c r="AB109" s="1912"/>
      <c r="AC109" s="1912"/>
      <c r="AD109" s="1912"/>
      <c r="AE109" s="1912"/>
      <c r="AF109" s="1912"/>
      <c r="AG109" s="1912"/>
    </row>
    <row r="110">
      <c r="A110" s="1912"/>
      <c r="B110" s="76" t="s">
        <v>1098</v>
      </c>
      <c r="C110" s="1982">
        <f>ROUNDDOWN('Персонаж'!I10/2.5)</f>
        <v>1</v>
      </c>
      <c r="E110" s="13" t="s">
        <v>299</v>
      </c>
      <c r="F110" s="12"/>
      <c r="G110" s="12"/>
      <c r="H110" s="1983" t="s">
        <v>16</v>
      </c>
      <c r="I110" s="11"/>
      <c r="J110" s="1912"/>
      <c r="K110" s="1912"/>
      <c r="L110" s="1976" t="s">
        <v>739</v>
      </c>
      <c r="M110" s="1977" t="str">
        <f>'Рудокоп'!$D$82</f>
        <v>Каменный уголь</v>
      </c>
      <c r="N110" s="1977">
        <f>'Рудокоп'!D84</f>
        <v>3</v>
      </c>
      <c r="O110" s="1978">
        <f>'Материалы и инструменты'!$F$149*N110</f>
        <v>0.42</v>
      </c>
      <c r="P110" s="1979">
        <f>'Материалы и инструменты'!F24</f>
        <v>4.57</v>
      </c>
      <c r="Q110" s="1912"/>
      <c r="R110" s="1912"/>
      <c r="S110" s="1912"/>
      <c r="T110" s="1912"/>
      <c r="U110" s="1912"/>
      <c r="V110" s="1912"/>
      <c r="W110" s="1912"/>
      <c r="X110" s="1912"/>
      <c r="Y110" s="1912"/>
      <c r="Z110" s="1912"/>
      <c r="AA110" s="1912"/>
      <c r="AB110" s="1912"/>
      <c r="AC110" s="1912"/>
      <c r="AD110" s="1912"/>
      <c r="AE110" s="1912"/>
      <c r="AF110" s="1912"/>
      <c r="AG110" s="1912"/>
    </row>
    <row r="111">
      <c r="A111" s="1912"/>
      <c r="B111" s="79" t="s">
        <v>1109</v>
      </c>
      <c r="C111" s="1982">
        <f>ROUNDDOWN('Персонаж'!I10/1.5)</f>
        <v>2</v>
      </c>
      <c r="E111" s="13" t="s">
        <v>304</v>
      </c>
      <c r="F111" s="12"/>
      <c r="G111" s="12"/>
      <c r="H111" s="1984" t="s">
        <v>1112</v>
      </c>
      <c r="I111" s="11"/>
      <c r="J111" s="1912"/>
      <c r="K111" s="1912"/>
      <c r="L111" s="1976" t="s">
        <v>740</v>
      </c>
      <c r="M111" s="1977" t="str">
        <f>'Рудокоп'!$D$82</f>
        <v>Каменный уголь</v>
      </c>
      <c r="N111" s="1977">
        <f>'Рудокоп'!E84</f>
        <v>4</v>
      </c>
      <c r="O111" s="1978">
        <f>'Материалы и инструменты'!$F$149*N111</f>
        <v>0.56</v>
      </c>
      <c r="P111" s="1979">
        <f>'Материалы и инструменты'!G24</f>
        <v>13.784</v>
      </c>
      <c r="Q111" s="1912"/>
      <c r="R111" s="1912"/>
      <c r="S111" s="1912"/>
      <c r="T111" s="1912"/>
      <c r="U111" s="1912"/>
      <c r="V111" s="1912"/>
      <c r="W111" s="1912"/>
      <c r="X111" s="1912"/>
      <c r="Y111" s="1912"/>
      <c r="Z111" s="1912"/>
      <c r="AA111" s="1912"/>
      <c r="AB111" s="1912"/>
      <c r="AC111" s="1912"/>
      <c r="AD111" s="1912"/>
      <c r="AE111" s="1912"/>
      <c r="AF111" s="1912"/>
      <c r="AG111" s="1912"/>
    </row>
    <row r="112">
      <c r="A112" s="1912"/>
      <c r="B112" s="79" t="s">
        <v>175</v>
      </c>
      <c r="C112" s="1985">
        <f>IFERROR(ROUNDDOWN('Персонаж'!I10/VLOOKUP('Персонаж'!L32,$B$154:$D$158,2,FALSE)),0)</f>
        <v>0</v>
      </c>
      <c r="D112" s="1985">
        <f>IFERROR(ROUNDDOWN('Персонаж'!I15/VLOOKUP('Персонаж'!L32,$B$154:$D$158,2,FALSE)),0)</f>
        <v>0</v>
      </c>
      <c r="E112" s="13" t="s">
        <v>299</v>
      </c>
      <c r="F112" s="13" t="s">
        <v>302</v>
      </c>
      <c r="G112" s="12"/>
      <c r="H112" s="1983" t="s">
        <v>16</v>
      </c>
      <c r="I112" s="11"/>
      <c r="J112" s="1912"/>
      <c r="K112" s="1912"/>
      <c r="L112" s="1976" t="s">
        <v>741</v>
      </c>
      <c r="M112" s="1977" t="str">
        <f>'Рудокоп'!$D$82</f>
        <v>Каменный уголь</v>
      </c>
      <c r="N112" s="1977">
        <f>'Рудокоп'!L63</f>
        <v>5</v>
      </c>
      <c r="O112" s="1978">
        <f>'Материалы и инструменты'!$F$149*N112</f>
        <v>0.7</v>
      </c>
      <c r="P112" s="1979">
        <f>'Материалы и инструменты'!H24</f>
        <v>41.55</v>
      </c>
      <c r="Q112" s="1912"/>
      <c r="R112" s="1912"/>
      <c r="S112" s="1912"/>
      <c r="T112" s="1912"/>
      <c r="U112" s="1912"/>
      <c r="V112" s="1912"/>
      <c r="W112" s="1912"/>
      <c r="X112" s="1912"/>
      <c r="Y112" s="1912"/>
      <c r="Z112" s="1912"/>
      <c r="AA112" s="1912"/>
      <c r="AB112" s="1912"/>
      <c r="AC112" s="1912"/>
      <c r="AD112" s="1912"/>
      <c r="AE112" s="1912"/>
      <c r="AF112" s="1912"/>
      <c r="AG112" s="1912"/>
    </row>
    <row r="113">
      <c r="A113" s="1912"/>
      <c r="B113" s="76" t="s">
        <v>2455</v>
      </c>
      <c r="C113" s="1985">
        <f>ROUNDDOWN('Персонаж'!I10/(5/'Персонаж'!L60))</f>
        <v>2</v>
      </c>
      <c r="E113" s="13" t="s">
        <v>299</v>
      </c>
      <c r="F113" s="12"/>
      <c r="G113" s="12"/>
      <c r="H113" s="1983" t="s">
        <v>16</v>
      </c>
      <c r="I113" s="11"/>
      <c r="J113" s="1912"/>
      <c r="K113" s="1912"/>
      <c r="L113" s="1976" t="s">
        <v>742</v>
      </c>
      <c r="M113" s="1977" t="str">
        <f>'Рудокоп'!$D$82</f>
        <v>Каменный уголь</v>
      </c>
      <c r="N113" s="1977">
        <f>'Рудокоп'!M63</f>
        <v>5</v>
      </c>
      <c r="O113" s="1978">
        <f>'Материалы и инструменты'!$F$149*N113</f>
        <v>0.7</v>
      </c>
      <c r="P113" s="1979">
        <f>'Материалы и инструменты'!I24</f>
        <v>124.72</v>
      </c>
      <c r="Q113" s="1912"/>
      <c r="R113" s="1912"/>
      <c r="S113" s="1912"/>
      <c r="T113" s="1912"/>
      <c r="U113" s="1912"/>
      <c r="V113" s="1912"/>
      <c r="W113" s="1912"/>
      <c r="X113" s="1912"/>
      <c r="Y113" s="1912"/>
      <c r="Z113" s="1912"/>
      <c r="AA113" s="1912"/>
      <c r="AB113" s="1912"/>
      <c r="AC113" s="1912"/>
      <c r="AD113" s="1912"/>
      <c r="AE113" s="1912"/>
      <c r="AF113" s="1912"/>
      <c r="AG113" s="1912"/>
    </row>
    <row r="114">
      <c r="A114" s="1912"/>
      <c r="B114" s="76" t="s">
        <v>2459</v>
      </c>
      <c r="C114" s="1985">
        <f>ROUNDDOWN('Персонаж'!I10/(4/'Персонаж'!L60))</f>
        <v>3</v>
      </c>
      <c r="E114" s="13" t="s">
        <v>299</v>
      </c>
      <c r="F114" s="13" t="s">
        <v>302</v>
      </c>
      <c r="G114" s="12"/>
      <c r="H114" s="1983" t="s">
        <v>16</v>
      </c>
      <c r="I114" s="11"/>
      <c r="J114" s="1912"/>
      <c r="K114" s="1912"/>
      <c r="L114" s="1986" t="s">
        <v>743</v>
      </c>
      <c r="M114" s="1987" t="str">
        <f>'Рудокоп'!$D$82</f>
        <v>Каменный уголь</v>
      </c>
      <c r="N114" s="1987">
        <f>'Рудокоп'!N63</f>
        <v>6</v>
      </c>
      <c r="O114" s="1988">
        <f>'Материалы и инструменты'!$F$149*N114</f>
        <v>0.84</v>
      </c>
      <c r="P114" s="1989">
        <f>'Материалы и инструменты'!J24</f>
        <v>374.71</v>
      </c>
      <c r="Q114" s="1912"/>
      <c r="R114" s="1912"/>
      <c r="S114" s="1912"/>
      <c r="T114" s="1912"/>
      <c r="U114" s="1912"/>
      <c r="V114" s="1912"/>
      <c r="W114" s="1912"/>
      <c r="X114" s="1912"/>
      <c r="Y114" s="1912"/>
      <c r="Z114" s="1912"/>
      <c r="AA114" s="1912"/>
      <c r="AB114" s="1912"/>
      <c r="AC114" s="1912"/>
      <c r="AD114" s="1912"/>
      <c r="AE114" s="1912"/>
      <c r="AF114" s="1912"/>
      <c r="AG114" s="1912"/>
    </row>
    <row r="115">
      <c r="A115" s="1912"/>
      <c r="B115" s="79" t="s">
        <v>2457</v>
      </c>
      <c r="C115" s="1985">
        <f>ROUNDDOWN('Персонаж'!I10/(5/'Персонаж'!L60))</f>
        <v>2</v>
      </c>
      <c r="E115" s="13" t="s">
        <v>299</v>
      </c>
      <c r="F115" s="12"/>
      <c r="G115" s="12"/>
      <c r="H115" s="1990" t="s">
        <v>2500</v>
      </c>
      <c r="I115" s="11"/>
      <c r="J115" s="1912"/>
      <c r="K115" s="1912"/>
      <c r="P115" s="1912"/>
      <c r="Q115" s="1912"/>
      <c r="R115" s="1912"/>
      <c r="S115" s="1912"/>
      <c r="T115" s="1912"/>
      <c r="U115" s="1912"/>
      <c r="V115" s="1912"/>
      <c r="W115" s="1912"/>
      <c r="X115" s="1912"/>
      <c r="Y115" s="1912"/>
      <c r="Z115" s="1912"/>
      <c r="AA115" s="1912"/>
      <c r="AB115" s="1912"/>
      <c r="AC115" s="1912"/>
      <c r="AD115" s="1912"/>
      <c r="AE115" s="1912"/>
      <c r="AF115" s="1912"/>
      <c r="AG115" s="1912"/>
    </row>
    <row r="116">
      <c r="A116" s="1912"/>
      <c r="B116" s="76" t="s">
        <v>2458</v>
      </c>
      <c r="C116" s="96">
        <v>0.0</v>
      </c>
      <c r="E116" s="13" t="s">
        <v>299</v>
      </c>
      <c r="F116" s="13" t="s">
        <v>302</v>
      </c>
      <c r="G116" s="12"/>
      <c r="H116" s="1984" t="s">
        <v>1112</v>
      </c>
      <c r="I116" s="11"/>
      <c r="J116" s="1912"/>
      <c r="K116" s="1912"/>
      <c r="P116" s="1912"/>
      <c r="Q116" s="1912"/>
      <c r="R116" s="1912"/>
      <c r="S116" s="1912"/>
      <c r="T116" s="1912"/>
      <c r="U116" s="1912"/>
      <c r="V116" s="1912"/>
      <c r="W116" s="1912"/>
      <c r="X116" s="1912"/>
      <c r="Y116" s="1912"/>
      <c r="Z116" s="1912"/>
      <c r="AA116" s="1912"/>
      <c r="AB116" s="1912"/>
      <c r="AC116" s="1912"/>
      <c r="AD116" s="1912"/>
      <c r="AE116" s="1912"/>
      <c r="AF116" s="1912"/>
      <c r="AG116" s="1912"/>
    </row>
    <row r="117">
      <c r="A117" s="1912"/>
      <c r="B117" s="207" t="s">
        <v>2456</v>
      </c>
      <c r="C117" s="286">
        <v>0.0</v>
      </c>
      <c r="E117" s="1991" t="s">
        <v>299</v>
      </c>
      <c r="F117" s="1991" t="s">
        <v>302</v>
      </c>
      <c r="G117" s="212"/>
      <c r="H117" s="1992" t="s">
        <v>1112</v>
      </c>
      <c r="I117" s="11"/>
      <c r="J117" s="1912"/>
      <c r="K117" s="1912"/>
      <c r="P117" s="1912"/>
      <c r="Q117" s="1912"/>
      <c r="R117" s="1912"/>
      <c r="S117" s="1912"/>
      <c r="T117" s="1912"/>
      <c r="U117" s="1912"/>
      <c r="V117" s="1912"/>
      <c r="W117" s="1912"/>
      <c r="X117" s="1912"/>
      <c r="Y117" s="1912"/>
      <c r="Z117" s="1912"/>
      <c r="AA117" s="1912"/>
      <c r="AB117" s="1912"/>
      <c r="AC117" s="1912"/>
      <c r="AD117" s="1912"/>
      <c r="AE117" s="1912"/>
      <c r="AF117" s="1912"/>
      <c r="AG117" s="1912"/>
    </row>
    <row r="118">
      <c r="A118" s="1912"/>
      <c r="B118" s="1993" t="s">
        <v>1117</v>
      </c>
      <c r="C118" s="1994">
        <f>ROUNDDOWN('Персонаж'!I10/2)</f>
        <v>2</v>
      </c>
      <c r="D118" s="25"/>
      <c r="E118" s="1995" t="s">
        <v>299</v>
      </c>
      <c r="F118" s="1995" t="s">
        <v>302</v>
      </c>
      <c r="G118" s="1996"/>
      <c r="H118" s="1997" t="s">
        <v>1112</v>
      </c>
      <c r="I118" s="11"/>
      <c r="J118" s="1912"/>
      <c r="K118" s="1912"/>
      <c r="L118" s="1912"/>
      <c r="M118" s="1912"/>
      <c r="N118" s="1912"/>
      <c r="O118" s="1912"/>
      <c r="P118" s="1912"/>
      <c r="Q118" s="1912"/>
      <c r="R118" s="1912"/>
      <c r="S118" s="1912"/>
      <c r="T118" s="1912"/>
      <c r="U118" s="1912"/>
      <c r="V118" s="1912"/>
      <c r="W118" s="1912"/>
      <c r="X118" s="1912"/>
      <c r="Y118" s="1912"/>
      <c r="Z118" s="1912"/>
      <c r="AA118" s="1912"/>
      <c r="AB118" s="1912"/>
      <c r="AC118" s="1912"/>
      <c r="AD118" s="1912"/>
      <c r="AE118" s="1912"/>
      <c r="AF118" s="1912"/>
      <c r="AG118" s="1912"/>
    </row>
    <row r="119">
      <c r="A119" s="1912"/>
      <c r="B119" s="12"/>
      <c r="C119" s="12"/>
      <c r="D119" s="12"/>
      <c r="E119" s="12"/>
      <c r="F119" s="12"/>
      <c r="G119" s="12"/>
      <c r="H119" s="11"/>
      <c r="I119" s="11"/>
      <c r="J119" s="1912"/>
      <c r="K119" s="1912"/>
      <c r="L119" s="1912"/>
      <c r="M119" s="1912"/>
      <c r="N119" s="1912"/>
      <c r="O119" s="1912"/>
      <c r="P119" s="1912"/>
      <c r="Q119" s="1912"/>
      <c r="R119" s="1912"/>
      <c r="S119" s="1912"/>
      <c r="T119" s="1912"/>
      <c r="U119" s="1912"/>
      <c r="V119" s="1912"/>
      <c r="W119" s="1912"/>
      <c r="X119" s="1912"/>
      <c r="Y119" s="1912"/>
      <c r="Z119" s="1912"/>
      <c r="AA119" s="1912"/>
      <c r="AB119" s="1912"/>
      <c r="AC119" s="1912"/>
      <c r="AD119" s="1912"/>
      <c r="AE119" s="1912"/>
      <c r="AF119" s="1912"/>
      <c r="AG119" s="1912"/>
    </row>
    <row r="120">
      <c r="A120" s="1912"/>
      <c r="B120" s="20" t="s">
        <v>2501</v>
      </c>
      <c r="C120" s="12"/>
      <c r="D120" s="12"/>
      <c r="E120" s="12"/>
      <c r="F120" s="12"/>
      <c r="G120" s="12"/>
      <c r="H120" s="12"/>
      <c r="I120" s="12"/>
      <c r="J120" s="1912"/>
      <c r="K120" s="1912"/>
      <c r="L120" s="1912"/>
      <c r="M120" s="1912"/>
      <c r="N120" s="1912"/>
      <c r="O120" s="1912"/>
      <c r="P120" s="1912"/>
      <c r="Q120" s="1912"/>
      <c r="R120" s="1912"/>
      <c r="S120" s="1912"/>
      <c r="T120" s="1912"/>
      <c r="U120" s="1912"/>
      <c r="V120" s="1912"/>
      <c r="W120" s="1912"/>
      <c r="X120" s="1912"/>
      <c r="Y120" s="1912"/>
      <c r="Z120" s="1912"/>
      <c r="AA120" s="1912"/>
      <c r="AB120" s="1912"/>
      <c r="AC120" s="1912"/>
      <c r="AD120" s="1912"/>
      <c r="AE120" s="1912"/>
      <c r="AF120" s="1912"/>
      <c r="AG120" s="1912"/>
    </row>
    <row r="121">
      <c r="A121" s="1912"/>
      <c r="B121" s="13" t="s">
        <v>2502</v>
      </c>
      <c r="C121" s="96" t="s">
        <v>2503</v>
      </c>
      <c r="D121" s="96" t="s">
        <v>14</v>
      </c>
      <c r="E121" s="96" t="s">
        <v>2504</v>
      </c>
      <c r="F121" s="96" t="s">
        <v>2505</v>
      </c>
      <c r="G121" s="96" t="s">
        <v>2506</v>
      </c>
      <c r="H121" s="12"/>
      <c r="I121" s="12"/>
      <c r="J121" s="1912"/>
      <c r="K121" s="1912"/>
      <c r="L121" s="1912"/>
      <c r="M121" s="1912"/>
      <c r="N121" s="1912"/>
      <c r="O121" s="1912"/>
      <c r="P121" s="1912"/>
      <c r="Q121" s="1912"/>
      <c r="R121" s="11"/>
      <c r="S121" s="1912"/>
      <c r="AB121" s="1912"/>
      <c r="AC121" s="1912"/>
      <c r="AD121" s="1912"/>
      <c r="AE121" s="1912"/>
      <c r="AF121" s="1912"/>
      <c r="AG121" s="1912"/>
    </row>
    <row r="122">
      <c r="A122" s="1912"/>
      <c r="B122" s="13">
        <v>0.0</v>
      </c>
      <c r="C122" s="96">
        <v>0.0</v>
      </c>
      <c r="D122" s="96">
        <v>0.0</v>
      </c>
      <c r="E122" s="96">
        <v>0.0</v>
      </c>
      <c r="F122" s="96">
        <v>0.0</v>
      </c>
      <c r="G122" s="96">
        <v>0.0</v>
      </c>
      <c r="H122" s="12"/>
      <c r="I122" s="12"/>
      <c r="J122" s="1912"/>
      <c r="K122" s="1912"/>
      <c r="L122" s="1912"/>
      <c r="M122" s="1912"/>
      <c r="N122" s="1912"/>
      <c r="O122" s="1912"/>
      <c r="P122" s="1912"/>
      <c r="Q122" s="1912"/>
      <c r="R122" s="11"/>
      <c r="S122" s="1912"/>
      <c r="AB122" s="1912"/>
      <c r="AC122" s="1912"/>
      <c r="AD122" s="1912"/>
      <c r="AE122" s="1912"/>
      <c r="AF122" s="1912"/>
      <c r="AG122" s="1912"/>
    </row>
    <row r="123">
      <c r="A123" s="1912"/>
      <c r="B123" s="13">
        <v>1.0</v>
      </c>
      <c r="C123" s="96">
        <f t="shared" ref="C123:C132" si="1">(B123+1)*10+C122</f>
        <v>20</v>
      </c>
      <c r="D123" s="96">
        <f t="shared" ref="D123:D132" si="2">B123*10+D122</f>
        <v>10</v>
      </c>
      <c r="E123" s="96">
        <f t="shared" ref="E123:E132" si="3">(B123-1)*10+E122</f>
        <v>0</v>
      </c>
      <c r="F123" s="96">
        <f t="shared" ref="F123:F132" si="4">B123*10+F122</f>
        <v>10</v>
      </c>
      <c r="G123" s="96">
        <f t="shared" ref="G123:G132" si="5">(B123+2)*10+G122</f>
        <v>30</v>
      </c>
      <c r="H123" s="14"/>
      <c r="I123" s="14"/>
      <c r="J123" s="1912"/>
      <c r="K123" s="1912"/>
      <c r="L123" s="1912"/>
      <c r="M123" s="1912"/>
      <c r="N123" s="1912"/>
      <c r="O123" s="1912"/>
      <c r="P123" s="1912"/>
      <c r="Q123" s="1912"/>
      <c r="R123" s="11"/>
      <c r="S123" s="1912"/>
      <c r="AB123" s="1912"/>
      <c r="AC123" s="1912"/>
      <c r="AD123" s="1912"/>
      <c r="AE123" s="1912"/>
      <c r="AF123" s="1912"/>
      <c r="AG123" s="1912"/>
    </row>
    <row r="124">
      <c r="A124" s="1912"/>
      <c r="B124" s="13">
        <v>2.0</v>
      </c>
      <c r="C124" s="96">
        <f t="shared" si="1"/>
        <v>50</v>
      </c>
      <c r="D124" s="96">
        <f t="shared" si="2"/>
        <v>30</v>
      </c>
      <c r="E124" s="96">
        <f t="shared" si="3"/>
        <v>10</v>
      </c>
      <c r="F124" s="96">
        <f t="shared" si="4"/>
        <v>30</v>
      </c>
      <c r="G124" s="96">
        <f t="shared" si="5"/>
        <v>70</v>
      </c>
      <c r="H124" s="14"/>
      <c r="I124" s="14"/>
      <c r="J124" s="1912"/>
      <c r="K124" s="1912"/>
      <c r="L124" s="1912"/>
      <c r="M124" s="1912"/>
      <c r="N124" s="1912"/>
      <c r="O124" s="1912"/>
      <c r="P124" s="1912"/>
      <c r="Q124" s="1912"/>
      <c r="R124" s="11"/>
      <c r="S124" s="1912"/>
      <c r="AB124" s="1912"/>
      <c r="AC124" s="1912"/>
      <c r="AD124" s="1912"/>
      <c r="AE124" s="1912"/>
      <c r="AF124" s="1912"/>
      <c r="AG124" s="1912"/>
    </row>
    <row r="125">
      <c r="A125" s="1912"/>
      <c r="B125" s="13">
        <v>3.0</v>
      </c>
      <c r="C125" s="96">
        <f t="shared" si="1"/>
        <v>90</v>
      </c>
      <c r="D125" s="96">
        <f t="shared" si="2"/>
        <v>60</v>
      </c>
      <c r="E125" s="96">
        <f t="shared" si="3"/>
        <v>30</v>
      </c>
      <c r="F125" s="96">
        <f t="shared" si="4"/>
        <v>60</v>
      </c>
      <c r="G125" s="96">
        <f t="shared" si="5"/>
        <v>120</v>
      </c>
      <c r="H125" s="14"/>
      <c r="I125" s="14"/>
      <c r="J125" s="1912"/>
      <c r="K125" s="1912"/>
      <c r="L125" s="1912"/>
      <c r="M125" s="1912"/>
      <c r="N125" s="1912"/>
      <c r="O125" s="1912"/>
      <c r="P125" s="1912"/>
      <c r="Q125" s="1912"/>
      <c r="R125" s="11"/>
      <c r="S125" s="1912"/>
      <c r="AB125" s="1912"/>
      <c r="AC125" s="1912"/>
      <c r="AD125" s="1912"/>
      <c r="AE125" s="1912"/>
      <c r="AF125" s="1912"/>
      <c r="AG125" s="1912"/>
    </row>
    <row r="126">
      <c r="A126" s="1912"/>
      <c r="B126" s="13">
        <v>4.0</v>
      </c>
      <c r="C126" s="96">
        <f t="shared" si="1"/>
        <v>140</v>
      </c>
      <c r="D126" s="96">
        <f t="shared" si="2"/>
        <v>100</v>
      </c>
      <c r="E126" s="96">
        <f t="shared" si="3"/>
        <v>60</v>
      </c>
      <c r="F126" s="96">
        <f t="shared" si="4"/>
        <v>100</v>
      </c>
      <c r="G126" s="96">
        <f t="shared" si="5"/>
        <v>180</v>
      </c>
      <c r="H126" s="14"/>
      <c r="I126" s="14"/>
      <c r="J126" s="1912"/>
      <c r="K126" s="1912"/>
      <c r="L126" s="1912"/>
      <c r="M126" s="1912"/>
      <c r="N126" s="1912"/>
      <c r="O126" s="1912"/>
      <c r="P126" s="1912"/>
      <c r="Q126" s="1912"/>
      <c r="R126" s="11"/>
      <c r="S126" s="1912"/>
      <c r="AB126" s="1912"/>
      <c r="AC126" s="1912"/>
      <c r="AD126" s="1912"/>
      <c r="AE126" s="1912"/>
      <c r="AF126" s="1912"/>
      <c r="AG126" s="1912"/>
    </row>
    <row r="127">
      <c r="A127" s="1912"/>
      <c r="B127" s="13">
        <v>5.0</v>
      </c>
      <c r="C127" s="96">
        <f t="shared" si="1"/>
        <v>200</v>
      </c>
      <c r="D127" s="96">
        <f t="shared" si="2"/>
        <v>150</v>
      </c>
      <c r="E127" s="96">
        <f t="shared" si="3"/>
        <v>100</v>
      </c>
      <c r="F127" s="96">
        <f t="shared" si="4"/>
        <v>150</v>
      </c>
      <c r="G127" s="96">
        <f t="shared" si="5"/>
        <v>250</v>
      </c>
      <c r="H127" s="14"/>
      <c r="I127" s="14"/>
      <c r="J127" s="1912"/>
      <c r="K127" s="1912"/>
      <c r="L127" s="1912"/>
      <c r="M127" s="1912"/>
      <c r="N127" s="1912"/>
      <c r="O127" s="1912"/>
      <c r="P127" s="1912"/>
      <c r="Q127" s="1912"/>
      <c r="R127" s="11"/>
      <c r="S127" s="1912"/>
      <c r="AB127" s="1912"/>
      <c r="AC127" s="1912"/>
      <c r="AD127" s="1912"/>
      <c r="AE127" s="1912"/>
      <c r="AF127" s="1912"/>
      <c r="AG127" s="1912"/>
    </row>
    <row r="128">
      <c r="A128" s="1912"/>
      <c r="B128" s="13">
        <v>6.0</v>
      </c>
      <c r="C128" s="96">
        <f t="shared" si="1"/>
        <v>270</v>
      </c>
      <c r="D128" s="96">
        <f t="shared" si="2"/>
        <v>210</v>
      </c>
      <c r="E128" s="96">
        <f t="shared" si="3"/>
        <v>150</v>
      </c>
      <c r="F128" s="96">
        <f t="shared" si="4"/>
        <v>210</v>
      </c>
      <c r="G128" s="96">
        <f t="shared" si="5"/>
        <v>330</v>
      </c>
      <c r="H128" s="14"/>
      <c r="I128" s="14"/>
      <c r="J128" s="1912"/>
      <c r="K128" s="1912"/>
      <c r="L128" s="1912"/>
      <c r="M128" s="1912"/>
      <c r="N128" s="1912"/>
      <c r="O128" s="1912"/>
      <c r="P128" s="1912"/>
      <c r="Q128" s="1912"/>
      <c r="R128" s="11"/>
      <c r="S128" s="1912"/>
      <c r="AB128" s="1912"/>
      <c r="AC128" s="1912"/>
      <c r="AD128" s="1912"/>
      <c r="AE128" s="1912"/>
      <c r="AF128" s="1912"/>
      <c r="AG128" s="1912"/>
    </row>
    <row r="129">
      <c r="A129" s="1912"/>
      <c r="B129" s="13">
        <v>7.0</v>
      </c>
      <c r="C129" s="96">
        <f t="shared" si="1"/>
        <v>350</v>
      </c>
      <c r="D129" s="96">
        <f t="shared" si="2"/>
        <v>280</v>
      </c>
      <c r="E129" s="96">
        <f t="shared" si="3"/>
        <v>210</v>
      </c>
      <c r="F129" s="96">
        <f t="shared" si="4"/>
        <v>280</v>
      </c>
      <c r="G129" s="96">
        <f t="shared" si="5"/>
        <v>420</v>
      </c>
      <c r="H129" s="14"/>
      <c r="I129" s="14"/>
      <c r="J129" s="1912"/>
      <c r="K129" s="1912"/>
      <c r="L129" s="1912"/>
      <c r="M129" s="1912"/>
      <c r="N129" s="1912"/>
      <c r="O129" s="1912"/>
      <c r="P129" s="1912"/>
      <c r="Q129" s="1912"/>
      <c r="R129" s="11"/>
      <c r="S129" s="1912"/>
      <c r="AB129" s="1912"/>
      <c r="AC129" s="1912"/>
      <c r="AD129" s="1912"/>
      <c r="AE129" s="1912"/>
      <c r="AF129" s="1912"/>
      <c r="AG129" s="1912"/>
    </row>
    <row r="130">
      <c r="A130" s="1912"/>
      <c r="B130" s="13">
        <v>8.0</v>
      </c>
      <c r="C130" s="96">
        <f t="shared" si="1"/>
        <v>440</v>
      </c>
      <c r="D130" s="96">
        <f t="shared" si="2"/>
        <v>360</v>
      </c>
      <c r="E130" s="96">
        <f t="shared" si="3"/>
        <v>280</v>
      </c>
      <c r="F130" s="96">
        <f t="shared" si="4"/>
        <v>360</v>
      </c>
      <c r="G130" s="96">
        <f t="shared" si="5"/>
        <v>520</v>
      </c>
      <c r="H130" s="14"/>
      <c r="I130" s="14"/>
      <c r="J130" s="1912"/>
      <c r="K130" s="1912"/>
      <c r="L130" s="1912"/>
      <c r="M130" s="1912"/>
      <c r="N130" s="1912"/>
      <c r="O130" s="1912"/>
      <c r="P130" s="1912"/>
      <c r="Q130" s="1912"/>
      <c r="R130" s="11"/>
      <c r="S130" s="1912"/>
      <c r="AB130" s="1912"/>
      <c r="AC130" s="1912"/>
      <c r="AD130" s="1912"/>
      <c r="AE130" s="1912"/>
      <c r="AF130" s="1912"/>
      <c r="AG130" s="1912"/>
    </row>
    <row r="131">
      <c r="A131" s="1912"/>
      <c r="B131" s="13">
        <v>9.0</v>
      </c>
      <c r="C131" s="96">
        <f t="shared" si="1"/>
        <v>540</v>
      </c>
      <c r="D131" s="96">
        <f t="shared" si="2"/>
        <v>450</v>
      </c>
      <c r="E131" s="96">
        <f t="shared" si="3"/>
        <v>360</v>
      </c>
      <c r="F131" s="96">
        <f t="shared" si="4"/>
        <v>450</v>
      </c>
      <c r="G131" s="96">
        <f t="shared" si="5"/>
        <v>630</v>
      </c>
      <c r="H131" s="14"/>
      <c r="I131" s="14"/>
      <c r="J131" s="1912"/>
      <c r="K131" s="1912"/>
      <c r="L131" s="1912"/>
      <c r="M131" s="1912"/>
      <c r="N131" s="1912"/>
      <c r="O131" s="1912"/>
      <c r="P131" s="1912"/>
      <c r="Q131" s="1912"/>
      <c r="R131" s="11"/>
      <c r="S131" s="1912"/>
      <c r="AB131" s="1912"/>
      <c r="AC131" s="1912"/>
      <c r="AD131" s="1912"/>
      <c r="AE131" s="1912"/>
      <c r="AF131" s="1912"/>
      <c r="AG131" s="1912"/>
    </row>
    <row r="132">
      <c r="A132" s="1912"/>
      <c r="B132" s="13">
        <v>10.0</v>
      </c>
      <c r="C132" s="96">
        <f t="shared" si="1"/>
        <v>650</v>
      </c>
      <c r="D132" s="96">
        <f t="shared" si="2"/>
        <v>550</v>
      </c>
      <c r="E132" s="96">
        <f t="shared" si="3"/>
        <v>450</v>
      </c>
      <c r="F132" s="96">
        <f t="shared" si="4"/>
        <v>550</v>
      </c>
      <c r="G132" s="96">
        <f t="shared" si="5"/>
        <v>750</v>
      </c>
      <c r="H132" s="1"/>
      <c r="I132" s="1"/>
      <c r="J132" s="1912"/>
      <c r="K132" s="1912"/>
      <c r="L132" s="1912"/>
      <c r="M132" s="1912"/>
      <c r="N132" s="1912"/>
      <c r="O132" s="1912"/>
      <c r="P132" s="1912"/>
      <c r="Q132" s="1912"/>
      <c r="R132" s="11"/>
      <c r="S132" s="1912"/>
      <c r="AB132" s="1912"/>
      <c r="AC132" s="1912"/>
      <c r="AD132" s="1912"/>
      <c r="AE132" s="1912"/>
      <c r="AF132" s="1912"/>
      <c r="AG132" s="1912"/>
    </row>
    <row r="133">
      <c r="A133" s="1912"/>
      <c r="B133" s="12"/>
      <c r="C133" s="96"/>
      <c r="D133" s="96"/>
      <c r="E133" s="96"/>
      <c r="F133" s="12"/>
      <c r="G133" s="14"/>
      <c r="H133" s="12"/>
      <c r="I133" s="12"/>
      <c r="J133" s="1912"/>
      <c r="K133" s="1912"/>
      <c r="L133" s="1912"/>
      <c r="M133" s="1912"/>
      <c r="N133" s="1912"/>
      <c r="O133" s="1912"/>
      <c r="P133" s="1912"/>
      <c r="Q133" s="1912"/>
      <c r="R133" s="12"/>
      <c r="S133" s="1912"/>
      <c r="AB133" s="1912"/>
      <c r="AC133" s="1912"/>
      <c r="AD133" s="1912"/>
      <c r="AE133" s="1912"/>
      <c r="AF133" s="1912"/>
      <c r="AG133" s="1912"/>
    </row>
    <row r="134">
      <c r="A134" s="1912"/>
      <c r="B134" s="13" t="s">
        <v>220</v>
      </c>
      <c r="D134" s="383" t="s">
        <v>2507</v>
      </c>
      <c r="E134" s="12"/>
      <c r="F134" s="383"/>
      <c r="G134" s="12"/>
      <c r="H134" s="12"/>
      <c r="I134" s="12"/>
      <c r="J134" s="1912"/>
      <c r="K134" s="1912"/>
      <c r="L134" s="1912"/>
      <c r="M134" s="1912"/>
      <c r="N134" s="1912"/>
      <c r="O134" s="1912"/>
      <c r="P134" s="1912"/>
      <c r="Q134" s="1912"/>
      <c r="R134" s="12"/>
      <c r="S134" s="1912"/>
      <c r="AB134" s="1912"/>
      <c r="AC134" s="1912"/>
      <c r="AD134" s="1912"/>
      <c r="AE134" s="1912"/>
      <c r="AF134" s="1912"/>
      <c r="AG134" s="1912"/>
    </row>
    <row r="135">
      <c r="A135" s="1912"/>
      <c r="B135" s="13" t="s">
        <v>221</v>
      </c>
      <c r="D135" s="13">
        <v>0.0</v>
      </c>
      <c r="E135" s="12"/>
      <c r="F135" s="383"/>
      <c r="G135" s="12"/>
      <c r="H135" s="12"/>
      <c r="I135" s="12"/>
      <c r="J135" s="1912"/>
      <c r="K135" s="1912"/>
      <c r="L135" s="1912"/>
      <c r="M135" s="1912"/>
      <c r="N135" s="1912"/>
      <c r="O135" s="1912"/>
      <c r="P135" s="1912"/>
      <c r="Q135" s="1912"/>
      <c r="R135" s="12"/>
      <c r="S135" s="1912"/>
      <c r="AB135" s="1912"/>
      <c r="AC135" s="1912"/>
      <c r="AD135" s="1912"/>
      <c r="AE135" s="1912"/>
      <c r="AF135" s="1912"/>
      <c r="AG135" s="1912"/>
    </row>
    <row r="136">
      <c r="A136" s="1912"/>
      <c r="B136" s="13" t="s">
        <v>1452</v>
      </c>
      <c r="D136" s="13">
        <v>1.0</v>
      </c>
      <c r="E136" s="12"/>
      <c r="F136" s="383"/>
      <c r="G136" s="12"/>
      <c r="H136" s="12"/>
      <c r="I136" s="12"/>
      <c r="J136" s="1912"/>
      <c r="K136" s="1912"/>
      <c r="L136" s="1912"/>
      <c r="M136" s="1912"/>
      <c r="N136" s="1912"/>
      <c r="O136" s="1912"/>
      <c r="P136" s="1912"/>
      <c r="Q136" s="1912"/>
      <c r="R136" s="14"/>
      <c r="S136" s="1912"/>
      <c r="AB136" s="1912"/>
      <c r="AC136" s="1912"/>
      <c r="AD136" s="1912"/>
      <c r="AE136" s="1912"/>
      <c r="AF136" s="1912"/>
      <c r="AG136" s="1912"/>
    </row>
    <row r="137">
      <c r="A137" s="1912"/>
      <c r="B137" s="13" t="s">
        <v>2508</v>
      </c>
      <c r="D137" s="13">
        <v>2.0</v>
      </c>
      <c r="E137" s="12"/>
      <c r="F137" s="383"/>
      <c r="G137" s="12"/>
      <c r="H137" s="12"/>
      <c r="I137" s="12"/>
      <c r="J137" s="1912"/>
      <c r="K137" s="1912"/>
      <c r="L137" s="1912"/>
      <c r="M137" s="1912"/>
      <c r="N137" s="1912"/>
      <c r="O137" s="1912"/>
      <c r="P137" s="1912"/>
      <c r="Q137" s="1912"/>
      <c r="R137" s="14"/>
      <c r="S137" s="1912"/>
      <c r="AB137" s="1912"/>
      <c r="AC137" s="1912"/>
      <c r="AD137" s="1912"/>
      <c r="AE137" s="1912"/>
      <c r="AF137" s="1912"/>
      <c r="AG137" s="1912"/>
    </row>
    <row r="138">
      <c r="A138" s="1912"/>
      <c r="B138" s="13" t="s">
        <v>2509</v>
      </c>
      <c r="D138" s="13">
        <v>3.0</v>
      </c>
      <c r="E138" s="12"/>
      <c r="F138" s="12"/>
      <c r="G138" s="12"/>
      <c r="H138" s="12"/>
      <c r="I138" s="12"/>
      <c r="J138" s="1912"/>
      <c r="K138" s="1912"/>
      <c r="L138" s="1912"/>
      <c r="M138" s="1912"/>
      <c r="N138" s="1912"/>
      <c r="O138" s="1912"/>
      <c r="P138" s="1912"/>
      <c r="Q138" s="1912"/>
      <c r="R138" s="14"/>
      <c r="S138" s="1912"/>
      <c r="AB138" s="1912"/>
      <c r="AC138" s="1912"/>
      <c r="AD138" s="1912"/>
      <c r="AE138" s="1912"/>
      <c r="AF138" s="1912"/>
      <c r="AG138" s="1912"/>
    </row>
    <row r="139">
      <c r="A139" s="1912"/>
      <c r="B139" s="12"/>
      <c r="C139" s="12"/>
      <c r="D139" s="12"/>
      <c r="E139" s="12"/>
      <c r="F139" s="12"/>
      <c r="G139" s="12"/>
      <c r="H139" s="383"/>
      <c r="I139" s="383"/>
      <c r="J139" s="1912"/>
      <c r="K139" s="1912"/>
      <c r="L139" s="1912"/>
      <c r="M139" s="1912"/>
      <c r="N139" s="1912"/>
      <c r="O139" s="1912"/>
      <c r="P139" s="1912"/>
      <c r="Q139" s="1912"/>
      <c r="R139" s="14"/>
      <c r="S139" s="1912"/>
      <c r="AB139" s="1912"/>
      <c r="AC139" s="1912"/>
      <c r="AD139" s="1912"/>
      <c r="AE139" s="1912"/>
      <c r="AF139" s="1912"/>
      <c r="AG139" s="1912"/>
    </row>
    <row r="140">
      <c r="A140" s="1912"/>
      <c r="B140" s="14" t="s">
        <v>2510</v>
      </c>
      <c r="D140" s="383" t="s">
        <v>2511</v>
      </c>
      <c r="E140" s="12"/>
      <c r="F140" s="12"/>
      <c r="G140" s="383"/>
      <c r="H140" s="1998"/>
      <c r="I140" s="1998"/>
      <c r="J140" s="1912"/>
      <c r="K140" s="1912"/>
      <c r="L140" s="1912"/>
      <c r="M140" s="1912"/>
      <c r="N140" s="1912"/>
      <c r="O140" s="1912"/>
      <c r="P140" s="1912"/>
      <c r="Q140" s="1912"/>
      <c r="R140" s="14"/>
      <c r="S140" s="1912"/>
      <c r="AB140" s="1912"/>
      <c r="AC140" s="1912"/>
      <c r="AD140" s="1912"/>
      <c r="AE140" s="1912"/>
      <c r="AF140" s="1912"/>
      <c r="AG140" s="1912"/>
    </row>
    <row r="141">
      <c r="A141" s="1912"/>
      <c r="B141" s="13" t="str">
        <f>IF('Персонаж'!$L$4="Мужчина", "Свежий и чистый", "Свежая и чистая")</f>
        <v>Свежий и чистый</v>
      </c>
      <c r="D141" s="13">
        <v>1.0</v>
      </c>
      <c r="E141" s="12"/>
      <c r="F141" s="12"/>
      <c r="G141" s="12"/>
      <c r="H141" s="12"/>
      <c r="I141" s="12"/>
      <c r="J141" s="1912"/>
      <c r="K141" s="1912"/>
      <c r="L141" s="1912"/>
      <c r="M141" s="1912"/>
      <c r="N141" s="1912"/>
      <c r="O141" s="1912"/>
      <c r="P141" s="1912"/>
      <c r="Q141" s="1912"/>
      <c r="R141" s="14"/>
      <c r="S141" s="1912"/>
      <c r="AB141" s="1912"/>
      <c r="AC141" s="1912"/>
      <c r="AD141" s="1912"/>
      <c r="AE141" s="1912"/>
      <c r="AF141" s="1912"/>
      <c r="AG141" s="1912"/>
    </row>
    <row r="142">
      <c r="A142" s="1912"/>
      <c r="B142" s="13" t="str">
        <f>IF('Персонаж'!$L$4="Мужчина", "Не мылся две недели", "Не мылась две недели")</f>
        <v>Не мылся две недели</v>
      </c>
      <c r="D142" s="13">
        <v>-1.0</v>
      </c>
      <c r="E142" s="12"/>
      <c r="F142" s="12"/>
      <c r="G142" s="12"/>
      <c r="H142" s="12"/>
      <c r="I142" s="12"/>
      <c r="J142" s="1912"/>
      <c r="K142" s="1912"/>
      <c r="L142" s="1912"/>
      <c r="M142" s="1912"/>
      <c r="N142" s="1912"/>
      <c r="O142" s="1912"/>
      <c r="P142" s="1912"/>
      <c r="Q142" s="1912"/>
      <c r="R142" s="14"/>
      <c r="S142" s="1912"/>
      <c r="AB142" s="1912"/>
      <c r="AC142" s="1912"/>
      <c r="AD142" s="1912"/>
      <c r="AE142" s="1912"/>
      <c r="AF142" s="1912"/>
      <c r="AG142" s="1912"/>
    </row>
    <row r="143">
      <c r="A143" s="1912"/>
      <c r="B143" s="13" t="str">
        <f>IF('Персонаж'!$L$4="Мужчина", "Не мылся два месяца", "Не мылась два месяца")</f>
        <v>Не мылся два месяца</v>
      </c>
      <c r="D143" s="13">
        <v>-2.0</v>
      </c>
      <c r="E143" s="12"/>
      <c r="F143" s="12"/>
      <c r="G143" s="12"/>
      <c r="H143" s="12"/>
      <c r="I143" s="12"/>
      <c r="J143" s="1912"/>
      <c r="K143" s="1912"/>
      <c r="L143" s="1912"/>
      <c r="M143" s="1912"/>
      <c r="N143" s="1912"/>
      <c r="O143" s="1912"/>
      <c r="P143" s="1912"/>
      <c r="Q143" s="1912"/>
      <c r="R143" s="14"/>
      <c r="S143" s="1912"/>
      <c r="AB143" s="1912"/>
      <c r="AC143" s="1912"/>
      <c r="AD143" s="1912"/>
      <c r="AE143" s="1912"/>
      <c r="AF143" s="1912"/>
      <c r="AG143" s="1912"/>
    </row>
    <row r="144">
      <c r="A144" s="1912"/>
      <c r="B144" s="13" t="str">
        <f>IF('Персонаж'!$L$4="Мужчина", "Весь в крови и грязи", "Вся в крови и грязи")</f>
        <v>Весь в крови и грязи</v>
      </c>
      <c r="D144" s="13">
        <v>-3.0</v>
      </c>
      <c r="E144" s="12"/>
      <c r="F144" s="12"/>
      <c r="G144" s="12"/>
      <c r="H144" s="12"/>
      <c r="I144" s="12"/>
      <c r="J144" s="1912"/>
      <c r="K144" s="1912"/>
      <c r="L144" s="1912"/>
      <c r="M144" s="1912"/>
      <c r="N144" s="1912"/>
      <c r="O144" s="1912"/>
      <c r="P144" s="1912"/>
      <c r="Q144" s="1912"/>
      <c r="R144" s="14"/>
      <c r="S144" s="1912"/>
      <c r="AB144" s="1912"/>
      <c r="AC144" s="1912"/>
      <c r="AD144" s="1912"/>
      <c r="AE144" s="1912"/>
      <c r="AF144" s="1912"/>
      <c r="AG144" s="1912"/>
    </row>
    <row r="145">
      <c r="A145" s="1912"/>
      <c r="B145" s="12"/>
      <c r="C145" s="12"/>
      <c r="D145" s="12"/>
      <c r="E145" s="12"/>
      <c r="F145" s="12"/>
      <c r="G145" s="12"/>
      <c r="H145" s="12"/>
      <c r="I145" s="12"/>
      <c r="J145" s="1912"/>
      <c r="K145" s="1912"/>
      <c r="L145" s="1912"/>
      <c r="M145" s="1912"/>
      <c r="N145" s="1912"/>
      <c r="O145" s="1912"/>
      <c r="P145" s="1912"/>
      <c r="Q145" s="1912"/>
      <c r="R145" s="1"/>
      <c r="S145" s="1912"/>
      <c r="AB145" s="1912"/>
      <c r="AC145" s="1912"/>
      <c r="AD145" s="1912"/>
      <c r="AE145" s="1912"/>
      <c r="AF145" s="1912"/>
      <c r="AG145" s="1912"/>
    </row>
    <row r="146">
      <c r="A146" s="1912"/>
      <c r="B146" s="23"/>
      <c r="D146" s="383" t="s">
        <v>2512</v>
      </c>
      <c r="E146" s="12"/>
      <c r="F146" s="12"/>
      <c r="G146" s="12"/>
      <c r="H146" s="12"/>
      <c r="I146" s="12"/>
      <c r="J146" s="1912"/>
      <c r="K146" s="1912"/>
      <c r="L146" s="1912"/>
      <c r="M146" s="1912"/>
      <c r="N146" s="1912"/>
      <c r="O146" s="1912"/>
      <c r="P146" s="1912"/>
      <c r="Q146" s="1912"/>
      <c r="R146" s="12"/>
      <c r="S146" s="1912"/>
      <c r="AB146" s="1912"/>
      <c r="AC146" s="1912"/>
      <c r="AD146" s="1912"/>
      <c r="AE146" s="1912"/>
      <c r="AF146" s="1912"/>
      <c r="AG146" s="1912"/>
    </row>
    <row r="147">
      <c r="A147" s="1912"/>
      <c r="B147" s="23" t="s">
        <v>2503</v>
      </c>
      <c r="D147" s="383">
        <v>2.0</v>
      </c>
      <c r="E147" s="12"/>
      <c r="F147" s="12"/>
      <c r="G147" s="12"/>
      <c r="H147" s="12"/>
      <c r="I147" s="12"/>
      <c r="J147" s="1912"/>
      <c r="K147" s="1912"/>
      <c r="L147" s="1912"/>
      <c r="M147" s="1912"/>
      <c r="N147" s="1912"/>
      <c r="O147" s="1912"/>
      <c r="P147" s="1912"/>
      <c r="Q147" s="1912"/>
      <c r="R147" s="12"/>
      <c r="S147" s="1912"/>
      <c r="AB147" s="1912"/>
      <c r="AC147" s="1912"/>
      <c r="AD147" s="1912"/>
      <c r="AE147" s="1912"/>
      <c r="AF147" s="1912"/>
      <c r="AG147" s="1912"/>
    </row>
    <row r="148">
      <c r="A148" s="1912"/>
      <c r="B148" s="23" t="s">
        <v>14</v>
      </c>
      <c r="D148" s="383">
        <v>3.0</v>
      </c>
      <c r="E148" s="12"/>
      <c r="F148" s="12"/>
      <c r="G148" s="12"/>
      <c r="H148" s="12"/>
      <c r="I148" s="12"/>
      <c r="J148" s="1912"/>
      <c r="K148" s="1912"/>
      <c r="L148" s="1912"/>
      <c r="M148" s="1912"/>
      <c r="N148" s="1912"/>
      <c r="O148" s="1912"/>
      <c r="P148" s="1912"/>
      <c r="Q148" s="1912"/>
      <c r="R148" s="12"/>
      <c r="S148" s="1912"/>
      <c r="AB148" s="1912"/>
      <c r="AC148" s="1912"/>
      <c r="AD148" s="1912"/>
      <c r="AE148" s="1912"/>
      <c r="AF148" s="1912"/>
      <c r="AG148" s="1912"/>
    </row>
    <row r="149">
      <c r="A149" s="1912"/>
      <c r="B149" s="23" t="s">
        <v>2504</v>
      </c>
      <c r="D149" s="383">
        <v>3.0</v>
      </c>
      <c r="E149" s="12"/>
      <c r="F149" s="12"/>
      <c r="G149" s="12"/>
      <c r="H149" s="12"/>
      <c r="I149" s="12"/>
      <c r="J149" s="1912"/>
      <c r="K149" s="1912"/>
      <c r="L149" s="1912"/>
      <c r="M149" s="1912"/>
      <c r="N149" s="1912"/>
      <c r="O149" s="1912"/>
      <c r="P149" s="1912"/>
      <c r="Q149" s="1912"/>
      <c r="R149" s="12"/>
      <c r="S149" s="1912"/>
      <c r="AB149" s="1912"/>
      <c r="AC149" s="1912"/>
      <c r="AD149" s="1912"/>
      <c r="AE149" s="1912"/>
      <c r="AF149" s="1912"/>
      <c r="AG149" s="1912"/>
    </row>
    <row r="150">
      <c r="A150" s="1912"/>
      <c r="B150" s="23" t="s">
        <v>2505</v>
      </c>
      <c r="D150" s="383">
        <v>3.0</v>
      </c>
      <c r="E150" s="12"/>
      <c r="F150" s="12"/>
      <c r="G150" s="12"/>
      <c r="H150" s="12"/>
      <c r="I150" s="12"/>
      <c r="J150" s="1912"/>
      <c r="K150" s="1912"/>
      <c r="L150" s="1912"/>
      <c r="M150" s="1912"/>
      <c r="N150" s="1912"/>
      <c r="O150" s="1912"/>
      <c r="P150" s="1912"/>
      <c r="Q150" s="1912"/>
      <c r="R150" s="12"/>
      <c r="S150" s="1912"/>
      <c r="AB150" s="1912"/>
      <c r="AC150" s="1912"/>
      <c r="AD150" s="1912"/>
      <c r="AE150" s="1912"/>
      <c r="AF150" s="1912"/>
      <c r="AG150" s="1912"/>
    </row>
    <row r="151">
      <c r="A151" s="1912"/>
      <c r="B151" s="13" t="s">
        <v>2506</v>
      </c>
      <c r="D151" s="13">
        <v>5.0</v>
      </c>
      <c r="E151" s="12"/>
      <c r="F151" s="12"/>
      <c r="G151" s="12"/>
      <c r="H151" s="12"/>
      <c r="I151" s="12"/>
      <c r="J151" s="1912"/>
      <c r="K151" s="1912"/>
      <c r="L151" s="1912"/>
      <c r="M151" s="1912"/>
      <c r="N151" s="1912"/>
      <c r="O151" s="1912"/>
      <c r="P151" s="1912"/>
      <c r="Q151" s="1912"/>
      <c r="R151" s="12"/>
      <c r="S151" s="1912"/>
      <c r="AB151" s="1912"/>
      <c r="AC151" s="1912"/>
      <c r="AD151" s="1912"/>
      <c r="AE151" s="1912"/>
      <c r="AF151" s="1912"/>
      <c r="AG151" s="1912"/>
    </row>
    <row r="152">
      <c r="A152" s="1912"/>
      <c r="B152" s="12"/>
      <c r="C152" s="12"/>
      <c r="D152" s="12"/>
      <c r="E152" s="12"/>
      <c r="F152" s="12"/>
      <c r="G152" s="12"/>
      <c r="H152" s="12"/>
      <c r="I152" s="12"/>
      <c r="J152" s="1912"/>
      <c r="K152" s="1912"/>
      <c r="L152" s="1912"/>
      <c r="M152" s="1912"/>
      <c r="N152" s="1912"/>
      <c r="O152" s="1912"/>
      <c r="P152" s="1912"/>
      <c r="Q152" s="1912"/>
      <c r="R152" s="12"/>
      <c r="S152" s="1912"/>
      <c r="AB152" s="1912"/>
      <c r="AC152" s="1912"/>
      <c r="AD152" s="1912"/>
      <c r="AE152" s="1912"/>
      <c r="AF152" s="1912"/>
      <c r="AG152" s="1912"/>
    </row>
    <row r="153">
      <c r="A153" s="1912"/>
      <c r="B153" s="13" t="s">
        <v>2513</v>
      </c>
      <c r="D153" s="13" t="s">
        <v>2514</v>
      </c>
      <c r="E153" s="12"/>
      <c r="F153" s="12"/>
      <c r="G153" s="12"/>
      <c r="H153" s="12"/>
      <c r="I153" s="12"/>
      <c r="J153" s="1912"/>
      <c r="K153" s="1912"/>
      <c r="L153" s="1912"/>
      <c r="M153" s="1912"/>
      <c r="N153" s="1912"/>
      <c r="O153" s="1912"/>
      <c r="P153" s="1912"/>
      <c r="Q153" s="1912"/>
      <c r="R153" s="383"/>
      <c r="S153" s="1912"/>
      <c r="AB153" s="1912"/>
      <c r="AC153" s="1912"/>
      <c r="AD153" s="1912"/>
      <c r="AE153" s="1912"/>
      <c r="AF153" s="1912"/>
      <c r="AG153" s="1912"/>
    </row>
    <row r="154">
      <c r="A154" s="1912"/>
      <c r="B154" s="1999" t="s">
        <v>206</v>
      </c>
      <c r="D154" s="13">
        <v>4.0</v>
      </c>
      <c r="E154" s="12"/>
      <c r="F154" s="12"/>
      <c r="G154" s="12"/>
      <c r="H154" s="12"/>
      <c r="I154" s="12"/>
      <c r="J154" s="1912"/>
      <c r="K154" s="1912"/>
      <c r="L154" s="1912"/>
      <c r="M154" s="1912"/>
      <c r="N154" s="1912"/>
      <c r="O154" s="1912"/>
      <c r="P154" s="1912"/>
      <c r="Q154" s="1912"/>
      <c r="R154" s="1998"/>
      <c r="S154" s="1912"/>
      <c r="AB154" s="1912"/>
      <c r="AC154" s="1912"/>
      <c r="AD154" s="1912"/>
      <c r="AE154" s="1912"/>
      <c r="AF154" s="1912"/>
      <c r="AG154" s="1912"/>
    </row>
    <row r="155">
      <c r="A155" s="1912"/>
      <c r="B155" s="1999" t="s">
        <v>1127</v>
      </c>
      <c r="D155" s="13">
        <v>3.5</v>
      </c>
      <c r="E155" s="12"/>
      <c r="F155" s="12"/>
      <c r="G155" s="12"/>
      <c r="H155" s="12"/>
      <c r="I155" s="12"/>
      <c r="J155" s="1912"/>
      <c r="K155" s="1912"/>
      <c r="L155" s="1912"/>
      <c r="M155" s="1912"/>
      <c r="N155" s="1912"/>
      <c r="O155" s="1912"/>
      <c r="P155" s="1912"/>
      <c r="Q155" s="1912"/>
      <c r="R155" s="12"/>
      <c r="S155" s="1912"/>
      <c r="AB155" s="1912"/>
      <c r="AC155" s="1912"/>
      <c r="AD155" s="1912"/>
      <c r="AE155" s="1912"/>
      <c r="AF155" s="1912"/>
      <c r="AG155" s="1912"/>
    </row>
    <row r="156">
      <c r="A156" s="1912"/>
      <c r="B156" s="1999" t="s">
        <v>119</v>
      </c>
      <c r="D156" s="13">
        <v>3.0</v>
      </c>
      <c r="E156" s="12"/>
      <c r="F156" s="12"/>
      <c r="G156" s="12"/>
      <c r="H156" s="12"/>
      <c r="I156" s="12"/>
      <c r="J156" s="1912"/>
      <c r="K156" s="1912"/>
      <c r="L156" s="1912"/>
      <c r="M156" s="1912"/>
      <c r="N156" s="1912"/>
      <c r="O156" s="1912"/>
      <c r="P156" s="1912"/>
      <c r="Q156" s="1912"/>
      <c r="R156" s="12"/>
      <c r="S156" s="1912"/>
      <c r="AB156" s="1912"/>
      <c r="AC156" s="1912"/>
      <c r="AD156" s="1912"/>
      <c r="AE156" s="1912"/>
      <c r="AF156" s="1912"/>
      <c r="AG156" s="1912"/>
    </row>
    <row r="157">
      <c r="A157" s="1912"/>
      <c r="B157" s="1999" t="s">
        <v>1131</v>
      </c>
      <c r="D157" s="13">
        <v>2.5</v>
      </c>
      <c r="E157" s="12"/>
      <c r="F157" s="12"/>
      <c r="G157" s="12"/>
      <c r="H157" s="12"/>
      <c r="I157" s="12"/>
      <c r="J157" s="1912"/>
      <c r="K157" s="1912"/>
      <c r="L157" s="1912"/>
      <c r="M157" s="1912"/>
      <c r="N157" s="1912"/>
      <c r="O157" s="1912"/>
      <c r="P157" s="1912"/>
      <c r="Q157" s="1912"/>
      <c r="R157" s="12"/>
      <c r="S157" s="1912"/>
      <c r="AB157" s="1912"/>
      <c r="AC157" s="1912"/>
      <c r="AD157" s="1912"/>
      <c r="AE157" s="1912"/>
      <c r="AF157" s="1912"/>
      <c r="AG157" s="1912"/>
    </row>
    <row r="158">
      <c r="A158" s="1912"/>
      <c r="B158" s="2000" t="s">
        <v>1134</v>
      </c>
      <c r="D158" s="13">
        <v>2.0</v>
      </c>
      <c r="E158" s="12"/>
      <c r="F158" s="12"/>
      <c r="G158" s="12"/>
      <c r="H158" s="12"/>
      <c r="I158" s="12"/>
      <c r="J158" s="1912"/>
      <c r="K158" s="1912"/>
      <c r="L158" s="1912"/>
      <c r="M158" s="1912"/>
      <c r="N158" s="1912"/>
      <c r="O158" s="1912"/>
      <c r="P158" s="1912"/>
      <c r="Q158" s="1912"/>
      <c r="R158" s="12"/>
      <c r="S158" s="1912"/>
      <c r="AB158" s="1912"/>
      <c r="AC158" s="1912"/>
      <c r="AD158" s="1912"/>
      <c r="AE158" s="1912"/>
      <c r="AF158" s="1912"/>
      <c r="AG158" s="1912"/>
    </row>
    <row r="159">
      <c r="A159" s="1912"/>
      <c r="B159" s="12"/>
      <c r="C159" s="12"/>
      <c r="D159" s="12"/>
      <c r="E159" s="12"/>
      <c r="F159" s="12"/>
      <c r="G159" s="12"/>
      <c r="H159" s="12"/>
      <c r="I159" s="12"/>
      <c r="J159" s="1912"/>
      <c r="K159" s="1912"/>
      <c r="L159" s="1912"/>
      <c r="M159" s="1912"/>
      <c r="N159" s="1912"/>
      <c r="O159" s="1912"/>
      <c r="P159" s="1912"/>
      <c r="Q159" s="1912"/>
      <c r="R159" s="12"/>
      <c r="S159" s="1912"/>
      <c r="AB159" s="1912"/>
      <c r="AC159" s="1912"/>
      <c r="AD159" s="1912"/>
      <c r="AE159" s="1912"/>
      <c r="AF159" s="1912"/>
      <c r="AG159" s="1912"/>
    </row>
    <row r="160">
      <c r="A160" s="1912"/>
      <c r="B160" s="13" t="s">
        <v>192</v>
      </c>
      <c r="C160" s="12"/>
      <c r="D160" s="12"/>
      <c r="E160" s="12"/>
      <c r="F160" s="12"/>
      <c r="G160" s="12"/>
      <c r="H160" s="12"/>
      <c r="I160" s="12"/>
      <c r="J160" s="1912"/>
      <c r="K160" s="1912"/>
      <c r="L160" s="1912"/>
      <c r="M160" s="1912"/>
      <c r="N160" s="1912"/>
      <c r="O160" s="1912"/>
      <c r="P160" s="1912"/>
      <c r="Q160" s="1912"/>
      <c r="R160" s="12"/>
      <c r="S160" s="1912"/>
      <c r="AB160" s="1912"/>
      <c r="AC160" s="1912"/>
      <c r="AD160" s="1912"/>
      <c r="AE160" s="1912"/>
      <c r="AF160" s="1912"/>
      <c r="AG160" s="1912"/>
    </row>
    <row r="161">
      <c r="A161" s="1912"/>
      <c r="B161" s="69" t="s">
        <v>2447</v>
      </c>
      <c r="C161" s="123">
        <v>0.0</v>
      </c>
      <c r="D161" s="123">
        <v>1.0</v>
      </c>
      <c r="E161" s="123">
        <v>2.0</v>
      </c>
      <c r="F161" s="123">
        <v>3.0</v>
      </c>
      <c r="G161" s="123">
        <v>4.0</v>
      </c>
      <c r="H161" s="123">
        <v>5.0</v>
      </c>
      <c r="I161" s="2001">
        <v>6.0</v>
      </c>
      <c r="J161" s="1912"/>
      <c r="K161" s="1912"/>
      <c r="L161" s="1912"/>
      <c r="M161" s="1912"/>
      <c r="N161" s="1912"/>
      <c r="O161" s="1912"/>
      <c r="P161" s="1912"/>
      <c r="Q161" s="1912"/>
      <c r="R161" s="12"/>
      <c r="S161" s="1912"/>
      <c r="AB161" s="1912"/>
      <c r="AC161" s="1912"/>
      <c r="AD161" s="1912"/>
      <c r="AE161" s="1912"/>
      <c r="AF161" s="1912"/>
      <c r="AG161" s="1912"/>
    </row>
    <row r="162">
      <c r="A162" s="1912"/>
      <c r="B162" s="79" t="s">
        <v>1117</v>
      </c>
      <c r="C162" s="13">
        <v>0.0</v>
      </c>
      <c r="D162" s="13">
        <v>1.0</v>
      </c>
      <c r="E162" s="13">
        <v>1.0</v>
      </c>
      <c r="F162" s="13">
        <v>2.0</v>
      </c>
      <c r="G162" s="13">
        <v>2.0</v>
      </c>
      <c r="H162" s="13">
        <v>3.0</v>
      </c>
      <c r="I162" s="1984">
        <v>4.0</v>
      </c>
      <c r="J162" s="1912"/>
      <c r="K162" s="1912"/>
      <c r="L162" s="1912"/>
      <c r="M162" s="1912"/>
      <c r="N162" s="1912"/>
      <c r="O162" s="1912"/>
      <c r="P162" s="1912"/>
      <c r="Q162" s="1912"/>
      <c r="R162" s="12"/>
      <c r="S162" s="1912"/>
      <c r="AB162" s="1912"/>
      <c r="AC162" s="1912"/>
      <c r="AD162" s="1912"/>
      <c r="AE162" s="1912"/>
      <c r="AF162" s="1912"/>
      <c r="AG162" s="1912"/>
    </row>
    <row r="163">
      <c r="A163" s="1912"/>
      <c r="B163" s="84" t="s">
        <v>2420</v>
      </c>
      <c r="C163" s="1991">
        <v>0.0</v>
      </c>
      <c r="D163" s="1991">
        <v>1.0</v>
      </c>
      <c r="E163" s="1991">
        <v>1.0</v>
      </c>
      <c r="F163" s="1991">
        <v>2.0</v>
      </c>
      <c r="G163" s="1991">
        <v>2.0</v>
      </c>
      <c r="H163" s="1991">
        <v>3.0</v>
      </c>
      <c r="I163" s="1992">
        <v>4.0</v>
      </c>
      <c r="J163" s="1912"/>
      <c r="K163" s="1912"/>
      <c r="L163" s="1912"/>
      <c r="M163" s="1912"/>
      <c r="N163" s="1912"/>
      <c r="O163" s="1912"/>
      <c r="P163" s="1912"/>
      <c r="Q163" s="1912"/>
      <c r="R163" s="12"/>
      <c r="S163" s="1912"/>
      <c r="AB163" s="1912"/>
      <c r="AC163" s="1912"/>
      <c r="AD163" s="1912"/>
      <c r="AE163" s="1912"/>
      <c r="AF163" s="1912"/>
      <c r="AG163" s="1912"/>
    </row>
    <row r="164">
      <c r="A164" s="1912"/>
      <c r="B164" s="12"/>
      <c r="C164" s="12"/>
      <c r="D164" s="12"/>
      <c r="E164" s="12"/>
      <c r="F164" s="12"/>
      <c r="G164" s="12"/>
      <c r="H164" s="12"/>
      <c r="I164" s="12"/>
      <c r="J164" s="1912"/>
      <c r="K164" s="1912"/>
      <c r="L164" s="1912"/>
      <c r="M164" s="1912"/>
      <c r="N164" s="1912"/>
      <c r="O164" s="1912"/>
      <c r="P164" s="1912"/>
      <c r="Q164" s="1912"/>
      <c r="R164" s="12"/>
      <c r="S164" s="1912"/>
      <c r="AB164" s="1912"/>
      <c r="AC164" s="1912"/>
      <c r="AD164" s="1912"/>
      <c r="AE164" s="1912"/>
      <c r="AF164" s="1912"/>
      <c r="AG164" s="1912"/>
    </row>
    <row r="165">
      <c r="A165" s="1912"/>
      <c r="B165" s="29" t="s">
        <v>134</v>
      </c>
      <c r="C165" s="383" t="s">
        <v>2515</v>
      </c>
      <c r="D165" s="383" t="s">
        <v>3</v>
      </c>
      <c r="E165" s="12"/>
      <c r="F165" s="12"/>
      <c r="G165" s="12"/>
      <c r="H165" s="12"/>
      <c r="I165" s="12"/>
      <c r="J165" s="1912"/>
      <c r="K165" s="1912"/>
      <c r="L165" s="1912"/>
      <c r="M165" s="1912"/>
      <c r="N165" s="1912"/>
      <c r="O165" s="1912"/>
      <c r="P165" s="1912"/>
      <c r="Q165" s="1912"/>
      <c r="R165" s="12"/>
      <c r="S165" s="1912"/>
      <c r="AB165" s="1912"/>
      <c r="AC165" s="1912"/>
      <c r="AD165" s="1912"/>
      <c r="AE165" s="1912"/>
      <c r="AF165" s="1912"/>
      <c r="AG165" s="1912"/>
    </row>
    <row r="166">
      <c r="A166" s="1912"/>
      <c r="B166" s="270" t="s">
        <v>133</v>
      </c>
      <c r="C166" s="123">
        <v>0.0</v>
      </c>
      <c r="D166" s="2002">
        <v>0.0</v>
      </c>
      <c r="E166" s="12"/>
      <c r="F166" s="12"/>
      <c r="G166" s="12"/>
      <c r="H166" s="12"/>
      <c r="I166" s="12"/>
      <c r="J166" s="1912"/>
      <c r="K166" s="1912"/>
      <c r="L166" s="1912"/>
      <c r="M166" s="1912"/>
      <c r="N166" s="1912"/>
      <c r="O166" s="1912"/>
      <c r="P166" s="1912"/>
      <c r="Q166" s="1912"/>
      <c r="R166" s="1912"/>
      <c r="S166" s="1912"/>
      <c r="AB166" s="1912"/>
      <c r="AC166" s="1912"/>
      <c r="AD166" s="1912"/>
      <c r="AE166" s="1912"/>
      <c r="AF166" s="1912"/>
      <c r="AG166" s="1912"/>
    </row>
    <row r="167">
      <c r="A167" s="1912"/>
      <c r="B167" s="278" t="s">
        <v>1211</v>
      </c>
      <c r="C167" s="13">
        <v>1.0</v>
      </c>
      <c r="D167" s="2003">
        <v>0.2</v>
      </c>
      <c r="E167" s="12"/>
      <c r="F167" s="12"/>
      <c r="G167" s="12"/>
      <c r="H167" s="12"/>
      <c r="I167" s="12"/>
      <c r="J167" s="1912"/>
      <c r="K167" s="1912"/>
      <c r="L167" s="1912"/>
      <c r="M167" s="1912"/>
      <c r="N167" s="1912"/>
      <c r="O167" s="1912"/>
      <c r="P167" s="1912"/>
      <c r="Q167" s="1912"/>
      <c r="R167" s="1912"/>
      <c r="S167" s="1912"/>
      <c r="AB167" s="1912"/>
      <c r="AC167" s="1912"/>
      <c r="AD167" s="1912"/>
      <c r="AE167" s="1912"/>
      <c r="AF167" s="1912"/>
      <c r="AG167" s="1912"/>
    </row>
    <row r="168">
      <c r="A168" s="1912"/>
      <c r="B168" s="278" t="s">
        <v>1212</v>
      </c>
      <c r="C168" s="13">
        <v>2.0</v>
      </c>
      <c r="D168" s="2003">
        <v>0.4</v>
      </c>
      <c r="E168" s="12"/>
      <c r="F168" s="12"/>
      <c r="G168" s="12"/>
      <c r="H168" s="12"/>
      <c r="I168" s="12"/>
      <c r="J168" s="1912"/>
      <c r="K168" s="1912"/>
      <c r="L168" s="1912"/>
      <c r="M168" s="1912"/>
      <c r="N168" s="1912"/>
      <c r="O168" s="1912"/>
      <c r="P168" s="1912"/>
      <c r="Q168" s="1912"/>
      <c r="R168" s="1912"/>
      <c r="S168" s="1912"/>
      <c r="AB168" s="1912"/>
      <c r="AC168" s="1912"/>
      <c r="AD168" s="1912"/>
      <c r="AE168" s="1912"/>
      <c r="AF168" s="1912"/>
      <c r="AG168" s="1912"/>
    </row>
    <row r="169">
      <c r="A169" s="1912"/>
      <c r="B169" s="285" t="s">
        <v>1213</v>
      </c>
      <c r="C169" s="1991">
        <v>3.0</v>
      </c>
      <c r="D169" s="2004">
        <v>0.6</v>
      </c>
      <c r="E169" s="12"/>
      <c r="F169" s="12"/>
      <c r="G169" s="12"/>
      <c r="H169" s="12"/>
      <c r="I169" s="12"/>
      <c r="J169" s="1912"/>
      <c r="K169" s="1912"/>
      <c r="L169" s="1912"/>
      <c r="M169" s="1912"/>
      <c r="N169" s="1912"/>
      <c r="O169" s="1912"/>
      <c r="P169" s="1912"/>
      <c r="Q169" s="1912"/>
      <c r="R169" s="1912"/>
      <c r="S169" s="1912"/>
      <c r="AB169" s="1912"/>
      <c r="AC169" s="1912"/>
      <c r="AD169" s="1912"/>
      <c r="AE169" s="1912"/>
      <c r="AF169" s="1912"/>
      <c r="AG169" s="1912"/>
    </row>
    <row r="170">
      <c r="A170" s="1912"/>
      <c r="B170" s="12"/>
      <c r="C170" s="12"/>
      <c r="D170" s="12"/>
      <c r="E170" s="12"/>
      <c r="F170" s="12"/>
      <c r="G170" s="12"/>
      <c r="H170" s="12"/>
      <c r="I170" s="12"/>
      <c r="J170" s="1912"/>
      <c r="K170" s="1912"/>
      <c r="L170" s="1912"/>
      <c r="M170" s="1912"/>
      <c r="N170" s="1912"/>
      <c r="O170" s="1912"/>
      <c r="P170" s="1912"/>
      <c r="Q170" s="1912"/>
      <c r="R170" s="1912"/>
      <c r="S170" s="1912"/>
      <c r="AB170" s="1912"/>
      <c r="AC170" s="1912"/>
      <c r="AD170" s="1912"/>
      <c r="AE170" s="1912"/>
      <c r="AF170" s="1912"/>
      <c r="AG170" s="1912"/>
    </row>
    <row r="171">
      <c r="A171" s="1912"/>
      <c r="B171" s="12"/>
      <c r="C171" s="12"/>
      <c r="D171" s="12"/>
      <c r="E171" s="12"/>
      <c r="F171" s="12"/>
      <c r="G171" s="12"/>
      <c r="H171" s="12"/>
      <c r="I171" s="12"/>
      <c r="J171" s="1912"/>
      <c r="K171" s="1912"/>
      <c r="L171" s="1912"/>
      <c r="M171" s="1912"/>
      <c r="N171" s="1912"/>
      <c r="O171" s="1912"/>
      <c r="P171" s="1912"/>
      <c r="Q171" s="1912"/>
      <c r="R171" s="1912"/>
      <c r="S171" s="1912"/>
      <c r="AB171" s="1912"/>
      <c r="AC171" s="1912"/>
      <c r="AD171" s="1912"/>
      <c r="AE171" s="1912"/>
      <c r="AF171" s="1912"/>
      <c r="AG171" s="1912"/>
    </row>
    <row r="172">
      <c r="A172" s="1912"/>
      <c r="B172" s="12"/>
      <c r="C172" s="13" t="s">
        <v>2516</v>
      </c>
      <c r="E172" s="96" t="s">
        <v>2517</v>
      </c>
      <c r="F172" s="96" t="s">
        <v>2518</v>
      </c>
      <c r="G172" s="12"/>
      <c r="H172" s="12"/>
      <c r="I172" s="12"/>
      <c r="J172" s="1912"/>
      <c r="K172" s="1912"/>
      <c r="L172" s="1912"/>
      <c r="M172" s="1912"/>
      <c r="N172" s="1912"/>
      <c r="O172" s="1912"/>
      <c r="P172" s="1912"/>
      <c r="Q172" s="1912"/>
      <c r="R172" s="1912"/>
      <c r="S172" s="1912"/>
      <c r="AB172" s="1912"/>
      <c r="AC172" s="1912"/>
      <c r="AD172" s="1912"/>
      <c r="AE172" s="1912"/>
      <c r="AF172" s="1912"/>
      <c r="AG172" s="1912"/>
    </row>
    <row r="173">
      <c r="A173" s="1912"/>
      <c r="B173" s="2005" t="s">
        <v>2463</v>
      </c>
      <c r="C173" s="2006" t="s">
        <v>2519</v>
      </c>
      <c r="D173" s="2006"/>
      <c r="E173" s="2007">
        <v>0.02</v>
      </c>
      <c r="F173" s="2008">
        <f>IFERROR(VLOOKUP(B173,'Персонаж'!$N$63:$P$64,2,FALSE),0)</f>
        <v>0</v>
      </c>
      <c r="G173" s="2009">
        <f t="shared" ref="G173:G177" si="6">E173*F173</f>
        <v>0</v>
      </c>
      <c r="H173" s="12"/>
      <c r="I173" s="12"/>
      <c r="J173" s="1912"/>
      <c r="K173" s="1912"/>
      <c r="L173" s="1912"/>
      <c r="M173" s="1912"/>
      <c r="N173" s="1912"/>
      <c r="O173" s="1912"/>
      <c r="P173" s="1912"/>
      <c r="Q173" s="1912"/>
      <c r="R173" s="1912"/>
      <c r="S173" s="1912"/>
      <c r="AB173" s="1912"/>
      <c r="AC173" s="1912"/>
      <c r="AD173" s="1912"/>
      <c r="AE173" s="1912"/>
      <c r="AF173" s="1912"/>
      <c r="AG173" s="1912"/>
    </row>
    <row r="174">
      <c r="A174" s="1912"/>
      <c r="B174" s="2010" t="s">
        <v>258</v>
      </c>
      <c r="C174" s="2011" t="s">
        <v>2520</v>
      </c>
      <c r="D174" s="2011"/>
      <c r="E174" s="2012">
        <v>0.02</v>
      </c>
      <c r="F174" s="2013">
        <f>IFERROR(VLOOKUP(B174,'Персонаж'!$N$63:$P$64,2,FALSE),0)</f>
        <v>2</v>
      </c>
      <c r="G174" s="2009">
        <f t="shared" si="6"/>
        <v>0.04</v>
      </c>
      <c r="H174" s="12"/>
      <c r="I174" s="12"/>
      <c r="J174" s="1912"/>
      <c r="K174" s="1912"/>
      <c r="L174" s="1912"/>
      <c r="M174" s="1912"/>
      <c r="N174" s="1912"/>
      <c r="O174" s="1912"/>
      <c r="P174" s="1912"/>
      <c r="Q174" s="1912"/>
      <c r="R174" s="1912"/>
      <c r="S174" s="1912"/>
      <c r="AB174" s="1912"/>
      <c r="AC174" s="1912"/>
      <c r="AD174" s="1912"/>
      <c r="AE174" s="1912"/>
      <c r="AF174" s="1912"/>
      <c r="AG174" s="1912"/>
    </row>
    <row r="175">
      <c r="A175" s="1912"/>
      <c r="B175" s="2014" t="s">
        <v>2466</v>
      </c>
      <c r="C175" s="2015" t="s">
        <v>2521</v>
      </c>
      <c r="D175" s="2015"/>
      <c r="E175" s="2016">
        <v>0.02</v>
      </c>
      <c r="F175" s="2017">
        <f>IFERROR(VLOOKUP(B175,'Персонаж'!$N$63:$P$64,2,FALSE),0)</f>
        <v>0</v>
      </c>
      <c r="G175" s="2009">
        <f t="shared" si="6"/>
        <v>0</v>
      </c>
      <c r="H175" s="12"/>
      <c r="I175" s="12"/>
      <c r="J175" s="1912"/>
      <c r="K175" s="1912"/>
      <c r="L175" s="1912"/>
      <c r="M175" s="1912"/>
      <c r="N175" s="1912"/>
      <c r="O175" s="1912"/>
      <c r="P175" s="1912"/>
      <c r="Q175" s="1912"/>
      <c r="R175" s="1912"/>
      <c r="S175" s="1912"/>
      <c r="AB175" s="1912"/>
      <c r="AC175" s="1912"/>
      <c r="AD175" s="1912"/>
      <c r="AE175" s="1912"/>
      <c r="AF175" s="1912"/>
      <c r="AG175" s="1912"/>
    </row>
    <row r="176">
      <c r="A176" s="1912"/>
      <c r="B176" s="2018" t="s">
        <v>2468</v>
      </c>
      <c r="C176" s="2019" t="s">
        <v>2522</v>
      </c>
      <c r="D176" s="2019"/>
      <c r="E176" s="2020">
        <v>0.04</v>
      </c>
      <c r="F176" s="2021">
        <f>IFERROR(VLOOKUP(B176,'Персонаж'!$N$63:$P$64,2,FALSE),0)</f>
        <v>0</v>
      </c>
      <c r="G176" s="2009">
        <f t="shared" si="6"/>
        <v>0</v>
      </c>
      <c r="H176" s="12"/>
      <c r="I176" s="12"/>
      <c r="J176" s="1912"/>
      <c r="K176" s="1912"/>
      <c r="L176" s="1912"/>
      <c r="M176" s="1912"/>
      <c r="N176" s="1912"/>
      <c r="O176" s="1912"/>
      <c r="P176" s="1912"/>
      <c r="Q176" s="1912"/>
      <c r="R176" s="1912"/>
      <c r="S176" s="1912"/>
      <c r="AB176" s="1912"/>
      <c r="AC176" s="1912"/>
      <c r="AD176" s="1912"/>
      <c r="AE176" s="1912"/>
      <c r="AF176" s="1912"/>
      <c r="AG176" s="1912"/>
    </row>
    <row r="177">
      <c r="A177" s="1912"/>
      <c r="B177" s="2022" t="s">
        <v>2470</v>
      </c>
      <c r="C177" s="2023" t="s">
        <v>2523</v>
      </c>
      <c r="D177" s="2023"/>
      <c r="E177" s="2024">
        <v>0.02</v>
      </c>
      <c r="F177" s="2025">
        <f>IFERROR(VLOOKUP(B177,'Персонаж'!$N$63:$P$64,2,FALSE),0)</f>
        <v>0</v>
      </c>
      <c r="G177" s="2009">
        <f t="shared" si="6"/>
        <v>0</v>
      </c>
      <c r="H177" s="12"/>
      <c r="I177" s="12"/>
      <c r="J177" s="1912"/>
      <c r="K177" s="1912"/>
      <c r="L177" s="1912"/>
      <c r="M177" s="1912"/>
      <c r="N177" s="1912"/>
      <c r="O177" s="1912"/>
      <c r="P177" s="1912"/>
      <c r="Q177" s="1912"/>
      <c r="R177" s="1912"/>
      <c r="S177" s="1912"/>
      <c r="AB177" s="1912"/>
      <c r="AC177" s="1912"/>
      <c r="AD177" s="1912"/>
      <c r="AE177" s="1912"/>
      <c r="AF177" s="1912"/>
      <c r="AG177" s="1912"/>
    </row>
    <row r="178">
      <c r="A178" s="1912"/>
      <c r="B178" s="1938" t="s">
        <v>30</v>
      </c>
      <c r="C178" s="1912"/>
      <c r="D178" s="1912"/>
      <c r="E178" s="1912"/>
      <c r="F178" s="1912"/>
      <c r="G178" s="1912"/>
      <c r="H178" s="1912"/>
      <c r="I178" s="1912"/>
      <c r="J178" s="1912"/>
      <c r="K178" s="1912"/>
      <c r="L178" s="1912"/>
      <c r="M178" s="1912"/>
      <c r="N178" s="1912"/>
      <c r="O178" s="1912"/>
      <c r="P178" s="1912"/>
      <c r="Q178" s="1912"/>
      <c r="R178" s="1912"/>
      <c r="S178" s="1912"/>
      <c r="AB178" s="1912"/>
      <c r="AC178" s="1912"/>
      <c r="AD178" s="1912"/>
      <c r="AE178" s="1912"/>
      <c r="AF178" s="1912"/>
      <c r="AG178" s="1912"/>
    </row>
    <row r="179">
      <c r="A179" s="1912"/>
      <c r="B179" s="1912"/>
      <c r="C179" s="1912"/>
      <c r="D179" s="1912"/>
      <c r="E179" s="1912"/>
      <c r="F179" s="1912"/>
      <c r="G179" s="1912"/>
      <c r="H179" s="1912"/>
      <c r="I179" s="1912"/>
      <c r="J179" s="1912"/>
      <c r="K179" s="1912"/>
      <c r="L179" s="1912"/>
      <c r="M179" s="1912"/>
      <c r="N179" s="1912"/>
      <c r="O179" s="1912"/>
      <c r="P179" s="1912"/>
      <c r="Q179" s="1912"/>
      <c r="R179" s="1912"/>
      <c r="S179" s="1912"/>
      <c r="AB179" s="1912"/>
      <c r="AC179" s="1912"/>
      <c r="AD179" s="1912"/>
      <c r="AE179" s="1912"/>
      <c r="AF179" s="1912"/>
      <c r="AG179" s="1912"/>
    </row>
    <row r="180">
      <c r="A180" s="1912"/>
      <c r="B180" s="403" t="s">
        <v>2524</v>
      </c>
      <c r="C180" s="1912"/>
      <c r="D180" s="1912"/>
      <c r="E180" s="1912"/>
      <c r="F180" s="1912"/>
      <c r="G180" s="1912"/>
      <c r="H180" s="1912"/>
      <c r="I180" s="1912"/>
      <c r="J180" s="1912"/>
      <c r="K180" s="1912"/>
      <c r="L180" s="1912"/>
      <c r="M180" s="1912"/>
      <c r="N180" s="1912"/>
      <c r="O180" s="1912"/>
      <c r="P180" s="1912"/>
      <c r="Q180" s="1912"/>
      <c r="R180" s="1912"/>
      <c r="S180" s="1912"/>
      <c r="AB180" s="1912"/>
      <c r="AC180" s="1912"/>
      <c r="AD180" s="1912"/>
      <c r="AE180" s="1912"/>
      <c r="AF180" s="1912"/>
      <c r="AG180" s="1912"/>
    </row>
    <row r="181">
      <c r="A181" s="1912"/>
      <c r="B181" s="1913" t="s">
        <v>118</v>
      </c>
      <c r="C181" s="1912"/>
      <c r="D181" s="1912"/>
      <c r="E181" s="1912"/>
      <c r="F181" s="1912"/>
      <c r="G181" s="1912"/>
      <c r="H181" s="1912"/>
      <c r="I181" s="1912"/>
      <c r="J181" s="1912"/>
      <c r="K181" s="1912"/>
      <c r="L181" s="1912"/>
      <c r="M181" s="1912"/>
      <c r="N181" s="1912"/>
      <c r="O181" s="1912"/>
      <c r="P181" s="1912"/>
      <c r="Q181" s="1912"/>
      <c r="R181" s="1912"/>
      <c r="S181" s="1912"/>
      <c r="AB181" s="1912"/>
      <c r="AC181" s="1912"/>
      <c r="AD181" s="1912"/>
      <c r="AE181" s="1912"/>
      <c r="AF181" s="1912"/>
      <c r="AG181" s="1912"/>
    </row>
    <row r="182">
      <c r="A182" s="1912"/>
      <c r="B182" s="1917" t="s">
        <v>747</v>
      </c>
      <c r="C182" s="1912"/>
      <c r="D182" s="1912"/>
      <c r="E182" s="1912"/>
      <c r="F182" s="1912"/>
      <c r="G182" s="1912"/>
      <c r="H182" s="1912"/>
      <c r="I182" s="1912"/>
      <c r="J182" s="1912"/>
      <c r="K182" s="1912"/>
      <c r="L182" s="1912"/>
      <c r="M182" s="1912"/>
      <c r="N182" s="1912"/>
      <c r="O182" s="1912"/>
      <c r="P182" s="1912"/>
      <c r="Q182" s="1912"/>
      <c r="R182" s="1912"/>
      <c r="S182" s="1912"/>
      <c r="AB182" s="1912"/>
      <c r="AC182" s="1912"/>
      <c r="AD182" s="1912"/>
      <c r="AE182" s="1912"/>
      <c r="AF182" s="1912"/>
      <c r="AG182" s="1912"/>
    </row>
    <row r="183">
      <c r="A183" s="1912"/>
      <c r="B183" s="1917" t="s">
        <v>763</v>
      </c>
      <c r="C183" s="1912"/>
      <c r="D183" s="1912"/>
      <c r="E183" s="1912"/>
      <c r="F183" s="1912"/>
      <c r="G183" s="1912"/>
      <c r="H183" s="1912"/>
      <c r="I183" s="1912"/>
      <c r="J183" s="1912"/>
      <c r="K183" s="1912"/>
      <c r="L183" s="1912"/>
      <c r="M183" s="1912"/>
      <c r="N183" s="1912"/>
      <c r="O183" s="1912"/>
      <c r="P183" s="1912"/>
      <c r="Q183" s="1912"/>
      <c r="R183" s="1912"/>
      <c r="S183" s="1912"/>
      <c r="AB183" s="1912"/>
      <c r="AC183" s="1912"/>
      <c r="AD183" s="1912"/>
      <c r="AE183" s="1912"/>
      <c r="AF183" s="1912"/>
      <c r="AG183" s="1912"/>
    </row>
    <row r="184">
      <c r="A184" s="1912"/>
      <c r="B184" s="1928" t="s">
        <v>766</v>
      </c>
      <c r="C184" s="1912"/>
      <c r="D184" s="1912"/>
      <c r="E184" s="1912"/>
      <c r="F184" s="1912"/>
      <c r="G184" s="1912"/>
      <c r="H184" s="1912"/>
      <c r="I184" s="1912"/>
      <c r="J184" s="1912"/>
      <c r="K184" s="1912"/>
      <c r="L184" s="1912"/>
      <c r="M184" s="1912"/>
      <c r="N184" s="1912"/>
      <c r="O184" s="1912"/>
      <c r="P184" s="1912"/>
      <c r="Q184" s="1912"/>
      <c r="R184" s="1912"/>
      <c r="S184" s="1912"/>
      <c r="AB184" s="1912"/>
      <c r="AC184" s="1912"/>
      <c r="AD184" s="1912"/>
      <c r="AE184" s="1912"/>
      <c r="AF184" s="1912"/>
      <c r="AG184" s="1912"/>
    </row>
    <row r="185">
      <c r="A185" s="1912"/>
      <c r="B185" s="1917" t="s">
        <v>769</v>
      </c>
      <c r="C185" s="1912"/>
      <c r="D185" s="1912"/>
      <c r="E185" s="1912"/>
      <c r="F185" s="1912"/>
      <c r="G185" s="1912"/>
      <c r="H185" s="1912"/>
      <c r="I185" s="1912"/>
      <c r="J185" s="1912"/>
      <c r="K185" s="1912"/>
      <c r="L185" s="1912"/>
      <c r="M185" s="1912"/>
      <c r="N185" s="1912"/>
      <c r="O185" s="1912"/>
      <c r="P185" s="1912"/>
      <c r="Q185" s="1912"/>
      <c r="R185" s="1912"/>
      <c r="S185" s="1912"/>
      <c r="AB185" s="1912"/>
      <c r="AC185" s="1912"/>
      <c r="AD185" s="1912"/>
      <c r="AE185" s="1912"/>
      <c r="AF185" s="1912"/>
      <c r="AG185" s="1912"/>
    </row>
    <row r="186">
      <c r="A186" s="1912"/>
      <c r="B186" s="1932" t="s">
        <v>772</v>
      </c>
      <c r="C186" s="1912"/>
      <c r="D186" s="1912"/>
      <c r="E186" s="1912"/>
      <c r="F186" s="1912"/>
      <c r="G186" s="1912"/>
      <c r="H186" s="1912"/>
      <c r="I186" s="1912"/>
      <c r="J186" s="1912"/>
      <c r="K186" s="1912"/>
      <c r="L186" s="1912"/>
      <c r="M186" s="1912"/>
      <c r="N186" s="1912"/>
      <c r="O186" s="1912"/>
      <c r="P186" s="1912"/>
      <c r="Q186" s="1912"/>
      <c r="R186" s="1912"/>
      <c r="S186" s="1912"/>
      <c r="AB186" s="1912"/>
      <c r="AC186" s="1912"/>
      <c r="AD186" s="1912"/>
      <c r="AE186" s="1912"/>
      <c r="AF186" s="1912"/>
      <c r="AG186" s="1912"/>
    </row>
    <row r="187">
      <c r="A187" s="1912"/>
      <c r="B187" s="1917" t="s">
        <v>195</v>
      </c>
      <c r="C187" s="1912"/>
      <c r="D187" s="1912"/>
      <c r="E187" s="1912"/>
      <c r="F187" s="1912"/>
      <c r="G187" s="1912"/>
      <c r="H187" s="1912"/>
      <c r="I187" s="1912"/>
      <c r="J187" s="1912"/>
      <c r="K187" s="1912"/>
      <c r="L187" s="1912"/>
      <c r="M187" s="1912"/>
      <c r="N187" s="1912"/>
      <c r="O187" s="1912"/>
      <c r="P187" s="1912"/>
      <c r="Q187" s="1912"/>
      <c r="R187" s="1912"/>
      <c r="S187" s="1912"/>
      <c r="AB187" s="1912"/>
      <c r="AC187" s="1912"/>
      <c r="AD187" s="1912"/>
      <c r="AE187" s="1912"/>
      <c r="AF187" s="1912"/>
      <c r="AG187" s="1912"/>
    </row>
    <row r="188">
      <c r="A188" s="1912"/>
      <c r="B188" s="1917" t="s">
        <v>788</v>
      </c>
      <c r="C188" s="1912"/>
      <c r="D188" s="1912"/>
      <c r="E188" s="1912"/>
      <c r="F188" s="1912"/>
      <c r="G188" s="1912"/>
      <c r="H188" s="1912"/>
      <c r="I188" s="1912"/>
      <c r="J188" s="1912"/>
      <c r="K188" s="1912"/>
      <c r="L188" s="1912"/>
      <c r="M188" s="1912"/>
      <c r="N188" s="1912"/>
      <c r="O188" s="1912"/>
      <c r="P188" s="1912"/>
      <c r="Q188" s="1912"/>
      <c r="R188" s="1912"/>
      <c r="S188" s="1912"/>
      <c r="AB188" s="1912"/>
      <c r="AC188" s="1912"/>
      <c r="AD188" s="1912"/>
      <c r="AE188" s="1912"/>
      <c r="AF188" s="1912"/>
      <c r="AG188" s="1912"/>
    </row>
    <row r="189">
      <c r="A189" s="1912"/>
      <c r="B189" s="1919" t="s">
        <v>796</v>
      </c>
      <c r="C189" s="1912"/>
      <c r="D189" s="1912"/>
      <c r="E189" s="1912"/>
      <c r="F189" s="1912"/>
      <c r="G189" s="1912"/>
      <c r="H189" s="1912"/>
      <c r="I189" s="1912"/>
      <c r="J189" s="1912"/>
      <c r="K189" s="1912"/>
      <c r="L189" s="1912"/>
      <c r="M189" s="1912"/>
      <c r="N189" s="1912"/>
      <c r="O189" s="1912"/>
      <c r="P189" s="1912"/>
      <c r="Q189" s="1912"/>
      <c r="R189" s="1912"/>
      <c r="S189" s="1912"/>
      <c r="AB189" s="1912"/>
      <c r="AC189" s="1912"/>
      <c r="AD189" s="1912"/>
      <c r="AE189" s="1912"/>
      <c r="AF189" s="1912"/>
      <c r="AG189" s="1912"/>
    </row>
    <row r="190">
      <c r="A190" s="1912"/>
      <c r="B190" s="1919" t="s">
        <v>806</v>
      </c>
      <c r="C190" s="1912"/>
      <c r="D190" s="1912"/>
      <c r="E190" s="1912"/>
      <c r="F190" s="1912"/>
      <c r="G190" s="1912"/>
      <c r="H190" s="1912"/>
      <c r="I190" s="1912"/>
      <c r="J190" s="1912"/>
      <c r="K190" s="1912"/>
      <c r="L190" s="1912"/>
      <c r="M190" s="1912"/>
      <c r="N190" s="1912"/>
      <c r="O190" s="1912"/>
      <c r="P190" s="1912"/>
      <c r="Q190" s="1912"/>
      <c r="R190" s="1912"/>
      <c r="S190" s="1912"/>
      <c r="AB190" s="1912"/>
      <c r="AC190" s="1912"/>
      <c r="AD190" s="1912"/>
      <c r="AE190" s="1912"/>
      <c r="AF190" s="1912"/>
      <c r="AG190" s="1912"/>
    </row>
    <row r="191">
      <c r="A191" s="1912"/>
      <c r="B191" s="1919" t="s">
        <v>815</v>
      </c>
      <c r="C191" s="1912"/>
      <c r="D191" s="1912"/>
      <c r="E191" s="1912"/>
      <c r="F191" s="1912"/>
      <c r="G191" s="1912"/>
      <c r="H191" s="1912"/>
      <c r="I191" s="1912"/>
      <c r="J191" s="1912"/>
      <c r="K191" s="1912"/>
      <c r="L191" s="1912"/>
      <c r="M191" s="1912"/>
      <c r="N191" s="1912"/>
      <c r="O191" s="1912"/>
      <c r="P191" s="1912"/>
      <c r="Q191" s="1912"/>
      <c r="R191" s="1912"/>
      <c r="S191" s="1912"/>
      <c r="T191" s="397" t="s">
        <v>2472</v>
      </c>
      <c r="U191" s="12"/>
      <c r="V191" s="12"/>
      <c r="W191" s="12"/>
      <c r="X191" s="12"/>
      <c r="Y191" s="12"/>
      <c r="Z191" s="12"/>
      <c r="AA191" s="12"/>
      <c r="AB191" s="1912"/>
      <c r="AC191" s="1912"/>
      <c r="AD191" s="1912"/>
      <c r="AE191" s="1912"/>
      <c r="AF191" s="1912"/>
      <c r="AG191" s="1912"/>
    </row>
    <row r="192">
      <c r="A192" s="1912"/>
      <c r="B192" s="1919" t="s">
        <v>825</v>
      </c>
      <c r="C192" s="1912"/>
      <c r="D192" s="1912"/>
      <c r="E192" s="1912"/>
      <c r="F192" s="1912"/>
      <c r="G192" s="1912"/>
      <c r="H192" s="1912"/>
      <c r="I192" s="1912"/>
      <c r="J192" s="1912"/>
      <c r="K192" s="1912"/>
      <c r="L192" s="1912"/>
      <c r="M192" s="1912"/>
      <c r="N192" s="1912"/>
      <c r="O192" s="1912"/>
      <c r="P192" s="1912"/>
      <c r="Q192" s="1912"/>
      <c r="R192" s="1912"/>
      <c r="S192" s="1912"/>
      <c r="T192" s="2026" t="s">
        <v>30</v>
      </c>
      <c r="U192" s="12"/>
      <c r="V192" s="12"/>
      <c r="W192" s="12"/>
      <c r="X192" s="12"/>
      <c r="Y192" s="12"/>
      <c r="Z192" s="12"/>
      <c r="AA192" s="12"/>
      <c r="AB192" s="1912"/>
      <c r="AC192" s="1912"/>
      <c r="AD192" s="1912"/>
      <c r="AE192" s="1912"/>
      <c r="AF192" s="1912"/>
      <c r="AG192" s="1912"/>
    </row>
    <row r="193">
      <c r="A193" s="1912"/>
      <c r="B193" s="1919" t="s">
        <v>829</v>
      </c>
      <c r="C193" s="1912"/>
      <c r="D193" s="1912"/>
      <c r="E193" s="1912"/>
      <c r="F193" s="1912"/>
      <c r="G193" s="1912"/>
      <c r="H193" s="1912"/>
      <c r="I193" s="1912"/>
      <c r="J193" s="1912"/>
      <c r="K193" s="1912"/>
      <c r="L193" s="1912"/>
      <c r="M193" s="1912"/>
      <c r="N193" s="1912"/>
      <c r="O193" s="1912"/>
      <c r="P193" s="1912"/>
      <c r="Q193" s="1912"/>
      <c r="R193" s="1912"/>
      <c r="S193" s="1912"/>
      <c r="T193" s="1912"/>
      <c r="U193" s="1912"/>
      <c r="V193" s="1912"/>
      <c r="W193" s="1912"/>
      <c r="X193" s="1912"/>
      <c r="Y193" s="1912"/>
      <c r="Z193" s="1912"/>
      <c r="AA193" s="1912"/>
      <c r="AB193" s="1912"/>
      <c r="AC193" s="1912"/>
      <c r="AD193" s="1912"/>
      <c r="AE193" s="1912"/>
      <c r="AF193" s="1912"/>
      <c r="AG193" s="1912"/>
    </row>
    <row r="194">
      <c r="A194" s="1912"/>
      <c r="B194" s="1919" t="s">
        <v>832</v>
      </c>
      <c r="C194" s="1912"/>
      <c r="D194" s="1912"/>
      <c r="E194" s="1912"/>
      <c r="F194" s="1912"/>
      <c r="G194" s="1912"/>
      <c r="H194" s="1912"/>
      <c r="I194" s="1912"/>
      <c r="J194" s="1912"/>
      <c r="K194" s="1912"/>
      <c r="L194" s="1912"/>
      <c r="M194" s="1912"/>
      <c r="N194" s="1912"/>
      <c r="O194" s="1912"/>
      <c r="P194" s="1912"/>
      <c r="Q194" s="1912"/>
      <c r="R194" s="1912"/>
      <c r="S194" s="1912"/>
      <c r="T194" s="1912"/>
      <c r="U194" s="1912"/>
      <c r="V194" s="1912"/>
      <c r="W194" s="1912"/>
      <c r="X194" s="1912"/>
      <c r="Y194" s="1912"/>
      <c r="Z194" s="1912"/>
      <c r="AA194" s="1912"/>
      <c r="AB194" s="1912"/>
      <c r="AC194" s="1912"/>
      <c r="AD194" s="1912"/>
      <c r="AE194" s="1912"/>
      <c r="AF194" s="1912"/>
      <c r="AG194" s="1912"/>
    </row>
    <row r="195">
      <c r="A195" s="1912"/>
      <c r="B195" s="1919" t="s">
        <v>850</v>
      </c>
      <c r="C195" s="1912"/>
      <c r="D195" s="1912"/>
      <c r="E195" s="1912"/>
      <c r="F195" s="1912"/>
      <c r="G195" s="1912"/>
      <c r="H195" s="1912"/>
      <c r="I195" s="1912"/>
      <c r="J195" s="1912"/>
      <c r="K195" s="1912"/>
      <c r="L195" s="1912"/>
      <c r="M195" s="1912"/>
      <c r="N195" s="1912"/>
      <c r="O195" s="1912"/>
      <c r="P195" s="1912"/>
      <c r="Q195" s="1912"/>
      <c r="R195" s="1912"/>
      <c r="S195" s="1912"/>
      <c r="T195" s="1912"/>
      <c r="U195" s="1912"/>
      <c r="V195" s="1912"/>
      <c r="W195" s="1912"/>
      <c r="X195" s="1912"/>
      <c r="Y195" s="1912"/>
      <c r="Z195" s="1912"/>
      <c r="AA195" s="1912"/>
      <c r="AB195" s="1912"/>
      <c r="AC195" s="1912"/>
      <c r="AD195" s="1912"/>
      <c r="AE195" s="1912"/>
      <c r="AF195" s="1912"/>
      <c r="AG195" s="1912"/>
    </row>
    <row r="196">
      <c r="A196" s="1912"/>
      <c r="B196" s="1919" t="s">
        <v>842</v>
      </c>
      <c r="C196" s="1912"/>
      <c r="D196" s="1912"/>
      <c r="E196" s="1912"/>
      <c r="F196" s="1912"/>
      <c r="G196" s="1912"/>
      <c r="H196" s="1912"/>
      <c r="I196" s="1912"/>
      <c r="J196" s="1912"/>
      <c r="K196" s="1912"/>
      <c r="L196" s="1912"/>
      <c r="M196" s="1912"/>
      <c r="N196" s="1912"/>
      <c r="O196" s="1912"/>
      <c r="P196" s="1912"/>
      <c r="Q196" s="1912"/>
      <c r="R196" s="1912"/>
      <c r="S196" s="1912"/>
      <c r="T196" s="1912"/>
      <c r="U196" s="1912"/>
      <c r="V196" s="1912"/>
      <c r="W196" s="1912"/>
      <c r="X196" s="1912"/>
      <c r="Y196" s="1912"/>
      <c r="Z196" s="1912"/>
      <c r="AA196" s="1912"/>
      <c r="AB196" s="1912"/>
      <c r="AC196" s="1912"/>
      <c r="AD196" s="1912"/>
      <c r="AE196" s="1912"/>
      <c r="AF196" s="1912"/>
      <c r="AG196" s="1912"/>
    </row>
    <row r="197">
      <c r="A197" s="1912"/>
      <c r="B197" s="1919" t="s">
        <v>861</v>
      </c>
      <c r="C197" s="1912"/>
      <c r="D197" s="1912"/>
      <c r="E197" s="1912"/>
      <c r="F197" s="1912"/>
      <c r="G197" s="1912"/>
      <c r="H197" s="1912"/>
      <c r="I197" s="1912"/>
      <c r="J197" s="1912"/>
      <c r="K197" s="1912"/>
      <c r="L197" s="1912"/>
      <c r="M197" s="1912"/>
      <c r="N197" s="1912"/>
      <c r="O197" s="1912"/>
      <c r="P197" s="1912"/>
      <c r="Q197" s="1912"/>
      <c r="R197" s="1912"/>
      <c r="S197" s="1912"/>
      <c r="T197" s="1912"/>
      <c r="U197" s="1912"/>
      <c r="V197" s="1912"/>
      <c r="W197" s="1912"/>
      <c r="X197" s="1912"/>
      <c r="Y197" s="1912"/>
      <c r="Z197" s="1912"/>
      <c r="AA197" s="1912"/>
      <c r="AB197" s="1912"/>
      <c r="AC197" s="1912"/>
      <c r="AD197" s="1912"/>
      <c r="AE197" s="1912"/>
      <c r="AF197" s="1912"/>
      <c r="AG197" s="1912"/>
    </row>
    <row r="198">
      <c r="A198" s="1912"/>
      <c r="B198" s="1936" t="s">
        <v>870</v>
      </c>
      <c r="C198" s="1912"/>
      <c r="D198" s="1912"/>
      <c r="E198" s="1912"/>
      <c r="F198" s="1912"/>
      <c r="G198" s="1912"/>
      <c r="H198" s="1912"/>
      <c r="I198" s="1912"/>
      <c r="J198" s="1912"/>
      <c r="K198" s="1912"/>
      <c r="L198" s="1912"/>
      <c r="M198" s="1912"/>
      <c r="N198" s="1912"/>
      <c r="O198" s="1912"/>
      <c r="P198" s="1912"/>
      <c r="Q198" s="1912"/>
      <c r="R198" s="1912"/>
      <c r="S198" s="1912"/>
      <c r="T198" s="1912"/>
      <c r="U198" s="1912"/>
      <c r="V198" s="1912"/>
      <c r="W198" s="1912"/>
      <c r="X198" s="1912"/>
      <c r="Y198" s="1912"/>
      <c r="Z198" s="1912"/>
      <c r="AA198" s="1912"/>
      <c r="AB198" s="1912"/>
      <c r="AC198" s="1912"/>
      <c r="AD198" s="1912"/>
      <c r="AE198" s="1912"/>
      <c r="AF198" s="1912"/>
      <c r="AG198" s="1912"/>
    </row>
    <row r="199">
      <c r="A199" s="1912"/>
      <c r="B199" s="1083" t="s">
        <v>888</v>
      </c>
      <c r="C199" s="1912"/>
      <c r="D199" s="1912"/>
      <c r="E199" s="1912"/>
      <c r="F199" s="1912"/>
      <c r="G199" s="1912"/>
      <c r="H199" s="1912"/>
      <c r="I199" s="1912"/>
      <c r="J199" s="1912"/>
      <c r="K199" s="1912"/>
      <c r="L199" s="1912"/>
      <c r="M199" s="1912"/>
      <c r="N199" s="1912"/>
      <c r="O199" s="1912"/>
      <c r="P199" s="1912"/>
      <c r="Q199" s="1912"/>
      <c r="R199" s="1912"/>
      <c r="S199" s="1912"/>
      <c r="T199" s="1912"/>
      <c r="U199" s="1912"/>
      <c r="V199" s="1912"/>
      <c r="W199" s="1912"/>
      <c r="X199" s="1912"/>
      <c r="Y199" s="1912"/>
      <c r="Z199" s="1912"/>
      <c r="AA199" s="1912"/>
      <c r="AB199" s="1912"/>
      <c r="AC199" s="1912"/>
      <c r="AD199" s="1912"/>
      <c r="AE199" s="1912"/>
      <c r="AF199" s="1912"/>
      <c r="AG199" s="1912"/>
    </row>
    <row r="200">
      <c r="A200" s="1912"/>
      <c r="B200" s="1083" t="s">
        <v>900</v>
      </c>
      <c r="C200" s="1912"/>
      <c r="D200" s="1912"/>
      <c r="E200" s="1912"/>
      <c r="F200" s="1912"/>
      <c r="G200" s="1912"/>
      <c r="H200" s="1912"/>
      <c r="I200" s="1912"/>
      <c r="J200" s="1912"/>
      <c r="K200" s="1912"/>
      <c r="L200" s="1912"/>
      <c r="M200" s="1912"/>
      <c r="N200" s="1912"/>
      <c r="O200" s="1912"/>
      <c r="P200" s="1912"/>
      <c r="Q200" s="1912"/>
      <c r="R200" s="1912"/>
      <c r="S200" s="1912"/>
      <c r="T200" s="1912"/>
      <c r="U200" s="1912"/>
      <c r="V200" s="1912"/>
      <c r="W200" s="1912"/>
      <c r="X200" s="1912"/>
      <c r="Y200" s="1912"/>
      <c r="Z200" s="1912"/>
      <c r="AA200" s="1912"/>
      <c r="AB200" s="1912"/>
      <c r="AC200" s="1912"/>
      <c r="AD200" s="1912"/>
      <c r="AE200" s="1912"/>
      <c r="AF200" s="1912"/>
      <c r="AG200" s="1912"/>
    </row>
    <row r="201">
      <c r="A201" s="1912"/>
      <c r="B201" s="1929" t="s">
        <v>911</v>
      </c>
      <c r="C201" s="1912"/>
      <c r="D201" s="1912"/>
      <c r="E201" s="1912"/>
      <c r="F201" s="1912"/>
      <c r="G201" s="1912"/>
      <c r="H201" s="1912"/>
      <c r="I201" s="1912"/>
      <c r="J201" s="1912"/>
      <c r="K201" s="1912"/>
      <c r="L201" s="1912"/>
      <c r="M201" s="1912"/>
      <c r="N201" s="1912"/>
      <c r="O201" s="1912"/>
      <c r="P201" s="1912"/>
      <c r="Q201" s="1912"/>
      <c r="R201" s="1912"/>
      <c r="S201" s="1912"/>
      <c r="T201" s="1912"/>
      <c r="U201" s="1912"/>
      <c r="V201" s="1912"/>
      <c r="W201" s="1912"/>
      <c r="X201" s="1912"/>
      <c r="Y201" s="1912"/>
      <c r="Z201" s="1912"/>
      <c r="AA201" s="1912"/>
      <c r="AB201" s="1912"/>
      <c r="AC201" s="1912"/>
      <c r="AD201" s="1912"/>
      <c r="AE201" s="1912"/>
      <c r="AF201" s="1912"/>
      <c r="AG201" s="1912"/>
    </row>
    <row r="202">
      <c r="A202" s="1912"/>
      <c r="B202" s="1083" t="s">
        <v>915</v>
      </c>
      <c r="C202" s="1912"/>
      <c r="D202" s="1912"/>
      <c r="E202" s="1912"/>
      <c r="F202" s="1912"/>
      <c r="G202" s="1912"/>
      <c r="H202" s="1912"/>
      <c r="I202" s="1912"/>
      <c r="J202" s="1912"/>
      <c r="K202" s="1912"/>
      <c r="L202" s="1912"/>
      <c r="M202" s="1912"/>
      <c r="N202" s="1912"/>
      <c r="O202" s="1912"/>
      <c r="P202" s="1912"/>
      <c r="Q202" s="1912"/>
      <c r="R202" s="1912"/>
      <c r="S202" s="1912"/>
      <c r="T202" s="1912"/>
      <c r="U202" s="1912"/>
      <c r="V202" s="1912"/>
      <c r="W202" s="1912"/>
      <c r="X202" s="1912"/>
      <c r="Y202" s="1912"/>
      <c r="Z202" s="1912"/>
      <c r="AA202" s="1912"/>
      <c r="AB202" s="1912"/>
      <c r="AC202" s="1912"/>
      <c r="AD202" s="1912"/>
      <c r="AE202" s="1912"/>
      <c r="AF202" s="1912"/>
      <c r="AG202" s="1912"/>
    </row>
    <row r="203">
      <c r="A203" s="1912"/>
      <c r="B203" s="1083" t="s">
        <v>920</v>
      </c>
      <c r="C203" s="1912"/>
      <c r="D203" s="1912"/>
      <c r="E203" s="1912"/>
      <c r="F203" s="1912"/>
      <c r="G203" s="1912"/>
      <c r="H203" s="1912"/>
      <c r="I203" s="1912"/>
      <c r="J203" s="1912"/>
      <c r="K203" s="1912"/>
      <c r="L203" s="1912"/>
      <c r="M203" s="1912"/>
      <c r="N203" s="1912"/>
      <c r="O203" s="1912"/>
      <c r="P203" s="1912"/>
      <c r="Q203" s="1912"/>
      <c r="R203" s="1912"/>
      <c r="S203" s="1912"/>
      <c r="T203" s="1912"/>
      <c r="U203" s="1912"/>
      <c r="V203" s="1912"/>
      <c r="W203" s="1912"/>
      <c r="X203" s="1912"/>
      <c r="Y203" s="1912"/>
      <c r="Z203" s="1912"/>
      <c r="AA203" s="1912"/>
      <c r="AB203" s="1912"/>
      <c r="AC203" s="1912"/>
      <c r="AD203" s="1912"/>
      <c r="AE203" s="1912"/>
      <c r="AF203" s="1912"/>
      <c r="AG203" s="1912"/>
    </row>
    <row r="204">
      <c r="A204" s="1912"/>
      <c r="B204" s="1083" t="s">
        <v>923</v>
      </c>
      <c r="C204" s="1912"/>
      <c r="D204" s="1912"/>
      <c r="E204" s="1912"/>
      <c r="F204" s="1912"/>
      <c r="G204" s="1912"/>
      <c r="H204" s="1912"/>
      <c r="I204" s="1912"/>
      <c r="J204" s="1912"/>
      <c r="K204" s="1912"/>
      <c r="L204" s="1912"/>
      <c r="M204" s="1912"/>
      <c r="N204" s="1912"/>
      <c r="O204" s="1912"/>
      <c r="P204" s="1912"/>
      <c r="Q204" s="1912"/>
      <c r="R204" s="1912"/>
      <c r="S204" s="1912"/>
      <c r="T204" s="1912"/>
      <c r="U204" s="1912"/>
      <c r="V204" s="1912"/>
      <c r="W204" s="1912"/>
      <c r="X204" s="1912"/>
      <c r="Y204" s="1912"/>
      <c r="Z204" s="1912"/>
      <c r="AA204" s="1912"/>
      <c r="AB204" s="1912"/>
      <c r="AC204" s="1912"/>
      <c r="AD204" s="1912"/>
      <c r="AE204" s="1912"/>
      <c r="AF204" s="1912"/>
      <c r="AG204" s="1912"/>
    </row>
    <row r="205">
      <c r="A205" s="1912"/>
      <c r="B205" s="1083" t="s">
        <v>931</v>
      </c>
      <c r="C205" s="1912"/>
      <c r="D205" s="1912"/>
      <c r="E205" s="1912"/>
      <c r="F205" s="1912"/>
      <c r="G205" s="1912"/>
      <c r="H205" s="1912"/>
      <c r="I205" s="1912"/>
      <c r="J205" s="1912"/>
      <c r="K205" s="1912"/>
      <c r="L205" s="1912"/>
      <c r="M205" s="1912"/>
      <c r="N205" s="1912"/>
      <c r="O205" s="1912"/>
      <c r="P205" s="1912"/>
      <c r="Q205" s="1912"/>
      <c r="R205" s="1912"/>
      <c r="S205" s="1912"/>
      <c r="T205" s="1912"/>
      <c r="U205" s="1912"/>
      <c r="V205" s="1912"/>
      <c r="W205" s="1912"/>
      <c r="X205" s="1912"/>
      <c r="Y205" s="1912"/>
      <c r="Z205" s="1912"/>
      <c r="AA205" s="1912"/>
      <c r="AB205" s="1912"/>
      <c r="AC205" s="1912"/>
      <c r="AD205" s="1912"/>
      <c r="AE205" s="1912"/>
      <c r="AF205" s="1912"/>
      <c r="AG205" s="1912"/>
    </row>
    <row r="206">
      <c r="A206" s="1912"/>
      <c r="B206" s="1083" t="s">
        <v>933</v>
      </c>
      <c r="C206" s="1912"/>
      <c r="D206" s="1912"/>
      <c r="E206" s="1912"/>
      <c r="F206" s="1912"/>
      <c r="G206" s="1912"/>
      <c r="H206" s="1912"/>
      <c r="I206" s="1912"/>
      <c r="J206" s="1912"/>
      <c r="K206" s="1912"/>
      <c r="L206" s="1912"/>
      <c r="M206" s="1912"/>
      <c r="N206" s="1912"/>
      <c r="O206" s="1912"/>
      <c r="P206" s="1912"/>
      <c r="Q206" s="1912"/>
      <c r="R206" s="1912"/>
      <c r="S206" s="1912"/>
      <c r="T206" s="1912"/>
      <c r="U206" s="1912"/>
      <c r="V206" s="1912"/>
      <c r="W206" s="1912"/>
      <c r="X206" s="1912"/>
      <c r="Y206" s="1912"/>
      <c r="Z206" s="1912"/>
      <c r="AA206" s="1912"/>
      <c r="AB206" s="1912"/>
      <c r="AC206" s="1912"/>
      <c r="AD206" s="1912"/>
      <c r="AE206" s="1912"/>
      <c r="AF206" s="1912"/>
      <c r="AG206" s="1912"/>
    </row>
    <row r="207">
      <c r="A207" s="1912"/>
      <c r="B207" s="1083" t="s">
        <v>940</v>
      </c>
      <c r="C207" s="1912"/>
      <c r="D207" s="1912"/>
      <c r="E207" s="1912"/>
      <c r="F207" s="1912"/>
      <c r="G207" s="1912"/>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row>
    <row r="208">
      <c r="A208" s="1912"/>
      <c r="B208" s="1083" t="s">
        <v>946</v>
      </c>
      <c r="C208" s="1912"/>
      <c r="D208" s="1912"/>
      <c r="E208" s="1912"/>
      <c r="F208" s="1912"/>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row>
    <row r="209">
      <c r="A209" s="1912"/>
      <c r="B209" s="1083" t="s">
        <v>949</v>
      </c>
      <c r="C209" s="1912"/>
      <c r="D209" s="1912"/>
      <c r="E209" s="1912"/>
      <c r="F209" s="1912"/>
      <c r="G209" s="1912"/>
      <c r="H209" s="1912"/>
      <c r="I209" s="1912"/>
      <c r="J209" s="1912"/>
      <c r="K209" s="1912"/>
      <c r="L209" s="1912"/>
      <c r="M209" s="1912"/>
      <c r="N209" s="1912"/>
      <c r="O209" s="1912"/>
      <c r="P209" s="1912"/>
      <c r="Q209" s="1912"/>
      <c r="R209" s="1912"/>
      <c r="S209" s="1912"/>
      <c r="T209" s="1912"/>
      <c r="U209" s="1912"/>
      <c r="V209" s="1912"/>
      <c r="W209" s="1912"/>
      <c r="X209" s="1912"/>
      <c r="Y209" s="1912"/>
      <c r="Z209" s="1912"/>
      <c r="AA209" s="1912"/>
      <c r="AB209" s="1912"/>
      <c r="AC209" s="1912"/>
      <c r="AD209" s="1912"/>
      <c r="AE209" s="1912"/>
      <c r="AF209" s="1912"/>
      <c r="AG209" s="1912"/>
    </row>
    <row r="210">
      <c r="A210" s="1912"/>
      <c r="B210" s="1929" t="s">
        <v>957</v>
      </c>
      <c r="C210" s="1912"/>
      <c r="D210" s="1912"/>
      <c r="E210" s="1912"/>
      <c r="F210" s="1912"/>
      <c r="G210" s="1912"/>
      <c r="H210" s="1912"/>
      <c r="I210" s="1912"/>
      <c r="J210" s="1912"/>
      <c r="K210" s="1912"/>
      <c r="L210" s="1912"/>
      <c r="M210" s="1912"/>
      <c r="N210" s="1912"/>
      <c r="O210" s="1912"/>
      <c r="P210" s="1912"/>
      <c r="Q210" s="1912"/>
      <c r="R210" s="1912"/>
      <c r="S210" s="1912"/>
      <c r="T210" s="1912"/>
      <c r="U210" s="1912"/>
      <c r="V210" s="1912"/>
      <c r="W210" s="1912"/>
      <c r="X210" s="1912"/>
      <c r="Y210" s="1912"/>
      <c r="Z210" s="1912"/>
      <c r="AA210" s="1912"/>
      <c r="AB210" s="1912"/>
      <c r="AC210" s="1912"/>
      <c r="AD210" s="1912"/>
      <c r="AE210" s="1912"/>
      <c r="AF210" s="1912"/>
      <c r="AG210" s="1912"/>
    </row>
    <row r="211">
      <c r="A211" s="1912"/>
      <c r="B211" s="1920" t="s">
        <v>967</v>
      </c>
      <c r="C211" s="1912"/>
      <c r="D211" s="1912"/>
      <c r="E211" s="1912"/>
      <c r="F211" s="1912"/>
      <c r="G211" s="1912"/>
      <c r="H211" s="1912"/>
      <c r="I211" s="1912"/>
      <c r="J211" s="1912"/>
      <c r="K211" s="1912"/>
      <c r="L211" s="1912"/>
      <c r="M211" s="1912"/>
      <c r="N211" s="1912"/>
      <c r="O211" s="1912"/>
      <c r="P211" s="1912"/>
      <c r="Q211" s="1912"/>
      <c r="R211" s="1912"/>
      <c r="S211" s="1912"/>
      <c r="T211" s="1912"/>
      <c r="U211" s="1912"/>
      <c r="V211" s="1912"/>
      <c r="W211" s="1912"/>
      <c r="X211" s="1912"/>
      <c r="Y211" s="1912"/>
      <c r="Z211" s="1912"/>
      <c r="AA211" s="1912"/>
      <c r="AB211" s="1912"/>
      <c r="AC211" s="1912"/>
      <c r="AD211" s="1912"/>
      <c r="AE211" s="1912"/>
      <c r="AF211" s="1912"/>
      <c r="AG211" s="1912"/>
    </row>
    <row r="212">
      <c r="A212" s="1912"/>
      <c r="B212" s="1927" t="s">
        <v>971</v>
      </c>
      <c r="C212" s="1912"/>
      <c r="D212" s="1912"/>
      <c r="E212" s="1912"/>
      <c r="F212" s="1912"/>
      <c r="G212" s="1912"/>
      <c r="H212" s="1912"/>
      <c r="I212" s="1912"/>
      <c r="J212" s="1912"/>
      <c r="K212" s="1912"/>
      <c r="L212" s="1912"/>
      <c r="M212" s="1912"/>
      <c r="N212" s="1912"/>
      <c r="O212" s="1912"/>
      <c r="P212" s="1912"/>
      <c r="Q212" s="1912"/>
      <c r="R212" s="1912"/>
      <c r="S212" s="1912"/>
      <c r="T212" s="1912"/>
      <c r="U212" s="1912"/>
      <c r="V212" s="1912"/>
      <c r="W212" s="1912"/>
      <c r="X212" s="1912"/>
      <c r="Y212" s="1912"/>
      <c r="Z212" s="1912"/>
      <c r="AA212" s="1912"/>
      <c r="AB212" s="1912"/>
      <c r="AC212" s="1912"/>
      <c r="AD212" s="1912"/>
      <c r="AE212" s="1912"/>
      <c r="AF212" s="1912"/>
      <c r="AG212" s="1912"/>
    </row>
    <row r="213">
      <c r="A213" s="1912"/>
      <c r="B213" s="1920" t="s">
        <v>978</v>
      </c>
      <c r="C213" s="1912"/>
      <c r="D213" s="1912"/>
      <c r="E213" s="1912"/>
      <c r="F213" s="1912"/>
      <c r="G213" s="1912"/>
      <c r="H213" s="1912"/>
      <c r="I213" s="1912"/>
      <c r="J213" s="1912"/>
      <c r="K213" s="1912"/>
      <c r="L213" s="1912"/>
      <c r="M213" s="1912"/>
      <c r="N213" s="1912"/>
      <c r="O213" s="1912"/>
      <c r="P213" s="1912"/>
      <c r="Q213" s="1912"/>
      <c r="R213" s="1912"/>
      <c r="S213" s="1912"/>
      <c r="T213" s="1912"/>
      <c r="U213" s="1912"/>
      <c r="V213" s="1912"/>
      <c r="W213" s="1912"/>
      <c r="X213" s="1912"/>
      <c r="Y213" s="1912"/>
      <c r="Z213" s="1912"/>
      <c r="AA213" s="1912"/>
      <c r="AB213" s="1912"/>
      <c r="AC213" s="1912"/>
      <c r="AD213" s="1912"/>
      <c r="AE213" s="1912"/>
      <c r="AF213" s="1912"/>
      <c r="AG213" s="1912"/>
    </row>
    <row r="214">
      <c r="A214" s="1912"/>
      <c r="B214" s="1920" t="s">
        <v>981</v>
      </c>
      <c r="C214" s="1912"/>
      <c r="D214" s="1912"/>
      <c r="E214" s="1912"/>
      <c r="F214" s="1912"/>
      <c r="G214" s="1912"/>
      <c r="H214" s="1912"/>
      <c r="I214" s="1912"/>
      <c r="J214" s="1912"/>
      <c r="K214" s="1912"/>
      <c r="L214" s="1912"/>
      <c r="M214" s="1912"/>
      <c r="N214" s="1912"/>
      <c r="O214" s="1912"/>
      <c r="P214" s="1912"/>
      <c r="Q214" s="1912"/>
      <c r="R214" s="1912"/>
      <c r="S214" s="1912"/>
      <c r="T214" s="1912"/>
      <c r="U214" s="1912"/>
      <c r="V214" s="1912"/>
      <c r="W214" s="1912"/>
      <c r="X214" s="1912"/>
      <c r="Y214" s="1912"/>
      <c r="Z214" s="1912"/>
      <c r="AA214" s="1912"/>
      <c r="AB214" s="1912"/>
      <c r="AC214" s="1912"/>
      <c r="AD214" s="1912"/>
      <c r="AE214" s="1912"/>
      <c r="AF214" s="1912"/>
      <c r="AG214" s="1912"/>
    </row>
    <row r="215">
      <c r="A215" s="1912"/>
      <c r="B215" s="1920" t="s">
        <v>989</v>
      </c>
      <c r="C215" s="1912"/>
      <c r="D215" s="1912"/>
      <c r="E215" s="1912"/>
      <c r="F215" s="1912"/>
      <c r="G215" s="1912"/>
      <c r="H215" s="1912"/>
      <c r="I215" s="1912"/>
      <c r="J215" s="1912"/>
      <c r="K215" s="1912"/>
      <c r="L215" s="1912"/>
      <c r="M215" s="1912"/>
      <c r="N215" s="1912"/>
      <c r="O215" s="1912"/>
      <c r="P215" s="1912"/>
      <c r="Q215" s="1912"/>
      <c r="R215" s="1912"/>
      <c r="S215" s="1912"/>
      <c r="T215" s="1912"/>
      <c r="U215" s="1912"/>
      <c r="V215" s="1912"/>
      <c r="W215" s="1912"/>
      <c r="X215" s="1912"/>
      <c r="Y215" s="1912"/>
      <c r="Z215" s="1912"/>
      <c r="AA215" s="1912"/>
      <c r="AB215" s="1912"/>
      <c r="AC215" s="1912"/>
      <c r="AD215" s="1912"/>
      <c r="AE215" s="1912"/>
      <c r="AF215" s="1912"/>
      <c r="AG215" s="1912"/>
    </row>
    <row r="216">
      <c r="A216" s="1912"/>
      <c r="B216" s="1920" t="s">
        <v>996</v>
      </c>
      <c r="C216" s="1912"/>
      <c r="D216" s="1912"/>
      <c r="E216" s="1912"/>
      <c r="F216" s="1912"/>
      <c r="G216" s="1912"/>
      <c r="H216" s="1912"/>
      <c r="I216" s="1912"/>
      <c r="J216" s="1912"/>
      <c r="K216" s="1912"/>
      <c r="L216" s="1912"/>
      <c r="M216" s="1912"/>
      <c r="N216" s="1912"/>
      <c r="O216" s="1912"/>
      <c r="P216" s="1912"/>
      <c r="Q216" s="1912"/>
      <c r="R216" s="1912"/>
      <c r="S216" s="1912"/>
      <c r="T216" s="1912"/>
      <c r="U216" s="1912"/>
      <c r="V216" s="1912"/>
      <c r="W216" s="1912"/>
      <c r="X216" s="1912"/>
      <c r="Y216" s="1912"/>
      <c r="Z216" s="1912"/>
      <c r="AA216" s="1912"/>
      <c r="AB216" s="1912"/>
      <c r="AC216" s="1912"/>
      <c r="AD216" s="1912"/>
      <c r="AE216" s="1912"/>
      <c r="AF216" s="1912"/>
      <c r="AG216" s="1912"/>
    </row>
    <row r="217">
      <c r="A217" s="1912"/>
      <c r="B217" s="1920" t="s">
        <v>1000</v>
      </c>
      <c r="C217" s="1912"/>
      <c r="D217" s="1912"/>
      <c r="E217" s="1912"/>
      <c r="F217" s="1912"/>
      <c r="G217" s="1912"/>
      <c r="H217" s="1912"/>
      <c r="I217" s="1912"/>
      <c r="J217" s="1912"/>
      <c r="K217" s="1912"/>
      <c r="L217" s="1912"/>
      <c r="M217" s="1912"/>
      <c r="N217" s="1912"/>
      <c r="O217" s="1912"/>
      <c r="P217" s="1912"/>
      <c r="Q217" s="1912"/>
      <c r="R217" s="1912"/>
      <c r="S217" s="1912"/>
      <c r="T217" s="1912"/>
      <c r="U217" s="1912"/>
      <c r="V217" s="1912"/>
      <c r="W217" s="1912"/>
      <c r="X217" s="1912"/>
      <c r="Y217" s="1912"/>
      <c r="Z217" s="1912"/>
      <c r="AA217" s="1912"/>
      <c r="AB217" s="1912"/>
      <c r="AC217" s="1912"/>
      <c r="AD217" s="1912"/>
      <c r="AE217" s="1912"/>
      <c r="AF217" s="1912"/>
      <c r="AG217" s="1912"/>
    </row>
    <row r="218">
      <c r="A218" s="1912"/>
      <c r="B218" s="1927" t="s">
        <v>1004</v>
      </c>
      <c r="C218" s="1912"/>
      <c r="D218" s="1912"/>
      <c r="E218" s="1912"/>
      <c r="F218" s="1912"/>
      <c r="G218" s="1912"/>
      <c r="H218" s="1912"/>
      <c r="I218" s="1912"/>
      <c r="J218" s="1912"/>
      <c r="K218" s="1912"/>
      <c r="L218" s="1912"/>
      <c r="M218" s="1912"/>
      <c r="N218" s="1912"/>
      <c r="O218" s="1912"/>
      <c r="P218" s="1912"/>
      <c r="Q218" s="1912"/>
      <c r="R218" s="1912"/>
      <c r="S218" s="1912"/>
      <c r="T218" s="1912"/>
      <c r="U218" s="1912"/>
      <c r="V218" s="1912"/>
      <c r="W218" s="1912"/>
      <c r="X218" s="1912"/>
      <c r="Y218" s="1912"/>
      <c r="Z218" s="1912"/>
      <c r="AA218" s="1912"/>
      <c r="AB218" s="1912"/>
      <c r="AC218" s="1912"/>
      <c r="AD218" s="1912"/>
      <c r="AE218" s="1912"/>
      <c r="AF218" s="1912"/>
      <c r="AG218" s="1912"/>
    </row>
    <row r="219">
      <c r="A219" s="1912"/>
      <c r="B219" s="1921" t="s">
        <v>1014</v>
      </c>
      <c r="C219" s="1912"/>
      <c r="D219" s="1912"/>
      <c r="E219" s="1912"/>
      <c r="F219" s="1912"/>
      <c r="G219" s="1912"/>
      <c r="H219" s="1912"/>
      <c r="I219" s="1912"/>
      <c r="J219" s="1912"/>
      <c r="K219" s="1912"/>
      <c r="L219" s="1912"/>
      <c r="M219" s="1912"/>
      <c r="N219" s="1912"/>
      <c r="O219" s="1912"/>
      <c r="P219" s="1912"/>
      <c r="Q219" s="1912"/>
      <c r="R219" s="1912"/>
      <c r="S219" s="1912"/>
      <c r="T219" s="1912"/>
      <c r="U219" s="1912"/>
      <c r="V219" s="1912"/>
      <c r="W219" s="1912"/>
      <c r="X219" s="1912"/>
      <c r="Y219" s="1912"/>
      <c r="Z219" s="1912"/>
      <c r="AA219" s="1912"/>
      <c r="AB219" s="1912"/>
      <c r="AC219" s="1912"/>
      <c r="AD219" s="1912"/>
      <c r="AE219" s="1912"/>
      <c r="AF219" s="1912"/>
      <c r="AG219" s="1912"/>
    </row>
    <row r="220">
      <c r="A220" s="1912"/>
      <c r="B220" s="1921" t="s">
        <v>1017</v>
      </c>
      <c r="C220" s="1912"/>
      <c r="D220" s="1912"/>
      <c r="E220" s="1912"/>
      <c r="F220" s="1912"/>
      <c r="G220" s="1912"/>
      <c r="H220" s="1912"/>
      <c r="I220" s="1912"/>
      <c r="J220" s="1912"/>
      <c r="K220" s="1912"/>
      <c r="L220" s="1912"/>
      <c r="M220" s="1912"/>
      <c r="N220" s="1912"/>
      <c r="O220" s="1912"/>
      <c r="P220" s="1912"/>
      <c r="Q220" s="1912"/>
      <c r="R220" s="1912"/>
      <c r="S220" s="1912"/>
      <c r="T220" s="1912"/>
      <c r="U220" s="1912"/>
      <c r="V220" s="1912"/>
      <c r="W220" s="1912"/>
      <c r="X220" s="1912"/>
      <c r="Y220" s="1912"/>
      <c r="Z220" s="1912"/>
      <c r="AA220" s="1912"/>
      <c r="AB220" s="1912"/>
      <c r="AC220" s="1912"/>
      <c r="AD220" s="1912"/>
      <c r="AE220" s="1912"/>
      <c r="AF220" s="1912"/>
      <c r="AG220" s="1912"/>
    </row>
    <row r="221">
      <c r="A221" s="1912"/>
      <c r="B221" s="1921" t="s">
        <v>1018</v>
      </c>
      <c r="C221" s="1912"/>
      <c r="D221" s="1912"/>
      <c r="E221" s="1912"/>
      <c r="F221" s="1912"/>
      <c r="G221" s="1912"/>
      <c r="H221" s="1912"/>
      <c r="I221" s="1912"/>
      <c r="J221" s="1912"/>
      <c r="K221" s="1912"/>
      <c r="L221" s="1912"/>
      <c r="M221" s="1912"/>
      <c r="N221" s="1912"/>
      <c r="O221" s="1912"/>
      <c r="P221" s="1912"/>
      <c r="Q221" s="1912"/>
      <c r="R221" s="1912"/>
      <c r="S221" s="1912"/>
      <c r="T221" s="1912"/>
      <c r="U221" s="1912"/>
      <c r="V221" s="1912"/>
      <c r="W221" s="1912"/>
      <c r="X221" s="1912"/>
      <c r="Y221" s="1912"/>
      <c r="Z221" s="1912"/>
      <c r="AA221" s="1912"/>
      <c r="AB221" s="1912"/>
      <c r="AC221" s="1912"/>
      <c r="AD221" s="1912"/>
      <c r="AE221" s="1912"/>
      <c r="AF221" s="1912"/>
      <c r="AG221" s="1912"/>
    </row>
    <row r="222">
      <c r="A222" s="1912"/>
      <c r="B222" s="1921" t="s">
        <v>1020</v>
      </c>
      <c r="C222" s="1912"/>
      <c r="D222" s="1912"/>
      <c r="E222" s="1912"/>
      <c r="F222" s="1912"/>
      <c r="G222" s="1912"/>
      <c r="H222" s="1912"/>
      <c r="I222" s="1912"/>
      <c r="J222" s="1912"/>
      <c r="K222" s="1912"/>
      <c r="L222" s="1912"/>
      <c r="M222" s="1912"/>
      <c r="N222" s="1912"/>
      <c r="O222" s="1912"/>
      <c r="P222" s="1912"/>
      <c r="Q222" s="1912"/>
      <c r="R222" s="1912"/>
      <c r="S222" s="1912"/>
      <c r="T222" s="1912"/>
      <c r="U222" s="1912"/>
      <c r="V222" s="1912"/>
      <c r="W222" s="1912"/>
      <c r="X222" s="1912"/>
      <c r="Y222" s="1912"/>
      <c r="Z222" s="1912"/>
      <c r="AA222" s="1912"/>
      <c r="AB222" s="1912"/>
      <c r="AC222" s="1912"/>
      <c r="AD222" s="1912"/>
      <c r="AE222" s="1912"/>
      <c r="AF222" s="1912"/>
      <c r="AG222" s="1912"/>
    </row>
    <row r="223">
      <c r="A223" s="1912"/>
      <c r="B223" s="1921" t="s">
        <v>1033</v>
      </c>
      <c r="C223" s="1912"/>
      <c r="D223" s="1912"/>
      <c r="E223" s="1912"/>
      <c r="F223" s="1912"/>
      <c r="G223" s="1912"/>
      <c r="H223" s="1912"/>
      <c r="I223" s="1912"/>
      <c r="J223" s="1912"/>
      <c r="K223" s="1912"/>
      <c r="L223" s="1912"/>
      <c r="M223" s="1912"/>
      <c r="N223" s="1912"/>
      <c r="O223" s="1912"/>
      <c r="P223" s="1912"/>
      <c r="Q223" s="1912"/>
      <c r="R223" s="1912"/>
      <c r="S223" s="1912"/>
      <c r="T223" s="1912"/>
      <c r="U223" s="1912"/>
      <c r="V223" s="1912"/>
      <c r="W223" s="1912"/>
      <c r="X223" s="1912"/>
      <c r="Y223" s="1912"/>
      <c r="Z223" s="1912"/>
      <c r="AA223" s="1912"/>
      <c r="AB223" s="1912"/>
      <c r="AC223" s="1912"/>
      <c r="AD223" s="1912"/>
      <c r="AE223" s="1912"/>
      <c r="AF223" s="1912"/>
      <c r="AG223" s="1912"/>
    </row>
    <row r="224">
      <c r="A224" s="1912"/>
      <c r="B224" s="1921" t="s">
        <v>1028</v>
      </c>
      <c r="C224" s="1912"/>
      <c r="D224" s="1912"/>
      <c r="E224" s="1912"/>
      <c r="F224" s="1912"/>
      <c r="G224" s="1912"/>
      <c r="H224" s="1912"/>
      <c r="I224" s="1912"/>
      <c r="J224" s="1912"/>
      <c r="K224" s="1912"/>
      <c r="L224" s="1912"/>
      <c r="M224" s="1912"/>
      <c r="N224" s="1912"/>
      <c r="O224" s="1912"/>
      <c r="P224" s="1912"/>
      <c r="Q224" s="1912"/>
      <c r="R224" s="1912"/>
      <c r="S224" s="1912"/>
      <c r="T224" s="1912"/>
      <c r="U224" s="1912"/>
      <c r="V224" s="1912"/>
      <c r="W224" s="1912"/>
      <c r="X224" s="1912"/>
      <c r="Y224" s="1912"/>
      <c r="Z224" s="1912"/>
      <c r="AA224" s="1912"/>
      <c r="AB224" s="1912"/>
      <c r="AC224" s="1912"/>
      <c r="AD224" s="1912"/>
      <c r="AE224" s="1912"/>
      <c r="AF224" s="1912"/>
      <c r="AG224" s="1912"/>
    </row>
    <row r="225">
      <c r="A225" s="1912"/>
      <c r="B225" s="1934" t="s">
        <v>1025</v>
      </c>
      <c r="C225" s="1912"/>
      <c r="D225" s="1912"/>
      <c r="E225" s="1912"/>
      <c r="F225" s="1912"/>
      <c r="G225" s="1912"/>
      <c r="H225" s="1912"/>
      <c r="I225" s="1912"/>
      <c r="J225" s="1912"/>
      <c r="K225" s="1912"/>
      <c r="L225" s="1912"/>
      <c r="M225" s="1912"/>
      <c r="N225" s="1912"/>
      <c r="O225" s="1912"/>
      <c r="P225" s="1912"/>
      <c r="Q225" s="1912"/>
      <c r="R225" s="1912"/>
      <c r="S225" s="1912"/>
      <c r="T225" s="1912"/>
      <c r="U225" s="1912"/>
      <c r="V225" s="1912"/>
      <c r="W225" s="1912"/>
      <c r="X225" s="1912"/>
      <c r="Y225" s="1912"/>
      <c r="Z225" s="1912"/>
      <c r="AA225" s="1912"/>
      <c r="AB225" s="1912"/>
      <c r="AC225" s="1912"/>
      <c r="AD225" s="1912"/>
      <c r="AE225" s="1912"/>
      <c r="AF225" s="1912"/>
      <c r="AG225" s="1912"/>
    </row>
    <row r="226">
      <c r="A226" s="1912"/>
      <c r="B226" s="1934" t="s">
        <v>850</v>
      </c>
      <c r="C226" s="1912"/>
      <c r="D226" s="1912"/>
      <c r="E226" s="1912"/>
      <c r="F226" s="1912"/>
      <c r="G226" s="1912"/>
      <c r="H226" s="1912"/>
      <c r="I226" s="1912"/>
      <c r="J226" s="1912"/>
      <c r="K226" s="1912"/>
      <c r="L226" s="1912"/>
      <c r="M226" s="1912"/>
      <c r="N226" s="1912"/>
      <c r="O226" s="1912"/>
      <c r="P226" s="1912"/>
      <c r="Q226" s="1912"/>
      <c r="R226" s="1912"/>
      <c r="S226" s="1912"/>
      <c r="T226" s="1912"/>
      <c r="U226" s="1912"/>
      <c r="V226" s="1912"/>
      <c r="W226" s="1912"/>
      <c r="X226" s="1912"/>
      <c r="Y226" s="1912"/>
      <c r="Z226" s="1912"/>
      <c r="AA226" s="1912"/>
      <c r="AB226" s="1912"/>
      <c r="AC226" s="1912"/>
      <c r="AD226" s="1912"/>
      <c r="AE226" s="1912"/>
      <c r="AF226" s="1912"/>
      <c r="AG226" s="1912"/>
    </row>
    <row r="227">
      <c r="A227" s="1912"/>
      <c r="B227" s="1923" t="s">
        <v>1069</v>
      </c>
      <c r="C227" s="1912"/>
      <c r="D227" s="1912"/>
      <c r="E227" s="1912"/>
      <c r="F227" s="1912"/>
      <c r="G227" s="1912"/>
      <c r="H227" s="1912"/>
      <c r="I227" s="1912"/>
      <c r="J227" s="1912"/>
      <c r="K227" s="1912"/>
      <c r="L227" s="1912"/>
      <c r="M227" s="1912"/>
      <c r="N227" s="1912"/>
      <c r="O227" s="1912"/>
      <c r="P227" s="1912"/>
      <c r="Q227" s="1912"/>
      <c r="R227" s="1912"/>
      <c r="S227" s="1912"/>
      <c r="T227" s="1912"/>
      <c r="U227" s="1912"/>
      <c r="V227" s="1912"/>
      <c r="W227" s="1912"/>
      <c r="X227" s="1912"/>
      <c r="Y227" s="1912"/>
      <c r="Z227" s="1912"/>
      <c r="AA227" s="1912"/>
      <c r="AB227" s="1912"/>
      <c r="AC227" s="1912"/>
      <c r="AD227" s="1912"/>
      <c r="AE227" s="1912"/>
      <c r="AF227" s="1912"/>
      <c r="AG227" s="1912"/>
    </row>
    <row r="228">
      <c r="A228" s="1912"/>
      <c r="B228" s="1923" t="s">
        <v>1076</v>
      </c>
      <c r="C228" s="1912"/>
      <c r="D228" s="1912"/>
      <c r="E228" s="1912"/>
      <c r="F228" s="1912"/>
      <c r="G228" s="1912"/>
      <c r="H228" s="1912"/>
      <c r="I228" s="1912"/>
      <c r="J228" s="1912"/>
      <c r="K228" s="1912"/>
      <c r="L228" s="1912"/>
      <c r="M228" s="1912"/>
      <c r="N228" s="1912"/>
      <c r="O228" s="1912"/>
      <c r="P228" s="1912"/>
      <c r="Q228" s="1912"/>
      <c r="R228" s="1912"/>
      <c r="S228" s="1912"/>
      <c r="T228" s="1912"/>
      <c r="U228" s="1912"/>
      <c r="V228" s="1912"/>
      <c r="W228" s="1912"/>
      <c r="X228" s="1912"/>
      <c r="Y228" s="1912"/>
      <c r="Z228" s="1912"/>
      <c r="AA228" s="1912"/>
      <c r="AB228" s="1912"/>
      <c r="AC228" s="1912"/>
      <c r="AD228" s="1912"/>
      <c r="AE228" s="1912"/>
      <c r="AF228" s="1912"/>
      <c r="AG228" s="1912"/>
    </row>
    <row r="229">
      <c r="A229" s="1912"/>
      <c r="B229" s="1923" t="s">
        <v>1079</v>
      </c>
      <c r="C229" s="1912"/>
      <c r="D229" s="1912"/>
      <c r="E229" s="1912"/>
      <c r="F229" s="1912"/>
      <c r="G229" s="1912"/>
      <c r="H229" s="1912"/>
      <c r="I229" s="1912"/>
      <c r="J229" s="1912"/>
      <c r="K229" s="1912"/>
      <c r="L229" s="1912"/>
      <c r="M229" s="1912"/>
      <c r="N229" s="1912"/>
      <c r="O229" s="1912"/>
      <c r="P229" s="1912"/>
      <c r="Q229" s="1912"/>
      <c r="R229" s="1912"/>
      <c r="S229" s="1912"/>
      <c r="T229" s="1912"/>
      <c r="U229" s="1912"/>
      <c r="V229" s="1912"/>
      <c r="W229" s="1912"/>
      <c r="X229" s="1912"/>
      <c r="Y229" s="1912"/>
      <c r="Z229" s="1912"/>
      <c r="AA229" s="1912"/>
      <c r="AB229" s="1912"/>
      <c r="AC229" s="1912"/>
      <c r="AD229" s="1912"/>
      <c r="AE229" s="1912"/>
      <c r="AF229" s="1912"/>
      <c r="AG229" s="1912"/>
    </row>
    <row r="230">
      <c r="A230" s="1912"/>
      <c r="B230" s="1931" t="s">
        <v>1081</v>
      </c>
      <c r="C230" s="1912"/>
      <c r="D230" s="1912"/>
      <c r="E230" s="1912"/>
      <c r="F230" s="1912"/>
      <c r="G230" s="1912"/>
      <c r="H230" s="1912"/>
      <c r="I230" s="1912"/>
      <c r="J230" s="1912"/>
      <c r="K230" s="1912"/>
      <c r="L230" s="1912"/>
      <c r="M230" s="1912"/>
      <c r="N230" s="1912"/>
      <c r="O230" s="1912"/>
      <c r="P230" s="1912"/>
      <c r="Q230" s="1912"/>
      <c r="R230" s="1912"/>
      <c r="S230" s="1912"/>
      <c r="T230" s="1912"/>
      <c r="U230" s="1912"/>
      <c r="V230" s="1912"/>
      <c r="W230" s="1912"/>
      <c r="X230" s="1912"/>
      <c r="Y230" s="1912"/>
      <c r="Z230" s="1912"/>
      <c r="AA230" s="1912"/>
      <c r="AB230" s="1912"/>
      <c r="AC230" s="1912"/>
      <c r="AD230" s="1912"/>
      <c r="AE230" s="1912"/>
      <c r="AF230" s="1912"/>
      <c r="AG230" s="1912"/>
    </row>
    <row r="231">
      <c r="A231" s="1912"/>
      <c r="B231" s="1925" t="s">
        <v>1098</v>
      </c>
      <c r="C231" s="1912"/>
      <c r="D231" s="1912"/>
      <c r="E231" s="1912"/>
      <c r="F231" s="1912"/>
      <c r="G231" s="1912"/>
      <c r="H231" s="1912"/>
      <c r="I231" s="1912"/>
      <c r="J231" s="1912"/>
      <c r="K231" s="1912"/>
      <c r="L231" s="1912"/>
      <c r="M231" s="1912"/>
      <c r="N231" s="1912"/>
      <c r="O231" s="1912"/>
      <c r="P231" s="1912"/>
      <c r="Q231" s="1912"/>
      <c r="R231" s="1912"/>
      <c r="S231" s="1912"/>
      <c r="T231" s="1912"/>
      <c r="U231" s="1912"/>
      <c r="V231" s="1912"/>
      <c r="W231" s="1912"/>
      <c r="X231" s="1912"/>
      <c r="Y231" s="1912"/>
      <c r="Z231" s="1912"/>
      <c r="AA231" s="1912"/>
      <c r="AB231" s="1912"/>
      <c r="AC231" s="1912"/>
      <c r="AD231" s="1912"/>
      <c r="AE231" s="1912"/>
      <c r="AF231" s="1912"/>
      <c r="AG231" s="1912"/>
    </row>
    <row r="232">
      <c r="A232" s="1912"/>
      <c r="B232" s="1925" t="s">
        <v>1109</v>
      </c>
      <c r="C232" s="1912"/>
      <c r="D232" s="1912"/>
      <c r="E232" s="1912"/>
      <c r="F232" s="1912"/>
      <c r="G232" s="1912"/>
      <c r="H232" s="1912"/>
      <c r="I232" s="1912"/>
      <c r="J232" s="1912"/>
      <c r="K232" s="1912"/>
      <c r="L232" s="1912"/>
      <c r="M232" s="1912"/>
      <c r="N232" s="1912"/>
      <c r="O232" s="1912"/>
      <c r="P232" s="1912"/>
      <c r="Q232" s="1912"/>
      <c r="R232" s="1912"/>
      <c r="S232" s="1912"/>
      <c r="T232" s="1912"/>
      <c r="U232" s="1912"/>
      <c r="V232" s="1912"/>
      <c r="W232" s="1912"/>
      <c r="X232" s="1912"/>
      <c r="Y232" s="1912"/>
      <c r="Z232" s="1912"/>
      <c r="AA232" s="1912"/>
      <c r="AB232" s="1912"/>
      <c r="AC232" s="1912"/>
      <c r="AD232" s="1912"/>
      <c r="AE232" s="1912"/>
      <c r="AF232" s="1912"/>
      <c r="AG232" s="1912"/>
    </row>
    <row r="233">
      <c r="A233" s="1912"/>
      <c r="B233" s="1922" t="s">
        <v>1036</v>
      </c>
      <c r="C233" s="1912"/>
      <c r="D233" s="1912"/>
      <c r="E233" s="1912"/>
      <c r="F233" s="1912"/>
      <c r="G233" s="1912"/>
      <c r="H233" s="1912"/>
      <c r="I233" s="1912"/>
      <c r="J233" s="1912"/>
      <c r="K233" s="1912"/>
      <c r="L233" s="1912"/>
      <c r="M233" s="1912"/>
      <c r="N233" s="1912"/>
      <c r="O233" s="1912"/>
      <c r="P233" s="1912"/>
      <c r="Q233" s="1912"/>
      <c r="R233" s="1912"/>
      <c r="S233" s="1912"/>
      <c r="T233" s="1912"/>
      <c r="U233" s="1912"/>
      <c r="V233" s="1912"/>
      <c r="W233" s="1912"/>
      <c r="X233" s="1912"/>
      <c r="Y233" s="1912"/>
      <c r="Z233" s="1912"/>
      <c r="AA233" s="1912"/>
      <c r="AB233" s="1912"/>
      <c r="AC233" s="1912"/>
      <c r="AD233" s="1912"/>
      <c r="AE233" s="1912"/>
      <c r="AF233" s="1912"/>
      <c r="AG233" s="1912"/>
    </row>
    <row r="234">
      <c r="A234" s="1912"/>
      <c r="B234" s="1922" t="s">
        <v>1045</v>
      </c>
      <c r="C234" s="1912"/>
      <c r="D234" s="1912"/>
      <c r="E234" s="1912"/>
      <c r="F234" s="1912"/>
      <c r="G234" s="1912"/>
      <c r="H234" s="1912"/>
      <c r="I234" s="1912"/>
      <c r="J234" s="1912"/>
      <c r="K234" s="1912"/>
      <c r="L234" s="1912"/>
      <c r="M234" s="1912"/>
      <c r="N234" s="1912"/>
      <c r="O234" s="1912"/>
      <c r="P234" s="1912"/>
      <c r="Q234" s="1912"/>
      <c r="R234" s="1912"/>
      <c r="S234" s="1912"/>
      <c r="T234" s="1912"/>
      <c r="U234" s="1912"/>
      <c r="V234" s="1912"/>
      <c r="W234" s="1912"/>
      <c r="X234" s="1912"/>
      <c r="Y234" s="1912"/>
      <c r="Z234" s="1912"/>
      <c r="AA234" s="1912"/>
      <c r="AB234" s="1912"/>
      <c r="AC234" s="1912"/>
      <c r="AD234" s="1912"/>
      <c r="AE234" s="1912"/>
      <c r="AF234" s="1912"/>
      <c r="AG234" s="1912"/>
    </row>
    <row r="235">
      <c r="A235" s="1912"/>
      <c r="B235" s="1922" t="s">
        <v>1051</v>
      </c>
      <c r="C235" s="1912"/>
      <c r="D235" s="1912"/>
      <c r="E235" s="1912"/>
      <c r="F235" s="1912"/>
      <c r="G235" s="1912"/>
      <c r="H235" s="1912"/>
      <c r="I235" s="1912"/>
      <c r="J235" s="1912"/>
      <c r="K235" s="1912"/>
      <c r="L235" s="1912"/>
      <c r="M235" s="1912"/>
      <c r="N235" s="1912"/>
      <c r="O235" s="1912"/>
      <c r="P235" s="1912"/>
      <c r="Q235" s="1912"/>
      <c r="R235" s="1912"/>
      <c r="S235" s="1912"/>
      <c r="T235" s="1912"/>
      <c r="U235" s="1912"/>
      <c r="V235" s="1912"/>
      <c r="W235" s="1912"/>
      <c r="X235" s="1912"/>
      <c r="Y235" s="1912"/>
      <c r="Z235" s="1912"/>
      <c r="AA235" s="1912"/>
      <c r="AB235" s="1912"/>
      <c r="AC235" s="1912"/>
      <c r="AD235" s="1912"/>
      <c r="AE235" s="1912"/>
      <c r="AF235" s="1912"/>
      <c r="AG235" s="1912"/>
    </row>
    <row r="236">
      <c r="A236" s="1912"/>
      <c r="B236" s="1930" t="s">
        <v>1058</v>
      </c>
      <c r="C236" s="1912"/>
      <c r="D236" s="1912"/>
      <c r="E236" s="1912"/>
      <c r="F236" s="1912"/>
      <c r="G236" s="1912"/>
      <c r="H236" s="1912"/>
      <c r="I236" s="1912"/>
      <c r="J236" s="1912"/>
      <c r="K236" s="1912"/>
      <c r="L236" s="1912"/>
      <c r="M236" s="1912"/>
      <c r="N236" s="1912"/>
      <c r="O236" s="1912"/>
      <c r="P236" s="1912"/>
      <c r="Q236" s="1912"/>
      <c r="R236" s="1912"/>
      <c r="S236" s="1912"/>
      <c r="T236" s="1912"/>
      <c r="U236" s="1912"/>
      <c r="V236" s="1912"/>
      <c r="W236" s="1912"/>
      <c r="X236" s="1912"/>
      <c r="Y236" s="1912"/>
      <c r="Z236" s="1912"/>
      <c r="AA236" s="1912"/>
      <c r="AB236" s="1912"/>
      <c r="AC236" s="1912"/>
      <c r="AD236" s="1912"/>
      <c r="AE236" s="1912"/>
      <c r="AF236" s="1912"/>
      <c r="AG236" s="1912"/>
    </row>
    <row r="237">
      <c r="A237" s="1912"/>
      <c r="B237" s="1922" t="s">
        <v>1061</v>
      </c>
      <c r="C237" s="1912"/>
      <c r="D237" s="1912"/>
      <c r="E237" s="1912"/>
      <c r="F237" s="1912"/>
      <c r="G237" s="1912"/>
      <c r="H237" s="1912"/>
      <c r="I237" s="1912"/>
      <c r="J237" s="1912"/>
      <c r="K237" s="1912"/>
      <c r="L237" s="1912"/>
      <c r="M237" s="1912"/>
      <c r="N237" s="1912"/>
      <c r="O237" s="1912"/>
      <c r="P237" s="1912"/>
      <c r="Q237" s="1912"/>
      <c r="R237" s="1912"/>
      <c r="S237" s="1912"/>
      <c r="T237" s="1912"/>
      <c r="U237" s="1912"/>
      <c r="V237" s="1912"/>
      <c r="W237" s="1912"/>
      <c r="X237" s="1912"/>
      <c r="Y237" s="1912"/>
      <c r="Z237" s="1912"/>
      <c r="AA237" s="1912"/>
      <c r="AB237" s="1912"/>
      <c r="AC237" s="1912"/>
      <c r="AD237" s="1912"/>
      <c r="AE237" s="1912"/>
      <c r="AF237" s="1912"/>
      <c r="AG237" s="1912"/>
    </row>
    <row r="238">
      <c r="A238" s="1912"/>
      <c r="B238" s="1930" t="s">
        <v>1063</v>
      </c>
      <c r="C238" s="1912"/>
      <c r="D238" s="1912"/>
      <c r="E238" s="1912"/>
      <c r="F238" s="1912"/>
      <c r="G238" s="1912"/>
      <c r="H238" s="1912"/>
      <c r="I238" s="1912"/>
      <c r="J238" s="1912"/>
      <c r="K238" s="1912"/>
      <c r="L238" s="1912"/>
      <c r="M238" s="1912"/>
      <c r="N238" s="1912"/>
      <c r="O238" s="1912"/>
      <c r="P238" s="1912"/>
      <c r="Q238" s="1912"/>
      <c r="R238" s="1912"/>
      <c r="S238" s="1912"/>
      <c r="T238" s="1912"/>
      <c r="U238" s="1912"/>
      <c r="V238" s="1912"/>
      <c r="W238" s="1912"/>
      <c r="X238" s="1912"/>
      <c r="Y238" s="1912"/>
      <c r="Z238" s="1912"/>
      <c r="AA238" s="1912"/>
      <c r="AB238" s="1912"/>
      <c r="AC238" s="1912"/>
      <c r="AD238" s="1912"/>
      <c r="AE238" s="1912"/>
      <c r="AF238" s="1912"/>
      <c r="AG238" s="1912"/>
    </row>
    <row r="239">
      <c r="A239" s="1912"/>
      <c r="B239" s="1922" t="s">
        <v>1066</v>
      </c>
      <c r="C239" s="1912"/>
      <c r="D239" s="1912"/>
      <c r="E239" s="1912"/>
      <c r="F239" s="1912"/>
      <c r="G239" s="1912"/>
      <c r="H239" s="1912"/>
      <c r="I239" s="1912"/>
      <c r="J239" s="1912"/>
      <c r="K239" s="1912"/>
      <c r="L239" s="1912"/>
      <c r="M239" s="1912"/>
      <c r="N239" s="1912"/>
      <c r="O239" s="1912"/>
      <c r="P239" s="1912"/>
      <c r="Q239" s="1912"/>
      <c r="R239" s="1912"/>
      <c r="S239" s="1912"/>
      <c r="T239" s="1912"/>
      <c r="U239" s="1912"/>
      <c r="V239" s="1912"/>
      <c r="W239" s="1912"/>
      <c r="X239" s="1912"/>
      <c r="Y239" s="1912"/>
      <c r="Z239" s="1912"/>
      <c r="AA239" s="1912"/>
      <c r="AB239" s="1912"/>
      <c r="AC239" s="1912"/>
      <c r="AD239" s="1912"/>
      <c r="AE239" s="1912"/>
      <c r="AF239" s="1912"/>
      <c r="AG239" s="1912"/>
    </row>
    <row r="240">
      <c r="A240" s="1912"/>
      <c r="B240" s="1931" t="s">
        <v>1140</v>
      </c>
      <c r="C240" s="1912"/>
      <c r="D240" s="1912"/>
      <c r="E240" s="1912"/>
      <c r="F240" s="1912"/>
      <c r="G240" s="1912"/>
      <c r="H240" s="1912"/>
      <c r="I240" s="1912"/>
      <c r="J240" s="1912"/>
      <c r="K240" s="1912"/>
      <c r="L240" s="1912"/>
      <c r="M240" s="1912"/>
      <c r="N240" s="1912"/>
      <c r="O240" s="1912"/>
      <c r="P240" s="1912"/>
      <c r="Q240" s="1912"/>
      <c r="R240" s="1912"/>
      <c r="S240" s="1912"/>
      <c r="T240" s="1912"/>
      <c r="U240" s="1912"/>
      <c r="V240" s="1912"/>
      <c r="W240" s="1912"/>
      <c r="X240" s="1912"/>
      <c r="Y240" s="1912"/>
      <c r="Z240" s="1912"/>
      <c r="AA240" s="1912"/>
      <c r="AB240" s="1912"/>
      <c r="AC240" s="1912"/>
      <c r="AD240" s="1912"/>
      <c r="AE240" s="1912"/>
      <c r="AF240" s="1912"/>
      <c r="AG240" s="1912"/>
    </row>
    <row r="241">
      <c r="A241" s="1912"/>
      <c r="B241" s="1931" t="s">
        <v>1084</v>
      </c>
      <c r="C241" s="1912"/>
      <c r="D241" s="1912"/>
      <c r="E241" s="1912"/>
      <c r="F241" s="1912"/>
      <c r="G241" s="1912"/>
      <c r="H241" s="1912"/>
      <c r="I241" s="1912"/>
      <c r="J241" s="1912"/>
      <c r="K241" s="1912"/>
      <c r="L241" s="1912"/>
      <c r="M241" s="1912"/>
      <c r="N241" s="1912"/>
      <c r="O241" s="1912"/>
      <c r="P241" s="1912"/>
      <c r="Q241" s="1912"/>
      <c r="R241" s="1912"/>
      <c r="S241" s="1912"/>
      <c r="T241" s="1912"/>
      <c r="U241" s="1912"/>
      <c r="V241" s="1912"/>
      <c r="W241" s="1912"/>
      <c r="X241" s="1912"/>
      <c r="Y241" s="1912"/>
      <c r="Z241" s="1912"/>
      <c r="AA241" s="1912"/>
      <c r="AB241" s="1912"/>
      <c r="AC241" s="1912"/>
      <c r="AD241" s="1912"/>
      <c r="AE241" s="1912"/>
      <c r="AF241" s="1912"/>
      <c r="AG241" s="1912"/>
    </row>
    <row r="242">
      <c r="A242" s="1912"/>
      <c r="B242" s="1924" t="s">
        <v>199</v>
      </c>
      <c r="C242" s="1912"/>
      <c r="D242" s="1912"/>
      <c r="E242" s="1912"/>
      <c r="F242" s="1912"/>
      <c r="G242" s="1912"/>
      <c r="H242" s="1912"/>
      <c r="I242" s="1912"/>
      <c r="J242" s="1912"/>
      <c r="K242" s="1912"/>
      <c r="L242" s="1912"/>
      <c r="M242" s="1912"/>
      <c r="N242" s="1912"/>
      <c r="O242" s="1912"/>
      <c r="P242" s="1912"/>
      <c r="Q242" s="1912"/>
      <c r="R242" s="1912"/>
      <c r="S242" s="1912"/>
      <c r="T242" s="1912"/>
      <c r="U242" s="1912"/>
      <c r="V242" s="1912"/>
      <c r="W242" s="1912"/>
      <c r="X242" s="1912"/>
      <c r="Y242" s="1912"/>
      <c r="Z242" s="1912"/>
      <c r="AA242" s="1912"/>
      <c r="AB242" s="1912"/>
      <c r="AC242" s="1912"/>
      <c r="AD242" s="1912"/>
      <c r="AE242" s="1912"/>
      <c r="AF242" s="1912"/>
      <c r="AG242" s="1912"/>
    </row>
    <row r="243">
      <c r="A243" s="1912"/>
      <c r="B243" s="1924" t="s">
        <v>1157</v>
      </c>
      <c r="C243" s="1912"/>
      <c r="D243" s="1912"/>
      <c r="E243" s="1912"/>
      <c r="F243" s="1912"/>
      <c r="G243" s="1912"/>
      <c r="H243" s="1912"/>
      <c r="I243" s="1912"/>
      <c r="J243" s="1912"/>
      <c r="K243" s="1912"/>
      <c r="L243" s="1912"/>
      <c r="M243" s="1912"/>
      <c r="N243" s="1912"/>
      <c r="O243" s="1912"/>
      <c r="P243" s="1912"/>
      <c r="Q243" s="1912"/>
      <c r="R243" s="1912"/>
      <c r="S243" s="1912"/>
      <c r="T243" s="1912"/>
      <c r="U243" s="1912"/>
      <c r="V243" s="1912"/>
      <c r="W243" s="1912"/>
      <c r="X243" s="1912"/>
      <c r="Y243" s="1912"/>
      <c r="Z243" s="1912"/>
      <c r="AA243" s="1912"/>
      <c r="AB243" s="1912"/>
      <c r="AC243" s="1912"/>
      <c r="AD243" s="1912"/>
      <c r="AE243" s="1912"/>
      <c r="AF243" s="1912"/>
      <c r="AG243" s="1912"/>
    </row>
    <row r="244">
      <c r="A244" s="1912"/>
      <c r="B244" s="1924" t="s">
        <v>1158</v>
      </c>
      <c r="C244" s="1912"/>
      <c r="D244" s="1912"/>
      <c r="E244" s="1912"/>
      <c r="F244" s="1912"/>
      <c r="G244" s="1912"/>
      <c r="H244" s="1912"/>
      <c r="I244" s="1912"/>
      <c r="J244" s="1912"/>
      <c r="K244" s="1912"/>
      <c r="L244" s="1912"/>
      <c r="M244" s="1912"/>
      <c r="N244" s="1912"/>
      <c r="O244" s="1912"/>
      <c r="P244" s="1912"/>
      <c r="Q244" s="1912"/>
      <c r="R244" s="1912"/>
      <c r="S244" s="1912"/>
      <c r="T244" s="1912"/>
      <c r="U244" s="1912"/>
      <c r="V244" s="1912"/>
      <c r="W244" s="1912"/>
      <c r="X244" s="1912"/>
      <c r="Y244" s="1912"/>
      <c r="Z244" s="1912"/>
      <c r="AA244" s="1912"/>
      <c r="AB244" s="1912"/>
      <c r="AC244" s="1912"/>
      <c r="AD244" s="1912"/>
      <c r="AE244" s="1912"/>
      <c r="AF244" s="1912"/>
      <c r="AG244" s="1912"/>
    </row>
    <row r="245">
      <c r="A245" s="1912"/>
      <c r="B245" s="1924" t="s">
        <v>1164</v>
      </c>
      <c r="C245" s="1912"/>
      <c r="D245" s="1912"/>
      <c r="E245" s="1912"/>
      <c r="F245" s="1912"/>
      <c r="G245" s="1912"/>
      <c r="H245" s="1912"/>
      <c r="I245" s="1912"/>
      <c r="J245" s="1912"/>
      <c r="K245" s="1912"/>
      <c r="L245" s="1912"/>
      <c r="M245" s="1912"/>
      <c r="N245" s="1912"/>
      <c r="O245" s="1912"/>
      <c r="P245" s="1912"/>
      <c r="Q245" s="1912"/>
      <c r="R245" s="1912"/>
      <c r="S245" s="1912"/>
      <c r="T245" s="1912"/>
      <c r="U245" s="1912"/>
      <c r="V245" s="1912"/>
      <c r="W245" s="1912"/>
      <c r="X245" s="1912"/>
      <c r="Y245" s="1912"/>
      <c r="Z245" s="1912"/>
      <c r="AA245" s="1912"/>
      <c r="AB245" s="1912"/>
      <c r="AC245" s="1912"/>
      <c r="AD245" s="1912"/>
      <c r="AE245" s="1912"/>
      <c r="AF245" s="1912"/>
      <c r="AG245" s="1912"/>
    </row>
    <row r="246">
      <c r="A246" s="1912"/>
      <c r="B246" s="867" t="s">
        <v>1171</v>
      </c>
      <c r="C246" s="1912"/>
      <c r="D246" s="1912"/>
      <c r="E246" s="1912"/>
      <c r="F246" s="1912"/>
      <c r="G246" s="1912"/>
      <c r="H246" s="1912"/>
      <c r="I246" s="1912"/>
      <c r="J246" s="1912"/>
      <c r="K246" s="1912"/>
      <c r="L246" s="1912"/>
      <c r="M246" s="1912"/>
      <c r="N246" s="1912"/>
      <c r="O246" s="1912"/>
      <c r="P246" s="1912"/>
      <c r="Q246" s="1912"/>
      <c r="R246" s="1912"/>
      <c r="S246" s="1912"/>
      <c r="T246" s="1912"/>
      <c r="U246" s="1912"/>
      <c r="V246" s="1912"/>
      <c r="W246" s="1912"/>
      <c r="X246" s="1912"/>
      <c r="Y246" s="1912"/>
      <c r="Z246" s="1912"/>
      <c r="AA246" s="1912"/>
      <c r="AB246" s="1912"/>
      <c r="AC246" s="1912"/>
      <c r="AD246" s="1912"/>
      <c r="AE246" s="1912"/>
      <c r="AF246" s="1912"/>
      <c r="AG246" s="1912"/>
    </row>
    <row r="247">
      <c r="A247" s="1912"/>
      <c r="B247" s="867" t="s">
        <v>1179</v>
      </c>
      <c r="C247" s="1912"/>
      <c r="D247" s="1912"/>
      <c r="E247" s="1912"/>
      <c r="F247" s="1912"/>
      <c r="G247" s="1912"/>
      <c r="H247" s="1912"/>
      <c r="I247" s="1912"/>
      <c r="J247" s="1912"/>
      <c r="K247" s="1912"/>
      <c r="L247" s="1912"/>
      <c r="M247" s="1912"/>
      <c r="N247" s="1912"/>
      <c r="O247" s="1912"/>
      <c r="P247" s="1912"/>
      <c r="Q247" s="1912"/>
      <c r="R247" s="1912"/>
      <c r="S247" s="1912"/>
      <c r="T247" s="1912"/>
      <c r="U247" s="1912"/>
      <c r="V247" s="1912"/>
      <c r="W247" s="1912"/>
      <c r="X247" s="1912"/>
      <c r="Y247" s="1912"/>
      <c r="Z247" s="1912"/>
      <c r="AA247" s="1912"/>
      <c r="AB247" s="1912"/>
      <c r="AC247" s="1912"/>
      <c r="AD247" s="1912"/>
      <c r="AE247" s="1912"/>
      <c r="AF247" s="1912"/>
      <c r="AG247" s="1912"/>
    </row>
    <row r="248">
      <c r="A248" s="1912"/>
      <c r="B248" s="867" t="s">
        <v>1184</v>
      </c>
      <c r="C248" s="1912"/>
      <c r="D248" s="1912"/>
      <c r="E248" s="1912"/>
      <c r="F248" s="1912"/>
      <c r="G248" s="1912"/>
      <c r="H248" s="1912"/>
      <c r="I248" s="1912"/>
      <c r="J248" s="1912"/>
      <c r="K248" s="1912"/>
      <c r="L248" s="1912"/>
      <c r="M248" s="1912"/>
      <c r="N248" s="1912"/>
      <c r="O248" s="1912"/>
      <c r="P248" s="1912"/>
      <c r="Q248" s="1912"/>
      <c r="R248" s="1912"/>
      <c r="S248" s="1912"/>
      <c r="T248" s="1912"/>
      <c r="U248" s="1912"/>
      <c r="V248" s="1912"/>
      <c r="W248" s="1912"/>
      <c r="X248" s="1912"/>
      <c r="Y248" s="1912"/>
      <c r="Z248" s="1912"/>
      <c r="AA248" s="1912"/>
      <c r="AB248" s="1912"/>
      <c r="AC248" s="1912"/>
      <c r="AD248" s="1912"/>
      <c r="AE248" s="1912"/>
      <c r="AF248" s="1912"/>
      <c r="AG248" s="1912"/>
    </row>
    <row r="249">
      <c r="A249" s="1912"/>
      <c r="B249" s="867" t="s">
        <v>1186</v>
      </c>
      <c r="C249" s="1912"/>
      <c r="D249" s="1912"/>
      <c r="E249" s="1912"/>
      <c r="F249" s="1912"/>
      <c r="G249" s="1912"/>
      <c r="H249" s="1912"/>
      <c r="I249" s="1912"/>
      <c r="J249" s="1912"/>
      <c r="K249" s="1912"/>
      <c r="L249" s="1912"/>
      <c r="M249" s="1912"/>
      <c r="N249" s="1912"/>
      <c r="O249" s="1912"/>
      <c r="P249" s="1912"/>
      <c r="Q249" s="1912"/>
      <c r="R249" s="1912"/>
      <c r="S249" s="1912"/>
      <c r="T249" s="1912"/>
      <c r="U249" s="1912"/>
      <c r="V249" s="1912"/>
      <c r="W249" s="1912"/>
      <c r="X249" s="1912"/>
      <c r="Y249" s="1912"/>
      <c r="Z249" s="1912"/>
      <c r="AA249" s="1912"/>
      <c r="AB249" s="1912"/>
      <c r="AC249" s="1912"/>
      <c r="AD249" s="1912"/>
      <c r="AE249" s="1912"/>
      <c r="AF249" s="1912"/>
      <c r="AG249" s="1912"/>
    </row>
    <row r="250">
      <c r="A250" s="1912"/>
      <c r="B250" s="757" t="s">
        <v>206</v>
      </c>
      <c r="C250" s="1912"/>
      <c r="D250" s="1912"/>
      <c r="E250" s="1912"/>
      <c r="F250" s="1912"/>
      <c r="G250" s="1912"/>
      <c r="H250" s="1912"/>
      <c r="I250" s="1912"/>
      <c r="J250" s="1912"/>
      <c r="K250" s="1912"/>
      <c r="L250" s="1912"/>
      <c r="M250" s="1912"/>
      <c r="N250" s="1912"/>
      <c r="O250" s="1912"/>
      <c r="P250" s="1912"/>
      <c r="Q250" s="1912"/>
      <c r="R250" s="1912"/>
      <c r="S250" s="1912"/>
      <c r="T250" s="1912"/>
      <c r="U250" s="1912"/>
      <c r="V250" s="1912"/>
      <c r="W250" s="1912"/>
      <c r="X250" s="1912"/>
      <c r="Y250" s="1912"/>
      <c r="Z250" s="1912"/>
      <c r="AA250" s="1912"/>
      <c r="AB250" s="1912"/>
      <c r="AC250" s="1912"/>
      <c r="AD250" s="1912"/>
      <c r="AE250" s="1912"/>
      <c r="AF250" s="1912"/>
      <c r="AG250" s="1912"/>
    </row>
    <row r="251">
      <c r="A251" s="1912"/>
      <c r="B251" s="757" t="s">
        <v>1127</v>
      </c>
      <c r="C251" s="1912"/>
      <c r="D251" s="1912"/>
      <c r="E251" s="1912"/>
      <c r="F251" s="1912"/>
      <c r="G251" s="1912"/>
      <c r="H251" s="1912"/>
      <c r="I251" s="1912"/>
      <c r="J251" s="1912"/>
      <c r="K251" s="1912"/>
      <c r="L251" s="1912"/>
      <c r="M251" s="1912"/>
      <c r="N251" s="1912"/>
      <c r="O251" s="1912"/>
      <c r="P251" s="1912"/>
      <c r="Q251" s="1912"/>
      <c r="R251" s="1912"/>
      <c r="S251" s="1912"/>
      <c r="T251" s="1912"/>
      <c r="U251" s="1912"/>
      <c r="V251" s="1912"/>
      <c r="W251" s="1912"/>
      <c r="X251" s="1912"/>
      <c r="Y251" s="1912"/>
      <c r="Z251" s="1912"/>
      <c r="AA251" s="1912"/>
      <c r="AB251" s="1912"/>
      <c r="AC251" s="1912"/>
      <c r="AD251" s="1912"/>
      <c r="AE251" s="1912"/>
      <c r="AF251" s="1912"/>
      <c r="AG251" s="1912"/>
    </row>
    <row r="252">
      <c r="A252" s="1912"/>
      <c r="B252" s="757" t="s">
        <v>119</v>
      </c>
      <c r="C252" s="1912"/>
      <c r="D252" s="1912"/>
      <c r="E252" s="1912"/>
      <c r="F252" s="1912"/>
      <c r="G252" s="1912"/>
      <c r="H252" s="1912"/>
      <c r="I252" s="1912"/>
      <c r="J252" s="1912"/>
      <c r="K252" s="1912"/>
      <c r="L252" s="1912"/>
      <c r="M252" s="1912"/>
      <c r="N252" s="1912"/>
      <c r="O252" s="1912"/>
      <c r="P252" s="1912"/>
      <c r="Q252" s="1912"/>
      <c r="R252" s="1912"/>
      <c r="S252" s="1912"/>
      <c r="T252" s="1912"/>
      <c r="U252" s="1912"/>
      <c r="V252" s="1912"/>
      <c r="W252" s="1912"/>
      <c r="X252" s="1912"/>
      <c r="Y252" s="1912"/>
      <c r="Z252" s="1912"/>
      <c r="AA252" s="1912"/>
      <c r="AB252" s="1912"/>
      <c r="AC252" s="1912"/>
      <c r="AD252" s="1912"/>
      <c r="AE252" s="1912"/>
      <c r="AF252" s="1912"/>
      <c r="AG252" s="1912"/>
    </row>
    <row r="253">
      <c r="A253" s="1912"/>
      <c r="B253" s="757" t="s">
        <v>1131</v>
      </c>
      <c r="C253" s="1912"/>
      <c r="D253" s="1912"/>
      <c r="E253" s="1912"/>
      <c r="F253" s="1912"/>
      <c r="G253" s="1912"/>
      <c r="H253" s="1912"/>
      <c r="I253" s="1912"/>
      <c r="J253" s="1912"/>
      <c r="K253" s="1912"/>
      <c r="L253" s="1912"/>
      <c r="M253" s="1912"/>
      <c r="N253" s="1912"/>
      <c r="O253" s="1912"/>
      <c r="P253" s="1912"/>
      <c r="Q253" s="1912"/>
      <c r="R253" s="1912"/>
      <c r="S253" s="1912"/>
      <c r="T253" s="1912"/>
      <c r="U253" s="1912"/>
      <c r="V253" s="1912"/>
      <c r="W253" s="1912"/>
      <c r="X253" s="1912"/>
      <c r="Y253" s="1912"/>
      <c r="Z253" s="1912"/>
      <c r="AA253" s="1912"/>
      <c r="AB253" s="1912"/>
      <c r="AC253" s="1912"/>
      <c r="AD253" s="1912"/>
      <c r="AE253" s="1912"/>
      <c r="AF253" s="1912"/>
      <c r="AG253" s="1912"/>
    </row>
    <row r="254">
      <c r="A254" s="1912"/>
      <c r="B254" s="1933" t="s">
        <v>1134</v>
      </c>
      <c r="C254" s="1912"/>
      <c r="D254" s="1912"/>
      <c r="E254" s="1912"/>
      <c r="F254" s="1912"/>
      <c r="G254" s="1912"/>
      <c r="H254" s="1912"/>
      <c r="I254" s="1912"/>
      <c r="J254" s="1912"/>
      <c r="K254" s="1912"/>
      <c r="L254" s="1912"/>
      <c r="M254" s="1912"/>
      <c r="N254" s="1912"/>
      <c r="O254" s="1912"/>
      <c r="P254" s="1912"/>
      <c r="Q254" s="1912"/>
      <c r="R254" s="1912"/>
      <c r="S254" s="1912"/>
      <c r="T254" s="1912"/>
      <c r="U254" s="1912"/>
      <c r="V254" s="1912"/>
      <c r="W254" s="1912"/>
      <c r="X254" s="1912"/>
      <c r="Y254" s="1912"/>
      <c r="Z254" s="1912"/>
      <c r="AA254" s="1912"/>
      <c r="AB254" s="1912"/>
      <c r="AC254" s="1912"/>
      <c r="AD254" s="1912"/>
      <c r="AE254" s="1912"/>
      <c r="AF254" s="1912"/>
      <c r="AG254" s="1912"/>
    </row>
    <row r="255">
      <c r="A255" s="1912"/>
      <c r="B255" s="1961" t="s">
        <v>136</v>
      </c>
      <c r="C255" s="1912"/>
      <c r="D255" s="1912"/>
      <c r="E255" s="1912"/>
      <c r="F255" s="1912"/>
      <c r="G255" s="1912"/>
      <c r="H255" s="1912"/>
      <c r="I255" s="1912"/>
      <c r="J255" s="1912"/>
      <c r="K255" s="1912"/>
      <c r="L255" s="1912"/>
      <c r="M255" s="1912"/>
      <c r="N255" s="1912"/>
      <c r="O255" s="1912"/>
      <c r="P255" s="1912"/>
      <c r="Q255" s="1912"/>
      <c r="R255" s="1912"/>
      <c r="S255" s="1912"/>
      <c r="T255" s="1912"/>
      <c r="U255" s="1912"/>
      <c r="V255" s="1912"/>
      <c r="W255" s="1912"/>
      <c r="X255" s="1912"/>
      <c r="Y255" s="1912"/>
      <c r="Z255" s="1912"/>
      <c r="AA255" s="1912"/>
      <c r="AB255" s="1912"/>
      <c r="AC255" s="1912"/>
      <c r="AD255" s="1912"/>
      <c r="AE255" s="1912"/>
      <c r="AF255" s="1912"/>
      <c r="AG255" s="1912"/>
    </row>
    <row r="256">
      <c r="A256" s="1912"/>
      <c r="B256" s="1963" t="s">
        <v>30</v>
      </c>
      <c r="C256" s="1912"/>
      <c r="D256" s="1912"/>
      <c r="E256" s="1912"/>
      <c r="F256" s="1912"/>
      <c r="G256" s="1912"/>
      <c r="H256" s="1912"/>
      <c r="I256" s="1912"/>
      <c r="J256" s="1912"/>
      <c r="K256" s="1912"/>
      <c r="L256" s="1912"/>
      <c r="M256" s="1912"/>
      <c r="N256" s="1912"/>
      <c r="O256" s="1912"/>
      <c r="P256" s="1912"/>
      <c r="Q256" s="1912"/>
      <c r="R256" s="1912"/>
      <c r="S256" s="1912"/>
      <c r="T256" s="1912"/>
      <c r="U256" s="1912"/>
      <c r="V256" s="1912"/>
      <c r="W256" s="1912"/>
      <c r="X256" s="1912"/>
      <c r="Y256" s="1912"/>
      <c r="Z256" s="1912"/>
      <c r="AA256" s="1912"/>
      <c r="AB256" s="1912"/>
      <c r="AC256" s="1912"/>
      <c r="AD256" s="1912"/>
      <c r="AE256" s="1912"/>
      <c r="AF256" s="1912"/>
      <c r="AG256" s="1912"/>
    </row>
    <row r="257">
      <c r="A257" s="1912"/>
      <c r="B257" s="1963"/>
      <c r="C257" s="1912"/>
      <c r="D257" s="1912"/>
      <c r="E257" s="1912"/>
      <c r="F257" s="1912"/>
      <c r="G257" s="1912"/>
      <c r="H257" s="1912"/>
      <c r="I257" s="1912"/>
      <c r="J257" s="1912"/>
      <c r="K257" s="1912"/>
      <c r="L257" s="1912"/>
      <c r="M257" s="1912"/>
      <c r="N257" s="1912"/>
      <c r="O257" s="1912"/>
      <c r="P257" s="1912"/>
      <c r="Q257" s="1912"/>
      <c r="R257" s="1912"/>
      <c r="S257" s="1912"/>
      <c r="T257" s="1912"/>
      <c r="U257" s="1912"/>
      <c r="V257" s="1912"/>
      <c r="W257" s="1912"/>
      <c r="X257" s="1912"/>
      <c r="Y257" s="1912"/>
      <c r="Z257" s="1912"/>
      <c r="AA257" s="1912"/>
      <c r="AB257" s="1912"/>
      <c r="AC257" s="1912"/>
      <c r="AD257" s="1912"/>
      <c r="AE257" s="1912"/>
      <c r="AF257" s="1912"/>
      <c r="AG257" s="1912"/>
    </row>
    <row r="258">
      <c r="A258" s="1912"/>
      <c r="B258" s="1926" t="s">
        <v>1192</v>
      </c>
      <c r="C258" s="1912"/>
      <c r="D258" s="1912"/>
      <c r="E258" s="1912"/>
      <c r="F258" s="1912"/>
      <c r="G258" s="1912"/>
      <c r="H258" s="1912"/>
      <c r="I258" s="1912"/>
      <c r="J258" s="1912"/>
      <c r="K258" s="1912"/>
      <c r="L258" s="1912"/>
      <c r="M258" s="1912"/>
      <c r="N258" s="1912"/>
      <c r="O258" s="1912"/>
      <c r="P258" s="1912"/>
      <c r="Q258" s="1912"/>
      <c r="R258" s="1912"/>
      <c r="S258" s="1912"/>
      <c r="T258" s="1912"/>
      <c r="U258" s="1912"/>
      <c r="V258" s="1912"/>
      <c r="W258" s="1912"/>
      <c r="X258" s="1912"/>
      <c r="Y258" s="1912"/>
      <c r="Z258" s="1912"/>
      <c r="AA258" s="1912"/>
      <c r="AB258" s="1912"/>
      <c r="AC258" s="1912"/>
      <c r="AD258" s="1912"/>
      <c r="AE258" s="1912"/>
      <c r="AF258" s="1912"/>
      <c r="AG258" s="1912"/>
    </row>
    <row r="259">
      <c r="A259" s="1912"/>
      <c r="B259" s="1926" t="s">
        <v>1202</v>
      </c>
      <c r="C259" s="1912"/>
      <c r="D259" s="1912"/>
      <c r="E259" s="1912"/>
      <c r="F259" s="1912"/>
      <c r="G259" s="1912"/>
      <c r="H259" s="1912"/>
      <c r="I259" s="1912"/>
      <c r="J259" s="1912"/>
      <c r="K259" s="1912"/>
      <c r="L259" s="1912"/>
      <c r="M259" s="1912"/>
      <c r="N259" s="1912"/>
      <c r="O259" s="1912"/>
      <c r="P259" s="1912"/>
      <c r="Q259" s="1912"/>
      <c r="R259" s="1912"/>
      <c r="S259" s="1912"/>
      <c r="T259" s="1912"/>
      <c r="U259" s="1912"/>
      <c r="V259" s="1912"/>
      <c r="W259" s="1912"/>
      <c r="X259" s="1912"/>
      <c r="Y259" s="1912"/>
      <c r="Z259" s="1912"/>
      <c r="AA259" s="1912"/>
      <c r="AB259" s="1912"/>
      <c r="AC259" s="1912"/>
      <c r="AD259" s="1912"/>
      <c r="AE259" s="1912"/>
      <c r="AF259" s="1912"/>
      <c r="AG259" s="1912"/>
    </row>
    <row r="260">
      <c r="A260" s="1912"/>
      <c r="B260" s="1926" t="s">
        <v>1195</v>
      </c>
      <c r="C260" s="1912"/>
      <c r="D260" s="1912"/>
      <c r="E260" s="1912"/>
      <c r="F260" s="1912"/>
      <c r="G260" s="1912"/>
      <c r="H260" s="1912"/>
      <c r="I260" s="1912"/>
      <c r="J260" s="1912"/>
      <c r="K260" s="1912"/>
      <c r="L260" s="1912"/>
      <c r="M260" s="1912"/>
      <c r="N260" s="1912"/>
      <c r="O260" s="1912"/>
      <c r="P260" s="1912"/>
      <c r="Q260" s="1912"/>
      <c r="R260" s="1912"/>
      <c r="S260" s="1912"/>
      <c r="T260" s="1912"/>
      <c r="U260" s="1912"/>
      <c r="V260" s="1912"/>
      <c r="W260" s="1912"/>
      <c r="X260" s="1912"/>
      <c r="Y260" s="1912"/>
      <c r="Z260" s="1912"/>
      <c r="AA260" s="1912"/>
      <c r="AB260" s="1912"/>
      <c r="AC260" s="1912"/>
      <c r="AD260" s="1912"/>
      <c r="AE260" s="1912"/>
      <c r="AF260" s="1912"/>
      <c r="AG260" s="1912"/>
    </row>
    <row r="261">
      <c r="A261" s="1912"/>
      <c r="B261" s="1926" t="s">
        <v>1203</v>
      </c>
      <c r="C261" s="1912"/>
      <c r="D261" s="1912"/>
      <c r="E261" s="1912"/>
      <c r="F261" s="1912"/>
      <c r="G261" s="1912"/>
      <c r="H261" s="1912"/>
      <c r="I261" s="1912"/>
      <c r="J261" s="1912"/>
      <c r="K261" s="1912"/>
      <c r="L261" s="1912"/>
      <c r="M261" s="1912"/>
      <c r="N261" s="1912"/>
      <c r="O261" s="1912"/>
      <c r="P261" s="1912"/>
      <c r="Q261" s="1912"/>
      <c r="R261" s="1912"/>
      <c r="S261" s="1912"/>
      <c r="T261" s="1912"/>
      <c r="U261" s="1912"/>
      <c r="V261" s="1912"/>
      <c r="W261" s="1912"/>
      <c r="X261" s="1912"/>
      <c r="Y261" s="1912"/>
      <c r="Z261" s="1912"/>
      <c r="AA261" s="1912"/>
      <c r="AB261" s="1912"/>
      <c r="AC261" s="1912"/>
      <c r="AD261" s="1912"/>
      <c r="AE261" s="1912"/>
      <c r="AF261" s="1912"/>
      <c r="AG261" s="1912"/>
    </row>
    <row r="262">
      <c r="A262" s="1912"/>
      <c r="B262" s="1926" t="s">
        <v>1198</v>
      </c>
      <c r="C262" s="1912"/>
      <c r="D262" s="1912"/>
      <c r="E262" s="1912"/>
      <c r="F262" s="1912"/>
      <c r="G262" s="1912"/>
      <c r="H262" s="1912"/>
      <c r="I262" s="1912"/>
      <c r="J262" s="1912"/>
      <c r="K262" s="1912"/>
      <c r="L262" s="1912"/>
      <c r="M262" s="1912"/>
      <c r="N262" s="1912"/>
      <c r="O262" s="1912"/>
      <c r="P262" s="1912"/>
      <c r="Q262" s="1912"/>
      <c r="R262" s="1912"/>
      <c r="S262" s="1912"/>
      <c r="T262" s="1912"/>
      <c r="U262" s="1912"/>
      <c r="V262" s="1912"/>
      <c r="W262" s="1912"/>
      <c r="X262" s="1912"/>
      <c r="Y262" s="1912"/>
      <c r="Z262" s="1912"/>
      <c r="AA262" s="1912"/>
      <c r="AB262" s="1912"/>
      <c r="AC262" s="1912"/>
      <c r="AD262" s="1912"/>
      <c r="AE262" s="1912"/>
      <c r="AF262" s="1912"/>
      <c r="AG262" s="1912"/>
    </row>
    <row r="263">
      <c r="A263" s="1912"/>
      <c r="B263" s="1926" t="s">
        <v>1204</v>
      </c>
      <c r="C263" s="1912"/>
      <c r="D263" s="1912"/>
      <c r="E263" s="1912"/>
      <c r="F263" s="1912"/>
      <c r="G263" s="1912"/>
      <c r="H263" s="1912"/>
      <c r="I263" s="1912"/>
      <c r="J263" s="1912"/>
      <c r="K263" s="1912"/>
      <c r="L263" s="1912"/>
      <c r="M263" s="1912"/>
      <c r="N263" s="1912"/>
      <c r="O263" s="1912"/>
      <c r="P263" s="1912"/>
      <c r="Q263" s="1912"/>
      <c r="R263" s="1912"/>
      <c r="S263" s="1912"/>
      <c r="T263" s="1912"/>
      <c r="U263" s="1912"/>
      <c r="V263" s="1912"/>
      <c r="W263" s="1912"/>
      <c r="X263" s="1912"/>
      <c r="Y263" s="1912"/>
      <c r="Z263" s="1912"/>
      <c r="AA263" s="1912"/>
      <c r="AB263" s="1912"/>
      <c r="AC263" s="1912"/>
      <c r="AD263" s="1912"/>
      <c r="AE263" s="1912"/>
      <c r="AF263" s="1912"/>
      <c r="AG263" s="1912"/>
    </row>
    <row r="264">
      <c r="A264" s="1912"/>
      <c r="B264" s="1926" t="s">
        <v>2449</v>
      </c>
      <c r="C264" s="1912"/>
      <c r="D264" s="1912"/>
      <c r="E264" s="1912"/>
      <c r="F264" s="1912"/>
      <c r="G264" s="1912"/>
      <c r="H264" s="1912"/>
      <c r="I264" s="1912"/>
      <c r="J264" s="1912"/>
      <c r="K264" s="1912"/>
      <c r="L264" s="1912"/>
      <c r="M264" s="1912"/>
      <c r="N264" s="1912"/>
      <c r="O264" s="1912"/>
      <c r="P264" s="1912"/>
      <c r="Q264" s="1912"/>
      <c r="R264" s="1912"/>
      <c r="S264" s="1912"/>
      <c r="T264" s="1912"/>
      <c r="U264" s="1912"/>
      <c r="V264" s="1912"/>
      <c r="W264" s="1912"/>
      <c r="X264" s="1912"/>
      <c r="Y264" s="1912"/>
      <c r="Z264" s="1912"/>
      <c r="AA264" s="1912"/>
      <c r="AB264" s="1912"/>
      <c r="AC264" s="1912"/>
      <c r="AD264" s="1912"/>
      <c r="AE264" s="1912"/>
      <c r="AF264" s="1912"/>
      <c r="AG264" s="1912"/>
    </row>
    <row r="265">
      <c r="A265" s="1912"/>
      <c r="B265" s="1926" t="s">
        <v>1119</v>
      </c>
      <c r="C265" s="1912"/>
      <c r="D265" s="1912"/>
      <c r="E265" s="1912"/>
      <c r="F265" s="1912"/>
      <c r="G265" s="1912"/>
      <c r="H265" s="1912"/>
      <c r="I265" s="1912"/>
      <c r="J265" s="1912"/>
      <c r="K265" s="1912"/>
      <c r="L265" s="1912"/>
      <c r="M265" s="1912"/>
      <c r="N265" s="1912"/>
      <c r="O265" s="1912"/>
      <c r="P265" s="1912"/>
      <c r="Q265" s="1912"/>
      <c r="R265" s="1912"/>
      <c r="S265" s="1912"/>
      <c r="T265" s="1912"/>
      <c r="U265" s="1912"/>
      <c r="V265" s="1912"/>
      <c r="W265" s="1912"/>
      <c r="X265" s="1912"/>
      <c r="Y265" s="1912"/>
      <c r="Z265" s="1912"/>
      <c r="AA265" s="1912"/>
      <c r="AB265" s="1912"/>
      <c r="AC265" s="1912"/>
      <c r="AD265" s="1912"/>
      <c r="AE265" s="1912"/>
      <c r="AF265" s="1912"/>
      <c r="AG265" s="1912"/>
    </row>
    <row r="266">
      <c r="A266" s="1912"/>
      <c r="B266" s="1912"/>
      <c r="C266" s="1912"/>
      <c r="D266" s="1912"/>
      <c r="E266" s="1912"/>
      <c r="F266" s="1912"/>
      <c r="G266" s="1912"/>
      <c r="H266" s="1912"/>
      <c r="I266" s="1912"/>
      <c r="J266" s="1912"/>
      <c r="K266" s="1912"/>
      <c r="L266" s="1912"/>
      <c r="M266" s="1912"/>
      <c r="N266" s="1912"/>
      <c r="O266" s="1912"/>
      <c r="P266" s="1912"/>
      <c r="Q266" s="1912"/>
      <c r="R266" s="1912"/>
      <c r="S266" s="1912"/>
      <c r="T266" s="1912"/>
      <c r="U266" s="1912"/>
      <c r="V266" s="1912"/>
      <c r="W266" s="1912"/>
      <c r="X266" s="1912"/>
      <c r="Y266" s="1912"/>
      <c r="Z266" s="1912"/>
      <c r="AA266" s="1912"/>
      <c r="AB266" s="1912"/>
      <c r="AC266" s="1912"/>
      <c r="AD266" s="1912"/>
      <c r="AE266" s="1912"/>
      <c r="AF266" s="1912"/>
      <c r="AG266" s="1912"/>
    </row>
    <row r="267">
      <c r="A267" s="1912"/>
      <c r="B267" s="1912"/>
      <c r="C267" s="1912"/>
      <c r="D267" s="1912"/>
      <c r="E267" s="1912"/>
      <c r="F267" s="1912"/>
      <c r="G267" s="1912"/>
      <c r="H267" s="1912"/>
      <c r="I267" s="1912"/>
      <c r="J267" s="1912"/>
      <c r="K267" s="1912"/>
      <c r="L267" s="1912"/>
      <c r="M267" s="1912"/>
      <c r="N267" s="1912"/>
      <c r="O267" s="1912"/>
      <c r="P267" s="1912"/>
      <c r="Q267" s="1912"/>
      <c r="R267" s="1912"/>
      <c r="S267" s="1912"/>
      <c r="T267" s="1912"/>
      <c r="U267" s="1912"/>
      <c r="V267" s="1912"/>
      <c r="W267" s="1912"/>
      <c r="X267" s="1912"/>
      <c r="Y267" s="1912"/>
      <c r="Z267" s="1912"/>
      <c r="AA267" s="1912"/>
      <c r="AB267" s="1912"/>
      <c r="AC267" s="1912"/>
      <c r="AD267" s="1912"/>
      <c r="AE267" s="1912"/>
      <c r="AF267" s="1912"/>
      <c r="AG267" s="1912"/>
    </row>
    <row r="268">
      <c r="A268" s="1912"/>
      <c r="B268" s="1912"/>
      <c r="C268" s="1912"/>
      <c r="D268" s="1912"/>
      <c r="E268" s="1912"/>
      <c r="F268" s="1912"/>
      <c r="G268" s="1912"/>
      <c r="H268" s="1912"/>
      <c r="I268" s="1912"/>
      <c r="J268" s="1912"/>
      <c r="K268" s="1912"/>
      <c r="L268" s="1912"/>
      <c r="M268" s="1912"/>
      <c r="N268" s="1912"/>
      <c r="O268" s="1912"/>
      <c r="P268" s="1912"/>
      <c r="Q268" s="1912"/>
      <c r="R268" s="1912"/>
      <c r="S268" s="1912"/>
      <c r="T268" s="1912"/>
      <c r="U268" s="1912"/>
      <c r="V268" s="1912"/>
      <c r="W268" s="1912"/>
      <c r="X268" s="1912"/>
      <c r="Y268" s="1912"/>
      <c r="Z268" s="1912"/>
      <c r="AA268" s="1912"/>
      <c r="AB268" s="1912"/>
      <c r="AC268" s="1912"/>
      <c r="AD268" s="1912"/>
      <c r="AE268" s="1912"/>
      <c r="AF268" s="1912"/>
      <c r="AG268" s="1912"/>
    </row>
    <row r="269">
      <c r="A269" s="1912"/>
      <c r="B269" s="1912"/>
      <c r="C269" s="1912"/>
      <c r="D269" s="1912"/>
      <c r="E269" s="1912"/>
      <c r="F269" s="1912"/>
      <c r="G269" s="1912"/>
      <c r="H269" s="1912"/>
      <c r="I269" s="1912"/>
      <c r="J269" s="1912"/>
      <c r="K269" s="1912"/>
      <c r="L269" s="1912"/>
      <c r="M269" s="1912"/>
      <c r="N269" s="1912"/>
      <c r="O269" s="1912"/>
      <c r="P269" s="1912"/>
      <c r="Q269" s="1912"/>
      <c r="R269" s="1912"/>
      <c r="S269" s="1912"/>
      <c r="T269" s="1912"/>
      <c r="U269" s="1912"/>
      <c r="V269" s="1912"/>
      <c r="W269" s="1912"/>
      <c r="X269" s="1912"/>
      <c r="Y269" s="1912"/>
      <c r="Z269" s="1912"/>
      <c r="AA269" s="1912"/>
      <c r="AB269" s="1912"/>
      <c r="AC269" s="1912"/>
      <c r="AD269" s="1912"/>
      <c r="AE269" s="1912"/>
      <c r="AF269" s="1912"/>
      <c r="AG269" s="1912"/>
    </row>
    <row r="270">
      <c r="A270" s="1912"/>
      <c r="B270" s="1912"/>
      <c r="C270" s="1912"/>
      <c r="D270" s="1912"/>
      <c r="E270" s="1912"/>
      <c r="F270" s="1912"/>
      <c r="G270" s="1912"/>
      <c r="H270" s="1912"/>
      <c r="I270" s="1912"/>
      <c r="J270" s="1912"/>
      <c r="K270" s="1912"/>
      <c r="L270" s="1912"/>
      <c r="M270" s="1912"/>
      <c r="N270" s="1912"/>
      <c r="O270" s="1912"/>
      <c r="P270" s="1912"/>
      <c r="Q270" s="1912"/>
      <c r="R270" s="1912"/>
      <c r="S270" s="1912"/>
      <c r="T270" s="1912"/>
      <c r="U270" s="1912"/>
      <c r="V270" s="1912"/>
      <c r="W270" s="1912"/>
      <c r="X270" s="1912"/>
      <c r="Y270" s="1912"/>
      <c r="Z270" s="1912"/>
      <c r="AA270" s="1912"/>
      <c r="AB270" s="1912"/>
      <c r="AC270" s="1912"/>
      <c r="AD270" s="1912"/>
      <c r="AE270" s="1912"/>
      <c r="AF270" s="1912"/>
      <c r="AG270" s="1912"/>
    </row>
    <row r="271">
      <c r="A271" s="1912"/>
      <c r="B271" s="1912"/>
      <c r="C271" s="1912"/>
      <c r="D271" s="1912"/>
      <c r="E271" s="1912"/>
      <c r="F271" s="1912"/>
      <c r="G271" s="1912"/>
      <c r="H271" s="1912"/>
      <c r="I271" s="1912"/>
      <c r="J271" s="1912"/>
      <c r="K271" s="1912"/>
      <c r="L271" s="1912"/>
      <c r="M271" s="1912"/>
      <c r="N271" s="1912"/>
      <c r="O271" s="1912"/>
      <c r="P271" s="1912"/>
      <c r="Q271" s="1912"/>
      <c r="R271" s="1912"/>
      <c r="S271" s="1912"/>
      <c r="T271" s="1912"/>
      <c r="U271" s="1912"/>
      <c r="V271" s="1912"/>
      <c r="W271" s="1912"/>
      <c r="X271" s="1912"/>
      <c r="Y271" s="1912"/>
      <c r="Z271" s="1912"/>
      <c r="AA271" s="1912"/>
      <c r="AB271" s="1912"/>
      <c r="AC271" s="1912"/>
      <c r="AD271" s="1912"/>
      <c r="AE271" s="1912"/>
      <c r="AF271" s="1912"/>
      <c r="AG271" s="1912"/>
    </row>
    <row r="272">
      <c r="A272" s="1912"/>
      <c r="B272" s="1912"/>
      <c r="C272" s="1912"/>
      <c r="D272" s="1912"/>
      <c r="E272" s="1912"/>
      <c r="F272" s="1912"/>
      <c r="G272" s="1912"/>
      <c r="H272" s="1912"/>
      <c r="I272" s="1912"/>
      <c r="J272" s="1912"/>
      <c r="K272" s="1912"/>
      <c r="L272" s="1912"/>
      <c r="M272" s="1912"/>
      <c r="N272" s="1912"/>
      <c r="O272" s="1912"/>
      <c r="P272" s="1912"/>
      <c r="Q272" s="1912"/>
      <c r="R272" s="1912"/>
      <c r="S272" s="1912"/>
      <c r="T272" s="1912"/>
      <c r="U272" s="1912"/>
      <c r="V272" s="1912"/>
      <c r="W272" s="1912"/>
      <c r="X272" s="1912"/>
      <c r="Y272" s="1912"/>
      <c r="Z272" s="1912"/>
      <c r="AA272" s="1912"/>
      <c r="AB272" s="1912"/>
      <c r="AC272" s="1912"/>
      <c r="AD272" s="1912"/>
      <c r="AE272" s="1912"/>
      <c r="AF272" s="1912"/>
      <c r="AG272" s="1912"/>
    </row>
    <row r="273">
      <c r="A273" s="1912"/>
      <c r="B273" s="1912"/>
      <c r="C273" s="1912"/>
      <c r="D273" s="1912"/>
      <c r="E273" s="1912"/>
      <c r="F273" s="1912"/>
      <c r="G273" s="1912"/>
      <c r="H273" s="1912"/>
      <c r="I273" s="1912"/>
      <c r="J273" s="1912"/>
      <c r="K273" s="1912"/>
      <c r="L273" s="1912"/>
      <c r="M273" s="1912"/>
      <c r="N273" s="1912"/>
      <c r="O273" s="1912"/>
      <c r="P273" s="1912"/>
      <c r="Q273" s="1912"/>
      <c r="R273" s="1912"/>
      <c r="S273" s="1912"/>
      <c r="T273" s="1912"/>
      <c r="U273" s="1912"/>
      <c r="V273" s="1912"/>
      <c r="W273" s="1912"/>
      <c r="X273" s="1912"/>
      <c r="Y273" s="1912"/>
      <c r="Z273" s="1912"/>
      <c r="AA273" s="1912"/>
      <c r="AB273" s="1912"/>
      <c r="AC273" s="1912"/>
      <c r="AD273" s="1912"/>
      <c r="AE273" s="1912"/>
      <c r="AF273" s="1912"/>
      <c r="AG273" s="1912"/>
    </row>
    <row r="274">
      <c r="A274" s="1912"/>
      <c r="B274" s="1912"/>
      <c r="C274" s="1912"/>
      <c r="D274" s="1912"/>
      <c r="E274" s="1912"/>
      <c r="F274" s="1912"/>
      <c r="G274" s="1912"/>
      <c r="H274" s="1912"/>
      <c r="I274" s="1912"/>
      <c r="J274" s="1912"/>
      <c r="K274" s="1912"/>
      <c r="L274" s="1912"/>
      <c r="M274" s="1912"/>
      <c r="N274" s="1912"/>
      <c r="O274" s="1912"/>
      <c r="P274" s="1912"/>
      <c r="Q274" s="1912"/>
      <c r="R274" s="1912"/>
      <c r="S274" s="1912"/>
      <c r="T274" s="1912"/>
      <c r="U274" s="1912"/>
      <c r="V274" s="1912"/>
      <c r="W274" s="1912"/>
      <c r="X274" s="1912"/>
      <c r="Y274" s="1912"/>
      <c r="Z274" s="1912"/>
      <c r="AA274" s="1912"/>
      <c r="AB274" s="1912"/>
      <c r="AC274" s="1912"/>
      <c r="AD274" s="1912"/>
      <c r="AE274" s="1912"/>
      <c r="AF274" s="1912"/>
      <c r="AG274" s="1912"/>
    </row>
    <row r="275">
      <c r="A275" s="1912"/>
      <c r="B275" s="1912"/>
      <c r="C275" s="1912"/>
      <c r="D275" s="1912"/>
      <c r="E275" s="1912"/>
      <c r="F275" s="1912"/>
      <c r="G275" s="1912"/>
      <c r="H275" s="1912"/>
      <c r="I275" s="1912"/>
      <c r="J275" s="1912"/>
      <c r="K275" s="1912"/>
      <c r="L275" s="1912"/>
      <c r="M275" s="1912"/>
      <c r="N275" s="1912"/>
      <c r="O275" s="1912"/>
      <c r="P275" s="1912"/>
      <c r="Q275" s="1912"/>
      <c r="R275" s="1912"/>
      <c r="S275" s="1912"/>
      <c r="T275" s="1912"/>
      <c r="U275" s="1912"/>
      <c r="V275" s="1912"/>
      <c r="W275" s="1912"/>
      <c r="X275" s="1912"/>
      <c r="Y275" s="1912"/>
      <c r="Z275" s="1912"/>
      <c r="AA275" s="1912"/>
      <c r="AB275" s="1912"/>
      <c r="AC275" s="1912"/>
      <c r="AD275" s="1912"/>
      <c r="AE275" s="1912"/>
      <c r="AF275" s="1912"/>
      <c r="AG275" s="1912"/>
    </row>
    <row r="276">
      <c r="A276" s="1912"/>
      <c r="B276" s="1912"/>
      <c r="C276" s="1912"/>
      <c r="D276" s="1912"/>
      <c r="E276" s="1912"/>
      <c r="F276" s="1912"/>
      <c r="G276" s="1912"/>
      <c r="H276" s="1912"/>
      <c r="I276" s="1912"/>
      <c r="J276" s="1912"/>
      <c r="K276" s="1912"/>
      <c r="L276" s="1912"/>
      <c r="M276" s="1912"/>
      <c r="N276" s="1912"/>
      <c r="O276" s="1912"/>
      <c r="P276" s="1912"/>
      <c r="Q276" s="1912"/>
      <c r="R276" s="1912"/>
      <c r="S276" s="1912"/>
      <c r="T276" s="1912"/>
      <c r="U276" s="1912"/>
      <c r="V276" s="1912"/>
      <c r="W276" s="1912"/>
      <c r="X276" s="1912"/>
      <c r="Y276" s="1912"/>
      <c r="Z276" s="1912"/>
      <c r="AA276" s="1912"/>
      <c r="AB276" s="1912"/>
      <c r="AC276" s="1912"/>
      <c r="AD276" s="1912"/>
      <c r="AE276" s="1912"/>
      <c r="AF276" s="1912"/>
      <c r="AG276" s="1912"/>
    </row>
    <row r="277">
      <c r="A277" s="1912"/>
      <c r="B277" s="1912"/>
      <c r="C277" s="1912"/>
      <c r="D277" s="1912"/>
      <c r="E277" s="1912"/>
      <c r="F277" s="1912"/>
      <c r="G277" s="1912"/>
      <c r="H277" s="1912"/>
      <c r="I277" s="1912"/>
      <c r="J277" s="1912"/>
      <c r="K277" s="1912"/>
      <c r="L277" s="1912"/>
      <c r="M277" s="1912"/>
      <c r="N277" s="1912"/>
      <c r="O277" s="1912"/>
      <c r="P277" s="1912"/>
      <c r="Q277" s="1912"/>
      <c r="R277" s="1912"/>
      <c r="S277" s="1912"/>
      <c r="T277" s="1912"/>
      <c r="U277" s="1912"/>
      <c r="V277" s="1912"/>
      <c r="W277" s="1912"/>
      <c r="X277" s="1912"/>
      <c r="Y277" s="1912"/>
      <c r="Z277" s="1912"/>
      <c r="AA277" s="1912"/>
      <c r="AB277" s="1912"/>
      <c r="AC277" s="1912"/>
      <c r="AD277" s="1912"/>
      <c r="AE277" s="1912"/>
      <c r="AF277" s="1912"/>
      <c r="AG277" s="1912"/>
    </row>
    <row r="278">
      <c r="A278" s="1912"/>
      <c r="B278" s="1912"/>
      <c r="C278" s="1912"/>
      <c r="D278" s="1912"/>
      <c r="E278" s="1912"/>
      <c r="F278" s="1912"/>
      <c r="G278" s="1912"/>
      <c r="H278" s="1912"/>
      <c r="I278" s="1912"/>
      <c r="J278" s="1912"/>
      <c r="K278" s="1912"/>
      <c r="L278" s="1912"/>
      <c r="M278" s="1912"/>
      <c r="N278" s="1912"/>
      <c r="O278" s="1912"/>
      <c r="P278" s="1912"/>
      <c r="Q278" s="1912"/>
      <c r="R278" s="1912"/>
      <c r="S278" s="1912"/>
      <c r="T278" s="1912"/>
      <c r="U278" s="1912"/>
      <c r="V278" s="1912"/>
      <c r="W278" s="1912"/>
      <c r="X278" s="1912"/>
      <c r="Y278" s="1912"/>
      <c r="Z278" s="1912"/>
      <c r="AA278" s="1912"/>
      <c r="AB278" s="1912"/>
      <c r="AC278" s="1912"/>
      <c r="AD278" s="1912"/>
      <c r="AE278" s="1912"/>
      <c r="AF278" s="1912"/>
      <c r="AG278" s="1912"/>
    </row>
    <row r="279">
      <c r="A279" s="1912"/>
      <c r="B279" s="1912"/>
      <c r="C279" s="1912"/>
      <c r="D279" s="1912"/>
      <c r="E279" s="1912"/>
      <c r="F279" s="1912"/>
      <c r="G279" s="1912"/>
      <c r="H279" s="1912"/>
      <c r="I279" s="1912"/>
      <c r="J279" s="1912"/>
      <c r="K279" s="1912"/>
      <c r="L279" s="1912"/>
      <c r="M279" s="1912"/>
      <c r="N279" s="1912"/>
      <c r="O279" s="1912"/>
      <c r="P279" s="1912"/>
      <c r="Q279" s="1912"/>
      <c r="R279" s="1912"/>
      <c r="S279" s="1912"/>
      <c r="T279" s="1912"/>
      <c r="U279" s="1912"/>
      <c r="V279" s="1912"/>
      <c r="W279" s="1912"/>
      <c r="X279" s="1912"/>
      <c r="Y279" s="1912"/>
      <c r="Z279" s="1912"/>
      <c r="AA279" s="1912"/>
      <c r="AB279" s="1912"/>
      <c r="AC279" s="1912"/>
      <c r="AD279" s="1912"/>
      <c r="AE279" s="1912"/>
      <c r="AF279" s="1912"/>
      <c r="AG279" s="1912"/>
    </row>
    <row r="280">
      <c r="A280" s="1912"/>
      <c r="B280" s="1912"/>
      <c r="C280" s="1912"/>
      <c r="D280" s="1912"/>
      <c r="E280" s="1912"/>
      <c r="F280" s="1912"/>
      <c r="G280" s="1912"/>
      <c r="H280" s="1912"/>
      <c r="I280" s="1912"/>
      <c r="J280" s="1912"/>
      <c r="K280" s="1912"/>
      <c r="L280" s="1912"/>
      <c r="M280" s="1912"/>
      <c r="N280" s="1912"/>
      <c r="O280" s="1912"/>
      <c r="P280" s="1912"/>
      <c r="Q280" s="1912"/>
      <c r="R280" s="1912"/>
      <c r="S280" s="1912"/>
      <c r="T280" s="1912"/>
      <c r="U280" s="1912"/>
      <c r="V280" s="1912"/>
      <c r="W280" s="1912"/>
      <c r="X280" s="1912"/>
      <c r="Y280" s="1912"/>
      <c r="Z280" s="1912"/>
      <c r="AA280" s="1912"/>
      <c r="AB280" s="1912"/>
      <c r="AC280" s="1912"/>
      <c r="AD280" s="1912"/>
      <c r="AE280" s="1912"/>
      <c r="AF280" s="1912"/>
      <c r="AG280" s="1912"/>
    </row>
    <row r="281">
      <c r="A281" s="1912"/>
      <c r="B281" s="1912"/>
      <c r="C281" s="1912"/>
      <c r="D281" s="1912"/>
      <c r="E281" s="1912"/>
      <c r="F281" s="1912"/>
      <c r="G281" s="1912"/>
      <c r="H281" s="1912"/>
      <c r="I281" s="1912"/>
      <c r="J281" s="1912"/>
      <c r="K281" s="1912"/>
      <c r="L281" s="1912"/>
      <c r="M281" s="1912"/>
      <c r="N281" s="1912"/>
      <c r="O281" s="1912"/>
      <c r="P281" s="1912"/>
      <c r="Q281" s="1912"/>
      <c r="R281" s="1912"/>
      <c r="S281" s="1912"/>
      <c r="T281" s="1912"/>
      <c r="U281" s="1912"/>
      <c r="V281" s="1912"/>
      <c r="W281" s="1912"/>
      <c r="X281" s="1912"/>
      <c r="Y281" s="1912"/>
      <c r="Z281" s="1912"/>
      <c r="AA281" s="1912"/>
      <c r="AB281" s="1912"/>
      <c r="AC281" s="1912"/>
      <c r="AD281" s="1912"/>
      <c r="AE281" s="1912"/>
      <c r="AF281" s="1912"/>
      <c r="AG281" s="1912"/>
    </row>
    <row r="282">
      <c r="A282" s="1912"/>
      <c r="B282" s="1912"/>
      <c r="C282" s="1912"/>
      <c r="D282" s="1912"/>
      <c r="E282" s="1912"/>
      <c r="F282" s="1912"/>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2"/>
      <c r="AE282" s="1912"/>
      <c r="AF282" s="1912"/>
      <c r="AG282" s="1912"/>
    </row>
    <row r="283">
      <c r="A283" s="1912"/>
      <c r="B283" s="1912"/>
      <c r="C283" s="1912"/>
      <c r="D283" s="1912"/>
      <c r="E283" s="1912"/>
      <c r="F283" s="1912"/>
      <c r="G283" s="1912"/>
      <c r="H283" s="1912"/>
      <c r="I283" s="1912"/>
      <c r="J283" s="1912"/>
      <c r="K283" s="1912"/>
      <c r="L283" s="1912"/>
      <c r="M283" s="1912"/>
      <c r="N283" s="1912"/>
      <c r="O283" s="1912"/>
      <c r="P283" s="1912"/>
      <c r="Q283" s="1912"/>
      <c r="R283" s="1912"/>
      <c r="S283" s="1912"/>
      <c r="T283" s="1912"/>
      <c r="U283" s="1912"/>
      <c r="V283" s="1912"/>
      <c r="W283" s="1912"/>
      <c r="X283" s="1912"/>
      <c r="Y283" s="1912"/>
      <c r="Z283" s="1912"/>
      <c r="AA283" s="1912"/>
      <c r="AB283" s="1912"/>
      <c r="AC283" s="1912"/>
      <c r="AD283" s="1912"/>
      <c r="AE283" s="1912"/>
      <c r="AF283" s="1912"/>
      <c r="AG283" s="1912"/>
    </row>
    <row r="284">
      <c r="A284" s="1912"/>
      <c r="B284" s="1912"/>
      <c r="C284" s="1912"/>
      <c r="D284" s="1912"/>
      <c r="E284" s="1912"/>
      <c r="F284" s="1912"/>
      <c r="G284" s="1912"/>
      <c r="H284" s="1912"/>
      <c r="I284" s="1912"/>
      <c r="J284" s="1912"/>
      <c r="K284" s="1912"/>
      <c r="L284" s="1912"/>
      <c r="M284" s="1912"/>
      <c r="N284" s="1912"/>
      <c r="O284" s="1912"/>
      <c r="P284" s="1912"/>
      <c r="Q284" s="1912"/>
      <c r="R284" s="1912"/>
      <c r="S284" s="1912"/>
      <c r="T284" s="1912"/>
      <c r="U284" s="1912"/>
      <c r="V284" s="1912"/>
      <c r="W284" s="1912"/>
      <c r="X284" s="1912"/>
      <c r="Y284" s="1912"/>
      <c r="Z284" s="1912"/>
      <c r="AA284" s="1912"/>
      <c r="AB284" s="1912"/>
      <c r="AC284" s="1912"/>
      <c r="AD284" s="1912"/>
      <c r="AE284" s="1912"/>
      <c r="AF284" s="1912"/>
      <c r="AG284" s="1912"/>
    </row>
    <row r="285">
      <c r="A285" s="1912"/>
      <c r="B285" s="1912"/>
      <c r="C285" s="1912"/>
      <c r="D285" s="1912"/>
      <c r="E285" s="1912"/>
      <c r="F285" s="1912"/>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2"/>
      <c r="AE285" s="1912"/>
      <c r="AF285" s="1912"/>
      <c r="AG285" s="1912"/>
    </row>
    <row r="286">
      <c r="A286" s="1912"/>
      <c r="B286" s="1912"/>
      <c r="C286" s="1912"/>
      <c r="D286" s="1912"/>
      <c r="E286" s="1912"/>
      <c r="F286" s="1912"/>
      <c r="G286" s="1912"/>
      <c r="H286" s="1912"/>
      <c r="I286" s="1912"/>
      <c r="J286" s="1912"/>
      <c r="K286" s="1912"/>
      <c r="L286" s="1912"/>
      <c r="M286" s="1912"/>
      <c r="N286" s="1912"/>
      <c r="O286" s="1912"/>
      <c r="P286" s="1912"/>
      <c r="Q286" s="1912"/>
      <c r="R286" s="1912"/>
      <c r="S286" s="1912"/>
      <c r="T286" s="1912"/>
      <c r="U286" s="1912"/>
      <c r="V286" s="1912"/>
      <c r="W286" s="1912"/>
      <c r="X286" s="1912"/>
      <c r="Y286" s="1912"/>
      <c r="Z286" s="1912"/>
      <c r="AA286" s="1912"/>
      <c r="AB286" s="1912"/>
      <c r="AC286" s="1912"/>
      <c r="AD286" s="1912"/>
      <c r="AE286" s="1912"/>
      <c r="AF286" s="1912"/>
      <c r="AG286" s="1912"/>
    </row>
    <row r="287">
      <c r="A287" s="1912"/>
      <c r="B287" s="1912"/>
      <c r="C287" s="1912"/>
      <c r="D287" s="1912"/>
      <c r="E287" s="1912"/>
      <c r="F287" s="1912"/>
      <c r="G287" s="1912"/>
      <c r="H287" s="1912"/>
      <c r="I287" s="1912"/>
      <c r="J287" s="1912"/>
      <c r="K287" s="1912"/>
      <c r="L287" s="1912"/>
      <c r="M287" s="1912"/>
      <c r="N287" s="1912"/>
      <c r="O287" s="1912"/>
      <c r="P287" s="1912"/>
      <c r="Q287" s="1912"/>
      <c r="R287" s="1912"/>
      <c r="S287" s="1912"/>
      <c r="T287" s="1912"/>
      <c r="U287" s="1912"/>
      <c r="V287" s="1912"/>
      <c r="W287" s="1912"/>
      <c r="X287" s="1912"/>
      <c r="Y287" s="1912"/>
      <c r="Z287" s="1912"/>
      <c r="AA287" s="1912"/>
      <c r="AB287" s="1912"/>
      <c r="AC287" s="1912"/>
      <c r="AD287" s="1912"/>
      <c r="AE287" s="1912"/>
      <c r="AF287" s="1912"/>
      <c r="AG287" s="1912"/>
    </row>
    <row r="288">
      <c r="A288" s="1912"/>
      <c r="B288" s="1912"/>
      <c r="C288" s="1912"/>
      <c r="D288" s="1912"/>
      <c r="E288" s="1912"/>
      <c r="F288" s="1912"/>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2"/>
      <c r="AE288" s="1912"/>
      <c r="AF288" s="1912"/>
      <c r="AG288" s="1912"/>
    </row>
    <row r="289">
      <c r="A289" s="1912"/>
      <c r="B289" s="1912"/>
      <c r="C289" s="1912"/>
      <c r="D289" s="1912"/>
      <c r="E289" s="1912"/>
      <c r="F289" s="1912"/>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1912"/>
      <c r="AE289" s="1912"/>
      <c r="AF289" s="1912"/>
      <c r="AG289" s="1912"/>
    </row>
    <row r="290">
      <c r="A290" s="1912"/>
      <c r="B290" s="1912"/>
      <c r="C290" s="1912"/>
      <c r="D290" s="1912"/>
      <c r="E290" s="1912"/>
      <c r="F290" s="1912"/>
      <c r="G290" s="1912"/>
      <c r="H290" s="1912"/>
      <c r="I290" s="1912"/>
      <c r="J290" s="1912"/>
      <c r="K290" s="1912"/>
      <c r="L290" s="1912"/>
      <c r="M290" s="1912"/>
      <c r="N290" s="1912"/>
      <c r="O290" s="1912"/>
      <c r="P290" s="1912"/>
      <c r="Q290" s="1912"/>
      <c r="R290" s="1912"/>
      <c r="S290" s="1912"/>
      <c r="T290" s="1912"/>
      <c r="U290" s="1912"/>
      <c r="V290" s="1912"/>
      <c r="W290" s="1912"/>
      <c r="X290" s="1912"/>
      <c r="Y290" s="1912"/>
      <c r="Z290" s="1912"/>
      <c r="AA290" s="1912"/>
      <c r="AB290" s="1912"/>
      <c r="AC290" s="1912"/>
      <c r="AD290" s="1912"/>
      <c r="AE290" s="1912"/>
      <c r="AF290" s="1912"/>
      <c r="AG290" s="1912"/>
    </row>
    <row r="291">
      <c r="A291" s="1912"/>
      <c r="B291" s="1912"/>
      <c r="C291" s="1912"/>
      <c r="D291" s="1912"/>
      <c r="E291" s="1912"/>
      <c r="F291" s="1912"/>
      <c r="G291" s="1912"/>
      <c r="H291" s="1912"/>
      <c r="I291" s="1912"/>
      <c r="J291" s="1912"/>
      <c r="K291" s="1912"/>
      <c r="L291" s="1912"/>
      <c r="M291" s="1912"/>
      <c r="N291" s="1912"/>
      <c r="O291" s="1912"/>
      <c r="P291" s="1912"/>
      <c r="Q291" s="1912"/>
      <c r="R291" s="1912"/>
      <c r="S291" s="1912"/>
      <c r="T291" s="1912"/>
      <c r="U291" s="1912"/>
      <c r="V291" s="1912"/>
      <c r="W291" s="1912"/>
      <c r="X291" s="1912"/>
      <c r="Y291" s="1912"/>
      <c r="Z291" s="1912"/>
      <c r="AA291" s="1912"/>
      <c r="AB291" s="1912"/>
      <c r="AC291" s="1912"/>
      <c r="AD291" s="1912"/>
      <c r="AE291" s="1912"/>
      <c r="AF291" s="1912"/>
      <c r="AG291" s="1912"/>
    </row>
    <row r="292">
      <c r="A292" s="1912"/>
      <c r="B292" s="1912"/>
      <c r="C292" s="1912"/>
      <c r="D292" s="1912"/>
      <c r="E292" s="1912"/>
      <c r="F292" s="1912"/>
      <c r="G292" s="1912"/>
      <c r="H292" s="1912"/>
      <c r="I292" s="1912"/>
      <c r="J292" s="1912"/>
      <c r="K292" s="1912"/>
      <c r="L292" s="1912"/>
      <c r="M292" s="1912"/>
      <c r="N292" s="1912"/>
      <c r="O292" s="1912"/>
      <c r="P292" s="1912"/>
      <c r="Q292" s="1912"/>
      <c r="R292" s="1912"/>
      <c r="S292" s="1912"/>
      <c r="T292" s="1912"/>
      <c r="U292" s="1912"/>
      <c r="V292" s="1912"/>
      <c r="W292" s="1912"/>
      <c r="X292" s="1912"/>
      <c r="Y292" s="1912"/>
      <c r="Z292" s="1912"/>
      <c r="AA292" s="1912"/>
      <c r="AB292" s="1912"/>
      <c r="AC292" s="1912"/>
      <c r="AD292" s="1912"/>
      <c r="AE292" s="1912"/>
      <c r="AF292" s="1912"/>
      <c r="AG292" s="1912"/>
    </row>
    <row r="293">
      <c r="A293" s="1912"/>
      <c r="B293" s="1912"/>
      <c r="C293" s="1912"/>
      <c r="D293" s="1912"/>
      <c r="E293" s="1912"/>
      <c r="F293" s="1912"/>
      <c r="G293" s="1912"/>
      <c r="H293" s="1912"/>
      <c r="I293" s="1912"/>
      <c r="J293" s="1912"/>
      <c r="K293" s="1912"/>
      <c r="L293" s="1912"/>
      <c r="M293" s="1912"/>
      <c r="N293" s="1912"/>
      <c r="O293" s="1912"/>
      <c r="P293" s="1912"/>
      <c r="Q293" s="1912"/>
      <c r="R293" s="1912"/>
      <c r="S293" s="1912"/>
      <c r="T293" s="1912"/>
      <c r="U293" s="1912"/>
      <c r="V293" s="1912"/>
      <c r="W293" s="1912"/>
      <c r="X293" s="1912"/>
      <c r="Y293" s="1912"/>
      <c r="Z293" s="1912"/>
      <c r="AA293" s="1912"/>
      <c r="AB293" s="1912"/>
      <c r="AC293" s="1912"/>
      <c r="AD293" s="1912"/>
      <c r="AE293" s="1912"/>
      <c r="AF293" s="1912"/>
      <c r="AG293" s="1912"/>
    </row>
    <row r="294">
      <c r="A294" s="1912"/>
      <c r="B294" s="1912"/>
      <c r="C294" s="1912"/>
      <c r="D294" s="1912"/>
      <c r="E294" s="1912"/>
      <c r="F294" s="1912"/>
      <c r="G294" s="1912"/>
      <c r="H294" s="1912"/>
      <c r="I294" s="1912"/>
      <c r="J294" s="1912"/>
      <c r="K294" s="1912"/>
      <c r="L294" s="1912"/>
      <c r="M294" s="1912"/>
      <c r="N294" s="1912"/>
      <c r="O294" s="1912"/>
      <c r="P294" s="1912"/>
      <c r="Q294" s="1912"/>
      <c r="R294" s="1912"/>
      <c r="S294" s="1912"/>
      <c r="T294" s="1912"/>
      <c r="U294" s="1912"/>
      <c r="V294" s="1912"/>
      <c r="W294" s="1912"/>
      <c r="X294" s="1912"/>
      <c r="Y294" s="1912"/>
      <c r="Z294" s="1912"/>
      <c r="AA294" s="1912"/>
      <c r="AB294" s="1912"/>
      <c r="AC294" s="1912"/>
      <c r="AD294" s="1912"/>
      <c r="AE294" s="1912"/>
      <c r="AF294" s="1912"/>
      <c r="AG294" s="1912"/>
    </row>
    <row r="295">
      <c r="A295" s="1912"/>
      <c r="B295" s="1912"/>
      <c r="C295" s="1912"/>
      <c r="D295" s="1912"/>
      <c r="E295" s="1912"/>
      <c r="F295" s="1912"/>
      <c r="G295" s="1912"/>
      <c r="H295" s="1912"/>
      <c r="I295" s="1912"/>
      <c r="J295" s="1912"/>
      <c r="K295" s="1912"/>
      <c r="L295" s="1912"/>
      <c r="M295" s="1912"/>
      <c r="N295" s="1912"/>
      <c r="O295" s="1912"/>
      <c r="P295" s="1912"/>
      <c r="Q295" s="1912"/>
      <c r="R295" s="1912"/>
      <c r="S295" s="1912"/>
      <c r="T295" s="1912"/>
      <c r="U295" s="1912"/>
      <c r="V295" s="1912"/>
      <c r="W295" s="1912"/>
      <c r="X295" s="1912"/>
      <c r="Y295" s="1912"/>
      <c r="Z295" s="1912"/>
      <c r="AA295" s="1912"/>
      <c r="AB295" s="1912"/>
      <c r="AC295" s="1912"/>
      <c r="AD295" s="1912"/>
      <c r="AE295" s="1912"/>
      <c r="AF295" s="1912"/>
      <c r="AG295" s="1912"/>
    </row>
    <row r="296">
      <c r="A296" s="1912"/>
      <c r="B296" s="1912"/>
      <c r="C296" s="1912"/>
      <c r="D296" s="1912"/>
      <c r="E296" s="1912"/>
      <c r="F296" s="1912"/>
      <c r="G296" s="1912"/>
      <c r="H296" s="1912"/>
      <c r="I296" s="1912"/>
      <c r="J296" s="1912"/>
      <c r="K296" s="1912"/>
      <c r="L296" s="1912"/>
      <c r="M296" s="1912"/>
      <c r="N296" s="1912"/>
      <c r="O296" s="1912"/>
      <c r="P296" s="1912"/>
      <c r="Q296" s="1912"/>
      <c r="R296" s="1912"/>
      <c r="S296" s="1912"/>
      <c r="T296" s="1912"/>
      <c r="U296" s="1912"/>
      <c r="V296" s="1912"/>
      <c r="W296" s="1912"/>
      <c r="X296" s="1912"/>
      <c r="Y296" s="1912"/>
      <c r="Z296" s="1912"/>
      <c r="AA296" s="1912"/>
      <c r="AB296" s="1912"/>
      <c r="AC296" s="1912"/>
      <c r="AD296" s="1912"/>
      <c r="AE296" s="1912"/>
      <c r="AF296" s="1912"/>
      <c r="AG296" s="1912"/>
    </row>
    <row r="297">
      <c r="A297" s="1912"/>
      <c r="B297" s="1912"/>
      <c r="C297" s="1912"/>
      <c r="D297" s="1912"/>
      <c r="E297" s="1912"/>
      <c r="F297" s="1912"/>
      <c r="G297" s="1912"/>
      <c r="H297" s="1912"/>
      <c r="I297" s="1912"/>
      <c r="J297" s="1912"/>
      <c r="K297" s="1912"/>
      <c r="L297" s="1912"/>
      <c r="M297" s="1912"/>
      <c r="N297" s="1912"/>
      <c r="O297" s="1912"/>
      <c r="P297" s="1912"/>
      <c r="Q297" s="1912"/>
      <c r="R297" s="1912"/>
      <c r="S297" s="1912"/>
      <c r="T297" s="1912"/>
      <c r="U297" s="1912"/>
      <c r="V297" s="1912"/>
      <c r="W297" s="1912"/>
      <c r="X297" s="1912"/>
      <c r="Y297" s="1912"/>
      <c r="Z297" s="1912"/>
      <c r="AA297" s="1912"/>
      <c r="AB297" s="1912"/>
      <c r="AC297" s="1912"/>
      <c r="AD297" s="1912"/>
      <c r="AE297" s="1912"/>
      <c r="AF297" s="1912"/>
      <c r="AG297" s="1912"/>
    </row>
    <row r="298">
      <c r="A298" s="1912"/>
      <c r="B298" s="1912"/>
      <c r="C298" s="1912"/>
      <c r="D298" s="1912"/>
      <c r="E298" s="1912"/>
      <c r="F298" s="1912"/>
      <c r="G298" s="1912"/>
      <c r="H298" s="1912"/>
      <c r="I298" s="1912"/>
      <c r="J298" s="1912"/>
      <c r="K298" s="1912"/>
      <c r="L298" s="1912"/>
      <c r="M298" s="1912"/>
      <c r="N298" s="1912"/>
      <c r="O298" s="1912"/>
      <c r="P298" s="1912"/>
      <c r="Q298" s="1912"/>
      <c r="R298" s="1912"/>
      <c r="S298" s="1912"/>
      <c r="T298" s="1912"/>
      <c r="U298" s="1912"/>
      <c r="V298" s="1912"/>
      <c r="W298" s="1912"/>
      <c r="X298" s="1912"/>
      <c r="Y298" s="1912"/>
      <c r="Z298" s="1912"/>
      <c r="AA298" s="1912"/>
      <c r="AB298" s="1912"/>
      <c r="AC298" s="1912"/>
      <c r="AD298" s="1912"/>
      <c r="AE298" s="1912"/>
      <c r="AF298" s="1912"/>
      <c r="AG298" s="1912"/>
    </row>
    <row r="299">
      <c r="A299" s="1912"/>
      <c r="B299" s="1912"/>
      <c r="C299" s="1912"/>
      <c r="D299" s="1912"/>
      <c r="E299" s="1912"/>
      <c r="F299" s="1912"/>
      <c r="G299" s="1912"/>
      <c r="H299" s="1912"/>
      <c r="I299" s="1912"/>
      <c r="J299" s="1912"/>
      <c r="K299" s="1912"/>
      <c r="L299" s="1912"/>
      <c r="M299" s="1912"/>
      <c r="N299" s="1912"/>
      <c r="O299" s="1912"/>
      <c r="P299" s="1912"/>
      <c r="Q299" s="1912"/>
      <c r="R299" s="1912"/>
      <c r="S299" s="1912"/>
      <c r="T299" s="1912"/>
      <c r="U299" s="1912"/>
      <c r="V299" s="1912"/>
      <c r="W299" s="1912"/>
      <c r="X299" s="1912"/>
      <c r="Y299" s="1912"/>
      <c r="Z299" s="1912"/>
      <c r="AA299" s="1912"/>
      <c r="AB299" s="1912"/>
      <c r="AC299" s="1912"/>
      <c r="AD299" s="1912"/>
      <c r="AE299" s="1912"/>
      <c r="AF299" s="1912"/>
      <c r="AG299" s="1912"/>
    </row>
    <row r="300">
      <c r="A300" s="1912"/>
      <c r="B300" s="1912"/>
      <c r="C300" s="1912"/>
      <c r="D300" s="1912"/>
      <c r="E300" s="1912"/>
      <c r="F300" s="1912"/>
      <c r="G300" s="1912"/>
      <c r="H300" s="1912"/>
      <c r="I300" s="1912"/>
      <c r="J300" s="1912"/>
      <c r="K300" s="1912"/>
      <c r="L300" s="1912"/>
      <c r="M300" s="1912"/>
      <c r="N300" s="1912"/>
      <c r="O300" s="1912"/>
      <c r="P300" s="1912"/>
      <c r="Q300" s="1912"/>
      <c r="R300" s="1912"/>
      <c r="S300" s="1912"/>
      <c r="T300" s="1912"/>
      <c r="U300" s="1912"/>
      <c r="V300" s="1912"/>
      <c r="W300" s="1912"/>
      <c r="X300" s="1912"/>
      <c r="Y300" s="1912"/>
      <c r="Z300" s="1912"/>
      <c r="AA300" s="1912"/>
      <c r="AB300" s="1912"/>
      <c r="AC300" s="1912"/>
      <c r="AD300" s="1912"/>
      <c r="AE300" s="1912"/>
      <c r="AF300" s="1912"/>
      <c r="AG300" s="1912"/>
    </row>
    <row r="301">
      <c r="A301" s="1912"/>
      <c r="B301" s="1912"/>
      <c r="C301" s="1912"/>
      <c r="D301" s="1912"/>
      <c r="E301" s="1912"/>
      <c r="F301" s="1912"/>
      <c r="G301" s="1912"/>
      <c r="H301" s="1912"/>
      <c r="I301" s="1912"/>
      <c r="J301" s="1912"/>
      <c r="K301" s="1912"/>
      <c r="L301" s="1912"/>
      <c r="M301" s="1912"/>
      <c r="N301" s="1912"/>
      <c r="O301" s="1912"/>
      <c r="P301" s="1912"/>
      <c r="Q301" s="1912"/>
      <c r="R301" s="1912"/>
      <c r="S301" s="1912"/>
      <c r="T301" s="1912"/>
      <c r="U301" s="1912"/>
      <c r="V301" s="1912"/>
      <c r="W301" s="1912"/>
      <c r="X301" s="1912"/>
      <c r="Y301" s="1912"/>
      <c r="Z301" s="1912"/>
      <c r="AA301" s="1912"/>
      <c r="AB301" s="1912"/>
      <c r="AC301" s="1912"/>
      <c r="AD301" s="1912"/>
      <c r="AE301" s="1912"/>
      <c r="AF301" s="1912"/>
      <c r="AG301" s="1912"/>
    </row>
    <row r="302">
      <c r="A302" s="1912"/>
      <c r="B302" s="1912"/>
      <c r="C302" s="1912"/>
      <c r="D302" s="1912"/>
      <c r="E302" s="1912"/>
      <c r="F302" s="1912"/>
      <c r="G302" s="1912"/>
      <c r="H302" s="1912"/>
      <c r="I302" s="1912"/>
      <c r="J302" s="1912"/>
      <c r="K302" s="1912"/>
      <c r="L302" s="1912"/>
      <c r="M302" s="1912"/>
      <c r="N302" s="1912"/>
      <c r="O302" s="1912"/>
      <c r="P302" s="1912"/>
      <c r="Q302" s="1912"/>
      <c r="R302" s="1912"/>
      <c r="S302" s="1912"/>
      <c r="T302" s="1912"/>
      <c r="U302" s="1912"/>
      <c r="V302" s="1912"/>
      <c r="W302" s="1912"/>
      <c r="X302" s="1912"/>
      <c r="Y302" s="1912"/>
      <c r="Z302" s="1912"/>
      <c r="AA302" s="1912"/>
      <c r="AB302" s="1912"/>
      <c r="AC302" s="1912"/>
      <c r="AD302" s="1912"/>
      <c r="AE302" s="1912"/>
      <c r="AF302" s="1912"/>
      <c r="AG302" s="1912"/>
    </row>
    <row r="303">
      <c r="A303" s="1912"/>
      <c r="B303" s="1912"/>
      <c r="C303" s="1912"/>
      <c r="D303" s="1912"/>
      <c r="E303" s="1912"/>
      <c r="F303" s="1912"/>
      <c r="G303" s="1912"/>
      <c r="H303" s="1912"/>
      <c r="I303" s="1912"/>
      <c r="J303" s="1912"/>
      <c r="K303" s="1912"/>
      <c r="L303" s="1912"/>
      <c r="M303" s="1912"/>
      <c r="N303" s="1912"/>
      <c r="O303" s="1912"/>
      <c r="P303" s="1912"/>
      <c r="Q303" s="1912"/>
      <c r="R303" s="1912"/>
      <c r="S303" s="1912"/>
      <c r="T303" s="1912"/>
      <c r="U303" s="1912"/>
      <c r="V303" s="1912"/>
      <c r="W303" s="1912"/>
      <c r="X303" s="1912"/>
      <c r="Y303" s="1912"/>
      <c r="Z303" s="1912"/>
      <c r="AA303" s="1912"/>
      <c r="AB303" s="1912"/>
      <c r="AC303" s="1912"/>
      <c r="AD303" s="1912"/>
      <c r="AE303" s="1912"/>
      <c r="AF303" s="1912"/>
      <c r="AG303" s="1912"/>
    </row>
    <row r="304">
      <c r="A304" s="1912"/>
      <c r="B304" s="1912"/>
      <c r="C304" s="1912"/>
      <c r="D304" s="1912"/>
      <c r="E304" s="1912"/>
      <c r="F304" s="1912"/>
      <c r="G304" s="1912"/>
      <c r="H304" s="1912"/>
      <c r="I304" s="1912"/>
      <c r="J304" s="1912"/>
      <c r="K304" s="1912"/>
      <c r="L304" s="1912"/>
      <c r="M304" s="1912"/>
      <c r="N304" s="1912"/>
      <c r="O304" s="1912"/>
      <c r="P304" s="1912"/>
      <c r="Q304" s="1912"/>
      <c r="R304" s="1912"/>
      <c r="S304" s="1912"/>
      <c r="T304" s="1912"/>
      <c r="U304" s="1912"/>
      <c r="V304" s="1912"/>
      <c r="W304" s="1912"/>
      <c r="X304" s="1912"/>
      <c r="Y304" s="1912"/>
      <c r="Z304" s="1912"/>
      <c r="AA304" s="1912"/>
      <c r="AB304" s="1912"/>
      <c r="AC304" s="1912"/>
      <c r="AD304" s="1912"/>
      <c r="AE304" s="1912"/>
      <c r="AF304" s="1912"/>
      <c r="AG304" s="1912"/>
    </row>
    <row r="305">
      <c r="A305" s="1912"/>
      <c r="B305" s="1912"/>
      <c r="C305" s="1912"/>
      <c r="D305" s="1912"/>
      <c r="E305" s="1912"/>
      <c r="F305" s="1912"/>
      <c r="G305" s="1912"/>
      <c r="H305" s="1912"/>
      <c r="I305" s="1912"/>
      <c r="J305" s="1912"/>
      <c r="K305" s="1912"/>
      <c r="L305" s="1912"/>
      <c r="M305" s="1912"/>
      <c r="N305" s="1912"/>
      <c r="O305" s="1912"/>
      <c r="P305" s="1912"/>
      <c r="Q305" s="1912"/>
      <c r="R305" s="1912"/>
      <c r="S305" s="1912"/>
      <c r="T305" s="1912"/>
      <c r="U305" s="1912"/>
      <c r="V305" s="1912"/>
      <c r="W305" s="1912"/>
      <c r="X305" s="1912"/>
      <c r="Y305" s="1912"/>
      <c r="Z305" s="1912"/>
      <c r="AA305" s="1912"/>
      <c r="AB305" s="1912"/>
      <c r="AC305" s="1912"/>
      <c r="AD305" s="1912"/>
      <c r="AE305" s="1912"/>
      <c r="AF305" s="1912"/>
      <c r="AG305" s="1912"/>
    </row>
    <row r="306">
      <c r="A306" s="1912"/>
      <c r="B306" s="1912"/>
      <c r="C306" s="1912"/>
      <c r="D306" s="1912"/>
      <c r="E306" s="1912"/>
      <c r="F306" s="1912"/>
      <c r="G306" s="1912"/>
      <c r="H306" s="1912"/>
      <c r="I306" s="1912"/>
      <c r="J306" s="1912"/>
      <c r="K306" s="1912"/>
      <c r="L306" s="1912"/>
      <c r="M306" s="1912"/>
      <c r="N306" s="1912"/>
      <c r="O306" s="1912"/>
      <c r="P306" s="1912"/>
      <c r="Q306" s="1912"/>
      <c r="R306" s="1912"/>
      <c r="S306" s="1912"/>
      <c r="T306" s="1912"/>
      <c r="U306" s="1912"/>
      <c r="V306" s="1912"/>
      <c r="W306" s="1912"/>
      <c r="X306" s="1912"/>
      <c r="Y306" s="1912"/>
      <c r="Z306" s="1912"/>
      <c r="AA306" s="1912"/>
      <c r="AB306" s="1912"/>
      <c r="AC306" s="1912"/>
      <c r="AD306" s="1912"/>
      <c r="AE306" s="1912"/>
      <c r="AF306" s="1912"/>
      <c r="AG306" s="1912"/>
    </row>
    <row r="307">
      <c r="A307" s="1912"/>
      <c r="B307" s="1912"/>
      <c r="C307" s="1912"/>
      <c r="D307" s="1912"/>
      <c r="E307" s="1912"/>
      <c r="F307" s="1912"/>
      <c r="G307" s="1912"/>
      <c r="H307" s="1912"/>
      <c r="I307" s="1912"/>
      <c r="J307" s="1912"/>
      <c r="K307" s="1912"/>
      <c r="L307" s="1912"/>
      <c r="M307" s="1912"/>
      <c r="N307" s="1912"/>
      <c r="O307" s="1912"/>
      <c r="P307" s="1912"/>
      <c r="Q307" s="1912"/>
      <c r="R307" s="1912"/>
      <c r="S307" s="1912"/>
      <c r="T307" s="1912"/>
      <c r="U307" s="1912"/>
      <c r="V307" s="1912"/>
      <c r="W307" s="1912"/>
      <c r="X307" s="1912"/>
      <c r="Y307" s="1912"/>
      <c r="Z307" s="1912"/>
      <c r="AA307" s="1912"/>
      <c r="AB307" s="1912"/>
      <c r="AC307" s="1912"/>
      <c r="AD307" s="1912"/>
      <c r="AE307" s="1912"/>
      <c r="AF307" s="1912"/>
      <c r="AG307" s="1912"/>
    </row>
    <row r="308">
      <c r="A308" s="1912"/>
      <c r="B308" s="1912"/>
      <c r="C308" s="1912"/>
      <c r="D308" s="1912"/>
      <c r="E308" s="1912"/>
      <c r="F308" s="1912"/>
      <c r="G308" s="1912"/>
      <c r="H308" s="1912"/>
      <c r="I308" s="1912"/>
      <c r="J308" s="1912"/>
      <c r="K308" s="1912"/>
      <c r="L308" s="1912"/>
      <c r="M308" s="1912"/>
      <c r="N308" s="1912"/>
      <c r="O308" s="1912"/>
      <c r="P308" s="1912"/>
      <c r="Q308" s="1912"/>
      <c r="R308" s="1912"/>
      <c r="S308" s="1912"/>
      <c r="T308" s="1912"/>
      <c r="U308" s="1912"/>
      <c r="V308" s="1912"/>
      <c r="W308" s="1912"/>
      <c r="X308" s="1912"/>
      <c r="Y308" s="1912"/>
      <c r="Z308" s="1912"/>
      <c r="AA308" s="1912"/>
      <c r="AB308" s="1912"/>
      <c r="AC308" s="1912"/>
      <c r="AD308" s="1912"/>
      <c r="AE308" s="1912"/>
      <c r="AF308" s="1912"/>
      <c r="AG308" s="1912"/>
    </row>
    <row r="309">
      <c r="A309" s="1912"/>
      <c r="B309" s="1912"/>
      <c r="C309" s="1912"/>
      <c r="D309" s="1912"/>
      <c r="E309" s="1912"/>
      <c r="F309" s="1912"/>
      <c r="G309" s="1912"/>
      <c r="H309" s="1912"/>
      <c r="I309" s="1912"/>
      <c r="J309" s="1912"/>
      <c r="K309" s="1912"/>
      <c r="L309" s="1912"/>
      <c r="M309" s="1912"/>
      <c r="N309" s="1912"/>
      <c r="O309" s="1912"/>
      <c r="P309" s="1912"/>
      <c r="Q309" s="1912"/>
      <c r="R309" s="1912"/>
      <c r="S309" s="1912"/>
      <c r="T309" s="1912"/>
      <c r="U309" s="1912"/>
      <c r="V309" s="1912"/>
      <c r="W309" s="1912"/>
      <c r="X309" s="1912"/>
      <c r="Y309" s="1912"/>
      <c r="Z309" s="1912"/>
      <c r="AA309" s="1912"/>
      <c r="AB309" s="1912"/>
      <c r="AC309" s="1912"/>
      <c r="AD309" s="1912"/>
      <c r="AE309" s="1912"/>
      <c r="AF309" s="1912"/>
      <c r="AG309" s="1912"/>
    </row>
    <row r="310">
      <c r="A310" s="1912"/>
      <c r="B310" s="1912"/>
      <c r="C310" s="1912"/>
      <c r="D310" s="1912"/>
      <c r="E310" s="1912"/>
      <c r="F310" s="1912"/>
      <c r="G310" s="1912"/>
      <c r="H310" s="1912"/>
      <c r="I310" s="1912"/>
      <c r="J310" s="1912"/>
      <c r="K310" s="1912"/>
      <c r="L310" s="1912"/>
      <c r="M310" s="1912"/>
      <c r="N310" s="1912"/>
      <c r="O310" s="1912"/>
      <c r="P310" s="1912"/>
      <c r="Q310" s="1912"/>
      <c r="R310" s="1912"/>
      <c r="S310" s="1912"/>
      <c r="T310" s="1912"/>
      <c r="U310" s="1912"/>
      <c r="V310" s="1912"/>
      <c r="W310" s="1912"/>
      <c r="X310" s="1912"/>
      <c r="Y310" s="1912"/>
      <c r="Z310" s="1912"/>
      <c r="AA310" s="1912"/>
      <c r="AB310" s="1912"/>
      <c r="AC310" s="1912"/>
      <c r="AD310" s="1912"/>
      <c r="AE310" s="1912"/>
      <c r="AF310" s="1912"/>
      <c r="AG310" s="1912"/>
    </row>
    <row r="311">
      <c r="A311" s="1912"/>
      <c r="B311" s="1912"/>
      <c r="C311" s="1912"/>
      <c r="D311" s="1912"/>
      <c r="E311" s="1912"/>
      <c r="F311" s="1912"/>
      <c r="G311" s="1912"/>
      <c r="H311" s="1912"/>
      <c r="I311" s="1912"/>
      <c r="J311" s="1912"/>
      <c r="K311" s="1912"/>
      <c r="L311" s="1912"/>
      <c r="M311" s="1912"/>
      <c r="N311" s="1912"/>
      <c r="O311" s="1912"/>
      <c r="P311" s="1912"/>
      <c r="Q311" s="1912"/>
      <c r="R311" s="1912"/>
      <c r="S311" s="1912"/>
      <c r="T311" s="1912"/>
      <c r="U311" s="1912"/>
      <c r="V311" s="1912"/>
      <c r="W311" s="1912"/>
      <c r="X311" s="1912"/>
      <c r="Y311" s="1912"/>
      <c r="Z311" s="1912"/>
      <c r="AA311" s="1912"/>
      <c r="AB311" s="1912"/>
      <c r="AC311" s="1912"/>
      <c r="AD311" s="1912"/>
      <c r="AE311" s="1912"/>
      <c r="AF311" s="1912"/>
      <c r="AG311" s="1912"/>
    </row>
    <row r="312">
      <c r="A312" s="1912"/>
      <c r="B312" s="1912"/>
      <c r="C312" s="1912"/>
      <c r="D312" s="1912"/>
      <c r="E312" s="1912"/>
      <c r="F312" s="1912"/>
      <c r="G312" s="1912"/>
      <c r="H312" s="1912"/>
      <c r="I312" s="1912"/>
      <c r="J312" s="1912"/>
      <c r="K312" s="1912"/>
      <c r="L312" s="1912"/>
      <c r="M312" s="1912"/>
      <c r="N312" s="1912"/>
      <c r="O312" s="1912"/>
      <c r="P312" s="1912"/>
      <c r="Q312" s="1912"/>
      <c r="R312" s="1912"/>
      <c r="S312" s="1912"/>
      <c r="T312" s="1912"/>
      <c r="U312" s="1912"/>
      <c r="V312" s="1912"/>
      <c r="W312" s="1912"/>
      <c r="X312" s="1912"/>
      <c r="Y312" s="1912"/>
      <c r="Z312" s="1912"/>
      <c r="AA312" s="1912"/>
      <c r="AB312" s="1912"/>
      <c r="AC312" s="1912"/>
      <c r="AD312" s="1912"/>
      <c r="AE312" s="1912"/>
      <c r="AF312" s="1912"/>
      <c r="AG312" s="1912"/>
    </row>
    <row r="313">
      <c r="A313" s="1912"/>
      <c r="B313" s="1912"/>
      <c r="C313" s="1912"/>
      <c r="D313" s="1912"/>
      <c r="E313" s="1912"/>
      <c r="F313" s="1912"/>
      <c r="G313" s="1912"/>
      <c r="H313" s="1912"/>
      <c r="I313" s="1912"/>
      <c r="J313" s="1912"/>
      <c r="K313" s="1912"/>
      <c r="L313" s="1912"/>
      <c r="M313" s="1912"/>
      <c r="N313" s="1912"/>
      <c r="O313" s="1912"/>
      <c r="P313" s="1912"/>
      <c r="Q313" s="1912"/>
      <c r="R313" s="1912"/>
      <c r="S313" s="1912"/>
      <c r="T313" s="1912"/>
      <c r="U313" s="1912"/>
      <c r="V313" s="1912"/>
      <c r="W313" s="1912"/>
      <c r="X313" s="1912"/>
      <c r="Y313" s="1912"/>
      <c r="Z313" s="1912"/>
      <c r="AA313" s="1912"/>
      <c r="AB313" s="1912"/>
      <c r="AC313" s="1912"/>
      <c r="AD313" s="1912"/>
      <c r="AE313" s="1912"/>
      <c r="AF313" s="1912"/>
      <c r="AG313" s="1912"/>
    </row>
    <row r="314">
      <c r="A314" s="1912"/>
      <c r="B314" s="1912"/>
      <c r="C314" s="1912"/>
      <c r="D314" s="1912"/>
      <c r="E314" s="1912"/>
      <c r="F314" s="1912"/>
      <c r="G314" s="1912"/>
      <c r="H314" s="1912"/>
      <c r="I314" s="1912"/>
      <c r="J314" s="1912"/>
      <c r="K314" s="1912"/>
      <c r="L314" s="1912"/>
      <c r="M314" s="1912"/>
      <c r="N314" s="1912"/>
      <c r="O314" s="1912"/>
      <c r="P314" s="1912"/>
      <c r="Q314" s="1912"/>
      <c r="R314" s="1912"/>
      <c r="S314" s="1912"/>
      <c r="T314" s="1912"/>
      <c r="U314" s="1912"/>
      <c r="V314" s="1912"/>
      <c r="W314" s="1912"/>
      <c r="X314" s="1912"/>
      <c r="Y314" s="1912"/>
      <c r="Z314" s="1912"/>
      <c r="AA314" s="1912"/>
      <c r="AB314" s="1912"/>
      <c r="AC314" s="1912"/>
      <c r="AD314" s="1912"/>
      <c r="AE314" s="1912"/>
      <c r="AF314" s="1912"/>
      <c r="AG314" s="1912"/>
    </row>
    <row r="315">
      <c r="A315" s="1912"/>
      <c r="B315" s="1912"/>
      <c r="C315" s="1912"/>
      <c r="D315" s="1912"/>
      <c r="E315" s="1912"/>
      <c r="F315" s="1912"/>
      <c r="G315" s="1912"/>
      <c r="H315" s="1912"/>
      <c r="I315" s="1912"/>
      <c r="J315" s="1912"/>
      <c r="K315" s="1912"/>
      <c r="L315" s="1912"/>
      <c r="M315" s="1912"/>
      <c r="N315" s="1912"/>
      <c r="O315" s="1912"/>
      <c r="P315" s="1912"/>
      <c r="Q315" s="1912"/>
      <c r="R315" s="1912"/>
      <c r="S315" s="1912"/>
      <c r="T315" s="1912"/>
      <c r="U315" s="1912"/>
      <c r="V315" s="1912"/>
      <c r="W315" s="1912"/>
      <c r="X315" s="1912"/>
      <c r="Y315" s="1912"/>
      <c r="Z315" s="1912"/>
      <c r="AA315" s="1912"/>
      <c r="AB315" s="1912"/>
      <c r="AC315" s="1912"/>
      <c r="AD315" s="1912"/>
      <c r="AE315" s="1912"/>
      <c r="AF315" s="1912"/>
      <c r="AG315" s="1912"/>
    </row>
    <row r="316">
      <c r="A316" s="1912"/>
      <c r="B316" s="1912"/>
      <c r="C316" s="1912"/>
      <c r="D316" s="1912"/>
      <c r="E316" s="1912"/>
      <c r="F316" s="1912"/>
      <c r="G316" s="1912"/>
      <c r="H316" s="1912"/>
      <c r="I316" s="1912"/>
      <c r="J316" s="1912"/>
      <c r="K316" s="1912"/>
      <c r="L316" s="1912"/>
      <c r="M316" s="1912"/>
      <c r="N316" s="1912"/>
      <c r="O316" s="1912"/>
      <c r="P316" s="1912"/>
      <c r="Q316" s="1912"/>
      <c r="R316" s="1912"/>
      <c r="S316" s="1912"/>
      <c r="T316" s="1912"/>
      <c r="U316" s="1912"/>
      <c r="V316" s="1912"/>
      <c r="W316" s="1912"/>
      <c r="X316" s="1912"/>
      <c r="Y316" s="1912"/>
      <c r="Z316" s="1912"/>
      <c r="AA316" s="1912"/>
      <c r="AB316" s="1912"/>
      <c r="AC316" s="1912"/>
      <c r="AD316" s="1912"/>
      <c r="AE316" s="1912"/>
      <c r="AF316" s="1912"/>
      <c r="AG316" s="1912"/>
    </row>
    <row r="317">
      <c r="A317" s="1912"/>
      <c r="B317" s="1912"/>
      <c r="C317" s="1912"/>
      <c r="D317" s="1912"/>
      <c r="E317" s="1912"/>
      <c r="F317" s="1912"/>
      <c r="G317" s="1912"/>
      <c r="H317" s="1912"/>
      <c r="I317" s="1912"/>
      <c r="J317" s="1912"/>
      <c r="K317" s="1912"/>
      <c r="L317" s="1912"/>
      <c r="M317" s="1912"/>
      <c r="N317" s="1912"/>
      <c r="O317" s="1912"/>
      <c r="P317" s="1912"/>
      <c r="Q317" s="1912"/>
      <c r="R317" s="1912"/>
      <c r="S317" s="1912"/>
      <c r="T317" s="1912"/>
      <c r="U317" s="1912"/>
      <c r="V317" s="1912"/>
      <c r="W317" s="1912"/>
      <c r="X317" s="1912"/>
      <c r="Y317" s="1912"/>
      <c r="Z317" s="1912"/>
      <c r="AA317" s="1912"/>
      <c r="AB317" s="1912"/>
      <c r="AC317" s="1912"/>
      <c r="AD317" s="1912"/>
      <c r="AE317" s="1912"/>
      <c r="AF317" s="1912"/>
      <c r="AG317" s="1912"/>
    </row>
    <row r="318">
      <c r="A318" s="1912"/>
      <c r="B318" s="1912"/>
      <c r="C318" s="1912"/>
      <c r="D318" s="1912"/>
      <c r="E318" s="1912"/>
      <c r="F318" s="1912"/>
      <c r="G318" s="1912"/>
      <c r="H318" s="1912"/>
      <c r="I318" s="1912"/>
      <c r="J318" s="1912"/>
      <c r="K318" s="1912"/>
      <c r="L318" s="1912"/>
      <c r="M318" s="1912"/>
      <c r="N318" s="1912"/>
      <c r="O318" s="1912"/>
      <c r="P318" s="1912"/>
      <c r="Q318" s="1912"/>
      <c r="R318" s="1912"/>
      <c r="S318" s="1912"/>
      <c r="T318" s="1912"/>
      <c r="U318" s="1912"/>
      <c r="V318" s="1912"/>
      <c r="W318" s="1912"/>
      <c r="X318" s="1912"/>
      <c r="Y318" s="1912"/>
      <c r="Z318" s="1912"/>
      <c r="AA318" s="1912"/>
      <c r="AB318" s="1912"/>
      <c r="AC318" s="1912"/>
      <c r="AD318" s="1912"/>
      <c r="AE318" s="1912"/>
      <c r="AF318" s="1912"/>
      <c r="AG318" s="1912"/>
    </row>
    <row r="319">
      <c r="A319" s="1912"/>
      <c r="B319" s="1912"/>
      <c r="C319" s="1912"/>
      <c r="D319" s="1912"/>
      <c r="E319" s="1912"/>
      <c r="F319" s="1912"/>
      <c r="G319" s="1912"/>
      <c r="H319" s="1912"/>
      <c r="I319" s="1912"/>
      <c r="J319" s="1912"/>
      <c r="K319" s="1912"/>
      <c r="L319" s="1912"/>
      <c r="M319" s="1912"/>
      <c r="N319" s="1912"/>
      <c r="O319" s="1912"/>
      <c r="P319" s="1912"/>
      <c r="Q319" s="1912"/>
      <c r="R319" s="1912"/>
      <c r="S319" s="1912"/>
      <c r="T319" s="1912"/>
      <c r="U319" s="1912"/>
      <c r="V319" s="1912"/>
      <c r="W319" s="1912"/>
      <c r="X319" s="1912"/>
      <c r="Y319" s="1912"/>
      <c r="Z319" s="1912"/>
      <c r="AA319" s="1912"/>
      <c r="AB319" s="1912"/>
      <c r="AC319" s="1912"/>
      <c r="AD319" s="1912"/>
      <c r="AE319" s="1912"/>
      <c r="AF319" s="1912"/>
      <c r="AG319" s="1912"/>
    </row>
    <row r="320">
      <c r="A320" s="1912"/>
      <c r="B320" s="1912"/>
      <c r="C320" s="1912"/>
      <c r="D320" s="1912"/>
      <c r="E320" s="1912"/>
      <c r="F320" s="1912"/>
      <c r="G320" s="1912"/>
      <c r="H320" s="1912"/>
      <c r="I320" s="1912"/>
      <c r="J320" s="1912"/>
      <c r="K320" s="1912"/>
      <c r="L320" s="1912"/>
      <c r="M320" s="1912"/>
      <c r="N320" s="1912"/>
      <c r="O320" s="1912"/>
      <c r="P320" s="1912"/>
      <c r="Q320" s="1912"/>
      <c r="R320" s="1912"/>
      <c r="S320" s="1912"/>
      <c r="T320" s="1912"/>
      <c r="U320" s="1912"/>
      <c r="V320" s="1912"/>
      <c r="W320" s="1912"/>
      <c r="X320" s="1912"/>
      <c r="Y320" s="1912"/>
      <c r="Z320" s="1912"/>
      <c r="AA320" s="1912"/>
      <c r="AB320" s="1912"/>
      <c r="AC320" s="1912"/>
      <c r="AD320" s="1912"/>
      <c r="AE320" s="1912"/>
      <c r="AF320" s="1912"/>
      <c r="AG320" s="1912"/>
    </row>
    <row r="321">
      <c r="A321" s="1912"/>
      <c r="B321" s="1912"/>
      <c r="C321" s="1912"/>
      <c r="D321" s="1912"/>
      <c r="E321" s="1912"/>
      <c r="F321" s="1912"/>
      <c r="G321" s="1912"/>
      <c r="H321" s="1912"/>
      <c r="I321" s="1912"/>
      <c r="J321" s="1912"/>
      <c r="K321" s="1912"/>
      <c r="L321" s="1912"/>
      <c r="M321" s="1912"/>
      <c r="N321" s="1912"/>
      <c r="O321" s="1912"/>
      <c r="P321" s="1912"/>
      <c r="Q321" s="1912"/>
      <c r="R321" s="1912"/>
      <c r="S321" s="1912"/>
      <c r="T321" s="1912"/>
      <c r="U321" s="1912"/>
      <c r="V321" s="1912"/>
      <c r="W321" s="1912"/>
      <c r="X321" s="1912"/>
      <c r="Y321" s="1912"/>
      <c r="Z321" s="1912"/>
      <c r="AA321" s="1912"/>
      <c r="AB321" s="1912"/>
      <c r="AC321" s="1912"/>
      <c r="AD321" s="1912"/>
      <c r="AE321" s="1912"/>
      <c r="AF321" s="1912"/>
      <c r="AG321" s="1912"/>
    </row>
    <row r="322">
      <c r="A322" s="1912"/>
      <c r="B322" s="1912"/>
      <c r="C322" s="1912"/>
      <c r="D322" s="1912"/>
      <c r="E322" s="1912"/>
      <c r="F322" s="1912"/>
      <c r="G322" s="1912"/>
      <c r="H322" s="1912"/>
      <c r="I322" s="1912"/>
      <c r="J322" s="1912"/>
      <c r="K322" s="1912"/>
      <c r="L322" s="1912"/>
      <c r="M322" s="1912"/>
      <c r="N322" s="1912"/>
      <c r="O322" s="1912"/>
      <c r="P322" s="1912"/>
      <c r="Q322" s="1912"/>
      <c r="R322" s="1912"/>
      <c r="S322" s="1912"/>
      <c r="T322" s="1912"/>
      <c r="U322" s="1912"/>
      <c r="V322" s="1912"/>
      <c r="W322" s="1912"/>
      <c r="X322" s="1912"/>
      <c r="Y322" s="1912"/>
      <c r="Z322" s="1912"/>
      <c r="AA322" s="1912"/>
      <c r="AB322" s="1912"/>
      <c r="AC322" s="1912"/>
      <c r="AD322" s="1912"/>
      <c r="AE322" s="1912"/>
      <c r="AF322" s="1912"/>
      <c r="AG322" s="1912"/>
    </row>
    <row r="323">
      <c r="A323" s="1912"/>
      <c r="B323" s="1912"/>
      <c r="C323" s="1912"/>
      <c r="D323" s="1912"/>
      <c r="E323" s="1912"/>
      <c r="F323" s="1912"/>
      <c r="G323" s="1912"/>
      <c r="H323" s="1912"/>
      <c r="I323" s="1912"/>
      <c r="J323" s="1912"/>
      <c r="K323" s="1912"/>
      <c r="L323" s="1912"/>
      <c r="M323" s="1912"/>
      <c r="N323" s="1912"/>
      <c r="O323" s="1912"/>
      <c r="P323" s="1912"/>
      <c r="Q323" s="1912"/>
      <c r="R323" s="1912"/>
      <c r="S323" s="1912"/>
      <c r="T323" s="1912"/>
      <c r="U323" s="1912"/>
      <c r="V323" s="1912"/>
      <c r="W323" s="1912"/>
      <c r="X323" s="1912"/>
      <c r="Y323" s="1912"/>
      <c r="Z323" s="1912"/>
      <c r="AA323" s="1912"/>
      <c r="AB323" s="1912"/>
      <c r="AC323" s="1912"/>
      <c r="AD323" s="1912"/>
      <c r="AE323" s="1912"/>
      <c r="AF323" s="1912"/>
      <c r="AG323" s="1912"/>
    </row>
    <row r="324">
      <c r="A324" s="1912"/>
      <c r="B324" s="1912"/>
      <c r="C324" s="1912"/>
      <c r="D324" s="1912"/>
      <c r="E324" s="1912"/>
      <c r="F324" s="1912"/>
      <c r="G324" s="1912"/>
      <c r="H324" s="1912"/>
      <c r="I324" s="1912"/>
      <c r="J324" s="1912"/>
      <c r="K324" s="1912"/>
      <c r="L324" s="1912"/>
      <c r="M324" s="1912"/>
      <c r="N324" s="1912"/>
      <c r="O324" s="1912"/>
      <c r="P324" s="1912"/>
      <c r="Q324" s="1912"/>
      <c r="R324" s="1912"/>
      <c r="S324" s="1912"/>
      <c r="T324" s="1912"/>
      <c r="U324" s="1912"/>
      <c r="V324" s="1912"/>
      <c r="W324" s="1912"/>
      <c r="X324" s="1912"/>
      <c r="Y324" s="1912"/>
      <c r="Z324" s="1912"/>
      <c r="AA324" s="1912"/>
      <c r="AB324" s="1912"/>
      <c r="AC324" s="1912"/>
      <c r="AD324" s="1912"/>
      <c r="AE324" s="1912"/>
      <c r="AF324" s="1912"/>
      <c r="AG324" s="1912"/>
    </row>
    <row r="325">
      <c r="A325" s="1912"/>
      <c r="B325" s="1912"/>
      <c r="C325" s="1912"/>
      <c r="D325" s="1912"/>
      <c r="E325" s="1912"/>
      <c r="F325" s="1912"/>
      <c r="G325" s="1912"/>
      <c r="H325" s="1912"/>
      <c r="I325" s="1912"/>
      <c r="J325" s="1912"/>
      <c r="K325" s="1912"/>
      <c r="L325" s="1912"/>
      <c r="M325" s="1912"/>
      <c r="N325" s="1912"/>
      <c r="O325" s="1912"/>
      <c r="P325" s="1912"/>
      <c r="Q325" s="1912"/>
      <c r="R325" s="1912"/>
      <c r="S325" s="1912"/>
      <c r="T325" s="1912"/>
      <c r="U325" s="1912"/>
      <c r="V325" s="1912"/>
      <c r="W325" s="1912"/>
      <c r="X325" s="1912"/>
      <c r="Y325" s="1912"/>
      <c r="Z325" s="1912"/>
      <c r="AA325" s="1912"/>
      <c r="AB325" s="1912"/>
      <c r="AC325" s="1912"/>
      <c r="AD325" s="1912"/>
      <c r="AE325" s="1912"/>
      <c r="AF325" s="1912"/>
      <c r="AG325" s="1912"/>
    </row>
    <row r="326">
      <c r="A326" s="1912"/>
      <c r="B326" s="1912"/>
      <c r="C326" s="1912"/>
      <c r="D326" s="1912"/>
      <c r="E326" s="1912"/>
      <c r="F326" s="1912"/>
      <c r="G326" s="1912"/>
      <c r="H326" s="1912"/>
      <c r="I326" s="1912"/>
      <c r="J326" s="1912"/>
      <c r="K326" s="1912"/>
      <c r="L326" s="1912"/>
      <c r="M326" s="1912"/>
      <c r="N326" s="1912"/>
      <c r="O326" s="1912"/>
      <c r="P326" s="1912"/>
      <c r="Q326" s="1912"/>
      <c r="R326" s="1912"/>
      <c r="S326" s="1912"/>
      <c r="T326" s="1912"/>
      <c r="U326" s="1912"/>
      <c r="V326" s="1912"/>
      <c r="W326" s="1912"/>
      <c r="X326" s="1912"/>
      <c r="Y326" s="1912"/>
      <c r="Z326" s="1912"/>
      <c r="AA326" s="1912"/>
      <c r="AB326" s="1912"/>
      <c r="AC326" s="1912"/>
      <c r="AD326" s="1912"/>
      <c r="AE326" s="1912"/>
      <c r="AF326" s="1912"/>
      <c r="AG326" s="1912"/>
    </row>
    <row r="327">
      <c r="A327" s="1912"/>
      <c r="B327" s="1912"/>
      <c r="C327" s="1912"/>
      <c r="D327" s="1912"/>
      <c r="E327" s="1912"/>
      <c r="F327" s="1912"/>
      <c r="G327" s="1912"/>
      <c r="H327" s="1912"/>
      <c r="I327" s="1912"/>
      <c r="J327" s="1912"/>
      <c r="K327" s="1912"/>
      <c r="L327" s="1912"/>
      <c r="M327" s="1912"/>
      <c r="N327" s="1912"/>
      <c r="O327" s="1912"/>
      <c r="P327" s="1912"/>
      <c r="Q327" s="1912"/>
      <c r="R327" s="1912"/>
      <c r="S327" s="1912"/>
      <c r="T327" s="1912"/>
      <c r="U327" s="1912"/>
      <c r="V327" s="1912"/>
      <c r="W327" s="1912"/>
      <c r="X327" s="1912"/>
      <c r="Y327" s="1912"/>
      <c r="Z327" s="1912"/>
      <c r="AA327" s="1912"/>
      <c r="AB327" s="1912"/>
      <c r="AC327" s="1912"/>
      <c r="AD327" s="1912"/>
      <c r="AE327" s="1912"/>
      <c r="AF327" s="1912"/>
      <c r="AG327" s="1912"/>
    </row>
    <row r="328">
      <c r="A328" s="1912"/>
      <c r="B328" s="1912"/>
      <c r="C328" s="1912"/>
      <c r="D328" s="1912"/>
      <c r="E328" s="1912"/>
      <c r="F328" s="1912"/>
      <c r="G328" s="1912"/>
      <c r="H328" s="1912"/>
      <c r="I328" s="1912"/>
      <c r="J328" s="1912"/>
      <c r="K328" s="1912"/>
      <c r="L328" s="1912"/>
      <c r="M328" s="1912"/>
      <c r="N328" s="1912"/>
      <c r="O328" s="1912"/>
      <c r="P328" s="1912"/>
      <c r="Q328" s="1912"/>
      <c r="R328" s="1912"/>
      <c r="S328" s="1912"/>
      <c r="T328" s="1912"/>
      <c r="U328" s="1912"/>
      <c r="V328" s="1912"/>
      <c r="W328" s="1912"/>
      <c r="X328" s="1912"/>
      <c r="Y328" s="1912"/>
      <c r="Z328" s="1912"/>
      <c r="AA328" s="1912"/>
      <c r="AB328" s="1912"/>
      <c r="AC328" s="1912"/>
      <c r="AD328" s="1912"/>
      <c r="AE328" s="1912"/>
      <c r="AF328" s="1912"/>
      <c r="AG328" s="1912"/>
    </row>
    <row r="329">
      <c r="A329" s="1912"/>
      <c r="B329" s="1912"/>
      <c r="C329" s="1912"/>
      <c r="D329" s="1912"/>
      <c r="E329" s="1912"/>
      <c r="F329" s="1912"/>
      <c r="G329" s="1912"/>
      <c r="H329" s="1912"/>
      <c r="I329" s="1912"/>
      <c r="J329" s="1912"/>
      <c r="K329" s="1912"/>
      <c r="L329" s="1912"/>
      <c r="M329" s="1912"/>
      <c r="N329" s="1912"/>
      <c r="O329" s="1912"/>
      <c r="P329" s="1912"/>
      <c r="Q329" s="1912"/>
      <c r="R329" s="1912"/>
      <c r="S329" s="1912"/>
      <c r="T329" s="1912"/>
      <c r="U329" s="1912"/>
      <c r="V329" s="1912"/>
      <c r="W329" s="1912"/>
      <c r="X329" s="1912"/>
      <c r="Y329" s="1912"/>
      <c r="Z329" s="1912"/>
      <c r="AA329" s="1912"/>
      <c r="AB329" s="1912"/>
      <c r="AC329" s="1912"/>
      <c r="AD329" s="1912"/>
      <c r="AE329" s="1912"/>
      <c r="AF329" s="1912"/>
      <c r="AG329" s="1912"/>
    </row>
    <row r="330">
      <c r="A330" s="1912"/>
      <c r="B330" s="1912"/>
      <c r="C330" s="1912"/>
      <c r="D330" s="1912"/>
      <c r="E330" s="1912"/>
      <c r="F330" s="1912"/>
      <c r="G330" s="1912"/>
      <c r="H330" s="1912"/>
      <c r="I330" s="1912"/>
      <c r="J330" s="1912"/>
      <c r="K330" s="1912"/>
      <c r="L330" s="1912"/>
      <c r="M330" s="1912"/>
      <c r="N330" s="1912"/>
      <c r="O330" s="1912"/>
      <c r="P330" s="1912"/>
      <c r="Q330" s="1912"/>
      <c r="R330" s="1912"/>
      <c r="S330" s="1912"/>
      <c r="T330" s="1912"/>
      <c r="U330" s="1912"/>
      <c r="V330" s="1912"/>
      <c r="W330" s="1912"/>
      <c r="X330" s="1912"/>
      <c r="Y330" s="1912"/>
      <c r="Z330" s="1912"/>
      <c r="AA330" s="1912"/>
      <c r="AB330" s="1912"/>
      <c r="AC330" s="1912"/>
      <c r="AD330" s="1912"/>
      <c r="AE330" s="1912"/>
      <c r="AF330" s="1912"/>
      <c r="AG330" s="1912"/>
    </row>
    <row r="331">
      <c r="A331" s="1912"/>
      <c r="B331" s="1912"/>
      <c r="C331" s="1912"/>
      <c r="D331" s="1912"/>
      <c r="E331" s="1912"/>
      <c r="F331" s="1912"/>
      <c r="G331" s="1912"/>
      <c r="H331" s="1912"/>
      <c r="I331" s="1912"/>
      <c r="J331" s="1912"/>
      <c r="K331" s="1912"/>
      <c r="L331" s="1912"/>
      <c r="M331" s="1912"/>
      <c r="N331" s="1912"/>
      <c r="O331" s="1912"/>
      <c r="P331" s="1912"/>
      <c r="Q331" s="1912"/>
      <c r="R331" s="1912"/>
      <c r="S331" s="1912"/>
      <c r="T331" s="1912"/>
      <c r="U331" s="1912"/>
      <c r="V331" s="1912"/>
      <c r="W331" s="1912"/>
      <c r="X331" s="1912"/>
      <c r="Y331" s="1912"/>
      <c r="Z331" s="1912"/>
      <c r="AA331" s="1912"/>
      <c r="AB331" s="1912"/>
      <c r="AC331" s="1912"/>
      <c r="AD331" s="1912"/>
      <c r="AE331" s="1912"/>
      <c r="AF331" s="1912"/>
      <c r="AG331" s="1912"/>
    </row>
    <row r="332">
      <c r="A332" s="1912"/>
      <c r="B332" s="1912"/>
      <c r="C332" s="1912"/>
      <c r="D332" s="1912"/>
      <c r="E332" s="1912"/>
      <c r="F332" s="1912"/>
      <c r="G332" s="1912"/>
      <c r="H332" s="1912"/>
      <c r="I332" s="1912"/>
      <c r="J332" s="1912"/>
      <c r="K332" s="1912"/>
      <c r="L332" s="1912"/>
      <c r="M332" s="1912"/>
      <c r="N332" s="1912"/>
      <c r="O332" s="1912"/>
      <c r="P332" s="1912"/>
      <c r="Q332" s="1912"/>
      <c r="R332" s="1912"/>
      <c r="S332" s="1912"/>
      <c r="T332" s="1912"/>
      <c r="U332" s="1912"/>
      <c r="V332" s="1912"/>
      <c r="W332" s="1912"/>
      <c r="X332" s="1912"/>
      <c r="Y332" s="1912"/>
      <c r="Z332" s="1912"/>
      <c r="AA332" s="1912"/>
      <c r="AB332" s="1912"/>
      <c r="AC332" s="1912"/>
      <c r="AD332" s="1912"/>
      <c r="AE332" s="1912"/>
      <c r="AF332" s="1912"/>
      <c r="AG332" s="1912"/>
    </row>
    <row r="333">
      <c r="A333" s="1912"/>
      <c r="B333" s="1912"/>
      <c r="C333" s="1912"/>
      <c r="D333" s="1912"/>
      <c r="E333" s="1912"/>
      <c r="F333" s="1912"/>
      <c r="G333" s="1912"/>
      <c r="H333" s="1912"/>
      <c r="I333" s="1912"/>
      <c r="J333" s="1912"/>
      <c r="K333" s="1912"/>
      <c r="L333" s="1912"/>
      <c r="M333" s="1912"/>
      <c r="N333" s="1912"/>
      <c r="O333" s="1912"/>
      <c r="P333" s="1912"/>
      <c r="Q333" s="1912"/>
      <c r="R333" s="1912"/>
      <c r="S333" s="1912"/>
      <c r="T333" s="1912"/>
      <c r="U333" s="1912"/>
      <c r="V333" s="1912"/>
      <c r="W333" s="1912"/>
      <c r="X333" s="1912"/>
      <c r="Y333" s="1912"/>
      <c r="Z333" s="1912"/>
      <c r="AA333" s="1912"/>
      <c r="AB333" s="1912"/>
      <c r="AC333" s="1912"/>
      <c r="AD333" s="1912"/>
      <c r="AE333" s="1912"/>
      <c r="AF333" s="1912"/>
      <c r="AG333" s="1912"/>
    </row>
    <row r="334">
      <c r="A334" s="1912"/>
      <c r="B334" s="1912"/>
      <c r="C334" s="1912"/>
      <c r="D334" s="1912"/>
      <c r="E334" s="1912"/>
      <c r="F334" s="1912"/>
      <c r="G334" s="1912"/>
      <c r="H334" s="1912"/>
      <c r="I334" s="1912"/>
      <c r="J334" s="1912"/>
      <c r="K334" s="1912"/>
      <c r="L334" s="1912"/>
      <c r="M334" s="1912"/>
      <c r="N334" s="1912"/>
      <c r="O334" s="1912"/>
      <c r="P334" s="1912"/>
      <c r="Q334" s="1912"/>
      <c r="R334" s="1912"/>
      <c r="S334" s="1912"/>
      <c r="T334" s="1912"/>
      <c r="U334" s="1912"/>
      <c r="V334" s="1912"/>
      <c r="W334" s="1912"/>
      <c r="X334" s="1912"/>
      <c r="Y334" s="1912"/>
      <c r="Z334" s="1912"/>
      <c r="AA334" s="1912"/>
      <c r="AB334" s="1912"/>
      <c r="AC334" s="1912"/>
      <c r="AD334" s="1912"/>
      <c r="AE334" s="1912"/>
      <c r="AF334" s="1912"/>
      <c r="AG334" s="1912"/>
    </row>
    <row r="335">
      <c r="A335" s="1912"/>
      <c r="B335" s="1912"/>
      <c r="C335" s="1912"/>
      <c r="D335" s="1912"/>
      <c r="E335" s="1912"/>
      <c r="F335" s="1912"/>
      <c r="G335" s="1912"/>
      <c r="H335" s="1912"/>
      <c r="I335" s="1912"/>
      <c r="J335" s="1912"/>
      <c r="K335" s="1912"/>
      <c r="L335" s="1912"/>
      <c r="M335" s="1912"/>
      <c r="N335" s="1912"/>
      <c r="O335" s="1912"/>
      <c r="P335" s="1912"/>
      <c r="Q335" s="1912"/>
      <c r="R335" s="1912"/>
      <c r="S335" s="1912"/>
      <c r="T335" s="1912"/>
      <c r="U335" s="1912"/>
      <c r="V335" s="1912"/>
      <c r="W335" s="1912"/>
      <c r="X335" s="1912"/>
      <c r="Y335" s="1912"/>
      <c r="Z335" s="1912"/>
      <c r="AA335" s="1912"/>
      <c r="AB335" s="1912"/>
      <c r="AC335" s="1912"/>
      <c r="AD335" s="1912"/>
      <c r="AE335" s="1912"/>
      <c r="AF335" s="1912"/>
      <c r="AG335" s="1912"/>
    </row>
    <row r="336">
      <c r="A336" s="1912"/>
      <c r="B336" s="1912"/>
      <c r="C336" s="1912"/>
      <c r="D336" s="1912"/>
      <c r="E336" s="1912"/>
      <c r="F336" s="1912"/>
      <c r="G336" s="1912"/>
      <c r="H336" s="1912"/>
      <c r="I336" s="1912"/>
      <c r="J336" s="1912"/>
      <c r="K336" s="1912"/>
      <c r="L336" s="1912"/>
      <c r="M336" s="1912"/>
      <c r="N336" s="1912"/>
      <c r="O336" s="1912"/>
      <c r="P336" s="1912"/>
      <c r="Q336" s="1912"/>
      <c r="R336" s="1912"/>
      <c r="S336" s="1912"/>
      <c r="T336" s="1912"/>
      <c r="U336" s="1912"/>
      <c r="V336" s="1912"/>
      <c r="W336" s="1912"/>
      <c r="X336" s="1912"/>
      <c r="Y336" s="1912"/>
      <c r="Z336" s="1912"/>
      <c r="AA336" s="1912"/>
      <c r="AB336" s="1912"/>
      <c r="AC336" s="1912"/>
      <c r="AD336" s="1912"/>
      <c r="AE336" s="1912"/>
      <c r="AF336" s="1912"/>
      <c r="AG336" s="1912"/>
    </row>
    <row r="337">
      <c r="A337" s="1912"/>
      <c r="B337" s="1912"/>
      <c r="C337" s="1912"/>
      <c r="D337" s="1912"/>
      <c r="E337" s="1912"/>
      <c r="F337" s="1912"/>
      <c r="G337" s="1912"/>
      <c r="H337" s="1912"/>
      <c r="I337" s="1912"/>
      <c r="J337" s="1912"/>
      <c r="K337" s="1912"/>
      <c r="L337" s="1912"/>
      <c r="M337" s="1912"/>
      <c r="N337" s="1912"/>
      <c r="O337" s="1912"/>
      <c r="P337" s="1912"/>
      <c r="Q337" s="1912"/>
      <c r="R337" s="1912"/>
      <c r="S337" s="1912"/>
      <c r="T337" s="1912"/>
      <c r="U337" s="1912"/>
      <c r="V337" s="1912"/>
      <c r="W337" s="1912"/>
      <c r="X337" s="1912"/>
      <c r="Y337" s="1912"/>
      <c r="Z337" s="1912"/>
      <c r="AA337" s="1912"/>
      <c r="AB337" s="1912"/>
      <c r="AC337" s="1912"/>
      <c r="AD337" s="1912"/>
      <c r="AE337" s="1912"/>
      <c r="AF337" s="1912"/>
      <c r="AG337" s="1912"/>
    </row>
    <row r="338">
      <c r="A338" s="1912"/>
      <c r="B338" s="1912"/>
      <c r="C338" s="1912"/>
      <c r="D338" s="1912"/>
      <c r="E338" s="1912"/>
      <c r="F338" s="1912"/>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row>
    <row r="339">
      <c r="A339" s="1912"/>
      <c r="B339" s="1912"/>
      <c r="C339" s="1912"/>
      <c r="D339" s="1912"/>
      <c r="E339" s="1912"/>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row>
    <row r="340">
      <c r="A340" s="1912"/>
      <c r="B340" s="1912"/>
      <c r="C340" s="1912"/>
      <c r="D340" s="1912"/>
      <c r="E340" s="1912"/>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row>
    <row r="341">
      <c r="A341" s="1912"/>
      <c r="B341" s="1912"/>
      <c r="C341" s="1912"/>
      <c r="D341" s="1912"/>
      <c r="E341" s="1912"/>
      <c r="F341" s="1912"/>
      <c r="G341" s="1912"/>
      <c r="H341" s="1912"/>
      <c r="I341" s="1912"/>
      <c r="J341" s="1912"/>
      <c r="K341" s="1912"/>
      <c r="L341" s="1912"/>
      <c r="M341" s="1912"/>
      <c r="N341" s="1912"/>
      <c r="O341" s="1912"/>
      <c r="P341" s="1912"/>
      <c r="Q341" s="1912"/>
      <c r="R341" s="1912"/>
      <c r="S341" s="1912"/>
      <c r="T341" s="1912"/>
      <c r="U341" s="1912"/>
      <c r="V341" s="1912"/>
      <c r="W341" s="1912"/>
      <c r="X341" s="1912"/>
      <c r="Y341" s="1912"/>
      <c r="Z341" s="1912"/>
      <c r="AA341" s="1912"/>
      <c r="AB341" s="1912"/>
      <c r="AC341" s="1912"/>
      <c r="AD341" s="1912"/>
      <c r="AE341" s="1912"/>
      <c r="AF341" s="1912"/>
      <c r="AG341" s="1912"/>
    </row>
    <row r="342">
      <c r="A342" s="1912"/>
      <c r="B342" s="1912"/>
      <c r="C342" s="1912"/>
      <c r="D342" s="1912"/>
      <c r="E342" s="1912"/>
      <c r="F342" s="1912"/>
      <c r="G342" s="1912"/>
      <c r="H342" s="1912"/>
      <c r="I342" s="1912"/>
      <c r="J342" s="1912"/>
      <c r="K342" s="1912"/>
      <c r="L342" s="1912"/>
      <c r="M342" s="1912"/>
      <c r="N342" s="1912"/>
      <c r="O342" s="1912"/>
      <c r="P342" s="1912"/>
      <c r="Q342" s="1912"/>
      <c r="R342" s="1912"/>
      <c r="S342" s="1912"/>
      <c r="T342" s="1912"/>
      <c r="U342" s="1912"/>
      <c r="V342" s="1912"/>
      <c r="W342" s="1912"/>
      <c r="X342" s="1912"/>
      <c r="Y342" s="1912"/>
      <c r="Z342" s="1912"/>
      <c r="AA342" s="1912"/>
      <c r="AB342" s="1912"/>
      <c r="AC342" s="1912"/>
      <c r="AD342" s="1912"/>
      <c r="AE342" s="1912"/>
      <c r="AF342" s="1912"/>
      <c r="AG342" s="1912"/>
    </row>
    <row r="343">
      <c r="A343" s="1912"/>
      <c r="B343" s="1912"/>
      <c r="C343" s="1912"/>
      <c r="D343" s="1912"/>
      <c r="E343" s="1912"/>
      <c r="F343" s="1912"/>
      <c r="G343" s="1912"/>
      <c r="H343" s="1912"/>
      <c r="I343" s="1912"/>
      <c r="J343" s="1912"/>
      <c r="K343" s="1912"/>
      <c r="L343" s="1912"/>
      <c r="M343" s="1912"/>
      <c r="N343" s="1912"/>
      <c r="O343" s="1912"/>
      <c r="P343" s="1912"/>
      <c r="Q343" s="1912"/>
      <c r="R343" s="1912"/>
      <c r="S343" s="1912"/>
      <c r="T343" s="1912"/>
      <c r="U343" s="1912"/>
      <c r="V343" s="1912"/>
      <c r="W343" s="1912"/>
      <c r="X343" s="1912"/>
      <c r="Y343" s="1912"/>
      <c r="Z343" s="1912"/>
      <c r="AA343" s="1912"/>
      <c r="AB343" s="1912"/>
      <c r="AC343" s="1912"/>
      <c r="AD343" s="1912"/>
      <c r="AE343" s="1912"/>
      <c r="AF343" s="1912"/>
      <c r="AG343" s="1912"/>
    </row>
    <row r="344">
      <c r="A344" s="1912"/>
      <c r="B344" s="1912"/>
      <c r="C344" s="1912"/>
      <c r="D344" s="1912"/>
      <c r="E344" s="1912"/>
      <c r="F344" s="1912"/>
      <c r="G344" s="1912"/>
      <c r="H344" s="1912"/>
      <c r="I344" s="1912"/>
      <c r="J344" s="1912"/>
      <c r="K344" s="1912"/>
      <c r="L344" s="1912"/>
      <c r="M344" s="1912"/>
      <c r="N344" s="1912"/>
      <c r="O344" s="1912"/>
      <c r="P344" s="1912"/>
      <c r="Q344" s="1912"/>
      <c r="R344" s="1912"/>
      <c r="S344" s="1912"/>
      <c r="T344" s="1912"/>
      <c r="U344" s="1912"/>
      <c r="V344" s="1912"/>
      <c r="W344" s="1912"/>
      <c r="X344" s="1912"/>
      <c r="Y344" s="1912"/>
      <c r="Z344" s="1912"/>
      <c r="AA344" s="1912"/>
      <c r="AB344" s="1912"/>
      <c r="AC344" s="1912"/>
      <c r="AD344" s="1912"/>
      <c r="AE344" s="1912"/>
      <c r="AF344" s="1912"/>
      <c r="AG344" s="1912"/>
    </row>
    <row r="345">
      <c r="A345" s="1912"/>
      <c r="B345" s="1912"/>
      <c r="C345" s="1912"/>
      <c r="D345" s="1912"/>
      <c r="E345" s="1912"/>
      <c r="F345" s="1912"/>
      <c r="G345" s="1912"/>
      <c r="H345" s="1912"/>
      <c r="I345" s="1912"/>
      <c r="J345" s="1912"/>
      <c r="K345" s="1912"/>
      <c r="L345" s="1912"/>
      <c r="M345" s="1912"/>
      <c r="N345" s="1912"/>
      <c r="O345" s="1912"/>
      <c r="P345" s="1912"/>
      <c r="Q345" s="1912"/>
      <c r="R345" s="1912"/>
      <c r="S345" s="1912"/>
      <c r="T345" s="1912"/>
      <c r="U345" s="1912"/>
      <c r="V345" s="1912"/>
      <c r="W345" s="1912"/>
      <c r="X345" s="1912"/>
      <c r="Y345" s="1912"/>
      <c r="Z345" s="1912"/>
      <c r="AA345" s="1912"/>
      <c r="AB345" s="1912"/>
      <c r="AC345" s="1912"/>
      <c r="AD345" s="1912"/>
      <c r="AE345" s="1912"/>
      <c r="AF345" s="1912"/>
      <c r="AG345" s="1912"/>
    </row>
    <row r="346">
      <c r="A346" s="1912"/>
      <c r="B346" s="1912"/>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row>
    <row r="347">
      <c r="A347" s="1912"/>
      <c r="B347" s="1912"/>
      <c r="C347" s="1912"/>
      <c r="D347" s="1912"/>
      <c r="E347" s="1912"/>
      <c r="F347" s="1912"/>
      <c r="G347" s="1912"/>
      <c r="H347" s="1912"/>
      <c r="I347" s="1912"/>
      <c r="J347" s="1912"/>
      <c r="K347" s="1912"/>
      <c r="L347" s="1912"/>
      <c r="M347" s="1912"/>
      <c r="N347" s="1912"/>
      <c r="O347" s="1912"/>
      <c r="P347" s="1912"/>
      <c r="Q347" s="1912"/>
      <c r="R347" s="1912"/>
      <c r="S347" s="1912"/>
      <c r="T347" s="1912"/>
      <c r="U347" s="1912"/>
      <c r="V347" s="1912"/>
      <c r="W347" s="1912"/>
      <c r="X347" s="1912"/>
      <c r="Y347" s="1912"/>
      <c r="Z347" s="1912"/>
      <c r="AA347" s="1912"/>
      <c r="AB347" s="1912"/>
      <c r="AC347" s="1912"/>
      <c r="AD347" s="1912"/>
      <c r="AE347" s="1912"/>
      <c r="AF347" s="1912"/>
      <c r="AG347" s="1912"/>
    </row>
    <row r="348">
      <c r="A348" s="1912"/>
      <c r="B348" s="1912"/>
      <c r="C348" s="1912"/>
      <c r="D348" s="1912"/>
      <c r="E348" s="1912"/>
      <c r="F348" s="1912"/>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row>
    <row r="349">
      <c r="A349" s="1912"/>
      <c r="B349" s="1912"/>
      <c r="C349" s="1912"/>
      <c r="D349" s="1912"/>
      <c r="E349" s="1912"/>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row>
    <row r="350">
      <c r="A350" s="1912"/>
      <c r="B350" s="1912"/>
      <c r="C350" s="1912"/>
      <c r="D350" s="1912"/>
      <c r="E350" s="1912"/>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row>
    <row r="351">
      <c r="A351" s="1912"/>
      <c r="B351" s="1912"/>
      <c r="C351" s="1912"/>
      <c r="D351" s="1912"/>
      <c r="E351" s="1912"/>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row>
    <row r="352">
      <c r="A352" s="1912"/>
      <c r="B352" s="1912"/>
      <c r="C352" s="1912"/>
      <c r="D352" s="1912"/>
      <c r="E352" s="1912"/>
      <c r="F352" s="1912"/>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row>
    <row r="353">
      <c r="A353" s="1912"/>
      <c r="B353" s="1912"/>
      <c r="C353" s="1912"/>
      <c r="D353" s="1912"/>
      <c r="E353" s="1912"/>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row>
    <row r="354">
      <c r="A354" s="1912"/>
      <c r="B354" s="1912"/>
      <c r="C354" s="1912"/>
      <c r="D354" s="1912"/>
      <c r="E354" s="1912"/>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row>
    <row r="355">
      <c r="A355" s="1912"/>
      <c r="B355" s="1912"/>
      <c r="C355" s="1912"/>
      <c r="D355" s="1912"/>
      <c r="E355" s="1912"/>
      <c r="F355" s="1912"/>
      <c r="G355" s="1912"/>
      <c r="H355" s="1912"/>
      <c r="I355" s="1912"/>
      <c r="J355" s="1912"/>
      <c r="K355" s="1912"/>
      <c r="L355" s="1912"/>
      <c r="M355" s="1912"/>
      <c r="N355" s="1912"/>
      <c r="O355" s="1912"/>
      <c r="P355" s="1912"/>
      <c r="Q355" s="1912"/>
      <c r="R355" s="1912"/>
      <c r="S355" s="1912"/>
      <c r="T355" s="1912"/>
      <c r="U355" s="1912"/>
      <c r="V355" s="1912"/>
      <c r="W355" s="1912"/>
      <c r="X355" s="1912"/>
      <c r="Y355" s="1912"/>
      <c r="Z355" s="1912"/>
      <c r="AA355" s="1912"/>
      <c r="AB355" s="1912"/>
      <c r="AC355" s="1912"/>
      <c r="AD355" s="1912"/>
      <c r="AE355" s="1912"/>
      <c r="AF355" s="1912"/>
      <c r="AG355" s="1912"/>
    </row>
    <row r="356">
      <c r="A356" s="1912"/>
      <c r="B356" s="1912"/>
      <c r="C356" s="1912"/>
      <c r="D356" s="1912"/>
      <c r="E356" s="1912"/>
      <c r="F356" s="1912"/>
      <c r="G356" s="1912"/>
      <c r="H356" s="1912"/>
      <c r="I356" s="1912"/>
      <c r="J356" s="1912"/>
      <c r="K356" s="1912"/>
      <c r="L356" s="1912"/>
      <c r="M356" s="1912"/>
      <c r="N356" s="1912"/>
      <c r="O356" s="1912"/>
      <c r="P356" s="1912"/>
      <c r="Q356" s="1912"/>
      <c r="R356" s="1912"/>
      <c r="S356" s="1912"/>
      <c r="T356" s="1912"/>
      <c r="U356" s="1912"/>
      <c r="V356" s="1912"/>
      <c r="W356" s="1912"/>
      <c r="X356" s="1912"/>
      <c r="Y356" s="1912"/>
      <c r="Z356" s="1912"/>
      <c r="AA356" s="1912"/>
      <c r="AB356" s="1912"/>
      <c r="AC356" s="1912"/>
      <c r="AD356" s="1912"/>
      <c r="AE356" s="1912"/>
      <c r="AF356" s="1912"/>
      <c r="AG356" s="1912"/>
    </row>
    <row r="357">
      <c r="A357" s="1912"/>
      <c r="B357" s="1912"/>
      <c r="C357" s="1912"/>
      <c r="D357" s="1912"/>
      <c r="E357" s="1912"/>
      <c r="F357" s="1912"/>
      <c r="G357" s="1912"/>
      <c r="H357" s="1912"/>
      <c r="I357" s="1912"/>
      <c r="J357" s="1912"/>
      <c r="K357" s="1912"/>
      <c r="L357" s="1912"/>
      <c r="M357" s="1912"/>
      <c r="N357" s="1912"/>
      <c r="O357" s="1912"/>
      <c r="P357" s="1912"/>
      <c r="Q357" s="1912"/>
      <c r="R357" s="1912"/>
      <c r="S357" s="1912"/>
      <c r="T357" s="1912"/>
      <c r="U357" s="1912"/>
      <c r="V357" s="1912"/>
      <c r="W357" s="1912"/>
      <c r="X357" s="1912"/>
      <c r="Y357" s="1912"/>
      <c r="Z357" s="1912"/>
      <c r="AA357" s="1912"/>
      <c r="AB357" s="1912"/>
      <c r="AC357" s="1912"/>
      <c r="AD357" s="1912"/>
      <c r="AE357" s="1912"/>
      <c r="AF357" s="1912"/>
      <c r="AG357" s="1912"/>
    </row>
    <row r="358">
      <c r="A358" s="1912"/>
      <c r="B358" s="1912"/>
      <c r="C358" s="1912"/>
      <c r="D358" s="1912"/>
      <c r="E358" s="1912"/>
      <c r="F358" s="1912"/>
      <c r="G358" s="1912"/>
      <c r="H358" s="1912"/>
      <c r="I358" s="1912"/>
      <c r="J358" s="1912"/>
      <c r="K358" s="1912"/>
      <c r="L358" s="1912"/>
      <c r="M358" s="1912"/>
      <c r="N358" s="1912"/>
      <c r="O358" s="1912"/>
      <c r="P358" s="1912"/>
      <c r="Q358" s="1912"/>
      <c r="R358" s="1912"/>
      <c r="S358" s="1912"/>
      <c r="T358" s="1912"/>
      <c r="U358" s="1912"/>
      <c r="V358" s="1912"/>
      <c r="W358" s="1912"/>
      <c r="X358" s="1912"/>
      <c r="Y358" s="1912"/>
      <c r="Z358" s="1912"/>
      <c r="AA358" s="1912"/>
      <c r="AB358" s="1912"/>
      <c r="AC358" s="1912"/>
      <c r="AD358" s="1912"/>
      <c r="AE358" s="1912"/>
      <c r="AF358" s="1912"/>
      <c r="AG358" s="1912"/>
    </row>
    <row r="359">
      <c r="A359" s="1912"/>
      <c r="B359" s="1912"/>
      <c r="C359" s="1912"/>
      <c r="D359" s="1912"/>
      <c r="E359" s="1912"/>
      <c r="F359" s="1912"/>
      <c r="G359" s="1912"/>
      <c r="H359" s="1912"/>
      <c r="I359" s="1912"/>
      <c r="J359" s="1912"/>
      <c r="K359" s="1912"/>
      <c r="L359" s="1912"/>
      <c r="M359" s="1912"/>
      <c r="N359" s="1912"/>
      <c r="O359" s="1912"/>
      <c r="P359" s="1912"/>
      <c r="Q359" s="1912"/>
      <c r="R359" s="1912"/>
      <c r="S359" s="1912"/>
      <c r="T359" s="1912"/>
      <c r="U359" s="1912"/>
      <c r="V359" s="1912"/>
      <c r="W359" s="1912"/>
      <c r="X359" s="1912"/>
      <c r="Y359" s="1912"/>
      <c r="Z359" s="1912"/>
      <c r="AA359" s="1912"/>
      <c r="AB359" s="1912"/>
      <c r="AC359" s="1912"/>
      <c r="AD359" s="1912"/>
      <c r="AE359" s="1912"/>
      <c r="AF359" s="1912"/>
      <c r="AG359" s="1912"/>
    </row>
    <row r="360">
      <c r="A360" s="1912"/>
      <c r="B360" s="1912"/>
      <c r="C360" s="1912"/>
      <c r="D360" s="1912"/>
      <c r="E360" s="1912"/>
      <c r="F360" s="1912"/>
      <c r="G360" s="1912"/>
      <c r="H360" s="1912"/>
      <c r="I360" s="1912"/>
      <c r="J360" s="1912"/>
      <c r="K360" s="1912"/>
      <c r="L360" s="1912"/>
      <c r="M360" s="1912"/>
      <c r="N360" s="1912"/>
      <c r="O360" s="1912"/>
      <c r="P360" s="1912"/>
      <c r="Q360" s="1912"/>
      <c r="R360" s="1912"/>
      <c r="S360" s="1912"/>
      <c r="T360" s="1912"/>
      <c r="U360" s="1912"/>
      <c r="V360" s="1912"/>
      <c r="W360" s="1912"/>
      <c r="X360" s="1912"/>
      <c r="Y360" s="1912"/>
      <c r="Z360" s="1912"/>
      <c r="AA360" s="1912"/>
      <c r="AB360" s="1912"/>
      <c r="AC360" s="1912"/>
      <c r="AD360" s="1912"/>
      <c r="AE360" s="1912"/>
      <c r="AF360" s="1912"/>
      <c r="AG360" s="1912"/>
    </row>
    <row r="361">
      <c r="A361" s="1912"/>
      <c r="B361" s="1912"/>
      <c r="C361" s="1912"/>
      <c r="D361" s="1912"/>
      <c r="E361" s="1912"/>
      <c r="F361" s="1912"/>
      <c r="G361" s="1912"/>
      <c r="H361" s="1912"/>
      <c r="I361" s="1912"/>
      <c r="J361" s="1912"/>
      <c r="K361" s="1912"/>
      <c r="L361" s="1912"/>
      <c r="M361" s="1912"/>
      <c r="N361" s="1912"/>
      <c r="O361" s="1912"/>
      <c r="P361" s="1912"/>
      <c r="Q361" s="1912"/>
      <c r="R361" s="1912"/>
      <c r="S361" s="1912"/>
      <c r="T361" s="1912"/>
      <c r="U361" s="1912"/>
      <c r="V361" s="1912"/>
      <c r="W361" s="1912"/>
      <c r="X361" s="1912"/>
      <c r="Y361" s="1912"/>
      <c r="Z361" s="1912"/>
      <c r="AA361" s="1912"/>
      <c r="AB361" s="1912"/>
      <c r="AC361" s="1912"/>
      <c r="AD361" s="1912"/>
      <c r="AE361" s="1912"/>
      <c r="AF361" s="1912"/>
      <c r="AG361" s="1912"/>
    </row>
    <row r="362">
      <c r="A362" s="1912"/>
      <c r="B362" s="1912"/>
      <c r="C362" s="1912"/>
      <c r="D362" s="1912"/>
      <c r="E362" s="1912"/>
      <c r="F362" s="1912"/>
      <c r="G362" s="1912"/>
      <c r="H362" s="1912"/>
      <c r="I362" s="1912"/>
      <c r="J362" s="1912"/>
      <c r="K362" s="1912"/>
      <c r="L362" s="1912"/>
      <c r="M362" s="1912"/>
      <c r="N362" s="1912"/>
      <c r="O362" s="1912"/>
      <c r="P362" s="1912"/>
      <c r="Q362" s="1912"/>
      <c r="R362" s="1912"/>
      <c r="S362" s="1912"/>
      <c r="T362" s="1912"/>
      <c r="U362" s="1912"/>
      <c r="V362" s="1912"/>
      <c r="W362" s="1912"/>
      <c r="X362" s="1912"/>
      <c r="Y362" s="1912"/>
      <c r="Z362" s="1912"/>
      <c r="AA362" s="1912"/>
      <c r="AB362" s="1912"/>
      <c r="AC362" s="1912"/>
      <c r="AD362" s="1912"/>
      <c r="AE362" s="1912"/>
      <c r="AF362" s="1912"/>
      <c r="AG362" s="1912"/>
    </row>
    <row r="363">
      <c r="A363" s="1912"/>
      <c r="B363" s="1912"/>
      <c r="C363" s="1912"/>
      <c r="D363" s="1912"/>
      <c r="E363" s="1912"/>
      <c r="F363" s="1912"/>
      <c r="G363" s="1912"/>
      <c r="H363" s="1912"/>
      <c r="I363" s="1912"/>
      <c r="J363" s="1912"/>
      <c r="K363" s="1912"/>
      <c r="L363" s="1912"/>
      <c r="M363" s="1912"/>
      <c r="N363" s="1912"/>
      <c r="O363" s="1912"/>
      <c r="P363" s="1912"/>
      <c r="Q363" s="1912"/>
      <c r="R363" s="1912"/>
      <c r="S363" s="1912"/>
      <c r="T363" s="1912"/>
      <c r="U363" s="1912"/>
      <c r="V363" s="1912"/>
      <c r="W363" s="1912"/>
      <c r="X363" s="1912"/>
      <c r="Y363" s="1912"/>
      <c r="Z363" s="1912"/>
      <c r="AA363" s="1912"/>
      <c r="AB363" s="1912"/>
      <c r="AC363" s="1912"/>
      <c r="AD363" s="1912"/>
      <c r="AE363" s="1912"/>
      <c r="AF363" s="1912"/>
      <c r="AG363" s="1912"/>
    </row>
    <row r="364">
      <c r="A364" s="1912"/>
      <c r="B364" s="1912"/>
      <c r="C364" s="1912"/>
      <c r="D364" s="1912"/>
      <c r="E364" s="1912"/>
      <c r="F364" s="1912"/>
      <c r="G364" s="1912"/>
      <c r="H364" s="1912"/>
      <c r="I364" s="1912"/>
      <c r="J364" s="1912"/>
      <c r="K364" s="1912"/>
      <c r="L364" s="1912"/>
      <c r="M364" s="1912"/>
      <c r="N364" s="1912"/>
      <c r="O364" s="1912"/>
      <c r="P364" s="1912"/>
      <c r="Q364" s="1912"/>
      <c r="R364" s="1912"/>
      <c r="S364" s="1912"/>
      <c r="T364" s="1912"/>
      <c r="U364" s="1912"/>
      <c r="V364" s="1912"/>
      <c r="W364" s="1912"/>
      <c r="X364" s="1912"/>
      <c r="Y364" s="1912"/>
      <c r="Z364" s="1912"/>
      <c r="AA364" s="1912"/>
      <c r="AB364" s="1912"/>
      <c r="AC364" s="1912"/>
      <c r="AD364" s="1912"/>
      <c r="AE364" s="1912"/>
      <c r="AF364" s="1912"/>
      <c r="AG364" s="1912"/>
    </row>
    <row r="365">
      <c r="A365" s="1912"/>
      <c r="B365" s="1912"/>
      <c r="C365" s="1912"/>
      <c r="D365" s="1912"/>
      <c r="E365" s="1912"/>
      <c r="F365" s="1912"/>
      <c r="G365" s="1912"/>
      <c r="H365" s="1912"/>
      <c r="I365" s="1912"/>
      <c r="J365" s="1912"/>
      <c r="K365" s="1912"/>
      <c r="L365" s="1912"/>
      <c r="M365" s="1912"/>
      <c r="N365" s="1912"/>
      <c r="O365" s="1912"/>
      <c r="P365" s="1912"/>
      <c r="Q365" s="1912"/>
      <c r="R365" s="1912"/>
      <c r="S365" s="1912"/>
      <c r="T365" s="1912"/>
      <c r="U365" s="1912"/>
      <c r="V365" s="1912"/>
      <c r="W365" s="1912"/>
      <c r="X365" s="1912"/>
      <c r="Y365" s="1912"/>
      <c r="Z365" s="1912"/>
      <c r="AA365" s="1912"/>
      <c r="AB365" s="1912"/>
      <c r="AC365" s="1912"/>
      <c r="AD365" s="1912"/>
      <c r="AE365" s="1912"/>
      <c r="AF365" s="1912"/>
      <c r="AG365" s="1912"/>
    </row>
    <row r="366">
      <c r="A366" s="1912"/>
      <c r="B366" s="1912"/>
      <c r="C366" s="1912"/>
      <c r="D366" s="1912"/>
      <c r="E366" s="1912"/>
      <c r="F366" s="1912"/>
      <c r="G366" s="1912"/>
      <c r="H366" s="1912"/>
      <c r="I366" s="1912"/>
      <c r="J366" s="1912"/>
      <c r="K366" s="1912"/>
      <c r="L366" s="1912"/>
      <c r="M366" s="1912"/>
      <c r="N366" s="1912"/>
      <c r="O366" s="1912"/>
      <c r="P366" s="1912"/>
      <c r="Q366" s="1912"/>
      <c r="R366" s="1912"/>
      <c r="S366" s="1912"/>
      <c r="T366" s="1912"/>
      <c r="U366" s="1912"/>
      <c r="V366" s="1912"/>
      <c r="W366" s="1912"/>
      <c r="X366" s="1912"/>
      <c r="Y366" s="1912"/>
      <c r="Z366" s="1912"/>
      <c r="AA366" s="1912"/>
      <c r="AB366" s="1912"/>
      <c r="AC366" s="1912"/>
      <c r="AD366" s="1912"/>
      <c r="AE366" s="1912"/>
      <c r="AF366" s="1912"/>
      <c r="AG366" s="1912"/>
    </row>
    <row r="367">
      <c r="A367" s="1912"/>
      <c r="B367" s="1912"/>
      <c r="C367" s="1912"/>
      <c r="D367" s="1912"/>
      <c r="E367" s="1912"/>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1912"/>
    </row>
    <row r="368">
      <c r="A368" s="1912"/>
      <c r="B368" s="1912"/>
      <c r="C368" s="1912"/>
      <c r="D368" s="1912"/>
      <c r="E368" s="1912"/>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1912"/>
    </row>
    <row r="369">
      <c r="A369" s="1912"/>
      <c r="B369" s="1912"/>
      <c r="C369" s="1912"/>
      <c r="D369" s="1912"/>
      <c r="E369" s="1912"/>
      <c r="F369" s="1912"/>
      <c r="G369" s="1912"/>
      <c r="H369" s="1912"/>
      <c r="I369" s="1912"/>
      <c r="J369" s="1912"/>
      <c r="K369" s="1912"/>
      <c r="L369" s="1912"/>
      <c r="M369" s="1912"/>
      <c r="N369" s="1912"/>
      <c r="O369" s="1912"/>
      <c r="P369" s="1912"/>
      <c r="Q369" s="1912"/>
      <c r="R369" s="1912"/>
      <c r="S369" s="1912"/>
      <c r="T369" s="1912"/>
      <c r="U369" s="1912"/>
      <c r="V369" s="1912"/>
      <c r="W369" s="1912"/>
      <c r="X369" s="1912"/>
      <c r="Y369" s="1912"/>
      <c r="Z369" s="1912"/>
      <c r="AA369" s="1912"/>
      <c r="AB369" s="1912"/>
      <c r="AC369" s="1912"/>
      <c r="AD369" s="1912"/>
      <c r="AE369" s="1912"/>
      <c r="AF369" s="1912"/>
      <c r="AG369" s="1912"/>
    </row>
    <row r="370">
      <c r="A370" s="1912"/>
      <c r="B370" s="1912"/>
      <c r="C370" s="1912"/>
      <c r="D370" s="1912"/>
      <c r="E370" s="1912"/>
      <c r="F370" s="1912"/>
      <c r="G370" s="1912"/>
      <c r="H370" s="1912"/>
      <c r="I370" s="1912"/>
      <c r="J370" s="1912"/>
      <c r="K370" s="1912"/>
      <c r="L370" s="1912"/>
      <c r="M370" s="1912"/>
      <c r="N370" s="1912"/>
      <c r="O370" s="1912"/>
      <c r="P370" s="1912"/>
      <c r="Q370" s="1912"/>
      <c r="R370" s="1912"/>
      <c r="S370" s="1912"/>
      <c r="T370" s="1912"/>
      <c r="U370" s="1912"/>
      <c r="V370" s="1912"/>
      <c r="W370" s="1912"/>
      <c r="X370" s="1912"/>
      <c r="Y370" s="1912"/>
      <c r="Z370" s="1912"/>
      <c r="AA370" s="1912"/>
      <c r="AB370" s="1912"/>
      <c r="AC370" s="1912"/>
      <c r="AD370" s="1912"/>
      <c r="AE370" s="1912"/>
      <c r="AF370" s="1912"/>
      <c r="AG370" s="1912"/>
    </row>
    <row r="371">
      <c r="A371" s="1912"/>
      <c r="B371" s="1912"/>
      <c r="C371" s="1912"/>
      <c r="D371" s="1912"/>
      <c r="E371" s="1912"/>
      <c r="F371" s="1912"/>
      <c r="G371" s="1912"/>
      <c r="H371" s="1912"/>
      <c r="I371" s="1912"/>
      <c r="J371" s="1912"/>
      <c r="K371" s="1912"/>
      <c r="L371" s="1912"/>
      <c r="M371" s="1912"/>
      <c r="N371" s="1912"/>
      <c r="O371" s="1912"/>
      <c r="P371" s="1912"/>
      <c r="Q371" s="1912"/>
      <c r="R371" s="1912"/>
      <c r="S371" s="1912"/>
      <c r="T371" s="1912"/>
      <c r="U371" s="1912"/>
      <c r="V371" s="1912"/>
      <c r="W371" s="1912"/>
      <c r="X371" s="1912"/>
      <c r="Y371" s="1912"/>
      <c r="Z371" s="1912"/>
      <c r="AA371" s="1912"/>
      <c r="AB371" s="1912"/>
      <c r="AC371" s="1912"/>
      <c r="AD371" s="1912"/>
      <c r="AE371" s="1912"/>
      <c r="AF371" s="1912"/>
      <c r="AG371" s="1912"/>
    </row>
    <row r="372">
      <c r="A372" s="1912"/>
      <c r="B372" s="1912"/>
      <c r="C372" s="1912"/>
      <c r="D372" s="1912"/>
      <c r="E372" s="1912"/>
      <c r="F372" s="1912"/>
      <c r="G372" s="1912"/>
      <c r="H372" s="1912"/>
      <c r="I372" s="1912"/>
      <c r="J372" s="1912"/>
      <c r="K372" s="1912"/>
      <c r="L372" s="1912"/>
      <c r="M372" s="1912"/>
      <c r="N372" s="1912"/>
      <c r="O372" s="1912"/>
      <c r="P372" s="1912"/>
      <c r="Q372" s="1912"/>
      <c r="R372" s="1912"/>
      <c r="S372" s="1912"/>
      <c r="T372" s="1912"/>
      <c r="U372" s="1912"/>
      <c r="V372" s="1912"/>
      <c r="W372" s="1912"/>
      <c r="X372" s="1912"/>
      <c r="Y372" s="1912"/>
      <c r="Z372" s="1912"/>
      <c r="AA372" s="1912"/>
      <c r="AB372" s="1912"/>
      <c r="AC372" s="1912"/>
      <c r="AD372" s="1912"/>
      <c r="AE372" s="1912"/>
      <c r="AF372" s="1912"/>
      <c r="AG372" s="1912"/>
    </row>
    <row r="373">
      <c r="A373" s="1912"/>
      <c r="B373" s="1912"/>
      <c r="C373" s="1912"/>
      <c r="D373" s="1912"/>
      <c r="E373" s="1912"/>
      <c r="F373" s="1912"/>
      <c r="G373" s="1912"/>
      <c r="H373" s="1912"/>
      <c r="I373" s="1912"/>
      <c r="J373" s="1912"/>
      <c r="K373" s="1912"/>
      <c r="L373" s="1912"/>
      <c r="M373" s="1912"/>
      <c r="N373" s="1912"/>
      <c r="O373" s="1912"/>
      <c r="P373" s="1912"/>
      <c r="Q373" s="1912"/>
      <c r="R373" s="1912"/>
      <c r="S373" s="1912"/>
      <c r="T373" s="1912"/>
      <c r="U373" s="1912"/>
      <c r="V373" s="1912"/>
      <c r="W373" s="1912"/>
      <c r="X373" s="1912"/>
      <c r="Y373" s="1912"/>
      <c r="Z373" s="1912"/>
      <c r="AA373" s="1912"/>
      <c r="AB373" s="1912"/>
      <c r="AC373" s="1912"/>
      <c r="AD373" s="1912"/>
      <c r="AE373" s="1912"/>
      <c r="AF373" s="1912"/>
      <c r="AG373" s="1912"/>
    </row>
    <row r="374">
      <c r="A374" s="1912"/>
      <c r="B374" s="1912"/>
      <c r="C374" s="1912"/>
      <c r="D374" s="1912"/>
      <c r="E374" s="1912"/>
      <c r="F374" s="1912"/>
      <c r="G374" s="1912"/>
      <c r="H374" s="1912"/>
      <c r="I374" s="1912"/>
      <c r="J374" s="1912"/>
      <c r="K374" s="1912"/>
      <c r="L374" s="1912"/>
      <c r="M374" s="1912"/>
      <c r="N374" s="1912"/>
      <c r="O374" s="1912"/>
      <c r="P374" s="1912"/>
      <c r="Q374" s="1912"/>
      <c r="R374" s="1912"/>
      <c r="S374" s="1912"/>
      <c r="T374" s="1912"/>
      <c r="U374" s="1912"/>
      <c r="V374" s="1912"/>
      <c r="W374" s="1912"/>
      <c r="X374" s="1912"/>
      <c r="Y374" s="1912"/>
      <c r="Z374" s="1912"/>
      <c r="AA374" s="1912"/>
      <c r="AB374" s="1912"/>
      <c r="AC374" s="1912"/>
      <c r="AD374" s="1912"/>
      <c r="AE374" s="1912"/>
      <c r="AF374" s="1912"/>
      <c r="AG374" s="1912"/>
    </row>
    <row r="375">
      <c r="A375" s="1912"/>
      <c r="B375" s="1912"/>
      <c r="C375" s="1912"/>
      <c r="D375" s="1912"/>
      <c r="E375" s="1912"/>
      <c r="F375" s="1912"/>
      <c r="G375" s="1912"/>
      <c r="H375" s="1912"/>
      <c r="I375" s="1912"/>
      <c r="J375" s="1912"/>
      <c r="K375" s="1912"/>
      <c r="L375" s="1912"/>
      <c r="M375" s="1912"/>
      <c r="N375" s="1912"/>
      <c r="O375" s="1912"/>
      <c r="P375" s="1912"/>
      <c r="Q375" s="1912"/>
      <c r="R375" s="1912"/>
      <c r="S375" s="1912"/>
      <c r="T375" s="1912"/>
      <c r="U375" s="1912"/>
      <c r="V375" s="1912"/>
      <c r="W375" s="1912"/>
      <c r="X375" s="1912"/>
      <c r="Y375" s="1912"/>
      <c r="Z375" s="1912"/>
      <c r="AA375" s="1912"/>
      <c r="AB375" s="1912"/>
      <c r="AC375" s="1912"/>
      <c r="AD375" s="1912"/>
      <c r="AE375" s="1912"/>
      <c r="AF375" s="1912"/>
      <c r="AG375" s="1912"/>
    </row>
    <row r="376">
      <c r="A376" s="1912"/>
      <c r="B376" s="1912"/>
      <c r="C376" s="1912"/>
      <c r="D376" s="1912"/>
      <c r="E376" s="1912"/>
      <c r="F376" s="1912"/>
      <c r="G376" s="1912"/>
      <c r="H376" s="1912"/>
      <c r="I376" s="1912"/>
      <c r="J376" s="1912"/>
      <c r="K376" s="1912"/>
      <c r="L376" s="1912"/>
      <c r="M376" s="1912"/>
      <c r="N376" s="1912"/>
      <c r="O376" s="1912"/>
      <c r="P376" s="1912"/>
      <c r="Q376" s="1912"/>
      <c r="R376" s="1912"/>
      <c r="S376" s="1912"/>
      <c r="T376" s="1912"/>
      <c r="U376" s="1912"/>
      <c r="V376" s="1912"/>
      <c r="W376" s="1912"/>
      <c r="X376" s="1912"/>
      <c r="Y376" s="1912"/>
      <c r="Z376" s="1912"/>
      <c r="AA376" s="1912"/>
      <c r="AB376" s="1912"/>
      <c r="AC376" s="1912"/>
      <c r="AD376" s="1912"/>
      <c r="AE376" s="1912"/>
      <c r="AF376" s="1912"/>
      <c r="AG376" s="1912"/>
    </row>
    <row r="377">
      <c r="A377" s="1912"/>
      <c r="B377" s="1912"/>
      <c r="C377" s="1912"/>
      <c r="D377" s="1912"/>
      <c r="E377" s="1912"/>
      <c r="F377" s="1912"/>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1912"/>
      <c r="AD377" s="1912"/>
      <c r="AE377" s="1912"/>
      <c r="AF377" s="1912"/>
      <c r="AG377" s="1912"/>
    </row>
    <row r="378">
      <c r="A378" s="1912"/>
      <c r="B378" s="1912"/>
      <c r="C378" s="1912"/>
      <c r="D378" s="1912"/>
      <c r="E378" s="1912"/>
      <c r="F378" s="1912"/>
      <c r="G378" s="1912"/>
      <c r="H378" s="1912"/>
      <c r="I378" s="1912"/>
      <c r="J378" s="1912"/>
      <c r="K378" s="1912"/>
      <c r="L378" s="1912"/>
      <c r="M378" s="1912"/>
      <c r="N378" s="1912"/>
      <c r="O378" s="1912"/>
      <c r="P378" s="1912"/>
      <c r="Q378" s="1912"/>
      <c r="R378" s="1912"/>
      <c r="S378" s="1912"/>
      <c r="T378" s="1912"/>
      <c r="U378" s="1912"/>
      <c r="V378" s="1912"/>
      <c r="W378" s="1912"/>
      <c r="X378" s="1912"/>
      <c r="Y378" s="1912"/>
      <c r="Z378" s="1912"/>
      <c r="AA378" s="1912"/>
      <c r="AB378" s="1912"/>
      <c r="AC378" s="1912"/>
      <c r="AD378" s="1912"/>
      <c r="AE378" s="1912"/>
      <c r="AF378" s="1912"/>
      <c r="AG378" s="1912"/>
    </row>
    <row r="379">
      <c r="A379" s="1912"/>
      <c r="B379" s="1912"/>
      <c r="C379" s="1912"/>
      <c r="D379" s="1912"/>
      <c r="E379" s="1912"/>
      <c r="F379" s="1912"/>
      <c r="G379" s="1912"/>
      <c r="H379" s="1912"/>
      <c r="I379" s="1912"/>
      <c r="J379" s="1912"/>
      <c r="K379" s="1912"/>
      <c r="L379" s="1912"/>
      <c r="M379" s="1912"/>
      <c r="N379" s="1912"/>
      <c r="O379" s="1912"/>
      <c r="P379" s="1912"/>
      <c r="Q379" s="1912"/>
      <c r="R379" s="1912"/>
      <c r="S379" s="1912"/>
      <c r="T379" s="1912"/>
      <c r="U379" s="1912"/>
      <c r="V379" s="1912"/>
      <c r="W379" s="1912"/>
      <c r="X379" s="1912"/>
      <c r="Y379" s="1912"/>
      <c r="Z379" s="1912"/>
      <c r="AA379" s="1912"/>
      <c r="AB379" s="1912"/>
      <c r="AC379" s="1912"/>
      <c r="AD379" s="1912"/>
      <c r="AE379" s="1912"/>
      <c r="AF379" s="1912"/>
      <c r="AG379" s="1912"/>
    </row>
    <row r="380">
      <c r="A380" s="1912"/>
      <c r="B380" s="1912"/>
      <c r="C380" s="1912"/>
      <c r="D380" s="1912"/>
      <c r="E380" s="1912"/>
      <c r="F380" s="1912"/>
      <c r="G380" s="1912"/>
      <c r="H380" s="1912"/>
      <c r="I380" s="1912"/>
      <c r="J380" s="1912"/>
      <c r="K380" s="1912"/>
      <c r="L380" s="1912"/>
      <c r="M380" s="1912"/>
      <c r="N380" s="1912"/>
      <c r="O380" s="1912"/>
      <c r="P380" s="1912"/>
      <c r="Q380" s="1912"/>
      <c r="R380" s="1912"/>
      <c r="S380" s="1912"/>
      <c r="T380" s="1912"/>
      <c r="U380" s="1912"/>
      <c r="V380" s="1912"/>
      <c r="W380" s="1912"/>
      <c r="X380" s="1912"/>
      <c r="Y380" s="1912"/>
      <c r="Z380" s="1912"/>
      <c r="AA380" s="1912"/>
      <c r="AB380" s="1912"/>
      <c r="AC380" s="1912"/>
      <c r="AD380" s="1912"/>
      <c r="AE380" s="1912"/>
      <c r="AF380" s="1912"/>
      <c r="AG380" s="1912"/>
    </row>
    <row r="381">
      <c r="A381" s="1912"/>
      <c r="B381" s="1912"/>
      <c r="C381" s="1912"/>
      <c r="D381" s="1912"/>
      <c r="E381" s="1912"/>
      <c r="F381" s="1912"/>
      <c r="G381" s="1912"/>
      <c r="H381" s="1912"/>
      <c r="I381" s="1912"/>
      <c r="J381" s="1912"/>
      <c r="K381" s="1912"/>
      <c r="L381" s="1912"/>
      <c r="M381" s="1912"/>
      <c r="N381" s="1912"/>
      <c r="O381" s="1912"/>
      <c r="P381" s="1912"/>
      <c r="Q381" s="1912"/>
      <c r="R381" s="1912"/>
      <c r="S381" s="1912"/>
      <c r="T381" s="1912"/>
      <c r="U381" s="1912"/>
      <c r="V381" s="1912"/>
      <c r="W381" s="1912"/>
      <c r="X381" s="1912"/>
      <c r="Y381" s="1912"/>
      <c r="Z381" s="1912"/>
      <c r="AA381" s="1912"/>
      <c r="AB381" s="1912"/>
      <c r="AC381" s="1912"/>
      <c r="AD381" s="1912"/>
      <c r="AE381" s="1912"/>
      <c r="AF381" s="1912"/>
      <c r="AG381" s="1912"/>
    </row>
    <row r="382">
      <c r="A382" s="1912"/>
      <c r="B382" s="1912"/>
      <c r="C382" s="1912"/>
      <c r="D382" s="1912"/>
      <c r="E382" s="1912"/>
      <c r="F382" s="1912"/>
      <c r="G382" s="1912"/>
      <c r="H382" s="1912"/>
      <c r="I382" s="1912"/>
      <c r="J382" s="1912"/>
      <c r="K382" s="1912"/>
      <c r="L382" s="1912"/>
      <c r="M382" s="1912"/>
      <c r="N382" s="1912"/>
      <c r="O382" s="1912"/>
      <c r="P382" s="1912"/>
      <c r="Q382" s="1912"/>
      <c r="R382" s="1912"/>
      <c r="S382" s="1912"/>
      <c r="T382" s="1912"/>
      <c r="U382" s="1912"/>
      <c r="V382" s="1912"/>
      <c r="W382" s="1912"/>
      <c r="X382" s="1912"/>
      <c r="Y382" s="1912"/>
      <c r="Z382" s="1912"/>
      <c r="AA382" s="1912"/>
      <c r="AB382" s="1912"/>
      <c r="AC382" s="1912"/>
      <c r="AD382" s="1912"/>
      <c r="AE382" s="1912"/>
      <c r="AF382" s="1912"/>
      <c r="AG382" s="1912"/>
    </row>
    <row r="383">
      <c r="A383" s="1912"/>
      <c r="B383" s="1912"/>
      <c r="C383" s="1912"/>
      <c r="D383" s="1912"/>
      <c r="E383" s="1912"/>
      <c r="F383" s="1912"/>
      <c r="G383" s="1912"/>
      <c r="H383" s="1912"/>
      <c r="I383" s="1912"/>
      <c r="J383" s="1912"/>
      <c r="K383" s="1912"/>
      <c r="L383" s="1912"/>
      <c r="M383" s="1912"/>
      <c r="N383" s="1912"/>
      <c r="O383" s="1912"/>
      <c r="P383" s="1912"/>
      <c r="Q383" s="1912"/>
      <c r="R383" s="1912"/>
      <c r="S383" s="1912"/>
      <c r="T383" s="1912"/>
      <c r="U383" s="1912"/>
      <c r="V383" s="1912"/>
      <c r="W383" s="1912"/>
      <c r="X383" s="1912"/>
      <c r="Y383" s="1912"/>
      <c r="Z383" s="1912"/>
      <c r="AA383" s="1912"/>
      <c r="AB383" s="1912"/>
      <c r="AC383" s="1912"/>
      <c r="AD383" s="1912"/>
      <c r="AE383" s="1912"/>
      <c r="AF383" s="1912"/>
      <c r="AG383" s="1912"/>
    </row>
    <row r="384">
      <c r="A384" s="1912"/>
      <c r="B384" s="1912"/>
      <c r="C384" s="1912"/>
      <c r="D384" s="1912"/>
      <c r="E384" s="1912"/>
      <c r="F384" s="1912"/>
      <c r="G384" s="1912"/>
      <c r="H384" s="1912"/>
      <c r="I384" s="1912"/>
      <c r="J384" s="1912"/>
      <c r="K384" s="1912"/>
      <c r="L384" s="1912"/>
      <c r="M384" s="1912"/>
      <c r="N384" s="1912"/>
      <c r="O384" s="1912"/>
      <c r="P384" s="1912"/>
      <c r="Q384" s="1912"/>
      <c r="R384" s="1912"/>
      <c r="S384" s="1912"/>
      <c r="T384" s="1912"/>
      <c r="U384" s="1912"/>
      <c r="V384" s="1912"/>
      <c r="W384" s="1912"/>
      <c r="X384" s="1912"/>
      <c r="Y384" s="1912"/>
      <c r="Z384" s="1912"/>
      <c r="AA384" s="1912"/>
      <c r="AB384" s="1912"/>
      <c r="AC384" s="1912"/>
      <c r="AD384" s="1912"/>
      <c r="AE384" s="1912"/>
      <c r="AF384" s="1912"/>
      <c r="AG384" s="1912"/>
    </row>
    <row r="385">
      <c r="A385" s="1912"/>
      <c r="B385" s="1912"/>
      <c r="C385" s="1912"/>
      <c r="D385" s="1912"/>
      <c r="E385" s="1912"/>
      <c r="F385" s="1912"/>
      <c r="G385" s="1912"/>
      <c r="H385" s="1912"/>
      <c r="I385" s="1912"/>
      <c r="J385" s="1912"/>
      <c r="K385" s="1912"/>
      <c r="L385" s="1912"/>
      <c r="M385" s="1912"/>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1912"/>
    </row>
    <row r="386">
      <c r="A386" s="1912"/>
      <c r="B386" s="1912"/>
      <c r="C386" s="1912"/>
      <c r="D386" s="1912"/>
      <c r="E386" s="1912"/>
      <c r="F386" s="1912"/>
      <c r="G386" s="1912"/>
      <c r="H386" s="1912"/>
      <c r="I386" s="1912"/>
      <c r="J386" s="1912"/>
      <c r="K386" s="1912"/>
      <c r="L386" s="1912"/>
      <c r="M386" s="1912"/>
      <c r="N386" s="1912"/>
      <c r="O386" s="1912"/>
      <c r="P386" s="1912"/>
      <c r="Q386" s="1912"/>
      <c r="R386" s="1912"/>
      <c r="S386" s="1912"/>
      <c r="T386" s="1912"/>
      <c r="U386" s="1912"/>
      <c r="V386" s="1912"/>
      <c r="W386" s="1912"/>
      <c r="X386" s="1912"/>
      <c r="Y386" s="1912"/>
      <c r="Z386" s="1912"/>
      <c r="AA386" s="1912"/>
      <c r="AB386" s="1912"/>
      <c r="AC386" s="1912"/>
      <c r="AD386" s="1912"/>
      <c r="AE386" s="1912"/>
      <c r="AF386" s="1912"/>
      <c r="AG386" s="1912"/>
    </row>
    <row r="387">
      <c r="A387" s="1912"/>
      <c r="B387" s="1912"/>
      <c r="C387" s="1912"/>
      <c r="D387" s="1912"/>
      <c r="E387" s="1912"/>
      <c r="F387" s="1912"/>
      <c r="G387" s="1912"/>
      <c r="H387" s="1912"/>
      <c r="I387" s="1912"/>
      <c r="J387" s="1912"/>
      <c r="K387" s="1912"/>
      <c r="L387" s="1912"/>
      <c r="M387" s="1912"/>
      <c r="N387" s="1912"/>
      <c r="O387" s="1912"/>
      <c r="P387" s="1912"/>
      <c r="Q387" s="1912"/>
      <c r="R387" s="1912"/>
      <c r="S387" s="1912"/>
      <c r="T387" s="1912"/>
      <c r="U387" s="1912"/>
      <c r="V387" s="1912"/>
      <c r="W387" s="1912"/>
      <c r="X387" s="1912"/>
      <c r="Y387" s="1912"/>
      <c r="Z387" s="1912"/>
      <c r="AA387" s="1912"/>
      <c r="AB387" s="1912"/>
      <c r="AC387" s="1912"/>
      <c r="AD387" s="1912"/>
      <c r="AE387" s="1912"/>
      <c r="AF387" s="1912"/>
      <c r="AG387" s="1912"/>
    </row>
    <row r="388">
      <c r="A388" s="1912"/>
      <c r="B388" s="1912"/>
      <c r="C388" s="1912"/>
      <c r="D388" s="1912"/>
      <c r="E388" s="1912"/>
      <c r="F388" s="1912"/>
      <c r="G388" s="1912"/>
      <c r="H388" s="1912"/>
      <c r="I388" s="1912"/>
      <c r="J388" s="1912"/>
      <c r="K388" s="1912"/>
      <c r="L388" s="1912"/>
      <c r="M388" s="1912"/>
      <c r="N388" s="1912"/>
      <c r="O388" s="1912"/>
      <c r="P388" s="1912"/>
      <c r="Q388" s="1912"/>
      <c r="R388" s="1912"/>
      <c r="S388" s="1912"/>
      <c r="T388" s="1912"/>
      <c r="U388" s="1912"/>
      <c r="V388" s="1912"/>
      <c r="W388" s="1912"/>
      <c r="X388" s="1912"/>
      <c r="Y388" s="1912"/>
      <c r="Z388" s="1912"/>
      <c r="AA388" s="1912"/>
      <c r="AB388" s="1912"/>
      <c r="AC388" s="1912"/>
      <c r="AD388" s="1912"/>
      <c r="AE388" s="1912"/>
      <c r="AF388" s="1912"/>
      <c r="AG388" s="1912"/>
    </row>
    <row r="389">
      <c r="A389" s="1912"/>
      <c r="B389" s="1912"/>
      <c r="C389" s="1912"/>
      <c r="D389" s="1912"/>
      <c r="E389" s="1912"/>
      <c r="F389" s="1912"/>
      <c r="G389" s="1912"/>
      <c r="H389" s="1912"/>
      <c r="I389" s="1912"/>
      <c r="J389" s="1912"/>
      <c r="K389" s="1912"/>
      <c r="L389" s="1912"/>
      <c r="M389" s="1912"/>
      <c r="N389" s="1912"/>
      <c r="O389" s="1912"/>
      <c r="P389" s="1912"/>
      <c r="Q389" s="1912"/>
      <c r="R389" s="1912"/>
      <c r="S389" s="1912"/>
      <c r="T389" s="1912"/>
      <c r="U389" s="1912"/>
      <c r="V389" s="1912"/>
      <c r="W389" s="1912"/>
      <c r="X389" s="1912"/>
      <c r="Y389" s="1912"/>
      <c r="Z389" s="1912"/>
      <c r="AA389" s="1912"/>
      <c r="AB389" s="1912"/>
      <c r="AC389" s="1912"/>
      <c r="AD389" s="1912"/>
      <c r="AE389" s="1912"/>
      <c r="AF389" s="1912"/>
      <c r="AG389" s="1912"/>
    </row>
    <row r="390">
      <c r="A390" s="1912"/>
      <c r="B390" s="1912"/>
      <c r="C390" s="1912"/>
      <c r="D390" s="1912"/>
      <c r="E390" s="1912"/>
      <c r="F390" s="1912"/>
      <c r="G390" s="1912"/>
      <c r="H390" s="1912"/>
      <c r="I390" s="1912"/>
      <c r="J390" s="1912"/>
      <c r="K390" s="1912"/>
      <c r="L390" s="1912"/>
      <c r="M390" s="1912"/>
      <c r="N390" s="1912"/>
      <c r="O390" s="1912"/>
      <c r="P390" s="1912"/>
      <c r="Q390" s="1912"/>
      <c r="R390" s="1912"/>
      <c r="S390" s="1912"/>
      <c r="T390" s="1912"/>
      <c r="U390" s="1912"/>
      <c r="V390" s="1912"/>
      <c r="W390" s="1912"/>
      <c r="X390" s="1912"/>
      <c r="Y390" s="1912"/>
      <c r="Z390" s="1912"/>
      <c r="AA390" s="1912"/>
      <c r="AB390" s="1912"/>
      <c r="AC390" s="1912"/>
      <c r="AD390" s="1912"/>
      <c r="AE390" s="1912"/>
      <c r="AF390" s="1912"/>
      <c r="AG390" s="1912"/>
    </row>
    <row r="391">
      <c r="A391" s="1912"/>
      <c r="B391" s="1912"/>
      <c r="C391" s="1912"/>
      <c r="D391" s="1912"/>
      <c r="E391" s="1912"/>
      <c r="F391" s="1912"/>
      <c r="G391" s="1912"/>
      <c r="H391" s="1912"/>
      <c r="I391" s="1912"/>
      <c r="J391" s="1912"/>
      <c r="K391" s="1912"/>
      <c r="L391" s="1912"/>
      <c r="M391" s="1912"/>
      <c r="N391" s="1912"/>
      <c r="O391" s="1912"/>
      <c r="P391" s="1912"/>
      <c r="Q391" s="1912"/>
      <c r="R391" s="1912"/>
      <c r="S391" s="1912"/>
      <c r="T391" s="1912"/>
      <c r="U391" s="1912"/>
      <c r="V391" s="1912"/>
      <c r="W391" s="1912"/>
      <c r="X391" s="1912"/>
      <c r="Y391" s="1912"/>
      <c r="Z391" s="1912"/>
      <c r="AA391" s="1912"/>
      <c r="AB391" s="1912"/>
      <c r="AC391" s="1912"/>
      <c r="AD391" s="1912"/>
      <c r="AE391" s="1912"/>
      <c r="AF391" s="1912"/>
      <c r="AG391" s="1912"/>
    </row>
    <row r="392">
      <c r="A392" s="1912"/>
      <c r="B392" s="1912"/>
      <c r="C392" s="1912"/>
      <c r="D392" s="1912"/>
      <c r="E392" s="1912"/>
      <c r="F392" s="1912"/>
      <c r="G392" s="1912"/>
      <c r="H392" s="1912"/>
      <c r="I392" s="1912"/>
      <c r="J392" s="1912"/>
      <c r="K392" s="1912"/>
      <c r="L392" s="1912"/>
      <c r="M392" s="1912"/>
      <c r="N392" s="1912"/>
      <c r="O392" s="1912"/>
      <c r="P392" s="1912"/>
      <c r="Q392" s="1912"/>
      <c r="R392" s="1912"/>
      <c r="S392" s="1912"/>
      <c r="T392" s="1912"/>
      <c r="U392" s="1912"/>
      <c r="V392" s="1912"/>
      <c r="W392" s="1912"/>
      <c r="X392" s="1912"/>
      <c r="Y392" s="1912"/>
      <c r="Z392" s="1912"/>
      <c r="AA392" s="1912"/>
      <c r="AB392" s="1912"/>
      <c r="AC392" s="1912"/>
      <c r="AD392" s="1912"/>
      <c r="AE392" s="1912"/>
      <c r="AF392" s="1912"/>
      <c r="AG392" s="1912"/>
    </row>
    <row r="393">
      <c r="A393" s="1912"/>
      <c r="B393" s="1912"/>
      <c r="C393" s="1912"/>
      <c r="D393" s="1912"/>
      <c r="E393" s="1912"/>
      <c r="F393" s="1912"/>
      <c r="G393" s="1912"/>
      <c r="H393" s="1912"/>
      <c r="I393" s="1912"/>
      <c r="J393" s="1912"/>
      <c r="K393" s="1912"/>
      <c r="L393" s="1912"/>
      <c r="M393" s="1912"/>
      <c r="N393" s="1912"/>
      <c r="O393" s="1912"/>
      <c r="P393" s="1912"/>
      <c r="Q393" s="1912"/>
      <c r="R393" s="1912"/>
      <c r="S393" s="1912"/>
      <c r="T393" s="1912"/>
      <c r="U393" s="1912"/>
      <c r="V393" s="1912"/>
      <c r="W393" s="1912"/>
      <c r="X393" s="1912"/>
      <c r="Y393" s="1912"/>
      <c r="Z393" s="1912"/>
      <c r="AA393" s="1912"/>
      <c r="AB393" s="1912"/>
      <c r="AC393" s="1912"/>
      <c r="AD393" s="1912"/>
      <c r="AE393" s="1912"/>
      <c r="AF393" s="1912"/>
      <c r="AG393" s="1912"/>
    </row>
    <row r="394">
      <c r="A394" s="1912"/>
      <c r="B394" s="1912"/>
      <c r="C394" s="1912"/>
      <c r="D394" s="1912"/>
      <c r="E394" s="1912"/>
      <c r="F394" s="1912"/>
      <c r="G394" s="1912"/>
      <c r="H394" s="1912"/>
      <c r="I394" s="1912"/>
      <c r="J394" s="1912"/>
      <c r="K394" s="1912"/>
      <c r="L394" s="1912"/>
      <c r="M394" s="1912"/>
      <c r="N394" s="1912"/>
      <c r="O394" s="1912"/>
      <c r="P394" s="1912"/>
      <c r="Q394" s="1912"/>
      <c r="R394" s="1912"/>
      <c r="S394" s="1912"/>
      <c r="T394" s="1912"/>
      <c r="U394" s="1912"/>
      <c r="V394" s="1912"/>
      <c r="W394" s="1912"/>
      <c r="X394" s="1912"/>
      <c r="Y394" s="1912"/>
      <c r="Z394" s="1912"/>
      <c r="AA394" s="1912"/>
      <c r="AB394" s="1912"/>
      <c r="AC394" s="1912"/>
      <c r="AD394" s="1912"/>
      <c r="AE394" s="1912"/>
      <c r="AF394" s="1912"/>
      <c r="AG394" s="1912"/>
    </row>
    <row r="395">
      <c r="A395" s="1912"/>
      <c r="B395" s="1912"/>
      <c r="C395" s="1912"/>
      <c r="D395" s="1912"/>
      <c r="E395" s="1912"/>
      <c r="F395" s="1912"/>
      <c r="G395" s="1912"/>
      <c r="H395" s="1912"/>
      <c r="I395" s="1912"/>
      <c r="J395" s="1912"/>
      <c r="K395" s="1912"/>
      <c r="L395" s="1912"/>
      <c r="M395" s="1912"/>
      <c r="N395" s="1912"/>
      <c r="O395" s="1912"/>
      <c r="P395" s="1912"/>
      <c r="Q395" s="1912"/>
      <c r="R395" s="1912"/>
      <c r="S395" s="1912"/>
      <c r="T395" s="1912"/>
      <c r="U395" s="1912"/>
      <c r="V395" s="1912"/>
      <c r="W395" s="1912"/>
      <c r="X395" s="1912"/>
      <c r="Y395" s="1912"/>
      <c r="Z395" s="1912"/>
      <c r="AA395" s="1912"/>
      <c r="AB395" s="1912"/>
      <c r="AC395" s="1912"/>
      <c r="AD395" s="1912"/>
      <c r="AE395" s="1912"/>
      <c r="AF395" s="1912"/>
      <c r="AG395" s="1912"/>
    </row>
    <row r="396">
      <c r="A396" s="1912"/>
      <c r="B396" s="1912"/>
      <c r="C396" s="1912"/>
      <c r="D396" s="1912"/>
      <c r="E396" s="1912"/>
      <c r="F396" s="1912"/>
      <c r="G396" s="1912"/>
      <c r="H396" s="1912"/>
      <c r="I396" s="1912"/>
      <c r="J396" s="1912"/>
      <c r="K396" s="1912"/>
      <c r="L396" s="1912"/>
      <c r="M396" s="1912"/>
      <c r="N396" s="1912"/>
      <c r="O396" s="1912"/>
      <c r="P396" s="1912"/>
      <c r="Q396" s="1912"/>
      <c r="R396" s="1912"/>
      <c r="S396" s="1912"/>
      <c r="T396" s="1912"/>
      <c r="U396" s="1912"/>
      <c r="V396" s="1912"/>
      <c r="W396" s="1912"/>
      <c r="X396" s="1912"/>
      <c r="Y396" s="1912"/>
      <c r="Z396" s="1912"/>
      <c r="AA396" s="1912"/>
      <c r="AB396" s="1912"/>
      <c r="AC396" s="1912"/>
      <c r="AD396" s="1912"/>
      <c r="AE396" s="1912"/>
      <c r="AF396" s="1912"/>
      <c r="AG396" s="1912"/>
    </row>
    <row r="397">
      <c r="A397" s="1912"/>
      <c r="B397" s="1912"/>
      <c r="C397" s="1912"/>
      <c r="D397" s="1912"/>
      <c r="E397" s="1912"/>
      <c r="F397" s="1912"/>
      <c r="G397" s="1912"/>
      <c r="H397" s="1912"/>
      <c r="I397" s="1912"/>
      <c r="J397" s="1912"/>
      <c r="K397" s="1912"/>
      <c r="L397" s="1912"/>
      <c r="M397" s="1912"/>
      <c r="N397" s="1912"/>
      <c r="O397" s="1912"/>
      <c r="P397" s="1912"/>
      <c r="Q397" s="1912"/>
      <c r="R397" s="1912"/>
      <c r="S397" s="1912"/>
      <c r="T397" s="1912"/>
      <c r="U397" s="1912"/>
      <c r="V397" s="1912"/>
      <c r="W397" s="1912"/>
      <c r="X397" s="1912"/>
      <c r="Y397" s="1912"/>
      <c r="Z397" s="1912"/>
      <c r="AA397" s="1912"/>
      <c r="AB397" s="1912"/>
      <c r="AC397" s="1912"/>
      <c r="AD397" s="1912"/>
      <c r="AE397" s="1912"/>
      <c r="AF397" s="1912"/>
      <c r="AG397" s="1912"/>
    </row>
    <row r="398">
      <c r="A398" s="1912"/>
      <c r="B398" s="1912"/>
      <c r="C398" s="1912"/>
      <c r="D398" s="1912"/>
      <c r="E398" s="1912"/>
      <c r="F398" s="1912"/>
      <c r="G398" s="1912"/>
      <c r="H398" s="1912"/>
      <c r="I398" s="1912"/>
      <c r="J398" s="1912"/>
      <c r="K398" s="1912"/>
      <c r="L398" s="1912"/>
      <c r="M398" s="1912"/>
      <c r="N398" s="1912"/>
      <c r="O398" s="1912"/>
      <c r="P398" s="1912"/>
      <c r="Q398" s="1912"/>
      <c r="R398" s="1912"/>
      <c r="S398" s="1912"/>
      <c r="T398" s="1912"/>
      <c r="U398" s="1912"/>
      <c r="V398" s="1912"/>
      <c r="W398" s="1912"/>
      <c r="X398" s="1912"/>
      <c r="Y398" s="1912"/>
      <c r="Z398" s="1912"/>
      <c r="AA398" s="1912"/>
      <c r="AB398" s="1912"/>
      <c r="AC398" s="1912"/>
      <c r="AD398" s="1912"/>
      <c r="AE398" s="1912"/>
      <c r="AF398" s="1912"/>
      <c r="AG398" s="1912"/>
    </row>
    <row r="399">
      <c r="A399" s="1912"/>
      <c r="B399" s="1912"/>
      <c r="C399" s="1912"/>
      <c r="D399" s="1912"/>
      <c r="E399" s="1912"/>
      <c r="F399" s="1912"/>
      <c r="G399" s="1912"/>
      <c r="H399" s="1912"/>
      <c r="I399" s="1912"/>
      <c r="J399" s="1912"/>
      <c r="K399" s="1912"/>
      <c r="L399" s="1912"/>
      <c r="M399" s="1912"/>
      <c r="N399" s="1912"/>
      <c r="O399" s="1912"/>
      <c r="P399" s="1912"/>
      <c r="Q399" s="1912"/>
      <c r="R399" s="1912"/>
      <c r="S399" s="1912"/>
      <c r="T399" s="1912"/>
      <c r="U399" s="1912"/>
      <c r="V399" s="1912"/>
      <c r="W399" s="1912"/>
      <c r="X399" s="1912"/>
      <c r="Y399" s="1912"/>
      <c r="Z399" s="1912"/>
      <c r="AA399" s="1912"/>
      <c r="AB399" s="1912"/>
      <c r="AC399" s="1912"/>
      <c r="AD399" s="1912"/>
      <c r="AE399" s="1912"/>
      <c r="AF399" s="1912"/>
      <c r="AG399" s="1912"/>
    </row>
    <row r="400">
      <c r="A400" s="1912"/>
      <c r="B400" s="1912"/>
      <c r="C400" s="1912"/>
      <c r="D400" s="1912"/>
      <c r="E400" s="1912"/>
      <c r="F400" s="1912"/>
      <c r="G400" s="1912"/>
      <c r="H400" s="1912"/>
      <c r="I400" s="1912"/>
      <c r="J400" s="1912"/>
      <c r="K400" s="1912"/>
      <c r="L400" s="1912"/>
      <c r="M400" s="1912"/>
      <c r="N400" s="1912"/>
      <c r="O400" s="1912"/>
      <c r="P400" s="1912"/>
      <c r="Q400" s="1912"/>
      <c r="R400" s="1912"/>
      <c r="S400" s="1912"/>
      <c r="T400" s="1912"/>
      <c r="U400" s="1912"/>
      <c r="V400" s="1912"/>
      <c r="W400" s="1912"/>
      <c r="X400" s="1912"/>
      <c r="Y400" s="1912"/>
      <c r="Z400" s="1912"/>
      <c r="AA400" s="1912"/>
      <c r="AB400" s="1912"/>
      <c r="AC400" s="1912"/>
      <c r="AD400" s="1912"/>
      <c r="AE400" s="1912"/>
      <c r="AF400" s="1912"/>
      <c r="AG400" s="1912"/>
    </row>
    <row r="401">
      <c r="A401" s="1912"/>
      <c r="B401" s="1912"/>
      <c r="C401" s="1912"/>
      <c r="D401" s="1912"/>
      <c r="E401" s="1912"/>
      <c r="F401" s="1912"/>
      <c r="G401" s="1912"/>
      <c r="H401" s="1912"/>
      <c r="I401" s="1912"/>
      <c r="J401" s="1912"/>
      <c r="K401" s="1912"/>
      <c r="L401" s="1912"/>
      <c r="M401" s="1912"/>
      <c r="N401" s="1912"/>
      <c r="O401" s="1912"/>
      <c r="P401" s="1912"/>
      <c r="Q401" s="1912"/>
      <c r="R401" s="1912"/>
      <c r="S401" s="1912"/>
      <c r="T401" s="1912"/>
      <c r="U401" s="1912"/>
      <c r="V401" s="1912"/>
      <c r="W401" s="1912"/>
      <c r="X401" s="1912"/>
      <c r="Y401" s="1912"/>
      <c r="Z401" s="1912"/>
      <c r="AA401" s="1912"/>
      <c r="AB401" s="1912"/>
      <c r="AC401" s="1912"/>
      <c r="AD401" s="1912"/>
      <c r="AE401" s="1912"/>
      <c r="AF401" s="1912"/>
      <c r="AG401" s="1912"/>
    </row>
    <row r="402">
      <c r="A402" s="1912"/>
      <c r="B402" s="1912"/>
      <c r="C402" s="1912"/>
      <c r="D402" s="1912"/>
      <c r="E402" s="1912"/>
      <c r="F402" s="1912"/>
      <c r="G402" s="1912"/>
      <c r="H402" s="1912"/>
      <c r="I402" s="1912"/>
      <c r="J402" s="1912"/>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912"/>
      <c r="AG402" s="1912"/>
    </row>
    <row r="403">
      <c r="A403" s="1912"/>
      <c r="B403" s="1912"/>
      <c r="C403" s="1912"/>
      <c r="D403" s="1912"/>
      <c r="E403" s="1912"/>
      <c r="F403" s="1912"/>
      <c r="G403" s="1912"/>
      <c r="H403" s="1912"/>
      <c r="I403" s="1912"/>
      <c r="J403" s="1912"/>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F403" s="1912"/>
      <c r="AG403" s="1912"/>
    </row>
    <row r="404">
      <c r="A404" s="1912"/>
      <c r="B404" s="1912"/>
      <c r="C404" s="1912"/>
      <c r="D404" s="1912"/>
      <c r="E404" s="1912"/>
      <c r="F404" s="1912"/>
      <c r="G404" s="1912"/>
      <c r="H404" s="1912"/>
      <c r="I404" s="1912"/>
      <c r="J404" s="1912"/>
      <c r="K404" s="1912"/>
      <c r="L404" s="1912"/>
      <c r="M404" s="1912"/>
      <c r="N404" s="1912"/>
      <c r="O404" s="1912"/>
      <c r="P404" s="1912"/>
      <c r="Q404" s="1912"/>
      <c r="R404" s="1912"/>
      <c r="S404" s="1912"/>
      <c r="T404" s="1912"/>
      <c r="U404" s="1912"/>
      <c r="V404" s="1912"/>
      <c r="W404" s="1912"/>
      <c r="X404" s="1912"/>
      <c r="Y404" s="1912"/>
      <c r="Z404" s="1912"/>
      <c r="AA404" s="1912"/>
      <c r="AB404" s="1912"/>
      <c r="AC404" s="1912"/>
      <c r="AD404" s="1912"/>
      <c r="AE404" s="1912"/>
      <c r="AF404" s="1912"/>
      <c r="AG404" s="1912"/>
    </row>
    <row r="405">
      <c r="A405" s="1912"/>
      <c r="B405" s="1912"/>
      <c r="C405" s="1912"/>
      <c r="D405" s="1912"/>
      <c r="E405" s="1912"/>
      <c r="F405" s="1912"/>
      <c r="G405" s="1912"/>
      <c r="H405" s="1912"/>
      <c r="I405" s="1912"/>
      <c r="J405" s="1912"/>
      <c r="K405" s="1912"/>
      <c r="L405" s="1912"/>
      <c r="M405" s="1912"/>
      <c r="N405" s="1912"/>
      <c r="O405" s="1912"/>
      <c r="P405" s="1912"/>
      <c r="Q405" s="1912"/>
      <c r="R405" s="1912"/>
      <c r="S405" s="1912"/>
      <c r="T405" s="1912"/>
      <c r="U405" s="1912"/>
      <c r="V405" s="1912"/>
      <c r="W405" s="1912"/>
      <c r="X405" s="1912"/>
      <c r="Y405" s="1912"/>
      <c r="Z405" s="1912"/>
      <c r="AA405" s="1912"/>
      <c r="AB405" s="1912"/>
      <c r="AC405" s="1912"/>
      <c r="AD405" s="1912"/>
      <c r="AE405" s="1912"/>
      <c r="AF405" s="1912"/>
      <c r="AG405" s="1912"/>
    </row>
    <row r="406">
      <c r="A406" s="1912"/>
      <c r="B406" s="1912"/>
      <c r="C406" s="1912"/>
      <c r="D406" s="1912"/>
      <c r="E406" s="1912"/>
      <c r="F406" s="1912"/>
      <c r="G406" s="1912"/>
      <c r="H406" s="1912"/>
      <c r="I406" s="1912"/>
      <c r="J406" s="1912"/>
      <c r="K406" s="1912"/>
      <c r="L406" s="1912"/>
      <c r="M406" s="1912"/>
      <c r="N406" s="1912"/>
      <c r="O406" s="1912"/>
      <c r="P406" s="1912"/>
      <c r="Q406" s="1912"/>
      <c r="R406" s="1912"/>
      <c r="S406" s="1912"/>
      <c r="T406" s="1912"/>
      <c r="U406" s="1912"/>
      <c r="V406" s="1912"/>
      <c r="W406" s="1912"/>
      <c r="X406" s="1912"/>
      <c r="Y406" s="1912"/>
      <c r="Z406" s="1912"/>
      <c r="AA406" s="1912"/>
      <c r="AB406" s="1912"/>
      <c r="AC406" s="1912"/>
      <c r="AD406" s="1912"/>
      <c r="AE406" s="1912"/>
      <c r="AF406" s="1912"/>
      <c r="AG406" s="1912"/>
    </row>
    <row r="407">
      <c r="A407" s="1912"/>
      <c r="B407" s="1912"/>
      <c r="C407" s="1912"/>
      <c r="D407" s="1912"/>
      <c r="E407" s="1912"/>
      <c r="F407" s="1912"/>
      <c r="G407" s="1912"/>
      <c r="H407" s="1912"/>
      <c r="I407" s="1912"/>
      <c r="J407" s="1912"/>
      <c r="K407" s="1912"/>
      <c r="L407" s="1912"/>
      <c r="M407" s="1912"/>
      <c r="N407" s="1912"/>
      <c r="O407" s="1912"/>
      <c r="P407" s="1912"/>
      <c r="Q407" s="1912"/>
      <c r="R407" s="1912"/>
      <c r="S407" s="1912"/>
      <c r="T407" s="1912"/>
      <c r="U407" s="1912"/>
      <c r="V407" s="1912"/>
      <c r="W407" s="1912"/>
      <c r="X407" s="1912"/>
      <c r="Y407" s="1912"/>
      <c r="Z407" s="1912"/>
      <c r="AA407" s="1912"/>
      <c r="AB407" s="1912"/>
      <c r="AC407" s="1912"/>
      <c r="AD407" s="1912"/>
      <c r="AE407" s="1912"/>
      <c r="AF407" s="1912"/>
      <c r="AG407" s="1912"/>
    </row>
    <row r="408">
      <c r="A408" s="1912"/>
      <c r="B408" s="1912"/>
      <c r="C408" s="1912"/>
      <c r="D408" s="1912"/>
      <c r="E408" s="1912"/>
      <c r="F408" s="1912"/>
      <c r="G408" s="1912"/>
      <c r="H408" s="1912"/>
      <c r="I408" s="1912"/>
      <c r="J408" s="1912"/>
      <c r="K408" s="1912"/>
      <c r="L408" s="1912"/>
      <c r="M408" s="1912"/>
      <c r="N408" s="1912"/>
      <c r="O408" s="1912"/>
      <c r="P408" s="1912"/>
      <c r="Q408" s="1912"/>
      <c r="R408" s="1912"/>
      <c r="S408" s="1912"/>
      <c r="T408" s="1912"/>
      <c r="U408" s="1912"/>
      <c r="V408" s="1912"/>
      <c r="W408" s="1912"/>
      <c r="X408" s="1912"/>
      <c r="Y408" s="1912"/>
      <c r="Z408" s="1912"/>
      <c r="AA408" s="1912"/>
      <c r="AB408" s="1912"/>
      <c r="AC408" s="1912"/>
      <c r="AD408" s="1912"/>
      <c r="AE408" s="1912"/>
      <c r="AF408" s="1912"/>
      <c r="AG408" s="1912"/>
    </row>
    <row r="409">
      <c r="A409" s="1912"/>
      <c r="B409" s="1912"/>
      <c r="C409" s="1912"/>
      <c r="D409" s="1912"/>
      <c r="E409" s="1912"/>
      <c r="F409" s="1912"/>
      <c r="G409" s="1912"/>
      <c r="H409" s="1912"/>
      <c r="I409" s="1912"/>
      <c r="J409" s="1912"/>
      <c r="K409" s="1912"/>
      <c r="L409" s="1912"/>
      <c r="M409" s="1912"/>
      <c r="N409" s="1912"/>
      <c r="O409" s="1912"/>
      <c r="P409" s="1912"/>
      <c r="Q409" s="1912"/>
      <c r="R409" s="1912"/>
      <c r="S409" s="1912"/>
      <c r="T409" s="1912"/>
      <c r="U409" s="1912"/>
      <c r="V409" s="1912"/>
      <c r="W409" s="1912"/>
      <c r="X409" s="1912"/>
      <c r="Y409" s="1912"/>
      <c r="Z409" s="1912"/>
      <c r="AA409" s="1912"/>
      <c r="AB409" s="1912"/>
      <c r="AC409" s="1912"/>
      <c r="AD409" s="1912"/>
      <c r="AE409" s="1912"/>
      <c r="AF409" s="1912"/>
      <c r="AG409" s="1912"/>
    </row>
    <row r="410">
      <c r="A410" s="1912"/>
      <c r="B410" s="1912"/>
      <c r="C410" s="1912"/>
      <c r="D410" s="1912"/>
      <c r="E410" s="1912"/>
      <c r="F410" s="1912"/>
      <c r="G410" s="1912"/>
      <c r="H410" s="1912"/>
      <c r="I410" s="1912"/>
      <c r="J410" s="1912"/>
      <c r="K410" s="1912"/>
      <c r="L410" s="1912"/>
      <c r="M410" s="1912"/>
      <c r="N410" s="1912"/>
      <c r="O410" s="1912"/>
      <c r="P410" s="1912"/>
      <c r="Q410" s="1912"/>
      <c r="R410" s="1912"/>
      <c r="S410" s="1912"/>
      <c r="T410" s="1912"/>
      <c r="U410" s="1912"/>
      <c r="V410" s="1912"/>
      <c r="W410" s="1912"/>
      <c r="X410" s="1912"/>
      <c r="Y410" s="1912"/>
      <c r="Z410" s="1912"/>
      <c r="AA410" s="1912"/>
      <c r="AB410" s="1912"/>
      <c r="AC410" s="1912"/>
      <c r="AD410" s="1912"/>
      <c r="AE410" s="1912"/>
      <c r="AF410" s="1912"/>
      <c r="AG410" s="1912"/>
    </row>
    <row r="411">
      <c r="A411" s="1912"/>
      <c r="B411" s="1912"/>
      <c r="C411" s="1912"/>
      <c r="D411" s="1912"/>
      <c r="E411" s="1912"/>
      <c r="F411" s="1912"/>
      <c r="G411" s="1912"/>
      <c r="H411" s="1912"/>
      <c r="I411" s="1912"/>
      <c r="J411" s="1912"/>
      <c r="K411" s="1912"/>
      <c r="L411" s="1912"/>
      <c r="M411" s="1912"/>
      <c r="N411" s="1912"/>
      <c r="O411" s="1912"/>
      <c r="P411" s="1912"/>
      <c r="Q411" s="1912"/>
      <c r="R411" s="1912"/>
      <c r="S411" s="1912"/>
      <c r="T411" s="1912"/>
      <c r="U411" s="1912"/>
      <c r="V411" s="1912"/>
      <c r="W411" s="1912"/>
      <c r="X411" s="1912"/>
      <c r="Y411" s="1912"/>
      <c r="Z411" s="1912"/>
      <c r="AA411" s="1912"/>
      <c r="AB411" s="1912"/>
      <c r="AC411" s="1912"/>
      <c r="AD411" s="1912"/>
      <c r="AE411" s="1912"/>
      <c r="AF411" s="1912"/>
      <c r="AG411" s="1912"/>
    </row>
    <row r="412">
      <c r="A412" s="1912"/>
      <c r="B412" s="1912"/>
      <c r="C412" s="1912"/>
      <c r="D412" s="1912"/>
      <c r="E412" s="1912"/>
      <c r="F412" s="1912"/>
      <c r="G412" s="1912"/>
      <c r="H412" s="1912"/>
      <c r="I412" s="1912"/>
      <c r="J412" s="1912"/>
      <c r="K412" s="1912"/>
      <c r="L412" s="1912"/>
      <c r="M412" s="1912"/>
      <c r="N412" s="1912"/>
      <c r="O412" s="1912"/>
      <c r="P412" s="1912"/>
      <c r="Q412" s="1912"/>
      <c r="R412" s="1912"/>
      <c r="S412" s="1912"/>
      <c r="T412" s="1912"/>
      <c r="U412" s="1912"/>
      <c r="V412" s="1912"/>
      <c r="W412" s="1912"/>
      <c r="X412" s="1912"/>
      <c r="Y412" s="1912"/>
      <c r="Z412" s="1912"/>
      <c r="AA412" s="1912"/>
      <c r="AB412" s="1912"/>
      <c r="AC412" s="1912"/>
      <c r="AD412" s="1912"/>
      <c r="AE412" s="1912"/>
      <c r="AF412" s="1912"/>
      <c r="AG412" s="1912"/>
    </row>
    <row r="413">
      <c r="A413" s="1912"/>
      <c r="B413" s="1912"/>
      <c r="C413" s="1912"/>
      <c r="D413" s="1912"/>
      <c r="E413" s="1912"/>
      <c r="F413" s="1912"/>
      <c r="G413" s="1912"/>
      <c r="H413" s="1912"/>
      <c r="I413" s="1912"/>
      <c r="J413" s="1912"/>
      <c r="K413" s="1912"/>
      <c r="L413" s="1912"/>
      <c r="M413" s="1912"/>
      <c r="N413" s="1912"/>
      <c r="O413" s="1912"/>
      <c r="P413" s="1912"/>
      <c r="Q413" s="1912"/>
      <c r="R413" s="1912"/>
      <c r="S413" s="1912"/>
      <c r="T413" s="1912"/>
      <c r="U413" s="1912"/>
      <c r="V413" s="1912"/>
      <c r="W413" s="1912"/>
      <c r="X413" s="1912"/>
      <c r="Y413" s="1912"/>
      <c r="Z413" s="1912"/>
      <c r="AA413" s="1912"/>
      <c r="AB413" s="1912"/>
      <c r="AC413" s="1912"/>
      <c r="AD413" s="1912"/>
      <c r="AE413" s="1912"/>
      <c r="AF413" s="1912"/>
      <c r="AG413" s="1912"/>
    </row>
    <row r="414">
      <c r="A414" s="1912"/>
      <c r="B414" s="1912"/>
      <c r="C414" s="1912"/>
      <c r="D414" s="1912"/>
      <c r="E414" s="1912"/>
      <c r="F414" s="1912"/>
      <c r="G414" s="1912"/>
      <c r="H414" s="1912"/>
      <c r="I414" s="1912"/>
      <c r="J414" s="1912"/>
      <c r="K414" s="1912"/>
      <c r="L414" s="1912"/>
      <c r="M414" s="1912"/>
      <c r="N414" s="1912"/>
      <c r="O414" s="1912"/>
      <c r="P414" s="1912"/>
      <c r="Q414" s="1912"/>
      <c r="R414" s="1912"/>
      <c r="S414" s="1912"/>
      <c r="T414" s="1912"/>
      <c r="U414" s="1912"/>
      <c r="V414" s="1912"/>
      <c r="W414" s="1912"/>
      <c r="X414" s="1912"/>
      <c r="Y414" s="1912"/>
      <c r="Z414" s="1912"/>
      <c r="AA414" s="1912"/>
      <c r="AB414" s="1912"/>
      <c r="AC414" s="1912"/>
      <c r="AD414" s="1912"/>
      <c r="AE414" s="1912"/>
      <c r="AF414" s="1912"/>
      <c r="AG414" s="1912"/>
    </row>
    <row r="415">
      <c r="A415" s="1912"/>
      <c r="B415" s="1912"/>
      <c r="C415" s="1912"/>
      <c r="D415" s="1912"/>
      <c r="E415" s="1912"/>
      <c r="F415" s="1912"/>
      <c r="G415" s="1912"/>
      <c r="H415" s="1912"/>
      <c r="I415" s="1912"/>
      <c r="J415" s="1912"/>
      <c r="K415" s="1912"/>
      <c r="L415" s="1912"/>
      <c r="M415" s="1912"/>
      <c r="N415" s="1912"/>
      <c r="O415" s="1912"/>
      <c r="P415" s="1912"/>
      <c r="Q415" s="1912"/>
      <c r="R415" s="1912"/>
      <c r="S415" s="1912"/>
      <c r="T415" s="1912"/>
      <c r="U415" s="1912"/>
      <c r="V415" s="1912"/>
      <c r="W415" s="1912"/>
      <c r="X415" s="1912"/>
      <c r="Y415" s="1912"/>
      <c r="Z415" s="1912"/>
      <c r="AA415" s="1912"/>
      <c r="AB415" s="1912"/>
      <c r="AC415" s="1912"/>
      <c r="AD415" s="1912"/>
      <c r="AE415" s="1912"/>
      <c r="AF415" s="1912"/>
      <c r="AG415" s="1912"/>
    </row>
    <row r="416">
      <c r="A416" s="1912"/>
      <c r="B416" s="1912"/>
      <c r="C416" s="1912"/>
      <c r="D416" s="1912"/>
      <c r="E416" s="1912"/>
      <c r="F416" s="1912"/>
      <c r="G416" s="1912"/>
      <c r="H416" s="1912"/>
      <c r="I416" s="1912"/>
      <c r="J416" s="1912"/>
      <c r="K416" s="1912"/>
      <c r="L416" s="1912"/>
      <c r="M416" s="1912"/>
      <c r="N416" s="1912"/>
      <c r="O416" s="1912"/>
      <c r="P416" s="1912"/>
      <c r="Q416" s="1912"/>
      <c r="R416" s="1912"/>
      <c r="S416" s="1912"/>
      <c r="T416" s="1912"/>
      <c r="U416" s="1912"/>
      <c r="V416" s="1912"/>
      <c r="W416" s="1912"/>
      <c r="X416" s="1912"/>
      <c r="Y416" s="1912"/>
      <c r="Z416" s="1912"/>
      <c r="AA416" s="1912"/>
      <c r="AB416" s="1912"/>
      <c r="AC416" s="1912"/>
      <c r="AD416" s="1912"/>
      <c r="AE416" s="1912"/>
      <c r="AF416" s="1912"/>
      <c r="AG416" s="1912"/>
    </row>
    <row r="417">
      <c r="A417" s="1912"/>
      <c r="B417" s="1912"/>
      <c r="C417" s="1912"/>
      <c r="D417" s="1912"/>
      <c r="E417" s="1912"/>
      <c r="F417" s="1912"/>
      <c r="G417" s="1912"/>
      <c r="H417" s="1912"/>
      <c r="I417" s="1912"/>
      <c r="J417" s="1912"/>
      <c r="K417" s="1912"/>
      <c r="L417" s="1912"/>
      <c r="M417" s="1912"/>
      <c r="N417" s="1912"/>
      <c r="O417" s="1912"/>
      <c r="P417" s="1912"/>
      <c r="Q417" s="1912"/>
      <c r="R417" s="1912"/>
      <c r="S417" s="1912"/>
      <c r="T417" s="1912"/>
      <c r="U417" s="1912"/>
      <c r="V417" s="1912"/>
      <c r="W417" s="1912"/>
      <c r="X417" s="1912"/>
      <c r="Y417" s="1912"/>
      <c r="Z417" s="1912"/>
      <c r="AA417" s="1912"/>
      <c r="AB417" s="1912"/>
      <c r="AC417" s="1912"/>
      <c r="AD417" s="1912"/>
      <c r="AE417" s="1912"/>
      <c r="AF417" s="1912"/>
      <c r="AG417" s="1912"/>
    </row>
    <row r="418">
      <c r="A418" s="1912"/>
      <c r="B418" s="1912"/>
      <c r="C418" s="1912"/>
      <c r="D418" s="1912"/>
      <c r="E418" s="1912"/>
      <c r="F418" s="1912"/>
      <c r="G418" s="1912"/>
      <c r="H418" s="1912"/>
      <c r="I418" s="1912"/>
      <c r="J418" s="1912"/>
      <c r="K418" s="1912"/>
      <c r="L418" s="1912"/>
      <c r="M418" s="1912"/>
      <c r="N418" s="1912"/>
      <c r="O418" s="1912"/>
      <c r="P418" s="1912"/>
      <c r="Q418" s="1912"/>
      <c r="R418" s="1912"/>
      <c r="S418" s="1912"/>
      <c r="T418" s="1912"/>
      <c r="U418" s="1912"/>
      <c r="V418" s="1912"/>
      <c r="W418" s="1912"/>
      <c r="X418" s="1912"/>
      <c r="Y418" s="1912"/>
      <c r="Z418" s="1912"/>
      <c r="AA418" s="1912"/>
      <c r="AB418" s="1912"/>
      <c r="AC418" s="1912"/>
      <c r="AD418" s="1912"/>
      <c r="AE418" s="1912"/>
      <c r="AF418" s="1912"/>
      <c r="AG418" s="1912"/>
    </row>
    <row r="419">
      <c r="A419" s="1912"/>
      <c r="B419" s="1912"/>
      <c r="C419" s="1912"/>
      <c r="D419" s="1912"/>
      <c r="E419" s="1912"/>
      <c r="F419" s="1912"/>
      <c r="G419" s="1912"/>
      <c r="H419" s="1912"/>
      <c r="I419" s="1912"/>
      <c r="J419" s="1912"/>
      <c r="K419" s="1912"/>
      <c r="L419" s="1912"/>
      <c r="M419" s="1912"/>
      <c r="N419" s="1912"/>
      <c r="O419" s="1912"/>
      <c r="P419" s="1912"/>
      <c r="Q419" s="1912"/>
      <c r="R419" s="1912"/>
      <c r="S419" s="1912"/>
      <c r="T419" s="1912"/>
      <c r="U419" s="1912"/>
      <c r="V419" s="1912"/>
      <c r="W419" s="1912"/>
      <c r="X419" s="1912"/>
      <c r="Y419" s="1912"/>
      <c r="Z419" s="1912"/>
      <c r="AA419" s="1912"/>
      <c r="AB419" s="1912"/>
      <c r="AC419" s="1912"/>
      <c r="AD419" s="1912"/>
      <c r="AE419" s="1912"/>
      <c r="AF419" s="1912"/>
      <c r="AG419" s="1912"/>
    </row>
    <row r="420">
      <c r="A420" s="1912"/>
      <c r="B420" s="1912"/>
      <c r="C420" s="1912"/>
      <c r="D420" s="1912"/>
      <c r="E420" s="1912"/>
      <c r="F420" s="1912"/>
      <c r="G420" s="1912"/>
      <c r="H420" s="1912"/>
      <c r="I420" s="1912"/>
      <c r="J420" s="1912"/>
      <c r="K420" s="1912"/>
      <c r="L420" s="1912"/>
      <c r="M420" s="1912"/>
      <c r="N420" s="1912"/>
      <c r="O420" s="1912"/>
      <c r="P420" s="1912"/>
      <c r="Q420" s="1912"/>
      <c r="R420" s="1912"/>
      <c r="S420" s="1912"/>
      <c r="T420" s="1912"/>
      <c r="U420" s="1912"/>
      <c r="V420" s="1912"/>
      <c r="W420" s="1912"/>
      <c r="X420" s="1912"/>
      <c r="Y420" s="1912"/>
      <c r="Z420" s="1912"/>
      <c r="AA420" s="1912"/>
      <c r="AB420" s="1912"/>
      <c r="AC420" s="1912"/>
      <c r="AD420" s="1912"/>
      <c r="AE420" s="1912"/>
      <c r="AF420" s="1912"/>
      <c r="AG420" s="1912"/>
    </row>
    <row r="421">
      <c r="A421" s="1912"/>
      <c r="B421" s="1912"/>
      <c r="C421" s="1912"/>
      <c r="D421" s="1912"/>
      <c r="E421" s="1912"/>
      <c r="F421" s="1912"/>
      <c r="G421" s="1912"/>
      <c r="H421" s="1912"/>
      <c r="I421" s="1912"/>
      <c r="J421" s="1912"/>
      <c r="K421" s="1912"/>
      <c r="L421" s="1912"/>
      <c r="M421" s="1912"/>
      <c r="N421" s="1912"/>
      <c r="O421" s="1912"/>
      <c r="P421" s="1912"/>
      <c r="Q421" s="1912"/>
      <c r="R421" s="1912"/>
      <c r="S421" s="1912"/>
      <c r="T421" s="1912"/>
      <c r="U421" s="1912"/>
      <c r="V421" s="1912"/>
      <c r="W421" s="1912"/>
      <c r="X421" s="1912"/>
      <c r="Y421" s="1912"/>
      <c r="Z421" s="1912"/>
      <c r="AA421" s="1912"/>
      <c r="AB421" s="1912"/>
      <c r="AC421" s="1912"/>
      <c r="AD421" s="1912"/>
      <c r="AE421" s="1912"/>
      <c r="AF421" s="1912"/>
      <c r="AG421" s="1912"/>
    </row>
    <row r="422">
      <c r="A422" s="1912"/>
      <c r="B422" s="1912"/>
      <c r="C422" s="1912"/>
      <c r="D422" s="1912"/>
      <c r="E422" s="1912"/>
      <c r="F422" s="1912"/>
      <c r="G422" s="1912"/>
      <c r="H422" s="1912"/>
      <c r="I422" s="1912"/>
      <c r="J422" s="1912"/>
      <c r="K422" s="1912"/>
      <c r="L422" s="1912"/>
      <c r="M422" s="1912"/>
      <c r="N422" s="1912"/>
      <c r="O422" s="1912"/>
      <c r="P422" s="1912"/>
      <c r="Q422" s="1912"/>
      <c r="R422" s="1912"/>
      <c r="S422" s="1912"/>
      <c r="T422" s="1912"/>
      <c r="U422" s="1912"/>
      <c r="V422" s="1912"/>
      <c r="W422" s="1912"/>
      <c r="X422" s="1912"/>
      <c r="Y422" s="1912"/>
      <c r="Z422" s="1912"/>
      <c r="AA422" s="1912"/>
      <c r="AB422" s="1912"/>
      <c r="AC422" s="1912"/>
      <c r="AD422" s="1912"/>
      <c r="AE422" s="1912"/>
      <c r="AF422" s="1912"/>
      <c r="AG422" s="1912"/>
    </row>
    <row r="423">
      <c r="A423" s="1912"/>
      <c r="B423" s="1912"/>
      <c r="C423" s="1912"/>
      <c r="D423" s="1912"/>
      <c r="E423" s="1912"/>
      <c r="F423" s="1912"/>
      <c r="G423" s="1912"/>
      <c r="H423" s="1912"/>
      <c r="I423" s="1912"/>
      <c r="J423" s="1912"/>
      <c r="K423" s="1912"/>
      <c r="L423" s="1912"/>
      <c r="M423" s="1912"/>
      <c r="N423" s="1912"/>
      <c r="O423" s="1912"/>
      <c r="P423" s="1912"/>
      <c r="Q423" s="1912"/>
      <c r="R423" s="1912"/>
      <c r="S423" s="1912"/>
      <c r="T423" s="1912"/>
      <c r="U423" s="1912"/>
      <c r="V423" s="1912"/>
      <c r="W423" s="1912"/>
      <c r="X423" s="1912"/>
      <c r="Y423" s="1912"/>
      <c r="Z423" s="1912"/>
      <c r="AA423" s="1912"/>
      <c r="AB423" s="1912"/>
      <c r="AC423" s="1912"/>
      <c r="AD423" s="1912"/>
      <c r="AE423" s="1912"/>
      <c r="AF423" s="1912"/>
      <c r="AG423" s="1912"/>
    </row>
    <row r="424">
      <c r="A424" s="1912"/>
      <c r="B424" s="1912"/>
      <c r="C424" s="1912"/>
      <c r="D424" s="1912"/>
      <c r="E424" s="1912"/>
      <c r="F424" s="1912"/>
      <c r="G424" s="1912"/>
      <c r="H424" s="1912"/>
      <c r="I424" s="1912"/>
      <c r="J424" s="1912"/>
      <c r="K424" s="1912"/>
      <c r="L424" s="1912"/>
      <c r="M424" s="1912"/>
      <c r="N424" s="1912"/>
      <c r="O424" s="1912"/>
      <c r="P424" s="1912"/>
      <c r="Q424" s="1912"/>
      <c r="R424" s="1912"/>
      <c r="S424" s="1912"/>
      <c r="T424" s="1912"/>
      <c r="U424" s="1912"/>
      <c r="V424" s="1912"/>
      <c r="W424" s="1912"/>
      <c r="X424" s="1912"/>
      <c r="Y424" s="1912"/>
      <c r="Z424" s="1912"/>
      <c r="AA424" s="1912"/>
      <c r="AB424" s="1912"/>
      <c r="AC424" s="1912"/>
      <c r="AD424" s="1912"/>
      <c r="AE424" s="1912"/>
      <c r="AF424" s="1912"/>
      <c r="AG424" s="1912"/>
    </row>
    <row r="425">
      <c r="A425" s="1912"/>
      <c r="B425" s="1912"/>
      <c r="C425" s="1912"/>
      <c r="D425" s="1912"/>
      <c r="E425" s="1912"/>
      <c r="F425" s="1912"/>
      <c r="G425" s="1912"/>
      <c r="H425" s="1912"/>
      <c r="I425" s="1912"/>
      <c r="J425" s="1912"/>
      <c r="K425" s="1912"/>
      <c r="L425" s="1912"/>
      <c r="M425" s="1912"/>
      <c r="N425" s="1912"/>
      <c r="O425" s="1912"/>
      <c r="P425" s="1912"/>
      <c r="Q425" s="1912"/>
      <c r="R425" s="1912"/>
      <c r="S425" s="1912"/>
      <c r="T425" s="1912"/>
      <c r="U425" s="1912"/>
      <c r="V425" s="1912"/>
      <c r="W425" s="1912"/>
      <c r="X425" s="1912"/>
      <c r="Y425" s="1912"/>
      <c r="Z425" s="1912"/>
      <c r="AA425" s="1912"/>
      <c r="AB425" s="1912"/>
      <c r="AC425" s="1912"/>
      <c r="AD425" s="1912"/>
      <c r="AE425" s="1912"/>
      <c r="AF425" s="1912"/>
      <c r="AG425" s="1912"/>
    </row>
    <row r="426">
      <c r="A426" s="1912"/>
      <c r="B426" s="1912"/>
      <c r="C426" s="1912"/>
      <c r="D426" s="1912"/>
      <c r="E426" s="1912"/>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1912"/>
      <c r="AG426" s="1912"/>
    </row>
    <row r="427">
      <c r="A427" s="1912"/>
      <c r="B427" s="1912"/>
      <c r="C427" s="1912"/>
      <c r="D427" s="1912"/>
      <c r="E427" s="1912"/>
      <c r="F427" s="1912"/>
      <c r="G427" s="1912"/>
      <c r="H427" s="1912"/>
      <c r="I427" s="1912"/>
      <c r="J427" s="1912"/>
      <c r="K427" s="1912"/>
      <c r="L427" s="1912"/>
      <c r="M427" s="1912"/>
      <c r="N427" s="1912"/>
      <c r="O427" s="1912"/>
      <c r="P427" s="1912"/>
      <c r="Q427" s="1912"/>
      <c r="R427" s="1912"/>
      <c r="S427" s="1912"/>
      <c r="T427" s="1912"/>
      <c r="U427" s="1912"/>
      <c r="V427" s="1912"/>
      <c r="W427" s="1912"/>
      <c r="X427" s="1912"/>
      <c r="Y427" s="1912"/>
      <c r="Z427" s="1912"/>
      <c r="AA427" s="1912"/>
      <c r="AB427" s="1912"/>
      <c r="AC427" s="1912"/>
      <c r="AD427" s="1912"/>
      <c r="AE427" s="1912"/>
      <c r="AF427" s="1912"/>
      <c r="AG427" s="1912"/>
    </row>
    <row r="428">
      <c r="A428" s="1912"/>
      <c r="B428" s="1912"/>
      <c r="C428" s="1912"/>
      <c r="D428" s="1912"/>
      <c r="E428" s="1912"/>
      <c r="F428" s="1912"/>
      <c r="G428" s="1912"/>
      <c r="H428" s="1912"/>
      <c r="I428" s="1912"/>
      <c r="J428" s="1912"/>
      <c r="K428" s="1912"/>
      <c r="L428" s="1912"/>
      <c r="M428" s="1912"/>
      <c r="N428" s="1912"/>
      <c r="O428" s="1912"/>
      <c r="P428" s="1912"/>
      <c r="Q428" s="1912"/>
      <c r="R428" s="1912"/>
      <c r="S428" s="1912"/>
      <c r="T428" s="1912"/>
      <c r="U428" s="1912"/>
      <c r="V428" s="1912"/>
      <c r="W428" s="1912"/>
      <c r="X428" s="1912"/>
      <c r="Y428" s="1912"/>
      <c r="Z428" s="1912"/>
      <c r="AA428" s="1912"/>
      <c r="AB428" s="1912"/>
      <c r="AC428" s="1912"/>
      <c r="AD428" s="1912"/>
      <c r="AE428" s="1912"/>
      <c r="AF428" s="1912"/>
      <c r="AG428" s="1912"/>
    </row>
    <row r="429">
      <c r="A429" s="1912"/>
      <c r="B429" s="1912"/>
      <c r="C429" s="1912"/>
      <c r="D429" s="1912"/>
      <c r="E429" s="1912"/>
      <c r="F429" s="1912"/>
      <c r="G429" s="1912"/>
      <c r="H429" s="1912"/>
      <c r="I429" s="1912"/>
      <c r="J429" s="1912"/>
      <c r="K429" s="1912"/>
      <c r="L429" s="1912"/>
      <c r="M429" s="1912"/>
      <c r="N429" s="1912"/>
      <c r="O429" s="1912"/>
      <c r="P429" s="1912"/>
      <c r="Q429" s="1912"/>
      <c r="R429" s="1912"/>
      <c r="S429" s="1912"/>
      <c r="T429" s="1912"/>
      <c r="U429" s="1912"/>
      <c r="V429" s="1912"/>
      <c r="W429" s="1912"/>
      <c r="X429" s="1912"/>
      <c r="Y429" s="1912"/>
      <c r="Z429" s="1912"/>
      <c r="AA429" s="1912"/>
      <c r="AB429" s="1912"/>
      <c r="AC429" s="1912"/>
      <c r="AD429" s="1912"/>
      <c r="AE429" s="1912"/>
      <c r="AF429" s="1912"/>
      <c r="AG429" s="1912"/>
    </row>
    <row r="430">
      <c r="A430" s="1912"/>
      <c r="B430" s="1912"/>
      <c r="C430" s="1912"/>
      <c r="D430" s="1912"/>
      <c r="E430" s="1912"/>
      <c r="F430" s="1912"/>
      <c r="G430" s="1912"/>
      <c r="H430" s="1912"/>
      <c r="I430" s="1912"/>
      <c r="J430" s="1912"/>
      <c r="K430" s="1912"/>
      <c r="L430" s="1912"/>
      <c r="M430" s="1912"/>
      <c r="N430" s="1912"/>
      <c r="O430" s="1912"/>
      <c r="P430" s="1912"/>
      <c r="Q430" s="1912"/>
      <c r="R430" s="1912"/>
      <c r="S430" s="1912"/>
      <c r="T430" s="1912"/>
      <c r="U430" s="1912"/>
      <c r="V430" s="1912"/>
      <c r="W430" s="1912"/>
      <c r="X430" s="1912"/>
      <c r="Y430" s="1912"/>
      <c r="Z430" s="1912"/>
      <c r="AA430" s="1912"/>
      <c r="AB430" s="1912"/>
      <c r="AC430" s="1912"/>
      <c r="AD430" s="1912"/>
      <c r="AE430" s="1912"/>
      <c r="AF430" s="1912"/>
      <c r="AG430" s="1912"/>
    </row>
    <row r="431">
      <c r="A431" s="1912"/>
      <c r="B431" s="1912"/>
      <c r="C431" s="1912"/>
      <c r="D431" s="1912"/>
      <c r="E431" s="1912"/>
      <c r="F431" s="1912"/>
      <c r="G431" s="1912"/>
      <c r="H431" s="1912"/>
      <c r="I431" s="1912"/>
      <c r="J431" s="1912"/>
      <c r="K431" s="1912"/>
      <c r="L431" s="1912"/>
      <c r="M431" s="1912"/>
      <c r="N431" s="1912"/>
      <c r="O431" s="1912"/>
      <c r="P431" s="1912"/>
      <c r="Q431" s="1912"/>
      <c r="R431" s="1912"/>
      <c r="S431" s="1912"/>
      <c r="T431" s="1912"/>
      <c r="U431" s="1912"/>
      <c r="V431" s="1912"/>
      <c r="W431" s="1912"/>
      <c r="X431" s="1912"/>
      <c r="Y431" s="1912"/>
      <c r="Z431" s="1912"/>
      <c r="AA431" s="1912"/>
      <c r="AB431" s="1912"/>
      <c r="AC431" s="1912"/>
      <c r="AD431" s="1912"/>
      <c r="AE431" s="1912"/>
      <c r="AF431" s="1912"/>
      <c r="AG431" s="1912"/>
    </row>
    <row r="432">
      <c r="A432" s="1912"/>
      <c r="B432" s="1912"/>
      <c r="C432" s="1912"/>
      <c r="D432" s="1912"/>
      <c r="E432" s="1912"/>
      <c r="F432" s="1912"/>
      <c r="G432" s="1912"/>
      <c r="H432" s="1912"/>
      <c r="I432" s="1912"/>
      <c r="J432" s="1912"/>
      <c r="K432" s="1912"/>
      <c r="L432" s="1912"/>
      <c r="M432" s="1912"/>
      <c r="N432" s="1912"/>
      <c r="O432" s="1912"/>
      <c r="P432" s="1912"/>
      <c r="Q432" s="1912"/>
      <c r="R432" s="1912"/>
      <c r="S432" s="1912"/>
      <c r="T432" s="1912"/>
      <c r="U432" s="1912"/>
      <c r="V432" s="1912"/>
      <c r="W432" s="1912"/>
      <c r="X432" s="1912"/>
      <c r="Y432" s="1912"/>
      <c r="Z432" s="1912"/>
      <c r="AA432" s="1912"/>
      <c r="AB432" s="1912"/>
      <c r="AC432" s="1912"/>
      <c r="AD432" s="1912"/>
      <c r="AE432" s="1912"/>
      <c r="AF432" s="1912"/>
      <c r="AG432" s="1912"/>
    </row>
    <row r="433">
      <c r="A433" s="1912"/>
      <c r="B433" s="1912"/>
      <c r="C433" s="1912"/>
      <c r="D433" s="1912"/>
      <c r="E433" s="1912"/>
      <c r="F433" s="1912"/>
      <c r="G433" s="1912"/>
      <c r="H433" s="1912"/>
      <c r="I433" s="1912"/>
      <c r="J433" s="1912"/>
      <c r="K433" s="1912"/>
      <c r="L433" s="1912"/>
      <c r="M433" s="1912"/>
      <c r="N433" s="1912"/>
      <c r="O433" s="1912"/>
      <c r="P433" s="1912"/>
      <c r="Q433" s="1912"/>
      <c r="R433" s="1912"/>
      <c r="S433" s="1912"/>
      <c r="T433" s="1912"/>
      <c r="U433" s="1912"/>
      <c r="V433" s="1912"/>
      <c r="W433" s="1912"/>
      <c r="X433" s="1912"/>
      <c r="Y433" s="1912"/>
      <c r="Z433" s="1912"/>
      <c r="AA433" s="1912"/>
      <c r="AB433" s="1912"/>
      <c r="AC433" s="1912"/>
      <c r="AD433" s="1912"/>
      <c r="AE433" s="1912"/>
      <c r="AF433" s="1912"/>
      <c r="AG433" s="1912"/>
    </row>
    <row r="434">
      <c r="A434" s="1912"/>
      <c r="B434" s="1912"/>
      <c r="C434" s="1912"/>
      <c r="D434" s="1912"/>
      <c r="E434" s="1912"/>
      <c r="F434" s="1912"/>
      <c r="G434" s="1912"/>
      <c r="H434" s="1912"/>
      <c r="I434" s="1912"/>
      <c r="J434" s="1912"/>
      <c r="K434" s="1912"/>
      <c r="L434" s="1912"/>
      <c r="M434" s="1912"/>
      <c r="N434" s="1912"/>
      <c r="O434" s="1912"/>
      <c r="P434" s="1912"/>
      <c r="Q434" s="1912"/>
      <c r="R434" s="1912"/>
      <c r="S434" s="1912"/>
      <c r="T434" s="1912"/>
      <c r="U434" s="1912"/>
      <c r="V434" s="1912"/>
      <c r="W434" s="1912"/>
      <c r="X434" s="1912"/>
      <c r="Y434" s="1912"/>
      <c r="Z434" s="1912"/>
      <c r="AA434" s="1912"/>
      <c r="AB434" s="1912"/>
      <c r="AC434" s="1912"/>
      <c r="AD434" s="1912"/>
      <c r="AE434" s="1912"/>
      <c r="AF434" s="1912"/>
      <c r="AG434" s="1912"/>
    </row>
    <row r="435">
      <c r="A435" s="1912"/>
      <c r="B435" s="1912"/>
      <c r="C435" s="1912"/>
      <c r="D435" s="1912"/>
      <c r="E435" s="1912"/>
      <c r="F435" s="1912"/>
      <c r="G435" s="1912"/>
      <c r="H435" s="1912"/>
      <c r="I435" s="1912"/>
      <c r="J435" s="1912"/>
      <c r="K435" s="1912"/>
      <c r="L435" s="1912"/>
      <c r="M435" s="1912"/>
      <c r="N435" s="1912"/>
      <c r="O435" s="1912"/>
      <c r="P435" s="1912"/>
      <c r="Q435" s="1912"/>
      <c r="R435" s="1912"/>
      <c r="S435" s="1912"/>
      <c r="T435" s="1912"/>
      <c r="U435" s="1912"/>
      <c r="V435" s="1912"/>
      <c r="W435" s="1912"/>
      <c r="X435" s="1912"/>
      <c r="Y435" s="1912"/>
      <c r="Z435" s="1912"/>
      <c r="AA435" s="1912"/>
      <c r="AB435" s="1912"/>
      <c r="AC435" s="1912"/>
      <c r="AD435" s="1912"/>
      <c r="AE435" s="1912"/>
      <c r="AF435" s="1912"/>
      <c r="AG435" s="1912"/>
    </row>
    <row r="436">
      <c r="A436" s="1912"/>
      <c r="B436" s="1912"/>
      <c r="C436" s="1912"/>
      <c r="D436" s="1912"/>
      <c r="E436" s="1912"/>
      <c r="F436" s="1912"/>
      <c r="G436" s="1912"/>
      <c r="H436" s="1912"/>
      <c r="I436" s="1912"/>
      <c r="J436" s="1912"/>
      <c r="K436" s="1912"/>
      <c r="L436" s="1912"/>
      <c r="M436" s="1912"/>
      <c r="N436" s="1912"/>
      <c r="O436" s="1912"/>
      <c r="P436" s="1912"/>
      <c r="Q436" s="1912"/>
      <c r="R436" s="1912"/>
      <c r="S436" s="1912"/>
      <c r="T436" s="1912"/>
      <c r="U436" s="1912"/>
      <c r="V436" s="1912"/>
      <c r="W436" s="1912"/>
      <c r="X436" s="1912"/>
      <c r="Y436" s="1912"/>
      <c r="Z436" s="1912"/>
      <c r="AA436" s="1912"/>
      <c r="AB436" s="1912"/>
      <c r="AC436" s="1912"/>
      <c r="AD436" s="1912"/>
      <c r="AE436" s="1912"/>
      <c r="AF436" s="1912"/>
      <c r="AG436" s="1912"/>
    </row>
    <row r="437">
      <c r="A437" s="1912"/>
      <c r="B437" s="1912"/>
      <c r="C437" s="1912"/>
      <c r="D437" s="1912"/>
      <c r="E437" s="1912"/>
      <c r="F437" s="1912"/>
      <c r="G437" s="1912"/>
      <c r="H437" s="1912"/>
      <c r="I437" s="1912"/>
      <c r="J437" s="1912"/>
      <c r="K437" s="1912"/>
      <c r="L437" s="1912"/>
      <c r="M437" s="1912"/>
      <c r="N437" s="1912"/>
      <c r="O437" s="1912"/>
      <c r="P437" s="1912"/>
      <c r="Q437" s="1912"/>
      <c r="R437" s="1912"/>
      <c r="S437" s="1912"/>
      <c r="T437" s="1912"/>
      <c r="U437" s="1912"/>
      <c r="V437" s="1912"/>
      <c r="W437" s="1912"/>
      <c r="X437" s="1912"/>
      <c r="Y437" s="1912"/>
      <c r="Z437" s="1912"/>
      <c r="AA437" s="1912"/>
      <c r="AB437" s="1912"/>
      <c r="AC437" s="1912"/>
      <c r="AD437" s="1912"/>
      <c r="AE437" s="1912"/>
      <c r="AF437" s="1912"/>
      <c r="AG437" s="1912"/>
    </row>
    <row r="438">
      <c r="A438" s="1912"/>
      <c r="B438" s="1912"/>
      <c r="C438" s="1912"/>
      <c r="D438" s="1912"/>
      <c r="E438" s="1912"/>
      <c r="F438" s="1912"/>
      <c r="G438" s="1912"/>
      <c r="H438" s="1912"/>
      <c r="I438" s="1912"/>
      <c r="J438" s="1912"/>
      <c r="K438" s="1912"/>
      <c r="L438" s="1912"/>
      <c r="M438" s="1912"/>
      <c r="N438" s="1912"/>
      <c r="O438" s="1912"/>
      <c r="P438" s="1912"/>
      <c r="Q438" s="1912"/>
      <c r="R438" s="1912"/>
      <c r="S438" s="1912"/>
      <c r="T438" s="1912"/>
      <c r="U438" s="1912"/>
      <c r="V438" s="1912"/>
      <c r="W438" s="1912"/>
      <c r="X438" s="1912"/>
      <c r="Y438" s="1912"/>
      <c r="Z438" s="1912"/>
      <c r="AA438" s="1912"/>
      <c r="AB438" s="1912"/>
      <c r="AC438" s="1912"/>
      <c r="AD438" s="1912"/>
      <c r="AE438" s="1912"/>
      <c r="AF438" s="1912"/>
      <c r="AG438" s="1912"/>
    </row>
    <row r="439">
      <c r="A439" s="1912"/>
      <c r="B439" s="1912"/>
      <c r="C439" s="1912"/>
      <c r="D439" s="1912"/>
      <c r="E439" s="1912"/>
      <c r="F439" s="1912"/>
      <c r="G439" s="1912"/>
      <c r="H439" s="1912"/>
      <c r="I439" s="1912"/>
      <c r="J439" s="1912"/>
      <c r="K439" s="1912"/>
      <c r="L439" s="1912"/>
      <c r="M439" s="1912"/>
      <c r="N439" s="1912"/>
      <c r="O439" s="1912"/>
      <c r="P439" s="1912"/>
      <c r="Q439" s="1912"/>
      <c r="R439" s="1912"/>
      <c r="S439" s="1912"/>
      <c r="T439" s="1912"/>
      <c r="U439" s="1912"/>
      <c r="V439" s="1912"/>
      <c r="W439" s="1912"/>
      <c r="X439" s="1912"/>
      <c r="Y439" s="1912"/>
      <c r="Z439" s="1912"/>
      <c r="AA439" s="1912"/>
      <c r="AB439" s="1912"/>
      <c r="AC439" s="1912"/>
      <c r="AD439" s="1912"/>
      <c r="AE439" s="1912"/>
      <c r="AF439" s="1912"/>
      <c r="AG439" s="1912"/>
    </row>
    <row r="440">
      <c r="A440" s="1912"/>
      <c r="B440" s="1912"/>
      <c r="C440" s="1912"/>
      <c r="D440" s="1912"/>
      <c r="E440" s="1912"/>
      <c r="F440" s="1912"/>
      <c r="G440" s="1912"/>
      <c r="H440" s="1912"/>
      <c r="I440" s="1912"/>
      <c r="J440" s="1912"/>
      <c r="K440" s="1912"/>
      <c r="L440" s="1912"/>
      <c r="M440" s="1912"/>
      <c r="N440" s="1912"/>
      <c r="O440" s="1912"/>
      <c r="P440" s="1912"/>
      <c r="Q440" s="1912"/>
      <c r="R440" s="1912"/>
      <c r="S440" s="1912"/>
      <c r="T440" s="1912"/>
      <c r="U440" s="1912"/>
      <c r="V440" s="1912"/>
      <c r="W440" s="1912"/>
      <c r="X440" s="1912"/>
      <c r="Y440" s="1912"/>
      <c r="Z440" s="1912"/>
      <c r="AA440" s="1912"/>
      <c r="AB440" s="1912"/>
      <c r="AC440" s="1912"/>
      <c r="AD440" s="1912"/>
      <c r="AE440" s="1912"/>
      <c r="AF440" s="1912"/>
      <c r="AG440" s="1912"/>
    </row>
    <row r="441">
      <c r="A441" s="1912"/>
      <c r="B441" s="1912"/>
      <c r="C441" s="1912"/>
      <c r="D441" s="1912"/>
      <c r="E441" s="1912"/>
      <c r="F441" s="1912"/>
      <c r="G441" s="1912"/>
      <c r="H441" s="1912"/>
      <c r="I441" s="1912"/>
      <c r="J441" s="1912"/>
      <c r="K441" s="1912"/>
      <c r="L441" s="1912"/>
      <c r="M441" s="1912"/>
      <c r="N441" s="1912"/>
      <c r="O441" s="1912"/>
      <c r="P441" s="1912"/>
      <c r="Q441" s="1912"/>
      <c r="R441" s="1912"/>
      <c r="S441" s="1912"/>
      <c r="T441" s="1912"/>
      <c r="U441" s="1912"/>
      <c r="V441" s="1912"/>
      <c r="W441" s="1912"/>
      <c r="X441" s="1912"/>
      <c r="Y441" s="1912"/>
      <c r="Z441" s="1912"/>
      <c r="AA441" s="1912"/>
      <c r="AB441" s="1912"/>
      <c r="AC441" s="1912"/>
      <c r="AD441" s="1912"/>
      <c r="AE441" s="1912"/>
      <c r="AF441" s="1912"/>
      <c r="AG441" s="1912"/>
    </row>
    <row r="442">
      <c r="A442" s="1912"/>
      <c r="B442" s="1912"/>
      <c r="C442" s="1912"/>
      <c r="D442" s="1912"/>
      <c r="E442" s="1912"/>
      <c r="F442" s="1912"/>
      <c r="G442" s="1912"/>
      <c r="H442" s="1912"/>
      <c r="I442" s="1912"/>
      <c r="J442" s="1912"/>
      <c r="K442" s="1912"/>
      <c r="L442" s="1912"/>
      <c r="M442" s="1912"/>
      <c r="N442" s="1912"/>
      <c r="O442" s="1912"/>
      <c r="P442" s="1912"/>
      <c r="Q442" s="1912"/>
      <c r="R442" s="1912"/>
      <c r="S442" s="1912"/>
      <c r="T442" s="1912"/>
      <c r="U442" s="1912"/>
      <c r="V442" s="1912"/>
      <c r="W442" s="1912"/>
      <c r="X442" s="1912"/>
      <c r="Y442" s="1912"/>
      <c r="Z442" s="1912"/>
      <c r="AA442" s="1912"/>
      <c r="AB442" s="1912"/>
      <c r="AC442" s="1912"/>
      <c r="AD442" s="1912"/>
      <c r="AE442" s="1912"/>
      <c r="AF442" s="1912"/>
      <c r="AG442" s="1912"/>
    </row>
    <row r="443">
      <c r="A443" s="1912"/>
      <c r="B443" s="1912"/>
      <c r="C443" s="1912"/>
      <c r="D443" s="1912"/>
      <c r="E443" s="1912"/>
      <c r="F443" s="1912"/>
      <c r="G443" s="1912"/>
      <c r="H443" s="1912"/>
      <c r="I443" s="1912"/>
      <c r="J443" s="1912"/>
      <c r="K443" s="1912"/>
      <c r="L443" s="1912"/>
      <c r="M443" s="1912"/>
      <c r="N443" s="1912"/>
      <c r="O443" s="1912"/>
      <c r="P443" s="1912"/>
      <c r="Q443" s="1912"/>
      <c r="R443" s="1912"/>
      <c r="S443" s="1912"/>
      <c r="T443" s="1912"/>
      <c r="U443" s="1912"/>
      <c r="V443" s="1912"/>
      <c r="W443" s="1912"/>
      <c r="X443" s="1912"/>
      <c r="Y443" s="1912"/>
      <c r="Z443" s="1912"/>
      <c r="AA443" s="1912"/>
      <c r="AB443" s="1912"/>
      <c r="AC443" s="1912"/>
      <c r="AD443" s="1912"/>
      <c r="AE443" s="1912"/>
      <c r="AF443" s="1912"/>
      <c r="AG443" s="1912"/>
    </row>
    <row r="444">
      <c r="A444" s="1912"/>
      <c r="B444" s="1912"/>
      <c r="C444" s="1912"/>
      <c r="D444" s="1912"/>
      <c r="E444" s="1912"/>
      <c r="F444" s="1912"/>
      <c r="G444" s="1912"/>
      <c r="H444" s="1912"/>
      <c r="I444" s="1912"/>
      <c r="J444" s="1912"/>
      <c r="K444" s="1912"/>
      <c r="L444" s="1912"/>
      <c r="M444" s="1912"/>
      <c r="N444" s="1912"/>
      <c r="O444" s="1912"/>
      <c r="P444" s="1912"/>
      <c r="Q444" s="1912"/>
      <c r="R444" s="1912"/>
      <c r="S444" s="1912"/>
      <c r="T444" s="1912"/>
      <c r="U444" s="1912"/>
      <c r="V444" s="1912"/>
      <c r="W444" s="1912"/>
      <c r="X444" s="1912"/>
      <c r="Y444" s="1912"/>
      <c r="Z444" s="1912"/>
      <c r="AA444" s="1912"/>
      <c r="AB444" s="1912"/>
      <c r="AC444" s="1912"/>
      <c r="AD444" s="1912"/>
      <c r="AE444" s="1912"/>
      <c r="AF444" s="1912"/>
      <c r="AG444" s="1912"/>
    </row>
    <row r="445">
      <c r="A445" s="1912"/>
      <c r="B445" s="1912"/>
      <c r="C445" s="1912"/>
      <c r="D445" s="1912"/>
      <c r="E445" s="1912"/>
      <c r="F445" s="1912"/>
      <c r="G445" s="1912"/>
      <c r="H445" s="1912"/>
      <c r="I445" s="1912"/>
      <c r="J445" s="1912"/>
      <c r="K445" s="1912"/>
      <c r="L445" s="1912"/>
      <c r="M445" s="1912"/>
      <c r="N445" s="1912"/>
      <c r="O445" s="1912"/>
      <c r="P445" s="1912"/>
      <c r="Q445" s="1912"/>
      <c r="R445" s="1912"/>
      <c r="S445" s="1912"/>
      <c r="T445" s="1912"/>
      <c r="U445" s="1912"/>
      <c r="V445" s="1912"/>
      <c r="W445" s="1912"/>
      <c r="X445" s="1912"/>
      <c r="Y445" s="1912"/>
      <c r="Z445" s="1912"/>
      <c r="AA445" s="1912"/>
      <c r="AB445" s="1912"/>
      <c r="AC445" s="1912"/>
      <c r="AD445" s="1912"/>
      <c r="AE445" s="1912"/>
      <c r="AF445" s="1912"/>
      <c r="AG445" s="1912"/>
    </row>
    <row r="446">
      <c r="A446" s="1912"/>
      <c r="B446" s="1912"/>
      <c r="C446" s="1912"/>
      <c r="D446" s="1912"/>
      <c r="E446" s="1912"/>
      <c r="F446" s="1912"/>
      <c r="G446" s="1912"/>
      <c r="H446" s="1912"/>
      <c r="I446" s="1912"/>
      <c r="J446" s="1912"/>
      <c r="K446" s="1912"/>
      <c r="L446" s="1912"/>
      <c r="M446" s="1912"/>
      <c r="N446" s="1912"/>
      <c r="O446" s="1912"/>
      <c r="P446" s="1912"/>
      <c r="Q446" s="1912"/>
      <c r="R446" s="1912"/>
      <c r="S446" s="1912"/>
      <c r="T446" s="1912"/>
      <c r="U446" s="1912"/>
      <c r="V446" s="1912"/>
      <c r="W446" s="1912"/>
      <c r="X446" s="1912"/>
      <c r="Y446" s="1912"/>
      <c r="Z446" s="1912"/>
      <c r="AA446" s="1912"/>
      <c r="AB446" s="1912"/>
      <c r="AC446" s="1912"/>
      <c r="AD446" s="1912"/>
      <c r="AE446" s="1912"/>
      <c r="AF446" s="1912"/>
      <c r="AG446" s="1912"/>
    </row>
    <row r="447">
      <c r="A447" s="1912"/>
      <c r="B447" s="1912"/>
      <c r="C447" s="1912"/>
      <c r="D447" s="1912"/>
      <c r="E447" s="1912"/>
      <c r="F447" s="1912"/>
      <c r="G447" s="1912"/>
      <c r="H447" s="1912"/>
      <c r="I447" s="1912"/>
      <c r="J447" s="1912"/>
      <c r="K447" s="1912"/>
      <c r="L447" s="1912"/>
      <c r="M447" s="1912"/>
      <c r="N447" s="1912"/>
      <c r="O447" s="1912"/>
      <c r="P447" s="1912"/>
      <c r="Q447" s="1912"/>
      <c r="R447" s="1912"/>
      <c r="S447" s="1912"/>
      <c r="T447" s="1912"/>
      <c r="U447" s="1912"/>
      <c r="V447" s="1912"/>
      <c r="W447" s="1912"/>
      <c r="X447" s="1912"/>
      <c r="Y447" s="1912"/>
      <c r="Z447" s="1912"/>
      <c r="AA447" s="1912"/>
      <c r="AB447" s="1912"/>
      <c r="AC447" s="1912"/>
      <c r="AD447" s="1912"/>
      <c r="AE447" s="1912"/>
      <c r="AF447" s="1912"/>
      <c r="AG447" s="1912"/>
    </row>
    <row r="448">
      <c r="A448" s="1912"/>
      <c r="B448" s="1912"/>
      <c r="C448" s="1912"/>
      <c r="D448" s="1912"/>
      <c r="E448" s="1912"/>
      <c r="F448" s="1912"/>
      <c r="G448" s="1912"/>
      <c r="H448" s="1912"/>
      <c r="I448" s="1912"/>
      <c r="J448" s="1912"/>
      <c r="K448" s="1912"/>
      <c r="L448" s="1912"/>
      <c r="M448" s="1912"/>
      <c r="N448" s="1912"/>
      <c r="O448" s="1912"/>
      <c r="P448" s="1912"/>
      <c r="Q448" s="1912"/>
      <c r="R448" s="1912"/>
      <c r="S448" s="1912"/>
      <c r="T448" s="1912"/>
      <c r="U448" s="1912"/>
      <c r="V448" s="1912"/>
      <c r="W448" s="1912"/>
      <c r="X448" s="1912"/>
      <c r="Y448" s="1912"/>
      <c r="Z448" s="1912"/>
      <c r="AA448" s="1912"/>
      <c r="AB448" s="1912"/>
      <c r="AC448" s="1912"/>
      <c r="AD448" s="1912"/>
      <c r="AE448" s="1912"/>
      <c r="AF448" s="1912"/>
      <c r="AG448" s="1912"/>
    </row>
    <row r="449">
      <c r="A449" s="1912"/>
      <c r="B449" s="1912"/>
      <c r="C449" s="1912"/>
      <c r="D449" s="1912"/>
      <c r="E449" s="1912"/>
      <c r="F449" s="1912"/>
      <c r="G449" s="1912"/>
      <c r="H449" s="1912"/>
      <c r="I449" s="1912"/>
      <c r="J449" s="1912"/>
      <c r="K449" s="1912"/>
      <c r="L449" s="1912"/>
      <c r="M449" s="1912"/>
      <c r="N449" s="1912"/>
      <c r="O449" s="1912"/>
      <c r="P449" s="1912"/>
      <c r="Q449" s="1912"/>
      <c r="R449" s="1912"/>
      <c r="S449" s="1912"/>
      <c r="T449" s="1912"/>
      <c r="U449" s="1912"/>
      <c r="V449" s="1912"/>
      <c r="W449" s="1912"/>
      <c r="X449" s="1912"/>
      <c r="Y449" s="1912"/>
      <c r="Z449" s="1912"/>
      <c r="AA449" s="1912"/>
      <c r="AB449" s="1912"/>
      <c r="AC449" s="1912"/>
      <c r="AD449" s="1912"/>
      <c r="AE449" s="1912"/>
      <c r="AF449" s="1912"/>
      <c r="AG449" s="1912"/>
    </row>
    <row r="450">
      <c r="A450" s="1912"/>
      <c r="B450" s="1912"/>
      <c r="C450" s="1912"/>
      <c r="D450" s="1912"/>
      <c r="E450" s="1912"/>
      <c r="F450" s="1912"/>
      <c r="G450" s="1912"/>
      <c r="H450" s="1912"/>
      <c r="I450" s="1912"/>
      <c r="J450" s="1912"/>
      <c r="K450" s="1912"/>
      <c r="L450" s="1912"/>
      <c r="M450" s="1912"/>
      <c r="N450" s="1912"/>
      <c r="O450" s="1912"/>
      <c r="P450" s="1912"/>
      <c r="Q450" s="1912"/>
      <c r="R450" s="1912"/>
      <c r="S450" s="1912"/>
      <c r="T450" s="1912"/>
      <c r="U450" s="1912"/>
      <c r="V450" s="1912"/>
      <c r="W450" s="1912"/>
      <c r="X450" s="1912"/>
      <c r="Y450" s="1912"/>
      <c r="Z450" s="1912"/>
      <c r="AA450" s="1912"/>
      <c r="AB450" s="1912"/>
      <c r="AC450" s="1912"/>
      <c r="AD450" s="1912"/>
      <c r="AE450" s="1912"/>
      <c r="AF450" s="1912"/>
      <c r="AG450" s="1912"/>
    </row>
    <row r="451">
      <c r="A451" s="1912"/>
      <c r="B451" s="1912"/>
      <c r="C451" s="1912"/>
      <c r="D451" s="1912"/>
      <c r="E451" s="1912"/>
      <c r="F451" s="1912"/>
      <c r="G451" s="1912"/>
      <c r="H451" s="1912"/>
      <c r="I451" s="1912"/>
      <c r="J451" s="1912"/>
      <c r="K451" s="1912"/>
      <c r="L451" s="1912"/>
      <c r="M451" s="1912"/>
      <c r="N451" s="1912"/>
      <c r="O451" s="1912"/>
      <c r="P451" s="1912"/>
      <c r="Q451" s="1912"/>
      <c r="R451" s="1912"/>
      <c r="S451" s="1912"/>
      <c r="T451" s="1912"/>
      <c r="U451" s="1912"/>
      <c r="V451" s="1912"/>
      <c r="W451" s="1912"/>
      <c r="X451" s="1912"/>
      <c r="Y451" s="1912"/>
      <c r="Z451" s="1912"/>
      <c r="AA451" s="1912"/>
      <c r="AB451" s="1912"/>
      <c r="AC451" s="1912"/>
      <c r="AD451" s="1912"/>
      <c r="AE451" s="1912"/>
      <c r="AF451" s="1912"/>
      <c r="AG451" s="1912"/>
    </row>
    <row r="452">
      <c r="A452" s="1912"/>
      <c r="B452" s="1912"/>
      <c r="C452" s="1912"/>
      <c r="D452" s="1912"/>
      <c r="E452" s="1912"/>
      <c r="F452" s="1912"/>
      <c r="G452" s="1912"/>
      <c r="H452" s="1912"/>
      <c r="I452" s="1912"/>
      <c r="J452" s="1912"/>
      <c r="K452" s="1912"/>
      <c r="L452" s="1912"/>
      <c r="M452" s="1912"/>
      <c r="N452" s="1912"/>
      <c r="O452" s="1912"/>
      <c r="P452" s="1912"/>
      <c r="Q452" s="1912"/>
      <c r="R452" s="1912"/>
      <c r="S452" s="1912"/>
      <c r="T452" s="1912"/>
      <c r="U452" s="1912"/>
      <c r="V452" s="1912"/>
      <c r="W452" s="1912"/>
      <c r="X452" s="1912"/>
      <c r="Y452" s="1912"/>
      <c r="Z452" s="1912"/>
      <c r="AA452" s="1912"/>
      <c r="AB452" s="1912"/>
      <c r="AC452" s="1912"/>
      <c r="AD452" s="1912"/>
      <c r="AE452" s="1912"/>
      <c r="AF452" s="1912"/>
      <c r="AG452" s="1912"/>
    </row>
    <row r="453">
      <c r="A453" s="1912"/>
      <c r="B453" s="1912"/>
      <c r="C453" s="1912"/>
      <c r="D453" s="1912"/>
      <c r="E453" s="1912"/>
      <c r="F453" s="1912"/>
      <c r="G453" s="1912"/>
      <c r="H453" s="1912"/>
      <c r="I453" s="1912"/>
      <c r="J453" s="1912"/>
      <c r="K453" s="1912"/>
      <c r="L453" s="1912"/>
      <c r="M453" s="1912"/>
      <c r="N453" s="1912"/>
      <c r="O453" s="1912"/>
      <c r="P453" s="1912"/>
      <c r="Q453" s="1912"/>
      <c r="R453" s="1912"/>
      <c r="S453" s="1912"/>
      <c r="T453" s="1912"/>
      <c r="U453" s="1912"/>
      <c r="V453" s="1912"/>
      <c r="W453" s="1912"/>
      <c r="X453" s="1912"/>
      <c r="Y453" s="1912"/>
      <c r="Z453" s="1912"/>
      <c r="AA453" s="1912"/>
      <c r="AB453" s="1912"/>
      <c r="AC453" s="1912"/>
      <c r="AD453" s="1912"/>
      <c r="AE453" s="1912"/>
      <c r="AF453" s="1912"/>
      <c r="AG453" s="1912"/>
    </row>
    <row r="454">
      <c r="A454" s="1912"/>
      <c r="B454" s="1912"/>
      <c r="C454" s="1912"/>
      <c r="D454" s="1912"/>
      <c r="E454" s="1912"/>
      <c r="F454" s="1912"/>
      <c r="G454" s="1912"/>
      <c r="H454" s="1912"/>
      <c r="I454" s="1912"/>
      <c r="J454" s="1912"/>
      <c r="K454" s="1912"/>
      <c r="L454" s="1912"/>
      <c r="M454" s="1912"/>
      <c r="N454" s="1912"/>
      <c r="O454" s="1912"/>
      <c r="P454" s="1912"/>
      <c r="Q454" s="1912"/>
      <c r="R454" s="1912"/>
      <c r="S454" s="1912"/>
      <c r="T454" s="1912"/>
      <c r="U454" s="1912"/>
      <c r="V454" s="1912"/>
      <c r="W454" s="1912"/>
      <c r="X454" s="1912"/>
      <c r="Y454" s="1912"/>
      <c r="Z454" s="1912"/>
      <c r="AA454" s="1912"/>
      <c r="AB454" s="1912"/>
      <c r="AC454" s="1912"/>
      <c r="AD454" s="1912"/>
      <c r="AE454" s="1912"/>
      <c r="AF454" s="1912"/>
      <c r="AG454" s="1912"/>
    </row>
    <row r="455">
      <c r="A455" s="1912"/>
      <c r="B455" s="1912"/>
      <c r="C455" s="1912"/>
      <c r="D455" s="1912"/>
      <c r="E455" s="1912"/>
      <c r="F455" s="1912"/>
      <c r="G455" s="1912"/>
      <c r="H455" s="1912"/>
      <c r="I455" s="1912"/>
      <c r="J455" s="1912"/>
      <c r="K455" s="1912"/>
      <c r="L455" s="1912"/>
      <c r="M455" s="1912"/>
      <c r="N455" s="1912"/>
      <c r="O455" s="1912"/>
      <c r="P455" s="1912"/>
      <c r="Q455" s="1912"/>
      <c r="R455" s="1912"/>
      <c r="S455" s="1912"/>
      <c r="T455" s="1912"/>
      <c r="U455" s="1912"/>
      <c r="V455" s="1912"/>
      <c r="W455" s="1912"/>
      <c r="X455" s="1912"/>
      <c r="Y455" s="1912"/>
      <c r="Z455" s="1912"/>
      <c r="AA455" s="1912"/>
      <c r="AB455" s="1912"/>
      <c r="AC455" s="1912"/>
      <c r="AD455" s="1912"/>
      <c r="AE455" s="1912"/>
      <c r="AF455" s="1912"/>
      <c r="AG455" s="1912"/>
    </row>
    <row r="456">
      <c r="A456" s="1912"/>
      <c r="B456" s="1912"/>
      <c r="C456" s="1912"/>
      <c r="D456" s="1912"/>
      <c r="E456" s="1912"/>
      <c r="F456" s="1912"/>
      <c r="G456" s="1912"/>
      <c r="H456" s="1912"/>
      <c r="I456" s="1912"/>
      <c r="J456" s="1912"/>
      <c r="K456" s="1912"/>
      <c r="L456" s="1912"/>
      <c r="M456" s="1912"/>
      <c r="N456" s="1912"/>
      <c r="O456" s="1912"/>
      <c r="P456" s="1912"/>
      <c r="Q456" s="1912"/>
      <c r="R456" s="1912"/>
      <c r="S456" s="1912"/>
      <c r="T456" s="1912"/>
      <c r="U456" s="1912"/>
      <c r="V456" s="1912"/>
      <c r="W456" s="1912"/>
      <c r="X456" s="1912"/>
      <c r="Y456" s="1912"/>
      <c r="Z456" s="1912"/>
      <c r="AA456" s="1912"/>
      <c r="AB456" s="1912"/>
      <c r="AC456" s="1912"/>
      <c r="AD456" s="1912"/>
      <c r="AE456" s="1912"/>
      <c r="AF456" s="1912"/>
      <c r="AG456" s="1912"/>
    </row>
    <row r="457">
      <c r="A457" s="1912"/>
      <c r="B457" s="1912"/>
      <c r="C457" s="1912"/>
      <c r="D457" s="1912"/>
      <c r="E457" s="1912"/>
      <c r="F457" s="1912"/>
      <c r="G457" s="1912"/>
      <c r="H457" s="1912"/>
      <c r="I457" s="1912"/>
      <c r="J457" s="1912"/>
      <c r="K457" s="1912"/>
      <c r="L457" s="1912"/>
      <c r="M457" s="1912"/>
      <c r="N457" s="1912"/>
      <c r="O457" s="1912"/>
      <c r="P457" s="1912"/>
      <c r="Q457" s="1912"/>
      <c r="R457" s="1912"/>
      <c r="S457" s="1912"/>
      <c r="T457" s="1912"/>
      <c r="U457" s="1912"/>
      <c r="V457" s="1912"/>
      <c r="W457" s="1912"/>
      <c r="X457" s="1912"/>
      <c r="Y457" s="1912"/>
      <c r="Z457" s="1912"/>
      <c r="AA457" s="1912"/>
      <c r="AB457" s="1912"/>
      <c r="AC457" s="1912"/>
      <c r="AD457" s="1912"/>
      <c r="AE457" s="1912"/>
      <c r="AF457" s="1912"/>
      <c r="AG457" s="1912"/>
    </row>
    <row r="458">
      <c r="A458" s="1912"/>
      <c r="B458" s="1912"/>
      <c r="C458" s="1912"/>
      <c r="D458" s="1912"/>
      <c r="E458" s="1912"/>
      <c r="F458" s="1912"/>
      <c r="G458" s="1912"/>
      <c r="H458" s="1912"/>
      <c r="I458" s="1912"/>
      <c r="J458" s="1912"/>
      <c r="K458" s="1912"/>
      <c r="L458" s="1912"/>
      <c r="M458" s="1912"/>
      <c r="N458" s="1912"/>
      <c r="O458" s="1912"/>
      <c r="P458" s="1912"/>
      <c r="Q458" s="1912"/>
      <c r="R458" s="1912"/>
      <c r="S458" s="1912"/>
      <c r="T458" s="1912"/>
      <c r="U458" s="1912"/>
      <c r="V458" s="1912"/>
      <c r="W458" s="1912"/>
      <c r="X458" s="1912"/>
      <c r="Y458" s="1912"/>
      <c r="Z458" s="1912"/>
      <c r="AA458" s="1912"/>
      <c r="AB458" s="1912"/>
      <c r="AC458" s="1912"/>
      <c r="AD458" s="1912"/>
      <c r="AE458" s="1912"/>
      <c r="AF458" s="1912"/>
      <c r="AG458" s="1912"/>
    </row>
    <row r="459">
      <c r="A459" s="1912"/>
      <c r="B459" s="1912"/>
      <c r="C459" s="1912"/>
      <c r="D459" s="1912"/>
      <c r="E459" s="1912"/>
      <c r="F459" s="1912"/>
      <c r="G459" s="1912"/>
      <c r="H459" s="1912"/>
      <c r="I459" s="1912"/>
      <c r="J459" s="1912"/>
      <c r="K459" s="1912"/>
      <c r="L459" s="1912"/>
      <c r="M459" s="1912"/>
      <c r="N459" s="1912"/>
      <c r="O459" s="1912"/>
      <c r="P459" s="1912"/>
      <c r="Q459" s="1912"/>
      <c r="R459" s="1912"/>
      <c r="S459" s="1912"/>
      <c r="T459" s="1912"/>
      <c r="U459" s="1912"/>
      <c r="V459" s="1912"/>
      <c r="W459" s="1912"/>
      <c r="X459" s="1912"/>
      <c r="Y459" s="1912"/>
      <c r="Z459" s="1912"/>
      <c r="AA459" s="1912"/>
      <c r="AB459" s="1912"/>
      <c r="AC459" s="1912"/>
      <c r="AD459" s="1912"/>
      <c r="AE459" s="1912"/>
      <c r="AF459" s="1912"/>
      <c r="AG459" s="1912"/>
    </row>
    <row r="460">
      <c r="A460" s="1912"/>
      <c r="B460" s="1912"/>
      <c r="C460" s="1912"/>
      <c r="D460" s="1912"/>
      <c r="E460" s="1912"/>
      <c r="F460" s="1912"/>
      <c r="G460" s="1912"/>
      <c r="H460" s="1912"/>
      <c r="I460" s="1912"/>
      <c r="J460" s="1912"/>
      <c r="K460" s="1912"/>
      <c r="L460" s="1912"/>
      <c r="M460" s="1912"/>
      <c r="N460" s="1912"/>
      <c r="O460" s="1912"/>
      <c r="P460" s="1912"/>
      <c r="Q460" s="1912"/>
      <c r="R460" s="1912"/>
      <c r="S460" s="1912"/>
      <c r="T460" s="1912"/>
      <c r="U460" s="1912"/>
      <c r="V460" s="1912"/>
      <c r="W460" s="1912"/>
      <c r="X460" s="1912"/>
      <c r="Y460" s="1912"/>
      <c r="Z460" s="1912"/>
      <c r="AA460" s="1912"/>
      <c r="AB460" s="1912"/>
      <c r="AC460" s="1912"/>
      <c r="AD460" s="1912"/>
      <c r="AE460" s="1912"/>
      <c r="AF460" s="1912"/>
      <c r="AG460" s="1912"/>
    </row>
    <row r="461">
      <c r="A461" s="1912"/>
      <c r="B461" s="1912"/>
      <c r="C461" s="1912"/>
      <c r="D461" s="1912"/>
      <c r="E461" s="1912"/>
      <c r="F461" s="1912"/>
      <c r="G461" s="1912"/>
      <c r="H461" s="1912"/>
      <c r="I461" s="1912"/>
      <c r="J461" s="1912"/>
      <c r="K461" s="1912"/>
      <c r="L461" s="1912"/>
      <c r="M461" s="1912"/>
      <c r="N461" s="1912"/>
      <c r="O461" s="1912"/>
      <c r="P461" s="1912"/>
      <c r="Q461" s="1912"/>
      <c r="R461" s="1912"/>
      <c r="S461" s="1912"/>
      <c r="T461" s="1912"/>
      <c r="U461" s="1912"/>
      <c r="V461" s="1912"/>
      <c r="W461" s="1912"/>
      <c r="X461" s="1912"/>
      <c r="Y461" s="1912"/>
      <c r="Z461" s="1912"/>
      <c r="AA461" s="1912"/>
      <c r="AB461" s="1912"/>
      <c r="AC461" s="1912"/>
      <c r="AD461" s="1912"/>
      <c r="AE461" s="1912"/>
      <c r="AF461" s="1912"/>
      <c r="AG461" s="1912"/>
    </row>
    <row r="462">
      <c r="A462" s="1912"/>
      <c r="B462" s="1912"/>
      <c r="C462" s="1912"/>
      <c r="D462" s="1912"/>
      <c r="E462" s="1912"/>
      <c r="F462" s="1912"/>
      <c r="G462" s="1912"/>
      <c r="H462" s="1912"/>
      <c r="I462" s="1912"/>
      <c r="J462" s="1912"/>
      <c r="K462" s="1912"/>
      <c r="L462" s="1912"/>
      <c r="M462" s="1912"/>
      <c r="N462" s="1912"/>
      <c r="O462" s="1912"/>
      <c r="P462" s="1912"/>
      <c r="Q462" s="1912"/>
      <c r="R462" s="1912"/>
      <c r="S462" s="1912"/>
      <c r="T462" s="1912"/>
      <c r="U462" s="1912"/>
      <c r="V462" s="1912"/>
      <c r="W462" s="1912"/>
      <c r="X462" s="1912"/>
      <c r="Y462" s="1912"/>
      <c r="Z462" s="1912"/>
      <c r="AA462" s="1912"/>
      <c r="AB462" s="1912"/>
      <c r="AC462" s="1912"/>
      <c r="AD462" s="1912"/>
      <c r="AE462" s="1912"/>
      <c r="AF462" s="1912"/>
      <c r="AG462" s="1912"/>
    </row>
    <row r="463">
      <c r="A463" s="1912"/>
      <c r="B463" s="1912"/>
      <c r="C463" s="1912"/>
      <c r="D463" s="1912"/>
      <c r="E463" s="1912"/>
      <c r="F463" s="1912"/>
      <c r="G463" s="1912"/>
      <c r="H463" s="1912"/>
      <c r="I463" s="1912"/>
      <c r="J463" s="1912"/>
      <c r="K463" s="1912"/>
      <c r="L463" s="1912"/>
      <c r="M463" s="1912"/>
      <c r="N463" s="1912"/>
      <c r="O463" s="1912"/>
      <c r="P463" s="1912"/>
      <c r="Q463" s="1912"/>
      <c r="R463" s="1912"/>
      <c r="S463" s="1912"/>
      <c r="T463" s="1912"/>
      <c r="U463" s="1912"/>
      <c r="V463" s="1912"/>
      <c r="W463" s="1912"/>
      <c r="X463" s="1912"/>
      <c r="Y463" s="1912"/>
      <c r="Z463" s="1912"/>
      <c r="AA463" s="1912"/>
      <c r="AB463" s="1912"/>
      <c r="AC463" s="1912"/>
      <c r="AD463" s="1912"/>
      <c r="AE463" s="1912"/>
      <c r="AF463" s="1912"/>
      <c r="AG463" s="1912"/>
    </row>
    <row r="464">
      <c r="A464" s="1912"/>
      <c r="B464" s="1912"/>
      <c r="C464" s="1912"/>
      <c r="D464" s="1912"/>
      <c r="E464" s="1912"/>
      <c r="F464" s="1912"/>
      <c r="G464" s="1912"/>
      <c r="H464" s="1912"/>
      <c r="I464" s="1912"/>
      <c r="J464" s="1912"/>
      <c r="K464" s="1912"/>
      <c r="L464" s="1912"/>
      <c r="M464" s="1912"/>
      <c r="N464" s="1912"/>
      <c r="O464" s="1912"/>
      <c r="P464" s="1912"/>
      <c r="Q464" s="1912"/>
      <c r="R464" s="1912"/>
      <c r="S464" s="1912"/>
      <c r="T464" s="1912"/>
      <c r="U464" s="1912"/>
      <c r="V464" s="1912"/>
      <c r="W464" s="1912"/>
      <c r="X464" s="1912"/>
      <c r="Y464" s="1912"/>
      <c r="Z464" s="1912"/>
      <c r="AA464" s="1912"/>
      <c r="AB464" s="1912"/>
      <c r="AC464" s="1912"/>
      <c r="AD464" s="1912"/>
      <c r="AE464" s="1912"/>
      <c r="AF464" s="1912"/>
      <c r="AG464" s="1912"/>
    </row>
    <row r="465">
      <c r="A465" s="1912"/>
      <c r="B465" s="1912"/>
      <c r="C465" s="1912"/>
      <c r="D465" s="1912"/>
      <c r="E465" s="1912"/>
      <c r="F465" s="1912"/>
      <c r="G465" s="1912"/>
      <c r="H465" s="1912"/>
      <c r="I465" s="1912"/>
      <c r="J465" s="1912"/>
      <c r="K465" s="1912"/>
      <c r="L465" s="1912"/>
      <c r="M465" s="1912"/>
      <c r="N465" s="1912"/>
      <c r="O465" s="1912"/>
      <c r="P465" s="1912"/>
      <c r="Q465" s="1912"/>
      <c r="R465" s="1912"/>
      <c r="S465" s="1912"/>
      <c r="T465" s="1912"/>
      <c r="U465" s="1912"/>
      <c r="V465" s="1912"/>
      <c r="W465" s="1912"/>
      <c r="X465" s="1912"/>
      <c r="Y465" s="1912"/>
      <c r="Z465" s="1912"/>
      <c r="AA465" s="1912"/>
      <c r="AB465" s="1912"/>
      <c r="AC465" s="1912"/>
      <c r="AD465" s="1912"/>
      <c r="AE465" s="1912"/>
      <c r="AF465" s="1912"/>
      <c r="AG465" s="1912"/>
    </row>
    <row r="466">
      <c r="A466" s="1912"/>
      <c r="B466" s="1912"/>
      <c r="C466" s="1912"/>
      <c r="D466" s="1912"/>
      <c r="E466" s="1912"/>
      <c r="F466" s="1912"/>
      <c r="G466" s="1912"/>
      <c r="H466" s="1912"/>
      <c r="I466" s="1912"/>
      <c r="J466" s="1912"/>
      <c r="K466" s="1912"/>
      <c r="L466" s="1912"/>
      <c r="M466" s="1912"/>
      <c r="N466" s="1912"/>
      <c r="O466" s="1912"/>
      <c r="P466" s="1912"/>
      <c r="Q466" s="1912"/>
      <c r="R466" s="1912"/>
      <c r="S466" s="1912"/>
      <c r="T466" s="1912"/>
      <c r="U466" s="1912"/>
      <c r="V466" s="1912"/>
      <c r="W466" s="1912"/>
      <c r="X466" s="1912"/>
      <c r="Y466" s="1912"/>
      <c r="Z466" s="1912"/>
      <c r="AA466" s="1912"/>
      <c r="AB466" s="1912"/>
      <c r="AC466" s="1912"/>
      <c r="AD466" s="1912"/>
      <c r="AE466" s="1912"/>
      <c r="AF466" s="1912"/>
      <c r="AG466" s="1912"/>
    </row>
    <row r="467">
      <c r="A467" s="1912"/>
      <c r="B467" s="1912"/>
      <c r="C467" s="1912"/>
      <c r="D467" s="1912"/>
      <c r="E467" s="1912"/>
      <c r="F467" s="1912"/>
      <c r="G467" s="1912"/>
      <c r="H467" s="1912"/>
      <c r="I467" s="1912"/>
      <c r="J467" s="1912"/>
      <c r="K467" s="1912"/>
      <c r="L467" s="1912"/>
      <c r="M467" s="1912"/>
      <c r="N467" s="1912"/>
      <c r="O467" s="1912"/>
      <c r="P467" s="1912"/>
      <c r="Q467" s="1912"/>
      <c r="R467" s="1912"/>
      <c r="S467" s="1912"/>
      <c r="T467" s="1912"/>
      <c r="U467" s="1912"/>
      <c r="V467" s="1912"/>
      <c r="W467" s="1912"/>
      <c r="X467" s="1912"/>
      <c r="Y467" s="1912"/>
      <c r="Z467" s="1912"/>
      <c r="AA467" s="1912"/>
      <c r="AB467" s="1912"/>
      <c r="AC467" s="1912"/>
      <c r="AD467" s="1912"/>
      <c r="AE467" s="1912"/>
      <c r="AF467" s="1912"/>
      <c r="AG467" s="1912"/>
    </row>
    <row r="468">
      <c r="A468" s="1912"/>
      <c r="B468" s="1912"/>
      <c r="C468" s="1912"/>
      <c r="D468" s="1912"/>
      <c r="E468" s="1912"/>
      <c r="F468" s="1912"/>
      <c r="G468" s="1912"/>
      <c r="H468" s="1912"/>
      <c r="I468" s="1912"/>
      <c r="J468" s="1912"/>
      <c r="K468" s="1912"/>
      <c r="L468" s="1912"/>
      <c r="M468" s="1912"/>
      <c r="N468" s="1912"/>
      <c r="O468" s="1912"/>
      <c r="P468" s="1912"/>
      <c r="Q468" s="1912"/>
      <c r="R468" s="1912"/>
      <c r="S468" s="1912"/>
      <c r="T468" s="1912"/>
      <c r="U468" s="1912"/>
      <c r="V468" s="1912"/>
      <c r="W468" s="1912"/>
      <c r="X468" s="1912"/>
      <c r="Y468" s="1912"/>
      <c r="Z468" s="1912"/>
      <c r="AA468" s="1912"/>
      <c r="AB468" s="1912"/>
      <c r="AC468" s="1912"/>
      <c r="AD468" s="1912"/>
      <c r="AE468" s="1912"/>
      <c r="AF468" s="1912"/>
      <c r="AG468" s="1912"/>
    </row>
    <row r="469">
      <c r="A469" s="1912"/>
      <c r="B469" s="1912"/>
      <c r="C469" s="1912"/>
      <c r="D469" s="1912"/>
      <c r="E469" s="1912"/>
      <c r="F469" s="1912"/>
      <c r="G469" s="1912"/>
      <c r="H469" s="1912"/>
      <c r="I469" s="1912"/>
      <c r="J469" s="1912"/>
      <c r="K469" s="1912"/>
      <c r="L469" s="1912"/>
      <c r="M469" s="1912"/>
      <c r="N469" s="1912"/>
      <c r="O469" s="1912"/>
      <c r="P469" s="1912"/>
      <c r="Q469" s="1912"/>
      <c r="R469" s="1912"/>
      <c r="S469" s="1912"/>
      <c r="T469" s="1912"/>
      <c r="U469" s="1912"/>
      <c r="V469" s="1912"/>
      <c r="W469" s="1912"/>
      <c r="X469" s="1912"/>
      <c r="Y469" s="1912"/>
      <c r="Z469" s="1912"/>
      <c r="AA469" s="1912"/>
      <c r="AB469" s="1912"/>
      <c r="AC469" s="1912"/>
      <c r="AD469" s="1912"/>
      <c r="AE469" s="1912"/>
      <c r="AF469" s="1912"/>
      <c r="AG469" s="1912"/>
    </row>
    <row r="470">
      <c r="A470" s="1912"/>
      <c r="B470" s="1912"/>
      <c r="C470" s="1912"/>
      <c r="D470" s="1912"/>
      <c r="E470" s="1912"/>
      <c r="F470" s="1912"/>
      <c r="G470" s="1912"/>
      <c r="H470" s="1912"/>
      <c r="I470" s="1912"/>
      <c r="J470" s="1912"/>
      <c r="K470" s="1912"/>
      <c r="L470" s="1912"/>
      <c r="M470" s="1912"/>
      <c r="N470" s="1912"/>
      <c r="O470" s="1912"/>
      <c r="P470" s="1912"/>
      <c r="Q470" s="1912"/>
      <c r="R470" s="1912"/>
      <c r="S470" s="1912"/>
      <c r="T470" s="1912"/>
      <c r="U470" s="1912"/>
      <c r="V470" s="1912"/>
      <c r="W470" s="1912"/>
      <c r="X470" s="1912"/>
      <c r="Y470" s="1912"/>
      <c r="Z470" s="1912"/>
      <c r="AA470" s="1912"/>
      <c r="AB470" s="1912"/>
      <c r="AC470" s="1912"/>
      <c r="AD470" s="1912"/>
      <c r="AE470" s="1912"/>
      <c r="AF470" s="1912"/>
      <c r="AG470" s="1912"/>
    </row>
    <row r="471">
      <c r="A471" s="1912"/>
      <c r="B471" s="1912"/>
      <c r="C471" s="1912"/>
      <c r="D471" s="1912"/>
      <c r="E471" s="1912"/>
      <c r="F471" s="1912"/>
      <c r="G471" s="1912"/>
      <c r="H471" s="1912"/>
      <c r="I471" s="1912"/>
      <c r="J471" s="1912"/>
      <c r="K471" s="1912"/>
      <c r="L471" s="1912"/>
      <c r="M471" s="1912"/>
      <c r="N471" s="1912"/>
      <c r="O471" s="1912"/>
      <c r="P471" s="1912"/>
      <c r="Q471" s="1912"/>
      <c r="R471" s="1912"/>
      <c r="S471" s="1912"/>
      <c r="T471" s="1912"/>
      <c r="U471" s="1912"/>
      <c r="V471" s="1912"/>
      <c r="W471" s="1912"/>
      <c r="X471" s="1912"/>
      <c r="Y471" s="1912"/>
      <c r="Z471" s="1912"/>
      <c r="AA471" s="1912"/>
      <c r="AB471" s="1912"/>
      <c r="AC471" s="1912"/>
      <c r="AD471" s="1912"/>
      <c r="AE471" s="1912"/>
      <c r="AF471" s="1912"/>
      <c r="AG471" s="1912"/>
    </row>
    <row r="472">
      <c r="A472" s="1912"/>
      <c r="B472" s="1912"/>
      <c r="C472" s="1912"/>
      <c r="D472" s="1912"/>
      <c r="E472" s="1912"/>
      <c r="F472" s="1912"/>
      <c r="G472" s="1912"/>
      <c r="H472" s="1912"/>
      <c r="I472" s="1912"/>
      <c r="J472" s="1912"/>
      <c r="K472" s="1912"/>
      <c r="L472" s="1912"/>
      <c r="M472" s="1912"/>
      <c r="N472" s="1912"/>
      <c r="O472" s="1912"/>
      <c r="P472" s="1912"/>
      <c r="Q472" s="1912"/>
      <c r="R472" s="1912"/>
      <c r="S472" s="1912"/>
      <c r="T472" s="1912"/>
      <c r="U472" s="1912"/>
      <c r="V472" s="1912"/>
      <c r="W472" s="1912"/>
      <c r="X472" s="1912"/>
      <c r="Y472" s="1912"/>
      <c r="Z472" s="1912"/>
      <c r="AA472" s="1912"/>
      <c r="AB472" s="1912"/>
      <c r="AC472" s="1912"/>
      <c r="AD472" s="1912"/>
      <c r="AE472" s="1912"/>
      <c r="AF472" s="1912"/>
      <c r="AG472" s="1912"/>
    </row>
    <row r="473">
      <c r="A473" s="1912"/>
      <c r="B473" s="1912"/>
      <c r="C473" s="1912"/>
      <c r="D473" s="1912"/>
      <c r="E473" s="1912"/>
      <c r="F473" s="1912"/>
      <c r="G473" s="1912"/>
      <c r="H473" s="1912"/>
      <c r="I473" s="1912"/>
      <c r="J473" s="1912"/>
      <c r="K473" s="1912"/>
      <c r="L473" s="1912"/>
      <c r="M473" s="1912"/>
      <c r="N473" s="1912"/>
      <c r="O473" s="1912"/>
      <c r="P473" s="1912"/>
      <c r="Q473" s="1912"/>
      <c r="R473" s="1912"/>
      <c r="S473" s="1912"/>
      <c r="T473" s="1912"/>
      <c r="U473" s="1912"/>
      <c r="V473" s="1912"/>
      <c r="W473" s="1912"/>
      <c r="X473" s="1912"/>
      <c r="Y473" s="1912"/>
      <c r="Z473" s="1912"/>
      <c r="AA473" s="1912"/>
      <c r="AB473" s="1912"/>
      <c r="AC473" s="1912"/>
      <c r="AD473" s="1912"/>
      <c r="AE473" s="1912"/>
      <c r="AF473" s="1912"/>
      <c r="AG473" s="1912"/>
    </row>
    <row r="474">
      <c r="A474" s="1912"/>
      <c r="B474" s="1912"/>
      <c r="C474" s="1912"/>
      <c r="D474" s="1912"/>
      <c r="E474" s="1912"/>
      <c r="F474" s="1912"/>
      <c r="G474" s="1912"/>
      <c r="H474" s="1912"/>
      <c r="I474" s="1912"/>
      <c r="J474" s="1912"/>
      <c r="K474" s="1912"/>
      <c r="L474" s="1912"/>
      <c r="M474" s="1912"/>
      <c r="N474" s="1912"/>
      <c r="O474" s="1912"/>
      <c r="P474" s="1912"/>
      <c r="Q474" s="1912"/>
      <c r="R474" s="1912"/>
      <c r="S474" s="1912"/>
      <c r="T474" s="1912"/>
      <c r="U474" s="1912"/>
      <c r="V474" s="1912"/>
      <c r="W474" s="1912"/>
      <c r="X474" s="1912"/>
      <c r="Y474" s="1912"/>
      <c r="Z474" s="1912"/>
      <c r="AA474" s="1912"/>
      <c r="AB474" s="1912"/>
      <c r="AC474" s="1912"/>
      <c r="AD474" s="1912"/>
      <c r="AE474" s="1912"/>
      <c r="AF474" s="1912"/>
      <c r="AG474" s="1912"/>
    </row>
    <row r="475">
      <c r="A475" s="1912"/>
      <c r="B475" s="1912"/>
      <c r="C475" s="1912"/>
      <c r="D475" s="1912"/>
      <c r="E475" s="1912"/>
      <c r="F475" s="1912"/>
      <c r="G475" s="1912"/>
      <c r="H475" s="1912"/>
      <c r="I475" s="1912"/>
      <c r="J475" s="1912"/>
      <c r="K475" s="1912"/>
      <c r="L475" s="1912"/>
      <c r="M475" s="1912"/>
      <c r="N475" s="1912"/>
      <c r="O475" s="1912"/>
      <c r="P475" s="1912"/>
      <c r="Q475" s="1912"/>
      <c r="R475" s="1912"/>
      <c r="S475" s="1912"/>
      <c r="T475" s="1912"/>
      <c r="U475" s="1912"/>
      <c r="V475" s="1912"/>
      <c r="W475" s="1912"/>
      <c r="X475" s="1912"/>
      <c r="Y475" s="1912"/>
      <c r="Z475" s="1912"/>
      <c r="AA475" s="1912"/>
      <c r="AB475" s="1912"/>
      <c r="AC475" s="1912"/>
      <c r="AD475" s="1912"/>
      <c r="AE475" s="1912"/>
      <c r="AF475" s="1912"/>
      <c r="AG475" s="1912"/>
    </row>
    <row r="476">
      <c r="A476" s="1912"/>
      <c r="B476" s="1912"/>
      <c r="C476" s="1912"/>
      <c r="D476" s="1912"/>
      <c r="E476" s="1912"/>
      <c r="F476" s="1912"/>
      <c r="G476" s="1912"/>
      <c r="H476" s="1912"/>
      <c r="I476" s="1912"/>
      <c r="J476" s="1912"/>
      <c r="K476" s="1912"/>
      <c r="L476" s="1912"/>
      <c r="M476" s="1912"/>
      <c r="N476" s="1912"/>
      <c r="O476" s="1912"/>
      <c r="P476" s="1912"/>
      <c r="Q476" s="1912"/>
      <c r="R476" s="1912"/>
      <c r="S476" s="1912"/>
      <c r="T476" s="1912"/>
      <c r="U476" s="1912"/>
      <c r="V476" s="1912"/>
      <c r="W476" s="1912"/>
      <c r="X476" s="1912"/>
      <c r="Y476" s="1912"/>
      <c r="Z476" s="1912"/>
      <c r="AA476" s="1912"/>
      <c r="AB476" s="1912"/>
      <c r="AC476" s="1912"/>
      <c r="AD476" s="1912"/>
      <c r="AE476" s="1912"/>
      <c r="AF476" s="1912"/>
      <c r="AG476" s="1912"/>
    </row>
    <row r="477">
      <c r="A477" s="1912"/>
      <c r="B477" s="1912"/>
      <c r="C477" s="1912"/>
      <c r="D477" s="1912"/>
      <c r="E477" s="1912"/>
      <c r="F477" s="1912"/>
      <c r="G477" s="1912"/>
      <c r="H477" s="1912"/>
      <c r="I477" s="1912"/>
      <c r="J477" s="1912"/>
      <c r="K477" s="1912"/>
      <c r="L477" s="1912"/>
      <c r="M477" s="1912"/>
      <c r="N477" s="1912"/>
      <c r="O477" s="1912"/>
      <c r="P477" s="1912"/>
      <c r="Q477" s="1912"/>
      <c r="R477" s="1912"/>
      <c r="S477" s="1912"/>
      <c r="T477" s="1912"/>
      <c r="U477" s="1912"/>
      <c r="V477" s="1912"/>
      <c r="W477" s="1912"/>
      <c r="X477" s="1912"/>
      <c r="Y477" s="1912"/>
      <c r="Z477" s="1912"/>
      <c r="AA477" s="1912"/>
      <c r="AB477" s="1912"/>
      <c r="AC477" s="1912"/>
      <c r="AD477" s="1912"/>
      <c r="AE477" s="1912"/>
      <c r="AF477" s="1912"/>
      <c r="AG477" s="1912"/>
    </row>
    <row r="478">
      <c r="A478" s="1912"/>
      <c r="B478" s="1912"/>
      <c r="C478" s="1912"/>
      <c r="D478" s="1912"/>
      <c r="E478" s="1912"/>
      <c r="F478" s="1912"/>
      <c r="G478" s="1912"/>
      <c r="H478" s="1912"/>
      <c r="I478" s="1912"/>
      <c r="J478" s="1912"/>
      <c r="K478" s="1912"/>
      <c r="L478" s="1912"/>
      <c r="M478" s="1912"/>
      <c r="N478" s="1912"/>
      <c r="O478" s="1912"/>
      <c r="P478" s="1912"/>
      <c r="Q478" s="1912"/>
      <c r="R478" s="1912"/>
      <c r="S478" s="1912"/>
      <c r="T478" s="1912"/>
      <c r="U478" s="1912"/>
      <c r="V478" s="1912"/>
      <c r="W478" s="1912"/>
      <c r="X478" s="1912"/>
      <c r="Y478" s="1912"/>
      <c r="Z478" s="1912"/>
      <c r="AA478" s="1912"/>
      <c r="AB478" s="1912"/>
      <c r="AC478" s="1912"/>
      <c r="AD478" s="1912"/>
      <c r="AE478" s="1912"/>
      <c r="AF478" s="1912"/>
      <c r="AG478" s="1912"/>
    </row>
    <row r="479">
      <c r="A479" s="1912"/>
      <c r="B479" s="1912"/>
      <c r="C479" s="1912"/>
      <c r="D479" s="1912"/>
      <c r="E479" s="1912"/>
      <c r="F479" s="1912"/>
      <c r="G479" s="1912"/>
      <c r="H479" s="1912"/>
      <c r="I479" s="1912"/>
      <c r="J479" s="1912"/>
      <c r="K479" s="1912"/>
      <c r="L479" s="1912"/>
      <c r="M479" s="1912"/>
      <c r="N479" s="1912"/>
      <c r="O479" s="1912"/>
      <c r="P479" s="1912"/>
      <c r="Q479" s="1912"/>
      <c r="R479" s="1912"/>
      <c r="S479" s="1912"/>
      <c r="T479" s="1912"/>
      <c r="U479" s="1912"/>
      <c r="V479" s="1912"/>
      <c r="W479" s="1912"/>
      <c r="X479" s="1912"/>
      <c r="Y479" s="1912"/>
      <c r="Z479" s="1912"/>
      <c r="AA479" s="1912"/>
      <c r="AB479" s="1912"/>
      <c r="AC479" s="1912"/>
      <c r="AD479" s="1912"/>
      <c r="AE479" s="1912"/>
      <c r="AF479" s="1912"/>
      <c r="AG479" s="1912"/>
    </row>
    <row r="480">
      <c r="A480" s="1912"/>
      <c r="B480" s="1912"/>
      <c r="C480" s="1912"/>
      <c r="D480" s="1912"/>
      <c r="E480" s="1912"/>
      <c r="F480" s="1912"/>
      <c r="G480" s="1912"/>
      <c r="H480" s="1912"/>
      <c r="I480" s="1912"/>
      <c r="J480" s="1912"/>
      <c r="K480" s="1912"/>
      <c r="L480" s="1912"/>
      <c r="M480" s="1912"/>
      <c r="N480" s="1912"/>
      <c r="O480" s="1912"/>
      <c r="P480" s="1912"/>
      <c r="Q480" s="1912"/>
      <c r="R480" s="1912"/>
      <c r="S480" s="1912"/>
      <c r="T480" s="1912"/>
      <c r="U480" s="1912"/>
      <c r="V480" s="1912"/>
      <c r="W480" s="1912"/>
      <c r="X480" s="1912"/>
      <c r="Y480" s="1912"/>
      <c r="Z480" s="1912"/>
      <c r="AA480" s="1912"/>
      <c r="AB480" s="1912"/>
      <c r="AC480" s="1912"/>
      <c r="AD480" s="1912"/>
      <c r="AE480" s="1912"/>
      <c r="AF480" s="1912"/>
      <c r="AG480" s="1912"/>
    </row>
    <row r="481">
      <c r="A481" s="1912"/>
      <c r="B481" s="1912"/>
      <c r="C481" s="1912"/>
      <c r="D481" s="1912"/>
      <c r="E481" s="1912"/>
      <c r="F481" s="1912"/>
      <c r="G481" s="1912"/>
      <c r="H481" s="1912"/>
      <c r="I481" s="1912"/>
      <c r="J481" s="1912"/>
      <c r="K481" s="1912"/>
      <c r="L481" s="1912"/>
      <c r="M481" s="1912"/>
      <c r="N481" s="1912"/>
      <c r="O481" s="1912"/>
      <c r="P481" s="1912"/>
      <c r="Q481" s="1912"/>
      <c r="R481" s="1912"/>
      <c r="S481" s="1912"/>
      <c r="T481" s="1912"/>
      <c r="U481" s="1912"/>
      <c r="V481" s="1912"/>
      <c r="W481" s="1912"/>
      <c r="X481" s="1912"/>
      <c r="Y481" s="1912"/>
      <c r="Z481" s="1912"/>
      <c r="AA481" s="1912"/>
      <c r="AB481" s="1912"/>
      <c r="AC481" s="1912"/>
      <c r="AD481" s="1912"/>
      <c r="AE481" s="1912"/>
      <c r="AF481" s="1912"/>
      <c r="AG481" s="1912"/>
    </row>
    <row r="482">
      <c r="A482" s="1912"/>
      <c r="B482" s="1912"/>
      <c r="C482" s="1912"/>
      <c r="D482" s="1912"/>
      <c r="E482" s="1912"/>
      <c r="F482" s="1912"/>
      <c r="G482" s="1912"/>
      <c r="H482" s="1912"/>
      <c r="I482" s="1912"/>
      <c r="J482" s="1912"/>
      <c r="K482" s="1912"/>
      <c r="L482" s="1912"/>
      <c r="M482" s="1912"/>
      <c r="N482" s="1912"/>
      <c r="O482" s="1912"/>
      <c r="P482" s="1912"/>
      <c r="Q482" s="1912"/>
      <c r="R482" s="1912"/>
      <c r="S482" s="1912"/>
      <c r="T482" s="1912"/>
      <c r="U482" s="1912"/>
      <c r="V482" s="1912"/>
      <c r="W482" s="1912"/>
      <c r="X482" s="1912"/>
      <c r="Y482" s="1912"/>
      <c r="Z482" s="1912"/>
      <c r="AA482" s="1912"/>
      <c r="AB482" s="1912"/>
      <c r="AC482" s="1912"/>
      <c r="AD482" s="1912"/>
      <c r="AE482" s="1912"/>
      <c r="AF482" s="1912"/>
      <c r="AG482" s="1912"/>
    </row>
    <row r="483">
      <c r="A483" s="1912"/>
      <c r="B483" s="1912"/>
      <c r="C483" s="1912"/>
      <c r="D483" s="1912"/>
      <c r="E483" s="1912"/>
      <c r="F483" s="1912"/>
      <c r="G483" s="1912"/>
      <c r="H483" s="1912"/>
      <c r="I483" s="1912"/>
      <c r="J483" s="1912"/>
      <c r="K483" s="1912"/>
      <c r="L483" s="1912"/>
      <c r="M483" s="1912"/>
      <c r="N483" s="1912"/>
      <c r="O483" s="1912"/>
      <c r="P483" s="1912"/>
      <c r="Q483" s="1912"/>
      <c r="R483" s="1912"/>
      <c r="S483" s="1912"/>
      <c r="T483" s="1912"/>
      <c r="U483" s="1912"/>
      <c r="V483" s="1912"/>
      <c r="W483" s="1912"/>
      <c r="X483" s="1912"/>
      <c r="Y483" s="1912"/>
      <c r="Z483" s="1912"/>
      <c r="AA483" s="1912"/>
      <c r="AB483" s="1912"/>
      <c r="AC483" s="1912"/>
      <c r="AD483" s="1912"/>
      <c r="AE483" s="1912"/>
      <c r="AF483" s="1912"/>
      <c r="AG483" s="1912"/>
    </row>
    <row r="484">
      <c r="A484" s="1912"/>
      <c r="B484" s="1912"/>
      <c r="C484" s="1912"/>
      <c r="D484" s="1912"/>
      <c r="E484" s="1912"/>
      <c r="F484" s="1912"/>
      <c r="G484" s="1912"/>
      <c r="H484" s="1912"/>
      <c r="I484" s="1912"/>
      <c r="J484" s="1912"/>
      <c r="K484" s="1912"/>
      <c r="L484" s="1912"/>
      <c r="M484" s="1912"/>
      <c r="N484" s="1912"/>
      <c r="O484" s="1912"/>
      <c r="P484" s="1912"/>
      <c r="Q484" s="1912"/>
      <c r="R484" s="1912"/>
      <c r="S484" s="1912"/>
      <c r="T484" s="1912"/>
      <c r="U484" s="1912"/>
      <c r="V484" s="1912"/>
      <c r="W484" s="1912"/>
      <c r="X484" s="1912"/>
      <c r="Y484" s="1912"/>
      <c r="Z484" s="1912"/>
      <c r="AA484" s="1912"/>
      <c r="AB484" s="1912"/>
      <c r="AC484" s="1912"/>
      <c r="AD484" s="1912"/>
      <c r="AE484" s="1912"/>
      <c r="AF484" s="1912"/>
      <c r="AG484" s="1912"/>
    </row>
    <row r="485">
      <c r="A485" s="1912"/>
      <c r="B485" s="1912"/>
      <c r="C485" s="1912"/>
      <c r="D485" s="1912"/>
      <c r="E485" s="1912"/>
      <c r="F485" s="1912"/>
      <c r="G485" s="1912"/>
      <c r="H485" s="1912"/>
      <c r="I485" s="1912"/>
      <c r="J485" s="1912"/>
      <c r="K485" s="1912"/>
      <c r="L485" s="1912"/>
      <c r="M485" s="1912"/>
      <c r="N485" s="1912"/>
      <c r="O485" s="1912"/>
      <c r="P485" s="1912"/>
      <c r="Q485" s="1912"/>
      <c r="R485" s="1912"/>
      <c r="S485" s="1912"/>
      <c r="T485" s="1912"/>
      <c r="U485" s="1912"/>
      <c r="V485" s="1912"/>
      <c r="W485" s="1912"/>
      <c r="X485" s="1912"/>
      <c r="Y485" s="1912"/>
      <c r="Z485" s="1912"/>
      <c r="AA485" s="1912"/>
      <c r="AB485" s="1912"/>
      <c r="AC485" s="1912"/>
      <c r="AD485" s="1912"/>
      <c r="AE485" s="1912"/>
      <c r="AF485" s="1912"/>
      <c r="AG485" s="1912"/>
    </row>
    <row r="486">
      <c r="A486" s="1912"/>
      <c r="B486" s="1912"/>
      <c r="C486" s="1912"/>
      <c r="D486" s="1912"/>
      <c r="E486" s="1912"/>
      <c r="F486" s="1912"/>
      <c r="G486" s="1912"/>
      <c r="H486" s="1912"/>
      <c r="I486" s="1912"/>
      <c r="J486" s="1912"/>
      <c r="K486" s="1912"/>
      <c r="L486" s="1912"/>
      <c r="M486" s="1912"/>
      <c r="N486" s="1912"/>
      <c r="O486" s="1912"/>
      <c r="P486" s="1912"/>
      <c r="Q486" s="1912"/>
      <c r="R486" s="1912"/>
      <c r="S486" s="1912"/>
      <c r="T486" s="1912"/>
      <c r="U486" s="1912"/>
      <c r="V486" s="1912"/>
      <c r="W486" s="1912"/>
      <c r="X486" s="1912"/>
      <c r="Y486" s="1912"/>
      <c r="Z486" s="1912"/>
      <c r="AA486" s="1912"/>
      <c r="AB486" s="1912"/>
      <c r="AC486" s="1912"/>
      <c r="AD486" s="1912"/>
      <c r="AE486" s="1912"/>
      <c r="AF486" s="1912"/>
      <c r="AG486" s="1912"/>
    </row>
    <row r="487">
      <c r="A487" s="1912"/>
      <c r="B487" s="1912"/>
      <c r="C487" s="1912"/>
      <c r="D487" s="1912"/>
      <c r="E487" s="1912"/>
      <c r="F487" s="1912"/>
      <c r="G487" s="1912"/>
      <c r="H487" s="1912"/>
      <c r="I487" s="1912"/>
      <c r="J487" s="1912"/>
      <c r="K487" s="1912"/>
      <c r="L487" s="1912"/>
      <c r="M487" s="1912"/>
      <c r="N487" s="1912"/>
      <c r="O487" s="1912"/>
      <c r="P487" s="1912"/>
      <c r="Q487" s="1912"/>
      <c r="R487" s="1912"/>
      <c r="S487" s="1912"/>
      <c r="T487" s="1912"/>
      <c r="U487" s="1912"/>
      <c r="V487" s="1912"/>
      <c r="W487" s="1912"/>
      <c r="X487" s="1912"/>
      <c r="Y487" s="1912"/>
      <c r="Z487" s="1912"/>
      <c r="AA487" s="1912"/>
      <c r="AB487" s="1912"/>
      <c r="AC487" s="1912"/>
      <c r="AD487" s="1912"/>
      <c r="AE487" s="1912"/>
      <c r="AF487" s="1912"/>
      <c r="AG487" s="1912"/>
    </row>
    <row r="488">
      <c r="A488" s="1912"/>
      <c r="B488" s="1912"/>
      <c r="C488" s="1912"/>
      <c r="D488" s="1912"/>
      <c r="E488" s="1912"/>
      <c r="F488" s="1912"/>
      <c r="G488" s="1912"/>
      <c r="H488" s="1912"/>
      <c r="I488" s="1912"/>
      <c r="J488" s="1912"/>
      <c r="K488" s="1912"/>
      <c r="L488" s="1912"/>
      <c r="M488" s="1912"/>
      <c r="N488" s="1912"/>
      <c r="O488" s="1912"/>
      <c r="P488" s="1912"/>
      <c r="Q488" s="1912"/>
      <c r="R488" s="1912"/>
      <c r="S488" s="1912"/>
      <c r="T488" s="1912"/>
      <c r="U488" s="1912"/>
      <c r="V488" s="1912"/>
      <c r="W488" s="1912"/>
      <c r="X488" s="1912"/>
      <c r="Y488" s="1912"/>
      <c r="Z488" s="1912"/>
      <c r="AA488" s="1912"/>
      <c r="AB488" s="1912"/>
      <c r="AC488" s="1912"/>
      <c r="AD488" s="1912"/>
      <c r="AE488" s="1912"/>
      <c r="AF488" s="1912"/>
      <c r="AG488" s="1912"/>
    </row>
    <row r="489">
      <c r="A489" s="1912"/>
      <c r="B489" s="1912"/>
      <c r="C489" s="1912"/>
      <c r="D489" s="1912"/>
      <c r="E489" s="1912"/>
      <c r="F489" s="1912"/>
      <c r="G489" s="1912"/>
      <c r="H489" s="1912"/>
      <c r="I489" s="1912"/>
      <c r="J489" s="1912"/>
      <c r="K489" s="1912"/>
      <c r="L489" s="1912"/>
      <c r="M489" s="1912"/>
      <c r="N489" s="1912"/>
      <c r="O489" s="1912"/>
      <c r="P489" s="1912"/>
      <c r="Q489" s="1912"/>
      <c r="R489" s="1912"/>
      <c r="S489" s="1912"/>
      <c r="T489" s="1912"/>
      <c r="U489" s="1912"/>
      <c r="V489" s="1912"/>
      <c r="W489" s="1912"/>
      <c r="X489" s="1912"/>
      <c r="Y489" s="1912"/>
      <c r="Z489" s="1912"/>
      <c r="AA489" s="1912"/>
      <c r="AB489" s="1912"/>
      <c r="AC489" s="1912"/>
      <c r="AD489" s="1912"/>
      <c r="AE489" s="1912"/>
      <c r="AF489" s="1912"/>
      <c r="AG489" s="1912"/>
    </row>
    <row r="490">
      <c r="A490" s="1912"/>
      <c r="B490" s="1912"/>
      <c r="C490" s="1912"/>
      <c r="D490" s="1912"/>
      <c r="E490" s="1912"/>
      <c r="F490" s="1912"/>
      <c r="G490" s="1912"/>
      <c r="H490" s="1912"/>
      <c r="I490" s="1912"/>
      <c r="J490" s="1912"/>
      <c r="K490" s="1912"/>
      <c r="L490" s="1912"/>
      <c r="M490" s="1912"/>
      <c r="N490" s="1912"/>
      <c r="O490" s="1912"/>
      <c r="P490" s="1912"/>
      <c r="Q490" s="1912"/>
      <c r="R490" s="1912"/>
      <c r="S490" s="1912"/>
      <c r="T490" s="1912"/>
      <c r="U490" s="1912"/>
      <c r="V490" s="1912"/>
      <c r="W490" s="1912"/>
      <c r="X490" s="1912"/>
      <c r="Y490" s="1912"/>
      <c r="Z490" s="1912"/>
      <c r="AA490" s="1912"/>
      <c r="AB490" s="1912"/>
      <c r="AC490" s="1912"/>
      <c r="AD490" s="1912"/>
      <c r="AE490" s="1912"/>
      <c r="AF490" s="1912"/>
      <c r="AG490" s="1912"/>
    </row>
    <row r="491">
      <c r="A491" s="1912"/>
      <c r="B491" s="1912"/>
      <c r="C491" s="1912"/>
      <c r="D491" s="1912"/>
      <c r="E491" s="1912"/>
      <c r="F491" s="1912"/>
      <c r="G491" s="1912"/>
      <c r="H491" s="1912"/>
      <c r="I491" s="1912"/>
      <c r="J491" s="1912"/>
      <c r="K491" s="1912"/>
      <c r="L491" s="1912"/>
      <c r="M491" s="1912"/>
      <c r="N491" s="1912"/>
      <c r="O491" s="1912"/>
      <c r="P491" s="1912"/>
      <c r="Q491" s="1912"/>
      <c r="R491" s="1912"/>
      <c r="S491" s="1912"/>
      <c r="T491" s="1912"/>
      <c r="U491" s="1912"/>
      <c r="V491" s="1912"/>
      <c r="W491" s="1912"/>
      <c r="X491" s="1912"/>
      <c r="Y491" s="1912"/>
      <c r="Z491" s="1912"/>
      <c r="AA491" s="1912"/>
      <c r="AB491" s="1912"/>
      <c r="AC491" s="1912"/>
      <c r="AD491" s="1912"/>
      <c r="AE491" s="1912"/>
      <c r="AF491" s="1912"/>
      <c r="AG491" s="1912"/>
    </row>
    <row r="492">
      <c r="A492" s="1912"/>
      <c r="B492" s="1912"/>
      <c r="C492" s="1912"/>
      <c r="D492" s="1912"/>
      <c r="E492" s="1912"/>
      <c r="F492" s="1912"/>
      <c r="G492" s="1912"/>
      <c r="H492" s="1912"/>
      <c r="I492" s="1912"/>
      <c r="J492" s="1912"/>
      <c r="K492" s="1912"/>
      <c r="L492" s="1912"/>
      <c r="M492" s="1912"/>
      <c r="N492" s="1912"/>
      <c r="O492" s="1912"/>
      <c r="P492" s="1912"/>
      <c r="Q492" s="1912"/>
      <c r="R492" s="1912"/>
      <c r="S492" s="1912"/>
      <c r="T492" s="1912"/>
      <c r="U492" s="1912"/>
      <c r="V492" s="1912"/>
      <c r="W492" s="1912"/>
      <c r="X492" s="1912"/>
      <c r="Y492" s="1912"/>
      <c r="Z492" s="1912"/>
      <c r="AA492" s="1912"/>
      <c r="AB492" s="1912"/>
      <c r="AC492" s="1912"/>
      <c r="AD492" s="1912"/>
      <c r="AE492" s="1912"/>
      <c r="AF492" s="1912"/>
      <c r="AG492" s="1912"/>
    </row>
    <row r="493">
      <c r="A493" s="1912"/>
      <c r="B493" s="1912"/>
      <c r="C493" s="1912"/>
      <c r="D493" s="1912"/>
      <c r="E493" s="1912"/>
      <c r="F493" s="1912"/>
      <c r="G493" s="1912"/>
      <c r="H493" s="1912"/>
      <c r="I493" s="1912"/>
      <c r="J493" s="1912"/>
      <c r="K493" s="1912"/>
      <c r="L493" s="1912"/>
      <c r="M493" s="1912"/>
      <c r="N493" s="1912"/>
      <c r="O493" s="1912"/>
      <c r="P493" s="1912"/>
      <c r="Q493" s="1912"/>
      <c r="R493" s="1912"/>
      <c r="S493" s="1912"/>
      <c r="T493" s="1912"/>
      <c r="U493" s="1912"/>
      <c r="V493" s="1912"/>
      <c r="W493" s="1912"/>
      <c r="X493" s="1912"/>
      <c r="Y493" s="1912"/>
      <c r="Z493" s="1912"/>
      <c r="AA493" s="1912"/>
      <c r="AB493" s="1912"/>
      <c r="AC493" s="1912"/>
      <c r="AD493" s="1912"/>
      <c r="AE493" s="1912"/>
      <c r="AF493" s="1912"/>
      <c r="AG493" s="1912"/>
    </row>
    <row r="494">
      <c r="A494" s="1912"/>
      <c r="B494" s="1912"/>
      <c r="C494" s="1912"/>
      <c r="D494" s="1912"/>
      <c r="E494" s="1912"/>
      <c r="F494" s="1912"/>
      <c r="G494" s="1912"/>
      <c r="H494" s="1912"/>
      <c r="I494" s="1912"/>
      <c r="J494" s="1912"/>
      <c r="K494" s="1912"/>
      <c r="L494" s="1912"/>
      <c r="M494" s="1912"/>
      <c r="N494" s="1912"/>
      <c r="O494" s="1912"/>
      <c r="P494" s="1912"/>
      <c r="Q494" s="1912"/>
      <c r="R494" s="1912"/>
      <c r="S494" s="1912"/>
      <c r="T494" s="1912"/>
      <c r="U494" s="1912"/>
      <c r="V494" s="1912"/>
      <c r="W494" s="1912"/>
      <c r="X494" s="1912"/>
      <c r="Y494" s="1912"/>
      <c r="Z494" s="1912"/>
      <c r="AA494" s="1912"/>
      <c r="AB494" s="1912"/>
      <c r="AC494" s="1912"/>
      <c r="AD494" s="1912"/>
      <c r="AE494" s="1912"/>
      <c r="AF494" s="1912"/>
      <c r="AG494" s="1912"/>
    </row>
    <row r="495">
      <c r="A495" s="1912"/>
      <c r="B495" s="1912"/>
      <c r="C495" s="1912"/>
      <c r="D495" s="1912"/>
      <c r="E495" s="1912"/>
      <c r="F495" s="1912"/>
      <c r="G495" s="1912"/>
      <c r="H495" s="1912"/>
      <c r="I495" s="1912"/>
      <c r="J495" s="1912"/>
      <c r="K495" s="1912"/>
      <c r="L495" s="1912"/>
      <c r="M495" s="1912"/>
      <c r="N495" s="1912"/>
      <c r="O495" s="1912"/>
      <c r="P495" s="1912"/>
      <c r="Q495" s="1912"/>
      <c r="R495" s="1912"/>
      <c r="S495" s="1912"/>
      <c r="T495" s="1912"/>
      <c r="U495" s="1912"/>
      <c r="V495" s="1912"/>
      <c r="W495" s="1912"/>
      <c r="X495" s="1912"/>
      <c r="Y495" s="1912"/>
      <c r="Z495" s="1912"/>
      <c r="AA495" s="1912"/>
      <c r="AB495" s="1912"/>
      <c r="AC495" s="1912"/>
      <c r="AD495" s="1912"/>
      <c r="AE495" s="1912"/>
      <c r="AF495" s="1912"/>
      <c r="AG495" s="1912"/>
    </row>
    <row r="496">
      <c r="A496" s="1912"/>
      <c r="B496" s="1912"/>
      <c r="C496" s="1912"/>
      <c r="D496" s="1912"/>
      <c r="E496" s="1912"/>
      <c r="F496" s="1912"/>
      <c r="G496" s="1912"/>
      <c r="H496" s="1912"/>
      <c r="I496" s="1912"/>
      <c r="J496" s="1912"/>
      <c r="K496" s="1912"/>
      <c r="L496" s="1912"/>
      <c r="M496" s="1912"/>
      <c r="N496" s="1912"/>
      <c r="O496" s="1912"/>
      <c r="P496" s="1912"/>
      <c r="Q496" s="1912"/>
      <c r="R496" s="1912"/>
      <c r="S496" s="1912"/>
      <c r="T496" s="1912"/>
      <c r="U496" s="1912"/>
      <c r="V496" s="1912"/>
      <c r="W496" s="1912"/>
      <c r="X496" s="1912"/>
      <c r="Y496" s="1912"/>
      <c r="Z496" s="1912"/>
      <c r="AA496" s="1912"/>
      <c r="AB496" s="1912"/>
      <c r="AC496" s="1912"/>
      <c r="AD496" s="1912"/>
      <c r="AE496" s="1912"/>
      <c r="AF496" s="1912"/>
      <c r="AG496" s="1912"/>
    </row>
    <row r="497">
      <c r="A497" s="1912"/>
      <c r="B497" s="1912"/>
      <c r="C497" s="1912"/>
      <c r="D497" s="1912"/>
      <c r="E497" s="1912"/>
      <c r="F497" s="1912"/>
      <c r="G497" s="1912"/>
      <c r="H497" s="1912"/>
      <c r="I497" s="1912"/>
      <c r="J497" s="1912"/>
      <c r="K497" s="1912"/>
      <c r="L497" s="1912"/>
      <c r="M497" s="1912"/>
      <c r="N497" s="1912"/>
      <c r="O497" s="1912"/>
      <c r="P497" s="1912"/>
      <c r="Q497" s="1912"/>
      <c r="R497" s="1912"/>
      <c r="S497" s="1912"/>
      <c r="T497" s="1912"/>
      <c r="U497" s="1912"/>
      <c r="V497" s="1912"/>
      <c r="W497" s="1912"/>
      <c r="X497" s="1912"/>
      <c r="Y497" s="1912"/>
      <c r="Z497" s="1912"/>
      <c r="AA497" s="1912"/>
      <c r="AB497" s="1912"/>
      <c r="AC497" s="1912"/>
      <c r="AD497" s="1912"/>
      <c r="AE497" s="1912"/>
      <c r="AF497" s="1912"/>
      <c r="AG497" s="1912"/>
    </row>
    <row r="498">
      <c r="A498" s="1912"/>
      <c r="B498" s="1912"/>
      <c r="C498" s="1912"/>
      <c r="D498" s="1912"/>
      <c r="E498" s="1912"/>
      <c r="F498" s="1912"/>
      <c r="G498" s="1912"/>
      <c r="H498" s="1912"/>
      <c r="I498" s="1912"/>
      <c r="J498" s="1912"/>
      <c r="K498" s="1912"/>
      <c r="L498" s="1912"/>
      <c r="M498" s="1912"/>
      <c r="N498" s="1912"/>
      <c r="O498" s="1912"/>
      <c r="P498" s="1912"/>
      <c r="Q498" s="1912"/>
      <c r="R498" s="1912"/>
      <c r="S498" s="1912"/>
      <c r="T498" s="1912"/>
      <c r="U498" s="1912"/>
      <c r="V498" s="1912"/>
      <c r="W498" s="1912"/>
      <c r="X498" s="1912"/>
      <c r="Y498" s="1912"/>
      <c r="Z498" s="1912"/>
      <c r="AA498" s="1912"/>
      <c r="AB498" s="1912"/>
      <c r="AC498" s="1912"/>
      <c r="AD498" s="1912"/>
      <c r="AE498" s="1912"/>
      <c r="AF498" s="1912"/>
      <c r="AG498" s="1912"/>
    </row>
    <row r="499">
      <c r="A499" s="1912"/>
      <c r="B499" s="1912"/>
      <c r="C499" s="1912"/>
      <c r="D499" s="1912"/>
      <c r="E499" s="1912"/>
      <c r="F499" s="1912"/>
      <c r="G499" s="1912"/>
      <c r="H499" s="1912"/>
      <c r="I499" s="1912"/>
      <c r="J499" s="1912"/>
      <c r="K499" s="1912"/>
      <c r="L499" s="1912"/>
      <c r="M499" s="1912"/>
      <c r="N499" s="1912"/>
      <c r="O499" s="1912"/>
      <c r="P499" s="1912"/>
      <c r="Q499" s="1912"/>
      <c r="R499" s="1912"/>
      <c r="S499" s="1912"/>
      <c r="T499" s="1912"/>
      <c r="U499" s="1912"/>
      <c r="V499" s="1912"/>
      <c r="W499" s="1912"/>
      <c r="X499" s="1912"/>
      <c r="Y499" s="1912"/>
      <c r="Z499" s="1912"/>
      <c r="AA499" s="1912"/>
      <c r="AB499" s="1912"/>
      <c r="AC499" s="1912"/>
      <c r="AD499" s="1912"/>
      <c r="AE499" s="1912"/>
      <c r="AF499" s="1912"/>
      <c r="AG499" s="1912"/>
    </row>
    <row r="500">
      <c r="A500" s="1912"/>
      <c r="B500" s="1912"/>
      <c r="C500" s="1912"/>
      <c r="D500" s="1912"/>
      <c r="E500" s="1912"/>
      <c r="F500" s="1912"/>
      <c r="G500" s="1912"/>
      <c r="H500" s="1912"/>
      <c r="I500" s="1912"/>
      <c r="J500" s="1912"/>
      <c r="K500" s="1912"/>
      <c r="L500" s="1912"/>
      <c r="M500" s="1912"/>
      <c r="N500" s="1912"/>
      <c r="O500" s="1912"/>
      <c r="P500" s="1912"/>
      <c r="Q500" s="1912"/>
      <c r="R500" s="1912"/>
      <c r="S500" s="1912"/>
      <c r="T500" s="1912"/>
      <c r="U500" s="1912"/>
      <c r="V500" s="1912"/>
      <c r="W500" s="1912"/>
      <c r="X500" s="1912"/>
      <c r="Y500" s="1912"/>
      <c r="Z500" s="1912"/>
      <c r="AA500" s="1912"/>
      <c r="AB500" s="1912"/>
      <c r="AC500" s="1912"/>
      <c r="AD500" s="1912"/>
      <c r="AE500" s="1912"/>
      <c r="AF500" s="1912"/>
      <c r="AG500" s="1912"/>
    </row>
    <row r="501">
      <c r="A501" s="1912"/>
      <c r="B501" s="1912"/>
      <c r="C501" s="1912"/>
      <c r="D501" s="1912"/>
      <c r="E501" s="1912"/>
      <c r="F501" s="1912"/>
      <c r="G501" s="1912"/>
      <c r="H501" s="1912"/>
      <c r="I501" s="1912"/>
      <c r="J501" s="1912"/>
      <c r="K501" s="1912"/>
      <c r="L501" s="1912"/>
      <c r="M501" s="1912"/>
      <c r="N501" s="1912"/>
      <c r="O501" s="1912"/>
      <c r="P501" s="1912"/>
      <c r="Q501" s="1912"/>
      <c r="R501" s="1912"/>
      <c r="S501" s="1912"/>
      <c r="T501" s="1912"/>
      <c r="U501" s="1912"/>
      <c r="V501" s="1912"/>
      <c r="W501" s="1912"/>
      <c r="X501" s="1912"/>
      <c r="Y501" s="1912"/>
      <c r="Z501" s="1912"/>
      <c r="AA501" s="1912"/>
      <c r="AB501" s="1912"/>
      <c r="AC501" s="1912"/>
      <c r="AD501" s="1912"/>
      <c r="AE501" s="1912"/>
      <c r="AF501" s="1912"/>
      <c r="AG501" s="1912"/>
    </row>
    <row r="502">
      <c r="A502" s="1912"/>
      <c r="B502" s="1912"/>
      <c r="C502" s="1912"/>
      <c r="D502" s="1912"/>
      <c r="E502" s="1912"/>
      <c r="F502" s="1912"/>
      <c r="G502" s="1912"/>
      <c r="H502" s="1912"/>
      <c r="I502" s="1912"/>
      <c r="J502" s="1912"/>
      <c r="K502" s="1912"/>
      <c r="L502" s="1912"/>
      <c r="M502" s="1912"/>
      <c r="N502" s="1912"/>
      <c r="O502" s="1912"/>
      <c r="P502" s="1912"/>
      <c r="Q502" s="1912"/>
      <c r="R502" s="1912"/>
      <c r="S502" s="1912"/>
      <c r="T502" s="1912"/>
      <c r="U502" s="1912"/>
      <c r="V502" s="1912"/>
      <c r="W502" s="1912"/>
      <c r="X502" s="1912"/>
      <c r="Y502" s="1912"/>
      <c r="Z502" s="1912"/>
      <c r="AA502" s="1912"/>
      <c r="AB502" s="1912"/>
      <c r="AC502" s="1912"/>
      <c r="AD502" s="1912"/>
      <c r="AE502" s="1912"/>
      <c r="AF502" s="1912"/>
      <c r="AG502" s="1912"/>
    </row>
    <row r="503">
      <c r="A503" s="1912"/>
      <c r="B503" s="1912"/>
      <c r="C503" s="1912"/>
      <c r="D503" s="1912"/>
      <c r="E503" s="1912"/>
      <c r="F503" s="1912"/>
      <c r="G503" s="1912"/>
      <c r="H503" s="1912"/>
      <c r="I503" s="1912"/>
      <c r="J503" s="1912"/>
      <c r="K503" s="1912"/>
      <c r="L503" s="1912"/>
      <c r="M503" s="1912"/>
      <c r="N503" s="1912"/>
      <c r="O503" s="1912"/>
      <c r="P503" s="1912"/>
      <c r="Q503" s="1912"/>
      <c r="R503" s="1912"/>
      <c r="S503" s="1912"/>
      <c r="T503" s="1912"/>
      <c r="U503" s="1912"/>
      <c r="V503" s="1912"/>
      <c r="W503" s="1912"/>
      <c r="X503" s="1912"/>
      <c r="Y503" s="1912"/>
      <c r="Z503" s="1912"/>
      <c r="AA503" s="1912"/>
      <c r="AB503" s="1912"/>
      <c r="AC503" s="1912"/>
      <c r="AD503" s="1912"/>
      <c r="AE503" s="1912"/>
      <c r="AF503" s="1912"/>
      <c r="AG503" s="1912"/>
    </row>
    <row r="504">
      <c r="A504" s="1912"/>
      <c r="B504" s="1912"/>
      <c r="C504" s="1912"/>
      <c r="D504" s="1912"/>
      <c r="E504" s="1912"/>
      <c r="F504" s="1912"/>
      <c r="G504" s="1912"/>
      <c r="H504" s="1912"/>
      <c r="I504" s="1912"/>
      <c r="J504" s="1912"/>
      <c r="K504" s="1912"/>
      <c r="L504" s="1912"/>
      <c r="M504" s="1912"/>
      <c r="N504" s="1912"/>
      <c r="O504" s="1912"/>
      <c r="P504" s="1912"/>
      <c r="Q504" s="1912"/>
      <c r="R504" s="1912"/>
      <c r="S504" s="1912"/>
      <c r="T504" s="1912"/>
      <c r="U504" s="1912"/>
      <c r="V504" s="1912"/>
      <c r="W504" s="1912"/>
      <c r="X504" s="1912"/>
      <c r="Y504" s="1912"/>
      <c r="Z504" s="1912"/>
      <c r="AA504" s="1912"/>
      <c r="AB504" s="1912"/>
      <c r="AC504" s="1912"/>
      <c r="AD504" s="1912"/>
      <c r="AE504" s="1912"/>
      <c r="AF504" s="1912"/>
      <c r="AG504" s="1912"/>
    </row>
    <row r="505">
      <c r="A505" s="1912"/>
      <c r="B505" s="1912"/>
      <c r="C505" s="1912"/>
      <c r="D505" s="1912"/>
      <c r="E505" s="1912"/>
      <c r="F505" s="1912"/>
      <c r="G505" s="1912"/>
      <c r="H505" s="1912"/>
      <c r="I505" s="1912"/>
      <c r="J505" s="1912"/>
      <c r="K505" s="1912"/>
      <c r="L505" s="1912"/>
      <c r="M505" s="1912"/>
      <c r="N505" s="1912"/>
      <c r="O505" s="1912"/>
      <c r="P505" s="1912"/>
      <c r="Q505" s="1912"/>
      <c r="R505" s="1912"/>
      <c r="S505" s="1912"/>
      <c r="T505" s="1912"/>
      <c r="U505" s="1912"/>
      <c r="V505" s="1912"/>
      <c r="W505" s="1912"/>
      <c r="X505" s="1912"/>
      <c r="Y505" s="1912"/>
      <c r="Z505" s="1912"/>
      <c r="AA505" s="1912"/>
      <c r="AB505" s="1912"/>
      <c r="AC505" s="1912"/>
      <c r="AD505" s="1912"/>
      <c r="AE505" s="1912"/>
      <c r="AF505" s="1912"/>
      <c r="AG505" s="1912"/>
    </row>
    <row r="506">
      <c r="A506" s="1912"/>
      <c r="B506" s="1912"/>
      <c r="C506" s="1912"/>
      <c r="D506" s="1912"/>
      <c r="E506" s="1912"/>
      <c r="F506" s="1912"/>
      <c r="G506" s="1912"/>
      <c r="H506" s="1912"/>
      <c r="I506" s="1912"/>
      <c r="J506" s="1912"/>
      <c r="K506" s="1912"/>
      <c r="L506" s="1912"/>
      <c r="M506" s="1912"/>
      <c r="N506" s="1912"/>
      <c r="O506" s="1912"/>
      <c r="P506" s="1912"/>
      <c r="Q506" s="1912"/>
      <c r="R506" s="1912"/>
      <c r="S506" s="1912"/>
      <c r="T506" s="1912"/>
      <c r="U506" s="1912"/>
      <c r="V506" s="1912"/>
      <c r="W506" s="1912"/>
      <c r="X506" s="1912"/>
      <c r="Y506" s="1912"/>
      <c r="Z506" s="1912"/>
      <c r="AA506" s="1912"/>
      <c r="AB506" s="1912"/>
      <c r="AC506" s="1912"/>
      <c r="AD506" s="1912"/>
      <c r="AE506" s="1912"/>
      <c r="AF506" s="1912"/>
      <c r="AG506" s="1912"/>
    </row>
    <row r="507">
      <c r="A507" s="1912"/>
      <c r="B507" s="1912"/>
      <c r="C507" s="1912"/>
      <c r="D507" s="1912"/>
      <c r="E507" s="1912"/>
      <c r="F507" s="1912"/>
      <c r="G507" s="1912"/>
      <c r="H507" s="1912"/>
      <c r="I507" s="1912"/>
      <c r="J507" s="1912"/>
      <c r="K507" s="1912"/>
      <c r="L507" s="1912"/>
      <c r="M507" s="1912"/>
      <c r="N507" s="1912"/>
      <c r="O507" s="1912"/>
      <c r="P507" s="1912"/>
      <c r="Q507" s="1912"/>
      <c r="R507" s="1912"/>
      <c r="S507" s="1912"/>
      <c r="T507" s="1912"/>
      <c r="U507" s="1912"/>
      <c r="V507" s="1912"/>
      <c r="W507" s="1912"/>
      <c r="X507" s="1912"/>
      <c r="Y507" s="1912"/>
      <c r="Z507" s="1912"/>
      <c r="AA507" s="1912"/>
      <c r="AB507" s="1912"/>
      <c r="AC507" s="1912"/>
      <c r="AD507" s="1912"/>
      <c r="AE507" s="1912"/>
      <c r="AF507" s="1912"/>
      <c r="AG507" s="1912"/>
    </row>
    <row r="508">
      <c r="A508" s="1912"/>
      <c r="B508" s="1912"/>
      <c r="C508" s="1912"/>
      <c r="D508" s="1912"/>
      <c r="E508" s="1912"/>
      <c r="F508" s="1912"/>
      <c r="G508" s="1912"/>
      <c r="H508" s="1912"/>
      <c r="I508" s="1912"/>
      <c r="J508" s="1912"/>
      <c r="K508" s="1912"/>
      <c r="L508" s="1912"/>
      <c r="M508" s="1912"/>
      <c r="N508" s="1912"/>
      <c r="O508" s="1912"/>
      <c r="P508" s="1912"/>
      <c r="Q508" s="1912"/>
      <c r="R508" s="1912"/>
      <c r="S508" s="1912"/>
      <c r="T508" s="1912"/>
      <c r="U508" s="1912"/>
      <c r="V508" s="1912"/>
      <c r="W508" s="1912"/>
      <c r="X508" s="1912"/>
      <c r="Y508" s="1912"/>
      <c r="Z508" s="1912"/>
      <c r="AA508" s="1912"/>
      <c r="AB508" s="1912"/>
      <c r="AC508" s="1912"/>
      <c r="AD508" s="1912"/>
      <c r="AE508" s="1912"/>
      <c r="AF508" s="1912"/>
      <c r="AG508" s="1912"/>
    </row>
    <row r="509">
      <c r="A509" s="1912"/>
      <c r="B509" s="1912"/>
      <c r="C509" s="1912"/>
      <c r="D509" s="1912"/>
      <c r="E509" s="1912"/>
      <c r="F509" s="1912"/>
      <c r="G509" s="1912"/>
      <c r="H509" s="1912"/>
      <c r="I509" s="1912"/>
      <c r="J509" s="1912"/>
      <c r="K509" s="1912"/>
      <c r="L509" s="1912"/>
      <c r="M509" s="1912"/>
      <c r="N509" s="1912"/>
      <c r="O509" s="1912"/>
      <c r="P509" s="1912"/>
      <c r="Q509" s="1912"/>
      <c r="R509" s="1912"/>
      <c r="S509" s="1912"/>
      <c r="T509" s="1912"/>
      <c r="U509" s="1912"/>
      <c r="V509" s="1912"/>
      <c r="W509" s="1912"/>
      <c r="X509" s="1912"/>
      <c r="Y509" s="1912"/>
      <c r="Z509" s="1912"/>
      <c r="AA509" s="1912"/>
      <c r="AB509" s="1912"/>
      <c r="AC509" s="1912"/>
      <c r="AD509" s="1912"/>
      <c r="AE509" s="1912"/>
      <c r="AF509" s="1912"/>
      <c r="AG509" s="1912"/>
    </row>
    <row r="510">
      <c r="A510" s="1912"/>
      <c r="B510" s="1912"/>
      <c r="C510" s="1912"/>
      <c r="D510" s="1912"/>
      <c r="E510" s="1912"/>
      <c r="F510" s="1912"/>
      <c r="G510" s="1912"/>
      <c r="H510" s="1912"/>
      <c r="I510" s="1912"/>
      <c r="J510" s="1912"/>
      <c r="K510" s="1912"/>
      <c r="L510" s="1912"/>
      <c r="M510" s="1912"/>
      <c r="N510" s="1912"/>
      <c r="O510" s="1912"/>
      <c r="P510" s="1912"/>
      <c r="Q510" s="1912"/>
      <c r="R510" s="1912"/>
      <c r="S510" s="1912"/>
      <c r="T510" s="1912"/>
      <c r="U510" s="1912"/>
      <c r="V510" s="1912"/>
      <c r="W510" s="1912"/>
      <c r="X510" s="1912"/>
      <c r="Y510" s="1912"/>
      <c r="Z510" s="1912"/>
      <c r="AA510" s="1912"/>
      <c r="AB510" s="1912"/>
      <c r="AC510" s="1912"/>
      <c r="AD510" s="1912"/>
      <c r="AE510" s="1912"/>
      <c r="AF510" s="1912"/>
      <c r="AG510" s="1912"/>
    </row>
    <row r="511">
      <c r="A511" s="1912"/>
      <c r="B511" s="1912"/>
      <c r="C511" s="1912"/>
      <c r="D511" s="1912"/>
      <c r="E511" s="1912"/>
      <c r="F511" s="1912"/>
      <c r="G511" s="1912"/>
      <c r="H511" s="1912"/>
      <c r="I511" s="1912"/>
      <c r="J511" s="1912"/>
      <c r="K511" s="1912"/>
      <c r="L511" s="1912"/>
      <c r="M511" s="1912"/>
      <c r="N511" s="1912"/>
      <c r="O511" s="1912"/>
      <c r="P511" s="1912"/>
      <c r="Q511" s="1912"/>
      <c r="R511" s="1912"/>
      <c r="S511" s="1912"/>
      <c r="T511" s="1912"/>
      <c r="U511" s="1912"/>
      <c r="V511" s="1912"/>
      <c r="W511" s="1912"/>
      <c r="X511" s="1912"/>
      <c r="Y511" s="1912"/>
      <c r="Z511" s="1912"/>
      <c r="AA511" s="1912"/>
      <c r="AB511" s="1912"/>
      <c r="AC511" s="1912"/>
      <c r="AD511" s="1912"/>
      <c r="AE511" s="1912"/>
      <c r="AF511" s="1912"/>
      <c r="AG511" s="1912"/>
    </row>
    <row r="512">
      <c r="A512" s="1912"/>
      <c r="B512" s="1912"/>
      <c r="C512" s="1912"/>
      <c r="D512" s="1912"/>
      <c r="E512" s="1912"/>
      <c r="F512" s="1912"/>
      <c r="G512" s="1912"/>
      <c r="H512" s="1912"/>
      <c r="I512" s="1912"/>
      <c r="J512" s="1912"/>
      <c r="K512" s="1912"/>
      <c r="L512" s="1912"/>
      <c r="M512" s="1912"/>
      <c r="N512" s="1912"/>
      <c r="O512" s="1912"/>
      <c r="P512" s="1912"/>
      <c r="Q512" s="1912"/>
      <c r="R512" s="1912"/>
      <c r="S512" s="1912"/>
      <c r="T512" s="1912"/>
      <c r="U512" s="1912"/>
      <c r="V512" s="1912"/>
      <c r="W512" s="1912"/>
      <c r="X512" s="1912"/>
      <c r="Y512" s="1912"/>
      <c r="Z512" s="1912"/>
      <c r="AA512" s="1912"/>
      <c r="AB512" s="1912"/>
      <c r="AC512" s="1912"/>
      <c r="AD512" s="1912"/>
      <c r="AE512" s="1912"/>
      <c r="AF512" s="1912"/>
      <c r="AG512" s="1912"/>
    </row>
    <row r="513">
      <c r="A513" s="1912"/>
      <c r="B513" s="1912"/>
      <c r="C513" s="1912"/>
      <c r="D513" s="1912"/>
      <c r="E513" s="1912"/>
      <c r="F513" s="1912"/>
      <c r="G513" s="1912"/>
      <c r="H513" s="1912"/>
      <c r="I513" s="1912"/>
      <c r="J513" s="1912"/>
      <c r="K513" s="1912"/>
      <c r="L513" s="1912"/>
      <c r="M513" s="1912"/>
      <c r="N513" s="1912"/>
      <c r="O513" s="1912"/>
      <c r="P513" s="1912"/>
      <c r="Q513" s="1912"/>
      <c r="R513" s="1912"/>
      <c r="S513" s="1912"/>
      <c r="T513" s="1912"/>
      <c r="U513" s="1912"/>
      <c r="V513" s="1912"/>
      <c r="W513" s="1912"/>
      <c r="X513" s="1912"/>
      <c r="Y513" s="1912"/>
      <c r="Z513" s="1912"/>
      <c r="AA513" s="1912"/>
      <c r="AB513" s="1912"/>
      <c r="AC513" s="1912"/>
      <c r="AD513" s="1912"/>
      <c r="AE513" s="1912"/>
      <c r="AF513" s="1912"/>
      <c r="AG513" s="1912"/>
    </row>
    <row r="514">
      <c r="A514" s="1912"/>
      <c r="B514" s="1912"/>
      <c r="C514" s="1912"/>
      <c r="D514" s="1912"/>
      <c r="E514" s="1912"/>
      <c r="F514" s="1912"/>
      <c r="G514" s="1912"/>
      <c r="H514" s="1912"/>
      <c r="I514" s="1912"/>
      <c r="J514" s="1912"/>
      <c r="K514" s="1912"/>
      <c r="L514" s="1912"/>
      <c r="M514" s="1912"/>
      <c r="N514" s="1912"/>
      <c r="O514" s="1912"/>
      <c r="P514" s="1912"/>
      <c r="Q514" s="1912"/>
      <c r="R514" s="1912"/>
      <c r="S514" s="1912"/>
      <c r="T514" s="1912"/>
      <c r="U514" s="1912"/>
      <c r="V514" s="1912"/>
      <c r="W514" s="1912"/>
      <c r="X514" s="1912"/>
      <c r="Y514" s="1912"/>
      <c r="Z514" s="1912"/>
      <c r="AA514" s="1912"/>
      <c r="AB514" s="1912"/>
      <c r="AC514" s="1912"/>
      <c r="AD514" s="1912"/>
      <c r="AE514" s="1912"/>
      <c r="AF514" s="1912"/>
      <c r="AG514" s="1912"/>
    </row>
    <row r="515">
      <c r="A515" s="1912"/>
      <c r="B515" s="1912"/>
      <c r="C515" s="1912"/>
      <c r="D515" s="1912"/>
      <c r="E515" s="1912"/>
      <c r="F515" s="1912"/>
      <c r="G515" s="1912"/>
      <c r="H515" s="1912"/>
      <c r="I515" s="1912"/>
      <c r="J515" s="1912"/>
      <c r="K515" s="1912"/>
      <c r="L515" s="1912"/>
      <c r="M515" s="1912"/>
      <c r="N515" s="1912"/>
      <c r="O515" s="1912"/>
      <c r="P515" s="1912"/>
      <c r="Q515" s="1912"/>
      <c r="R515" s="1912"/>
      <c r="S515" s="1912"/>
      <c r="T515" s="1912"/>
      <c r="U515" s="1912"/>
      <c r="V515" s="1912"/>
      <c r="W515" s="1912"/>
      <c r="X515" s="1912"/>
      <c r="Y515" s="1912"/>
      <c r="Z515" s="1912"/>
      <c r="AA515" s="1912"/>
      <c r="AB515" s="1912"/>
      <c r="AC515" s="1912"/>
      <c r="AD515" s="1912"/>
      <c r="AE515" s="1912"/>
      <c r="AF515" s="1912"/>
      <c r="AG515" s="1912"/>
    </row>
    <row r="516">
      <c r="A516" s="1912"/>
      <c r="B516" s="1912"/>
      <c r="C516" s="1912"/>
      <c r="D516" s="1912"/>
      <c r="E516" s="1912"/>
      <c r="F516" s="1912"/>
      <c r="G516" s="1912"/>
      <c r="H516" s="1912"/>
      <c r="I516" s="1912"/>
      <c r="J516" s="1912"/>
      <c r="K516" s="1912"/>
      <c r="L516" s="1912"/>
      <c r="M516" s="1912"/>
      <c r="N516" s="1912"/>
      <c r="O516" s="1912"/>
      <c r="P516" s="1912"/>
      <c r="Q516" s="1912"/>
      <c r="R516" s="1912"/>
      <c r="S516" s="1912"/>
      <c r="T516" s="1912"/>
      <c r="U516" s="1912"/>
      <c r="V516" s="1912"/>
      <c r="W516" s="1912"/>
      <c r="X516" s="1912"/>
      <c r="Y516" s="1912"/>
      <c r="Z516" s="1912"/>
      <c r="AA516" s="1912"/>
      <c r="AB516" s="1912"/>
      <c r="AC516" s="1912"/>
      <c r="AD516" s="1912"/>
      <c r="AE516" s="1912"/>
      <c r="AF516" s="1912"/>
      <c r="AG516" s="1912"/>
    </row>
    <row r="517">
      <c r="A517" s="1912"/>
      <c r="B517" s="1912"/>
      <c r="C517" s="1912"/>
      <c r="D517" s="1912"/>
      <c r="E517" s="1912"/>
      <c r="F517" s="1912"/>
      <c r="G517" s="1912"/>
      <c r="H517" s="1912"/>
      <c r="I517" s="1912"/>
      <c r="J517" s="1912"/>
      <c r="K517" s="1912"/>
      <c r="L517" s="1912"/>
      <c r="M517" s="1912"/>
      <c r="N517" s="1912"/>
      <c r="O517" s="1912"/>
      <c r="P517" s="1912"/>
      <c r="Q517" s="1912"/>
      <c r="R517" s="1912"/>
      <c r="S517" s="1912"/>
      <c r="T517" s="1912"/>
      <c r="U517" s="1912"/>
      <c r="V517" s="1912"/>
      <c r="W517" s="1912"/>
      <c r="X517" s="1912"/>
      <c r="Y517" s="1912"/>
      <c r="Z517" s="1912"/>
      <c r="AA517" s="1912"/>
      <c r="AB517" s="1912"/>
      <c r="AC517" s="1912"/>
      <c r="AD517" s="1912"/>
      <c r="AE517" s="1912"/>
      <c r="AF517" s="1912"/>
      <c r="AG517" s="1912"/>
    </row>
    <row r="518">
      <c r="A518" s="1912"/>
      <c r="B518" s="1912"/>
      <c r="C518" s="1912"/>
      <c r="D518" s="1912"/>
      <c r="E518" s="1912"/>
      <c r="F518" s="1912"/>
      <c r="G518" s="1912"/>
      <c r="H518" s="1912"/>
      <c r="I518" s="1912"/>
      <c r="J518" s="1912"/>
      <c r="K518" s="1912"/>
      <c r="L518" s="1912"/>
      <c r="M518" s="1912"/>
      <c r="N518" s="1912"/>
      <c r="O518" s="1912"/>
      <c r="P518" s="1912"/>
      <c r="Q518" s="1912"/>
      <c r="R518" s="1912"/>
      <c r="S518" s="1912"/>
      <c r="T518" s="1912"/>
      <c r="U518" s="1912"/>
      <c r="V518" s="1912"/>
      <c r="W518" s="1912"/>
      <c r="X518" s="1912"/>
      <c r="Y518" s="1912"/>
      <c r="Z518" s="1912"/>
      <c r="AA518" s="1912"/>
      <c r="AB518" s="1912"/>
      <c r="AC518" s="1912"/>
      <c r="AD518" s="1912"/>
      <c r="AE518" s="1912"/>
      <c r="AF518" s="1912"/>
      <c r="AG518" s="1912"/>
    </row>
    <row r="519">
      <c r="A519" s="1912"/>
      <c r="B519" s="1912"/>
      <c r="C519" s="1912"/>
      <c r="D519" s="1912"/>
      <c r="E519" s="1912"/>
      <c r="F519" s="1912"/>
      <c r="G519" s="1912"/>
      <c r="H519" s="1912"/>
      <c r="I519" s="1912"/>
      <c r="J519" s="1912"/>
      <c r="K519" s="1912"/>
      <c r="L519" s="1912"/>
      <c r="M519" s="1912"/>
      <c r="N519" s="1912"/>
      <c r="O519" s="1912"/>
      <c r="P519" s="1912"/>
      <c r="Q519" s="1912"/>
      <c r="R519" s="1912"/>
      <c r="S519" s="1912"/>
      <c r="T519" s="1912"/>
      <c r="U519" s="1912"/>
      <c r="V519" s="1912"/>
      <c r="W519" s="1912"/>
      <c r="X519" s="1912"/>
      <c r="Y519" s="1912"/>
      <c r="Z519" s="1912"/>
      <c r="AA519" s="1912"/>
      <c r="AB519" s="1912"/>
      <c r="AC519" s="1912"/>
      <c r="AD519" s="1912"/>
      <c r="AE519" s="1912"/>
      <c r="AF519" s="1912"/>
      <c r="AG519" s="1912"/>
    </row>
    <row r="520">
      <c r="A520" s="1912"/>
      <c r="B520" s="1912"/>
      <c r="C520" s="1912"/>
      <c r="D520" s="1912"/>
      <c r="E520" s="1912"/>
      <c r="F520" s="1912"/>
      <c r="G520" s="1912"/>
      <c r="H520" s="1912"/>
      <c r="I520" s="1912"/>
      <c r="J520" s="1912"/>
      <c r="K520" s="1912"/>
      <c r="L520" s="1912"/>
      <c r="M520" s="1912"/>
      <c r="N520" s="1912"/>
      <c r="O520" s="1912"/>
      <c r="P520" s="1912"/>
      <c r="Q520" s="1912"/>
      <c r="R520" s="1912"/>
      <c r="S520" s="1912"/>
      <c r="T520" s="1912"/>
      <c r="U520" s="1912"/>
      <c r="V520" s="1912"/>
      <c r="W520" s="1912"/>
      <c r="X520" s="1912"/>
      <c r="Y520" s="1912"/>
      <c r="Z520" s="1912"/>
      <c r="AA520" s="1912"/>
      <c r="AB520" s="1912"/>
      <c r="AC520" s="1912"/>
      <c r="AD520" s="1912"/>
      <c r="AE520" s="1912"/>
      <c r="AF520" s="1912"/>
      <c r="AG520" s="1912"/>
    </row>
    <row r="521">
      <c r="A521" s="1912"/>
      <c r="B521" s="1912"/>
      <c r="C521" s="1912"/>
      <c r="D521" s="1912"/>
      <c r="E521" s="1912"/>
      <c r="F521" s="1912"/>
      <c r="G521" s="1912"/>
      <c r="H521" s="1912"/>
      <c r="I521" s="1912"/>
      <c r="J521" s="1912"/>
      <c r="K521" s="1912"/>
      <c r="L521" s="1912"/>
      <c r="M521" s="1912"/>
      <c r="N521" s="1912"/>
      <c r="O521" s="1912"/>
      <c r="P521" s="1912"/>
      <c r="Q521" s="1912"/>
      <c r="R521" s="1912"/>
      <c r="S521" s="1912"/>
      <c r="T521" s="1912"/>
      <c r="U521" s="1912"/>
      <c r="V521" s="1912"/>
      <c r="W521" s="1912"/>
      <c r="X521" s="1912"/>
      <c r="Y521" s="1912"/>
      <c r="Z521" s="1912"/>
      <c r="AA521" s="1912"/>
      <c r="AB521" s="1912"/>
      <c r="AC521" s="1912"/>
      <c r="AD521" s="1912"/>
      <c r="AE521" s="1912"/>
      <c r="AF521" s="1912"/>
      <c r="AG521" s="1912"/>
    </row>
    <row r="522">
      <c r="A522" s="1912"/>
      <c r="B522" s="1912"/>
      <c r="C522" s="1912"/>
      <c r="D522" s="1912"/>
      <c r="E522" s="1912"/>
      <c r="F522" s="1912"/>
      <c r="G522" s="1912"/>
      <c r="H522" s="1912"/>
      <c r="I522" s="1912"/>
      <c r="J522" s="1912"/>
      <c r="K522" s="1912"/>
      <c r="L522" s="1912"/>
      <c r="M522" s="1912"/>
      <c r="N522" s="1912"/>
      <c r="O522" s="1912"/>
      <c r="P522" s="1912"/>
      <c r="Q522" s="1912"/>
      <c r="R522" s="1912"/>
      <c r="S522" s="1912"/>
      <c r="T522" s="1912"/>
      <c r="U522" s="1912"/>
      <c r="V522" s="1912"/>
      <c r="W522" s="1912"/>
      <c r="X522" s="1912"/>
      <c r="Y522" s="1912"/>
      <c r="Z522" s="1912"/>
      <c r="AA522" s="1912"/>
      <c r="AB522" s="1912"/>
      <c r="AC522" s="1912"/>
      <c r="AD522" s="1912"/>
      <c r="AE522" s="1912"/>
      <c r="AF522" s="1912"/>
      <c r="AG522" s="1912"/>
    </row>
    <row r="523">
      <c r="A523" s="1912"/>
      <c r="B523" s="1912"/>
      <c r="C523" s="1912"/>
      <c r="D523" s="1912"/>
      <c r="E523" s="1912"/>
      <c r="F523" s="1912"/>
      <c r="G523" s="1912"/>
      <c r="H523" s="1912"/>
      <c r="I523" s="1912"/>
      <c r="J523" s="1912"/>
      <c r="K523" s="1912"/>
      <c r="L523" s="1912"/>
      <c r="M523" s="1912"/>
      <c r="N523" s="1912"/>
      <c r="O523" s="1912"/>
      <c r="P523" s="1912"/>
      <c r="Q523" s="1912"/>
      <c r="R523" s="1912"/>
      <c r="S523" s="1912"/>
      <c r="T523" s="1912"/>
      <c r="U523" s="1912"/>
      <c r="V523" s="1912"/>
      <c r="W523" s="1912"/>
      <c r="X523" s="1912"/>
      <c r="Y523" s="1912"/>
      <c r="Z523" s="1912"/>
      <c r="AA523" s="1912"/>
      <c r="AB523" s="1912"/>
      <c r="AC523" s="1912"/>
      <c r="AD523" s="1912"/>
      <c r="AE523" s="1912"/>
      <c r="AF523" s="1912"/>
      <c r="AG523" s="1912"/>
    </row>
    <row r="524">
      <c r="A524" s="1912"/>
      <c r="B524" s="1912"/>
      <c r="C524" s="1912"/>
      <c r="D524" s="1912"/>
      <c r="E524" s="1912"/>
      <c r="F524" s="1912"/>
      <c r="G524" s="1912"/>
      <c r="H524" s="1912"/>
      <c r="I524" s="1912"/>
      <c r="J524" s="1912"/>
      <c r="K524" s="1912"/>
      <c r="L524" s="1912"/>
      <c r="M524" s="1912"/>
      <c r="N524" s="1912"/>
      <c r="O524" s="1912"/>
      <c r="P524" s="1912"/>
      <c r="Q524" s="1912"/>
      <c r="R524" s="1912"/>
      <c r="S524" s="1912"/>
      <c r="T524" s="1912"/>
      <c r="U524" s="1912"/>
      <c r="V524" s="1912"/>
      <c r="W524" s="1912"/>
      <c r="X524" s="1912"/>
      <c r="Y524" s="1912"/>
      <c r="Z524" s="1912"/>
      <c r="AA524" s="1912"/>
      <c r="AB524" s="1912"/>
      <c r="AC524" s="1912"/>
      <c r="AD524" s="1912"/>
      <c r="AE524" s="1912"/>
      <c r="AF524" s="1912"/>
      <c r="AG524" s="1912"/>
    </row>
    <row r="525">
      <c r="A525" s="1912"/>
      <c r="B525" s="1912"/>
      <c r="C525" s="1912"/>
      <c r="D525" s="1912"/>
      <c r="E525" s="1912"/>
      <c r="F525" s="1912"/>
      <c r="G525" s="1912"/>
      <c r="H525" s="1912"/>
      <c r="I525" s="1912"/>
      <c r="J525" s="1912"/>
      <c r="K525" s="1912"/>
      <c r="L525" s="1912"/>
      <c r="M525" s="1912"/>
      <c r="N525" s="1912"/>
      <c r="O525" s="1912"/>
      <c r="P525" s="1912"/>
      <c r="Q525" s="1912"/>
      <c r="R525" s="1912"/>
      <c r="S525" s="1912"/>
      <c r="T525" s="1912"/>
      <c r="U525" s="1912"/>
      <c r="V525" s="1912"/>
      <c r="W525" s="1912"/>
      <c r="X525" s="1912"/>
      <c r="Y525" s="1912"/>
      <c r="Z525" s="1912"/>
      <c r="AA525" s="1912"/>
      <c r="AB525" s="1912"/>
      <c r="AC525" s="1912"/>
      <c r="AD525" s="1912"/>
      <c r="AE525" s="1912"/>
      <c r="AF525" s="1912"/>
      <c r="AG525" s="1912"/>
    </row>
    <row r="526">
      <c r="A526" s="1912"/>
      <c r="B526" s="1912"/>
      <c r="C526" s="1912"/>
      <c r="D526" s="1912"/>
      <c r="E526" s="1912"/>
      <c r="F526" s="1912"/>
      <c r="G526" s="1912"/>
      <c r="H526" s="1912"/>
      <c r="I526" s="1912"/>
      <c r="J526" s="1912"/>
      <c r="K526" s="1912"/>
      <c r="L526" s="1912"/>
      <c r="M526" s="1912"/>
      <c r="N526" s="1912"/>
      <c r="O526" s="1912"/>
      <c r="P526" s="1912"/>
      <c r="Q526" s="1912"/>
      <c r="R526" s="1912"/>
      <c r="S526" s="1912"/>
      <c r="T526" s="1912"/>
      <c r="U526" s="1912"/>
      <c r="V526" s="1912"/>
      <c r="W526" s="1912"/>
      <c r="X526" s="1912"/>
      <c r="Y526" s="1912"/>
      <c r="Z526" s="1912"/>
      <c r="AA526" s="1912"/>
      <c r="AB526" s="1912"/>
      <c r="AC526" s="1912"/>
      <c r="AD526" s="1912"/>
      <c r="AE526" s="1912"/>
      <c r="AF526" s="1912"/>
      <c r="AG526" s="1912"/>
    </row>
    <row r="527">
      <c r="A527" s="1912"/>
      <c r="B527" s="1912"/>
      <c r="C527" s="1912"/>
      <c r="D527" s="1912"/>
      <c r="E527" s="1912"/>
      <c r="F527" s="1912"/>
      <c r="G527" s="1912"/>
      <c r="H527" s="1912"/>
      <c r="I527" s="1912"/>
      <c r="J527" s="1912"/>
      <c r="K527" s="1912"/>
      <c r="L527" s="1912"/>
      <c r="M527" s="1912"/>
      <c r="N527" s="1912"/>
      <c r="O527" s="1912"/>
      <c r="P527" s="1912"/>
      <c r="Q527" s="1912"/>
      <c r="R527" s="1912"/>
      <c r="S527" s="1912"/>
      <c r="T527" s="1912"/>
      <c r="U527" s="1912"/>
      <c r="V527" s="1912"/>
      <c r="W527" s="1912"/>
      <c r="X527" s="1912"/>
      <c r="Y527" s="1912"/>
      <c r="Z527" s="1912"/>
      <c r="AA527" s="1912"/>
      <c r="AB527" s="1912"/>
      <c r="AC527" s="1912"/>
      <c r="AD527" s="1912"/>
      <c r="AE527" s="1912"/>
      <c r="AF527" s="1912"/>
      <c r="AG527" s="1912"/>
    </row>
    <row r="528">
      <c r="A528" s="1912"/>
      <c r="B528" s="1912"/>
      <c r="C528" s="1912"/>
      <c r="D528" s="1912"/>
      <c r="E528" s="1912"/>
      <c r="F528" s="1912"/>
      <c r="G528" s="1912"/>
      <c r="H528" s="1912"/>
      <c r="I528" s="1912"/>
      <c r="J528" s="1912"/>
      <c r="K528" s="1912"/>
      <c r="L528" s="1912"/>
      <c r="M528" s="1912"/>
      <c r="N528" s="1912"/>
      <c r="O528" s="1912"/>
      <c r="P528" s="1912"/>
      <c r="Q528" s="1912"/>
      <c r="R528" s="1912"/>
      <c r="S528" s="1912"/>
      <c r="T528" s="1912"/>
      <c r="U528" s="1912"/>
      <c r="V528" s="1912"/>
      <c r="W528" s="1912"/>
      <c r="X528" s="1912"/>
      <c r="Y528" s="1912"/>
      <c r="Z528" s="1912"/>
      <c r="AA528" s="1912"/>
      <c r="AB528" s="1912"/>
      <c r="AC528" s="1912"/>
      <c r="AD528" s="1912"/>
      <c r="AE528" s="1912"/>
      <c r="AF528" s="1912"/>
      <c r="AG528" s="1912"/>
    </row>
    <row r="529">
      <c r="A529" s="1912"/>
      <c r="B529" s="1912"/>
      <c r="C529" s="1912"/>
      <c r="D529" s="1912"/>
      <c r="E529" s="1912"/>
      <c r="F529" s="1912"/>
      <c r="G529" s="1912"/>
      <c r="H529" s="1912"/>
      <c r="I529" s="1912"/>
      <c r="J529" s="1912"/>
      <c r="K529" s="1912"/>
      <c r="L529" s="1912"/>
      <c r="M529" s="1912"/>
      <c r="N529" s="1912"/>
      <c r="O529" s="1912"/>
      <c r="P529" s="1912"/>
      <c r="Q529" s="1912"/>
      <c r="R529" s="1912"/>
      <c r="S529" s="1912"/>
      <c r="T529" s="1912"/>
      <c r="U529" s="1912"/>
      <c r="V529" s="1912"/>
      <c r="W529" s="1912"/>
      <c r="X529" s="1912"/>
      <c r="Y529" s="1912"/>
      <c r="Z529" s="1912"/>
      <c r="AA529" s="1912"/>
      <c r="AB529" s="1912"/>
      <c r="AC529" s="1912"/>
      <c r="AD529" s="1912"/>
      <c r="AE529" s="1912"/>
      <c r="AF529" s="1912"/>
      <c r="AG529" s="1912"/>
    </row>
    <row r="530">
      <c r="A530" s="1912"/>
      <c r="B530" s="1912"/>
      <c r="C530" s="1912"/>
      <c r="D530" s="1912"/>
      <c r="E530" s="1912"/>
      <c r="F530" s="1912"/>
      <c r="G530" s="1912"/>
      <c r="H530" s="1912"/>
      <c r="I530" s="1912"/>
      <c r="J530" s="1912"/>
      <c r="K530" s="1912"/>
      <c r="L530" s="1912"/>
      <c r="M530" s="1912"/>
      <c r="N530" s="1912"/>
      <c r="O530" s="1912"/>
      <c r="P530" s="1912"/>
      <c r="Q530" s="1912"/>
      <c r="R530" s="1912"/>
      <c r="S530" s="1912"/>
      <c r="T530" s="1912"/>
      <c r="U530" s="1912"/>
      <c r="V530" s="1912"/>
      <c r="W530" s="1912"/>
      <c r="X530" s="1912"/>
      <c r="Y530" s="1912"/>
      <c r="Z530" s="1912"/>
      <c r="AA530" s="1912"/>
      <c r="AB530" s="1912"/>
      <c r="AC530" s="1912"/>
      <c r="AD530" s="1912"/>
      <c r="AE530" s="1912"/>
      <c r="AF530" s="1912"/>
      <c r="AG530" s="1912"/>
    </row>
    <row r="531">
      <c r="A531" s="1912"/>
      <c r="B531" s="1912"/>
      <c r="C531" s="1912"/>
      <c r="D531" s="1912"/>
      <c r="E531" s="1912"/>
      <c r="F531" s="1912"/>
      <c r="G531" s="1912"/>
      <c r="H531" s="1912"/>
      <c r="I531" s="1912"/>
      <c r="J531" s="1912"/>
      <c r="K531" s="1912"/>
      <c r="L531" s="1912"/>
      <c r="M531" s="1912"/>
      <c r="N531" s="1912"/>
      <c r="O531" s="1912"/>
      <c r="P531" s="1912"/>
      <c r="Q531" s="1912"/>
      <c r="R531" s="1912"/>
      <c r="S531" s="1912"/>
      <c r="T531" s="1912"/>
      <c r="U531" s="1912"/>
      <c r="V531" s="1912"/>
      <c r="W531" s="1912"/>
      <c r="X531" s="1912"/>
      <c r="Y531" s="1912"/>
      <c r="Z531" s="1912"/>
      <c r="AA531" s="1912"/>
      <c r="AB531" s="1912"/>
      <c r="AC531" s="1912"/>
      <c r="AD531" s="1912"/>
      <c r="AE531" s="1912"/>
      <c r="AF531" s="1912"/>
      <c r="AG531" s="1912"/>
    </row>
    <row r="532">
      <c r="A532" s="1912"/>
      <c r="B532" s="1912"/>
      <c r="C532" s="1912"/>
      <c r="D532" s="1912"/>
      <c r="E532" s="1912"/>
      <c r="F532" s="1912"/>
      <c r="G532" s="1912"/>
      <c r="H532" s="1912"/>
      <c r="I532" s="1912"/>
      <c r="J532" s="1912"/>
      <c r="K532" s="1912"/>
      <c r="L532" s="1912"/>
      <c r="M532" s="1912"/>
      <c r="N532" s="1912"/>
      <c r="O532" s="1912"/>
      <c r="P532" s="1912"/>
      <c r="Q532" s="1912"/>
      <c r="R532" s="1912"/>
      <c r="S532" s="1912"/>
      <c r="T532" s="1912"/>
      <c r="U532" s="1912"/>
      <c r="V532" s="1912"/>
      <c r="W532" s="1912"/>
      <c r="X532" s="1912"/>
      <c r="Y532" s="1912"/>
      <c r="Z532" s="1912"/>
      <c r="AA532" s="1912"/>
      <c r="AB532" s="1912"/>
      <c r="AC532" s="1912"/>
      <c r="AD532" s="1912"/>
      <c r="AE532" s="1912"/>
      <c r="AF532" s="1912"/>
      <c r="AG532" s="1912"/>
    </row>
    <row r="533">
      <c r="A533" s="1912"/>
      <c r="B533" s="1912"/>
      <c r="C533" s="1912"/>
      <c r="D533" s="1912"/>
      <c r="E533" s="1912"/>
      <c r="F533" s="1912"/>
      <c r="G533" s="1912"/>
      <c r="H533" s="1912"/>
      <c r="I533" s="1912"/>
      <c r="J533" s="1912"/>
      <c r="K533" s="1912"/>
      <c r="L533" s="1912"/>
      <c r="M533" s="1912"/>
      <c r="N533" s="1912"/>
      <c r="O533" s="1912"/>
      <c r="P533" s="1912"/>
      <c r="Q533" s="1912"/>
      <c r="R533" s="1912"/>
      <c r="S533" s="1912"/>
      <c r="T533" s="1912"/>
      <c r="U533" s="1912"/>
      <c r="V533" s="1912"/>
      <c r="W533" s="1912"/>
      <c r="X533" s="1912"/>
      <c r="Y533" s="1912"/>
      <c r="Z533" s="1912"/>
      <c r="AA533" s="1912"/>
      <c r="AB533" s="1912"/>
      <c r="AC533" s="1912"/>
      <c r="AD533" s="1912"/>
      <c r="AE533" s="1912"/>
      <c r="AF533" s="1912"/>
      <c r="AG533" s="1912"/>
    </row>
    <row r="534">
      <c r="A534" s="1912"/>
      <c r="B534" s="1912"/>
      <c r="C534" s="1912"/>
      <c r="D534" s="1912"/>
      <c r="E534" s="1912"/>
      <c r="F534" s="1912"/>
      <c r="G534" s="1912"/>
      <c r="H534" s="1912"/>
      <c r="I534" s="1912"/>
      <c r="J534" s="1912"/>
      <c r="K534" s="1912"/>
      <c r="L534" s="1912"/>
      <c r="M534" s="1912"/>
      <c r="N534" s="1912"/>
      <c r="O534" s="1912"/>
      <c r="P534" s="1912"/>
      <c r="Q534" s="1912"/>
      <c r="R534" s="1912"/>
      <c r="S534" s="1912"/>
      <c r="T534" s="1912"/>
      <c r="U534" s="1912"/>
      <c r="V534" s="1912"/>
      <c r="W534" s="1912"/>
      <c r="X534" s="1912"/>
      <c r="Y534" s="1912"/>
      <c r="Z534" s="1912"/>
      <c r="AA534" s="1912"/>
      <c r="AB534" s="1912"/>
      <c r="AC534" s="1912"/>
      <c r="AD534" s="1912"/>
      <c r="AE534" s="1912"/>
      <c r="AF534" s="1912"/>
      <c r="AG534" s="1912"/>
    </row>
    <row r="535">
      <c r="A535" s="1912"/>
      <c r="B535" s="1912"/>
      <c r="C535" s="1912"/>
      <c r="D535" s="1912"/>
      <c r="E535" s="1912"/>
      <c r="F535" s="1912"/>
      <c r="G535" s="1912"/>
      <c r="H535" s="1912"/>
      <c r="I535" s="1912"/>
      <c r="J535" s="1912"/>
      <c r="K535" s="1912"/>
      <c r="L535" s="1912"/>
      <c r="M535" s="1912"/>
      <c r="N535" s="1912"/>
      <c r="O535" s="1912"/>
      <c r="P535" s="1912"/>
      <c r="Q535" s="1912"/>
      <c r="R535" s="1912"/>
      <c r="S535" s="1912"/>
      <c r="T535" s="1912"/>
      <c r="U535" s="1912"/>
      <c r="V535" s="1912"/>
      <c r="W535" s="1912"/>
      <c r="X535" s="1912"/>
      <c r="Y535" s="1912"/>
      <c r="Z535" s="1912"/>
      <c r="AA535" s="1912"/>
      <c r="AB535" s="1912"/>
      <c r="AC535" s="1912"/>
      <c r="AD535" s="1912"/>
      <c r="AE535" s="1912"/>
      <c r="AF535" s="1912"/>
      <c r="AG535" s="1912"/>
    </row>
    <row r="536">
      <c r="A536" s="1912"/>
      <c r="B536" s="1912"/>
      <c r="C536" s="1912"/>
      <c r="D536" s="1912"/>
      <c r="E536" s="1912"/>
      <c r="F536" s="1912"/>
      <c r="G536" s="1912"/>
      <c r="H536" s="1912"/>
      <c r="I536" s="1912"/>
      <c r="J536" s="1912"/>
      <c r="K536" s="1912"/>
      <c r="L536" s="1912"/>
      <c r="M536" s="1912"/>
      <c r="N536" s="1912"/>
      <c r="O536" s="1912"/>
      <c r="P536" s="1912"/>
      <c r="Q536" s="1912"/>
      <c r="R536" s="1912"/>
      <c r="S536" s="1912"/>
      <c r="T536" s="1912"/>
      <c r="U536" s="1912"/>
      <c r="V536" s="1912"/>
      <c r="W536" s="1912"/>
      <c r="X536" s="1912"/>
      <c r="Y536" s="1912"/>
      <c r="Z536" s="1912"/>
      <c r="AA536" s="1912"/>
      <c r="AB536" s="1912"/>
      <c r="AC536" s="1912"/>
      <c r="AD536" s="1912"/>
      <c r="AE536" s="1912"/>
      <c r="AF536" s="1912"/>
      <c r="AG536" s="1912"/>
    </row>
    <row r="537">
      <c r="A537" s="1912"/>
      <c r="B537" s="1912"/>
      <c r="C537" s="1912"/>
      <c r="D537" s="1912"/>
      <c r="E537" s="1912"/>
      <c r="F537" s="1912"/>
      <c r="G537" s="1912"/>
      <c r="H537" s="1912"/>
      <c r="I537" s="1912"/>
      <c r="J537" s="1912"/>
      <c r="K537" s="1912"/>
      <c r="L537" s="1912"/>
      <c r="M537" s="1912"/>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row>
    <row r="538">
      <c r="A538" s="1912"/>
      <c r="B538" s="1912"/>
      <c r="C538" s="1912"/>
      <c r="D538" s="1912"/>
      <c r="E538" s="1912"/>
      <c r="F538" s="1912"/>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row>
    <row r="539">
      <c r="A539" s="1912"/>
      <c r="B539" s="1912"/>
      <c r="C539" s="1912"/>
      <c r="D539" s="1912"/>
      <c r="E539" s="1912"/>
      <c r="F539" s="1912"/>
      <c r="G539" s="1912"/>
      <c r="H539" s="1912"/>
      <c r="I539" s="1912"/>
      <c r="J539" s="1912"/>
      <c r="K539" s="1912"/>
      <c r="L539" s="1912"/>
      <c r="M539" s="1912"/>
      <c r="N539" s="1912"/>
      <c r="O539" s="1912"/>
      <c r="P539" s="1912"/>
      <c r="Q539" s="1912"/>
      <c r="R539" s="1912"/>
      <c r="S539" s="1912"/>
      <c r="T539" s="1912"/>
      <c r="U539" s="1912"/>
      <c r="V539" s="1912"/>
      <c r="W539" s="1912"/>
      <c r="X539" s="1912"/>
      <c r="Y539" s="1912"/>
      <c r="Z539" s="1912"/>
      <c r="AA539" s="1912"/>
      <c r="AB539" s="1912"/>
      <c r="AC539" s="1912"/>
      <c r="AD539" s="1912"/>
      <c r="AE539" s="1912"/>
      <c r="AF539" s="1912"/>
      <c r="AG539" s="1912"/>
    </row>
    <row r="540">
      <c r="A540" s="1912"/>
      <c r="B540" s="1912"/>
      <c r="C540" s="1912"/>
      <c r="D540" s="1912"/>
      <c r="E540" s="1912"/>
      <c r="F540" s="1912"/>
      <c r="G540" s="1912"/>
      <c r="H540" s="1912"/>
      <c r="I540" s="1912"/>
      <c r="J540" s="1912"/>
      <c r="K540" s="1912"/>
      <c r="L540" s="1912"/>
      <c r="M540" s="1912"/>
      <c r="N540" s="1912"/>
      <c r="O540" s="1912"/>
      <c r="P540" s="1912"/>
      <c r="Q540" s="1912"/>
      <c r="R540" s="1912"/>
      <c r="S540" s="1912"/>
      <c r="T540" s="1912"/>
      <c r="U540" s="1912"/>
      <c r="V540" s="1912"/>
      <c r="W540" s="1912"/>
      <c r="X540" s="1912"/>
      <c r="Y540" s="1912"/>
      <c r="Z540" s="1912"/>
      <c r="AA540" s="1912"/>
      <c r="AB540" s="1912"/>
      <c r="AC540" s="1912"/>
      <c r="AD540" s="1912"/>
      <c r="AE540" s="1912"/>
      <c r="AF540" s="1912"/>
      <c r="AG540" s="1912"/>
    </row>
    <row r="541">
      <c r="A541" s="1912"/>
      <c r="B541" s="1912"/>
      <c r="C541" s="1912"/>
      <c r="D541" s="1912"/>
      <c r="E541" s="1912"/>
      <c r="F541" s="1912"/>
      <c r="G541" s="1912"/>
      <c r="H541" s="1912"/>
      <c r="I541" s="1912"/>
      <c r="J541" s="1912"/>
      <c r="K541" s="1912"/>
      <c r="L541" s="1912"/>
      <c r="M541" s="1912"/>
      <c r="N541" s="1912"/>
      <c r="O541" s="1912"/>
      <c r="P541" s="1912"/>
      <c r="Q541" s="1912"/>
      <c r="R541" s="1912"/>
      <c r="S541" s="1912"/>
      <c r="T541" s="1912"/>
      <c r="U541" s="1912"/>
      <c r="V541" s="1912"/>
      <c r="W541" s="1912"/>
      <c r="X541" s="1912"/>
      <c r="Y541" s="1912"/>
      <c r="Z541" s="1912"/>
      <c r="AA541" s="1912"/>
      <c r="AB541" s="1912"/>
      <c r="AC541" s="1912"/>
      <c r="AD541" s="1912"/>
      <c r="AE541" s="1912"/>
      <c r="AF541" s="1912"/>
      <c r="AG541" s="1912"/>
    </row>
    <row r="542">
      <c r="A542" s="1912"/>
      <c r="B542" s="1912"/>
      <c r="C542" s="1912"/>
      <c r="D542" s="1912"/>
      <c r="E542" s="1912"/>
      <c r="F542" s="1912"/>
      <c r="G542" s="1912"/>
      <c r="H542" s="1912"/>
      <c r="I542" s="1912"/>
      <c r="J542" s="1912"/>
      <c r="K542" s="1912"/>
      <c r="L542" s="1912"/>
      <c r="M542" s="1912"/>
      <c r="N542" s="1912"/>
      <c r="O542" s="1912"/>
      <c r="P542" s="1912"/>
      <c r="Q542" s="1912"/>
      <c r="R542" s="1912"/>
      <c r="S542" s="1912"/>
      <c r="T542" s="1912"/>
      <c r="U542" s="1912"/>
      <c r="V542" s="1912"/>
      <c r="W542" s="1912"/>
      <c r="X542" s="1912"/>
      <c r="Y542" s="1912"/>
      <c r="Z542" s="1912"/>
      <c r="AA542" s="1912"/>
      <c r="AB542" s="1912"/>
      <c r="AC542" s="1912"/>
      <c r="AD542" s="1912"/>
      <c r="AE542" s="1912"/>
      <c r="AF542" s="1912"/>
      <c r="AG542" s="1912"/>
    </row>
    <row r="543">
      <c r="A543" s="1912"/>
      <c r="B543" s="1912"/>
      <c r="C543" s="1912"/>
      <c r="D543" s="1912"/>
      <c r="E543" s="1912"/>
      <c r="F543" s="1912"/>
      <c r="G543" s="1912"/>
      <c r="H543" s="1912"/>
      <c r="I543" s="1912"/>
      <c r="J543" s="1912"/>
      <c r="K543" s="1912"/>
      <c r="L543" s="1912"/>
      <c r="M543" s="1912"/>
      <c r="N543" s="1912"/>
      <c r="O543" s="1912"/>
      <c r="P543" s="1912"/>
      <c r="Q543" s="1912"/>
      <c r="R543" s="1912"/>
      <c r="S543" s="1912"/>
      <c r="T543" s="1912"/>
      <c r="U543" s="1912"/>
      <c r="V543" s="1912"/>
      <c r="W543" s="1912"/>
      <c r="X543" s="1912"/>
      <c r="Y543" s="1912"/>
      <c r="Z543" s="1912"/>
      <c r="AA543" s="1912"/>
      <c r="AB543" s="1912"/>
      <c r="AC543" s="1912"/>
      <c r="AD543" s="1912"/>
      <c r="AE543" s="1912"/>
      <c r="AF543" s="1912"/>
      <c r="AG543" s="1912"/>
    </row>
    <row r="544">
      <c r="A544" s="1912"/>
      <c r="B544" s="1912"/>
      <c r="C544" s="1912"/>
      <c r="D544" s="1912"/>
      <c r="E544" s="1912"/>
      <c r="F544" s="1912"/>
      <c r="G544" s="1912"/>
      <c r="H544" s="1912"/>
      <c r="I544" s="1912"/>
      <c r="J544" s="1912"/>
      <c r="K544" s="1912"/>
      <c r="L544" s="1912"/>
      <c r="M544" s="1912"/>
      <c r="N544" s="1912"/>
      <c r="O544" s="1912"/>
      <c r="P544" s="1912"/>
      <c r="Q544" s="1912"/>
      <c r="R544" s="1912"/>
      <c r="S544" s="1912"/>
      <c r="T544" s="1912"/>
      <c r="U544" s="1912"/>
      <c r="V544" s="1912"/>
      <c r="W544" s="1912"/>
      <c r="X544" s="1912"/>
      <c r="Y544" s="1912"/>
      <c r="Z544" s="1912"/>
      <c r="AA544" s="1912"/>
      <c r="AB544" s="1912"/>
      <c r="AC544" s="1912"/>
      <c r="AD544" s="1912"/>
      <c r="AE544" s="1912"/>
      <c r="AF544" s="1912"/>
      <c r="AG544" s="1912"/>
    </row>
    <row r="545">
      <c r="A545" s="1912"/>
      <c r="B545" s="1912"/>
      <c r="C545" s="1912"/>
      <c r="D545" s="1912"/>
      <c r="E545" s="1912"/>
      <c r="F545" s="1912"/>
      <c r="G545" s="1912"/>
      <c r="H545" s="1912"/>
      <c r="I545" s="1912"/>
      <c r="J545" s="1912"/>
      <c r="K545" s="1912"/>
      <c r="L545" s="1912"/>
      <c r="M545" s="1912"/>
      <c r="N545" s="1912"/>
      <c r="O545" s="1912"/>
      <c r="P545" s="1912"/>
      <c r="Q545" s="1912"/>
      <c r="R545" s="1912"/>
      <c r="S545" s="1912"/>
      <c r="T545" s="1912"/>
      <c r="U545" s="1912"/>
      <c r="V545" s="1912"/>
      <c r="W545" s="1912"/>
      <c r="X545" s="1912"/>
      <c r="Y545" s="1912"/>
      <c r="Z545" s="1912"/>
      <c r="AA545" s="1912"/>
      <c r="AB545" s="1912"/>
      <c r="AC545" s="1912"/>
      <c r="AD545" s="1912"/>
      <c r="AE545" s="1912"/>
      <c r="AF545" s="1912"/>
      <c r="AG545" s="1912"/>
    </row>
    <row r="546">
      <c r="A546" s="1912"/>
      <c r="B546" s="1912"/>
      <c r="C546" s="1912"/>
      <c r="D546" s="1912"/>
      <c r="E546" s="1912"/>
      <c r="F546" s="1912"/>
      <c r="G546" s="1912"/>
      <c r="H546" s="1912"/>
      <c r="I546" s="1912"/>
      <c r="J546" s="1912"/>
      <c r="K546" s="1912"/>
      <c r="L546" s="1912"/>
      <c r="M546" s="1912"/>
      <c r="N546" s="1912"/>
      <c r="O546" s="1912"/>
      <c r="P546" s="1912"/>
      <c r="Q546" s="1912"/>
      <c r="R546" s="1912"/>
      <c r="S546" s="1912"/>
      <c r="T546" s="1912"/>
      <c r="U546" s="1912"/>
      <c r="V546" s="1912"/>
      <c r="W546" s="1912"/>
      <c r="X546" s="1912"/>
      <c r="Y546" s="1912"/>
      <c r="Z546" s="1912"/>
      <c r="AA546" s="1912"/>
      <c r="AB546" s="1912"/>
      <c r="AC546" s="1912"/>
      <c r="AD546" s="1912"/>
      <c r="AE546" s="1912"/>
      <c r="AF546" s="1912"/>
      <c r="AG546" s="1912"/>
    </row>
    <row r="547">
      <c r="A547" s="1912"/>
      <c r="B547" s="1912"/>
      <c r="C547" s="1912"/>
      <c r="D547" s="1912"/>
      <c r="E547" s="1912"/>
      <c r="F547" s="1912"/>
      <c r="G547" s="1912"/>
      <c r="H547" s="1912"/>
      <c r="I547" s="1912"/>
      <c r="J547" s="1912"/>
      <c r="K547" s="1912"/>
      <c r="L547" s="1912"/>
      <c r="M547" s="1912"/>
      <c r="N547" s="1912"/>
      <c r="O547" s="1912"/>
      <c r="P547" s="1912"/>
      <c r="Q547" s="1912"/>
      <c r="R547" s="1912"/>
      <c r="S547" s="1912"/>
      <c r="T547" s="1912"/>
      <c r="U547" s="1912"/>
      <c r="V547" s="1912"/>
      <c r="W547" s="1912"/>
      <c r="X547" s="1912"/>
      <c r="Y547" s="1912"/>
      <c r="Z547" s="1912"/>
      <c r="AA547" s="1912"/>
      <c r="AB547" s="1912"/>
      <c r="AC547" s="1912"/>
      <c r="AD547" s="1912"/>
      <c r="AE547" s="1912"/>
      <c r="AF547" s="1912"/>
      <c r="AG547" s="1912"/>
    </row>
    <row r="548">
      <c r="A548" s="1912"/>
      <c r="B548" s="1912"/>
      <c r="C548" s="1912"/>
      <c r="D548" s="1912"/>
      <c r="E548" s="1912"/>
      <c r="F548" s="1912"/>
      <c r="G548" s="1912"/>
      <c r="H548" s="1912"/>
      <c r="I548" s="1912"/>
      <c r="J548" s="1912"/>
      <c r="K548" s="1912"/>
      <c r="L548" s="1912"/>
      <c r="M548" s="1912"/>
      <c r="N548" s="1912"/>
      <c r="O548" s="1912"/>
      <c r="P548" s="1912"/>
      <c r="Q548" s="1912"/>
      <c r="R548" s="1912"/>
      <c r="S548" s="1912"/>
      <c r="T548" s="1912"/>
      <c r="U548" s="1912"/>
      <c r="V548" s="1912"/>
      <c r="W548" s="1912"/>
      <c r="X548" s="1912"/>
      <c r="Y548" s="1912"/>
      <c r="Z548" s="1912"/>
      <c r="AA548" s="1912"/>
      <c r="AB548" s="1912"/>
      <c r="AC548" s="1912"/>
      <c r="AD548" s="1912"/>
      <c r="AE548" s="1912"/>
      <c r="AF548" s="1912"/>
      <c r="AG548" s="1912"/>
    </row>
    <row r="549">
      <c r="A549" s="1912"/>
      <c r="B549" s="1912"/>
      <c r="C549" s="1912"/>
      <c r="D549" s="1912"/>
      <c r="E549" s="1912"/>
      <c r="F549" s="1912"/>
      <c r="G549" s="1912"/>
      <c r="H549" s="1912"/>
      <c r="I549" s="1912"/>
      <c r="J549" s="1912"/>
      <c r="K549" s="1912"/>
      <c r="L549" s="1912"/>
      <c r="M549" s="1912"/>
      <c r="N549" s="1912"/>
      <c r="O549" s="1912"/>
      <c r="P549" s="1912"/>
      <c r="Q549" s="1912"/>
      <c r="R549" s="1912"/>
      <c r="S549" s="1912"/>
      <c r="T549" s="1912"/>
      <c r="U549" s="1912"/>
      <c r="V549" s="1912"/>
      <c r="W549" s="1912"/>
      <c r="X549" s="1912"/>
      <c r="Y549" s="1912"/>
      <c r="Z549" s="1912"/>
      <c r="AA549" s="1912"/>
      <c r="AB549" s="1912"/>
      <c r="AC549" s="1912"/>
      <c r="AD549" s="1912"/>
      <c r="AE549" s="1912"/>
      <c r="AF549" s="1912"/>
      <c r="AG549" s="1912"/>
    </row>
    <row r="550">
      <c r="A550" s="1912"/>
      <c r="B550" s="1912"/>
      <c r="C550" s="1912"/>
      <c r="D550" s="1912"/>
      <c r="E550" s="1912"/>
      <c r="F550" s="1912"/>
      <c r="G550" s="1912"/>
      <c r="H550" s="1912"/>
      <c r="I550" s="1912"/>
      <c r="J550" s="1912"/>
      <c r="K550" s="1912"/>
      <c r="L550" s="1912"/>
      <c r="M550" s="1912"/>
      <c r="N550" s="1912"/>
      <c r="O550" s="1912"/>
      <c r="P550" s="1912"/>
      <c r="Q550" s="1912"/>
      <c r="R550" s="1912"/>
      <c r="S550" s="1912"/>
      <c r="T550" s="1912"/>
      <c r="U550" s="1912"/>
      <c r="V550" s="1912"/>
      <c r="W550" s="1912"/>
      <c r="X550" s="1912"/>
      <c r="Y550" s="1912"/>
      <c r="Z550" s="1912"/>
      <c r="AA550" s="1912"/>
      <c r="AB550" s="1912"/>
      <c r="AC550" s="1912"/>
      <c r="AD550" s="1912"/>
      <c r="AE550" s="1912"/>
      <c r="AF550" s="1912"/>
      <c r="AG550" s="1912"/>
    </row>
    <row r="551">
      <c r="A551" s="1912"/>
      <c r="B551" s="1912"/>
      <c r="C551" s="1912"/>
      <c r="D551" s="1912"/>
      <c r="E551" s="1912"/>
      <c r="F551" s="1912"/>
      <c r="G551" s="1912"/>
      <c r="H551" s="1912"/>
      <c r="I551" s="1912"/>
      <c r="J551" s="1912"/>
      <c r="K551" s="1912"/>
      <c r="L551" s="1912"/>
      <c r="M551" s="1912"/>
      <c r="N551" s="1912"/>
      <c r="O551" s="1912"/>
      <c r="P551" s="1912"/>
      <c r="Q551" s="1912"/>
      <c r="R551" s="1912"/>
      <c r="S551" s="1912"/>
      <c r="T551" s="1912"/>
      <c r="U551" s="1912"/>
      <c r="V551" s="1912"/>
      <c r="W551" s="1912"/>
      <c r="X551" s="1912"/>
      <c r="Y551" s="1912"/>
      <c r="Z551" s="1912"/>
      <c r="AA551" s="1912"/>
      <c r="AB551" s="1912"/>
      <c r="AC551" s="1912"/>
      <c r="AD551" s="1912"/>
      <c r="AE551" s="1912"/>
      <c r="AF551" s="1912"/>
      <c r="AG551" s="1912"/>
    </row>
    <row r="552">
      <c r="A552" s="1912"/>
      <c r="B552" s="1912"/>
      <c r="C552" s="1912"/>
      <c r="D552" s="1912"/>
      <c r="E552" s="1912"/>
      <c r="F552" s="1912"/>
      <c r="G552" s="1912"/>
      <c r="H552" s="1912"/>
      <c r="I552" s="1912"/>
      <c r="J552" s="1912"/>
      <c r="K552" s="1912"/>
      <c r="L552" s="1912"/>
      <c r="M552" s="1912"/>
      <c r="N552" s="1912"/>
      <c r="O552" s="1912"/>
      <c r="P552" s="1912"/>
      <c r="Q552" s="1912"/>
      <c r="R552" s="1912"/>
      <c r="S552" s="1912"/>
      <c r="T552" s="1912"/>
      <c r="U552" s="1912"/>
      <c r="V552" s="1912"/>
      <c r="W552" s="1912"/>
      <c r="X552" s="1912"/>
      <c r="Y552" s="1912"/>
      <c r="Z552" s="1912"/>
      <c r="AA552" s="1912"/>
      <c r="AB552" s="1912"/>
      <c r="AC552" s="1912"/>
      <c r="AD552" s="1912"/>
      <c r="AE552" s="1912"/>
      <c r="AF552" s="1912"/>
      <c r="AG552" s="1912"/>
    </row>
    <row r="553">
      <c r="A553" s="1912"/>
      <c r="B553" s="1912"/>
      <c r="C553" s="1912"/>
      <c r="D553" s="1912"/>
      <c r="E553" s="1912"/>
      <c r="F553" s="1912"/>
      <c r="G553" s="1912"/>
      <c r="H553" s="1912"/>
      <c r="I553" s="1912"/>
      <c r="J553" s="1912"/>
      <c r="K553" s="1912"/>
      <c r="L553" s="1912"/>
      <c r="M553" s="1912"/>
      <c r="N553" s="1912"/>
      <c r="O553" s="1912"/>
      <c r="P553" s="1912"/>
      <c r="Q553" s="1912"/>
      <c r="R553" s="1912"/>
      <c r="S553" s="1912"/>
      <c r="T553" s="1912"/>
      <c r="U553" s="1912"/>
      <c r="V553" s="1912"/>
      <c r="W553" s="1912"/>
      <c r="X553" s="1912"/>
      <c r="Y553" s="1912"/>
      <c r="Z553" s="1912"/>
      <c r="AA553" s="1912"/>
      <c r="AB553" s="1912"/>
      <c r="AC553" s="1912"/>
      <c r="AD553" s="1912"/>
      <c r="AE553" s="1912"/>
      <c r="AF553" s="1912"/>
      <c r="AG553" s="1912"/>
    </row>
    <row r="554">
      <c r="A554" s="1912"/>
      <c r="B554" s="1912"/>
      <c r="C554" s="1912"/>
      <c r="D554" s="1912"/>
      <c r="E554" s="1912"/>
      <c r="F554" s="1912"/>
      <c r="G554" s="1912"/>
      <c r="H554" s="1912"/>
      <c r="I554" s="1912"/>
      <c r="J554" s="1912"/>
      <c r="K554" s="1912"/>
      <c r="L554" s="1912"/>
      <c r="M554" s="1912"/>
      <c r="N554" s="1912"/>
      <c r="O554" s="1912"/>
      <c r="P554" s="1912"/>
      <c r="Q554" s="1912"/>
      <c r="R554" s="1912"/>
      <c r="S554" s="1912"/>
      <c r="T554" s="1912"/>
      <c r="U554" s="1912"/>
      <c r="V554" s="1912"/>
      <c r="W554" s="1912"/>
      <c r="X554" s="1912"/>
      <c r="Y554" s="1912"/>
      <c r="Z554" s="1912"/>
      <c r="AA554" s="1912"/>
      <c r="AB554" s="1912"/>
      <c r="AC554" s="1912"/>
      <c r="AD554" s="1912"/>
      <c r="AE554" s="1912"/>
      <c r="AF554" s="1912"/>
      <c r="AG554" s="1912"/>
    </row>
    <row r="555">
      <c r="A555" s="1912"/>
      <c r="B555" s="1912"/>
      <c r="C555" s="1912"/>
      <c r="D555" s="1912"/>
      <c r="E555" s="1912"/>
      <c r="F555" s="1912"/>
      <c r="G555" s="1912"/>
      <c r="H555" s="1912"/>
      <c r="I555" s="1912"/>
      <c r="J555" s="1912"/>
      <c r="K555" s="1912"/>
      <c r="L555" s="1912"/>
      <c r="M555" s="1912"/>
      <c r="N555" s="1912"/>
      <c r="O555" s="1912"/>
      <c r="P555" s="1912"/>
      <c r="Q555" s="1912"/>
      <c r="R555" s="1912"/>
      <c r="S555" s="1912"/>
      <c r="T555" s="1912"/>
      <c r="U555" s="1912"/>
      <c r="V555" s="1912"/>
      <c r="W555" s="1912"/>
      <c r="X555" s="1912"/>
      <c r="Y555" s="1912"/>
      <c r="Z555" s="1912"/>
      <c r="AA555" s="1912"/>
      <c r="AB555" s="1912"/>
      <c r="AC555" s="1912"/>
      <c r="AD555" s="1912"/>
      <c r="AE555" s="1912"/>
      <c r="AF555" s="1912"/>
      <c r="AG555" s="1912"/>
    </row>
    <row r="556">
      <c r="A556" s="1912"/>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row>
    <row r="557">
      <c r="A557" s="1912"/>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row>
    <row r="558">
      <c r="A558" s="1912"/>
      <c r="B558" s="1912"/>
      <c r="C558" s="1912"/>
      <c r="D558" s="1912"/>
      <c r="E558" s="1912"/>
      <c r="F558" s="1912"/>
      <c r="G558" s="1912"/>
      <c r="H558" s="1912"/>
      <c r="I558" s="1912"/>
      <c r="J558" s="1912"/>
      <c r="K558" s="1912"/>
      <c r="L558" s="1912"/>
      <c r="M558" s="1912"/>
      <c r="N558" s="1912"/>
      <c r="O558" s="1912"/>
      <c r="P558" s="1912"/>
      <c r="Q558" s="1912"/>
      <c r="R558" s="1912"/>
      <c r="S558" s="1912"/>
      <c r="T558" s="1912"/>
      <c r="U558" s="1912"/>
      <c r="V558" s="1912"/>
      <c r="W558" s="1912"/>
      <c r="X558" s="1912"/>
      <c r="Y558" s="1912"/>
      <c r="Z558" s="1912"/>
      <c r="AA558" s="1912"/>
      <c r="AB558" s="1912"/>
      <c r="AC558" s="1912"/>
      <c r="AD558" s="1912"/>
      <c r="AE558" s="1912"/>
      <c r="AF558" s="1912"/>
      <c r="AG558" s="1912"/>
    </row>
    <row r="559">
      <c r="A559" s="1912"/>
      <c r="B559" s="1912"/>
      <c r="C559" s="1912"/>
      <c r="D559" s="1912"/>
      <c r="E559" s="1912"/>
      <c r="F559" s="1912"/>
      <c r="G559" s="1912"/>
      <c r="H559" s="1912"/>
      <c r="I559" s="1912"/>
      <c r="J559" s="1912"/>
      <c r="K559" s="1912"/>
      <c r="L559" s="1912"/>
      <c r="M559" s="1912"/>
      <c r="N559" s="1912"/>
      <c r="O559" s="1912"/>
      <c r="P559" s="1912"/>
      <c r="Q559" s="1912"/>
      <c r="R559" s="1912"/>
      <c r="S559" s="1912"/>
      <c r="T559" s="1912"/>
      <c r="U559" s="1912"/>
      <c r="V559" s="1912"/>
      <c r="W559" s="1912"/>
      <c r="X559" s="1912"/>
      <c r="Y559" s="1912"/>
      <c r="Z559" s="1912"/>
      <c r="AA559" s="1912"/>
      <c r="AB559" s="1912"/>
      <c r="AC559" s="1912"/>
      <c r="AD559" s="1912"/>
      <c r="AE559" s="1912"/>
      <c r="AF559" s="1912"/>
      <c r="AG559" s="1912"/>
    </row>
    <row r="560">
      <c r="A560" s="1912"/>
      <c r="B560" s="1912"/>
      <c r="C560" s="1912"/>
      <c r="D560" s="1912"/>
      <c r="E560" s="1912"/>
      <c r="F560" s="1912"/>
      <c r="G560" s="1912"/>
      <c r="H560" s="1912"/>
      <c r="I560" s="1912"/>
      <c r="J560" s="1912"/>
      <c r="K560" s="1912"/>
      <c r="L560" s="1912"/>
      <c r="M560" s="1912"/>
      <c r="N560" s="1912"/>
      <c r="O560" s="1912"/>
      <c r="P560" s="1912"/>
      <c r="Q560" s="1912"/>
      <c r="R560" s="1912"/>
      <c r="S560" s="1912"/>
      <c r="T560" s="1912"/>
      <c r="U560" s="1912"/>
      <c r="V560" s="1912"/>
      <c r="W560" s="1912"/>
      <c r="X560" s="1912"/>
      <c r="Y560" s="1912"/>
      <c r="Z560" s="1912"/>
      <c r="AA560" s="1912"/>
      <c r="AB560" s="1912"/>
      <c r="AC560" s="1912"/>
      <c r="AD560" s="1912"/>
      <c r="AE560" s="1912"/>
      <c r="AF560" s="1912"/>
      <c r="AG560" s="1912"/>
    </row>
    <row r="561">
      <c r="A561" s="1912"/>
      <c r="B561" s="1912"/>
      <c r="C561" s="1912"/>
      <c r="D561" s="1912"/>
      <c r="E561" s="1912"/>
      <c r="F561" s="1912"/>
      <c r="G561" s="1912"/>
      <c r="H561" s="1912"/>
      <c r="I561" s="1912"/>
      <c r="J561" s="1912"/>
      <c r="K561" s="1912"/>
      <c r="L561" s="1912"/>
      <c r="M561" s="1912"/>
      <c r="N561" s="1912"/>
      <c r="O561" s="1912"/>
      <c r="P561" s="1912"/>
      <c r="Q561" s="1912"/>
      <c r="R561" s="1912"/>
      <c r="S561" s="1912"/>
      <c r="T561" s="1912"/>
      <c r="U561" s="1912"/>
      <c r="V561" s="1912"/>
      <c r="W561" s="1912"/>
      <c r="X561" s="1912"/>
      <c r="Y561" s="1912"/>
      <c r="Z561" s="1912"/>
      <c r="AA561" s="1912"/>
      <c r="AB561" s="1912"/>
      <c r="AC561" s="1912"/>
      <c r="AD561" s="1912"/>
      <c r="AE561" s="1912"/>
      <c r="AF561" s="1912"/>
      <c r="AG561" s="1912"/>
    </row>
    <row r="562">
      <c r="A562" s="1912"/>
      <c r="B562" s="1912"/>
      <c r="C562" s="1912"/>
      <c r="D562" s="1912"/>
      <c r="E562" s="1912"/>
      <c r="F562" s="1912"/>
      <c r="G562" s="1912"/>
      <c r="H562" s="1912"/>
      <c r="I562" s="1912"/>
      <c r="J562" s="1912"/>
      <c r="K562" s="1912"/>
      <c r="L562" s="1912"/>
      <c r="M562" s="1912"/>
      <c r="N562" s="1912"/>
      <c r="O562" s="1912"/>
      <c r="P562" s="1912"/>
      <c r="Q562" s="1912"/>
      <c r="R562" s="1912"/>
      <c r="S562" s="1912"/>
      <c r="T562" s="1912"/>
      <c r="U562" s="1912"/>
      <c r="V562" s="1912"/>
      <c r="W562" s="1912"/>
      <c r="X562" s="1912"/>
      <c r="Y562" s="1912"/>
      <c r="Z562" s="1912"/>
      <c r="AA562" s="1912"/>
      <c r="AB562" s="1912"/>
      <c r="AC562" s="1912"/>
      <c r="AD562" s="1912"/>
      <c r="AE562" s="1912"/>
      <c r="AF562" s="1912"/>
      <c r="AG562" s="1912"/>
    </row>
    <row r="563">
      <c r="A563" s="1912"/>
      <c r="B563" s="1912"/>
      <c r="C563" s="1912"/>
      <c r="D563" s="1912"/>
      <c r="E563" s="1912"/>
      <c r="F563" s="1912"/>
      <c r="G563" s="1912"/>
      <c r="H563" s="1912"/>
      <c r="I563" s="1912"/>
      <c r="J563" s="1912"/>
      <c r="K563" s="1912"/>
      <c r="L563" s="1912"/>
      <c r="M563" s="1912"/>
      <c r="N563" s="1912"/>
      <c r="O563" s="1912"/>
      <c r="P563" s="1912"/>
      <c r="Q563" s="1912"/>
      <c r="R563" s="1912"/>
      <c r="S563" s="1912"/>
      <c r="T563" s="1912"/>
      <c r="U563" s="1912"/>
      <c r="V563" s="1912"/>
      <c r="W563" s="1912"/>
      <c r="X563" s="1912"/>
      <c r="Y563" s="1912"/>
      <c r="Z563" s="1912"/>
      <c r="AA563" s="1912"/>
      <c r="AB563" s="1912"/>
      <c r="AC563" s="1912"/>
      <c r="AD563" s="1912"/>
      <c r="AE563" s="1912"/>
      <c r="AF563" s="1912"/>
      <c r="AG563" s="1912"/>
    </row>
    <row r="564">
      <c r="A564" s="1912"/>
      <c r="B564" s="1912"/>
      <c r="C564" s="1912"/>
      <c r="D564" s="1912"/>
      <c r="E564" s="1912"/>
      <c r="F564" s="1912"/>
      <c r="G564" s="1912"/>
      <c r="H564" s="1912"/>
      <c r="I564" s="1912"/>
      <c r="J564" s="1912"/>
      <c r="K564" s="1912"/>
      <c r="L564" s="1912"/>
      <c r="M564" s="1912"/>
      <c r="N564" s="1912"/>
      <c r="O564" s="1912"/>
      <c r="P564" s="1912"/>
      <c r="Q564" s="1912"/>
      <c r="R564" s="1912"/>
      <c r="S564" s="1912"/>
      <c r="T564" s="1912"/>
      <c r="U564" s="1912"/>
      <c r="V564" s="1912"/>
      <c r="W564" s="1912"/>
      <c r="X564" s="1912"/>
      <c r="Y564" s="1912"/>
      <c r="Z564" s="1912"/>
      <c r="AA564" s="1912"/>
      <c r="AB564" s="1912"/>
      <c r="AC564" s="1912"/>
      <c r="AD564" s="1912"/>
      <c r="AE564" s="1912"/>
      <c r="AF564" s="1912"/>
      <c r="AG564" s="1912"/>
    </row>
    <row r="565">
      <c r="A565" s="1912"/>
      <c r="B565" s="1912"/>
      <c r="C565" s="1912"/>
      <c r="D565" s="1912"/>
      <c r="E565" s="1912"/>
      <c r="F565" s="1912"/>
      <c r="G565" s="1912"/>
      <c r="H565" s="1912"/>
      <c r="I565" s="1912"/>
      <c r="J565" s="1912"/>
      <c r="K565" s="1912"/>
      <c r="L565" s="1912"/>
      <c r="M565" s="1912"/>
      <c r="N565" s="1912"/>
      <c r="O565" s="1912"/>
      <c r="P565" s="1912"/>
      <c r="Q565" s="1912"/>
      <c r="R565" s="1912"/>
      <c r="S565" s="1912"/>
      <c r="T565" s="1912"/>
      <c r="U565" s="1912"/>
      <c r="V565" s="1912"/>
      <c r="W565" s="1912"/>
      <c r="X565" s="1912"/>
      <c r="Y565" s="1912"/>
      <c r="Z565" s="1912"/>
      <c r="AA565" s="1912"/>
      <c r="AB565" s="1912"/>
      <c r="AC565" s="1912"/>
      <c r="AD565" s="1912"/>
      <c r="AE565" s="1912"/>
      <c r="AF565" s="1912"/>
      <c r="AG565" s="1912"/>
    </row>
    <row r="566">
      <c r="A566" s="1912"/>
      <c r="B566" s="1912"/>
      <c r="C566" s="1912"/>
      <c r="D566" s="1912"/>
      <c r="E566" s="1912"/>
      <c r="F566" s="1912"/>
      <c r="G566" s="1912"/>
      <c r="H566" s="1912"/>
      <c r="I566" s="1912"/>
      <c r="J566" s="1912"/>
      <c r="K566" s="1912"/>
      <c r="L566" s="1912"/>
      <c r="M566" s="1912"/>
      <c r="N566" s="1912"/>
      <c r="O566" s="1912"/>
      <c r="P566" s="1912"/>
      <c r="Q566" s="1912"/>
      <c r="R566" s="1912"/>
      <c r="S566" s="1912"/>
      <c r="T566" s="1912"/>
      <c r="U566" s="1912"/>
      <c r="V566" s="1912"/>
      <c r="W566" s="1912"/>
      <c r="X566" s="1912"/>
      <c r="Y566" s="1912"/>
      <c r="Z566" s="1912"/>
      <c r="AA566" s="1912"/>
      <c r="AB566" s="1912"/>
      <c r="AC566" s="1912"/>
      <c r="AD566" s="1912"/>
      <c r="AE566" s="1912"/>
      <c r="AF566" s="1912"/>
      <c r="AG566" s="1912"/>
    </row>
    <row r="567">
      <c r="A567" s="1912"/>
      <c r="B567" s="1912"/>
      <c r="C567" s="1912"/>
      <c r="D567" s="1912"/>
      <c r="E567" s="1912"/>
      <c r="F567" s="1912"/>
      <c r="G567" s="1912"/>
      <c r="H567" s="1912"/>
      <c r="I567" s="1912"/>
      <c r="J567" s="1912"/>
      <c r="K567" s="1912"/>
      <c r="L567" s="1912"/>
      <c r="M567" s="1912"/>
      <c r="N567" s="1912"/>
      <c r="O567" s="1912"/>
      <c r="P567" s="1912"/>
      <c r="Q567" s="1912"/>
      <c r="R567" s="1912"/>
      <c r="S567" s="1912"/>
      <c r="T567" s="1912"/>
      <c r="U567" s="1912"/>
      <c r="V567" s="1912"/>
      <c r="W567" s="1912"/>
      <c r="X567" s="1912"/>
      <c r="Y567" s="1912"/>
      <c r="Z567" s="1912"/>
      <c r="AA567" s="1912"/>
      <c r="AB567" s="1912"/>
      <c r="AC567" s="1912"/>
      <c r="AD567" s="1912"/>
      <c r="AE567" s="1912"/>
      <c r="AF567" s="1912"/>
      <c r="AG567" s="1912"/>
    </row>
    <row r="568">
      <c r="A568" s="1912"/>
      <c r="B568" s="1912"/>
      <c r="C568" s="1912"/>
      <c r="D568" s="1912"/>
      <c r="E568" s="1912"/>
      <c r="F568" s="1912"/>
      <c r="G568" s="1912"/>
      <c r="H568" s="1912"/>
      <c r="I568" s="1912"/>
      <c r="J568" s="1912"/>
      <c r="K568" s="1912"/>
      <c r="L568" s="1912"/>
      <c r="M568" s="1912"/>
      <c r="N568" s="1912"/>
      <c r="O568" s="1912"/>
      <c r="P568" s="1912"/>
      <c r="Q568" s="1912"/>
      <c r="R568" s="1912"/>
      <c r="S568" s="1912"/>
      <c r="T568" s="1912"/>
      <c r="U568" s="1912"/>
      <c r="V568" s="1912"/>
      <c r="W568" s="1912"/>
      <c r="X568" s="1912"/>
      <c r="Y568" s="1912"/>
      <c r="Z568" s="1912"/>
      <c r="AA568" s="1912"/>
      <c r="AB568" s="1912"/>
      <c r="AC568" s="1912"/>
      <c r="AD568" s="1912"/>
      <c r="AE568" s="1912"/>
      <c r="AF568" s="1912"/>
      <c r="AG568" s="1912"/>
    </row>
    <row r="569">
      <c r="A569" s="1912"/>
      <c r="B569" s="1912"/>
      <c r="C569" s="1912"/>
      <c r="D569" s="1912"/>
      <c r="E569" s="1912"/>
      <c r="F569" s="1912"/>
      <c r="G569" s="1912"/>
      <c r="H569" s="1912"/>
      <c r="I569" s="1912"/>
      <c r="J569" s="1912"/>
      <c r="K569" s="1912"/>
      <c r="L569" s="1912"/>
      <c r="M569" s="1912"/>
      <c r="N569" s="1912"/>
      <c r="O569" s="1912"/>
      <c r="P569" s="1912"/>
      <c r="Q569" s="1912"/>
      <c r="R569" s="1912"/>
      <c r="S569" s="1912"/>
      <c r="T569" s="1912"/>
      <c r="U569" s="1912"/>
      <c r="V569" s="1912"/>
      <c r="W569" s="1912"/>
      <c r="X569" s="1912"/>
      <c r="Y569" s="1912"/>
      <c r="Z569" s="1912"/>
      <c r="AA569" s="1912"/>
      <c r="AB569" s="1912"/>
      <c r="AC569" s="1912"/>
      <c r="AD569" s="1912"/>
      <c r="AE569" s="1912"/>
      <c r="AF569" s="1912"/>
      <c r="AG569" s="1912"/>
    </row>
    <row r="570">
      <c r="A570" s="1912"/>
      <c r="B570" s="1912"/>
      <c r="C570" s="1912"/>
      <c r="D570" s="1912"/>
      <c r="E570" s="1912"/>
      <c r="F570" s="1912"/>
      <c r="G570" s="1912"/>
      <c r="H570" s="1912"/>
      <c r="I570" s="1912"/>
      <c r="J570" s="1912"/>
      <c r="K570" s="1912"/>
      <c r="L570" s="1912"/>
      <c r="M570" s="1912"/>
      <c r="N570" s="1912"/>
      <c r="O570" s="1912"/>
      <c r="P570" s="1912"/>
      <c r="Q570" s="1912"/>
      <c r="R570" s="1912"/>
      <c r="S570" s="1912"/>
      <c r="T570" s="1912"/>
      <c r="U570" s="1912"/>
      <c r="V570" s="1912"/>
      <c r="W570" s="1912"/>
      <c r="X570" s="1912"/>
      <c r="Y570" s="1912"/>
      <c r="Z570" s="1912"/>
      <c r="AA570" s="1912"/>
      <c r="AB570" s="1912"/>
      <c r="AC570" s="1912"/>
      <c r="AD570" s="1912"/>
      <c r="AE570" s="1912"/>
      <c r="AF570" s="1912"/>
      <c r="AG570" s="1912"/>
    </row>
    <row r="571">
      <c r="A571" s="1912"/>
      <c r="B571" s="1912"/>
      <c r="C571" s="1912"/>
      <c r="D571" s="1912"/>
      <c r="E571" s="1912"/>
      <c r="F571" s="1912"/>
      <c r="G571" s="1912"/>
      <c r="H571" s="1912"/>
      <c r="I571" s="1912"/>
      <c r="J571" s="1912"/>
      <c r="K571" s="1912"/>
      <c r="L571" s="1912"/>
      <c r="M571" s="1912"/>
      <c r="N571" s="1912"/>
      <c r="O571" s="1912"/>
      <c r="P571" s="1912"/>
      <c r="Q571" s="1912"/>
      <c r="R571" s="1912"/>
      <c r="S571" s="1912"/>
      <c r="T571" s="1912"/>
      <c r="U571" s="1912"/>
      <c r="V571" s="1912"/>
      <c r="W571" s="1912"/>
      <c r="X571" s="1912"/>
      <c r="Y571" s="1912"/>
      <c r="Z571" s="1912"/>
      <c r="AA571" s="1912"/>
      <c r="AB571" s="1912"/>
      <c r="AC571" s="1912"/>
      <c r="AD571" s="1912"/>
      <c r="AE571" s="1912"/>
      <c r="AF571" s="1912"/>
      <c r="AG571" s="1912"/>
    </row>
    <row r="572">
      <c r="A572" s="1912"/>
      <c r="B572" s="1912"/>
      <c r="C572" s="1912"/>
      <c r="D572" s="1912"/>
      <c r="E572" s="1912"/>
      <c r="F572" s="1912"/>
      <c r="G572" s="1912"/>
      <c r="H572" s="1912"/>
      <c r="I572" s="1912"/>
      <c r="J572" s="1912"/>
      <c r="K572" s="1912"/>
      <c r="L572" s="1912"/>
      <c r="M572" s="1912"/>
      <c r="N572" s="1912"/>
      <c r="O572" s="1912"/>
      <c r="P572" s="1912"/>
      <c r="Q572" s="1912"/>
      <c r="R572" s="1912"/>
      <c r="S572" s="1912"/>
      <c r="T572" s="1912"/>
      <c r="U572" s="1912"/>
      <c r="V572" s="1912"/>
      <c r="W572" s="1912"/>
      <c r="X572" s="1912"/>
      <c r="Y572" s="1912"/>
      <c r="Z572" s="1912"/>
      <c r="AA572" s="1912"/>
      <c r="AB572" s="1912"/>
      <c r="AC572" s="1912"/>
      <c r="AD572" s="1912"/>
      <c r="AE572" s="1912"/>
      <c r="AF572" s="1912"/>
      <c r="AG572" s="1912"/>
    </row>
    <row r="573">
      <c r="A573" s="1912"/>
      <c r="B573" s="1912"/>
      <c r="C573" s="1912"/>
      <c r="D573" s="1912"/>
      <c r="E573" s="1912"/>
      <c r="F573" s="1912"/>
      <c r="G573" s="1912"/>
      <c r="H573" s="1912"/>
      <c r="I573" s="1912"/>
      <c r="J573" s="1912"/>
      <c r="K573" s="1912"/>
      <c r="L573" s="1912"/>
      <c r="M573" s="1912"/>
      <c r="N573" s="1912"/>
      <c r="O573" s="1912"/>
      <c r="P573" s="1912"/>
      <c r="Q573" s="1912"/>
      <c r="R573" s="1912"/>
      <c r="S573" s="1912"/>
      <c r="T573" s="1912"/>
      <c r="U573" s="1912"/>
      <c r="V573" s="1912"/>
      <c r="W573" s="1912"/>
      <c r="X573" s="1912"/>
      <c r="Y573" s="1912"/>
      <c r="Z573" s="1912"/>
      <c r="AA573" s="1912"/>
      <c r="AB573" s="1912"/>
      <c r="AC573" s="1912"/>
      <c r="AD573" s="1912"/>
      <c r="AE573" s="1912"/>
      <c r="AF573" s="1912"/>
      <c r="AG573" s="1912"/>
    </row>
    <row r="574">
      <c r="A574" s="1912"/>
      <c r="B574" s="1912"/>
      <c r="C574" s="1912"/>
      <c r="D574" s="1912"/>
      <c r="E574" s="1912"/>
      <c r="F574" s="1912"/>
      <c r="G574" s="1912"/>
      <c r="H574" s="1912"/>
      <c r="I574" s="1912"/>
      <c r="J574" s="1912"/>
      <c r="K574" s="1912"/>
      <c r="L574" s="1912"/>
      <c r="M574" s="1912"/>
      <c r="N574" s="1912"/>
      <c r="O574" s="1912"/>
      <c r="P574" s="1912"/>
      <c r="Q574" s="1912"/>
      <c r="R574" s="1912"/>
      <c r="S574" s="1912"/>
      <c r="T574" s="1912"/>
      <c r="U574" s="1912"/>
      <c r="V574" s="1912"/>
      <c r="W574" s="1912"/>
      <c r="X574" s="1912"/>
      <c r="Y574" s="1912"/>
      <c r="Z574" s="1912"/>
      <c r="AA574" s="1912"/>
      <c r="AB574" s="1912"/>
      <c r="AC574" s="1912"/>
      <c r="AD574" s="1912"/>
      <c r="AE574" s="1912"/>
      <c r="AF574" s="1912"/>
      <c r="AG574" s="1912"/>
    </row>
    <row r="575">
      <c r="A575" s="1912"/>
      <c r="B575" s="1912"/>
      <c r="C575" s="1912"/>
      <c r="D575" s="1912"/>
      <c r="E575" s="1912"/>
      <c r="F575" s="1912"/>
      <c r="G575" s="1912"/>
      <c r="H575" s="1912"/>
      <c r="I575" s="1912"/>
      <c r="J575" s="1912"/>
      <c r="K575" s="1912"/>
      <c r="L575" s="1912"/>
      <c r="M575" s="1912"/>
      <c r="N575" s="1912"/>
      <c r="O575" s="1912"/>
      <c r="P575" s="1912"/>
      <c r="Q575" s="1912"/>
      <c r="R575" s="1912"/>
      <c r="S575" s="1912"/>
      <c r="T575" s="1912"/>
      <c r="U575" s="1912"/>
      <c r="V575" s="1912"/>
      <c r="W575" s="1912"/>
      <c r="X575" s="1912"/>
      <c r="Y575" s="1912"/>
      <c r="Z575" s="1912"/>
      <c r="AA575" s="1912"/>
      <c r="AB575" s="1912"/>
      <c r="AC575" s="1912"/>
      <c r="AD575" s="1912"/>
      <c r="AE575" s="1912"/>
      <c r="AF575" s="1912"/>
      <c r="AG575" s="1912"/>
    </row>
    <row r="576">
      <c r="A576" s="1912"/>
      <c r="B576" s="1912"/>
      <c r="C576" s="1912"/>
      <c r="D576" s="1912"/>
      <c r="E576" s="1912"/>
      <c r="F576" s="1912"/>
      <c r="G576" s="1912"/>
      <c r="H576" s="1912"/>
      <c r="I576" s="1912"/>
      <c r="J576" s="1912"/>
      <c r="K576" s="1912"/>
      <c r="L576" s="1912"/>
      <c r="M576" s="1912"/>
      <c r="N576" s="1912"/>
      <c r="O576" s="1912"/>
      <c r="P576" s="1912"/>
      <c r="Q576" s="1912"/>
      <c r="R576" s="1912"/>
      <c r="S576" s="1912"/>
      <c r="T576" s="1912"/>
      <c r="U576" s="1912"/>
      <c r="V576" s="1912"/>
      <c r="W576" s="1912"/>
      <c r="X576" s="1912"/>
      <c r="Y576" s="1912"/>
      <c r="Z576" s="1912"/>
      <c r="AA576" s="1912"/>
      <c r="AB576" s="1912"/>
      <c r="AC576" s="1912"/>
      <c r="AD576" s="1912"/>
      <c r="AE576" s="1912"/>
      <c r="AF576" s="1912"/>
      <c r="AG576" s="1912"/>
    </row>
    <row r="577">
      <c r="A577" s="1912"/>
      <c r="B577" s="1912"/>
      <c r="C577" s="1912"/>
      <c r="D577" s="1912"/>
      <c r="E577" s="1912"/>
      <c r="F577" s="1912"/>
      <c r="G577" s="1912"/>
      <c r="H577" s="1912"/>
      <c r="I577" s="1912"/>
      <c r="J577" s="1912"/>
      <c r="K577" s="1912"/>
      <c r="L577" s="1912"/>
      <c r="M577" s="1912"/>
      <c r="N577" s="1912"/>
      <c r="O577" s="1912"/>
      <c r="P577" s="1912"/>
      <c r="Q577" s="1912"/>
      <c r="R577" s="1912"/>
      <c r="S577" s="1912"/>
      <c r="T577" s="1912"/>
      <c r="U577" s="1912"/>
      <c r="V577" s="1912"/>
      <c r="W577" s="1912"/>
      <c r="X577" s="1912"/>
      <c r="Y577" s="1912"/>
      <c r="Z577" s="1912"/>
      <c r="AA577" s="1912"/>
      <c r="AB577" s="1912"/>
      <c r="AC577" s="1912"/>
      <c r="AD577" s="1912"/>
      <c r="AE577" s="1912"/>
      <c r="AF577" s="1912"/>
      <c r="AG577" s="1912"/>
    </row>
    <row r="578">
      <c r="A578" s="1912"/>
      <c r="B578" s="1912"/>
      <c r="C578" s="1912"/>
      <c r="D578" s="1912"/>
      <c r="E578" s="1912"/>
      <c r="F578" s="1912"/>
      <c r="G578" s="1912"/>
      <c r="H578" s="1912"/>
      <c r="I578" s="1912"/>
      <c r="J578" s="1912"/>
      <c r="K578" s="1912"/>
      <c r="L578" s="1912"/>
      <c r="M578" s="1912"/>
      <c r="N578" s="1912"/>
      <c r="O578" s="1912"/>
      <c r="P578" s="1912"/>
      <c r="Q578" s="1912"/>
      <c r="R578" s="1912"/>
      <c r="S578" s="1912"/>
      <c r="T578" s="1912"/>
      <c r="U578" s="1912"/>
      <c r="V578" s="1912"/>
      <c r="W578" s="1912"/>
      <c r="X578" s="1912"/>
      <c r="Y578" s="1912"/>
      <c r="Z578" s="1912"/>
      <c r="AA578" s="1912"/>
      <c r="AB578" s="1912"/>
      <c r="AC578" s="1912"/>
      <c r="AD578" s="1912"/>
      <c r="AE578" s="1912"/>
      <c r="AF578" s="1912"/>
      <c r="AG578" s="1912"/>
    </row>
    <row r="579">
      <c r="A579" s="1912"/>
      <c r="B579" s="1912"/>
      <c r="C579" s="1912"/>
      <c r="D579" s="1912"/>
      <c r="E579" s="1912"/>
      <c r="F579" s="1912"/>
      <c r="G579" s="1912"/>
      <c r="H579" s="1912"/>
      <c r="I579" s="1912"/>
      <c r="J579" s="1912"/>
      <c r="K579" s="1912"/>
      <c r="L579" s="1912"/>
      <c r="M579" s="1912"/>
      <c r="N579" s="1912"/>
      <c r="O579" s="1912"/>
      <c r="P579" s="1912"/>
      <c r="Q579" s="1912"/>
      <c r="R579" s="1912"/>
      <c r="S579" s="1912"/>
      <c r="T579" s="1912"/>
      <c r="U579" s="1912"/>
      <c r="V579" s="1912"/>
      <c r="W579" s="1912"/>
      <c r="X579" s="1912"/>
      <c r="Y579" s="1912"/>
      <c r="Z579" s="1912"/>
      <c r="AA579" s="1912"/>
      <c r="AB579" s="1912"/>
      <c r="AC579" s="1912"/>
      <c r="AD579" s="1912"/>
      <c r="AE579" s="1912"/>
      <c r="AF579" s="1912"/>
      <c r="AG579" s="1912"/>
    </row>
    <row r="580">
      <c r="A580" s="1912"/>
      <c r="B580" s="1912"/>
      <c r="C580" s="1912"/>
      <c r="D580" s="1912"/>
      <c r="E580" s="1912"/>
      <c r="F580" s="1912"/>
      <c r="G580" s="1912"/>
      <c r="H580" s="1912"/>
      <c r="I580" s="1912"/>
      <c r="J580" s="1912"/>
      <c r="K580" s="1912"/>
      <c r="L580" s="1912"/>
      <c r="M580" s="1912"/>
      <c r="N580" s="1912"/>
      <c r="O580" s="1912"/>
      <c r="P580" s="1912"/>
      <c r="Q580" s="1912"/>
      <c r="R580" s="1912"/>
      <c r="S580" s="1912"/>
      <c r="T580" s="1912"/>
      <c r="U580" s="1912"/>
      <c r="V580" s="1912"/>
      <c r="W580" s="1912"/>
      <c r="X580" s="1912"/>
      <c r="Y580" s="1912"/>
      <c r="Z580" s="1912"/>
      <c r="AA580" s="1912"/>
      <c r="AB580" s="1912"/>
      <c r="AC580" s="1912"/>
      <c r="AD580" s="1912"/>
      <c r="AE580" s="1912"/>
      <c r="AF580" s="1912"/>
      <c r="AG580" s="1912"/>
    </row>
    <row r="581">
      <c r="A581" s="1912"/>
      <c r="B581" s="1912"/>
      <c r="C581" s="1912"/>
      <c r="D581" s="1912"/>
      <c r="E581" s="1912"/>
      <c r="F581" s="1912"/>
      <c r="G581" s="1912"/>
      <c r="H581" s="1912"/>
      <c r="I581" s="1912"/>
      <c r="J581" s="1912"/>
      <c r="K581" s="1912"/>
      <c r="L581" s="1912"/>
      <c r="M581" s="1912"/>
      <c r="N581" s="1912"/>
      <c r="O581" s="1912"/>
      <c r="P581" s="1912"/>
      <c r="Q581" s="1912"/>
      <c r="R581" s="1912"/>
      <c r="S581" s="1912"/>
      <c r="T581" s="1912"/>
      <c r="U581" s="1912"/>
      <c r="V581" s="1912"/>
      <c r="W581" s="1912"/>
      <c r="X581" s="1912"/>
      <c r="Y581" s="1912"/>
      <c r="Z581" s="1912"/>
      <c r="AA581" s="1912"/>
      <c r="AB581" s="1912"/>
      <c r="AC581" s="1912"/>
      <c r="AD581" s="1912"/>
      <c r="AE581" s="1912"/>
      <c r="AF581" s="1912"/>
      <c r="AG581" s="1912"/>
    </row>
    <row r="582">
      <c r="A582" s="1912"/>
      <c r="B582" s="1912"/>
      <c r="C582" s="1912"/>
      <c r="D582" s="1912"/>
      <c r="E582" s="1912"/>
      <c r="F582" s="1912"/>
      <c r="G582" s="1912"/>
      <c r="H582" s="1912"/>
      <c r="I582" s="1912"/>
      <c r="J582" s="1912"/>
      <c r="K582" s="1912"/>
      <c r="L582" s="1912"/>
      <c r="M582" s="1912"/>
      <c r="N582" s="1912"/>
      <c r="O582" s="1912"/>
      <c r="P582" s="1912"/>
      <c r="Q582" s="1912"/>
      <c r="R582" s="1912"/>
      <c r="S582" s="1912"/>
      <c r="T582" s="1912"/>
      <c r="U582" s="1912"/>
      <c r="V582" s="1912"/>
      <c r="W582" s="1912"/>
      <c r="X582" s="1912"/>
      <c r="Y582" s="1912"/>
      <c r="Z582" s="1912"/>
      <c r="AA582" s="1912"/>
      <c r="AB582" s="1912"/>
      <c r="AC582" s="1912"/>
      <c r="AD582" s="1912"/>
      <c r="AE582" s="1912"/>
      <c r="AF582" s="1912"/>
      <c r="AG582" s="1912"/>
    </row>
    <row r="583">
      <c r="A583" s="1912"/>
      <c r="B583" s="1912"/>
      <c r="C583" s="1912"/>
      <c r="D583" s="1912"/>
      <c r="E583" s="1912"/>
      <c r="F583" s="1912"/>
      <c r="G583" s="1912"/>
      <c r="H583" s="1912"/>
      <c r="I583" s="1912"/>
      <c r="J583" s="1912"/>
      <c r="K583" s="1912"/>
      <c r="L583" s="1912"/>
      <c r="M583" s="1912"/>
      <c r="N583" s="1912"/>
      <c r="O583" s="1912"/>
      <c r="P583" s="1912"/>
      <c r="Q583" s="1912"/>
      <c r="R583" s="1912"/>
      <c r="S583" s="1912"/>
      <c r="T583" s="1912"/>
      <c r="U583" s="1912"/>
      <c r="V583" s="1912"/>
      <c r="W583" s="1912"/>
      <c r="X583" s="1912"/>
      <c r="Y583" s="1912"/>
      <c r="Z583" s="1912"/>
      <c r="AA583" s="1912"/>
      <c r="AB583" s="1912"/>
      <c r="AC583" s="1912"/>
      <c r="AD583" s="1912"/>
      <c r="AE583" s="1912"/>
      <c r="AF583" s="1912"/>
      <c r="AG583" s="1912"/>
    </row>
    <row r="584">
      <c r="A584" s="1912"/>
      <c r="B584" s="1912"/>
      <c r="C584" s="1912"/>
      <c r="D584" s="1912"/>
      <c r="E584" s="1912"/>
      <c r="F584" s="1912"/>
      <c r="G584" s="1912"/>
      <c r="H584" s="1912"/>
      <c r="I584" s="1912"/>
      <c r="J584" s="1912"/>
      <c r="K584" s="1912"/>
      <c r="L584" s="1912"/>
      <c r="M584" s="1912"/>
      <c r="N584" s="1912"/>
      <c r="O584" s="1912"/>
      <c r="P584" s="1912"/>
      <c r="Q584" s="1912"/>
      <c r="R584" s="1912"/>
      <c r="S584" s="1912"/>
      <c r="T584" s="1912"/>
      <c r="U584" s="1912"/>
      <c r="V584" s="1912"/>
      <c r="W584" s="1912"/>
      <c r="X584" s="1912"/>
      <c r="Y584" s="1912"/>
      <c r="Z584" s="1912"/>
      <c r="AA584" s="1912"/>
      <c r="AB584" s="1912"/>
      <c r="AC584" s="1912"/>
      <c r="AD584" s="1912"/>
      <c r="AE584" s="1912"/>
      <c r="AF584" s="1912"/>
      <c r="AG584" s="1912"/>
    </row>
    <row r="585">
      <c r="A585" s="1912"/>
      <c r="B585" s="1912"/>
      <c r="C585" s="1912"/>
      <c r="D585" s="1912"/>
      <c r="E585" s="1912"/>
      <c r="F585" s="1912"/>
      <c r="G585" s="1912"/>
      <c r="H585" s="1912"/>
      <c r="I585" s="1912"/>
      <c r="J585" s="1912"/>
      <c r="K585" s="1912"/>
      <c r="L585" s="1912"/>
      <c r="M585" s="1912"/>
      <c r="N585" s="1912"/>
      <c r="O585" s="1912"/>
      <c r="P585" s="1912"/>
      <c r="Q585" s="1912"/>
      <c r="R585" s="1912"/>
      <c r="S585" s="1912"/>
      <c r="T585" s="1912"/>
      <c r="U585" s="1912"/>
      <c r="V585" s="1912"/>
      <c r="W585" s="1912"/>
      <c r="X585" s="1912"/>
      <c r="Y585" s="1912"/>
      <c r="Z585" s="1912"/>
      <c r="AA585" s="1912"/>
      <c r="AB585" s="1912"/>
      <c r="AC585" s="1912"/>
      <c r="AD585" s="1912"/>
      <c r="AE585" s="1912"/>
      <c r="AF585" s="1912"/>
      <c r="AG585" s="1912"/>
    </row>
    <row r="586">
      <c r="A586" s="1912"/>
      <c r="B586" s="1912"/>
      <c r="C586" s="1912"/>
      <c r="D586" s="1912"/>
      <c r="E586" s="1912"/>
      <c r="F586" s="1912"/>
      <c r="G586" s="1912"/>
      <c r="H586" s="1912"/>
      <c r="I586" s="1912"/>
      <c r="J586" s="1912"/>
      <c r="K586" s="1912"/>
      <c r="L586" s="1912"/>
      <c r="M586" s="1912"/>
      <c r="N586" s="1912"/>
      <c r="O586" s="1912"/>
      <c r="P586" s="1912"/>
      <c r="Q586" s="1912"/>
      <c r="R586" s="1912"/>
      <c r="S586" s="1912"/>
      <c r="T586" s="1912"/>
      <c r="U586" s="1912"/>
      <c r="V586" s="1912"/>
      <c r="W586" s="1912"/>
      <c r="X586" s="1912"/>
      <c r="Y586" s="1912"/>
      <c r="Z586" s="1912"/>
      <c r="AA586" s="1912"/>
      <c r="AB586" s="1912"/>
      <c r="AC586" s="1912"/>
      <c r="AD586" s="1912"/>
      <c r="AE586" s="1912"/>
      <c r="AF586" s="1912"/>
      <c r="AG586" s="1912"/>
    </row>
    <row r="587">
      <c r="A587" s="1912"/>
      <c r="B587" s="1912"/>
      <c r="C587" s="1912"/>
      <c r="D587" s="1912"/>
      <c r="E587" s="1912"/>
      <c r="F587" s="1912"/>
      <c r="G587" s="1912"/>
      <c r="H587" s="1912"/>
      <c r="I587" s="1912"/>
      <c r="J587" s="1912"/>
      <c r="K587" s="1912"/>
      <c r="L587" s="1912"/>
      <c r="M587" s="1912"/>
      <c r="N587" s="1912"/>
      <c r="O587" s="1912"/>
      <c r="P587" s="1912"/>
      <c r="Q587" s="1912"/>
      <c r="R587" s="1912"/>
      <c r="S587" s="1912"/>
      <c r="T587" s="1912"/>
      <c r="U587" s="1912"/>
      <c r="V587" s="1912"/>
      <c r="W587" s="1912"/>
      <c r="X587" s="1912"/>
      <c r="Y587" s="1912"/>
      <c r="Z587" s="1912"/>
      <c r="AA587" s="1912"/>
      <c r="AB587" s="1912"/>
      <c r="AC587" s="1912"/>
      <c r="AD587" s="1912"/>
      <c r="AE587" s="1912"/>
      <c r="AF587" s="1912"/>
      <c r="AG587" s="1912"/>
    </row>
    <row r="588">
      <c r="A588" s="1912"/>
      <c r="B588" s="1912"/>
      <c r="C588" s="1912"/>
      <c r="D588" s="1912"/>
      <c r="E588" s="1912"/>
      <c r="F588" s="1912"/>
      <c r="G588" s="1912"/>
      <c r="H588" s="1912"/>
      <c r="I588" s="1912"/>
      <c r="J588" s="1912"/>
      <c r="K588" s="1912"/>
      <c r="L588" s="1912"/>
      <c r="M588" s="1912"/>
      <c r="N588" s="1912"/>
      <c r="O588" s="1912"/>
      <c r="P588" s="1912"/>
      <c r="Q588" s="1912"/>
      <c r="R588" s="1912"/>
      <c r="S588" s="1912"/>
      <c r="T588" s="1912"/>
      <c r="U588" s="1912"/>
      <c r="V588" s="1912"/>
      <c r="W588" s="1912"/>
      <c r="X588" s="1912"/>
      <c r="Y588" s="1912"/>
      <c r="Z588" s="1912"/>
      <c r="AA588" s="1912"/>
      <c r="AB588" s="1912"/>
      <c r="AC588" s="1912"/>
      <c r="AD588" s="1912"/>
      <c r="AE588" s="1912"/>
      <c r="AF588" s="1912"/>
      <c r="AG588" s="1912"/>
    </row>
    <row r="589">
      <c r="A589" s="1912"/>
      <c r="B589" s="1912"/>
      <c r="C589" s="1912"/>
      <c r="D589" s="1912"/>
      <c r="E589" s="1912"/>
      <c r="F589" s="1912"/>
      <c r="G589" s="1912"/>
      <c r="H589" s="1912"/>
      <c r="I589" s="1912"/>
      <c r="J589" s="1912"/>
      <c r="K589" s="1912"/>
      <c r="L589" s="1912"/>
      <c r="M589" s="1912"/>
      <c r="N589" s="1912"/>
      <c r="O589" s="1912"/>
      <c r="P589" s="1912"/>
      <c r="Q589" s="1912"/>
      <c r="R589" s="1912"/>
      <c r="S589" s="1912"/>
      <c r="T589" s="1912"/>
      <c r="U589" s="1912"/>
      <c r="V589" s="1912"/>
      <c r="W589" s="1912"/>
      <c r="X589" s="1912"/>
      <c r="Y589" s="1912"/>
      <c r="Z589" s="1912"/>
      <c r="AA589" s="1912"/>
      <c r="AB589" s="1912"/>
      <c r="AC589" s="1912"/>
      <c r="AD589" s="1912"/>
      <c r="AE589" s="1912"/>
      <c r="AF589" s="1912"/>
      <c r="AG589" s="1912"/>
    </row>
    <row r="590">
      <c r="A590" s="1912"/>
      <c r="B590" s="1912"/>
      <c r="C590" s="1912"/>
      <c r="D590" s="1912"/>
      <c r="E590" s="1912"/>
      <c r="F590" s="1912"/>
      <c r="G590" s="1912"/>
      <c r="H590" s="1912"/>
      <c r="I590" s="1912"/>
      <c r="J590" s="1912"/>
      <c r="K590" s="1912"/>
      <c r="L590" s="1912"/>
      <c r="M590" s="1912"/>
      <c r="N590" s="1912"/>
      <c r="O590" s="1912"/>
      <c r="P590" s="1912"/>
      <c r="Q590" s="1912"/>
      <c r="R590" s="1912"/>
      <c r="S590" s="1912"/>
      <c r="T590" s="1912"/>
      <c r="U590" s="1912"/>
      <c r="V590" s="1912"/>
      <c r="W590" s="1912"/>
      <c r="X590" s="1912"/>
      <c r="Y590" s="1912"/>
      <c r="Z590" s="1912"/>
      <c r="AA590" s="1912"/>
      <c r="AB590" s="1912"/>
      <c r="AC590" s="1912"/>
      <c r="AD590" s="1912"/>
      <c r="AE590" s="1912"/>
      <c r="AF590" s="1912"/>
      <c r="AG590" s="1912"/>
    </row>
    <row r="591">
      <c r="A591" s="1912"/>
      <c r="B591" s="1912"/>
      <c r="C591" s="1912"/>
      <c r="D591" s="1912"/>
      <c r="E591" s="1912"/>
      <c r="F591" s="1912"/>
      <c r="G591" s="1912"/>
      <c r="H591" s="1912"/>
      <c r="I591" s="1912"/>
      <c r="J591" s="1912"/>
      <c r="K591" s="1912"/>
      <c r="L591" s="1912"/>
      <c r="M591" s="1912"/>
      <c r="N591" s="1912"/>
      <c r="O591" s="1912"/>
      <c r="P591" s="1912"/>
      <c r="Q591" s="1912"/>
      <c r="R591" s="1912"/>
      <c r="S591" s="1912"/>
      <c r="T591" s="1912"/>
      <c r="U591" s="1912"/>
      <c r="V591" s="1912"/>
      <c r="W591" s="1912"/>
      <c r="X591" s="1912"/>
      <c r="Y591" s="1912"/>
      <c r="Z591" s="1912"/>
      <c r="AA591" s="1912"/>
      <c r="AB591" s="1912"/>
      <c r="AC591" s="1912"/>
      <c r="AD591" s="1912"/>
      <c r="AE591" s="1912"/>
      <c r="AF591" s="1912"/>
      <c r="AG591" s="1912"/>
    </row>
    <row r="592">
      <c r="A592" s="1912"/>
      <c r="B592" s="1912"/>
      <c r="C592" s="1912"/>
      <c r="D592" s="1912"/>
      <c r="E592" s="1912"/>
      <c r="F592" s="1912"/>
      <c r="G592" s="1912"/>
      <c r="H592" s="1912"/>
      <c r="I592" s="1912"/>
      <c r="J592" s="1912"/>
      <c r="K592" s="1912"/>
      <c r="L592" s="1912"/>
      <c r="M592" s="1912"/>
      <c r="N592" s="1912"/>
      <c r="O592" s="1912"/>
      <c r="P592" s="1912"/>
      <c r="Q592" s="1912"/>
      <c r="R592" s="1912"/>
      <c r="S592" s="1912"/>
      <c r="T592" s="1912"/>
      <c r="U592" s="1912"/>
      <c r="V592" s="1912"/>
      <c r="W592" s="1912"/>
      <c r="X592" s="1912"/>
      <c r="Y592" s="1912"/>
      <c r="Z592" s="1912"/>
      <c r="AA592" s="1912"/>
      <c r="AB592" s="1912"/>
      <c r="AC592" s="1912"/>
      <c r="AD592" s="1912"/>
      <c r="AE592" s="1912"/>
      <c r="AF592" s="1912"/>
      <c r="AG592" s="1912"/>
    </row>
    <row r="593">
      <c r="A593" s="1912"/>
      <c r="B593" s="1912"/>
      <c r="C593" s="1912"/>
      <c r="D593" s="1912"/>
      <c r="E593" s="1912"/>
      <c r="F593" s="1912"/>
      <c r="G593" s="1912"/>
      <c r="H593" s="1912"/>
      <c r="I593" s="1912"/>
      <c r="J593" s="1912"/>
      <c r="K593" s="1912"/>
      <c r="L593" s="1912"/>
      <c r="M593" s="1912"/>
      <c r="N593" s="1912"/>
      <c r="O593" s="1912"/>
      <c r="P593" s="1912"/>
      <c r="Q593" s="1912"/>
      <c r="R593" s="1912"/>
      <c r="S593" s="1912"/>
      <c r="T593" s="1912"/>
      <c r="U593" s="1912"/>
      <c r="V593" s="1912"/>
      <c r="W593" s="1912"/>
      <c r="X593" s="1912"/>
      <c r="Y593" s="1912"/>
      <c r="Z593" s="1912"/>
      <c r="AA593" s="1912"/>
      <c r="AB593" s="1912"/>
      <c r="AC593" s="1912"/>
      <c r="AD593" s="1912"/>
      <c r="AE593" s="1912"/>
      <c r="AF593" s="1912"/>
      <c r="AG593" s="1912"/>
    </row>
    <row r="594">
      <c r="A594" s="1912"/>
      <c r="B594" s="1912"/>
      <c r="C594" s="1912"/>
      <c r="D594" s="1912"/>
      <c r="E594" s="1912"/>
      <c r="F594" s="1912"/>
      <c r="G594" s="1912"/>
      <c r="H594" s="1912"/>
      <c r="I594" s="1912"/>
      <c r="J594" s="1912"/>
      <c r="K594" s="1912"/>
      <c r="L594" s="1912"/>
      <c r="M594" s="1912"/>
      <c r="N594" s="1912"/>
      <c r="O594" s="1912"/>
      <c r="P594" s="1912"/>
      <c r="Q594" s="1912"/>
      <c r="R594" s="1912"/>
      <c r="S594" s="1912"/>
      <c r="T594" s="1912"/>
      <c r="U594" s="1912"/>
      <c r="V594" s="1912"/>
      <c r="W594" s="1912"/>
      <c r="X594" s="1912"/>
      <c r="Y594" s="1912"/>
      <c r="Z594" s="1912"/>
      <c r="AA594" s="1912"/>
      <c r="AB594" s="1912"/>
      <c r="AC594" s="1912"/>
      <c r="AD594" s="1912"/>
      <c r="AE594" s="1912"/>
      <c r="AF594" s="1912"/>
      <c r="AG594" s="1912"/>
    </row>
    <row r="595">
      <c r="A595" s="1912"/>
      <c r="B595" s="1912"/>
      <c r="C595" s="1912"/>
      <c r="D595" s="1912"/>
      <c r="E595" s="1912"/>
      <c r="F595" s="1912"/>
      <c r="G595" s="1912"/>
      <c r="H595" s="1912"/>
      <c r="I595" s="1912"/>
      <c r="J595" s="1912"/>
      <c r="K595" s="1912"/>
      <c r="L595" s="1912"/>
      <c r="M595" s="1912"/>
      <c r="N595" s="1912"/>
      <c r="O595" s="1912"/>
      <c r="P595" s="1912"/>
      <c r="Q595" s="1912"/>
      <c r="R595" s="1912"/>
      <c r="S595" s="1912"/>
      <c r="T595" s="1912"/>
      <c r="U595" s="1912"/>
      <c r="V595" s="1912"/>
      <c r="W595" s="1912"/>
      <c r="X595" s="1912"/>
      <c r="Y595" s="1912"/>
      <c r="Z595" s="1912"/>
      <c r="AA595" s="1912"/>
      <c r="AB595" s="1912"/>
      <c r="AC595" s="1912"/>
      <c r="AD595" s="1912"/>
      <c r="AE595" s="1912"/>
      <c r="AF595" s="1912"/>
      <c r="AG595" s="1912"/>
    </row>
    <row r="596">
      <c r="A596" s="1912"/>
      <c r="B596" s="1912"/>
      <c r="C596" s="1912"/>
      <c r="D596" s="1912"/>
      <c r="E596" s="1912"/>
      <c r="F596" s="1912"/>
      <c r="G596" s="1912"/>
      <c r="H596" s="1912"/>
      <c r="I596" s="1912"/>
      <c r="J596" s="1912"/>
      <c r="K596" s="1912"/>
      <c r="L596" s="1912"/>
      <c r="M596" s="1912"/>
      <c r="N596" s="1912"/>
      <c r="O596" s="1912"/>
      <c r="P596" s="1912"/>
      <c r="Q596" s="1912"/>
      <c r="R596" s="1912"/>
      <c r="S596" s="1912"/>
      <c r="T596" s="1912"/>
      <c r="U596" s="1912"/>
      <c r="V596" s="1912"/>
      <c r="W596" s="1912"/>
      <c r="X596" s="1912"/>
      <c r="Y596" s="1912"/>
      <c r="Z596" s="1912"/>
      <c r="AA596" s="1912"/>
      <c r="AB596" s="1912"/>
      <c r="AC596" s="1912"/>
      <c r="AD596" s="1912"/>
      <c r="AE596" s="1912"/>
      <c r="AF596" s="1912"/>
      <c r="AG596" s="1912"/>
    </row>
    <row r="597">
      <c r="A597" s="1912"/>
      <c r="B597" s="1912"/>
      <c r="C597" s="1912"/>
      <c r="D597" s="1912"/>
      <c r="E597" s="1912"/>
      <c r="F597" s="1912"/>
      <c r="G597" s="1912"/>
      <c r="H597" s="1912"/>
      <c r="I597" s="1912"/>
      <c r="J597" s="1912"/>
      <c r="K597" s="1912"/>
      <c r="L597" s="1912"/>
      <c r="M597" s="1912"/>
      <c r="N597" s="1912"/>
      <c r="O597" s="1912"/>
      <c r="P597" s="1912"/>
      <c r="Q597" s="1912"/>
      <c r="R597" s="1912"/>
      <c r="S597" s="1912"/>
      <c r="T597" s="1912"/>
      <c r="U597" s="1912"/>
      <c r="V597" s="1912"/>
      <c r="W597" s="1912"/>
      <c r="X597" s="1912"/>
      <c r="Y597" s="1912"/>
      <c r="Z597" s="1912"/>
      <c r="AA597" s="1912"/>
      <c r="AB597" s="1912"/>
      <c r="AC597" s="1912"/>
      <c r="AD597" s="1912"/>
      <c r="AE597" s="1912"/>
      <c r="AF597" s="1912"/>
      <c r="AG597" s="1912"/>
    </row>
    <row r="598">
      <c r="A598" s="1912"/>
      <c r="B598" s="1912"/>
      <c r="C598" s="1912"/>
      <c r="D598" s="1912"/>
      <c r="E598" s="1912"/>
      <c r="F598" s="1912"/>
      <c r="G598" s="1912"/>
      <c r="H598" s="1912"/>
      <c r="I598" s="1912"/>
      <c r="J598" s="1912"/>
      <c r="K598" s="1912"/>
      <c r="L598" s="1912"/>
      <c r="M598" s="1912"/>
      <c r="N598" s="1912"/>
      <c r="O598" s="1912"/>
      <c r="P598" s="1912"/>
      <c r="Q598" s="1912"/>
      <c r="R598" s="1912"/>
      <c r="S598" s="1912"/>
      <c r="T598" s="1912"/>
      <c r="U598" s="1912"/>
      <c r="V598" s="1912"/>
      <c r="W598" s="1912"/>
      <c r="X598" s="1912"/>
      <c r="Y598" s="1912"/>
      <c r="Z598" s="1912"/>
      <c r="AA598" s="1912"/>
      <c r="AB598" s="1912"/>
      <c r="AC598" s="1912"/>
      <c r="AD598" s="1912"/>
      <c r="AE598" s="1912"/>
      <c r="AF598" s="1912"/>
      <c r="AG598" s="1912"/>
    </row>
    <row r="599">
      <c r="A599" s="1912"/>
      <c r="B599" s="1912"/>
      <c r="C599" s="1912"/>
      <c r="D599" s="1912"/>
      <c r="E599" s="1912"/>
      <c r="F599" s="1912"/>
      <c r="G599" s="1912"/>
      <c r="H599" s="1912"/>
      <c r="I599" s="1912"/>
      <c r="J599" s="1912"/>
      <c r="K599" s="1912"/>
      <c r="L599" s="1912"/>
      <c r="M599" s="1912"/>
      <c r="N599" s="1912"/>
      <c r="O599" s="1912"/>
      <c r="P599" s="1912"/>
      <c r="Q599" s="1912"/>
      <c r="R599" s="1912"/>
      <c r="S599" s="1912"/>
      <c r="T599" s="1912"/>
      <c r="U599" s="1912"/>
      <c r="V599" s="1912"/>
      <c r="W599" s="1912"/>
      <c r="X599" s="1912"/>
      <c r="Y599" s="1912"/>
      <c r="Z599" s="1912"/>
      <c r="AA599" s="1912"/>
      <c r="AB599" s="1912"/>
      <c r="AC599" s="1912"/>
      <c r="AD599" s="1912"/>
      <c r="AE599" s="1912"/>
      <c r="AF599" s="1912"/>
      <c r="AG599" s="1912"/>
    </row>
    <row r="600">
      <c r="A600" s="1912"/>
      <c r="B600" s="1912"/>
      <c r="C600" s="1912"/>
      <c r="D600" s="1912"/>
      <c r="E600" s="1912"/>
      <c r="F600" s="1912"/>
      <c r="G600" s="1912"/>
      <c r="H600" s="1912"/>
      <c r="I600" s="1912"/>
      <c r="J600" s="1912"/>
      <c r="K600" s="1912"/>
      <c r="L600" s="1912"/>
      <c r="M600" s="1912"/>
      <c r="N600" s="1912"/>
      <c r="O600" s="1912"/>
      <c r="P600" s="1912"/>
      <c r="Q600" s="1912"/>
      <c r="R600" s="1912"/>
      <c r="S600" s="1912"/>
      <c r="T600" s="1912"/>
      <c r="U600" s="1912"/>
      <c r="V600" s="1912"/>
      <c r="W600" s="1912"/>
      <c r="X600" s="1912"/>
      <c r="Y600" s="1912"/>
      <c r="Z600" s="1912"/>
      <c r="AA600" s="1912"/>
      <c r="AB600" s="1912"/>
      <c r="AC600" s="1912"/>
      <c r="AD600" s="1912"/>
      <c r="AE600" s="1912"/>
      <c r="AF600" s="1912"/>
      <c r="AG600" s="1912"/>
    </row>
    <row r="601">
      <c r="A601" s="1912"/>
      <c r="B601" s="1912"/>
      <c r="C601" s="1912"/>
      <c r="D601" s="1912"/>
      <c r="E601" s="1912"/>
      <c r="F601" s="1912"/>
      <c r="G601" s="1912"/>
      <c r="H601" s="1912"/>
      <c r="I601" s="1912"/>
      <c r="J601" s="1912"/>
      <c r="K601" s="1912"/>
      <c r="L601" s="1912"/>
      <c r="M601" s="1912"/>
      <c r="N601" s="1912"/>
      <c r="O601" s="1912"/>
      <c r="P601" s="1912"/>
      <c r="Q601" s="1912"/>
      <c r="R601" s="1912"/>
      <c r="S601" s="1912"/>
      <c r="T601" s="1912"/>
      <c r="U601" s="1912"/>
      <c r="V601" s="1912"/>
      <c r="W601" s="1912"/>
      <c r="X601" s="1912"/>
      <c r="Y601" s="1912"/>
      <c r="Z601" s="1912"/>
      <c r="AA601" s="1912"/>
      <c r="AB601" s="1912"/>
      <c r="AC601" s="1912"/>
      <c r="AD601" s="1912"/>
      <c r="AE601" s="1912"/>
      <c r="AF601" s="1912"/>
      <c r="AG601" s="1912"/>
    </row>
    <row r="602">
      <c r="A602" s="1912"/>
      <c r="B602" s="1912"/>
      <c r="C602" s="1912"/>
      <c r="D602" s="1912"/>
      <c r="E602" s="1912"/>
      <c r="F602" s="1912"/>
      <c r="G602" s="1912"/>
      <c r="H602" s="1912"/>
      <c r="I602" s="1912"/>
      <c r="J602" s="1912"/>
      <c r="K602" s="1912"/>
      <c r="L602" s="1912"/>
      <c r="M602" s="1912"/>
      <c r="N602" s="1912"/>
      <c r="O602" s="1912"/>
      <c r="P602" s="1912"/>
      <c r="Q602" s="1912"/>
      <c r="R602" s="1912"/>
      <c r="S602" s="1912"/>
      <c r="T602" s="1912"/>
      <c r="U602" s="1912"/>
      <c r="V602" s="1912"/>
      <c r="W602" s="1912"/>
      <c r="X602" s="1912"/>
      <c r="Y602" s="1912"/>
      <c r="Z602" s="1912"/>
      <c r="AA602" s="1912"/>
      <c r="AB602" s="1912"/>
      <c r="AC602" s="1912"/>
      <c r="AD602" s="1912"/>
      <c r="AE602" s="1912"/>
      <c r="AF602" s="1912"/>
      <c r="AG602" s="1912"/>
    </row>
    <row r="603">
      <c r="A603" s="1912"/>
      <c r="B603" s="1912"/>
      <c r="C603" s="1912"/>
      <c r="D603" s="1912"/>
      <c r="E603" s="1912"/>
      <c r="F603" s="1912"/>
      <c r="G603" s="1912"/>
      <c r="H603" s="1912"/>
      <c r="I603" s="1912"/>
      <c r="J603" s="1912"/>
      <c r="K603" s="1912"/>
      <c r="L603" s="1912"/>
      <c r="M603" s="1912"/>
      <c r="N603" s="1912"/>
      <c r="O603" s="1912"/>
      <c r="P603" s="1912"/>
      <c r="Q603" s="1912"/>
      <c r="R603" s="1912"/>
      <c r="S603" s="1912"/>
      <c r="T603" s="1912"/>
      <c r="U603" s="1912"/>
      <c r="V603" s="1912"/>
      <c r="W603" s="1912"/>
      <c r="X603" s="1912"/>
      <c r="Y603" s="1912"/>
      <c r="Z603" s="1912"/>
      <c r="AA603" s="1912"/>
      <c r="AB603" s="1912"/>
      <c r="AC603" s="1912"/>
      <c r="AD603" s="1912"/>
      <c r="AE603" s="1912"/>
      <c r="AF603" s="1912"/>
      <c r="AG603" s="1912"/>
    </row>
    <row r="604">
      <c r="A604" s="1912"/>
      <c r="B604" s="1912"/>
      <c r="C604" s="1912"/>
      <c r="D604" s="1912"/>
      <c r="E604" s="1912"/>
      <c r="F604" s="1912"/>
      <c r="G604" s="1912"/>
      <c r="H604" s="1912"/>
      <c r="I604" s="1912"/>
      <c r="J604" s="1912"/>
      <c r="K604" s="1912"/>
      <c r="L604" s="1912"/>
      <c r="M604" s="1912"/>
      <c r="N604" s="1912"/>
      <c r="O604" s="1912"/>
      <c r="P604" s="1912"/>
      <c r="Q604" s="1912"/>
      <c r="R604" s="1912"/>
      <c r="S604" s="1912"/>
      <c r="T604" s="1912"/>
      <c r="U604" s="1912"/>
      <c r="V604" s="1912"/>
      <c r="W604" s="1912"/>
      <c r="X604" s="1912"/>
      <c r="Y604" s="1912"/>
      <c r="Z604" s="1912"/>
      <c r="AA604" s="1912"/>
      <c r="AB604" s="1912"/>
      <c r="AC604" s="1912"/>
      <c r="AD604" s="1912"/>
      <c r="AE604" s="1912"/>
      <c r="AF604" s="1912"/>
      <c r="AG604" s="1912"/>
    </row>
    <row r="605">
      <c r="A605" s="1912"/>
      <c r="B605" s="1912"/>
      <c r="C605" s="1912"/>
      <c r="D605" s="1912"/>
      <c r="E605" s="1912"/>
      <c r="F605" s="1912"/>
      <c r="G605" s="1912"/>
      <c r="H605" s="1912"/>
      <c r="I605" s="1912"/>
      <c r="J605" s="1912"/>
      <c r="K605" s="1912"/>
      <c r="L605" s="1912"/>
      <c r="M605" s="1912"/>
      <c r="N605" s="1912"/>
      <c r="O605" s="1912"/>
      <c r="P605" s="1912"/>
      <c r="Q605" s="1912"/>
      <c r="R605" s="1912"/>
      <c r="S605" s="1912"/>
      <c r="T605" s="1912"/>
      <c r="U605" s="1912"/>
      <c r="V605" s="1912"/>
      <c r="W605" s="1912"/>
      <c r="X605" s="1912"/>
      <c r="Y605" s="1912"/>
      <c r="Z605" s="1912"/>
      <c r="AA605" s="1912"/>
      <c r="AB605" s="1912"/>
      <c r="AC605" s="1912"/>
      <c r="AD605" s="1912"/>
      <c r="AE605" s="1912"/>
      <c r="AF605" s="1912"/>
      <c r="AG605" s="1912"/>
    </row>
    <row r="606">
      <c r="A606" s="1912"/>
      <c r="B606" s="1912"/>
      <c r="C606" s="1912"/>
      <c r="D606" s="1912"/>
      <c r="E606" s="1912"/>
      <c r="F606" s="1912"/>
      <c r="G606" s="1912"/>
      <c r="H606" s="1912"/>
      <c r="I606" s="1912"/>
      <c r="J606" s="1912"/>
      <c r="K606" s="1912"/>
      <c r="L606" s="1912"/>
      <c r="M606" s="1912"/>
      <c r="N606" s="1912"/>
      <c r="O606" s="1912"/>
      <c r="P606" s="1912"/>
      <c r="Q606" s="1912"/>
      <c r="R606" s="1912"/>
      <c r="S606" s="1912"/>
      <c r="T606" s="1912"/>
      <c r="U606" s="1912"/>
      <c r="V606" s="1912"/>
      <c r="W606" s="1912"/>
      <c r="X606" s="1912"/>
      <c r="Y606" s="1912"/>
      <c r="Z606" s="1912"/>
      <c r="AA606" s="1912"/>
      <c r="AB606" s="1912"/>
      <c r="AC606" s="1912"/>
      <c r="AD606" s="1912"/>
      <c r="AE606" s="1912"/>
      <c r="AF606" s="1912"/>
      <c r="AG606" s="1912"/>
    </row>
    <row r="607">
      <c r="A607" s="1912"/>
      <c r="B607" s="1912"/>
      <c r="C607" s="1912"/>
      <c r="D607" s="1912"/>
      <c r="E607" s="1912"/>
      <c r="F607" s="1912"/>
      <c r="G607" s="1912"/>
      <c r="H607" s="1912"/>
      <c r="I607" s="1912"/>
      <c r="J607" s="1912"/>
      <c r="K607" s="1912"/>
      <c r="L607" s="1912"/>
      <c r="M607" s="1912"/>
      <c r="N607" s="1912"/>
      <c r="O607" s="1912"/>
      <c r="P607" s="1912"/>
      <c r="Q607" s="1912"/>
      <c r="R607" s="1912"/>
      <c r="S607" s="1912"/>
      <c r="T607" s="1912"/>
      <c r="U607" s="1912"/>
      <c r="V607" s="1912"/>
      <c r="W607" s="1912"/>
      <c r="X607" s="1912"/>
      <c r="Y607" s="1912"/>
      <c r="Z607" s="1912"/>
      <c r="AA607" s="1912"/>
      <c r="AB607" s="1912"/>
      <c r="AC607" s="1912"/>
      <c r="AD607" s="1912"/>
      <c r="AE607" s="1912"/>
      <c r="AF607" s="1912"/>
      <c r="AG607" s="1912"/>
    </row>
    <row r="608">
      <c r="A608" s="1912"/>
      <c r="B608" s="1912"/>
      <c r="C608" s="1912"/>
      <c r="D608" s="1912"/>
      <c r="E608" s="1912"/>
      <c r="F608" s="1912"/>
      <c r="G608" s="1912"/>
      <c r="H608" s="1912"/>
      <c r="I608" s="1912"/>
      <c r="J608" s="1912"/>
      <c r="K608" s="1912"/>
      <c r="L608" s="1912"/>
      <c r="M608" s="1912"/>
      <c r="N608" s="1912"/>
      <c r="O608" s="1912"/>
      <c r="P608" s="1912"/>
      <c r="Q608" s="1912"/>
      <c r="R608" s="1912"/>
      <c r="S608" s="1912"/>
      <c r="T608" s="1912"/>
      <c r="U608" s="1912"/>
      <c r="V608" s="1912"/>
      <c r="W608" s="1912"/>
      <c r="X608" s="1912"/>
      <c r="Y608" s="1912"/>
      <c r="Z608" s="1912"/>
      <c r="AA608" s="1912"/>
      <c r="AB608" s="1912"/>
      <c r="AC608" s="1912"/>
      <c r="AD608" s="1912"/>
      <c r="AE608" s="1912"/>
      <c r="AF608" s="1912"/>
      <c r="AG608" s="1912"/>
    </row>
    <row r="609">
      <c r="A609" s="1912"/>
      <c r="B609" s="1912"/>
      <c r="C609" s="1912"/>
      <c r="D609" s="1912"/>
      <c r="E609" s="1912"/>
      <c r="F609" s="1912"/>
      <c r="G609" s="1912"/>
      <c r="H609" s="1912"/>
      <c r="I609" s="1912"/>
      <c r="J609" s="1912"/>
      <c r="K609" s="1912"/>
      <c r="L609" s="1912"/>
      <c r="M609" s="1912"/>
      <c r="N609" s="1912"/>
      <c r="O609" s="1912"/>
      <c r="P609" s="1912"/>
      <c r="Q609" s="1912"/>
      <c r="R609" s="1912"/>
      <c r="S609" s="1912"/>
      <c r="T609" s="1912"/>
      <c r="U609" s="1912"/>
      <c r="V609" s="1912"/>
      <c r="W609" s="1912"/>
      <c r="X609" s="1912"/>
      <c r="Y609" s="1912"/>
      <c r="Z609" s="1912"/>
      <c r="AA609" s="1912"/>
      <c r="AB609" s="1912"/>
      <c r="AC609" s="1912"/>
      <c r="AD609" s="1912"/>
      <c r="AE609" s="1912"/>
      <c r="AF609" s="1912"/>
      <c r="AG609" s="1912"/>
    </row>
    <row r="610">
      <c r="A610" s="1912"/>
      <c r="B610" s="1912"/>
      <c r="C610" s="1912"/>
      <c r="D610" s="1912"/>
      <c r="E610" s="1912"/>
      <c r="F610" s="1912"/>
      <c r="G610" s="1912"/>
      <c r="H610" s="1912"/>
      <c r="I610" s="1912"/>
      <c r="J610" s="1912"/>
      <c r="K610" s="1912"/>
      <c r="L610" s="1912"/>
      <c r="M610" s="1912"/>
      <c r="N610" s="1912"/>
      <c r="O610" s="1912"/>
      <c r="P610" s="1912"/>
      <c r="Q610" s="1912"/>
      <c r="R610" s="1912"/>
      <c r="S610" s="1912"/>
      <c r="T610" s="1912"/>
      <c r="U610" s="1912"/>
      <c r="V610" s="1912"/>
      <c r="W610" s="1912"/>
      <c r="X610" s="1912"/>
      <c r="Y610" s="1912"/>
      <c r="Z610" s="1912"/>
      <c r="AA610" s="1912"/>
      <c r="AB610" s="1912"/>
      <c r="AC610" s="1912"/>
      <c r="AD610" s="1912"/>
      <c r="AE610" s="1912"/>
      <c r="AF610" s="1912"/>
      <c r="AG610" s="1912"/>
    </row>
    <row r="611">
      <c r="A611" s="1912"/>
      <c r="B611" s="1912"/>
      <c r="C611" s="1912"/>
      <c r="D611" s="1912"/>
      <c r="E611" s="1912"/>
      <c r="F611" s="1912"/>
      <c r="G611" s="1912"/>
      <c r="H611" s="1912"/>
      <c r="I611" s="1912"/>
      <c r="J611" s="1912"/>
      <c r="K611" s="1912"/>
      <c r="L611" s="1912"/>
      <c r="M611" s="1912"/>
      <c r="N611" s="1912"/>
      <c r="O611" s="1912"/>
      <c r="P611" s="1912"/>
      <c r="Q611" s="1912"/>
      <c r="R611" s="1912"/>
      <c r="S611" s="1912"/>
      <c r="T611" s="1912"/>
      <c r="U611" s="1912"/>
      <c r="V611" s="1912"/>
      <c r="W611" s="1912"/>
      <c r="X611" s="1912"/>
      <c r="Y611" s="1912"/>
      <c r="Z611" s="1912"/>
      <c r="AA611" s="1912"/>
      <c r="AB611" s="1912"/>
      <c r="AC611" s="1912"/>
      <c r="AD611" s="1912"/>
      <c r="AE611" s="1912"/>
      <c r="AF611" s="1912"/>
      <c r="AG611" s="1912"/>
    </row>
    <row r="612">
      <c r="A612" s="1912"/>
      <c r="B612" s="1912"/>
      <c r="C612" s="1912"/>
      <c r="D612" s="1912"/>
      <c r="E612" s="1912"/>
      <c r="F612" s="1912"/>
      <c r="G612" s="1912"/>
      <c r="H612" s="1912"/>
      <c r="I612" s="1912"/>
      <c r="J612" s="1912"/>
      <c r="K612" s="1912"/>
      <c r="L612" s="1912"/>
      <c r="M612" s="1912"/>
      <c r="N612" s="1912"/>
      <c r="O612" s="1912"/>
      <c r="P612" s="1912"/>
      <c r="Q612" s="1912"/>
      <c r="R612" s="1912"/>
      <c r="S612" s="1912"/>
      <c r="T612" s="1912"/>
      <c r="U612" s="1912"/>
      <c r="V612" s="1912"/>
      <c r="W612" s="1912"/>
      <c r="X612" s="1912"/>
      <c r="Y612" s="1912"/>
      <c r="Z612" s="1912"/>
      <c r="AA612" s="1912"/>
      <c r="AB612" s="1912"/>
      <c r="AC612" s="1912"/>
      <c r="AD612" s="1912"/>
      <c r="AE612" s="1912"/>
      <c r="AF612" s="1912"/>
      <c r="AG612" s="1912"/>
    </row>
    <row r="613">
      <c r="A613" s="1912"/>
      <c r="B613" s="1912"/>
      <c r="C613" s="1912"/>
      <c r="D613" s="1912"/>
      <c r="E613" s="1912"/>
      <c r="F613" s="1912"/>
      <c r="G613" s="1912"/>
      <c r="H613" s="1912"/>
      <c r="I613" s="1912"/>
      <c r="J613" s="1912"/>
      <c r="K613" s="1912"/>
      <c r="L613" s="1912"/>
      <c r="M613" s="1912"/>
      <c r="N613" s="1912"/>
      <c r="O613" s="1912"/>
      <c r="P613" s="1912"/>
      <c r="Q613" s="1912"/>
      <c r="R613" s="1912"/>
      <c r="S613" s="1912"/>
      <c r="T613" s="1912"/>
      <c r="U613" s="1912"/>
      <c r="V613" s="1912"/>
      <c r="W613" s="1912"/>
      <c r="X613" s="1912"/>
      <c r="Y613" s="1912"/>
      <c r="Z613" s="1912"/>
      <c r="AA613" s="1912"/>
      <c r="AB613" s="1912"/>
      <c r="AC613" s="1912"/>
      <c r="AD613" s="1912"/>
      <c r="AE613" s="1912"/>
      <c r="AF613" s="1912"/>
      <c r="AG613" s="1912"/>
    </row>
    <row r="614">
      <c r="A614" s="1912"/>
      <c r="B614" s="1912"/>
      <c r="C614" s="1912"/>
      <c r="D614" s="1912"/>
      <c r="E614" s="1912"/>
      <c r="F614" s="1912"/>
      <c r="G614" s="1912"/>
      <c r="H614" s="1912"/>
      <c r="I614" s="1912"/>
      <c r="J614" s="1912"/>
      <c r="K614" s="1912"/>
      <c r="L614" s="1912"/>
      <c r="M614" s="1912"/>
      <c r="N614" s="1912"/>
      <c r="O614" s="1912"/>
      <c r="P614" s="1912"/>
      <c r="Q614" s="1912"/>
      <c r="R614" s="1912"/>
      <c r="S614" s="1912"/>
      <c r="T614" s="1912"/>
      <c r="U614" s="1912"/>
      <c r="V614" s="1912"/>
      <c r="W614" s="1912"/>
      <c r="X614" s="1912"/>
      <c r="Y614" s="1912"/>
      <c r="Z614" s="1912"/>
      <c r="AA614" s="1912"/>
      <c r="AB614" s="1912"/>
      <c r="AC614" s="1912"/>
      <c r="AD614" s="1912"/>
      <c r="AE614" s="1912"/>
      <c r="AF614" s="1912"/>
      <c r="AG614" s="1912"/>
    </row>
    <row r="615">
      <c r="A615" s="1912"/>
      <c r="B615" s="1912"/>
      <c r="C615" s="1912"/>
      <c r="D615" s="1912"/>
      <c r="E615" s="1912"/>
      <c r="F615" s="1912"/>
      <c r="G615" s="1912"/>
      <c r="H615" s="1912"/>
      <c r="I615" s="1912"/>
      <c r="J615" s="1912"/>
      <c r="K615" s="1912"/>
      <c r="L615" s="1912"/>
      <c r="M615" s="1912"/>
      <c r="N615" s="1912"/>
      <c r="O615" s="1912"/>
      <c r="P615" s="1912"/>
      <c r="Q615" s="1912"/>
      <c r="R615" s="1912"/>
      <c r="S615" s="1912"/>
      <c r="T615" s="1912"/>
      <c r="U615" s="1912"/>
      <c r="V615" s="1912"/>
      <c r="W615" s="1912"/>
      <c r="X615" s="1912"/>
      <c r="Y615" s="1912"/>
      <c r="Z615" s="1912"/>
      <c r="AA615" s="1912"/>
      <c r="AB615" s="1912"/>
      <c r="AC615" s="1912"/>
      <c r="AD615" s="1912"/>
      <c r="AE615" s="1912"/>
      <c r="AF615" s="1912"/>
      <c r="AG615" s="1912"/>
    </row>
    <row r="616">
      <c r="A616" s="1912"/>
      <c r="B616" s="1912"/>
      <c r="C616" s="1912"/>
      <c r="D616" s="1912"/>
      <c r="E616" s="1912"/>
      <c r="F616" s="1912"/>
      <c r="G616" s="1912"/>
      <c r="H616" s="1912"/>
      <c r="I616" s="1912"/>
      <c r="J616" s="1912"/>
      <c r="K616" s="1912"/>
      <c r="L616" s="1912"/>
      <c r="M616" s="1912"/>
      <c r="N616" s="1912"/>
      <c r="O616" s="1912"/>
      <c r="P616" s="1912"/>
      <c r="Q616" s="1912"/>
      <c r="R616" s="1912"/>
      <c r="S616" s="1912"/>
      <c r="T616" s="1912"/>
      <c r="U616" s="1912"/>
      <c r="V616" s="1912"/>
      <c r="W616" s="1912"/>
      <c r="X616" s="1912"/>
      <c r="Y616" s="1912"/>
      <c r="Z616" s="1912"/>
      <c r="AA616" s="1912"/>
      <c r="AB616" s="1912"/>
      <c r="AC616" s="1912"/>
      <c r="AD616" s="1912"/>
      <c r="AE616" s="1912"/>
      <c r="AF616" s="1912"/>
      <c r="AG616" s="1912"/>
    </row>
    <row r="617">
      <c r="A617" s="1912"/>
      <c r="B617" s="1912"/>
      <c r="C617" s="1912"/>
      <c r="D617" s="1912"/>
      <c r="E617" s="1912"/>
      <c r="F617" s="1912"/>
      <c r="G617" s="1912"/>
      <c r="H617" s="1912"/>
      <c r="I617" s="1912"/>
      <c r="J617" s="1912"/>
      <c r="K617" s="1912"/>
      <c r="L617" s="1912"/>
      <c r="M617" s="1912"/>
      <c r="N617" s="1912"/>
      <c r="O617" s="1912"/>
      <c r="P617" s="1912"/>
      <c r="Q617" s="1912"/>
      <c r="R617" s="1912"/>
      <c r="S617" s="1912"/>
      <c r="T617" s="1912"/>
      <c r="U617" s="1912"/>
      <c r="V617" s="1912"/>
      <c r="W617" s="1912"/>
      <c r="X617" s="1912"/>
      <c r="Y617" s="1912"/>
      <c r="Z617" s="1912"/>
      <c r="AA617" s="1912"/>
      <c r="AB617" s="1912"/>
      <c r="AC617" s="1912"/>
      <c r="AD617" s="1912"/>
      <c r="AE617" s="1912"/>
      <c r="AF617" s="1912"/>
      <c r="AG617" s="1912"/>
    </row>
    <row r="618">
      <c r="A618" s="1912"/>
      <c r="B618" s="1912"/>
      <c r="C618" s="1912"/>
      <c r="D618" s="1912"/>
      <c r="E618" s="1912"/>
      <c r="F618" s="1912"/>
      <c r="G618" s="1912"/>
      <c r="H618" s="1912"/>
      <c r="I618" s="1912"/>
      <c r="J618" s="1912"/>
      <c r="K618" s="1912"/>
      <c r="L618" s="1912"/>
      <c r="M618" s="1912"/>
      <c r="N618" s="1912"/>
      <c r="O618" s="1912"/>
      <c r="P618" s="1912"/>
      <c r="Q618" s="1912"/>
      <c r="R618" s="1912"/>
      <c r="S618" s="1912"/>
      <c r="T618" s="1912"/>
      <c r="U618" s="1912"/>
      <c r="V618" s="1912"/>
      <c r="W618" s="1912"/>
      <c r="X618" s="1912"/>
      <c r="Y618" s="1912"/>
      <c r="Z618" s="1912"/>
      <c r="AA618" s="1912"/>
      <c r="AB618" s="1912"/>
      <c r="AC618" s="1912"/>
      <c r="AD618" s="1912"/>
      <c r="AE618" s="1912"/>
      <c r="AF618" s="1912"/>
      <c r="AG618" s="1912"/>
    </row>
    <row r="619">
      <c r="A619" s="1912"/>
      <c r="B619" s="1912"/>
      <c r="C619" s="1912"/>
      <c r="D619" s="1912"/>
      <c r="E619" s="1912"/>
      <c r="F619" s="1912"/>
      <c r="G619" s="1912"/>
      <c r="H619" s="1912"/>
      <c r="I619" s="1912"/>
      <c r="J619" s="1912"/>
      <c r="K619" s="1912"/>
      <c r="L619" s="1912"/>
      <c r="M619" s="1912"/>
      <c r="N619" s="1912"/>
      <c r="O619" s="1912"/>
      <c r="P619" s="1912"/>
      <c r="Q619" s="1912"/>
      <c r="R619" s="1912"/>
      <c r="S619" s="1912"/>
      <c r="T619" s="1912"/>
      <c r="U619" s="1912"/>
      <c r="V619" s="1912"/>
      <c r="W619" s="1912"/>
      <c r="X619" s="1912"/>
      <c r="Y619" s="1912"/>
      <c r="Z619" s="1912"/>
      <c r="AA619" s="1912"/>
      <c r="AB619" s="1912"/>
      <c r="AC619" s="1912"/>
      <c r="AD619" s="1912"/>
      <c r="AE619" s="1912"/>
      <c r="AF619" s="1912"/>
      <c r="AG619" s="1912"/>
    </row>
    <row r="620">
      <c r="A620" s="1912"/>
      <c r="B620" s="1912"/>
      <c r="C620" s="1912"/>
      <c r="D620" s="1912"/>
      <c r="E620" s="1912"/>
      <c r="F620" s="1912"/>
      <c r="G620" s="1912"/>
      <c r="H620" s="1912"/>
      <c r="I620" s="1912"/>
      <c r="J620" s="1912"/>
      <c r="K620" s="1912"/>
      <c r="L620" s="1912"/>
      <c r="M620" s="1912"/>
      <c r="N620" s="1912"/>
      <c r="O620" s="1912"/>
      <c r="P620" s="1912"/>
      <c r="Q620" s="1912"/>
      <c r="R620" s="1912"/>
      <c r="S620" s="1912"/>
      <c r="T620" s="1912"/>
      <c r="U620" s="1912"/>
      <c r="V620" s="1912"/>
      <c r="W620" s="1912"/>
      <c r="X620" s="1912"/>
      <c r="Y620" s="1912"/>
      <c r="Z620" s="1912"/>
      <c r="AA620" s="1912"/>
      <c r="AB620" s="1912"/>
      <c r="AC620" s="1912"/>
      <c r="AD620" s="1912"/>
      <c r="AE620" s="1912"/>
      <c r="AF620" s="1912"/>
      <c r="AG620" s="1912"/>
    </row>
    <row r="621">
      <c r="A621" s="1912"/>
      <c r="B621" s="1912"/>
      <c r="C621" s="1912"/>
      <c r="D621" s="1912"/>
      <c r="E621" s="1912"/>
      <c r="F621" s="1912"/>
      <c r="G621" s="1912"/>
      <c r="H621" s="1912"/>
      <c r="I621" s="1912"/>
      <c r="J621" s="1912"/>
      <c r="K621" s="1912"/>
      <c r="L621" s="1912"/>
      <c r="M621" s="1912"/>
      <c r="N621" s="1912"/>
      <c r="O621" s="1912"/>
      <c r="P621" s="1912"/>
      <c r="Q621" s="1912"/>
      <c r="R621" s="1912"/>
      <c r="S621" s="1912"/>
      <c r="T621" s="1912"/>
      <c r="U621" s="1912"/>
      <c r="V621" s="1912"/>
      <c r="W621" s="1912"/>
      <c r="X621" s="1912"/>
      <c r="Y621" s="1912"/>
      <c r="Z621" s="1912"/>
      <c r="AA621" s="1912"/>
      <c r="AB621" s="1912"/>
      <c r="AC621" s="1912"/>
      <c r="AD621" s="1912"/>
      <c r="AE621" s="1912"/>
      <c r="AF621" s="1912"/>
      <c r="AG621" s="1912"/>
    </row>
    <row r="622">
      <c r="A622" s="1912"/>
      <c r="B622" s="1912"/>
      <c r="C622" s="1912"/>
      <c r="D622" s="1912"/>
      <c r="E622" s="1912"/>
      <c r="F622" s="1912"/>
      <c r="G622" s="1912"/>
      <c r="H622" s="1912"/>
      <c r="I622" s="1912"/>
      <c r="J622" s="1912"/>
      <c r="K622" s="1912"/>
      <c r="L622" s="1912"/>
      <c r="M622" s="1912"/>
      <c r="N622" s="1912"/>
      <c r="O622" s="1912"/>
      <c r="P622" s="1912"/>
      <c r="Q622" s="1912"/>
      <c r="R622" s="1912"/>
      <c r="S622" s="1912"/>
      <c r="T622" s="1912"/>
      <c r="U622" s="1912"/>
      <c r="V622" s="1912"/>
      <c r="W622" s="1912"/>
      <c r="X622" s="1912"/>
      <c r="Y622" s="1912"/>
      <c r="Z622" s="1912"/>
      <c r="AA622" s="1912"/>
      <c r="AB622" s="1912"/>
      <c r="AC622" s="1912"/>
      <c r="AD622" s="1912"/>
      <c r="AE622" s="1912"/>
      <c r="AF622" s="1912"/>
      <c r="AG622" s="1912"/>
    </row>
    <row r="623">
      <c r="A623" s="1912"/>
      <c r="B623" s="1912"/>
      <c r="C623" s="1912"/>
      <c r="D623" s="1912"/>
      <c r="E623" s="1912"/>
      <c r="F623" s="1912"/>
      <c r="G623" s="1912"/>
      <c r="H623" s="1912"/>
      <c r="I623" s="1912"/>
      <c r="J623" s="1912"/>
      <c r="K623" s="1912"/>
      <c r="L623" s="1912"/>
      <c r="M623" s="1912"/>
      <c r="N623" s="1912"/>
      <c r="O623" s="1912"/>
      <c r="P623" s="1912"/>
      <c r="Q623" s="1912"/>
      <c r="R623" s="1912"/>
      <c r="S623" s="1912"/>
      <c r="T623" s="1912"/>
      <c r="U623" s="1912"/>
      <c r="V623" s="1912"/>
      <c r="W623" s="1912"/>
      <c r="X623" s="1912"/>
      <c r="Y623" s="1912"/>
      <c r="Z623" s="1912"/>
      <c r="AA623" s="1912"/>
      <c r="AB623" s="1912"/>
      <c r="AC623" s="1912"/>
      <c r="AD623" s="1912"/>
      <c r="AE623" s="1912"/>
      <c r="AF623" s="1912"/>
      <c r="AG623" s="1912"/>
    </row>
    <row r="624">
      <c r="A624" s="1912"/>
      <c r="B624" s="1912"/>
      <c r="C624" s="1912"/>
      <c r="D624" s="1912"/>
      <c r="E624" s="1912"/>
      <c r="F624" s="1912"/>
      <c r="G624" s="1912"/>
      <c r="H624" s="1912"/>
      <c r="I624" s="1912"/>
      <c r="J624" s="1912"/>
      <c r="K624" s="1912"/>
      <c r="L624" s="1912"/>
      <c r="M624" s="1912"/>
      <c r="N624" s="1912"/>
      <c r="O624" s="1912"/>
      <c r="P624" s="1912"/>
      <c r="Q624" s="1912"/>
      <c r="R624" s="1912"/>
      <c r="S624" s="1912"/>
      <c r="T624" s="1912"/>
      <c r="U624" s="1912"/>
      <c r="V624" s="1912"/>
      <c r="W624" s="1912"/>
      <c r="X624" s="1912"/>
      <c r="Y624" s="1912"/>
      <c r="Z624" s="1912"/>
      <c r="AA624" s="1912"/>
      <c r="AB624" s="1912"/>
      <c r="AC624" s="1912"/>
      <c r="AD624" s="1912"/>
      <c r="AE624" s="1912"/>
      <c r="AF624" s="1912"/>
      <c r="AG624" s="1912"/>
    </row>
    <row r="625">
      <c r="A625" s="1912"/>
      <c r="B625" s="1912"/>
      <c r="C625" s="1912"/>
      <c r="D625" s="1912"/>
      <c r="E625" s="1912"/>
      <c r="F625" s="1912"/>
      <c r="G625" s="1912"/>
      <c r="H625" s="1912"/>
      <c r="I625" s="1912"/>
      <c r="J625" s="1912"/>
      <c r="K625" s="1912"/>
      <c r="L625" s="1912"/>
      <c r="M625" s="1912"/>
      <c r="N625" s="1912"/>
      <c r="O625" s="1912"/>
      <c r="P625" s="1912"/>
      <c r="Q625" s="1912"/>
      <c r="R625" s="1912"/>
      <c r="S625" s="1912"/>
      <c r="T625" s="1912"/>
      <c r="U625" s="1912"/>
      <c r="V625" s="1912"/>
      <c r="W625" s="1912"/>
      <c r="X625" s="1912"/>
      <c r="Y625" s="1912"/>
      <c r="Z625" s="1912"/>
      <c r="AA625" s="1912"/>
      <c r="AB625" s="1912"/>
      <c r="AC625" s="1912"/>
      <c r="AD625" s="1912"/>
      <c r="AE625" s="1912"/>
      <c r="AF625" s="1912"/>
      <c r="AG625" s="1912"/>
    </row>
    <row r="626">
      <c r="A626" s="1912"/>
      <c r="B626" s="1912"/>
      <c r="C626" s="1912"/>
      <c r="D626" s="1912"/>
      <c r="E626" s="1912"/>
      <c r="F626" s="1912"/>
      <c r="G626" s="1912"/>
      <c r="H626" s="1912"/>
      <c r="I626" s="1912"/>
      <c r="J626" s="1912"/>
      <c r="K626" s="1912"/>
      <c r="L626" s="1912"/>
      <c r="M626" s="1912"/>
      <c r="N626" s="1912"/>
      <c r="O626" s="1912"/>
      <c r="P626" s="1912"/>
      <c r="Q626" s="1912"/>
      <c r="R626" s="1912"/>
      <c r="S626" s="1912"/>
      <c r="T626" s="1912"/>
      <c r="U626" s="1912"/>
      <c r="V626" s="1912"/>
      <c r="W626" s="1912"/>
      <c r="X626" s="1912"/>
      <c r="Y626" s="1912"/>
      <c r="Z626" s="1912"/>
      <c r="AA626" s="1912"/>
      <c r="AB626" s="1912"/>
      <c r="AC626" s="1912"/>
      <c r="AD626" s="1912"/>
      <c r="AE626" s="1912"/>
      <c r="AF626" s="1912"/>
      <c r="AG626" s="1912"/>
    </row>
    <row r="627">
      <c r="A627" s="1912"/>
      <c r="B627" s="1912"/>
      <c r="C627" s="1912"/>
      <c r="D627" s="1912"/>
      <c r="E627" s="1912"/>
      <c r="F627" s="1912"/>
      <c r="G627" s="1912"/>
      <c r="H627" s="1912"/>
      <c r="I627" s="1912"/>
      <c r="J627" s="1912"/>
      <c r="K627" s="1912"/>
      <c r="L627" s="1912"/>
      <c r="M627" s="1912"/>
      <c r="N627" s="1912"/>
      <c r="O627" s="1912"/>
      <c r="P627" s="1912"/>
      <c r="Q627" s="1912"/>
      <c r="R627" s="1912"/>
      <c r="S627" s="1912"/>
      <c r="T627" s="1912"/>
      <c r="U627" s="1912"/>
      <c r="V627" s="1912"/>
      <c r="W627" s="1912"/>
      <c r="X627" s="1912"/>
      <c r="Y627" s="1912"/>
      <c r="Z627" s="1912"/>
      <c r="AA627" s="1912"/>
      <c r="AB627" s="1912"/>
      <c r="AC627" s="1912"/>
      <c r="AD627" s="1912"/>
      <c r="AE627" s="1912"/>
      <c r="AF627" s="1912"/>
      <c r="AG627" s="1912"/>
    </row>
    <row r="628">
      <c r="A628" s="1912"/>
      <c r="B628" s="1912"/>
      <c r="C628" s="1912"/>
      <c r="D628" s="1912"/>
      <c r="E628" s="1912"/>
      <c r="F628" s="1912"/>
      <c r="G628" s="1912"/>
      <c r="H628" s="1912"/>
      <c r="I628" s="1912"/>
      <c r="J628" s="1912"/>
      <c r="K628" s="1912"/>
      <c r="L628" s="1912"/>
      <c r="M628" s="1912"/>
      <c r="N628" s="1912"/>
      <c r="O628" s="1912"/>
      <c r="P628" s="1912"/>
      <c r="Q628" s="1912"/>
      <c r="R628" s="1912"/>
      <c r="S628" s="1912"/>
      <c r="T628" s="1912"/>
      <c r="U628" s="1912"/>
      <c r="V628" s="1912"/>
      <c r="W628" s="1912"/>
      <c r="X628" s="1912"/>
      <c r="Y628" s="1912"/>
      <c r="Z628" s="1912"/>
      <c r="AA628" s="1912"/>
      <c r="AB628" s="1912"/>
      <c r="AC628" s="1912"/>
      <c r="AD628" s="1912"/>
      <c r="AE628" s="1912"/>
      <c r="AF628" s="1912"/>
      <c r="AG628" s="1912"/>
    </row>
    <row r="629">
      <c r="A629" s="1912"/>
      <c r="B629" s="1912"/>
      <c r="C629" s="1912"/>
      <c r="D629" s="1912"/>
      <c r="E629" s="1912"/>
      <c r="F629" s="1912"/>
      <c r="G629" s="1912"/>
      <c r="H629" s="1912"/>
      <c r="I629" s="1912"/>
      <c r="J629" s="1912"/>
      <c r="K629" s="1912"/>
      <c r="L629" s="1912"/>
      <c r="M629" s="1912"/>
      <c r="N629" s="1912"/>
      <c r="O629" s="1912"/>
      <c r="P629" s="1912"/>
      <c r="Q629" s="1912"/>
      <c r="R629" s="1912"/>
      <c r="S629" s="1912"/>
      <c r="T629" s="1912"/>
      <c r="U629" s="1912"/>
      <c r="V629" s="1912"/>
      <c r="W629" s="1912"/>
      <c r="X629" s="1912"/>
      <c r="Y629" s="1912"/>
      <c r="Z629" s="1912"/>
      <c r="AA629" s="1912"/>
      <c r="AB629" s="1912"/>
      <c r="AC629" s="1912"/>
      <c r="AD629" s="1912"/>
      <c r="AE629" s="1912"/>
      <c r="AF629" s="1912"/>
      <c r="AG629" s="1912"/>
    </row>
    <row r="630">
      <c r="A630" s="1912"/>
      <c r="B630" s="1912"/>
      <c r="C630" s="1912"/>
      <c r="D630" s="1912"/>
      <c r="E630" s="1912"/>
      <c r="F630" s="1912"/>
      <c r="G630" s="1912"/>
      <c r="H630" s="1912"/>
      <c r="I630" s="1912"/>
      <c r="J630" s="1912"/>
      <c r="K630" s="1912"/>
      <c r="L630" s="1912"/>
      <c r="M630" s="1912"/>
      <c r="N630" s="1912"/>
      <c r="O630" s="1912"/>
      <c r="P630" s="1912"/>
      <c r="Q630" s="1912"/>
      <c r="R630" s="1912"/>
      <c r="S630" s="1912"/>
      <c r="T630" s="1912"/>
      <c r="U630" s="1912"/>
      <c r="V630" s="1912"/>
      <c r="W630" s="1912"/>
      <c r="X630" s="1912"/>
      <c r="Y630" s="1912"/>
      <c r="Z630" s="1912"/>
      <c r="AA630" s="1912"/>
      <c r="AB630" s="1912"/>
      <c r="AC630" s="1912"/>
      <c r="AD630" s="1912"/>
      <c r="AE630" s="1912"/>
      <c r="AF630" s="1912"/>
      <c r="AG630" s="1912"/>
    </row>
    <row r="631">
      <c r="A631" s="1912"/>
      <c r="B631" s="1912"/>
      <c r="C631" s="1912"/>
      <c r="D631" s="1912"/>
      <c r="E631" s="1912"/>
      <c r="F631" s="1912"/>
      <c r="G631" s="1912"/>
      <c r="H631" s="1912"/>
      <c r="I631" s="1912"/>
      <c r="J631" s="1912"/>
      <c r="K631" s="1912"/>
      <c r="L631" s="1912"/>
      <c r="M631" s="1912"/>
      <c r="N631" s="1912"/>
      <c r="O631" s="1912"/>
      <c r="P631" s="1912"/>
      <c r="Q631" s="1912"/>
      <c r="R631" s="1912"/>
      <c r="S631" s="1912"/>
      <c r="T631" s="1912"/>
      <c r="U631" s="1912"/>
      <c r="V631" s="1912"/>
      <c r="W631" s="1912"/>
      <c r="X631" s="1912"/>
      <c r="Y631" s="1912"/>
      <c r="Z631" s="1912"/>
      <c r="AA631" s="1912"/>
      <c r="AB631" s="1912"/>
      <c r="AC631" s="1912"/>
      <c r="AD631" s="1912"/>
      <c r="AE631" s="1912"/>
      <c r="AF631" s="1912"/>
      <c r="AG631" s="1912"/>
    </row>
    <row r="632">
      <c r="A632" s="1912"/>
      <c r="B632" s="1912"/>
      <c r="C632" s="1912"/>
      <c r="D632" s="1912"/>
      <c r="E632" s="1912"/>
      <c r="F632" s="1912"/>
      <c r="G632" s="1912"/>
      <c r="H632" s="1912"/>
      <c r="I632" s="1912"/>
      <c r="J632" s="1912"/>
      <c r="K632" s="1912"/>
      <c r="L632" s="1912"/>
      <c r="M632" s="1912"/>
      <c r="N632" s="1912"/>
      <c r="O632" s="1912"/>
      <c r="P632" s="1912"/>
      <c r="Q632" s="1912"/>
      <c r="R632" s="1912"/>
      <c r="S632" s="1912"/>
      <c r="T632" s="1912"/>
      <c r="U632" s="1912"/>
      <c r="V632" s="1912"/>
      <c r="W632" s="1912"/>
      <c r="X632" s="1912"/>
      <c r="Y632" s="1912"/>
      <c r="Z632" s="1912"/>
      <c r="AA632" s="1912"/>
      <c r="AB632" s="1912"/>
      <c r="AC632" s="1912"/>
      <c r="AD632" s="1912"/>
      <c r="AE632" s="1912"/>
      <c r="AF632" s="1912"/>
      <c r="AG632" s="1912"/>
    </row>
    <row r="633">
      <c r="A633" s="1912"/>
      <c r="B633" s="1912"/>
      <c r="C633" s="1912"/>
      <c r="D633" s="1912"/>
      <c r="E633" s="1912"/>
      <c r="F633" s="1912"/>
      <c r="G633" s="1912"/>
      <c r="H633" s="1912"/>
      <c r="I633" s="1912"/>
      <c r="J633" s="1912"/>
      <c r="K633" s="1912"/>
      <c r="L633" s="1912"/>
      <c r="M633" s="1912"/>
      <c r="N633" s="1912"/>
      <c r="O633" s="1912"/>
      <c r="P633" s="1912"/>
      <c r="Q633" s="1912"/>
      <c r="R633" s="1912"/>
      <c r="S633" s="1912"/>
      <c r="T633" s="1912"/>
      <c r="U633" s="1912"/>
      <c r="V633" s="1912"/>
      <c r="W633" s="1912"/>
      <c r="X633" s="1912"/>
      <c r="Y633" s="1912"/>
      <c r="Z633" s="1912"/>
      <c r="AA633" s="1912"/>
      <c r="AB633" s="1912"/>
      <c r="AC633" s="1912"/>
      <c r="AD633" s="1912"/>
      <c r="AE633" s="1912"/>
      <c r="AF633" s="1912"/>
      <c r="AG633" s="1912"/>
    </row>
    <row r="634">
      <c r="A634" s="1912"/>
      <c r="B634" s="1912"/>
      <c r="C634" s="1912"/>
      <c r="D634" s="1912"/>
      <c r="E634" s="1912"/>
      <c r="F634" s="1912"/>
      <c r="G634" s="1912"/>
      <c r="H634" s="1912"/>
      <c r="I634" s="1912"/>
      <c r="J634" s="1912"/>
      <c r="K634" s="1912"/>
      <c r="L634" s="1912"/>
      <c r="M634" s="1912"/>
      <c r="N634" s="1912"/>
      <c r="O634" s="1912"/>
      <c r="P634" s="1912"/>
      <c r="Q634" s="1912"/>
      <c r="R634" s="1912"/>
      <c r="S634" s="1912"/>
      <c r="T634" s="1912"/>
      <c r="U634" s="1912"/>
      <c r="V634" s="1912"/>
      <c r="W634" s="1912"/>
      <c r="X634" s="1912"/>
      <c r="Y634" s="1912"/>
      <c r="Z634" s="1912"/>
      <c r="AA634" s="1912"/>
      <c r="AB634" s="1912"/>
      <c r="AC634" s="1912"/>
      <c r="AD634" s="1912"/>
      <c r="AE634" s="1912"/>
      <c r="AF634" s="1912"/>
      <c r="AG634" s="1912"/>
    </row>
    <row r="635">
      <c r="A635" s="1912"/>
      <c r="B635" s="1912"/>
      <c r="C635" s="1912"/>
      <c r="D635" s="1912"/>
      <c r="E635" s="1912"/>
      <c r="F635" s="1912"/>
      <c r="G635" s="1912"/>
      <c r="H635" s="1912"/>
      <c r="I635" s="1912"/>
      <c r="J635" s="1912"/>
      <c r="K635" s="1912"/>
      <c r="L635" s="1912"/>
      <c r="M635" s="1912"/>
      <c r="N635" s="1912"/>
      <c r="O635" s="1912"/>
      <c r="P635" s="1912"/>
      <c r="Q635" s="1912"/>
      <c r="R635" s="1912"/>
      <c r="S635" s="1912"/>
      <c r="T635" s="1912"/>
      <c r="U635" s="1912"/>
      <c r="V635" s="1912"/>
      <c r="W635" s="1912"/>
      <c r="X635" s="1912"/>
      <c r="Y635" s="1912"/>
      <c r="Z635" s="1912"/>
      <c r="AA635" s="1912"/>
      <c r="AB635" s="1912"/>
      <c r="AC635" s="1912"/>
      <c r="AD635" s="1912"/>
      <c r="AE635" s="1912"/>
      <c r="AF635" s="1912"/>
      <c r="AG635" s="1912"/>
    </row>
    <row r="636">
      <c r="A636" s="1912"/>
      <c r="B636" s="1912"/>
      <c r="C636" s="1912"/>
      <c r="D636" s="1912"/>
      <c r="E636" s="1912"/>
      <c r="F636" s="1912"/>
      <c r="G636" s="1912"/>
      <c r="H636" s="1912"/>
      <c r="I636" s="1912"/>
      <c r="J636" s="1912"/>
      <c r="K636" s="1912"/>
      <c r="L636" s="1912"/>
      <c r="M636" s="1912"/>
      <c r="N636" s="1912"/>
      <c r="O636" s="1912"/>
      <c r="P636" s="1912"/>
      <c r="Q636" s="1912"/>
      <c r="R636" s="1912"/>
      <c r="S636" s="1912"/>
      <c r="T636" s="1912"/>
      <c r="U636" s="1912"/>
      <c r="V636" s="1912"/>
      <c r="W636" s="1912"/>
      <c r="X636" s="1912"/>
      <c r="Y636" s="1912"/>
      <c r="Z636" s="1912"/>
      <c r="AA636" s="1912"/>
      <c r="AB636" s="1912"/>
      <c r="AC636" s="1912"/>
      <c r="AD636" s="1912"/>
      <c r="AE636" s="1912"/>
      <c r="AF636" s="1912"/>
      <c r="AG636" s="1912"/>
    </row>
    <row r="637">
      <c r="A637" s="1912"/>
      <c r="B637" s="1912"/>
      <c r="C637" s="1912"/>
      <c r="D637" s="1912"/>
      <c r="E637" s="1912"/>
      <c r="F637" s="1912"/>
      <c r="G637" s="1912"/>
      <c r="H637" s="1912"/>
      <c r="I637" s="1912"/>
      <c r="J637" s="1912"/>
      <c r="K637" s="1912"/>
      <c r="L637" s="1912"/>
      <c r="M637" s="1912"/>
      <c r="N637" s="1912"/>
      <c r="O637" s="1912"/>
      <c r="P637" s="1912"/>
      <c r="Q637" s="1912"/>
      <c r="R637" s="1912"/>
      <c r="S637" s="1912"/>
      <c r="T637" s="1912"/>
      <c r="U637" s="1912"/>
      <c r="V637" s="1912"/>
      <c r="W637" s="1912"/>
      <c r="X637" s="1912"/>
      <c r="Y637" s="1912"/>
      <c r="Z637" s="1912"/>
      <c r="AA637" s="1912"/>
      <c r="AB637" s="1912"/>
      <c r="AC637" s="1912"/>
      <c r="AD637" s="1912"/>
      <c r="AE637" s="1912"/>
      <c r="AF637" s="1912"/>
      <c r="AG637" s="1912"/>
    </row>
    <row r="638">
      <c r="A638" s="1912"/>
      <c r="B638" s="1912"/>
      <c r="C638" s="1912"/>
      <c r="D638" s="1912"/>
      <c r="E638" s="1912"/>
      <c r="F638" s="1912"/>
      <c r="G638" s="1912"/>
      <c r="H638" s="1912"/>
      <c r="I638" s="1912"/>
      <c r="J638" s="1912"/>
      <c r="K638" s="1912"/>
      <c r="L638" s="1912"/>
      <c r="M638" s="1912"/>
      <c r="N638" s="1912"/>
      <c r="O638" s="1912"/>
      <c r="P638" s="1912"/>
      <c r="Q638" s="1912"/>
      <c r="R638" s="1912"/>
      <c r="S638" s="1912"/>
      <c r="T638" s="1912"/>
      <c r="U638" s="1912"/>
      <c r="V638" s="1912"/>
      <c r="W638" s="1912"/>
      <c r="X638" s="1912"/>
      <c r="Y638" s="1912"/>
      <c r="Z638" s="1912"/>
      <c r="AA638" s="1912"/>
      <c r="AB638" s="1912"/>
      <c r="AC638" s="1912"/>
      <c r="AD638" s="1912"/>
      <c r="AE638" s="1912"/>
      <c r="AF638" s="1912"/>
      <c r="AG638" s="1912"/>
    </row>
    <row r="639">
      <c r="A639" s="1912"/>
      <c r="B639" s="1912"/>
      <c r="C639" s="1912"/>
      <c r="D639" s="1912"/>
      <c r="E639" s="1912"/>
      <c r="F639" s="1912"/>
      <c r="G639" s="1912"/>
      <c r="H639" s="1912"/>
      <c r="I639" s="1912"/>
      <c r="J639" s="1912"/>
      <c r="K639" s="1912"/>
      <c r="L639" s="1912"/>
      <c r="M639" s="1912"/>
      <c r="N639" s="1912"/>
      <c r="O639" s="1912"/>
      <c r="P639" s="1912"/>
      <c r="Q639" s="1912"/>
      <c r="R639" s="1912"/>
      <c r="S639" s="1912"/>
      <c r="T639" s="1912"/>
      <c r="U639" s="1912"/>
      <c r="V639" s="1912"/>
      <c r="W639" s="1912"/>
      <c r="X639" s="1912"/>
      <c r="Y639" s="1912"/>
      <c r="Z639" s="1912"/>
      <c r="AA639" s="1912"/>
      <c r="AB639" s="1912"/>
      <c r="AC639" s="1912"/>
      <c r="AD639" s="1912"/>
      <c r="AE639" s="1912"/>
      <c r="AF639" s="1912"/>
      <c r="AG639" s="1912"/>
    </row>
    <row r="640">
      <c r="A640" s="1912"/>
      <c r="B640" s="1912"/>
      <c r="C640" s="1912"/>
      <c r="D640" s="1912"/>
      <c r="E640" s="1912"/>
      <c r="F640" s="1912"/>
      <c r="G640" s="1912"/>
      <c r="H640" s="1912"/>
      <c r="I640" s="1912"/>
      <c r="J640" s="1912"/>
      <c r="K640" s="1912"/>
      <c r="L640" s="1912"/>
      <c r="M640" s="1912"/>
      <c r="N640" s="1912"/>
      <c r="O640" s="1912"/>
      <c r="P640" s="1912"/>
      <c r="Q640" s="1912"/>
      <c r="R640" s="1912"/>
      <c r="S640" s="1912"/>
      <c r="T640" s="1912"/>
      <c r="U640" s="1912"/>
      <c r="V640" s="1912"/>
      <c r="W640" s="1912"/>
      <c r="X640" s="1912"/>
      <c r="Y640" s="1912"/>
      <c r="Z640" s="1912"/>
      <c r="AA640" s="1912"/>
      <c r="AB640" s="1912"/>
      <c r="AC640" s="1912"/>
      <c r="AD640" s="1912"/>
      <c r="AE640" s="1912"/>
      <c r="AF640" s="1912"/>
      <c r="AG640" s="1912"/>
    </row>
    <row r="641">
      <c r="A641" s="1912"/>
      <c r="B641" s="1912"/>
      <c r="C641" s="1912"/>
      <c r="D641" s="1912"/>
      <c r="E641" s="1912"/>
      <c r="F641" s="1912"/>
      <c r="G641" s="1912"/>
      <c r="H641" s="1912"/>
      <c r="I641" s="1912"/>
      <c r="J641" s="1912"/>
      <c r="K641" s="1912"/>
      <c r="L641" s="1912"/>
      <c r="M641" s="1912"/>
      <c r="N641" s="1912"/>
      <c r="O641" s="1912"/>
      <c r="P641" s="1912"/>
      <c r="Q641" s="1912"/>
      <c r="R641" s="1912"/>
      <c r="S641" s="1912"/>
      <c r="T641" s="1912"/>
      <c r="U641" s="1912"/>
      <c r="V641" s="1912"/>
      <c r="W641" s="1912"/>
      <c r="X641" s="1912"/>
      <c r="Y641" s="1912"/>
      <c r="Z641" s="1912"/>
      <c r="AA641" s="1912"/>
      <c r="AB641" s="1912"/>
      <c r="AC641" s="1912"/>
      <c r="AD641" s="1912"/>
      <c r="AE641" s="1912"/>
      <c r="AF641" s="1912"/>
      <c r="AG641" s="1912"/>
    </row>
    <row r="642">
      <c r="A642" s="1912"/>
      <c r="B642" s="1912"/>
      <c r="C642" s="1912"/>
      <c r="D642" s="1912"/>
      <c r="E642" s="1912"/>
      <c r="F642" s="1912"/>
      <c r="G642" s="1912"/>
      <c r="H642" s="1912"/>
      <c r="I642" s="1912"/>
      <c r="J642" s="1912"/>
      <c r="K642" s="1912"/>
      <c r="L642" s="1912"/>
      <c r="M642" s="1912"/>
      <c r="N642" s="1912"/>
      <c r="O642" s="1912"/>
      <c r="P642" s="1912"/>
      <c r="Q642" s="1912"/>
      <c r="R642" s="1912"/>
      <c r="S642" s="1912"/>
      <c r="T642" s="1912"/>
      <c r="U642" s="1912"/>
      <c r="V642" s="1912"/>
      <c r="W642" s="1912"/>
      <c r="X642" s="1912"/>
      <c r="Y642" s="1912"/>
      <c r="Z642" s="1912"/>
      <c r="AA642" s="1912"/>
      <c r="AB642" s="1912"/>
      <c r="AC642" s="1912"/>
      <c r="AD642" s="1912"/>
      <c r="AE642" s="1912"/>
      <c r="AF642" s="1912"/>
      <c r="AG642" s="1912"/>
    </row>
    <row r="643">
      <c r="A643" s="1912"/>
      <c r="B643" s="1912"/>
      <c r="C643" s="1912"/>
      <c r="D643" s="1912"/>
      <c r="E643" s="1912"/>
      <c r="F643" s="1912"/>
      <c r="G643" s="1912"/>
      <c r="H643" s="1912"/>
      <c r="I643" s="1912"/>
      <c r="J643" s="1912"/>
      <c r="K643" s="1912"/>
      <c r="L643" s="1912"/>
      <c r="M643" s="1912"/>
      <c r="N643" s="1912"/>
      <c r="O643" s="1912"/>
      <c r="P643" s="1912"/>
      <c r="Q643" s="1912"/>
      <c r="R643" s="1912"/>
      <c r="S643" s="1912"/>
      <c r="T643" s="1912"/>
      <c r="U643" s="1912"/>
      <c r="V643" s="1912"/>
      <c r="W643" s="1912"/>
      <c r="X643" s="1912"/>
      <c r="Y643" s="1912"/>
      <c r="Z643" s="1912"/>
      <c r="AA643" s="1912"/>
      <c r="AB643" s="1912"/>
      <c r="AC643" s="1912"/>
      <c r="AD643" s="1912"/>
      <c r="AE643" s="1912"/>
      <c r="AF643" s="1912"/>
      <c r="AG643" s="1912"/>
    </row>
    <row r="644">
      <c r="A644" s="1912"/>
      <c r="B644" s="1912"/>
      <c r="C644" s="1912"/>
      <c r="D644" s="1912"/>
      <c r="E644" s="1912"/>
      <c r="F644" s="1912"/>
      <c r="G644" s="1912"/>
      <c r="H644" s="1912"/>
      <c r="I644" s="1912"/>
      <c r="J644" s="1912"/>
      <c r="K644" s="1912"/>
      <c r="L644" s="1912"/>
      <c r="M644" s="1912"/>
      <c r="N644" s="1912"/>
      <c r="O644" s="1912"/>
      <c r="P644" s="1912"/>
      <c r="Q644" s="1912"/>
      <c r="R644" s="1912"/>
      <c r="S644" s="1912"/>
      <c r="T644" s="1912"/>
      <c r="U644" s="1912"/>
      <c r="V644" s="1912"/>
      <c r="W644" s="1912"/>
      <c r="X644" s="1912"/>
      <c r="Y644" s="1912"/>
      <c r="Z644" s="1912"/>
      <c r="AA644" s="1912"/>
      <c r="AB644" s="1912"/>
      <c r="AC644" s="1912"/>
      <c r="AD644" s="1912"/>
      <c r="AE644" s="1912"/>
      <c r="AF644" s="1912"/>
      <c r="AG644" s="1912"/>
    </row>
    <row r="645">
      <c r="A645" s="1912"/>
      <c r="B645" s="1912"/>
      <c r="C645" s="1912"/>
      <c r="D645" s="1912"/>
      <c r="E645" s="1912"/>
      <c r="F645" s="1912"/>
      <c r="G645" s="1912"/>
      <c r="H645" s="1912"/>
      <c r="I645" s="1912"/>
      <c r="J645" s="1912"/>
      <c r="K645" s="1912"/>
      <c r="L645" s="1912"/>
      <c r="M645" s="1912"/>
      <c r="N645" s="1912"/>
      <c r="O645" s="1912"/>
      <c r="P645" s="1912"/>
      <c r="Q645" s="1912"/>
      <c r="R645" s="1912"/>
      <c r="S645" s="1912"/>
      <c r="T645" s="1912"/>
      <c r="U645" s="1912"/>
      <c r="V645" s="1912"/>
      <c r="W645" s="1912"/>
      <c r="X645" s="1912"/>
      <c r="Y645" s="1912"/>
      <c r="Z645" s="1912"/>
      <c r="AA645" s="1912"/>
      <c r="AB645" s="1912"/>
      <c r="AC645" s="1912"/>
      <c r="AD645" s="1912"/>
      <c r="AE645" s="1912"/>
      <c r="AF645" s="1912"/>
      <c r="AG645" s="1912"/>
    </row>
    <row r="646">
      <c r="A646" s="1912"/>
      <c r="B646" s="1912"/>
      <c r="C646" s="1912"/>
      <c r="D646" s="1912"/>
      <c r="E646" s="1912"/>
      <c r="F646" s="1912"/>
      <c r="G646" s="1912"/>
      <c r="H646" s="1912"/>
      <c r="I646" s="1912"/>
      <c r="J646" s="1912"/>
      <c r="K646" s="1912"/>
      <c r="L646" s="1912"/>
      <c r="M646" s="1912"/>
      <c r="N646" s="1912"/>
      <c r="O646" s="1912"/>
      <c r="P646" s="1912"/>
      <c r="Q646" s="1912"/>
      <c r="R646" s="1912"/>
      <c r="S646" s="1912"/>
      <c r="T646" s="1912"/>
      <c r="U646" s="1912"/>
      <c r="V646" s="1912"/>
      <c r="W646" s="1912"/>
      <c r="X646" s="1912"/>
      <c r="Y646" s="1912"/>
      <c r="Z646" s="1912"/>
      <c r="AA646" s="1912"/>
      <c r="AB646" s="1912"/>
      <c r="AC646" s="1912"/>
      <c r="AD646" s="1912"/>
      <c r="AE646" s="1912"/>
      <c r="AF646" s="1912"/>
      <c r="AG646" s="1912"/>
    </row>
    <row r="647">
      <c r="A647" s="1912"/>
      <c r="B647" s="1912"/>
      <c r="C647" s="1912"/>
      <c r="D647" s="1912"/>
      <c r="E647" s="1912"/>
      <c r="F647" s="1912"/>
      <c r="G647" s="1912"/>
      <c r="H647" s="1912"/>
      <c r="I647" s="1912"/>
      <c r="J647" s="1912"/>
      <c r="K647" s="1912"/>
      <c r="L647" s="1912"/>
      <c r="M647" s="1912"/>
      <c r="N647" s="1912"/>
      <c r="O647" s="1912"/>
      <c r="P647" s="1912"/>
      <c r="Q647" s="1912"/>
      <c r="R647" s="1912"/>
      <c r="S647" s="1912"/>
      <c r="T647" s="1912"/>
      <c r="U647" s="1912"/>
      <c r="V647" s="1912"/>
      <c r="W647" s="1912"/>
      <c r="X647" s="1912"/>
      <c r="Y647" s="1912"/>
      <c r="Z647" s="1912"/>
      <c r="AA647" s="1912"/>
      <c r="AB647" s="1912"/>
      <c r="AC647" s="1912"/>
      <c r="AD647" s="1912"/>
      <c r="AE647" s="1912"/>
      <c r="AF647" s="1912"/>
      <c r="AG647" s="1912"/>
    </row>
    <row r="648">
      <c r="A648" s="1912"/>
      <c r="B648" s="1912"/>
      <c r="C648" s="1912"/>
      <c r="D648" s="1912"/>
      <c r="E648" s="1912"/>
      <c r="F648" s="1912"/>
      <c r="G648" s="1912"/>
      <c r="H648" s="1912"/>
      <c r="I648" s="1912"/>
      <c r="J648" s="1912"/>
      <c r="K648" s="1912"/>
      <c r="L648" s="1912"/>
      <c r="M648" s="1912"/>
      <c r="N648" s="1912"/>
      <c r="O648" s="1912"/>
      <c r="P648" s="1912"/>
      <c r="Q648" s="1912"/>
      <c r="R648" s="1912"/>
      <c r="S648" s="1912"/>
      <c r="T648" s="1912"/>
      <c r="U648" s="1912"/>
      <c r="V648" s="1912"/>
      <c r="W648" s="1912"/>
      <c r="X648" s="1912"/>
      <c r="Y648" s="1912"/>
      <c r="Z648" s="1912"/>
      <c r="AA648" s="1912"/>
      <c r="AB648" s="1912"/>
      <c r="AC648" s="1912"/>
      <c r="AD648" s="1912"/>
      <c r="AE648" s="1912"/>
      <c r="AF648" s="1912"/>
      <c r="AG648" s="1912"/>
    </row>
    <row r="649">
      <c r="A649" s="1912"/>
      <c r="B649" s="1912"/>
      <c r="C649" s="1912"/>
      <c r="D649" s="1912"/>
      <c r="E649" s="1912"/>
      <c r="F649" s="1912"/>
      <c r="G649" s="1912"/>
      <c r="H649" s="1912"/>
      <c r="I649" s="1912"/>
      <c r="J649" s="1912"/>
      <c r="K649" s="1912"/>
      <c r="L649" s="1912"/>
      <c r="M649" s="1912"/>
      <c r="N649" s="1912"/>
      <c r="O649" s="1912"/>
      <c r="P649" s="1912"/>
      <c r="Q649" s="1912"/>
      <c r="R649" s="1912"/>
      <c r="S649" s="1912"/>
      <c r="T649" s="1912"/>
      <c r="U649" s="1912"/>
      <c r="V649" s="1912"/>
      <c r="W649" s="1912"/>
      <c r="X649" s="1912"/>
      <c r="Y649" s="1912"/>
      <c r="Z649" s="1912"/>
      <c r="AA649" s="1912"/>
      <c r="AB649" s="1912"/>
      <c r="AC649" s="1912"/>
      <c r="AD649" s="1912"/>
      <c r="AE649" s="1912"/>
      <c r="AF649" s="1912"/>
      <c r="AG649" s="1912"/>
    </row>
    <row r="650">
      <c r="A650" s="1912"/>
      <c r="B650" s="1912"/>
      <c r="C650" s="1912"/>
      <c r="D650" s="1912"/>
      <c r="E650" s="1912"/>
      <c r="F650" s="1912"/>
      <c r="G650" s="1912"/>
      <c r="H650" s="1912"/>
      <c r="I650" s="1912"/>
      <c r="J650" s="1912"/>
      <c r="K650" s="1912"/>
      <c r="L650" s="1912"/>
      <c r="M650" s="1912"/>
      <c r="N650" s="1912"/>
      <c r="O650" s="1912"/>
      <c r="P650" s="1912"/>
      <c r="Q650" s="1912"/>
      <c r="R650" s="1912"/>
      <c r="S650" s="1912"/>
      <c r="T650" s="1912"/>
      <c r="U650" s="1912"/>
      <c r="V650" s="1912"/>
      <c r="W650" s="1912"/>
      <c r="X650" s="1912"/>
      <c r="Y650" s="1912"/>
      <c r="Z650" s="1912"/>
      <c r="AA650" s="1912"/>
      <c r="AB650" s="1912"/>
      <c r="AC650" s="1912"/>
      <c r="AD650" s="1912"/>
      <c r="AE650" s="1912"/>
      <c r="AF650" s="1912"/>
      <c r="AG650" s="1912"/>
    </row>
    <row r="651">
      <c r="A651" s="1912"/>
      <c r="B651" s="1912"/>
      <c r="C651" s="1912"/>
      <c r="D651" s="1912"/>
      <c r="E651" s="1912"/>
      <c r="F651" s="1912"/>
      <c r="G651" s="1912"/>
      <c r="H651" s="1912"/>
      <c r="I651" s="1912"/>
      <c r="J651" s="1912"/>
      <c r="K651" s="1912"/>
      <c r="L651" s="1912"/>
      <c r="M651" s="1912"/>
      <c r="N651" s="1912"/>
      <c r="O651" s="1912"/>
      <c r="P651" s="1912"/>
      <c r="Q651" s="1912"/>
      <c r="R651" s="1912"/>
      <c r="S651" s="1912"/>
      <c r="T651" s="1912"/>
      <c r="U651" s="1912"/>
      <c r="V651" s="1912"/>
      <c r="W651" s="1912"/>
      <c r="X651" s="1912"/>
      <c r="Y651" s="1912"/>
      <c r="Z651" s="1912"/>
      <c r="AA651" s="1912"/>
      <c r="AB651" s="1912"/>
      <c r="AC651" s="1912"/>
      <c r="AD651" s="1912"/>
      <c r="AE651" s="1912"/>
      <c r="AF651" s="1912"/>
      <c r="AG651" s="1912"/>
    </row>
    <row r="652">
      <c r="A652" s="1912"/>
      <c r="B652" s="1912"/>
      <c r="C652" s="1912"/>
      <c r="D652" s="1912"/>
      <c r="E652" s="1912"/>
      <c r="F652" s="1912"/>
      <c r="G652" s="1912"/>
      <c r="H652" s="1912"/>
      <c r="I652" s="1912"/>
      <c r="J652" s="1912"/>
      <c r="K652" s="1912"/>
      <c r="L652" s="1912"/>
      <c r="M652" s="1912"/>
      <c r="N652" s="1912"/>
      <c r="O652" s="1912"/>
      <c r="P652" s="1912"/>
      <c r="Q652" s="1912"/>
      <c r="R652" s="1912"/>
      <c r="S652" s="1912"/>
      <c r="T652" s="1912"/>
      <c r="U652" s="1912"/>
      <c r="V652" s="1912"/>
      <c r="W652" s="1912"/>
      <c r="X652" s="1912"/>
      <c r="Y652" s="1912"/>
      <c r="Z652" s="1912"/>
      <c r="AA652" s="1912"/>
      <c r="AB652" s="1912"/>
      <c r="AC652" s="1912"/>
      <c r="AD652" s="1912"/>
      <c r="AE652" s="1912"/>
      <c r="AF652" s="1912"/>
      <c r="AG652" s="1912"/>
    </row>
    <row r="653">
      <c r="A653" s="1912"/>
      <c r="B653" s="1912"/>
      <c r="C653" s="1912"/>
      <c r="D653" s="1912"/>
      <c r="E653" s="1912"/>
      <c r="F653" s="1912"/>
      <c r="G653" s="1912"/>
      <c r="H653" s="1912"/>
      <c r="I653" s="1912"/>
      <c r="J653" s="1912"/>
      <c r="K653" s="1912"/>
      <c r="L653" s="1912"/>
      <c r="M653" s="1912"/>
      <c r="N653" s="1912"/>
      <c r="O653" s="1912"/>
      <c r="P653" s="1912"/>
      <c r="Q653" s="1912"/>
      <c r="R653" s="1912"/>
      <c r="S653" s="1912"/>
      <c r="T653" s="1912"/>
      <c r="U653" s="1912"/>
      <c r="V653" s="1912"/>
      <c r="W653" s="1912"/>
      <c r="X653" s="1912"/>
      <c r="Y653" s="1912"/>
      <c r="Z653" s="1912"/>
      <c r="AA653" s="1912"/>
      <c r="AB653" s="1912"/>
      <c r="AC653" s="1912"/>
      <c r="AD653" s="1912"/>
      <c r="AE653" s="1912"/>
      <c r="AF653" s="1912"/>
      <c r="AG653" s="1912"/>
    </row>
    <row r="654">
      <c r="A654" s="1912"/>
      <c r="B654" s="1912"/>
      <c r="C654" s="1912"/>
      <c r="D654" s="1912"/>
      <c r="E654" s="1912"/>
      <c r="F654" s="1912"/>
      <c r="G654" s="1912"/>
      <c r="H654" s="1912"/>
      <c r="I654" s="1912"/>
      <c r="J654" s="1912"/>
      <c r="K654" s="1912"/>
      <c r="L654" s="1912"/>
      <c r="M654" s="1912"/>
      <c r="N654" s="1912"/>
      <c r="O654" s="1912"/>
      <c r="P654" s="1912"/>
      <c r="Q654" s="1912"/>
      <c r="R654" s="1912"/>
      <c r="S654" s="1912"/>
      <c r="T654" s="1912"/>
      <c r="U654" s="1912"/>
      <c r="V654" s="1912"/>
      <c r="W654" s="1912"/>
      <c r="X654" s="1912"/>
      <c r="Y654" s="1912"/>
      <c r="Z654" s="1912"/>
      <c r="AA654" s="1912"/>
      <c r="AB654" s="1912"/>
      <c r="AC654" s="1912"/>
      <c r="AD654" s="1912"/>
      <c r="AE654" s="1912"/>
      <c r="AF654" s="1912"/>
      <c r="AG654" s="1912"/>
    </row>
    <row r="655">
      <c r="A655" s="1912"/>
      <c r="B655" s="1912"/>
      <c r="C655" s="1912"/>
      <c r="D655" s="1912"/>
      <c r="E655" s="1912"/>
      <c r="F655" s="1912"/>
      <c r="G655" s="1912"/>
      <c r="H655" s="1912"/>
      <c r="I655" s="1912"/>
      <c r="J655" s="1912"/>
      <c r="K655" s="1912"/>
      <c r="L655" s="1912"/>
      <c r="M655" s="1912"/>
      <c r="N655" s="1912"/>
      <c r="O655" s="1912"/>
      <c r="P655" s="1912"/>
      <c r="Q655" s="1912"/>
      <c r="R655" s="1912"/>
      <c r="S655" s="1912"/>
      <c r="T655" s="1912"/>
      <c r="U655" s="1912"/>
      <c r="V655" s="1912"/>
      <c r="W655" s="1912"/>
      <c r="X655" s="1912"/>
      <c r="Y655" s="1912"/>
      <c r="Z655" s="1912"/>
      <c r="AA655" s="1912"/>
      <c r="AB655" s="1912"/>
      <c r="AC655" s="1912"/>
      <c r="AD655" s="1912"/>
      <c r="AE655" s="1912"/>
      <c r="AF655" s="1912"/>
      <c r="AG655" s="1912"/>
    </row>
    <row r="656">
      <c r="A656" s="1912"/>
      <c r="B656" s="1912"/>
      <c r="C656" s="1912"/>
      <c r="D656" s="1912"/>
      <c r="E656" s="1912"/>
      <c r="F656" s="1912"/>
      <c r="G656" s="1912"/>
      <c r="H656" s="1912"/>
      <c r="I656" s="1912"/>
      <c r="J656" s="1912"/>
      <c r="K656" s="1912"/>
      <c r="L656" s="1912"/>
      <c r="M656" s="1912"/>
      <c r="N656" s="1912"/>
      <c r="O656" s="1912"/>
      <c r="P656" s="1912"/>
      <c r="Q656" s="1912"/>
      <c r="R656" s="1912"/>
      <c r="S656" s="1912"/>
      <c r="T656" s="1912"/>
      <c r="U656" s="1912"/>
      <c r="V656" s="1912"/>
      <c r="W656" s="1912"/>
      <c r="X656" s="1912"/>
      <c r="Y656" s="1912"/>
      <c r="Z656" s="1912"/>
      <c r="AA656" s="1912"/>
      <c r="AB656" s="1912"/>
      <c r="AC656" s="1912"/>
      <c r="AD656" s="1912"/>
      <c r="AE656" s="1912"/>
      <c r="AF656" s="1912"/>
      <c r="AG656" s="1912"/>
    </row>
    <row r="657">
      <c r="A657" s="1912"/>
      <c r="B657" s="1912"/>
      <c r="C657" s="1912"/>
      <c r="D657" s="1912"/>
      <c r="E657" s="1912"/>
      <c r="F657" s="1912"/>
      <c r="G657" s="1912"/>
      <c r="H657" s="1912"/>
      <c r="I657" s="1912"/>
      <c r="J657" s="1912"/>
      <c r="K657" s="1912"/>
      <c r="L657" s="1912"/>
      <c r="M657" s="1912"/>
      <c r="N657" s="1912"/>
      <c r="O657" s="1912"/>
      <c r="P657" s="1912"/>
      <c r="Q657" s="1912"/>
      <c r="R657" s="1912"/>
      <c r="S657" s="1912"/>
      <c r="T657" s="1912"/>
      <c r="U657" s="1912"/>
      <c r="V657" s="1912"/>
      <c r="W657" s="1912"/>
      <c r="X657" s="1912"/>
      <c r="Y657" s="1912"/>
      <c r="Z657" s="1912"/>
      <c r="AA657" s="1912"/>
      <c r="AB657" s="1912"/>
      <c r="AC657" s="1912"/>
      <c r="AD657" s="1912"/>
      <c r="AE657" s="1912"/>
      <c r="AF657" s="1912"/>
      <c r="AG657" s="1912"/>
    </row>
    <row r="658">
      <c r="A658" s="1912"/>
      <c r="B658" s="1912"/>
      <c r="C658" s="1912"/>
      <c r="D658" s="1912"/>
      <c r="E658" s="1912"/>
      <c r="F658" s="1912"/>
      <c r="G658" s="1912"/>
      <c r="H658" s="1912"/>
      <c r="I658" s="1912"/>
      <c r="J658" s="1912"/>
      <c r="K658" s="1912"/>
      <c r="L658" s="1912"/>
      <c r="M658" s="1912"/>
      <c r="N658" s="1912"/>
      <c r="O658" s="1912"/>
      <c r="P658" s="1912"/>
      <c r="Q658" s="1912"/>
      <c r="R658" s="1912"/>
      <c r="S658" s="1912"/>
      <c r="T658" s="1912"/>
      <c r="U658" s="1912"/>
      <c r="V658" s="1912"/>
      <c r="W658" s="1912"/>
      <c r="X658" s="1912"/>
      <c r="Y658" s="1912"/>
      <c r="Z658" s="1912"/>
      <c r="AA658" s="1912"/>
      <c r="AB658" s="1912"/>
      <c r="AC658" s="1912"/>
      <c r="AD658" s="1912"/>
      <c r="AE658" s="1912"/>
      <c r="AF658" s="1912"/>
      <c r="AG658" s="1912"/>
    </row>
    <row r="659">
      <c r="A659" s="1912"/>
      <c r="B659" s="1912"/>
      <c r="C659" s="1912"/>
      <c r="D659" s="1912"/>
      <c r="E659" s="1912"/>
      <c r="F659" s="1912"/>
      <c r="G659" s="1912"/>
      <c r="H659" s="1912"/>
      <c r="I659" s="1912"/>
      <c r="J659" s="1912"/>
      <c r="K659" s="1912"/>
      <c r="L659" s="1912"/>
      <c r="M659" s="1912"/>
      <c r="N659" s="1912"/>
      <c r="O659" s="1912"/>
      <c r="P659" s="1912"/>
      <c r="Q659" s="1912"/>
      <c r="R659" s="1912"/>
      <c r="S659" s="1912"/>
      <c r="T659" s="1912"/>
      <c r="U659" s="1912"/>
      <c r="V659" s="1912"/>
      <c r="W659" s="1912"/>
      <c r="X659" s="1912"/>
      <c r="Y659" s="1912"/>
      <c r="Z659" s="1912"/>
      <c r="AA659" s="1912"/>
      <c r="AB659" s="1912"/>
      <c r="AC659" s="1912"/>
      <c r="AD659" s="1912"/>
      <c r="AE659" s="1912"/>
      <c r="AF659" s="1912"/>
      <c r="AG659" s="1912"/>
    </row>
    <row r="660">
      <c r="A660" s="1912"/>
      <c r="B660" s="1912"/>
      <c r="C660" s="1912"/>
      <c r="D660" s="1912"/>
      <c r="E660" s="1912"/>
      <c r="F660" s="1912"/>
      <c r="G660" s="1912"/>
      <c r="H660" s="1912"/>
      <c r="I660" s="1912"/>
      <c r="J660" s="1912"/>
      <c r="K660" s="1912"/>
      <c r="L660" s="1912"/>
      <c r="M660" s="1912"/>
      <c r="N660" s="1912"/>
      <c r="O660" s="1912"/>
      <c r="P660" s="1912"/>
      <c r="Q660" s="1912"/>
      <c r="R660" s="1912"/>
      <c r="S660" s="1912"/>
      <c r="T660" s="1912"/>
      <c r="U660" s="1912"/>
      <c r="V660" s="1912"/>
      <c r="W660" s="1912"/>
      <c r="X660" s="1912"/>
      <c r="Y660" s="1912"/>
      <c r="Z660" s="1912"/>
      <c r="AA660" s="1912"/>
      <c r="AB660" s="1912"/>
      <c r="AC660" s="1912"/>
      <c r="AD660" s="1912"/>
      <c r="AE660" s="1912"/>
      <c r="AF660" s="1912"/>
      <c r="AG660" s="1912"/>
    </row>
    <row r="661">
      <c r="A661" s="1912"/>
      <c r="B661" s="1912"/>
      <c r="C661" s="1912"/>
      <c r="D661" s="1912"/>
      <c r="E661" s="1912"/>
      <c r="F661" s="1912"/>
      <c r="G661" s="1912"/>
      <c r="H661" s="1912"/>
      <c r="I661" s="1912"/>
      <c r="J661" s="1912"/>
      <c r="K661" s="1912"/>
      <c r="L661" s="1912"/>
      <c r="M661" s="1912"/>
      <c r="N661" s="1912"/>
      <c r="O661" s="1912"/>
      <c r="P661" s="1912"/>
      <c r="Q661" s="1912"/>
      <c r="R661" s="1912"/>
      <c r="S661" s="1912"/>
      <c r="T661" s="1912"/>
      <c r="U661" s="1912"/>
      <c r="V661" s="1912"/>
      <c r="W661" s="1912"/>
      <c r="X661" s="1912"/>
      <c r="Y661" s="1912"/>
      <c r="Z661" s="1912"/>
      <c r="AA661" s="1912"/>
      <c r="AB661" s="1912"/>
      <c r="AC661" s="1912"/>
      <c r="AD661" s="1912"/>
      <c r="AE661" s="1912"/>
      <c r="AF661" s="1912"/>
      <c r="AG661" s="1912"/>
    </row>
    <row r="662">
      <c r="A662" s="1912"/>
      <c r="B662" s="1912"/>
      <c r="C662" s="1912"/>
      <c r="D662" s="1912"/>
      <c r="E662" s="1912"/>
      <c r="F662" s="1912"/>
      <c r="G662" s="1912"/>
      <c r="H662" s="1912"/>
      <c r="I662" s="1912"/>
      <c r="J662" s="1912"/>
      <c r="K662" s="1912"/>
      <c r="L662" s="1912"/>
      <c r="M662" s="1912"/>
      <c r="N662" s="1912"/>
      <c r="O662" s="1912"/>
      <c r="P662" s="1912"/>
      <c r="Q662" s="1912"/>
      <c r="R662" s="1912"/>
      <c r="S662" s="1912"/>
      <c r="T662" s="1912"/>
      <c r="U662" s="1912"/>
      <c r="V662" s="1912"/>
      <c r="W662" s="1912"/>
      <c r="X662" s="1912"/>
      <c r="Y662" s="1912"/>
      <c r="Z662" s="1912"/>
      <c r="AA662" s="1912"/>
      <c r="AB662" s="1912"/>
      <c r="AC662" s="1912"/>
      <c r="AD662" s="1912"/>
      <c r="AE662" s="1912"/>
      <c r="AF662" s="1912"/>
      <c r="AG662" s="1912"/>
    </row>
    <row r="663">
      <c r="A663" s="1912"/>
      <c r="B663" s="1912"/>
      <c r="C663" s="1912"/>
      <c r="D663" s="1912"/>
      <c r="E663" s="1912"/>
      <c r="F663" s="1912"/>
      <c r="G663" s="1912"/>
      <c r="H663" s="1912"/>
      <c r="I663" s="1912"/>
      <c r="J663" s="1912"/>
      <c r="K663" s="1912"/>
      <c r="L663" s="1912"/>
      <c r="M663" s="1912"/>
      <c r="N663" s="1912"/>
      <c r="O663" s="1912"/>
      <c r="P663" s="1912"/>
      <c r="Q663" s="1912"/>
      <c r="R663" s="1912"/>
      <c r="S663" s="1912"/>
      <c r="T663" s="1912"/>
      <c r="U663" s="1912"/>
      <c r="V663" s="1912"/>
      <c r="W663" s="1912"/>
      <c r="X663" s="1912"/>
      <c r="Y663" s="1912"/>
      <c r="Z663" s="1912"/>
      <c r="AA663" s="1912"/>
      <c r="AB663" s="1912"/>
      <c r="AC663" s="1912"/>
      <c r="AD663" s="1912"/>
      <c r="AE663" s="1912"/>
      <c r="AF663" s="1912"/>
      <c r="AG663" s="1912"/>
    </row>
    <row r="664">
      <c r="A664" s="1912"/>
      <c r="B664" s="1912"/>
      <c r="C664" s="1912"/>
      <c r="D664" s="1912"/>
      <c r="E664" s="1912"/>
      <c r="F664" s="1912"/>
      <c r="G664" s="1912"/>
      <c r="H664" s="1912"/>
      <c r="I664" s="1912"/>
      <c r="J664" s="1912"/>
      <c r="K664" s="1912"/>
      <c r="L664" s="1912"/>
      <c r="M664" s="1912"/>
      <c r="N664" s="1912"/>
      <c r="O664" s="1912"/>
      <c r="P664" s="1912"/>
      <c r="Q664" s="1912"/>
      <c r="R664" s="1912"/>
      <c r="S664" s="1912"/>
      <c r="T664" s="1912"/>
      <c r="U664" s="1912"/>
      <c r="V664" s="1912"/>
      <c r="W664" s="1912"/>
      <c r="X664" s="1912"/>
      <c r="Y664" s="1912"/>
      <c r="Z664" s="1912"/>
      <c r="AA664" s="1912"/>
      <c r="AB664" s="1912"/>
      <c r="AC664" s="1912"/>
      <c r="AD664" s="1912"/>
      <c r="AE664" s="1912"/>
      <c r="AF664" s="1912"/>
      <c r="AG664" s="1912"/>
    </row>
    <row r="665">
      <c r="A665" s="1912"/>
      <c r="B665" s="1912"/>
      <c r="C665" s="1912"/>
      <c r="D665" s="1912"/>
      <c r="E665" s="1912"/>
      <c r="F665" s="1912"/>
      <c r="G665" s="1912"/>
      <c r="H665" s="1912"/>
      <c r="I665" s="1912"/>
      <c r="J665" s="1912"/>
      <c r="K665" s="1912"/>
      <c r="L665" s="1912"/>
      <c r="M665" s="1912"/>
      <c r="N665" s="1912"/>
      <c r="O665" s="1912"/>
      <c r="P665" s="1912"/>
      <c r="Q665" s="1912"/>
      <c r="R665" s="1912"/>
      <c r="S665" s="1912"/>
      <c r="T665" s="1912"/>
      <c r="U665" s="1912"/>
      <c r="V665" s="1912"/>
      <c r="W665" s="1912"/>
      <c r="X665" s="1912"/>
      <c r="Y665" s="1912"/>
      <c r="Z665" s="1912"/>
      <c r="AA665" s="1912"/>
      <c r="AB665" s="1912"/>
      <c r="AC665" s="1912"/>
      <c r="AD665" s="1912"/>
      <c r="AE665" s="1912"/>
      <c r="AF665" s="1912"/>
      <c r="AG665" s="1912"/>
    </row>
    <row r="666">
      <c r="A666" s="1912"/>
      <c r="B666" s="1912"/>
      <c r="C666" s="1912"/>
      <c r="D666" s="1912"/>
      <c r="E666" s="1912"/>
      <c r="F666" s="1912"/>
      <c r="G666" s="1912"/>
      <c r="H666" s="1912"/>
      <c r="I666" s="1912"/>
      <c r="J666" s="1912"/>
      <c r="K666" s="1912"/>
      <c r="L666" s="1912"/>
      <c r="M666" s="1912"/>
      <c r="N666" s="1912"/>
      <c r="O666" s="1912"/>
      <c r="P666" s="1912"/>
      <c r="Q666" s="1912"/>
      <c r="R666" s="1912"/>
      <c r="S666" s="1912"/>
      <c r="T666" s="1912"/>
      <c r="U666" s="1912"/>
      <c r="V666" s="1912"/>
      <c r="W666" s="1912"/>
      <c r="X666" s="1912"/>
      <c r="Y666" s="1912"/>
      <c r="Z666" s="1912"/>
      <c r="AA666" s="1912"/>
      <c r="AB666" s="1912"/>
      <c r="AC666" s="1912"/>
      <c r="AD666" s="1912"/>
      <c r="AE666" s="1912"/>
      <c r="AF666" s="1912"/>
      <c r="AG666" s="1912"/>
    </row>
    <row r="667">
      <c r="A667" s="1912"/>
      <c r="B667" s="1912"/>
      <c r="C667" s="1912"/>
      <c r="D667" s="1912"/>
      <c r="E667" s="1912"/>
      <c r="F667" s="1912"/>
      <c r="G667" s="1912"/>
      <c r="H667" s="1912"/>
      <c r="I667" s="1912"/>
      <c r="J667" s="1912"/>
      <c r="K667" s="1912"/>
      <c r="L667" s="1912"/>
      <c r="M667" s="1912"/>
      <c r="N667" s="1912"/>
      <c r="O667" s="1912"/>
      <c r="P667" s="1912"/>
      <c r="Q667" s="1912"/>
      <c r="R667" s="1912"/>
      <c r="S667" s="1912"/>
      <c r="T667" s="1912"/>
      <c r="U667" s="1912"/>
      <c r="V667" s="1912"/>
      <c r="W667" s="1912"/>
      <c r="X667" s="1912"/>
      <c r="Y667" s="1912"/>
      <c r="Z667" s="1912"/>
      <c r="AA667" s="1912"/>
      <c r="AB667" s="1912"/>
      <c r="AC667" s="1912"/>
      <c r="AD667" s="1912"/>
      <c r="AE667" s="1912"/>
      <c r="AF667" s="1912"/>
      <c r="AG667" s="1912"/>
    </row>
    <row r="668">
      <c r="A668" s="1912"/>
      <c r="B668" s="1912"/>
      <c r="C668" s="1912"/>
      <c r="D668" s="1912"/>
      <c r="E668" s="1912"/>
      <c r="F668" s="1912"/>
      <c r="G668" s="1912"/>
      <c r="H668" s="1912"/>
      <c r="I668" s="1912"/>
      <c r="J668" s="1912"/>
      <c r="K668" s="1912"/>
      <c r="L668" s="1912"/>
      <c r="M668" s="1912"/>
      <c r="N668" s="1912"/>
      <c r="O668" s="1912"/>
      <c r="P668" s="1912"/>
      <c r="Q668" s="1912"/>
      <c r="R668" s="1912"/>
      <c r="S668" s="1912"/>
      <c r="T668" s="1912"/>
      <c r="U668" s="1912"/>
      <c r="V668" s="1912"/>
      <c r="W668" s="1912"/>
      <c r="X668" s="1912"/>
      <c r="Y668" s="1912"/>
      <c r="Z668" s="1912"/>
      <c r="AA668" s="1912"/>
      <c r="AB668" s="1912"/>
      <c r="AC668" s="1912"/>
      <c r="AD668" s="1912"/>
      <c r="AE668" s="1912"/>
      <c r="AF668" s="1912"/>
      <c r="AG668" s="1912"/>
    </row>
    <row r="669">
      <c r="A669" s="1912"/>
      <c r="B669" s="1912"/>
      <c r="C669" s="1912"/>
      <c r="D669" s="1912"/>
      <c r="E669" s="1912"/>
      <c r="F669" s="1912"/>
      <c r="G669" s="1912"/>
      <c r="H669" s="1912"/>
      <c r="I669" s="1912"/>
      <c r="J669" s="1912"/>
      <c r="K669" s="1912"/>
      <c r="L669" s="1912"/>
      <c r="M669" s="1912"/>
      <c r="N669" s="1912"/>
      <c r="O669" s="1912"/>
      <c r="P669" s="1912"/>
      <c r="Q669" s="1912"/>
      <c r="R669" s="1912"/>
      <c r="S669" s="1912"/>
      <c r="T669" s="1912"/>
      <c r="U669" s="1912"/>
      <c r="V669" s="1912"/>
      <c r="W669" s="1912"/>
      <c r="X669" s="1912"/>
      <c r="Y669" s="1912"/>
      <c r="Z669" s="1912"/>
      <c r="AA669" s="1912"/>
      <c r="AB669" s="1912"/>
      <c r="AC669" s="1912"/>
      <c r="AD669" s="1912"/>
      <c r="AE669" s="1912"/>
      <c r="AF669" s="1912"/>
      <c r="AG669" s="1912"/>
    </row>
    <row r="670">
      <c r="A670" s="1912"/>
      <c r="B670" s="1912"/>
      <c r="C670" s="1912"/>
      <c r="D670" s="1912"/>
      <c r="E670" s="1912"/>
      <c r="F670" s="1912"/>
      <c r="G670" s="1912"/>
      <c r="H670" s="1912"/>
      <c r="I670" s="1912"/>
      <c r="J670" s="1912"/>
      <c r="K670" s="1912"/>
      <c r="L670" s="1912"/>
      <c r="M670" s="1912"/>
      <c r="N670" s="1912"/>
      <c r="O670" s="1912"/>
      <c r="P670" s="1912"/>
      <c r="Q670" s="1912"/>
      <c r="R670" s="1912"/>
      <c r="S670" s="1912"/>
      <c r="T670" s="1912"/>
      <c r="U670" s="1912"/>
      <c r="V670" s="1912"/>
      <c r="W670" s="1912"/>
      <c r="X670" s="1912"/>
      <c r="Y670" s="1912"/>
      <c r="Z670" s="1912"/>
      <c r="AA670" s="1912"/>
      <c r="AB670" s="1912"/>
      <c r="AC670" s="1912"/>
      <c r="AD670" s="1912"/>
      <c r="AE670" s="1912"/>
      <c r="AF670" s="1912"/>
      <c r="AG670" s="1912"/>
    </row>
    <row r="671">
      <c r="A671" s="1912"/>
      <c r="B671" s="1912"/>
      <c r="C671" s="1912"/>
      <c r="D671" s="1912"/>
      <c r="E671" s="1912"/>
      <c r="F671" s="1912"/>
      <c r="G671" s="1912"/>
      <c r="H671" s="1912"/>
      <c r="I671" s="1912"/>
      <c r="J671" s="1912"/>
      <c r="K671" s="1912"/>
      <c r="L671" s="1912"/>
      <c r="M671" s="1912"/>
      <c r="N671" s="1912"/>
      <c r="O671" s="1912"/>
      <c r="P671" s="1912"/>
      <c r="Q671" s="1912"/>
      <c r="R671" s="1912"/>
      <c r="S671" s="1912"/>
      <c r="T671" s="1912"/>
      <c r="U671" s="1912"/>
      <c r="V671" s="1912"/>
      <c r="W671" s="1912"/>
      <c r="X671" s="1912"/>
      <c r="Y671" s="1912"/>
      <c r="Z671" s="1912"/>
      <c r="AA671" s="1912"/>
      <c r="AB671" s="1912"/>
      <c r="AC671" s="1912"/>
      <c r="AD671" s="1912"/>
      <c r="AE671" s="1912"/>
      <c r="AF671" s="1912"/>
      <c r="AG671" s="1912"/>
    </row>
    <row r="672">
      <c r="A672" s="1912"/>
      <c r="B672" s="1912"/>
      <c r="C672" s="1912"/>
      <c r="D672" s="1912"/>
      <c r="E672" s="1912"/>
      <c r="F672" s="1912"/>
      <c r="G672" s="1912"/>
      <c r="H672" s="1912"/>
      <c r="I672" s="1912"/>
      <c r="J672" s="1912"/>
      <c r="K672" s="1912"/>
      <c r="L672" s="1912"/>
      <c r="M672" s="1912"/>
      <c r="N672" s="1912"/>
      <c r="O672" s="1912"/>
      <c r="P672" s="1912"/>
      <c r="Q672" s="1912"/>
      <c r="R672" s="1912"/>
      <c r="S672" s="1912"/>
      <c r="T672" s="1912"/>
      <c r="U672" s="1912"/>
      <c r="V672" s="1912"/>
      <c r="W672" s="1912"/>
      <c r="X672" s="1912"/>
      <c r="Y672" s="1912"/>
      <c r="Z672" s="1912"/>
      <c r="AA672" s="1912"/>
      <c r="AB672" s="1912"/>
      <c r="AC672" s="1912"/>
      <c r="AD672" s="1912"/>
      <c r="AE672" s="1912"/>
      <c r="AF672" s="1912"/>
      <c r="AG672" s="1912"/>
    </row>
    <row r="673">
      <c r="A673" s="1912"/>
      <c r="B673" s="1912"/>
      <c r="C673" s="1912"/>
      <c r="D673" s="1912"/>
      <c r="E673" s="1912"/>
      <c r="F673" s="1912"/>
      <c r="G673" s="1912"/>
      <c r="H673" s="1912"/>
      <c r="I673" s="1912"/>
      <c r="J673" s="1912"/>
      <c r="K673" s="1912"/>
      <c r="L673" s="1912"/>
      <c r="M673" s="1912"/>
      <c r="N673" s="1912"/>
      <c r="O673" s="1912"/>
      <c r="P673" s="1912"/>
      <c r="Q673" s="1912"/>
      <c r="R673" s="1912"/>
      <c r="S673" s="1912"/>
      <c r="T673" s="1912"/>
      <c r="U673" s="1912"/>
      <c r="V673" s="1912"/>
      <c r="W673" s="1912"/>
      <c r="X673" s="1912"/>
      <c r="Y673" s="1912"/>
      <c r="Z673" s="1912"/>
      <c r="AA673" s="1912"/>
      <c r="AB673" s="1912"/>
      <c r="AC673" s="1912"/>
      <c r="AD673" s="1912"/>
      <c r="AE673" s="1912"/>
      <c r="AF673" s="1912"/>
      <c r="AG673" s="1912"/>
    </row>
    <row r="674">
      <c r="A674" s="1912"/>
      <c r="B674" s="1912"/>
      <c r="C674" s="1912"/>
      <c r="D674" s="1912"/>
      <c r="E674" s="1912"/>
      <c r="F674" s="1912"/>
      <c r="G674" s="1912"/>
      <c r="H674" s="1912"/>
      <c r="I674" s="1912"/>
      <c r="J674" s="1912"/>
      <c r="K674" s="1912"/>
      <c r="L674" s="1912"/>
      <c r="M674" s="1912"/>
      <c r="N674" s="1912"/>
      <c r="O674" s="1912"/>
      <c r="P674" s="1912"/>
      <c r="Q674" s="1912"/>
      <c r="R674" s="1912"/>
      <c r="S674" s="1912"/>
      <c r="T674" s="1912"/>
      <c r="U674" s="1912"/>
      <c r="V674" s="1912"/>
      <c r="W674" s="1912"/>
      <c r="X674" s="1912"/>
      <c r="Y674" s="1912"/>
      <c r="Z674" s="1912"/>
      <c r="AA674" s="1912"/>
      <c r="AB674" s="1912"/>
      <c r="AC674" s="1912"/>
      <c r="AD674" s="1912"/>
      <c r="AE674" s="1912"/>
      <c r="AF674" s="1912"/>
      <c r="AG674" s="1912"/>
    </row>
    <row r="675">
      <c r="A675" s="1912"/>
      <c r="B675" s="1912"/>
      <c r="C675" s="1912"/>
      <c r="D675" s="1912"/>
      <c r="E675" s="1912"/>
      <c r="F675" s="1912"/>
      <c r="G675" s="1912"/>
      <c r="H675" s="1912"/>
      <c r="I675" s="1912"/>
      <c r="J675" s="1912"/>
      <c r="K675" s="1912"/>
      <c r="L675" s="1912"/>
      <c r="M675" s="1912"/>
      <c r="N675" s="1912"/>
      <c r="O675" s="1912"/>
      <c r="P675" s="1912"/>
      <c r="Q675" s="1912"/>
      <c r="R675" s="1912"/>
      <c r="S675" s="1912"/>
      <c r="T675" s="1912"/>
      <c r="U675" s="1912"/>
      <c r="V675" s="1912"/>
      <c r="W675" s="1912"/>
      <c r="X675" s="1912"/>
      <c r="Y675" s="1912"/>
      <c r="Z675" s="1912"/>
      <c r="AA675" s="1912"/>
      <c r="AB675" s="1912"/>
      <c r="AC675" s="1912"/>
      <c r="AD675" s="1912"/>
      <c r="AE675" s="1912"/>
      <c r="AF675" s="1912"/>
      <c r="AG675" s="1912"/>
    </row>
    <row r="676">
      <c r="A676" s="1912"/>
      <c r="B676" s="1912"/>
      <c r="C676" s="1912"/>
      <c r="D676" s="1912"/>
      <c r="E676" s="1912"/>
      <c r="F676" s="1912"/>
      <c r="G676" s="1912"/>
      <c r="H676" s="1912"/>
      <c r="I676" s="1912"/>
      <c r="J676" s="1912"/>
      <c r="K676" s="1912"/>
      <c r="L676" s="1912"/>
      <c r="M676" s="1912"/>
      <c r="N676" s="1912"/>
      <c r="O676" s="1912"/>
      <c r="P676" s="1912"/>
      <c r="Q676" s="1912"/>
      <c r="R676" s="1912"/>
      <c r="S676" s="1912"/>
      <c r="T676" s="1912"/>
      <c r="U676" s="1912"/>
      <c r="V676" s="1912"/>
      <c r="W676" s="1912"/>
      <c r="X676" s="1912"/>
      <c r="Y676" s="1912"/>
      <c r="Z676" s="1912"/>
      <c r="AA676" s="1912"/>
      <c r="AB676" s="1912"/>
      <c r="AC676" s="1912"/>
      <c r="AD676" s="1912"/>
      <c r="AE676" s="1912"/>
      <c r="AF676" s="1912"/>
      <c r="AG676" s="1912"/>
    </row>
    <row r="677">
      <c r="A677" s="1912"/>
      <c r="B677" s="1912"/>
      <c r="C677" s="1912"/>
      <c r="D677" s="1912"/>
      <c r="E677" s="1912"/>
      <c r="F677" s="1912"/>
      <c r="G677" s="1912"/>
      <c r="H677" s="1912"/>
      <c r="I677" s="1912"/>
      <c r="J677" s="1912"/>
      <c r="K677" s="1912"/>
      <c r="L677" s="1912"/>
      <c r="M677" s="1912"/>
      <c r="N677" s="1912"/>
      <c r="O677" s="1912"/>
      <c r="P677" s="1912"/>
      <c r="Q677" s="1912"/>
      <c r="R677" s="1912"/>
      <c r="S677" s="1912"/>
      <c r="T677" s="1912"/>
      <c r="U677" s="1912"/>
      <c r="V677" s="1912"/>
      <c r="W677" s="1912"/>
      <c r="X677" s="1912"/>
      <c r="Y677" s="1912"/>
      <c r="Z677" s="1912"/>
      <c r="AA677" s="1912"/>
      <c r="AB677" s="1912"/>
      <c r="AC677" s="1912"/>
      <c r="AD677" s="1912"/>
      <c r="AE677" s="1912"/>
      <c r="AF677" s="1912"/>
      <c r="AG677" s="1912"/>
    </row>
    <row r="678">
      <c r="A678" s="1912"/>
      <c r="B678" s="1912"/>
      <c r="C678" s="1912"/>
      <c r="D678" s="1912"/>
      <c r="E678" s="1912"/>
      <c r="F678" s="1912"/>
      <c r="G678" s="1912"/>
      <c r="H678" s="1912"/>
      <c r="I678" s="1912"/>
      <c r="J678" s="1912"/>
      <c r="K678" s="1912"/>
      <c r="L678" s="1912"/>
      <c r="M678" s="1912"/>
      <c r="N678" s="1912"/>
      <c r="O678" s="1912"/>
      <c r="P678" s="1912"/>
      <c r="Q678" s="1912"/>
      <c r="R678" s="1912"/>
      <c r="S678" s="1912"/>
      <c r="T678" s="1912"/>
      <c r="U678" s="1912"/>
      <c r="V678" s="1912"/>
      <c r="W678" s="1912"/>
      <c r="X678" s="1912"/>
      <c r="Y678" s="1912"/>
      <c r="Z678" s="1912"/>
      <c r="AA678" s="1912"/>
      <c r="AB678" s="1912"/>
      <c r="AC678" s="1912"/>
      <c r="AD678" s="1912"/>
      <c r="AE678" s="1912"/>
      <c r="AF678" s="1912"/>
      <c r="AG678" s="1912"/>
    </row>
    <row r="679">
      <c r="A679" s="1912"/>
      <c r="B679" s="1912"/>
      <c r="C679" s="1912"/>
      <c r="D679" s="1912"/>
      <c r="E679" s="1912"/>
      <c r="F679" s="1912"/>
      <c r="G679" s="1912"/>
      <c r="H679" s="1912"/>
      <c r="I679" s="1912"/>
      <c r="J679" s="1912"/>
      <c r="K679" s="1912"/>
      <c r="L679" s="1912"/>
      <c r="M679" s="1912"/>
      <c r="N679" s="1912"/>
      <c r="O679" s="1912"/>
      <c r="P679" s="1912"/>
      <c r="Q679" s="1912"/>
      <c r="R679" s="1912"/>
      <c r="S679" s="1912"/>
      <c r="T679" s="1912"/>
      <c r="U679" s="1912"/>
      <c r="V679" s="1912"/>
      <c r="W679" s="1912"/>
      <c r="X679" s="1912"/>
      <c r="Y679" s="1912"/>
      <c r="Z679" s="1912"/>
      <c r="AA679" s="1912"/>
      <c r="AB679" s="1912"/>
      <c r="AC679" s="1912"/>
      <c r="AD679" s="1912"/>
      <c r="AE679" s="1912"/>
      <c r="AF679" s="1912"/>
      <c r="AG679" s="1912"/>
    </row>
    <row r="680">
      <c r="A680" s="1912"/>
      <c r="B680" s="1912"/>
      <c r="C680" s="1912"/>
      <c r="D680" s="1912"/>
      <c r="E680" s="1912"/>
      <c r="F680" s="1912"/>
      <c r="G680" s="1912"/>
      <c r="H680" s="1912"/>
      <c r="I680" s="1912"/>
      <c r="J680" s="1912"/>
      <c r="K680" s="1912"/>
      <c r="L680" s="1912"/>
      <c r="M680" s="1912"/>
      <c r="N680" s="1912"/>
      <c r="O680" s="1912"/>
      <c r="P680" s="1912"/>
      <c r="Q680" s="1912"/>
      <c r="R680" s="1912"/>
      <c r="S680" s="1912"/>
      <c r="T680" s="1912"/>
      <c r="U680" s="1912"/>
      <c r="V680" s="1912"/>
      <c r="W680" s="1912"/>
      <c r="X680" s="1912"/>
      <c r="Y680" s="1912"/>
      <c r="Z680" s="1912"/>
      <c r="AA680" s="1912"/>
      <c r="AB680" s="1912"/>
      <c r="AC680" s="1912"/>
      <c r="AD680" s="1912"/>
      <c r="AE680" s="1912"/>
      <c r="AF680" s="1912"/>
      <c r="AG680" s="1912"/>
    </row>
    <row r="681">
      <c r="A681" s="1912"/>
      <c r="B681" s="1912"/>
      <c r="C681" s="1912"/>
      <c r="D681" s="1912"/>
      <c r="E681" s="1912"/>
      <c r="F681" s="1912"/>
      <c r="G681" s="1912"/>
      <c r="H681" s="1912"/>
      <c r="I681" s="1912"/>
      <c r="J681" s="1912"/>
      <c r="K681" s="1912"/>
      <c r="L681" s="1912"/>
      <c r="M681" s="1912"/>
      <c r="N681" s="1912"/>
      <c r="O681" s="1912"/>
      <c r="P681" s="1912"/>
      <c r="Q681" s="1912"/>
      <c r="R681" s="1912"/>
      <c r="S681" s="1912"/>
      <c r="T681" s="1912"/>
      <c r="U681" s="1912"/>
      <c r="V681" s="1912"/>
      <c r="W681" s="1912"/>
      <c r="X681" s="1912"/>
      <c r="Y681" s="1912"/>
      <c r="Z681" s="1912"/>
      <c r="AA681" s="1912"/>
      <c r="AB681" s="1912"/>
      <c r="AC681" s="1912"/>
      <c r="AD681" s="1912"/>
      <c r="AE681" s="1912"/>
      <c r="AF681" s="1912"/>
      <c r="AG681" s="1912"/>
    </row>
    <row r="682">
      <c r="A682" s="1912"/>
      <c r="B682" s="1912"/>
      <c r="C682" s="1912"/>
      <c r="D682" s="1912"/>
      <c r="E682" s="1912"/>
      <c r="F682" s="1912"/>
      <c r="G682" s="1912"/>
      <c r="H682" s="1912"/>
      <c r="I682" s="1912"/>
      <c r="J682" s="1912"/>
      <c r="K682" s="1912"/>
      <c r="L682" s="1912"/>
      <c r="M682" s="1912"/>
      <c r="N682" s="1912"/>
      <c r="O682" s="1912"/>
      <c r="P682" s="1912"/>
      <c r="Q682" s="1912"/>
      <c r="R682" s="1912"/>
      <c r="S682" s="1912"/>
      <c r="T682" s="1912"/>
      <c r="U682" s="1912"/>
      <c r="V682" s="1912"/>
      <c r="W682" s="1912"/>
      <c r="X682" s="1912"/>
      <c r="Y682" s="1912"/>
      <c r="Z682" s="1912"/>
      <c r="AA682" s="1912"/>
      <c r="AB682" s="1912"/>
      <c r="AC682" s="1912"/>
      <c r="AD682" s="1912"/>
      <c r="AE682" s="1912"/>
      <c r="AF682" s="1912"/>
      <c r="AG682" s="1912"/>
    </row>
    <row r="683">
      <c r="A683" s="1912"/>
      <c r="B683" s="1912"/>
      <c r="C683" s="1912"/>
      <c r="D683" s="1912"/>
      <c r="E683" s="1912"/>
      <c r="F683" s="1912"/>
      <c r="G683" s="1912"/>
      <c r="H683" s="1912"/>
      <c r="I683" s="1912"/>
      <c r="J683" s="1912"/>
      <c r="K683" s="1912"/>
      <c r="L683" s="1912"/>
      <c r="M683" s="1912"/>
      <c r="N683" s="1912"/>
      <c r="O683" s="1912"/>
      <c r="P683" s="1912"/>
      <c r="Q683" s="1912"/>
      <c r="R683" s="1912"/>
      <c r="S683" s="1912"/>
      <c r="T683" s="1912"/>
      <c r="U683" s="1912"/>
      <c r="V683" s="1912"/>
      <c r="W683" s="1912"/>
      <c r="X683" s="1912"/>
      <c r="Y683" s="1912"/>
      <c r="Z683" s="1912"/>
      <c r="AA683" s="1912"/>
      <c r="AB683" s="1912"/>
      <c r="AC683" s="1912"/>
      <c r="AD683" s="1912"/>
      <c r="AE683" s="1912"/>
      <c r="AF683" s="1912"/>
      <c r="AG683" s="1912"/>
    </row>
    <row r="684">
      <c r="A684" s="1912"/>
      <c r="B684" s="1912"/>
      <c r="C684" s="1912"/>
      <c r="D684" s="1912"/>
      <c r="E684" s="1912"/>
      <c r="F684" s="1912"/>
      <c r="G684" s="1912"/>
      <c r="H684" s="1912"/>
      <c r="I684" s="1912"/>
      <c r="J684" s="1912"/>
      <c r="K684" s="1912"/>
      <c r="L684" s="1912"/>
      <c r="M684" s="1912"/>
      <c r="N684" s="1912"/>
      <c r="O684" s="1912"/>
      <c r="P684" s="1912"/>
      <c r="Q684" s="1912"/>
      <c r="R684" s="1912"/>
      <c r="S684" s="1912"/>
      <c r="T684" s="1912"/>
      <c r="U684" s="1912"/>
      <c r="V684" s="1912"/>
      <c r="W684" s="1912"/>
      <c r="X684" s="1912"/>
      <c r="Y684" s="1912"/>
      <c r="Z684" s="1912"/>
      <c r="AA684" s="1912"/>
      <c r="AB684" s="1912"/>
      <c r="AC684" s="1912"/>
      <c r="AD684" s="1912"/>
      <c r="AE684" s="1912"/>
      <c r="AF684" s="1912"/>
      <c r="AG684" s="1912"/>
    </row>
    <row r="685">
      <c r="A685" s="1912"/>
      <c r="B685" s="1912"/>
      <c r="C685" s="1912"/>
      <c r="D685" s="1912"/>
      <c r="E685" s="1912"/>
      <c r="F685" s="1912"/>
      <c r="G685" s="1912"/>
      <c r="H685" s="1912"/>
      <c r="I685" s="1912"/>
      <c r="J685" s="1912"/>
      <c r="K685" s="1912"/>
      <c r="L685" s="1912"/>
      <c r="M685" s="1912"/>
      <c r="N685" s="1912"/>
      <c r="O685" s="1912"/>
      <c r="P685" s="1912"/>
      <c r="Q685" s="1912"/>
      <c r="R685" s="1912"/>
      <c r="S685" s="1912"/>
      <c r="T685" s="1912"/>
      <c r="U685" s="1912"/>
      <c r="V685" s="1912"/>
      <c r="W685" s="1912"/>
      <c r="X685" s="1912"/>
      <c r="Y685" s="1912"/>
      <c r="Z685" s="1912"/>
      <c r="AA685" s="1912"/>
      <c r="AB685" s="1912"/>
      <c r="AC685" s="1912"/>
      <c r="AD685" s="1912"/>
      <c r="AE685" s="1912"/>
      <c r="AF685" s="1912"/>
      <c r="AG685" s="1912"/>
    </row>
    <row r="686">
      <c r="A686" s="1912"/>
      <c r="B686" s="1912"/>
      <c r="C686" s="1912"/>
      <c r="D686" s="1912"/>
      <c r="E686" s="1912"/>
      <c r="F686" s="1912"/>
      <c r="G686" s="1912"/>
      <c r="H686" s="1912"/>
      <c r="I686" s="1912"/>
      <c r="J686" s="1912"/>
      <c r="K686" s="1912"/>
      <c r="L686" s="1912"/>
      <c r="M686" s="1912"/>
      <c r="N686" s="1912"/>
      <c r="O686" s="1912"/>
      <c r="P686" s="1912"/>
      <c r="Q686" s="1912"/>
      <c r="R686" s="1912"/>
      <c r="S686" s="1912"/>
      <c r="T686" s="1912"/>
      <c r="U686" s="1912"/>
      <c r="V686" s="1912"/>
      <c r="W686" s="1912"/>
      <c r="X686" s="1912"/>
      <c r="Y686" s="1912"/>
      <c r="Z686" s="1912"/>
      <c r="AA686" s="1912"/>
      <c r="AB686" s="1912"/>
      <c r="AC686" s="1912"/>
      <c r="AD686" s="1912"/>
      <c r="AE686" s="1912"/>
      <c r="AF686" s="1912"/>
      <c r="AG686" s="1912"/>
    </row>
    <row r="687">
      <c r="A687" s="1912"/>
      <c r="B687" s="1912"/>
      <c r="C687" s="1912"/>
      <c r="D687" s="1912"/>
      <c r="E687" s="1912"/>
      <c r="F687" s="1912"/>
      <c r="G687" s="1912"/>
      <c r="H687" s="1912"/>
      <c r="I687" s="1912"/>
      <c r="J687" s="1912"/>
      <c r="K687" s="1912"/>
      <c r="L687" s="1912"/>
      <c r="M687" s="1912"/>
      <c r="N687" s="1912"/>
      <c r="O687" s="1912"/>
      <c r="P687" s="1912"/>
      <c r="Q687" s="1912"/>
      <c r="R687" s="1912"/>
      <c r="S687" s="1912"/>
      <c r="T687" s="1912"/>
      <c r="U687" s="1912"/>
      <c r="V687" s="1912"/>
      <c r="W687" s="1912"/>
      <c r="X687" s="1912"/>
      <c r="Y687" s="1912"/>
      <c r="Z687" s="1912"/>
      <c r="AA687" s="1912"/>
      <c r="AB687" s="1912"/>
      <c r="AC687" s="1912"/>
      <c r="AD687" s="1912"/>
      <c r="AE687" s="1912"/>
      <c r="AF687" s="1912"/>
      <c r="AG687" s="1912"/>
    </row>
    <row r="688">
      <c r="A688" s="1912"/>
      <c r="B688" s="1912"/>
      <c r="C688" s="1912"/>
      <c r="D688" s="1912"/>
      <c r="E688" s="1912"/>
      <c r="F688" s="1912"/>
      <c r="G688" s="1912"/>
      <c r="H688" s="1912"/>
      <c r="I688" s="1912"/>
      <c r="J688" s="1912"/>
      <c r="K688" s="1912"/>
      <c r="L688" s="1912"/>
      <c r="M688" s="1912"/>
      <c r="N688" s="1912"/>
      <c r="O688" s="1912"/>
      <c r="P688" s="1912"/>
      <c r="Q688" s="1912"/>
      <c r="R688" s="1912"/>
      <c r="S688" s="1912"/>
      <c r="T688" s="1912"/>
      <c r="U688" s="1912"/>
      <c r="V688" s="1912"/>
      <c r="W688" s="1912"/>
      <c r="X688" s="1912"/>
      <c r="Y688" s="1912"/>
      <c r="Z688" s="1912"/>
      <c r="AA688" s="1912"/>
      <c r="AB688" s="1912"/>
      <c r="AC688" s="1912"/>
      <c r="AD688" s="1912"/>
      <c r="AE688" s="1912"/>
      <c r="AF688" s="1912"/>
      <c r="AG688" s="1912"/>
    </row>
    <row r="689">
      <c r="A689" s="1912"/>
      <c r="B689" s="1912"/>
      <c r="C689" s="1912"/>
      <c r="D689" s="1912"/>
      <c r="E689" s="1912"/>
      <c r="F689" s="1912"/>
      <c r="G689" s="1912"/>
      <c r="H689" s="1912"/>
      <c r="I689" s="1912"/>
      <c r="J689" s="1912"/>
      <c r="K689" s="1912"/>
      <c r="L689" s="1912"/>
      <c r="M689" s="1912"/>
      <c r="N689" s="1912"/>
      <c r="O689" s="1912"/>
      <c r="P689" s="1912"/>
      <c r="Q689" s="1912"/>
      <c r="R689" s="1912"/>
      <c r="S689" s="1912"/>
      <c r="T689" s="1912"/>
      <c r="U689" s="1912"/>
      <c r="V689" s="1912"/>
      <c r="W689" s="1912"/>
      <c r="X689" s="1912"/>
      <c r="Y689" s="1912"/>
      <c r="Z689" s="1912"/>
      <c r="AA689" s="1912"/>
      <c r="AB689" s="1912"/>
      <c r="AC689" s="1912"/>
      <c r="AD689" s="1912"/>
      <c r="AE689" s="1912"/>
      <c r="AF689" s="1912"/>
      <c r="AG689" s="1912"/>
    </row>
    <row r="690">
      <c r="A690" s="1912"/>
      <c r="B690" s="1912"/>
      <c r="C690" s="1912"/>
      <c r="D690" s="1912"/>
      <c r="E690" s="1912"/>
      <c r="F690" s="1912"/>
      <c r="G690" s="1912"/>
      <c r="H690" s="1912"/>
      <c r="I690" s="1912"/>
      <c r="J690" s="1912"/>
      <c r="K690" s="1912"/>
      <c r="L690" s="1912"/>
      <c r="M690" s="1912"/>
      <c r="N690" s="1912"/>
      <c r="O690" s="1912"/>
      <c r="P690" s="1912"/>
      <c r="Q690" s="1912"/>
      <c r="R690" s="1912"/>
      <c r="S690" s="1912"/>
      <c r="T690" s="1912"/>
      <c r="U690" s="1912"/>
      <c r="V690" s="1912"/>
      <c r="W690" s="1912"/>
      <c r="X690" s="1912"/>
      <c r="Y690" s="1912"/>
      <c r="Z690" s="1912"/>
      <c r="AA690" s="1912"/>
      <c r="AB690" s="1912"/>
      <c r="AC690" s="1912"/>
      <c r="AD690" s="1912"/>
      <c r="AE690" s="1912"/>
      <c r="AF690" s="1912"/>
      <c r="AG690" s="1912"/>
    </row>
    <row r="691">
      <c r="A691" s="1912"/>
      <c r="B691" s="1912"/>
      <c r="C691" s="1912"/>
      <c r="D691" s="1912"/>
      <c r="E691" s="1912"/>
      <c r="F691" s="1912"/>
      <c r="G691" s="1912"/>
      <c r="H691" s="1912"/>
      <c r="I691" s="1912"/>
      <c r="J691" s="1912"/>
      <c r="K691" s="1912"/>
      <c r="L691" s="1912"/>
      <c r="M691" s="1912"/>
      <c r="N691" s="1912"/>
      <c r="O691" s="1912"/>
      <c r="P691" s="1912"/>
      <c r="Q691" s="1912"/>
      <c r="R691" s="1912"/>
      <c r="S691" s="1912"/>
      <c r="T691" s="1912"/>
      <c r="U691" s="1912"/>
      <c r="V691" s="1912"/>
      <c r="W691" s="1912"/>
      <c r="X691" s="1912"/>
      <c r="Y691" s="1912"/>
      <c r="Z691" s="1912"/>
      <c r="AA691" s="1912"/>
      <c r="AB691" s="1912"/>
      <c r="AC691" s="1912"/>
      <c r="AD691" s="1912"/>
      <c r="AE691" s="1912"/>
      <c r="AF691" s="1912"/>
      <c r="AG691" s="1912"/>
    </row>
    <row r="692">
      <c r="A692" s="1912"/>
      <c r="B692" s="1912"/>
      <c r="C692" s="1912"/>
      <c r="D692" s="1912"/>
      <c r="E692" s="1912"/>
      <c r="F692" s="1912"/>
      <c r="G692" s="1912"/>
      <c r="H692" s="1912"/>
      <c r="I692" s="1912"/>
      <c r="J692" s="1912"/>
      <c r="K692" s="1912"/>
      <c r="L692" s="1912"/>
      <c r="M692" s="1912"/>
      <c r="N692" s="1912"/>
      <c r="O692" s="1912"/>
      <c r="P692" s="1912"/>
      <c r="Q692" s="1912"/>
      <c r="R692" s="1912"/>
      <c r="S692" s="1912"/>
      <c r="T692" s="1912"/>
      <c r="U692" s="1912"/>
      <c r="V692" s="1912"/>
      <c r="W692" s="1912"/>
      <c r="X692" s="1912"/>
      <c r="Y692" s="1912"/>
      <c r="Z692" s="1912"/>
      <c r="AA692" s="1912"/>
      <c r="AB692" s="1912"/>
      <c r="AC692" s="1912"/>
      <c r="AD692" s="1912"/>
      <c r="AE692" s="1912"/>
      <c r="AF692" s="1912"/>
      <c r="AG692" s="1912"/>
    </row>
    <row r="693">
      <c r="A693" s="1912"/>
      <c r="B693" s="1912"/>
      <c r="C693" s="1912"/>
      <c r="D693" s="1912"/>
      <c r="E693" s="1912"/>
      <c r="F693" s="1912"/>
      <c r="G693" s="1912"/>
      <c r="H693" s="1912"/>
      <c r="I693" s="1912"/>
      <c r="J693" s="1912"/>
      <c r="K693" s="1912"/>
      <c r="L693" s="1912"/>
      <c r="M693" s="1912"/>
      <c r="N693" s="1912"/>
      <c r="O693" s="1912"/>
      <c r="P693" s="1912"/>
      <c r="Q693" s="1912"/>
      <c r="R693" s="1912"/>
      <c r="S693" s="1912"/>
      <c r="T693" s="1912"/>
      <c r="U693" s="1912"/>
      <c r="V693" s="1912"/>
      <c r="W693" s="1912"/>
      <c r="X693" s="1912"/>
      <c r="Y693" s="1912"/>
      <c r="Z693" s="1912"/>
      <c r="AA693" s="1912"/>
      <c r="AB693" s="1912"/>
      <c r="AC693" s="1912"/>
      <c r="AD693" s="1912"/>
      <c r="AE693" s="1912"/>
      <c r="AF693" s="1912"/>
      <c r="AG693" s="1912"/>
    </row>
    <row r="694">
      <c r="A694" s="1912"/>
      <c r="B694" s="1912"/>
      <c r="C694" s="1912"/>
      <c r="D694" s="1912"/>
      <c r="E694" s="1912"/>
      <c r="F694" s="1912"/>
      <c r="G694" s="1912"/>
      <c r="H694" s="1912"/>
      <c r="I694" s="1912"/>
      <c r="J694" s="1912"/>
      <c r="K694" s="1912"/>
      <c r="L694" s="1912"/>
      <c r="M694" s="1912"/>
      <c r="N694" s="1912"/>
      <c r="O694" s="1912"/>
      <c r="P694" s="1912"/>
      <c r="Q694" s="1912"/>
      <c r="R694" s="1912"/>
      <c r="S694" s="1912"/>
      <c r="T694" s="1912"/>
      <c r="U694" s="1912"/>
      <c r="V694" s="1912"/>
      <c r="W694" s="1912"/>
      <c r="X694" s="1912"/>
      <c r="Y694" s="1912"/>
      <c r="Z694" s="1912"/>
      <c r="AA694" s="1912"/>
      <c r="AB694" s="1912"/>
      <c r="AC694" s="1912"/>
      <c r="AD694" s="1912"/>
      <c r="AE694" s="1912"/>
      <c r="AF694" s="1912"/>
      <c r="AG694" s="1912"/>
    </row>
    <row r="695">
      <c r="A695" s="1912"/>
      <c r="B695" s="1912"/>
      <c r="C695" s="1912"/>
      <c r="D695" s="1912"/>
      <c r="E695" s="1912"/>
      <c r="F695" s="1912"/>
      <c r="G695" s="1912"/>
      <c r="H695" s="1912"/>
      <c r="I695" s="1912"/>
      <c r="J695" s="1912"/>
      <c r="K695" s="1912"/>
      <c r="L695" s="1912"/>
      <c r="M695" s="1912"/>
      <c r="N695" s="1912"/>
      <c r="O695" s="1912"/>
      <c r="P695" s="1912"/>
      <c r="Q695" s="1912"/>
      <c r="R695" s="1912"/>
      <c r="S695" s="1912"/>
      <c r="T695" s="1912"/>
      <c r="U695" s="1912"/>
      <c r="V695" s="1912"/>
      <c r="W695" s="1912"/>
      <c r="X695" s="1912"/>
      <c r="Y695" s="1912"/>
      <c r="Z695" s="1912"/>
      <c r="AA695" s="1912"/>
      <c r="AB695" s="1912"/>
      <c r="AC695" s="1912"/>
      <c r="AD695" s="1912"/>
      <c r="AE695" s="1912"/>
      <c r="AF695" s="1912"/>
      <c r="AG695" s="1912"/>
    </row>
    <row r="696">
      <c r="A696" s="1912"/>
      <c r="B696" s="1912"/>
      <c r="C696" s="1912"/>
      <c r="D696" s="1912"/>
      <c r="E696" s="1912"/>
      <c r="F696" s="1912"/>
      <c r="G696" s="1912"/>
      <c r="H696" s="1912"/>
      <c r="I696" s="1912"/>
      <c r="J696" s="1912"/>
      <c r="K696" s="1912"/>
      <c r="L696" s="1912"/>
      <c r="M696" s="1912"/>
      <c r="N696" s="1912"/>
      <c r="O696" s="1912"/>
      <c r="P696" s="1912"/>
      <c r="Q696" s="1912"/>
      <c r="R696" s="1912"/>
      <c r="S696" s="1912"/>
      <c r="T696" s="1912"/>
      <c r="U696" s="1912"/>
      <c r="V696" s="1912"/>
      <c r="W696" s="1912"/>
      <c r="X696" s="1912"/>
      <c r="Y696" s="1912"/>
      <c r="Z696" s="1912"/>
      <c r="AA696" s="1912"/>
      <c r="AB696" s="1912"/>
      <c r="AC696" s="1912"/>
      <c r="AD696" s="1912"/>
      <c r="AE696" s="1912"/>
      <c r="AF696" s="1912"/>
      <c r="AG696" s="1912"/>
    </row>
    <row r="697">
      <c r="A697" s="1912"/>
      <c r="B697" s="1912"/>
      <c r="C697" s="1912"/>
      <c r="D697" s="1912"/>
      <c r="E697" s="1912"/>
      <c r="F697" s="1912"/>
      <c r="G697" s="1912"/>
      <c r="H697" s="1912"/>
      <c r="I697" s="1912"/>
      <c r="J697" s="1912"/>
      <c r="K697" s="1912"/>
      <c r="L697" s="1912"/>
      <c r="M697" s="1912"/>
      <c r="N697" s="1912"/>
      <c r="O697" s="1912"/>
      <c r="P697" s="1912"/>
      <c r="Q697" s="1912"/>
      <c r="R697" s="1912"/>
      <c r="S697" s="1912"/>
      <c r="T697" s="1912"/>
      <c r="U697" s="1912"/>
      <c r="V697" s="1912"/>
      <c r="W697" s="1912"/>
      <c r="X697" s="1912"/>
      <c r="Y697" s="1912"/>
      <c r="Z697" s="1912"/>
      <c r="AA697" s="1912"/>
      <c r="AB697" s="1912"/>
      <c r="AC697" s="1912"/>
      <c r="AD697" s="1912"/>
      <c r="AE697" s="1912"/>
      <c r="AF697" s="1912"/>
      <c r="AG697" s="1912"/>
    </row>
    <row r="698">
      <c r="A698" s="1912"/>
      <c r="B698" s="1912"/>
      <c r="C698" s="1912"/>
      <c r="D698" s="1912"/>
      <c r="E698" s="1912"/>
      <c r="F698" s="1912"/>
      <c r="G698" s="1912"/>
      <c r="H698" s="1912"/>
      <c r="I698" s="1912"/>
      <c r="J698" s="1912"/>
      <c r="K698" s="1912"/>
      <c r="L698" s="1912"/>
      <c r="M698" s="1912"/>
      <c r="N698" s="1912"/>
      <c r="O698" s="1912"/>
      <c r="P698" s="1912"/>
      <c r="Q698" s="1912"/>
      <c r="R698" s="1912"/>
      <c r="S698" s="1912"/>
      <c r="T698" s="1912"/>
      <c r="U698" s="1912"/>
      <c r="V698" s="1912"/>
      <c r="W698" s="1912"/>
      <c r="X698" s="1912"/>
      <c r="Y698" s="1912"/>
      <c r="Z698" s="1912"/>
      <c r="AA698" s="1912"/>
      <c r="AB698" s="1912"/>
      <c r="AC698" s="1912"/>
      <c r="AD698" s="1912"/>
      <c r="AE698" s="1912"/>
      <c r="AF698" s="1912"/>
      <c r="AG698" s="1912"/>
    </row>
    <row r="699">
      <c r="A699" s="1912"/>
      <c r="B699" s="1912"/>
      <c r="C699" s="1912"/>
      <c r="D699" s="1912"/>
      <c r="E699" s="1912"/>
      <c r="F699" s="1912"/>
      <c r="G699" s="1912"/>
      <c r="H699" s="1912"/>
      <c r="I699" s="1912"/>
      <c r="J699" s="1912"/>
      <c r="K699" s="1912"/>
      <c r="L699" s="1912"/>
      <c r="M699" s="1912"/>
      <c r="N699" s="1912"/>
      <c r="O699" s="1912"/>
      <c r="P699" s="1912"/>
      <c r="Q699" s="1912"/>
      <c r="R699" s="1912"/>
      <c r="S699" s="1912"/>
      <c r="T699" s="1912"/>
      <c r="U699" s="1912"/>
      <c r="V699" s="1912"/>
      <c r="W699" s="1912"/>
      <c r="X699" s="1912"/>
      <c r="Y699" s="1912"/>
      <c r="Z699" s="1912"/>
      <c r="AA699" s="1912"/>
      <c r="AB699" s="1912"/>
      <c r="AC699" s="1912"/>
      <c r="AD699" s="1912"/>
      <c r="AE699" s="1912"/>
      <c r="AF699" s="1912"/>
      <c r="AG699" s="1912"/>
    </row>
    <row r="700">
      <c r="A700" s="1912"/>
      <c r="B700" s="1912"/>
      <c r="C700" s="1912"/>
      <c r="D700" s="1912"/>
      <c r="E700" s="1912"/>
      <c r="F700" s="1912"/>
      <c r="G700" s="1912"/>
      <c r="H700" s="1912"/>
      <c r="I700" s="1912"/>
      <c r="J700" s="1912"/>
      <c r="K700" s="1912"/>
      <c r="L700" s="1912"/>
      <c r="M700" s="1912"/>
      <c r="N700" s="1912"/>
      <c r="O700" s="1912"/>
      <c r="P700" s="1912"/>
      <c r="Q700" s="1912"/>
      <c r="R700" s="1912"/>
      <c r="S700" s="1912"/>
      <c r="T700" s="1912"/>
      <c r="U700" s="1912"/>
      <c r="V700" s="1912"/>
      <c r="W700" s="1912"/>
      <c r="X700" s="1912"/>
      <c r="Y700" s="1912"/>
      <c r="Z700" s="1912"/>
      <c r="AA700" s="1912"/>
      <c r="AB700" s="1912"/>
      <c r="AC700" s="1912"/>
      <c r="AD700" s="1912"/>
      <c r="AE700" s="1912"/>
      <c r="AF700" s="1912"/>
      <c r="AG700" s="1912"/>
    </row>
    <row r="701">
      <c r="A701" s="1912"/>
      <c r="B701" s="1912"/>
      <c r="C701" s="1912"/>
      <c r="D701" s="1912"/>
      <c r="E701" s="1912"/>
      <c r="F701" s="1912"/>
      <c r="G701" s="1912"/>
      <c r="H701" s="1912"/>
      <c r="I701" s="1912"/>
      <c r="J701" s="1912"/>
      <c r="K701" s="1912"/>
      <c r="L701" s="1912"/>
      <c r="M701" s="1912"/>
      <c r="N701" s="1912"/>
      <c r="O701" s="1912"/>
      <c r="P701" s="1912"/>
      <c r="Q701" s="1912"/>
      <c r="R701" s="1912"/>
      <c r="S701" s="1912"/>
      <c r="T701" s="1912"/>
      <c r="U701" s="1912"/>
      <c r="V701" s="1912"/>
      <c r="W701" s="1912"/>
      <c r="X701" s="1912"/>
      <c r="Y701" s="1912"/>
      <c r="Z701" s="1912"/>
      <c r="AA701" s="1912"/>
      <c r="AB701" s="1912"/>
      <c r="AC701" s="1912"/>
      <c r="AD701" s="1912"/>
      <c r="AE701" s="1912"/>
      <c r="AF701" s="1912"/>
      <c r="AG701" s="1912"/>
    </row>
    <row r="702">
      <c r="A702" s="1912"/>
      <c r="B702" s="1912"/>
      <c r="C702" s="1912"/>
      <c r="D702" s="1912"/>
      <c r="E702" s="1912"/>
      <c r="F702" s="1912"/>
      <c r="G702" s="1912"/>
      <c r="H702" s="1912"/>
      <c r="I702" s="1912"/>
      <c r="J702" s="1912"/>
      <c r="K702" s="1912"/>
      <c r="L702" s="1912"/>
      <c r="M702" s="1912"/>
      <c r="N702" s="1912"/>
      <c r="O702" s="1912"/>
      <c r="P702" s="1912"/>
      <c r="Q702" s="1912"/>
      <c r="R702" s="1912"/>
      <c r="S702" s="1912"/>
      <c r="T702" s="1912"/>
      <c r="U702" s="1912"/>
      <c r="V702" s="1912"/>
      <c r="W702" s="1912"/>
      <c r="X702" s="1912"/>
      <c r="Y702" s="1912"/>
      <c r="Z702" s="1912"/>
      <c r="AA702" s="1912"/>
      <c r="AB702" s="1912"/>
      <c r="AC702" s="1912"/>
      <c r="AD702" s="1912"/>
      <c r="AE702" s="1912"/>
      <c r="AF702" s="1912"/>
      <c r="AG702" s="1912"/>
    </row>
    <row r="703">
      <c r="A703" s="1912"/>
      <c r="B703" s="1912"/>
      <c r="C703" s="1912"/>
      <c r="D703" s="1912"/>
      <c r="E703" s="1912"/>
      <c r="F703" s="1912"/>
      <c r="G703" s="1912"/>
      <c r="H703" s="1912"/>
      <c r="I703" s="1912"/>
      <c r="J703" s="1912"/>
      <c r="K703" s="1912"/>
      <c r="L703" s="1912"/>
      <c r="M703" s="1912"/>
      <c r="N703" s="1912"/>
      <c r="O703" s="1912"/>
      <c r="P703" s="1912"/>
      <c r="Q703" s="1912"/>
      <c r="R703" s="1912"/>
      <c r="S703" s="1912"/>
      <c r="T703" s="1912"/>
      <c r="U703" s="1912"/>
      <c r="V703" s="1912"/>
      <c r="W703" s="1912"/>
      <c r="X703" s="1912"/>
      <c r="Y703" s="1912"/>
      <c r="Z703" s="1912"/>
      <c r="AA703" s="1912"/>
      <c r="AB703" s="1912"/>
      <c r="AC703" s="1912"/>
      <c r="AD703" s="1912"/>
      <c r="AE703" s="1912"/>
      <c r="AF703" s="1912"/>
      <c r="AG703" s="1912"/>
    </row>
    <row r="704">
      <c r="A704" s="1912"/>
      <c r="B704" s="1912"/>
      <c r="C704" s="1912"/>
      <c r="D704" s="1912"/>
      <c r="E704" s="1912"/>
      <c r="F704" s="1912"/>
      <c r="G704" s="1912"/>
      <c r="H704" s="1912"/>
      <c r="I704" s="1912"/>
      <c r="J704" s="1912"/>
      <c r="K704" s="1912"/>
      <c r="L704" s="1912"/>
      <c r="M704" s="1912"/>
      <c r="N704" s="1912"/>
      <c r="O704" s="1912"/>
      <c r="P704" s="1912"/>
      <c r="Q704" s="1912"/>
      <c r="R704" s="1912"/>
      <c r="S704" s="1912"/>
      <c r="T704" s="1912"/>
      <c r="U704" s="1912"/>
      <c r="V704" s="1912"/>
      <c r="W704" s="1912"/>
      <c r="X704" s="1912"/>
      <c r="Y704" s="1912"/>
      <c r="Z704" s="1912"/>
      <c r="AA704" s="1912"/>
      <c r="AB704" s="1912"/>
      <c r="AC704" s="1912"/>
      <c r="AD704" s="1912"/>
      <c r="AE704" s="1912"/>
      <c r="AF704" s="1912"/>
      <c r="AG704" s="1912"/>
    </row>
    <row r="705">
      <c r="A705" s="1912"/>
      <c r="B705" s="1912"/>
      <c r="C705" s="1912"/>
      <c r="D705" s="1912"/>
      <c r="E705" s="1912"/>
      <c r="F705" s="1912"/>
      <c r="G705" s="1912"/>
      <c r="H705" s="1912"/>
      <c r="I705" s="1912"/>
      <c r="J705" s="1912"/>
      <c r="K705" s="1912"/>
      <c r="L705" s="1912"/>
      <c r="M705" s="1912"/>
      <c r="N705" s="1912"/>
      <c r="O705" s="1912"/>
      <c r="P705" s="1912"/>
      <c r="Q705" s="1912"/>
      <c r="R705" s="1912"/>
      <c r="S705" s="1912"/>
      <c r="T705" s="1912"/>
      <c r="U705" s="1912"/>
      <c r="V705" s="1912"/>
      <c r="W705" s="1912"/>
      <c r="X705" s="1912"/>
      <c r="Y705" s="1912"/>
      <c r="Z705" s="1912"/>
      <c r="AA705" s="1912"/>
      <c r="AB705" s="1912"/>
      <c r="AC705" s="1912"/>
      <c r="AD705" s="1912"/>
      <c r="AE705" s="1912"/>
      <c r="AF705" s="1912"/>
      <c r="AG705" s="1912"/>
    </row>
    <row r="706">
      <c r="A706" s="1912"/>
      <c r="B706" s="1912"/>
      <c r="C706" s="1912"/>
      <c r="D706" s="1912"/>
      <c r="E706" s="1912"/>
      <c r="F706" s="1912"/>
      <c r="G706" s="1912"/>
      <c r="H706" s="1912"/>
      <c r="I706" s="1912"/>
      <c r="J706" s="1912"/>
      <c r="K706" s="1912"/>
      <c r="L706" s="1912"/>
      <c r="M706" s="1912"/>
      <c r="N706" s="1912"/>
      <c r="O706" s="1912"/>
      <c r="P706" s="1912"/>
      <c r="Q706" s="1912"/>
      <c r="R706" s="1912"/>
      <c r="S706" s="1912"/>
      <c r="T706" s="1912"/>
      <c r="U706" s="1912"/>
      <c r="V706" s="1912"/>
      <c r="W706" s="1912"/>
      <c r="X706" s="1912"/>
      <c r="Y706" s="1912"/>
      <c r="Z706" s="1912"/>
      <c r="AA706" s="1912"/>
      <c r="AB706" s="1912"/>
      <c r="AC706" s="1912"/>
      <c r="AD706" s="1912"/>
      <c r="AE706" s="1912"/>
      <c r="AF706" s="1912"/>
      <c r="AG706" s="1912"/>
    </row>
    <row r="707">
      <c r="A707" s="1912"/>
      <c r="B707" s="1912"/>
      <c r="C707" s="1912"/>
      <c r="D707" s="1912"/>
      <c r="E707" s="1912"/>
      <c r="F707" s="1912"/>
      <c r="G707" s="1912"/>
      <c r="H707" s="1912"/>
      <c r="I707" s="1912"/>
      <c r="J707" s="1912"/>
      <c r="K707" s="1912"/>
      <c r="L707" s="1912"/>
      <c r="M707" s="1912"/>
      <c r="N707" s="1912"/>
      <c r="O707" s="1912"/>
      <c r="P707" s="1912"/>
      <c r="Q707" s="1912"/>
      <c r="R707" s="1912"/>
      <c r="S707" s="1912"/>
      <c r="T707" s="1912"/>
      <c r="U707" s="1912"/>
      <c r="V707" s="1912"/>
      <c r="W707" s="1912"/>
      <c r="X707" s="1912"/>
      <c r="Y707" s="1912"/>
      <c r="Z707" s="1912"/>
      <c r="AA707" s="1912"/>
      <c r="AB707" s="1912"/>
      <c r="AC707" s="1912"/>
      <c r="AD707" s="1912"/>
      <c r="AE707" s="1912"/>
      <c r="AF707" s="1912"/>
      <c r="AG707" s="1912"/>
    </row>
    <row r="708">
      <c r="A708" s="1912"/>
      <c r="B708" s="1912"/>
      <c r="C708" s="1912"/>
      <c r="D708" s="1912"/>
      <c r="E708" s="1912"/>
      <c r="F708" s="1912"/>
      <c r="G708" s="1912"/>
      <c r="H708" s="1912"/>
      <c r="I708" s="1912"/>
      <c r="J708" s="1912"/>
      <c r="K708" s="1912"/>
      <c r="L708" s="1912"/>
      <c r="M708" s="1912"/>
      <c r="N708" s="1912"/>
      <c r="O708" s="1912"/>
      <c r="P708" s="1912"/>
      <c r="Q708" s="1912"/>
      <c r="R708" s="1912"/>
      <c r="S708" s="1912"/>
      <c r="T708" s="1912"/>
      <c r="U708" s="1912"/>
      <c r="V708" s="1912"/>
      <c r="W708" s="1912"/>
      <c r="X708" s="1912"/>
      <c r="Y708" s="1912"/>
      <c r="Z708" s="1912"/>
      <c r="AA708" s="1912"/>
      <c r="AB708" s="1912"/>
      <c r="AC708" s="1912"/>
      <c r="AD708" s="1912"/>
      <c r="AE708" s="1912"/>
      <c r="AF708" s="1912"/>
      <c r="AG708" s="1912"/>
    </row>
    <row r="709">
      <c r="A709" s="1912"/>
      <c r="B709" s="1912"/>
      <c r="C709" s="1912"/>
      <c r="D709" s="1912"/>
      <c r="E709" s="1912"/>
      <c r="F709" s="1912"/>
      <c r="G709" s="1912"/>
      <c r="H709" s="1912"/>
      <c r="I709" s="1912"/>
      <c r="J709" s="1912"/>
      <c r="K709" s="1912"/>
      <c r="L709" s="1912"/>
      <c r="M709" s="1912"/>
      <c r="N709" s="1912"/>
      <c r="O709" s="1912"/>
      <c r="P709" s="1912"/>
      <c r="Q709" s="1912"/>
      <c r="R709" s="1912"/>
      <c r="S709" s="1912"/>
      <c r="T709" s="1912"/>
      <c r="U709" s="1912"/>
      <c r="V709" s="1912"/>
      <c r="W709" s="1912"/>
      <c r="X709" s="1912"/>
      <c r="Y709" s="1912"/>
      <c r="Z709" s="1912"/>
      <c r="AA709" s="1912"/>
      <c r="AB709" s="1912"/>
      <c r="AC709" s="1912"/>
      <c r="AD709" s="1912"/>
      <c r="AE709" s="1912"/>
      <c r="AF709" s="1912"/>
      <c r="AG709" s="1912"/>
    </row>
    <row r="710">
      <c r="A710" s="1912"/>
      <c r="B710" s="1912"/>
      <c r="C710" s="1912"/>
      <c r="D710" s="1912"/>
      <c r="E710" s="1912"/>
      <c r="F710" s="1912"/>
      <c r="G710" s="1912"/>
      <c r="H710" s="1912"/>
      <c r="I710" s="1912"/>
      <c r="J710" s="1912"/>
      <c r="K710" s="1912"/>
      <c r="L710" s="1912"/>
      <c r="M710" s="1912"/>
      <c r="N710" s="1912"/>
      <c r="O710" s="1912"/>
      <c r="P710" s="1912"/>
      <c r="Q710" s="1912"/>
      <c r="R710" s="1912"/>
      <c r="S710" s="1912"/>
      <c r="T710" s="1912"/>
      <c r="U710" s="1912"/>
      <c r="V710" s="1912"/>
      <c r="W710" s="1912"/>
      <c r="X710" s="1912"/>
      <c r="Y710" s="1912"/>
      <c r="Z710" s="1912"/>
      <c r="AA710" s="1912"/>
      <c r="AB710" s="1912"/>
      <c r="AC710" s="1912"/>
      <c r="AD710" s="1912"/>
      <c r="AE710" s="1912"/>
      <c r="AF710" s="1912"/>
      <c r="AG710" s="1912"/>
    </row>
    <row r="711">
      <c r="A711" s="1912"/>
      <c r="B711" s="1912"/>
      <c r="C711" s="1912"/>
      <c r="D711" s="1912"/>
      <c r="E711" s="1912"/>
      <c r="F711" s="1912"/>
      <c r="G711" s="1912"/>
      <c r="H711" s="1912"/>
      <c r="I711" s="1912"/>
      <c r="J711" s="1912"/>
      <c r="K711" s="1912"/>
      <c r="L711" s="1912"/>
      <c r="M711" s="1912"/>
      <c r="N711" s="1912"/>
      <c r="O711" s="1912"/>
      <c r="P711" s="1912"/>
      <c r="Q711" s="1912"/>
      <c r="R711" s="1912"/>
      <c r="S711" s="1912"/>
      <c r="T711" s="1912"/>
      <c r="U711" s="1912"/>
      <c r="V711" s="1912"/>
      <c r="W711" s="1912"/>
      <c r="X711" s="1912"/>
      <c r="Y711" s="1912"/>
      <c r="Z711" s="1912"/>
      <c r="AA711" s="1912"/>
      <c r="AB711" s="1912"/>
      <c r="AC711" s="1912"/>
      <c r="AD711" s="1912"/>
      <c r="AE711" s="1912"/>
      <c r="AF711" s="1912"/>
      <c r="AG711" s="1912"/>
    </row>
    <row r="712">
      <c r="A712" s="1912"/>
      <c r="B712" s="1912"/>
      <c r="C712" s="1912"/>
      <c r="D712" s="1912"/>
      <c r="E712" s="1912"/>
      <c r="F712" s="1912"/>
      <c r="G712" s="1912"/>
      <c r="H712" s="1912"/>
      <c r="I712" s="1912"/>
      <c r="J712" s="1912"/>
      <c r="K712" s="1912"/>
      <c r="L712" s="1912"/>
      <c r="M712" s="1912"/>
      <c r="N712" s="1912"/>
      <c r="O712" s="1912"/>
      <c r="P712" s="1912"/>
      <c r="Q712" s="1912"/>
      <c r="R712" s="1912"/>
      <c r="S712" s="1912"/>
      <c r="T712" s="1912"/>
      <c r="U712" s="1912"/>
      <c r="V712" s="1912"/>
      <c r="W712" s="1912"/>
      <c r="X712" s="1912"/>
      <c r="Y712" s="1912"/>
      <c r="Z712" s="1912"/>
      <c r="AA712" s="1912"/>
      <c r="AB712" s="1912"/>
      <c r="AC712" s="1912"/>
      <c r="AD712" s="1912"/>
      <c r="AE712" s="1912"/>
      <c r="AF712" s="1912"/>
      <c r="AG712" s="1912"/>
    </row>
    <row r="713">
      <c r="A713" s="1912"/>
      <c r="B713" s="1912"/>
      <c r="C713" s="1912"/>
      <c r="D713" s="1912"/>
      <c r="E713" s="1912"/>
      <c r="F713" s="1912"/>
      <c r="G713" s="1912"/>
      <c r="H713" s="1912"/>
      <c r="I713" s="1912"/>
      <c r="J713" s="1912"/>
      <c r="K713" s="1912"/>
      <c r="L713" s="1912"/>
      <c r="M713" s="1912"/>
      <c r="N713" s="1912"/>
      <c r="O713" s="1912"/>
      <c r="P713" s="1912"/>
      <c r="Q713" s="1912"/>
      <c r="R713" s="1912"/>
      <c r="S713" s="1912"/>
      <c r="T713" s="1912"/>
      <c r="U713" s="1912"/>
      <c r="V713" s="1912"/>
      <c r="W713" s="1912"/>
      <c r="X713" s="1912"/>
      <c r="Y713" s="1912"/>
      <c r="Z713" s="1912"/>
      <c r="AA713" s="1912"/>
      <c r="AB713" s="1912"/>
      <c r="AC713" s="1912"/>
      <c r="AD713" s="1912"/>
      <c r="AE713" s="1912"/>
      <c r="AF713" s="1912"/>
      <c r="AG713" s="1912"/>
    </row>
    <row r="714">
      <c r="A714" s="1912"/>
      <c r="B714" s="1912"/>
      <c r="C714" s="1912"/>
      <c r="D714" s="1912"/>
      <c r="E714" s="1912"/>
      <c r="F714" s="1912"/>
      <c r="G714" s="1912"/>
      <c r="H714" s="1912"/>
      <c r="I714" s="1912"/>
      <c r="J714" s="1912"/>
      <c r="K714" s="1912"/>
      <c r="L714" s="1912"/>
      <c r="M714" s="1912"/>
      <c r="N714" s="1912"/>
      <c r="O714" s="1912"/>
      <c r="P714" s="1912"/>
      <c r="Q714" s="1912"/>
      <c r="R714" s="1912"/>
      <c r="S714" s="1912"/>
      <c r="T714" s="1912"/>
      <c r="U714" s="1912"/>
      <c r="V714" s="1912"/>
      <c r="W714" s="1912"/>
      <c r="X714" s="1912"/>
      <c r="Y714" s="1912"/>
      <c r="Z714" s="1912"/>
      <c r="AA714" s="1912"/>
      <c r="AB714" s="1912"/>
      <c r="AC714" s="1912"/>
      <c r="AD714" s="1912"/>
      <c r="AE714" s="1912"/>
      <c r="AF714" s="1912"/>
      <c r="AG714" s="1912"/>
    </row>
    <row r="715">
      <c r="A715" s="1912"/>
      <c r="B715" s="1912"/>
      <c r="C715" s="1912"/>
      <c r="D715" s="1912"/>
      <c r="E715" s="1912"/>
      <c r="F715" s="1912"/>
      <c r="G715" s="1912"/>
      <c r="H715" s="1912"/>
      <c r="I715" s="1912"/>
      <c r="J715" s="1912"/>
      <c r="K715" s="1912"/>
      <c r="L715" s="1912"/>
      <c r="M715" s="1912"/>
      <c r="N715" s="1912"/>
      <c r="O715" s="1912"/>
      <c r="P715" s="1912"/>
      <c r="Q715" s="1912"/>
      <c r="R715" s="1912"/>
      <c r="S715" s="1912"/>
      <c r="T715" s="1912"/>
      <c r="U715" s="1912"/>
      <c r="V715" s="1912"/>
      <c r="W715" s="1912"/>
      <c r="X715" s="1912"/>
      <c r="Y715" s="1912"/>
      <c r="Z715" s="1912"/>
      <c r="AA715" s="1912"/>
      <c r="AB715" s="1912"/>
      <c r="AC715" s="1912"/>
      <c r="AD715" s="1912"/>
      <c r="AE715" s="1912"/>
      <c r="AF715" s="1912"/>
      <c r="AG715" s="1912"/>
    </row>
    <row r="716">
      <c r="A716" s="1912"/>
      <c r="B716" s="1912"/>
      <c r="C716" s="1912"/>
      <c r="D716" s="1912"/>
      <c r="E716" s="1912"/>
      <c r="F716" s="1912"/>
      <c r="G716" s="1912"/>
      <c r="H716" s="1912"/>
      <c r="I716" s="1912"/>
      <c r="J716" s="1912"/>
      <c r="K716" s="1912"/>
      <c r="L716" s="1912"/>
      <c r="M716" s="1912"/>
      <c r="N716" s="1912"/>
      <c r="O716" s="1912"/>
      <c r="P716" s="1912"/>
      <c r="Q716" s="1912"/>
      <c r="R716" s="1912"/>
      <c r="S716" s="1912"/>
      <c r="T716" s="1912"/>
      <c r="U716" s="1912"/>
      <c r="V716" s="1912"/>
      <c r="W716" s="1912"/>
      <c r="X716" s="1912"/>
      <c r="Y716" s="1912"/>
      <c r="Z716" s="1912"/>
      <c r="AA716" s="1912"/>
      <c r="AB716" s="1912"/>
      <c r="AC716" s="1912"/>
      <c r="AD716" s="1912"/>
      <c r="AE716" s="1912"/>
      <c r="AF716" s="1912"/>
      <c r="AG716" s="1912"/>
    </row>
    <row r="717">
      <c r="A717" s="1912"/>
      <c r="B717" s="1912"/>
      <c r="C717" s="1912"/>
      <c r="D717" s="1912"/>
      <c r="E717" s="1912"/>
      <c r="F717" s="1912"/>
      <c r="G717" s="1912"/>
      <c r="H717" s="1912"/>
      <c r="I717" s="1912"/>
      <c r="J717" s="1912"/>
      <c r="K717" s="1912"/>
      <c r="L717" s="1912"/>
      <c r="M717" s="1912"/>
      <c r="N717" s="1912"/>
      <c r="O717" s="1912"/>
      <c r="P717" s="1912"/>
      <c r="Q717" s="1912"/>
      <c r="R717" s="1912"/>
      <c r="S717" s="1912"/>
      <c r="T717" s="1912"/>
      <c r="U717" s="1912"/>
      <c r="V717" s="1912"/>
      <c r="W717" s="1912"/>
      <c r="X717" s="1912"/>
      <c r="Y717" s="1912"/>
      <c r="Z717" s="1912"/>
      <c r="AA717" s="1912"/>
      <c r="AB717" s="1912"/>
      <c r="AC717" s="1912"/>
      <c r="AD717" s="1912"/>
      <c r="AE717" s="1912"/>
      <c r="AF717" s="1912"/>
      <c r="AG717" s="1912"/>
    </row>
    <row r="718">
      <c r="A718" s="1912"/>
      <c r="B718" s="1912"/>
      <c r="C718" s="1912"/>
      <c r="D718" s="1912"/>
      <c r="E718" s="1912"/>
      <c r="F718" s="1912"/>
      <c r="G718" s="1912"/>
      <c r="H718" s="1912"/>
      <c r="I718" s="1912"/>
      <c r="J718" s="1912"/>
      <c r="K718" s="1912"/>
      <c r="L718" s="1912"/>
      <c r="M718" s="1912"/>
      <c r="N718" s="1912"/>
      <c r="O718" s="1912"/>
      <c r="P718" s="1912"/>
      <c r="Q718" s="1912"/>
      <c r="R718" s="1912"/>
      <c r="S718" s="1912"/>
      <c r="T718" s="1912"/>
      <c r="U718" s="1912"/>
      <c r="V718" s="1912"/>
      <c r="W718" s="1912"/>
      <c r="X718" s="1912"/>
      <c r="Y718" s="1912"/>
      <c r="Z718" s="1912"/>
      <c r="AA718" s="1912"/>
      <c r="AB718" s="1912"/>
      <c r="AC718" s="1912"/>
      <c r="AD718" s="1912"/>
      <c r="AE718" s="1912"/>
      <c r="AF718" s="1912"/>
      <c r="AG718" s="1912"/>
    </row>
    <row r="719">
      <c r="A719" s="1912"/>
      <c r="B719" s="1912"/>
      <c r="C719" s="1912"/>
      <c r="D719" s="1912"/>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1912"/>
      <c r="AD719" s="1912"/>
      <c r="AE719" s="1912"/>
      <c r="AF719" s="1912"/>
      <c r="AG719" s="1912"/>
    </row>
    <row r="720">
      <c r="A720" s="1912"/>
      <c r="B720" s="1912"/>
      <c r="C720" s="1912"/>
      <c r="D720" s="1912"/>
      <c r="E720" s="1912"/>
      <c r="F720" s="1912"/>
      <c r="G720" s="1912"/>
      <c r="H720" s="1912"/>
      <c r="I720" s="1912"/>
      <c r="J720" s="1912"/>
      <c r="K720" s="1912"/>
      <c r="L720" s="1912"/>
      <c r="M720" s="1912"/>
      <c r="N720" s="1912"/>
      <c r="O720" s="1912"/>
      <c r="P720" s="1912"/>
      <c r="Q720" s="1912"/>
      <c r="R720" s="1912"/>
      <c r="S720" s="1912"/>
      <c r="T720" s="1912"/>
      <c r="U720" s="1912"/>
      <c r="V720" s="1912"/>
      <c r="W720" s="1912"/>
      <c r="X720" s="1912"/>
      <c r="Y720" s="1912"/>
      <c r="Z720" s="1912"/>
      <c r="AA720" s="1912"/>
      <c r="AB720" s="1912"/>
      <c r="AC720" s="1912"/>
      <c r="AD720" s="1912"/>
      <c r="AE720" s="1912"/>
      <c r="AF720" s="1912"/>
      <c r="AG720" s="1912"/>
    </row>
    <row r="721">
      <c r="A721" s="1912"/>
      <c r="B721" s="1912"/>
      <c r="C721" s="1912"/>
      <c r="D721" s="1912"/>
      <c r="E721" s="1912"/>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1912"/>
      <c r="AD721" s="1912"/>
      <c r="AE721" s="1912"/>
      <c r="AF721" s="1912"/>
      <c r="AG721" s="1912"/>
    </row>
    <row r="722">
      <c r="A722" s="1912"/>
      <c r="B722" s="1912"/>
      <c r="C722" s="1912"/>
      <c r="D722" s="1912"/>
      <c r="E722" s="1912"/>
      <c r="F722" s="1912"/>
      <c r="G722" s="1912"/>
      <c r="H722" s="1912"/>
      <c r="I722" s="1912"/>
      <c r="J722" s="1912"/>
      <c r="K722" s="1912"/>
      <c r="L722" s="1912"/>
      <c r="M722" s="1912"/>
      <c r="N722" s="1912"/>
      <c r="O722" s="1912"/>
      <c r="P722" s="1912"/>
      <c r="Q722" s="1912"/>
      <c r="R722" s="1912"/>
      <c r="S722" s="1912"/>
      <c r="T722" s="1912"/>
      <c r="U722" s="1912"/>
      <c r="V722" s="1912"/>
      <c r="W722" s="1912"/>
      <c r="X722" s="1912"/>
      <c r="Y722" s="1912"/>
      <c r="Z722" s="1912"/>
      <c r="AA722" s="1912"/>
      <c r="AB722" s="1912"/>
      <c r="AC722" s="1912"/>
      <c r="AD722" s="1912"/>
      <c r="AE722" s="1912"/>
      <c r="AF722" s="1912"/>
      <c r="AG722" s="1912"/>
    </row>
    <row r="723">
      <c r="A723" s="1912"/>
      <c r="B723" s="1912"/>
      <c r="C723" s="1912"/>
      <c r="D723" s="1912"/>
      <c r="E723" s="1912"/>
      <c r="F723" s="1912"/>
      <c r="G723" s="1912"/>
      <c r="H723" s="1912"/>
      <c r="I723" s="1912"/>
      <c r="J723" s="1912"/>
      <c r="K723" s="1912"/>
      <c r="L723" s="1912"/>
      <c r="M723" s="1912"/>
      <c r="N723" s="1912"/>
      <c r="O723" s="1912"/>
      <c r="P723" s="1912"/>
      <c r="Q723" s="1912"/>
      <c r="R723" s="1912"/>
      <c r="S723" s="1912"/>
      <c r="T723" s="1912"/>
      <c r="U723" s="1912"/>
      <c r="V723" s="1912"/>
      <c r="W723" s="1912"/>
      <c r="X723" s="1912"/>
      <c r="Y723" s="1912"/>
      <c r="Z723" s="1912"/>
      <c r="AA723" s="1912"/>
      <c r="AB723" s="1912"/>
      <c r="AC723" s="1912"/>
      <c r="AD723" s="1912"/>
      <c r="AE723" s="1912"/>
      <c r="AF723" s="1912"/>
      <c r="AG723" s="1912"/>
    </row>
    <row r="724">
      <c r="A724" s="1912"/>
      <c r="B724" s="1912"/>
      <c r="C724" s="1912"/>
      <c r="D724" s="1912"/>
      <c r="E724" s="1912"/>
      <c r="F724" s="1912"/>
      <c r="G724" s="1912"/>
      <c r="H724" s="1912"/>
      <c r="I724" s="1912"/>
      <c r="J724" s="1912"/>
      <c r="K724" s="1912"/>
      <c r="L724" s="1912"/>
      <c r="M724" s="1912"/>
      <c r="N724" s="1912"/>
      <c r="O724" s="1912"/>
      <c r="P724" s="1912"/>
      <c r="Q724" s="1912"/>
      <c r="R724" s="1912"/>
      <c r="S724" s="1912"/>
      <c r="T724" s="1912"/>
      <c r="U724" s="1912"/>
      <c r="V724" s="1912"/>
      <c r="W724" s="1912"/>
      <c r="X724" s="1912"/>
      <c r="Y724" s="1912"/>
      <c r="Z724" s="1912"/>
      <c r="AA724" s="1912"/>
      <c r="AB724" s="1912"/>
      <c r="AC724" s="1912"/>
      <c r="AD724" s="1912"/>
      <c r="AE724" s="1912"/>
      <c r="AF724" s="1912"/>
      <c r="AG724" s="1912"/>
    </row>
    <row r="725">
      <c r="A725" s="1912"/>
      <c r="B725" s="1912"/>
      <c r="C725" s="1912"/>
      <c r="D725" s="1912"/>
      <c r="E725" s="1912"/>
      <c r="F725" s="1912"/>
      <c r="G725" s="1912"/>
      <c r="H725" s="1912"/>
      <c r="I725" s="1912"/>
      <c r="J725" s="1912"/>
      <c r="K725" s="1912"/>
      <c r="L725" s="1912"/>
      <c r="M725" s="1912"/>
      <c r="N725" s="1912"/>
      <c r="O725" s="1912"/>
      <c r="P725" s="1912"/>
      <c r="Q725" s="1912"/>
      <c r="R725" s="1912"/>
      <c r="S725" s="1912"/>
      <c r="T725" s="1912"/>
      <c r="U725" s="1912"/>
      <c r="V725" s="1912"/>
      <c r="W725" s="1912"/>
      <c r="X725" s="1912"/>
      <c r="Y725" s="1912"/>
      <c r="Z725" s="1912"/>
      <c r="AA725" s="1912"/>
      <c r="AB725" s="1912"/>
      <c r="AC725" s="1912"/>
      <c r="AD725" s="1912"/>
      <c r="AE725" s="1912"/>
      <c r="AF725" s="1912"/>
      <c r="AG725" s="1912"/>
    </row>
    <row r="726">
      <c r="A726" s="1912"/>
      <c r="B726" s="1912"/>
      <c r="C726" s="1912"/>
      <c r="D726" s="1912"/>
      <c r="E726" s="1912"/>
      <c r="F726" s="1912"/>
      <c r="G726" s="1912"/>
      <c r="H726" s="1912"/>
      <c r="I726" s="1912"/>
      <c r="J726" s="1912"/>
      <c r="K726" s="1912"/>
      <c r="L726" s="1912"/>
      <c r="M726" s="1912"/>
      <c r="N726" s="1912"/>
      <c r="O726" s="1912"/>
      <c r="P726" s="1912"/>
      <c r="Q726" s="1912"/>
      <c r="R726" s="1912"/>
      <c r="S726" s="1912"/>
      <c r="T726" s="1912"/>
      <c r="U726" s="1912"/>
      <c r="V726" s="1912"/>
      <c r="W726" s="1912"/>
      <c r="X726" s="1912"/>
      <c r="Y726" s="1912"/>
      <c r="Z726" s="1912"/>
      <c r="AA726" s="1912"/>
      <c r="AB726" s="1912"/>
      <c r="AC726" s="1912"/>
      <c r="AD726" s="1912"/>
      <c r="AE726" s="1912"/>
      <c r="AF726" s="1912"/>
      <c r="AG726" s="1912"/>
    </row>
    <row r="727">
      <c r="A727" s="1912"/>
      <c r="B727" s="1912"/>
      <c r="C727" s="1912"/>
      <c r="D727" s="1912"/>
      <c r="E727" s="1912"/>
      <c r="F727" s="1912"/>
      <c r="G727" s="1912"/>
      <c r="H727" s="1912"/>
      <c r="I727" s="1912"/>
      <c r="J727" s="1912"/>
      <c r="K727" s="1912"/>
      <c r="L727" s="1912"/>
      <c r="M727" s="1912"/>
      <c r="N727" s="1912"/>
      <c r="O727" s="1912"/>
      <c r="P727" s="1912"/>
      <c r="Q727" s="1912"/>
      <c r="R727" s="1912"/>
      <c r="S727" s="1912"/>
      <c r="T727" s="1912"/>
      <c r="U727" s="1912"/>
      <c r="V727" s="1912"/>
      <c r="W727" s="1912"/>
      <c r="X727" s="1912"/>
      <c r="Y727" s="1912"/>
      <c r="Z727" s="1912"/>
      <c r="AA727" s="1912"/>
      <c r="AB727" s="1912"/>
      <c r="AC727" s="1912"/>
      <c r="AD727" s="1912"/>
      <c r="AE727" s="1912"/>
      <c r="AF727" s="1912"/>
      <c r="AG727" s="1912"/>
    </row>
    <row r="728">
      <c r="A728" s="1912"/>
      <c r="B728" s="1912"/>
      <c r="C728" s="1912"/>
      <c r="D728" s="1912"/>
      <c r="E728" s="1912"/>
      <c r="F728" s="1912"/>
      <c r="G728" s="1912"/>
      <c r="H728" s="1912"/>
      <c r="I728" s="1912"/>
      <c r="J728" s="1912"/>
      <c r="K728" s="1912"/>
      <c r="L728" s="1912"/>
      <c r="M728" s="1912"/>
      <c r="N728" s="1912"/>
      <c r="O728" s="1912"/>
      <c r="P728" s="1912"/>
      <c r="Q728" s="1912"/>
      <c r="R728" s="1912"/>
      <c r="S728" s="1912"/>
      <c r="T728" s="1912"/>
      <c r="U728" s="1912"/>
      <c r="V728" s="1912"/>
      <c r="W728" s="1912"/>
      <c r="X728" s="1912"/>
      <c r="Y728" s="1912"/>
      <c r="Z728" s="1912"/>
      <c r="AA728" s="1912"/>
      <c r="AB728" s="1912"/>
      <c r="AC728" s="1912"/>
      <c r="AD728" s="1912"/>
      <c r="AE728" s="1912"/>
      <c r="AF728" s="1912"/>
      <c r="AG728" s="1912"/>
    </row>
    <row r="729">
      <c r="A729" s="1912"/>
      <c r="B729" s="1912"/>
      <c r="C729" s="1912"/>
      <c r="D729" s="1912"/>
      <c r="E729" s="1912"/>
      <c r="F729" s="1912"/>
      <c r="G729" s="1912"/>
      <c r="H729" s="1912"/>
      <c r="I729" s="1912"/>
      <c r="J729" s="1912"/>
      <c r="K729" s="1912"/>
      <c r="L729" s="1912"/>
      <c r="M729" s="1912"/>
      <c r="N729" s="1912"/>
      <c r="O729" s="1912"/>
      <c r="P729" s="1912"/>
      <c r="Q729" s="1912"/>
      <c r="R729" s="1912"/>
      <c r="S729" s="1912"/>
      <c r="T729" s="1912"/>
      <c r="U729" s="1912"/>
      <c r="V729" s="1912"/>
      <c r="W729" s="1912"/>
      <c r="X729" s="1912"/>
      <c r="Y729" s="1912"/>
      <c r="Z729" s="1912"/>
      <c r="AA729" s="1912"/>
      <c r="AB729" s="1912"/>
      <c r="AC729" s="1912"/>
      <c r="AD729" s="1912"/>
      <c r="AE729" s="1912"/>
      <c r="AF729" s="1912"/>
      <c r="AG729" s="1912"/>
    </row>
    <row r="730">
      <c r="A730" s="1912"/>
      <c r="B730" s="1912"/>
      <c r="C730" s="1912"/>
      <c r="D730" s="1912"/>
      <c r="E730" s="1912"/>
      <c r="F730" s="1912"/>
      <c r="G730" s="1912"/>
      <c r="H730" s="1912"/>
      <c r="I730" s="1912"/>
      <c r="J730" s="1912"/>
      <c r="K730" s="1912"/>
      <c r="L730" s="1912"/>
      <c r="M730" s="1912"/>
      <c r="N730" s="1912"/>
      <c r="O730" s="1912"/>
      <c r="P730" s="1912"/>
      <c r="Q730" s="1912"/>
      <c r="R730" s="1912"/>
      <c r="S730" s="1912"/>
      <c r="T730" s="1912"/>
      <c r="U730" s="1912"/>
      <c r="V730" s="1912"/>
      <c r="W730" s="1912"/>
      <c r="X730" s="1912"/>
      <c r="Y730" s="1912"/>
      <c r="Z730" s="1912"/>
      <c r="AA730" s="1912"/>
      <c r="AB730" s="1912"/>
      <c r="AC730" s="1912"/>
      <c r="AD730" s="1912"/>
      <c r="AE730" s="1912"/>
      <c r="AF730" s="1912"/>
      <c r="AG730" s="1912"/>
    </row>
    <row r="731">
      <c r="A731" s="1912"/>
      <c r="B731" s="1912"/>
      <c r="C731" s="1912"/>
      <c r="D731" s="1912"/>
      <c r="E731" s="1912"/>
      <c r="F731" s="1912"/>
      <c r="G731" s="1912"/>
      <c r="H731" s="1912"/>
      <c r="I731" s="1912"/>
      <c r="J731" s="1912"/>
      <c r="K731" s="1912"/>
      <c r="L731" s="1912"/>
      <c r="M731" s="1912"/>
      <c r="N731" s="1912"/>
      <c r="O731" s="1912"/>
      <c r="P731" s="1912"/>
      <c r="Q731" s="1912"/>
      <c r="R731" s="1912"/>
      <c r="S731" s="1912"/>
      <c r="T731" s="1912"/>
      <c r="U731" s="1912"/>
      <c r="V731" s="1912"/>
      <c r="W731" s="1912"/>
      <c r="X731" s="1912"/>
      <c r="Y731" s="1912"/>
      <c r="Z731" s="1912"/>
      <c r="AA731" s="1912"/>
      <c r="AB731" s="1912"/>
      <c r="AC731" s="1912"/>
      <c r="AD731" s="1912"/>
      <c r="AE731" s="1912"/>
      <c r="AF731" s="1912"/>
      <c r="AG731" s="1912"/>
    </row>
    <row r="732">
      <c r="A732" s="1912"/>
      <c r="B732" s="1912"/>
      <c r="C732" s="1912"/>
      <c r="D732" s="1912"/>
      <c r="E732" s="1912"/>
      <c r="F732" s="1912"/>
      <c r="G732" s="1912"/>
      <c r="H732" s="1912"/>
      <c r="I732" s="1912"/>
      <c r="J732" s="1912"/>
      <c r="K732" s="1912"/>
      <c r="L732" s="1912"/>
      <c r="M732" s="1912"/>
      <c r="N732" s="1912"/>
      <c r="O732" s="1912"/>
      <c r="P732" s="1912"/>
      <c r="Q732" s="1912"/>
      <c r="R732" s="1912"/>
      <c r="S732" s="1912"/>
      <c r="T732" s="1912"/>
      <c r="U732" s="1912"/>
      <c r="V732" s="1912"/>
      <c r="W732" s="1912"/>
      <c r="X732" s="1912"/>
      <c r="Y732" s="1912"/>
      <c r="Z732" s="1912"/>
      <c r="AA732" s="1912"/>
      <c r="AB732" s="1912"/>
      <c r="AC732" s="1912"/>
      <c r="AD732" s="1912"/>
      <c r="AE732" s="1912"/>
      <c r="AF732" s="1912"/>
      <c r="AG732" s="1912"/>
    </row>
    <row r="733">
      <c r="A733" s="1912"/>
      <c r="B733" s="1912"/>
      <c r="C733" s="1912"/>
      <c r="D733" s="1912"/>
      <c r="E733" s="1912"/>
      <c r="F733" s="1912"/>
      <c r="G733" s="1912"/>
      <c r="H733" s="1912"/>
      <c r="I733" s="1912"/>
      <c r="J733" s="1912"/>
      <c r="K733" s="1912"/>
      <c r="L733" s="1912"/>
      <c r="M733" s="1912"/>
      <c r="N733" s="1912"/>
      <c r="O733" s="1912"/>
      <c r="P733" s="1912"/>
      <c r="Q733" s="1912"/>
      <c r="R733" s="1912"/>
      <c r="S733" s="1912"/>
      <c r="T733" s="1912"/>
      <c r="U733" s="1912"/>
      <c r="V733" s="1912"/>
      <c r="W733" s="1912"/>
      <c r="X733" s="1912"/>
      <c r="Y733" s="1912"/>
      <c r="Z733" s="1912"/>
      <c r="AA733" s="1912"/>
      <c r="AB733" s="1912"/>
      <c r="AC733" s="1912"/>
      <c r="AD733" s="1912"/>
      <c r="AE733" s="1912"/>
      <c r="AF733" s="1912"/>
      <c r="AG733" s="1912"/>
    </row>
    <row r="734">
      <c r="A734" s="1912"/>
      <c r="B734" s="1912"/>
      <c r="C734" s="1912"/>
      <c r="D734" s="1912"/>
      <c r="E734" s="1912"/>
      <c r="F734" s="1912"/>
      <c r="G734" s="1912"/>
      <c r="H734" s="1912"/>
      <c r="I734" s="1912"/>
      <c r="J734" s="1912"/>
      <c r="K734" s="1912"/>
      <c r="L734" s="1912"/>
      <c r="M734" s="1912"/>
      <c r="N734" s="1912"/>
      <c r="O734" s="1912"/>
      <c r="P734" s="1912"/>
      <c r="Q734" s="1912"/>
      <c r="R734" s="1912"/>
      <c r="S734" s="1912"/>
      <c r="T734" s="1912"/>
      <c r="U734" s="1912"/>
      <c r="V734" s="1912"/>
      <c r="W734" s="1912"/>
      <c r="X734" s="1912"/>
      <c r="Y734" s="1912"/>
      <c r="Z734" s="1912"/>
      <c r="AA734" s="1912"/>
      <c r="AB734" s="1912"/>
      <c r="AC734" s="1912"/>
      <c r="AD734" s="1912"/>
      <c r="AE734" s="1912"/>
      <c r="AF734" s="1912"/>
      <c r="AG734" s="1912"/>
    </row>
    <row r="735">
      <c r="A735" s="1912"/>
      <c r="B735" s="1912"/>
      <c r="C735" s="1912"/>
      <c r="D735" s="1912"/>
      <c r="E735" s="1912"/>
      <c r="F735" s="1912"/>
      <c r="G735" s="1912"/>
      <c r="H735" s="1912"/>
      <c r="I735" s="1912"/>
      <c r="J735" s="1912"/>
      <c r="K735" s="1912"/>
      <c r="L735" s="1912"/>
      <c r="M735" s="1912"/>
      <c r="N735" s="1912"/>
      <c r="O735" s="1912"/>
      <c r="P735" s="1912"/>
      <c r="Q735" s="1912"/>
      <c r="R735" s="1912"/>
      <c r="S735" s="1912"/>
      <c r="T735" s="1912"/>
      <c r="U735" s="1912"/>
      <c r="V735" s="1912"/>
      <c r="W735" s="1912"/>
      <c r="X735" s="1912"/>
      <c r="Y735" s="1912"/>
      <c r="Z735" s="1912"/>
      <c r="AA735" s="1912"/>
      <c r="AB735" s="1912"/>
      <c r="AC735" s="1912"/>
      <c r="AD735" s="1912"/>
      <c r="AE735" s="1912"/>
      <c r="AF735" s="1912"/>
      <c r="AG735" s="1912"/>
    </row>
    <row r="736">
      <c r="A736" s="1912"/>
      <c r="B736" s="1912"/>
      <c r="C736" s="1912"/>
      <c r="D736" s="1912"/>
      <c r="E736" s="1912"/>
      <c r="F736" s="1912"/>
      <c r="G736" s="1912"/>
      <c r="H736" s="1912"/>
      <c r="I736" s="1912"/>
      <c r="J736" s="1912"/>
      <c r="K736" s="1912"/>
      <c r="L736" s="1912"/>
      <c r="M736" s="1912"/>
      <c r="N736" s="1912"/>
      <c r="O736" s="1912"/>
      <c r="P736" s="1912"/>
      <c r="Q736" s="1912"/>
      <c r="R736" s="1912"/>
      <c r="S736" s="1912"/>
      <c r="T736" s="1912"/>
      <c r="U736" s="1912"/>
      <c r="V736" s="1912"/>
      <c r="W736" s="1912"/>
      <c r="X736" s="1912"/>
      <c r="Y736" s="1912"/>
      <c r="Z736" s="1912"/>
      <c r="AA736" s="1912"/>
      <c r="AB736" s="1912"/>
      <c r="AC736" s="1912"/>
      <c r="AD736" s="1912"/>
      <c r="AE736" s="1912"/>
      <c r="AF736" s="1912"/>
      <c r="AG736" s="1912"/>
    </row>
    <row r="737">
      <c r="A737" s="1912"/>
      <c r="B737" s="1912"/>
      <c r="C737" s="1912"/>
      <c r="D737" s="1912"/>
      <c r="E737" s="1912"/>
      <c r="F737" s="1912"/>
      <c r="G737" s="1912"/>
      <c r="H737" s="1912"/>
      <c r="I737" s="1912"/>
      <c r="J737" s="1912"/>
      <c r="K737" s="1912"/>
      <c r="L737" s="1912"/>
      <c r="M737" s="1912"/>
      <c r="N737" s="1912"/>
      <c r="O737" s="1912"/>
      <c r="P737" s="1912"/>
      <c r="Q737" s="1912"/>
      <c r="R737" s="1912"/>
      <c r="S737" s="1912"/>
      <c r="T737" s="1912"/>
      <c r="U737" s="1912"/>
      <c r="V737" s="1912"/>
      <c r="W737" s="1912"/>
      <c r="X737" s="1912"/>
      <c r="Y737" s="1912"/>
      <c r="Z737" s="1912"/>
      <c r="AA737" s="1912"/>
      <c r="AB737" s="1912"/>
      <c r="AC737" s="1912"/>
      <c r="AD737" s="1912"/>
      <c r="AE737" s="1912"/>
      <c r="AF737" s="1912"/>
      <c r="AG737" s="1912"/>
    </row>
    <row r="738">
      <c r="A738" s="1912"/>
      <c r="B738" s="1912"/>
      <c r="C738" s="1912"/>
      <c r="D738" s="1912"/>
      <c r="E738" s="1912"/>
      <c r="F738" s="1912"/>
      <c r="G738" s="1912"/>
      <c r="H738" s="1912"/>
      <c r="I738" s="1912"/>
      <c r="J738" s="1912"/>
      <c r="K738" s="1912"/>
      <c r="L738" s="1912"/>
      <c r="M738" s="1912"/>
      <c r="N738" s="1912"/>
      <c r="O738" s="1912"/>
      <c r="P738" s="1912"/>
      <c r="Q738" s="1912"/>
      <c r="R738" s="1912"/>
      <c r="S738" s="1912"/>
      <c r="T738" s="1912"/>
      <c r="U738" s="1912"/>
      <c r="V738" s="1912"/>
      <c r="W738" s="1912"/>
      <c r="X738" s="1912"/>
      <c r="Y738" s="1912"/>
      <c r="Z738" s="1912"/>
      <c r="AA738" s="1912"/>
      <c r="AB738" s="1912"/>
      <c r="AC738" s="1912"/>
      <c r="AD738" s="1912"/>
      <c r="AE738" s="1912"/>
      <c r="AF738" s="1912"/>
      <c r="AG738" s="1912"/>
    </row>
    <row r="739">
      <c r="A739" s="1912"/>
      <c r="B739" s="1912"/>
      <c r="C739" s="1912"/>
      <c r="D739" s="1912"/>
      <c r="E739" s="1912"/>
      <c r="F739" s="1912"/>
      <c r="G739" s="1912"/>
      <c r="H739" s="1912"/>
      <c r="I739" s="1912"/>
      <c r="J739" s="1912"/>
      <c r="K739" s="1912"/>
      <c r="L739" s="1912"/>
      <c r="M739" s="1912"/>
      <c r="N739" s="1912"/>
      <c r="O739" s="1912"/>
      <c r="P739" s="1912"/>
      <c r="Q739" s="1912"/>
      <c r="R739" s="1912"/>
      <c r="S739" s="1912"/>
      <c r="T739" s="1912"/>
      <c r="U739" s="1912"/>
      <c r="V739" s="1912"/>
      <c r="W739" s="1912"/>
      <c r="X739" s="1912"/>
      <c r="Y739" s="1912"/>
      <c r="Z739" s="1912"/>
      <c r="AA739" s="1912"/>
      <c r="AB739" s="1912"/>
      <c r="AC739" s="1912"/>
      <c r="AD739" s="1912"/>
      <c r="AE739" s="1912"/>
      <c r="AF739" s="1912"/>
      <c r="AG739" s="1912"/>
    </row>
    <row r="740">
      <c r="A740" s="1912"/>
      <c r="B740" s="1912"/>
      <c r="C740" s="1912"/>
      <c r="D740" s="1912"/>
      <c r="E740" s="1912"/>
      <c r="F740" s="1912"/>
      <c r="G740" s="1912"/>
      <c r="H740" s="1912"/>
      <c r="I740" s="1912"/>
      <c r="J740" s="1912"/>
      <c r="K740" s="1912"/>
      <c r="L740" s="1912"/>
      <c r="M740" s="1912"/>
      <c r="N740" s="1912"/>
      <c r="O740" s="1912"/>
      <c r="P740" s="1912"/>
      <c r="Q740" s="1912"/>
      <c r="R740" s="1912"/>
      <c r="S740" s="1912"/>
      <c r="T740" s="1912"/>
      <c r="U740" s="1912"/>
      <c r="V740" s="1912"/>
      <c r="W740" s="1912"/>
      <c r="X740" s="1912"/>
      <c r="Y740" s="1912"/>
      <c r="Z740" s="1912"/>
      <c r="AA740" s="1912"/>
      <c r="AB740" s="1912"/>
      <c r="AC740" s="1912"/>
      <c r="AD740" s="1912"/>
      <c r="AE740" s="1912"/>
      <c r="AF740" s="1912"/>
      <c r="AG740" s="1912"/>
    </row>
    <row r="741">
      <c r="A741" s="1912"/>
      <c r="B741" s="1912"/>
      <c r="C741" s="1912"/>
      <c r="D741" s="1912"/>
      <c r="E741" s="1912"/>
      <c r="F741" s="1912"/>
      <c r="G741" s="1912"/>
      <c r="H741" s="1912"/>
      <c r="I741" s="1912"/>
      <c r="J741" s="1912"/>
      <c r="K741" s="1912"/>
      <c r="L741" s="1912"/>
      <c r="M741" s="1912"/>
      <c r="N741" s="1912"/>
      <c r="O741" s="1912"/>
      <c r="P741" s="1912"/>
      <c r="Q741" s="1912"/>
      <c r="R741" s="1912"/>
      <c r="S741" s="1912"/>
      <c r="T741" s="1912"/>
      <c r="U741" s="1912"/>
      <c r="V741" s="1912"/>
      <c r="W741" s="1912"/>
      <c r="X741" s="1912"/>
      <c r="Y741" s="1912"/>
      <c r="Z741" s="1912"/>
      <c r="AA741" s="1912"/>
      <c r="AB741" s="1912"/>
      <c r="AC741" s="1912"/>
      <c r="AD741" s="1912"/>
      <c r="AE741" s="1912"/>
      <c r="AF741" s="1912"/>
      <c r="AG741" s="1912"/>
    </row>
    <row r="742">
      <c r="A742" s="1912"/>
      <c r="B742" s="1912"/>
      <c r="C742" s="1912"/>
      <c r="D742" s="1912"/>
      <c r="E742" s="1912"/>
      <c r="F742" s="1912"/>
      <c r="G742" s="1912"/>
      <c r="H742" s="1912"/>
      <c r="I742" s="1912"/>
      <c r="J742" s="1912"/>
      <c r="K742" s="1912"/>
      <c r="L742" s="1912"/>
      <c r="M742" s="1912"/>
      <c r="N742" s="1912"/>
      <c r="O742" s="1912"/>
      <c r="P742" s="1912"/>
      <c r="Q742" s="1912"/>
      <c r="R742" s="1912"/>
      <c r="S742" s="1912"/>
      <c r="T742" s="1912"/>
      <c r="U742" s="1912"/>
      <c r="V742" s="1912"/>
      <c r="W742" s="1912"/>
      <c r="X742" s="1912"/>
      <c r="Y742" s="1912"/>
      <c r="Z742" s="1912"/>
      <c r="AA742" s="1912"/>
      <c r="AB742" s="1912"/>
      <c r="AC742" s="1912"/>
      <c r="AD742" s="1912"/>
      <c r="AE742" s="1912"/>
      <c r="AF742" s="1912"/>
      <c r="AG742" s="1912"/>
    </row>
    <row r="743">
      <c r="A743" s="1912"/>
      <c r="B743" s="1912"/>
      <c r="C743" s="1912"/>
      <c r="D743" s="1912"/>
      <c r="E743" s="1912"/>
      <c r="F743" s="1912"/>
      <c r="G743" s="1912"/>
      <c r="H743" s="1912"/>
      <c r="I743" s="1912"/>
      <c r="J743" s="1912"/>
      <c r="K743" s="1912"/>
      <c r="L743" s="1912"/>
      <c r="M743" s="1912"/>
      <c r="N743" s="1912"/>
      <c r="O743" s="1912"/>
      <c r="P743" s="1912"/>
      <c r="Q743" s="1912"/>
      <c r="R743" s="1912"/>
      <c r="S743" s="1912"/>
      <c r="T743" s="1912"/>
      <c r="U743" s="1912"/>
      <c r="V743" s="1912"/>
      <c r="W743" s="1912"/>
      <c r="X743" s="1912"/>
      <c r="Y743" s="1912"/>
      <c r="Z743" s="1912"/>
      <c r="AA743" s="1912"/>
      <c r="AB743" s="1912"/>
      <c r="AC743" s="1912"/>
      <c r="AD743" s="1912"/>
      <c r="AE743" s="1912"/>
      <c r="AF743" s="1912"/>
      <c r="AG743" s="1912"/>
    </row>
    <row r="744">
      <c r="A744" s="1912"/>
      <c r="B744" s="1912"/>
      <c r="C744" s="1912"/>
      <c r="D744" s="1912"/>
      <c r="E744" s="1912"/>
      <c r="F744" s="1912"/>
      <c r="G744" s="1912"/>
      <c r="H744" s="1912"/>
      <c r="I744" s="1912"/>
      <c r="J744" s="1912"/>
      <c r="K744" s="1912"/>
      <c r="L744" s="1912"/>
      <c r="M744" s="1912"/>
      <c r="N744" s="1912"/>
      <c r="O744" s="1912"/>
      <c r="P744" s="1912"/>
      <c r="Q744" s="1912"/>
      <c r="R744" s="1912"/>
      <c r="S744" s="1912"/>
      <c r="T744" s="1912"/>
      <c r="U744" s="1912"/>
      <c r="V744" s="1912"/>
      <c r="W744" s="1912"/>
      <c r="X744" s="1912"/>
      <c r="Y744" s="1912"/>
      <c r="Z744" s="1912"/>
      <c r="AA744" s="1912"/>
      <c r="AB744" s="1912"/>
      <c r="AC744" s="1912"/>
      <c r="AD744" s="1912"/>
      <c r="AE744" s="1912"/>
      <c r="AF744" s="1912"/>
      <c r="AG744" s="1912"/>
    </row>
    <row r="745">
      <c r="A745" s="1912"/>
      <c r="B745" s="1912"/>
      <c r="C745" s="1912"/>
      <c r="D745" s="1912"/>
      <c r="E745" s="1912"/>
      <c r="F745" s="1912"/>
      <c r="G745" s="1912"/>
      <c r="H745" s="1912"/>
      <c r="I745" s="1912"/>
      <c r="J745" s="1912"/>
      <c r="K745" s="1912"/>
      <c r="L745" s="1912"/>
      <c r="M745" s="1912"/>
      <c r="N745" s="1912"/>
      <c r="O745" s="1912"/>
      <c r="P745" s="1912"/>
      <c r="Q745" s="1912"/>
      <c r="R745" s="1912"/>
      <c r="S745" s="1912"/>
      <c r="T745" s="1912"/>
      <c r="U745" s="1912"/>
      <c r="V745" s="1912"/>
      <c r="W745" s="1912"/>
      <c r="X745" s="1912"/>
      <c r="Y745" s="1912"/>
      <c r="Z745" s="1912"/>
      <c r="AA745" s="1912"/>
      <c r="AB745" s="1912"/>
      <c r="AC745" s="1912"/>
      <c r="AD745" s="1912"/>
      <c r="AE745" s="1912"/>
      <c r="AF745" s="1912"/>
      <c r="AG745" s="1912"/>
    </row>
    <row r="746">
      <c r="A746" s="1912"/>
      <c r="B746" s="1912"/>
      <c r="C746" s="1912"/>
      <c r="D746" s="1912"/>
      <c r="E746" s="1912"/>
      <c r="F746" s="1912"/>
      <c r="G746" s="1912"/>
      <c r="H746" s="1912"/>
      <c r="I746" s="1912"/>
      <c r="J746" s="1912"/>
      <c r="K746" s="1912"/>
      <c r="L746" s="1912"/>
      <c r="M746" s="1912"/>
      <c r="N746" s="1912"/>
      <c r="O746" s="1912"/>
      <c r="P746" s="1912"/>
      <c r="Q746" s="1912"/>
      <c r="R746" s="1912"/>
      <c r="S746" s="1912"/>
      <c r="T746" s="1912"/>
      <c r="U746" s="1912"/>
      <c r="V746" s="1912"/>
      <c r="W746" s="1912"/>
      <c r="X746" s="1912"/>
      <c r="Y746" s="1912"/>
      <c r="Z746" s="1912"/>
      <c r="AA746" s="1912"/>
      <c r="AB746" s="1912"/>
      <c r="AC746" s="1912"/>
      <c r="AD746" s="1912"/>
      <c r="AE746" s="1912"/>
      <c r="AF746" s="1912"/>
      <c r="AG746" s="1912"/>
    </row>
    <row r="747">
      <c r="A747" s="1912"/>
      <c r="B747" s="1912"/>
      <c r="C747" s="1912"/>
      <c r="D747" s="1912"/>
      <c r="E747" s="1912"/>
      <c r="F747" s="1912"/>
      <c r="G747" s="1912"/>
      <c r="H747" s="1912"/>
      <c r="I747" s="1912"/>
      <c r="J747" s="1912"/>
      <c r="K747" s="1912"/>
      <c r="L747" s="1912"/>
      <c r="M747" s="1912"/>
      <c r="N747" s="1912"/>
      <c r="O747" s="1912"/>
      <c r="P747" s="1912"/>
      <c r="Q747" s="1912"/>
      <c r="R747" s="1912"/>
      <c r="S747" s="1912"/>
      <c r="T747" s="1912"/>
      <c r="U747" s="1912"/>
      <c r="V747" s="1912"/>
      <c r="W747" s="1912"/>
      <c r="X747" s="1912"/>
      <c r="Y747" s="1912"/>
      <c r="Z747" s="1912"/>
      <c r="AA747" s="1912"/>
      <c r="AB747" s="1912"/>
      <c r="AC747" s="1912"/>
      <c r="AD747" s="1912"/>
      <c r="AE747" s="1912"/>
      <c r="AF747" s="1912"/>
      <c r="AG747" s="1912"/>
    </row>
    <row r="748">
      <c r="A748" s="1912"/>
      <c r="B748" s="1912"/>
      <c r="C748" s="1912"/>
      <c r="D748" s="1912"/>
      <c r="E748" s="1912"/>
      <c r="F748" s="1912"/>
      <c r="G748" s="1912"/>
      <c r="H748" s="1912"/>
      <c r="I748" s="1912"/>
      <c r="J748" s="1912"/>
      <c r="K748" s="1912"/>
      <c r="L748" s="1912"/>
      <c r="M748" s="1912"/>
      <c r="N748" s="1912"/>
      <c r="O748" s="1912"/>
      <c r="P748" s="1912"/>
      <c r="Q748" s="1912"/>
      <c r="R748" s="1912"/>
      <c r="S748" s="1912"/>
      <c r="T748" s="1912"/>
      <c r="U748" s="1912"/>
      <c r="V748" s="1912"/>
      <c r="W748" s="1912"/>
      <c r="X748" s="1912"/>
      <c r="Y748" s="1912"/>
      <c r="Z748" s="1912"/>
      <c r="AA748" s="1912"/>
      <c r="AB748" s="1912"/>
      <c r="AC748" s="1912"/>
      <c r="AD748" s="1912"/>
      <c r="AE748" s="1912"/>
      <c r="AF748" s="1912"/>
      <c r="AG748" s="1912"/>
    </row>
    <row r="749">
      <c r="A749" s="1912"/>
      <c r="B749" s="1912"/>
      <c r="C749" s="1912"/>
      <c r="D749" s="1912"/>
      <c r="E749" s="1912"/>
      <c r="F749" s="1912"/>
      <c r="G749" s="1912"/>
      <c r="H749" s="1912"/>
      <c r="I749" s="1912"/>
      <c r="J749" s="1912"/>
      <c r="K749" s="1912"/>
      <c r="L749" s="1912"/>
      <c r="M749" s="1912"/>
      <c r="N749" s="1912"/>
      <c r="O749" s="1912"/>
      <c r="P749" s="1912"/>
      <c r="Q749" s="1912"/>
      <c r="R749" s="1912"/>
      <c r="S749" s="1912"/>
      <c r="T749" s="1912"/>
      <c r="U749" s="1912"/>
      <c r="V749" s="1912"/>
      <c r="W749" s="1912"/>
      <c r="X749" s="1912"/>
      <c r="Y749" s="1912"/>
      <c r="Z749" s="1912"/>
      <c r="AA749" s="1912"/>
      <c r="AB749" s="1912"/>
      <c r="AC749" s="1912"/>
      <c r="AD749" s="1912"/>
      <c r="AE749" s="1912"/>
      <c r="AF749" s="1912"/>
      <c r="AG749" s="1912"/>
    </row>
    <row r="750">
      <c r="A750" s="1912"/>
      <c r="B750" s="1912"/>
      <c r="C750" s="1912"/>
      <c r="D750" s="1912"/>
      <c r="E750" s="1912"/>
      <c r="F750" s="1912"/>
      <c r="G750" s="1912"/>
      <c r="H750" s="1912"/>
      <c r="I750" s="1912"/>
      <c r="J750" s="1912"/>
      <c r="K750" s="1912"/>
      <c r="L750" s="1912"/>
      <c r="M750" s="1912"/>
      <c r="N750" s="1912"/>
      <c r="O750" s="1912"/>
      <c r="P750" s="1912"/>
      <c r="Q750" s="1912"/>
      <c r="R750" s="1912"/>
      <c r="S750" s="1912"/>
      <c r="T750" s="1912"/>
      <c r="U750" s="1912"/>
      <c r="V750" s="1912"/>
      <c r="W750" s="1912"/>
      <c r="X750" s="1912"/>
      <c r="Y750" s="1912"/>
      <c r="Z750" s="1912"/>
      <c r="AA750" s="1912"/>
      <c r="AB750" s="1912"/>
      <c r="AC750" s="1912"/>
      <c r="AD750" s="1912"/>
      <c r="AE750" s="1912"/>
      <c r="AF750" s="1912"/>
      <c r="AG750" s="1912"/>
    </row>
    <row r="751">
      <c r="A751" s="1912"/>
      <c r="B751" s="1912"/>
      <c r="C751" s="1912"/>
      <c r="D751" s="1912"/>
      <c r="E751" s="1912"/>
      <c r="F751" s="1912"/>
      <c r="G751" s="1912"/>
      <c r="H751" s="1912"/>
      <c r="I751" s="1912"/>
      <c r="J751" s="1912"/>
      <c r="K751" s="1912"/>
      <c r="L751" s="1912"/>
      <c r="M751" s="1912"/>
      <c r="N751" s="1912"/>
      <c r="O751" s="1912"/>
      <c r="P751" s="1912"/>
      <c r="Q751" s="1912"/>
      <c r="R751" s="1912"/>
      <c r="S751" s="1912"/>
      <c r="T751" s="1912"/>
      <c r="U751" s="1912"/>
      <c r="V751" s="1912"/>
      <c r="W751" s="1912"/>
      <c r="X751" s="1912"/>
      <c r="Y751" s="1912"/>
      <c r="Z751" s="1912"/>
      <c r="AA751" s="1912"/>
      <c r="AB751" s="1912"/>
      <c r="AC751" s="1912"/>
      <c r="AD751" s="1912"/>
      <c r="AE751" s="1912"/>
      <c r="AF751" s="1912"/>
      <c r="AG751" s="1912"/>
    </row>
    <row r="752">
      <c r="A752" s="1912"/>
      <c r="B752" s="1912"/>
      <c r="C752" s="1912"/>
      <c r="D752" s="1912"/>
      <c r="E752" s="1912"/>
      <c r="F752" s="1912"/>
      <c r="G752" s="1912"/>
      <c r="H752" s="1912"/>
      <c r="I752" s="1912"/>
      <c r="J752" s="1912"/>
      <c r="K752" s="1912"/>
      <c r="L752" s="1912"/>
      <c r="M752" s="1912"/>
      <c r="N752" s="1912"/>
      <c r="O752" s="1912"/>
      <c r="P752" s="1912"/>
      <c r="Q752" s="1912"/>
      <c r="R752" s="1912"/>
      <c r="S752" s="1912"/>
      <c r="T752" s="1912"/>
      <c r="U752" s="1912"/>
      <c r="V752" s="1912"/>
      <c r="W752" s="1912"/>
      <c r="X752" s="1912"/>
      <c r="Y752" s="1912"/>
      <c r="Z752" s="1912"/>
      <c r="AA752" s="1912"/>
      <c r="AB752" s="1912"/>
      <c r="AC752" s="1912"/>
      <c r="AD752" s="1912"/>
      <c r="AE752" s="1912"/>
      <c r="AF752" s="1912"/>
      <c r="AG752" s="1912"/>
    </row>
    <row r="753">
      <c r="A753" s="1912"/>
      <c r="B753" s="1912"/>
      <c r="C753" s="1912"/>
      <c r="D753" s="1912"/>
      <c r="E753" s="1912"/>
      <c r="F753" s="1912"/>
      <c r="G753" s="1912"/>
      <c r="H753" s="1912"/>
      <c r="I753" s="1912"/>
      <c r="J753" s="1912"/>
      <c r="K753" s="1912"/>
      <c r="L753" s="1912"/>
      <c r="M753" s="1912"/>
      <c r="N753" s="1912"/>
      <c r="O753" s="1912"/>
      <c r="P753" s="1912"/>
      <c r="Q753" s="1912"/>
      <c r="R753" s="1912"/>
      <c r="S753" s="1912"/>
      <c r="T753" s="1912"/>
      <c r="U753" s="1912"/>
      <c r="V753" s="1912"/>
      <c r="W753" s="1912"/>
      <c r="X753" s="1912"/>
      <c r="Y753" s="1912"/>
      <c r="Z753" s="1912"/>
      <c r="AA753" s="1912"/>
      <c r="AB753" s="1912"/>
      <c r="AC753" s="1912"/>
      <c r="AD753" s="1912"/>
      <c r="AE753" s="1912"/>
      <c r="AF753" s="1912"/>
      <c r="AG753" s="1912"/>
    </row>
    <row r="754">
      <c r="A754" s="1912"/>
      <c r="B754" s="1912"/>
      <c r="C754" s="1912"/>
      <c r="D754" s="1912"/>
      <c r="E754" s="1912"/>
      <c r="F754" s="1912"/>
      <c r="G754" s="1912"/>
      <c r="H754" s="1912"/>
      <c r="I754" s="1912"/>
      <c r="J754" s="1912"/>
      <c r="K754" s="1912"/>
      <c r="L754" s="1912"/>
      <c r="M754" s="1912"/>
      <c r="N754" s="1912"/>
      <c r="O754" s="1912"/>
      <c r="P754" s="1912"/>
      <c r="Q754" s="1912"/>
      <c r="R754" s="1912"/>
      <c r="S754" s="1912"/>
      <c r="T754" s="1912"/>
      <c r="U754" s="1912"/>
      <c r="V754" s="1912"/>
      <c r="W754" s="1912"/>
      <c r="X754" s="1912"/>
      <c r="Y754" s="1912"/>
      <c r="Z754" s="1912"/>
      <c r="AA754" s="1912"/>
      <c r="AB754" s="1912"/>
      <c r="AC754" s="1912"/>
      <c r="AD754" s="1912"/>
      <c r="AE754" s="1912"/>
      <c r="AF754" s="1912"/>
      <c r="AG754" s="1912"/>
    </row>
    <row r="755">
      <c r="A755" s="1912"/>
      <c r="B755" s="1912"/>
      <c r="C755" s="1912"/>
      <c r="D755" s="1912"/>
      <c r="E755" s="1912"/>
      <c r="F755" s="1912"/>
      <c r="G755" s="1912"/>
      <c r="H755" s="1912"/>
      <c r="I755" s="1912"/>
      <c r="J755" s="1912"/>
      <c r="K755" s="1912"/>
      <c r="L755" s="1912"/>
      <c r="M755" s="1912"/>
      <c r="N755" s="1912"/>
      <c r="O755" s="1912"/>
      <c r="P755" s="1912"/>
      <c r="Q755" s="1912"/>
      <c r="R755" s="1912"/>
      <c r="S755" s="1912"/>
      <c r="T755" s="1912"/>
      <c r="U755" s="1912"/>
      <c r="V755" s="1912"/>
      <c r="W755" s="1912"/>
      <c r="X755" s="1912"/>
      <c r="Y755" s="1912"/>
      <c r="Z755" s="1912"/>
      <c r="AA755" s="1912"/>
      <c r="AB755" s="1912"/>
      <c r="AC755" s="1912"/>
      <c r="AD755" s="1912"/>
      <c r="AE755" s="1912"/>
      <c r="AF755" s="1912"/>
      <c r="AG755" s="1912"/>
    </row>
    <row r="756">
      <c r="A756" s="1912"/>
      <c r="B756" s="1912"/>
      <c r="C756" s="1912"/>
      <c r="D756" s="1912"/>
      <c r="E756" s="1912"/>
      <c r="F756" s="1912"/>
      <c r="G756" s="1912"/>
      <c r="H756" s="1912"/>
      <c r="I756" s="1912"/>
      <c r="J756" s="1912"/>
      <c r="K756" s="1912"/>
      <c r="L756" s="1912"/>
      <c r="M756" s="1912"/>
      <c r="N756" s="1912"/>
      <c r="O756" s="1912"/>
      <c r="P756" s="1912"/>
      <c r="Q756" s="1912"/>
      <c r="R756" s="1912"/>
      <c r="S756" s="1912"/>
      <c r="T756" s="1912"/>
      <c r="U756" s="1912"/>
      <c r="V756" s="1912"/>
      <c r="W756" s="1912"/>
      <c r="X756" s="1912"/>
      <c r="Y756" s="1912"/>
      <c r="Z756" s="1912"/>
      <c r="AA756" s="1912"/>
      <c r="AB756" s="1912"/>
      <c r="AC756" s="1912"/>
      <c r="AD756" s="1912"/>
      <c r="AE756" s="1912"/>
      <c r="AF756" s="1912"/>
      <c r="AG756" s="1912"/>
    </row>
    <row r="757">
      <c r="A757" s="1912"/>
      <c r="B757" s="1912"/>
      <c r="C757" s="1912"/>
      <c r="D757" s="1912"/>
      <c r="E757" s="1912"/>
      <c r="F757" s="1912"/>
      <c r="G757" s="1912"/>
      <c r="H757" s="1912"/>
      <c r="I757" s="1912"/>
      <c r="J757" s="1912"/>
      <c r="K757" s="1912"/>
      <c r="L757" s="1912"/>
      <c r="M757" s="1912"/>
      <c r="N757" s="1912"/>
      <c r="O757" s="1912"/>
      <c r="P757" s="1912"/>
      <c r="Q757" s="1912"/>
      <c r="R757" s="1912"/>
      <c r="S757" s="1912"/>
      <c r="T757" s="1912"/>
      <c r="U757" s="1912"/>
      <c r="V757" s="1912"/>
      <c r="W757" s="1912"/>
      <c r="X757" s="1912"/>
      <c r="Y757" s="1912"/>
      <c r="Z757" s="1912"/>
      <c r="AA757" s="1912"/>
      <c r="AB757" s="1912"/>
      <c r="AC757" s="1912"/>
      <c r="AD757" s="1912"/>
      <c r="AE757" s="1912"/>
      <c r="AF757" s="1912"/>
      <c r="AG757" s="1912"/>
    </row>
    <row r="758">
      <c r="A758" s="1912"/>
      <c r="B758" s="1912"/>
      <c r="C758" s="1912"/>
      <c r="D758" s="1912"/>
      <c r="E758" s="1912"/>
      <c r="F758" s="1912"/>
      <c r="G758" s="1912"/>
      <c r="H758" s="1912"/>
      <c r="I758" s="1912"/>
      <c r="J758" s="1912"/>
      <c r="K758" s="1912"/>
      <c r="L758" s="1912"/>
      <c r="M758" s="1912"/>
      <c r="N758" s="1912"/>
      <c r="O758" s="1912"/>
      <c r="P758" s="1912"/>
      <c r="Q758" s="1912"/>
      <c r="R758" s="1912"/>
      <c r="S758" s="1912"/>
      <c r="T758" s="1912"/>
      <c r="U758" s="1912"/>
      <c r="V758" s="1912"/>
      <c r="W758" s="1912"/>
      <c r="X758" s="1912"/>
      <c r="Y758" s="1912"/>
      <c r="Z758" s="1912"/>
      <c r="AA758" s="1912"/>
      <c r="AB758" s="1912"/>
      <c r="AC758" s="1912"/>
      <c r="AD758" s="1912"/>
      <c r="AE758" s="1912"/>
      <c r="AF758" s="1912"/>
      <c r="AG758" s="1912"/>
    </row>
    <row r="759">
      <c r="A759" s="1912"/>
      <c r="B759" s="1912"/>
      <c r="C759" s="1912"/>
      <c r="D759" s="1912"/>
      <c r="E759" s="1912"/>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1912"/>
      <c r="AF759" s="1912"/>
      <c r="AG759" s="1912"/>
    </row>
    <row r="760">
      <c r="A760" s="1912"/>
      <c r="B760" s="1912"/>
      <c r="C760" s="1912"/>
      <c r="D760" s="1912"/>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1912"/>
      <c r="AF760" s="1912"/>
      <c r="AG760" s="1912"/>
    </row>
    <row r="761">
      <c r="A761" s="1912"/>
      <c r="B761" s="1912"/>
      <c r="C761" s="1912"/>
      <c r="D761" s="1912"/>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1912"/>
      <c r="AF761" s="1912"/>
      <c r="AG761" s="1912"/>
    </row>
    <row r="762">
      <c r="A762" s="1912"/>
      <c r="B762" s="1912"/>
      <c r="C762" s="1912"/>
      <c r="D762" s="1912"/>
      <c r="E762" s="1912"/>
      <c r="F762" s="1912"/>
      <c r="G762" s="1912"/>
      <c r="H762" s="1912"/>
      <c r="I762" s="1912"/>
      <c r="J762" s="1912"/>
      <c r="K762" s="1912"/>
      <c r="L762" s="1912"/>
      <c r="M762" s="1912"/>
      <c r="N762" s="1912"/>
      <c r="O762" s="1912"/>
      <c r="P762" s="1912"/>
      <c r="Q762" s="1912"/>
      <c r="R762" s="1912"/>
      <c r="S762" s="1912"/>
      <c r="T762" s="1912"/>
      <c r="U762" s="1912"/>
      <c r="V762" s="1912"/>
      <c r="W762" s="1912"/>
      <c r="X762" s="1912"/>
      <c r="Y762" s="1912"/>
      <c r="Z762" s="1912"/>
      <c r="AA762" s="1912"/>
      <c r="AB762" s="1912"/>
      <c r="AC762" s="1912"/>
      <c r="AD762" s="1912"/>
      <c r="AE762" s="1912"/>
      <c r="AF762" s="1912"/>
      <c r="AG762" s="1912"/>
    </row>
    <row r="763">
      <c r="A763" s="1912"/>
      <c r="B763" s="1912"/>
      <c r="C763" s="1912"/>
      <c r="D763" s="1912"/>
      <c r="E763" s="1912"/>
      <c r="F763" s="1912"/>
      <c r="G763" s="1912"/>
      <c r="H763" s="1912"/>
      <c r="I763" s="1912"/>
      <c r="J763" s="1912"/>
      <c r="K763" s="1912"/>
      <c r="L763" s="1912"/>
      <c r="M763" s="1912"/>
      <c r="N763" s="1912"/>
      <c r="O763" s="1912"/>
      <c r="P763" s="1912"/>
      <c r="Q763" s="1912"/>
      <c r="R763" s="1912"/>
      <c r="S763" s="1912"/>
      <c r="T763" s="1912"/>
      <c r="U763" s="1912"/>
      <c r="V763" s="1912"/>
      <c r="W763" s="1912"/>
      <c r="X763" s="1912"/>
      <c r="Y763" s="1912"/>
      <c r="Z763" s="1912"/>
      <c r="AA763" s="1912"/>
      <c r="AB763" s="1912"/>
      <c r="AC763" s="1912"/>
      <c r="AD763" s="1912"/>
      <c r="AE763" s="1912"/>
      <c r="AF763" s="1912"/>
      <c r="AG763" s="1912"/>
    </row>
    <row r="764">
      <c r="A764" s="1912"/>
      <c r="B764" s="1912"/>
      <c r="C764" s="1912"/>
      <c r="D764" s="1912"/>
      <c r="E764" s="1912"/>
      <c r="F764" s="1912"/>
      <c r="G764" s="1912"/>
      <c r="H764" s="1912"/>
      <c r="I764" s="1912"/>
      <c r="J764" s="1912"/>
      <c r="K764" s="1912"/>
      <c r="L764" s="1912"/>
      <c r="M764" s="1912"/>
      <c r="N764" s="1912"/>
      <c r="O764" s="1912"/>
      <c r="P764" s="1912"/>
      <c r="Q764" s="1912"/>
      <c r="R764" s="1912"/>
      <c r="S764" s="1912"/>
      <c r="T764" s="1912"/>
      <c r="U764" s="1912"/>
      <c r="V764" s="1912"/>
      <c r="W764" s="1912"/>
      <c r="X764" s="1912"/>
      <c r="Y764" s="1912"/>
      <c r="Z764" s="1912"/>
      <c r="AA764" s="1912"/>
      <c r="AB764" s="1912"/>
      <c r="AC764" s="1912"/>
      <c r="AD764" s="1912"/>
      <c r="AE764" s="1912"/>
      <c r="AF764" s="1912"/>
      <c r="AG764" s="1912"/>
    </row>
    <row r="765">
      <c r="A765" s="1912"/>
      <c r="B765" s="1912"/>
      <c r="C765" s="1912"/>
      <c r="D765" s="1912"/>
      <c r="E765" s="1912"/>
      <c r="F765" s="1912"/>
      <c r="G765" s="1912"/>
      <c r="H765" s="1912"/>
      <c r="I765" s="1912"/>
      <c r="J765" s="1912"/>
      <c r="K765" s="1912"/>
      <c r="L765" s="1912"/>
      <c r="M765" s="1912"/>
      <c r="N765" s="1912"/>
      <c r="O765" s="1912"/>
      <c r="P765" s="1912"/>
      <c r="Q765" s="1912"/>
      <c r="R765" s="1912"/>
      <c r="S765" s="1912"/>
      <c r="T765" s="1912"/>
      <c r="U765" s="1912"/>
      <c r="V765" s="1912"/>
      <c r="W765" s="1912"/>
      <c r="X765" s="1912"/>
      <c r="Y765" s="1912"/>
      <c r="Z765" s="1912"/>
      <c r="AA765" s="1912"/>
      <c r="AB765" s="1912"/>
      <c r="AC765" s="1912"/>
      <c r="AD765" s="1912"/>
      <c r="AE765" s="1912"/>
      <c r="AF765" s="1912"/>
      <c r="AG765" s="1912"/>
    </row>
    <row r="766">
      <c r="A766" s="1912"/>
      <c r="B766" s="1912"/>
      <c r="C766" s="1912"/>
      <c r="D766" s="1912"/>
      <c r="E766" s="1912"/>
      <c r="F766" s="1912"/>
      <c r="G766" s="1912"/>
      <c r="H766" s="1912"/>
      <c r="I766" s="1912"/>
      <c r="J766" s="1912"/>
      <c r="K766" s="1912"/>
      <c r="L766" s="1912"/>
      <c r="M766" s="1912"/>
      <c r="N766" s="1912"/>
      <c r="O766" s="1912"/>
      <c r="P766" s="1912"/>
      <c r="Q766" s="1912"/>
      <c r="R766" s="1912"/>
      <c r="S766" s="1912"/>
      <c r="T766" s="1912"/>
      <c r="U766" s="1912"/>
      <c r="V766" s="1912"/>
      <c r="W766" s="1912"/>
      <c r="X766" s="1912"/>
      <c r="Y766" s="1912"/>
      <c r="Z766" s="1912"/>
      <c r="AA766" s="1912"/>
      <c r="AB766" s="1912"/>
      <c r="AC766" s="1912"/>
      <c r="AD766" s="1912"/>
      <c r="AE766" s="1912"/>
      <c r="AF766" s="1912"/>
      <c r="AG766" s="1912"/>
    </row>
    <row r="767">
      <c r="A767" s="1912"/>
      <c r="B767" s="1912"/>
      <c r="C767" s="1912"/>
      <c r="D767" s="1912"/>
      <c r="E767" s="1912"/>
      <c r="F767" s="1912"/>
      <c r="G767" s="1912"/>
      <c r="H767" s="1912"/>
      <c r="I767" s="1912"/>
      <c r="J767" s="1912"/>
      <c r="K767" s="1912"/>
      <c r="L767" s="1912"/>
      <c r="M767" s="1912"/>
      <c r="N767" s="1912"/>
      <c r="O767" s="1912"/>
      <c r="P767" s="1912"/>
      <c r="Q767" s="1912"/>
      <c r="R767" s="1912"/>
      <c r="S767" s="1912"/>
      <c r="T767" s="1912"/>
      <c r="U767" s="1912"/>
      <c r="V767" s="1912"/>
      <c r="W767" s="1912"/>
      <c r="X767" s="1912"/>
      <c r="Y767" s="1912"/>
      <c r="Z767" s="1912"/>
      <c r="AA767" s="1912"/>
      <c r="AB767" s="1912"/>
      <c r="AC767" s="1912"/>
      <c r="AD767" s="1912"/>
      <c r="AE767" s="1912"/>
      <c r="AF767" s="1912"/>
      <c r="AG767" s="1912"/>
    </row>
    <row r="768">
      <c r="A768" s="1912"/>
      <c r="B768" s="1912"/>
      <c r="C768" s="1912"/>
      <c r="D768" s="1912"/>
      <c r="E768" s="1912"/>
      <c r="F768" s="1912"/>
      <c r="G768" s="1912"/>
      <c r="H768" s="1912"/>
      <c r="I768" s="1912"/>
      <c r="J768" s="1912"/>
      <c r="K768" s="1912"/>
      <c r="L768" s="1912"/>
      <c r="M768" s="1912"/>
      <c r="N768" s="1912"/>
      <c r="O768" s="1912"/>
      <c r="P768" s="1912"/>
      <c r="Q768" s="1912"/>
      <c r="R768" s="1912"/>
      <c r="S768" s="1912"/>
      <c r="T768" s="1912"/>
      <c r="U768" s="1912"/>
      <c r="V768" s="1912"/>
      <c r="W768" s="1912"/>
      <c r="X768" s="1912"/>
      <c r="Y768" s="1912"/>
      <c r="Z768" s="1912"/>
      <c r="AA768" s="1912"/>
      <c r="AB768" s="1912"/>
      <c r="AC768" s="1912"/>
      <c r="AD768" s="1912"/>
      <c r="AE768" s="1912"/>
      <c r="AF768" s="1912"/>
      <c r="AG768" s="1912"/>
    </row>
    <row r="769">
      <c r="A769" s="1912"/>
      <c r="B769" s="1912"/>
      <c r="C769" s="1912"/>
      <c r="D769" s="1912"/>
      <c r="E769" s="1912"/>
      <c r="F769" s="1912"/>
      <c r="G769" s="1912"/>
      <c r="H769" s="1912"/>
      <c r="I769" s="1912"/>
      <c r="J769" s="1912"/>
      <c r="K769" s="1912"/>
      <c r="L769" s="1912"/>
      <c r="M769" s="1912"/>
      <c r="N769" s="1912"/>
      <c r="O769" s="1912"/>
      <c r="P769" s="1912"/>
      <c r="Q769" s="1912"/>
      <c r="R769" s="1912"/>
      <c r="S769" s="1912"/>
      <c r="T769" s="1912"/>
      <c r="U769" s="1912"/>
      <c r="V769" s="1912"/>
      <c r="W769" s="1912"/>
      <c r="X769" s="1912"/>
      <c r="Y769" s="1912"/>
      <c r="Z769" s="1912"/>
      <c r="AA769" s="1912"/>
      <c r="AB769" s="1912"/>
      <c r="AC769" s="1912"/>
      <c r="AD769" s="1912"/>
      <c r="AE769" s="1912"/>
      <c r="AF769" s="1912"/>
      <c r="AG769" s="1912"/>
    </row>
    <row r="770">
      <c r="A770" s="1912"/>
      <c r="B770" s="1912"/>
      <c r="C770" s="1912"/>
      <c r="D770" s="1912"/>
      <c r="E770" s="1912"/>
      <c r="F770" s="1912"/>
      <c r="G770" s="1912"/>
      <c r="H770" s="1912"/>
      <c r="I770" s="1912"/>
      <c r="J770" s="1912"/>
      <c r="K770" s="1912"/>
      <c r="L770" s="1912"/>
      <c r="M770" s="1912"/>
      <c r="N770" s="1912"/>
      <c r="O770" s="1912"/>
      <c r="P770" s="1912"/>
      <c r="Q770" s="1912"/>
      <c r="R770" s="1912"/>
      <c r="S770" s="1912"/>
      <c r="T770" s="1912"/>
      <c r="U770" s="1912"/>
      <c r="V770" s="1912"/>
      <c r="W770" s="1912"/>
      <c r="X770" s="1912"/>
      <c r="Y770" s="1912"/>
      <c r="Z770" s="1912"/>
      <c r="AA770" s="1912"/>
      <c r="AB770" s="1912"/>
      <c r="AC770" s="1912"/>
      <c r="AD770" s="1912"/>
      <c r="AE770" s="1912"/>
      <c r="AF770" s="1912"/>
      <c r="AG770" s="1912"/>
    </row>
    <row r="771">
      <c r="A771" s="1912"/>
      <c r="B771" s="1912"/>
      <c r="C771" s="1912"/>
      <c r="D771" s="1912"/>
      <c r="E771" s="1912"/>
      <c r="F771" s="1912"/>
      <c r="G771" s="1912"/>
      <c r="H771" s="1912"/>
      <c r="I771" s="1912"/>
      <c r="J771" s="1912"/>
      <c r="K771" s="1912"/>
      <c r="L771" s="1912"/>
      <c r="M771" s="1912"/>
      <c r="N771" s="1912"/>
      <c r="O771" s="1912"/>
      <c r="P771" s="1912"/>
      <c r="Q771" s="1912"/>
      <c r="R771" s="1912"/>
      <c r="S771" s="1912"/>
      <c r="T771" s="1912"/>
      <c r="U771" s="1912"/>
      <c r="V771" s="1912"/>
      <c r="W771" s="1912"/>
      <c r="X771" s="1912"/>
      <c r="Y771" s="1912"/>
      <c r="Z771" s="1912"/>
      <c r="AA771" s="1912"/>
      <c r="AB771" s="1912"/>
      <c r="AC771" s="1912"/>
      <c r="AD771" s="1912"/>
      <c r="AE771" s="1912"/>
      <c r="AF771" s="1912"/>
      <c r="AG771" s="1912"/>
    </row>
    <row r="772">
      <c r="A772" s="1912"/>
      <c r="B772" s="1912"/>
      <c r="C772" s="1912"/>
      <c r="D772" s="1912"/>
      <c r="E772" s="1912"/>
      <c r="F772" s="1912"/>
      <c r="G772" s="1912"/>
      <c r="H772" s="1912"/>
      <c r="I772" s="1912"/>
      <c r="J772" s="1912"/>
      <c r="K772" s="1912"/>
      <c r="L772" s="1912"/>
      <c r="M772" s="1912"/>
      <c r="N772" s="1912"/>
      <c r="O772" s="1912"/>
      <c r="P772" s="1912"/>
      <c r="Q772" s="1912"/>
      <c r="R772" s="1912"/>
      <c r="S772" s="1912"/>
      <c r="T772" s="1912"/>
      <c r="U772" s="1912"/>
      <c r="V772" s="1912"/>
      <c r="W772" s="1912"/>
      <c r="X772" s="1912"/>
      <c r="Y772" s="1912"/>
      <c r="Z772" s="1912"/>
      <c r="AA772" s="1912"/>
      <c r="AB772" s="1912"/>
      <c r="AC772" s="1912"/>
      <c r="AD772" s="1912"/>
      <c r="AE772" s="1912"/>
      <c r="AF772" s="1912"/>
      <c r="AG772" s="1912"/>
    </row>
    <row r="773">
      <c r="A773" s="1912"/>
      <c r="B773" s="1912"/>
      <c r="C773" s="1912"/>
      <c r="D773" s="1912"/>
      <c r="E773" s="1912"/>
      <c r="F773" s="1912"/>
      <c r="G773" s="1912"/>
      <c r="H773" s="1912"/>
      <c r="I773" s="1912"/>
      <c r="J773" s="1912"/>
      <c r="K773" s="1912"/>
      <c r="L773" s="1912"/>
      <c r="M773" s="1912"/>
      <c r="N773" s="1912"/>
      <c r="O773" s="1912"/>
      <c r="P773" s="1912"/>
      <c r="Q773" s="1912"/>
      <c r="R773" s="1912"/>
      <c r="S773" s="1912"/>
      <c r="T773" s="1912"/>
      <c r="U773" s="1912"/>
      <c r="V773" s="1912"/>
      <c r="W773" s="1912"/>
      <c r="X773" s="1912"/>
      <c r="Y773" s="1912"/>
      <c r="Z773" s="1912"/>
      <c r="AA773" s="1912"/>
      <c r="AB773" s="1912"/>
      <c r="AC773" s="1912"/>
      <c r="AD773" s="1912"/>
      <c r="AE773" s="1912"/>
      <c r="AF773" s="1912"/>
      <c r="AG773" s="1912"/>
    </row>
    <row r="774">
      <c r="A774" s="1912"/>
      <c r="B774" s="1912"/>
      <c r="C774" s="1912"/>
      <c r="D774" s="1912"/>
      <c r="E774" s="1912"/>
      <c r="F774" s="1912"/>
      <c r="G774" s="1912"/>
      <c r="H774" s="1912"/>
      <c r="I774" s="1912"/>
      <c r="J774" s="1912"/>
      <c r="K774" s="1912"/>
      <c r="L774" s="1912"/>
      <c r="M774" s="1912"/>
      <c r="N774" s="1912"/>
      <c r="O774" s="1912"/>
      <c r="P774" s="1912"/>
      <c r="Q774" s="1912"/>
      <c r="R774" s="1912"/>
      <c r="S774" s="1912"/>
      <c r="T774" s="1912"/>
      <c r="U774" s="1912"/>
      <c r="V774" s="1912"/>
      <c r="W774" s="1912"/>
      <c r="X774" s="1912"/>
      <c r="Y774" s="1912"/>
      <c r="Z774" s="1912"/>
      <c r="AA774" s="1912"/>
      <c r="AB774" s="1912"/>
      <c r="AC774" s="1912"/>
      <c r="AD774" s="1912"/>
      <c r="AE774" s="1912"/>
      <c r="AF774" s="1912"/>
      <c r="AG774" s="1912"/>
    </row>
    <row r="775">
      <c r="A775" s="1912"/>
      <c r="B775" s="1912"/>
      <c r="C775" s="1912"/>
      <c r="D775" s="1912"/>
      <c r="E775" s="1912"/>
      <c r="F775" s="1912"/>
      <c r="G775" s="1912"/>
      <c r="H775" s="1912"/>
      <c r="I775" s="1912"/>
      <c r="J775" s="1912"/>
      <c r="K775" s="1912"/>
      <c r="L775" s="1912"/>
      <c r="M775" s="1912"/>
      <c r="N775" s="1912"/>
      <c r="O775" s="1912"/>
      <c r="P775" s="1912"/>
      <c r="Q775" s="1912"/>
      <c r="R775" s="1912"/>
      <c r="S775" s="1912"/>
      <c r="T775" s="1912"/>
      <c r="U775" s="1912"/>
      <c r="V775" s="1912"/>
      <c r="W775" s="1912"/>
      <c r="X775" s="1912"/>
      <c r="Y775" s="1912"/>
      <c r="Z775" s="1912"/>
      <c r="AA775" s="1912"/>
      <c r="AB775" s="1912"/>
      <c r="AC775" s="1912"/>
      <c r="AD775" s="1912"/>
      <c r="AE775" s="1912"/>
      <c r="AF775" s="1912"/>
      <c r="AG775" s="1912"/>
    </row>
    <row r="776">
      <c r="A776" s="1912"/>
      <c r="B776" s="1912"/>
      <c r="C776" s="1912"/>
      <c r="D776" s="1912"/>
      <c r="E776" s="1912"/>
      <c r="F776" s="1912"/>
      <c r="G776" s="1912"/>
      <c r="H776" s="1912"/>
      <c r="I776" s="1912"/>
      <c r="J776" s="1912"/>
      <c r="K776" s="1912"/>
      <c r="L776" s="1912"/>
      <c r="M776" s="1912"/>
      <c r="N776" s="1912"/>
      <c r="O776" s="1912"/>
      <c r="P776" s="1912"/>
      <c r="Q776" s="1912"/>
      <c r="R776" s="1912"/>
      <c r="S776" s="1912"/>
      <c r="T776" s="1912"/>
      <c r="U776" s="1912"/>
      <c r="V776" s="1912"/>
      <c r="W776" s="1912"/>
      <c r="X776" s="1912"/>
      <c r="Y776" s="1912"/>
      <c r="Z776" s="1912"/>
      <c r="AA776" s="1912"/>
      <c r="AB776" s="1912"/>
      <c r="AC776" s="1912"/>
      <c r="AD776" s="1912"/>
      <c r="AE776" s="1912"/>
      <c r="AF776" s="1912"/>
      <c r="AG776" s="1912"/>
    </row>
    <row r="777">
      <c r="A777" s="1912"/>
      <c r="B777" s="1912"/>
      <c r="C777" s="1912"/>
      <c r="D777" s="1912"/>
      <c r="E777" s="1912"/>
      <c r="F777" s="1912"/>
      <c r="G777" s="1912"/>
      <c r="H777" s="1912"/>
      <c r="I777" s="1912"/>
      <c r="J777" s="1912"/>
      <c r="K777" s="1912"/>
      <c r="L777" s="1912"/>
      <c r="M777" s="1912"/>
      <c r="N777" s="1912"/>
      <c r="O777" s="1912"/>
      <c r="P777" s="1912"/>
      <c r="Q777" s="1912"/>
      <c r="R777" s="1912"/>
      <c r="S777" s="1912"/>
      <c r="T777" s="1912"/>
      <c r="U777" s="1912"/>
      <c r="V777" s="1912"/>
      <c r="W777" s="1912"/>
      <c r="X777" s="1912"/>
      <c r="Y777" s="1912"/>
      <c r="Z777" s="1912"/>
      <c r="AA777" s="1912"/>
      <c r="AB777" s="1912"/>
      <c r="AC777" s="1912"/>
      <c r="AD777" s="1912"/>
      <c r="AE777" s="1912"/>
      <c r="AF777" s="1912"/>
      <c r="AG777" s="1912"/>
    </row>
    <row r="778">
      <c r="A778" s="1912"/>
      <c r="B778" s="1912"/>
      <c r="C778" s="1912"/>
      <c r="D778" s="1912"/>
      <c r="E778" s="1912"/>
      <c r="F778" s="1912"/>
      <c r="G778" s="1912"/>
      <c r="H778" s="1912"/>
      <c r="I778" s="1912"/>
      <c r="J778" s="1912"/>
      <c r="K778" s="1912"/>
      <c r="L778" s="1912"/>
      <c r="M778" s="1912"/>
      <c r="N778" s="1912"/>
      <c r="O778" s="1912"/>
      <c r="P778" s="1912"/>
      <c r="Q778" s="1912"/>
      <c r="R778" s="1912"/>
      <c r="S778" s="1912"/>
      <c r="T778" s="1912"/>
      <c r="U778" s="1912"/>
      <c r="V778" s="1912"/>
      <c r="W778" s="1912"/>
      <c r="X778" s="1912"/>
      <c r="Y778" s="1912"/>
      <c r="Z778" s="1912"/>
      <c r="AA778" s="1912"/>
      <c r="AB778" s="1912"/>
      <c r="AC778" s="1912"/>
      <c r="AD778" s="1912"/>
      <c r="AE778" s="1912"/>
      <c r="AF778" s="1912"/>
      <c r="AG778" s="1912"/>
    </row>
    <row r="779">
      <c r="A779" s="1912"/>
      <c r="B779" s="1912"/>
      <c r="C779" s="1912"/>
      <c r="D779" s="1912"/>
      <c r="E779" s="1912"/>
      <c r="F779" s="1912"/>
      <c r="G779" s="1912"/>
      <c r="H779" s="1912"/>
      <c r="I779" s="1912"/>
      <c r="J779" s="1912"/>
      <c r="K779" s="1912"/>
      <c r="L779" s="1912"/>
      <c r="M779" s="1912"/>
      <c r="N779" s="1912"/>
      <c r="O779" s="1912"/>
      <c r="P779" s="1912"/>
      <c r="Q779" s="1912"/>
      <c r="R779" s="1912"/>
      <c r="S779" s="1912"/>
      <c r="T779" s="1912"/>
      <c r="U779" s="1912"/>
      <c r="V779" s="1912"/>
      <c r="W779" s="1912"/>
      <c r="X779" s="1912"/>
      <c r="Y779" s="1912"/>
      <c r="Z779" s="1912"/>
      <c r="AA779" s="1912"/>
      <c r="AB779" s="1912"/>
      <c r="AC779" s="1912"/>
      <c r="AD779" s="1912"/>
      <c r="AE779" s="1912"/>
      <c r="AF779" s="1912"/>
      <c r="AG779" s="1912"/>
    </row>
    <row r="780">
      <c r="A780" s="1912"/>
      <c r="B780" s="1912"/>
      <c r="C780" s="1912"/>
      <c r="D780" s="1912"/>
      <c r="E780" s="1912"/>
      <c r="F780" s="1912"/>
      <c r="G780" s="1912"/>
      <c r="H780" s="1912"/>
      <c r="I780" s="1912"/>
      <c r="J780" s="1912"/>
      <c r="K780" s="1912"/>
      <c r="L780" s="1912"/>
      <c r="M780" s="1912"/>
      <c r="N780" s="1912"/>
      <c r="O780" s="1912"/>
      <c r="P780" s="1912"/>
      <c r="Q780" s="1912"/>
      <c r="R780" s="1912"/>
      <c r="S780" s="1912"/>
      <c r="T780" s="1912"/>
      <c r="U780" s="1912"/>
      <c r="V780" s="1912"/>
      <c r="W780" s="1912"/>
      <c r="X780" s="1912"/>
      <c r="Y780" s="1912"/>
      <c r="Z780" s="1912"/>
      <c r="AA780" s="1912"/>
      <c r="AB780" s="1912"/>
      <c r="AC780" s="1912"/>
      <c r="AD780" s="1912"/>
      <c r="AE780" s="1912"/>
      <c r="AF780" s="1912"/>
      <c r="AG780" s="1912"/>
    </row>
    <row r="781">
      <c r="A781" s="1912"/>
      <c r="B781" s="1912"/>
      <c r="C781" s="1912"/>
      <c r="D781" s="1912"/>
      <c r="E781" s="1912"/>
      <c r="F781" s="1912"/>
      <c r="G781" s="1912"/>
      <c r="H781" s="1912"/>
      <c r="I781" s="1912"/>
      <c r="J781" s="1912"/>
      <c r="K781" s="1912"/>
      <c r="L781" s="1912"/>
      <c r="M781" s="1912"/>
      <c r="N781" s="1912"/>
      <c r="O781" s="1912"/>
      <c r="P781" s="1912"/>
      <c r="Q781" s="1912"/>
      <c r="R781" s="1912"/>
      <c r="S781" s="1912"/>
      <c r="T781" s="1912"/>
      <c r="U781" s="1912"/>
      <c r="V781" s="1912"/>
      <c r="W781" s="1912"/>
      <c r="X781" s="1912"/>
      <c r="Y781" s="1912"/>
      <c r="Z781" s="1912"/>
      <c r="AA781" s="1912"/>
      <c r="AB781" s="1912"/>
      <c r="AC781" s="1912"/>
      <c r="AD781" s="1912"/>
      <c r="AE781" s="1912"/>
      <c r="AF781" s="1912"/>
      <c r="AG781" s="1912"/>
    </row>
    <row r="782">
      <c r="A782" s="1912"/>
      <c r="B782" s="1912"/>
      <c r="C782" s="1912"/>
      <c r="D782" s="1912"/>
      <c r="E782" s="1912"/>
      <c r="F782" s="1912"/>
      <c r="G782" s="1912"/>
      <c r="H782" s="1912"/>
      <c r="I782" s="1912"/>
      <c r="J782" s="1912"/>
      <c r="K782" s="1912"/>
      <c r="L782" s="1912"/>
      <c r="M782" s="1912"/>
      <c r="N782" s="1912"/>
      <c r="O782" s="1912"/>
      <c r="P782" s="1912"/>
      <c r="Q782" s="1912"/>
      <c r="R782" s="1912"/>
      <c r="S782" s="1912"/>
      <c r="T782" s="1912"/>
      <c r="U782" s="1912"/>
      <c r="V782" s="1912"/>
      <c r="W782" s="1912"/>
      <c r="X782" s="1912"/>
      <c r="Y782" s="1912"/>
      <c r="Z782" s="1912"/>
      <c r="AA782" s="1912"/>
      <c r="AB782" s="1912"/>
      <c r="AC782" s="1912"/>
      <c r="AD782" s="1912"/>
      <c r="AE782" s="1912"/>
      <c r="AF782" s="1912"/>
      <c r="AG782" s="1912"/>
    </row>
    <row r="783">
      <c r="A783" s="1912"/>
      <c r="B783" s="1912"/>
      <c r="C783" s="1912"/>
      <c r="D783" s="1912"/>
      <c r="E783" s="1912"/>
      <c r="F783" s="1912"/>
      <c r="G783" s="1912"/>
      <c r="H783" s="1912"/>
      <c r="I783" s="1912"/>
      <c r="J783" s="1912"/>
      <c r="K783" s="1912"/>
      <c r="L783" s="1912"/>
      <c r="M783" s="1912"/>
      <c r="N783" s="1912"/>
      <c r="O783" s="1912"/>
      <c r="P783" s="1912"/>
      <c r="Q783" s="1912"/>
      <c r="R783" s="1912"/>
      <c r="S783" s="1912"/>
      <c r="T783" s="1912"/>
      <c r="U783" s="1912"/>
      <c r="V783" s="1912"/>
      <c r="W783" s="1912"/>
      <c r="X783" s="1912"/>
      <c r="Y783" s="1912"/>
      <c r="Z783" s="1912"/>
      <c r="AA783" s="1912"/>
      <c r="AB783" s="1912"/>
      <c r="AC783" s="1912"/>
      <c r="AD783" s="1912"/>
      <c r="AE783" s="1912"/>
      <c r="AF783" s="1912"/>
      <c r="AG783" s="1912"/>
    </row>
    <row r="784">
      <c r="A784" s="1912"/>
      <c r="B784" s="1912"/>
      <c r="C784" s="1912"/>
      <c r="D784" s="1912"/>
      <c r="E784" s="1912"/>
      <c r="F784" s="1912"/>
      <c r="G784" s="1912"/>
      <c r="H784" s="1912"/>
      <c r="I784" s="1912"/>
      <c r="J784" s="1912"/>
      <c r="K784" s="1912"/>
      <c r="L784" s="1912"/>
      <c r="M784" s="1912"/>
      <c r="N784" s="1912"/>
      <c r="O784" s="1912"/>
      <c r="P784" s="1912"/>
      <c r="Q784" s="1912"/>
      <c r="R784" s="1912"/>
      <c r="S784" s="1912"/>
      <c r="T784" s="1912"/>
      <c r="U784" s="1912"/>
      <c r="V784" s="1912"/>
      <c r="W784" s="1912"/>
      <c r="X784" s="1912"/>
      <c r="Y784" s="1912"/>
      <c r="Z784" s="1912"/>
      <c r="AA784" s="1912"/>
      <c r="AB784" s="1912"/>
      <c r="AC784" s="1912"/>
      <c r="AD784" s="1912"/>
      <c r="AE784" s="1912"/>
      <c r="AF784" s="1912"/>
      <c r="AG784" s="1912"/>
    </row>
    <row r="785">
      <c r="A785" s="1912"/>
      <c r="B785" s="1912"/>
      <c r="C785" s="1912"/>
      <c r="D785" s="1912"/>
      <c r="E785" s="1912"/>
      <c r="F785" s="1912"/>
      <c r="G785" s="1912"/>
      <c r="H785" s="1912"/>
      <c r="I785" s="1912"/>
      <c r="J785" s="1912"/>
      <c r="K785" s="1912"/>
      <c r="L785" s="1912"/>
      <c r="M785" s="1912"/>
      <c r="N785" s="1912"/>
      <c r="O785" s="1912"/>
      <c r="P785" s="1912"/>
      <c r="Q785" s="1912"/>
      <c r="R785" s="1912"/>
      <c r="S785" s="1912"/>
      <c r="T785" s="1912"/>
      <c r="U785" s="1912"/>
      <c r="V785" s="1912"/>
      <c r="W785" s="1912"/>
      <c r="X785" s="1912"/>
      <c r="Y785" s="1912"/>
      <c r="Z785" s="1912"/>
      <c r="AA785" s="1912"/>
      <c r="AB785" s="1912"/>
      <c r="AC785" s="1912"/>
      <c r="AD785" s="1912"/>
      <c r="AE785" s="1912"/>
      <c r="AF785" s="1912"/>
      <c r="AG785" s="1912"/>
    </row>
    <row r="786">
      <c r="A786" s="1912"/>
      <c r="B786" s="1912"/>
      <c r="C786" s="1912"/>
      <c r="D786" s="1912"/>
      <c r="E786" s="1912"/>
      <c r="F786" s="1912"/>
      <c r="G786" s="1912"/>
      <c r="H786" s="1912"/>
      <c r="I786" s="1912"/>
      <c r="J786" s="1912"/>
      <c r="K786" s="1912"/>
      <c r="L786" s="1912"/>
      <c r="M786" s="1912"/>
      <c r="N786" s="1912"/>
      <c r="O786" s="1912"/>
      <c r="P786" s="1912"/>
      <c r="Q786" s="1912"/>
      <c r="R786" s="1912"/>
      <c r="S786" s="1912"/>
      <c r="T786" s="1912"/>
      <c r="U786" s="1912"/>
      <c r="V786" s="1912"/>
      <c r="W786" s="1912"/>
      <c r="X786" s="1912"/>
      <c r="Y786" s="1912"/>
      <c r="Z786" s="1912"/>
      <c r="AA786" s="1912"/>
      <c r="AB786" s="1912"/>
      <c r="AC786" s="1912"/>
      <c r="AD786" s="1912"/>
      <c r="AE786" s="1912"/>
      <c r="AF786" s="1912"/>
      <c r="AG786" s="1912"/>
    </row>
    <row r="787">
      <c r="A787" s="1912"/>
      <c r="B787" s="1912"/>
      <c r="C787" s="1912"/>
      <c r="D787" s="1912"/>
      <c r="E787" s="1912"/>
      <c r="F787" s="1912"/>
      <c r="G787" s="1912"/>
      <c r="H787" s="1912"/>
      <c r="I787" s="1912"/>
      <c r="J787" s="1912"/>
      <c r="K787" s="1912"/>
      <c r="L787" s="1912"/>
      <c r="M787" s="1912"/>
      <c r="N787" s="1912"/>
      <c r="O787" s="1912"/>
      <c r="P787" s="1912"/>
      <c r="Q787" s="1912"/>
      <c r="R787" s="1912"/>
      <c r="S787" s="1912"/>
      <c r="T787" s="1912"/>
      <c r="U787" s="1912"/>
      <c r="V787" s="1912"/>
      <c r="W787" s="1912"/>
      <c r="X787" s="1912"/>
      <c r="Y787" s="1912"/>
      <c r="Z787" s="1912"/>
      <c r="AA787" s="1912"/>
      <c r="AB787" s="1912"/>
      <c r="AC787" s="1912"/>
      <c r="AD787" s="1912"/>
      <c r="AE787" s="1912"/>
      <c r="AF787" s="1912"/>
      <c r="AG787" s="1912"/>
    </row>
    <row r="788">
      <c r="A788" s="1912"/>
      <c r="B788" s="1912"/>
      <c r="C788" s="1912"/>
      <c r="D788" s="1912"/>
      <c r="E788" s="1912"/>
      <c r="F788" s="1912"/>
      <c r="G788" s="1912"/>
      <c r="H788" s="1912"/>
      <c r="I788" s="1912"/>
      <c r="J788" s="1912"/>
      <c r="K788" s="1912"/>
      <c r="L788" s="1912"/>
      <c r="M788" s="1912"/>
      <c r="N788" s="1912"/>
      <c r="O788" s="1912"/>
      <c r="P788" s="1912"/>
      <c r="Q788" s="1912"/>
      <c r="R788" s="1912"/>
      <c r="S788" s="1912"/>
      <c r="T788" s="1912"/>
      <c r="U788" s="1912"/>
      <c r="V788" s="1912"/>
      <c r="W788" s="1912"/>
      <c r="X788" s="1912"/>
      <c r="Y788" s="1912"/>
      <c r="Z788" s="1912"/>
      <c r="AA788" s="1912"/>
      <c r="AB788" s="1912"/>
      <c r="AC788" s="1912"/>
      <c r="AD788" s="1912"/>
      <c r="AE788" s="1912"/>
      <c r="AF788" s="1912"/>
      <c r="AG788" s="1912"/>
    </row>
    <row r="789">
      <c r="A789" s="1912"/>
      <c r="B789" s="1912"/>
      <c r="C789" s="1912"/>
      <c r="D789" s="1912"/>
      <c r="E789" s="1912"/>
      <c r="F789" s="1912"/>
      <c r="G789" s="1912"/>
      <c r="H789" s="1912"/>
      <c r="I789" s="1912"/>
      <c r="J789" s="1912"/>
      <c r="K789" s="1912"/>
      <c r="L789" s="1912"/>
      <c r="M789" s="1912"/>
      <c r="N789" s="1912"/>
      <c r="O789" s="1912"/>
      <c r="P789" s="1912"/>
      <c r="Q789" s="1912"/>
      <c r="R789" s="1912"/>
      <c r="S789" s="1912"/>
      <c r="T789" s="1912"/>
      <c r="U789" s="1912"/>
      <c r="V789" s="1912"/>
      <c r="W789" s="1912"/>
      <c r="X789" s="1912"/>
      <c r="Y789" s="1912"/>
      <c r="Z789" s="1912"/>
      <c r="AA789" s="1912"/>
      <c r="AB789" s="1912"/>
      <c r="AC789" s="1912"/>
      <c r="AD789" s="1912"/>
      <c r="AE789" s="1912"/>
      <c r="AF789" s="1912"/>
      <c r="AG789" s="1912"/>
    </row>
    <row r="790">
      <c r="A790" s="1912"/>
      <c r="B790" s="1912"/>
      <c r="C790" s="1912"/>
      <c r="D790" s="1912"/>
      <c r="E790" s="1912"/>
      <c r="F790" s="1912"/>
      <c r="G790" s="1912"/>
      <c r="H790" s="1912"/>
      <c r="I790" s="1912"/>
      <c r="J790" s="1912"/>
      <c r="K790" s="1912"/>
      <c r="L790" s="1912"/>
      <c r="M790" s="1912"/>
      <c r="N790" s="1912"/>
      <c r="O790" s="1912"/>
      <c r="P790" s="1912"/>
      <c r="Q790" s="1912"/>
      <c r="R790" s="1912"/>
      <c r="S790" s="1912"/>
      <c r="T790" s="1912"/>
      <c r="U790" s="1912"/>
      <c r="V790" s="1912"/>
      <c r="W790" s="1912"/>
      <c r="X790" s="1912"/>
      <c r="Y790" s="1912"/>
      <c r="Z790" s="1912"/>
      <c r="AA790" s="1912"/>
      <c r="AB790" s="1912"/>
      <c r="AC790" s="1912"/>
      <c r="AD790" s="1912"/>
      <c r="AE790" s="1912"/>
      <c r="AF790" s="1912"/>
      <c r="AG790" s="1912"/>
    </row>
    <row r="791">
      <c r="A791" s="1912"/>
      <c r="B791" s="1912"/>
      <c r="C791" s="1912"/>
      <c r="D791" s="1912"/>
      <c r="E791" s="1912"/>
      <c r="F791" s="1912"/>
      <c r="G791" s="1912"/>
      <c r="H791" s="1912"/>
      <c r="I791" s="1912"/>
      <c r="J791" s="1912"/>
      <c r="K791" s="1912"/>
      <c r="L791" s="1912"/>
      <c r="M791" s="1912"/>
      <c r="N791" s="1912"/>
      <c r="O791" s="1912"/>
      <c r="P791" s="1912"/>
      <c r="Q791" s="1912"/>
      <c r="R791" s="1912"/>
      <c r="S791" s="1912"/>
      <c r="T791" s="1912"/>
      <c r="U791" s="1912"/>
      <c r="V791" s="1912"/>
      <c r="W791" s="1912"/>
      <c r="X791" s="1912"/>
      <c r="Y791" s="1912"/>
      <c r="Z791" s="1912"/>
      <c r="AA791" s="1912"/>
      <c r="AB791" s="1912"/>
      <c r="AC791" s="1912"/>
      <c r="AD791" s="1912"/>
      <c r="AE791" s="1912"/>
      <c r="AF791" s="1912"/>
      <c r="AG791" s="1912"/>
    </row>
    <row r="792">
      <c r="A792" s="1912"/>
      <c r="B792" s="1912"/>
      <c r="C792" s="1912"/>
      <c r="D792" s="1912"/>
      <c r="E792" s="1912"/>
      <c r="F792" s="1912"/>
      <c r="G792" s="1912"/>
      <c r="H792" s="1912"/>
      <c r="I792" s="1912"/>
      <c r="J792" s="1912"/>
      <c r="K792" s="1912"/>
      <c r="L792" s="1912"/>
      <c r="M792" s="1912"/>
      <c r="N792" s="1912"/>
      <c r="O792" s="1912"/>
      <c r="P792" s="1912"/>
      <c r="Q792" s="1912"/>
      <c r="R792" s="1912"/>
      <c r="S792" s="1912"/>
      <c r="T792" s="1912"/>
      <c r="U792" s="1912"/>
      <c r="V792" s="1912"/>
      <c r="W792" s="1912"/>
      <c r="X792" s="1912"/>
      <c r="Y792" s="1912"/>
      <c r="Z792" s="1912"/>
      <c r="AA792" s="1912"/>
      <c r="AB792" s="1912"/>
      <c r="AC792" s="1912"/>
      <c r="AD792" s="1912"/>
      <c r="AE792" s="1912"/>
      <c r="AF792" s="1912"/>
      <c r="AG792" s="1912"/>
    </row>
    <row r="793">
      <c r="A793" s="1912"/>
      <c r="B793" s="1912"/>
      <c r="C793" s="1912"/>
      <c r="D793" s="1912"/>
      <c r="E793" s="1912"/>
      <c r="F793" s="1912"/>
      <c r="G793" s="1912"/>
      <c r="H793" s="1912"/>
      <c r="I793" s="1912"/>
      <c r="J793" s="1912"/>
      <c r="K793" s="1912"/>
      <c r="L793" s="1912"/>
      <c r="M793" s="1912"/>
      <c r="N793" s="1912"/>
      <c r="O793" s="1912"/>
      <c r="P793" s="1912"/>
      <c r="Q793" s="1912"/>
      <c r="R793" s="1912"/>
      <c r="S793" s="1912"/>
      <c r="T793" s="1912"/>
      <c r="U793" s="1912"/>
      <c r="V793" s="1912"/>
      <c r="W793" s="1912"/>
      <c r="X793" s="1912"/>
      <c r="Y793" s="1912"/>
      <c r="Z793" s="1912"/>
      <c r="AA793" s="1912"/>
      <c r="AB793" s="1912"/>
      <c r="AC793" s="1912"/>
      <c r="AD793" s="1912"/>
      <c r="AE793" s="1912"/>
      <c r="AF793" s="1912"/>
      <c r="AG793" s="1912"/>
    </row>
    <row r="794">
      <c r="A794" s="1912"/>
      <c r="B794" s="1912"/>
      <c r="C794" s="1912"/>
      <c r="D794" s="1912"/>
      <c r="E794" s="1912"/>
      <c r="F794" s="1912"/>
      <c r="G794" s="1912"/>
      <c r="H794" s="1912"/>
      <c r="I794" s="1912"/>
      <c r="J794" s="1912"/>
      <c r="K794" s="1912"/>
      <c r="L794" s="1912"/>
      <c r="M794" s="1912"/>
      <c r="N794" s="1912"/>
      <c r="O794" s="1912"/>
      <c r="P794" s="1912"/>
      <c r="Q794" s="1912"/>
      <c r="R794" s="1912"/>
      <c r="S794" s="1912"/>
      <c r="T794" s="1912"/>
      <c r="U794" s="1912"/>
      <c r="V794" s="1912"/>
      <c r="W794" s="1912"/>
      <c r="X794" s="1912"/>
      <c r="Y794" s="1912"/>
      <c r="Z794" s="1912"/>
      <c r="AA794" s="1912"/>
      <c r="AB794" s="1912"/>
      <c r="AC794" s="1912"/>
      <c r="AD794" s="1912"/>
      <c r="AE794" s="1912"/>
      <c r="AF794" s="1912"/>
      <c r="AG794" s="1912"/>
    </row>
    <row r="795">
      <c r="A795" s="1912"/>
      <c r="B795" s="1912"/>
      <c r="C795" s="1912"/>
      <c r="D795" s="1912"/>
      <c r="E795" s="1912"/>
      <c r="F795" s="1912"/>
      <c r="G795" s="1912"/>
      <c r="H795" s="1912"/>
      <c r="I795" s="1912"/>
      <c r="J795" s="1912"/>
      <c r="K795" s="1912"/>
      <c r="L795" s="1912"/>
      <c r="M795" s="1912"/>
      <c r="N795" s="1912"/>
      <c r="O795" s="1912"/>
      <c r="P795" s="1912"/>
      <c r="Q795" s="1912"/>
      <c r="R795" s="1912"/>
      <c r="S795" s="1912"/>
      <c r="T795" s="1912"/>
      <c r="U795" s="1912"/>
      <c r="V795" s="1912"/>
      <c r="W795" s="1912"/>
      <c r="X795" s="1912"/>
      <c r="Y795" s="1912"/>
      <c r="Z795" s="1912"/>
      <c r="AA795" s="1912"/>
      <c r="AB795" s="1912"/>
      <c r="AC795" s="1912"/>
      <c r="AD795" s="1912"/>
      <c r="AE795" s="1912"/>
      <c r="AF795" s="1912"/>
      <c r="AG795" s="1912"/>
    </row>
    <row r="796">
      <c r="A796" s="1912"/>
      <c r="B796" s="1912"/>
      <c r="C796" s="1912"/>
      <c r="D796" s="1912"/>
      <c r="E796" s="1912"/>
      <c r="F796" s="1912"/>
      <c r="G796" s="1912"/>
      <c r="H796" s="1912"/>
      <c r="I796" s="1912"/>
      <c r="J796" s="1912"/>
      <c r="K796" s="1912"/>
      <c r="L796" s="1912"/>
      <c r="M796" s="1912"/>
      <c r="N796" s="1912"/>
      <c r="O796" s="1912"/>
      <c r="P796" s="1912"/>
      <c r="Q796" s="1912"/>
      <c r="R796" s="1912"/>
      <c r="S796" s="1912"/>
      <c r="T796" s="1912"/>
      <c r="U796" s="1912"/>
      <c r="V796" s="1912"/>
      <c r="W796" s="1912"/>
      <c r="X796" s="1912"/>
      <c r="Y796" s="1912"/>
      <c r="Z796" s="1912"/>
      <c r="AA796" s="1912"/>
      <c r="AB796" s="1912"/>
      <c r="AC796" s="1912"/>
      <c r="AD796" s="1912"/>
      <c r="AE796" s="1912"/>
      <c r="AF796" s="1912"/>
      <c r="AG796" s="1912"/>
    </row>
    <row r="797">
      <c r="A797" s="1912"/>
      <c r="B797" s="1912"/>
      <c r="C797" s="1912"/>
      <c r="D797" s="1912"/>
      <c r="E797" s="1912"/>
      <c r="F797" s="1912"/>
      <c r="G797" s="1912"/>
      <c r="H797" s="1912"/>
      <c r="I797" s="1912"/>
      <c r="J797" s="1912"/>
      <c r="K797" s="1912"/>
      <c r="L797" s="1912"/>
      <c r="M797" s="1912"/>
      <c r="N797" s="1912"/>
      <c r="O797" s="1912"/>
      <c r="P797" s="1912"/>
      <c r="Q797" s="1912"/>
      <c r="R797" s="1912"/>
      <c r="S797" s="1912"/>
      <c r="T797" s="1912"/>
      <c r="U797" s="1912"/>
      <c r="V797" s="1912"/>
      <c r="W797" s="1912"/>
      <c r="X797" s="1912"/>
      <c r="Y797" s="1912"/>
      <c r="Z797" s="1912"/>
      <c r="AA797" s="1912"/>
      <c r="AB797" s="1912"/>
      <c r="AC797" s="1912"/>
      <c r="AD797" s="1912"/>
      <c r="AE797" s="1912"/>
      <c r="AF797" s="1912"/>
      <c r="AG797" s="1912"/>
    </row>
    <row r="798">
      <c r="A798" s="1912"/>
      <c r="B798" s="1912"/>
      <c r="C798" s="1912"/>
      <c r="D798" s="1912"/>
      <c r="E798" s="1912"/>
      <c r="F798" s="1912"/>
      <c r="G798" s="1912"/>
      <c r="H798" s="1912"/>
      <c r="I798" s="1912"/>
      <c r="J798" s="1912"/>
      <c r="K798" s="1912"/>
      <c r="L798" s="1912"/>
      <c r="M798" s="1912"/>
      <c r="N798" s="1912"/>
      <c r="O798" s="1912"/>
      <c r="P798" s="1912"/>
      <c r="Q798" s="1912"/>
      <c r="R798" s="1912"/>
      <c r="S798" s="1912"/>
      <c r="T798" s="1912"/>
      <c r="U798" s="1912"/>
      <c r="V798" s="1912"/>
      <c r="W798" s="1912"/>
      <c r="X798" s="1912"/>
      <c r="Y798" s="1912"/>
      <c r="Z798" s="1912"/>
      <c r="AA798" s="1912"/>
      <c r="AB798" s="1912"/>
      <c r="AC798" s="1912"/>
      <c r="AD798" s="1912"/>
      <c r="AE798" s="1912"/>
      <c r="AF798" s="1912"/>
      <c r="AG798" s="1912"/>
    </row>
    <row r="799">
      <c r="A799" s="1912"/>
      <c r="B799" s="1912"/>
      <c r="C799" s="1912"/>
      <c r="D799" s="1912"/>
      <c r="E799" s="1912"/>
      <c r="F799" s="1912"/>
      <c r="G799" s="1912"/>
      <c r="H799" s="1912"/>
      <c r="I799" s="1912"/>
      <c r="J799" s="1912"/>
      <c r="K799" s="1912"/>
      <c r="L799" s="1912"/>
      <c r="M799" s="1912"/>
      <c r="N799" s="1912"/>
      <c r="O799" s="1912"/>
      <c r="P799" s="1912"/>
      <c r="Q799" s="1912"/>
      <c r="R799" s="1912"/>
      <c r="S799" s="1912"/>
      <c r="T799" s="1912"/>
      <c r="U799" s="1912"/>
      <c r="V799" s="1912"/>
      <c r="W799" s="1912"/>
      <c r="X799" s="1912"/>
      <c r="Y799" s="1912"/>
      <c r="Z799" s="1912"/>
      <c r="AA799" s="1912"/>
      <c r="AB799" s="1912"/>
      <c r="AC799" s="1912"/>
      <c r="AD799" s="1912"/>
      <c r="AE799" s="1912"/>
      <c r="AF799" s="1912"/>
      <c r="AG799" s="1912"/>
    </row>
    <row r="800">
      <c r="A800" s="1912"/>
      <c r="B800" s="1912"/>
      <c r="C800" s="1912"/>
      <c r="D800" s="1912"/>
      <c r="E800" s="1912"/>
      <c r="F800" s="1912"/>
      <c r="G800" s="1912"/>
      <c r="H800" s="1912"/>
      <c r="I800" s="1912"/>
      <c r="J800" s="1912"/>
      <c r="K800" s="1912"/>
      <c r="L800" s="1912"/>
      <c r="M800" s="1912"/>
      <c r="N800" s="1912"/>
      <c r="O800" s="1912"/>
      <c r="P800" s="1912"/>
      <c r="Q800" s="1912"/>
      <c r="R800" s="1912"/>
      <c r="S800" s="1912"/>
      <c r="T800" s="1912"/>
      <c r="U800" s="1912"/>
      <c r="V800" s="1912"/>
      <c r="W800" s="1912"/>
      <c r="X800" s="1912"/>
      <c r="Y800" s="1912"/>
      <c r="Z800" s="1912"/>
      <c r="AA800" s="1912"/>
      <c r="AB800" s="1912"/>
      <c r="AC800" s="1912"/>
      <c r="AD800" s="1912"/>
      <c r="AE800" s="1912"/>
      <c r="AF800" s="1912"/>
      <c r="AG800" s="1912"/>
    </row>
    <row r="801">
      <c r="A801" s="1912"/>
      <c r="B801" s="1912"/>
      <c r="C801" s="1912"/>
      <c r="D801" s="1912"/>
      <c r="E801" s="1912"/>
      <c r="F801" s="1912"/>
      <c r="G801" s="1912"/>
      <c r="H801" s="1912"/>
      <c r="I801" s="1912"/>
      <c r="J801" s="1912"/>
      <c r="K801" s="1912"/>
      <c r="L801" s="1912"/>
      <c r="M801" s="1912"/>
      <c r="N801" s="1912"/>
      <c r="O801" s="1912"/>
      <c r="P801" s="1912"/>
      <c r="Q801" s="1912"/>
      <c r="R801" s="1912"/>
      <c r="S801" s="1912"/>
      <c r="T801" s="1912"/>
      <c r="U801" s="1912"/>
      <c r="V801" s="1912"/>
      <c r="W801" s="1912"/>
      <c r="X801" s="1912"/>
      <c r="Y801" s="1912"/>
      <c r="Z801" s="1912"/>
      <c r="AA801" s="1912"/>
      <c r="AB801" s="1912"/>
      <c r="AC801" s="1912"/>
      <c r="AD801" s="1912"/>
      <c r="AE801" s="1912"/>
      <c r="AF801" s="1912"/>
      <c r="AG801" s="1912"/>
    </row>
    <row r="802">
      <c r="A802" s="1912"/>
      <c r="B802" s="1912"/>
      <c r="C802" s="1912"/>
      <c r="D802" s="1912"/>
      <c r="E802" s="1912"/>
      <c r="F802" s="1912"/>
      <c r="G802" s="1912"/>
      <c r="H802" s="1912"/>
      <c r="I802" s="1912"/>
      <c r="J802" s="1912"/>
      <c r="K802" s="1912"/>
      <c r="L802" s="1912"/>
      <c r="M802" s="1912"/>
      <c r="N802" s="1912"/>
      <c r="O802" s="1912"/>
      <c r="P802" s="1912"/>
      <c r="Q802" s="1912"/>
      <c r="R802" s="1912"/>
      <c r="S802" s="1912"/>
      <c r="T802" s="1912"/>
      <c r="U802" s="1912"/>
      <c r="V802" s="1912"/>
      <c r="W802" s="1912"/>
      <c r="X802" s="1912"/>
      <c r="Y802" s="1912"/>
      <c r="Z802" s="1912"/>
      <c r="AA802" s="1912"/>
      <c r="AB802" s="1912"/>
      <c r="AC802" s="1912"/>
      <c r="AD802" s="1912"/>
      <c r="AE802" s="1912"/>
      <c r="AF802" s="1912"/>
      <c r="AG802" s="1912"/>
    </row>
    <row r="803">
      <c r="A803" s="1912"/>
      <c r="B803" s="1912"/>
      <c r="C803" s="1912"/>
      <c r="D803" s="1912"/>
      <c r="E803" s="1912"/>
      <c r="F803" s="1912"/>
      <c r="G803" s="1912"/>
      <c r="H803" s="1912"/>
      <c r="I803" s="1912"/>
      <c r="J803" s="1912"/>
      <c r="K803" s="1912"/>
      <c r="L803" s="1912"/>
      <c r="M803" s="1912"/>
      <c r="N803" s="1912"/>
      <c r="O803" s="1912"/>
      <c r="P803" s="1912"/>
      <c r="Q803" s="1912"/>
      <c r="R803" s="1912"/>
      <c r="S803" s="1912"/>
      <c r="T803" s="1912"/>
      <c r="U803" s="1912"/>
      <c r="V803" s="1912"/>
      <c r="W803" s="1912"/>
      <c r="X803" s="1912"/>
      <c r="Y803" s="1912"/>
      <c r="Z803" s="1912"/>
      <c r="AA803" s="1912"/>
      <c r="AB803" s="1912"/>
      <c r="AC803" s="1912"/>
      <c r="AD803" s="1912"/>
      <c r="AE803" s="1912"/>
      <c r="AF803" s="1912"/>
      <c r="AG803" s="1912"/>
    </row>
    <row r="804">
      <c r="A804" s="1912"/>
      <c r="B804" s="1912"/>
      <c r="C804" s="1912"/>
      <c r="D804" s="1912"/>
      <c r="E804" s="1912"/>
      <c r="F804" s="1912"/>
      <c r="G804" s="1912"/>
      <c r="H804" s="1912"/>
      <c r="I804" s="1912"/>
      <c r="J804" s="1912"/>
      <c r="K804" s="1912"/>
      <c r="L804" s="1912"/>
      <c r="M804" s="1912"/>
      <c r="N804" s="1912"/>
      <c r="O804" s="1912"/>
      <c r="P804" s="1912"/>
      <c r="Q804" s="1912"/>
      <c r="R804" s="1912"/>
      <c r="S804" s="1912"/>
      <c r="T804" s="1912"/>
      <c r="U804" s="1912"/>
      <c r="V804" s="1912"/>
      <c r="W804" s="1912"/>
      <c r="X804" s="1912"/>
      <c r="Y804" s="1912"/>
      <c r="Z804" s="1912"/>
      <c r="AA804" s="1912"/>
      <c r="AB804" s="1912"/>
      <c r="AC804" s="1912"/>
      <c r="AD804" s="1912"/>
      <c r="AE804" s="1912"/>
      <c r="AF804" s="1912"/>
      <c r="AG804" s="1912"/>
    </row>
    <row r="805">
      <c r="A805" s="1912"/>
      <c r="B805" s="1912"/>
      <c r="C805" s="1912"/>
      <c r="D805" s="1912"/>
      <c r="E805" s="1912"/>
      <c r="F805" s="1912"/>
      <c r="G805" s="1912"/>
      <c r="H805" s="1912"/>
      <c r="I805" s="1912"/>
      <c r="J805" s="1912"/>
      <c r="K805" s="1912"/>
      <c r="L805" s="1912"/>
      <c r="M805" s="1912"/>
      <c r="N805" s="1912"/>
      <c r="O805" s="1912"/>
      <c r="P805" s="1912"/>
      <c r="Q805" s="1912"/>
      <c r="R805" s="1912"/>
      <c r="S805" s="1912"/>
      <c r="T805" s="1912"/>
      <c r="U805" s="1912"/>
      <c r="V805" s="1912"/>
      <c r="W805" s="1912"/>
      <c r="X805" s="1912"/>
      <c r="Y805" s="1912"/>
      <c r="Z805" s="1912"/>
      <c r="AA805" s="1912"/>
      <c r="AB805" s="1912"/>
      <c r="AC805" s="1912"/>
      <c r="AD805" s="1912"/>
      <c r="AE805" s="1912"/>
      <c r="AF805" s="1912"/>
      <c r="AG805" s="1912"/>
    </row>
    <row r="806">
      <c r="A806" s="1912"/>
      <c r="B806" s="1912"/>
      <c r="C806" s="1912"/>
      <c r="D806" s="1912"/>
      <c r="E806" s="1912"/>
      <c r="F806" s="1912"/>
      <c r="G806" s="1912"/>
      <c r="H806" s="1912"/>
      <c r="I806" s="1912"/>
      <c r="J806" s="1912"/>
      <c r="K806" s="1912"/>
      <c r="L806" s="1912"/>
      <c r="M806" s="1912"/>
      <c r="N806" s="1912"/>
      <c r="O806" s="1912"/>
      <c r="P806" s="1912"/>
      <c r="Q806" s="1912"/>
      <c r="R806" s="1912"/>
      <c r="S806" s="1912"/>
      <c r="T806" s="1912"/>
      <c r="U806" s="1912"/>
      <c r="V806" s="1912"/>
      <c r="W806" s="1912"/>
      <c r="X806" s="1912"/>
      <c r="Y806" s="1912"/>
      <c r="Z806" s="1912"/>
      <c r="AA806" s="1912"/>
      <c r="AB806" s="1912"/>
      <c r="AC806" s="1912"/>
      <c r="AD806" s="1912"/>
      <c r="AE806" s="1912"/>
      <c r="AF806" s="1912"/>
      <c r="AG806" s="1912"/>
    </row>
    <row r="807">
      <c r="A807" s="1912"/>
      <c r="B807" s="1912"/>
      <c r="C807" s="1912"/>
      <c r="D807" s="1912"/>
      <c r="E807" s="1912"/>
      <c r="F807" s="1912"/>
      <c r="G807" s="1912"/>
      <c r="H807" s="1912"/>
      <c r="I807" s="1912"/>
      <c r="J807" s="1912"/>
      <c r="K807" s="1912"/>
      <c r="L807" s="1912"/>
      <c r="M807" s="1912"/>
      <c r="N807" s="1912"/>
      <c r="O807" s="1912"/>
      <c r="P807" s="1912"/>
      <c r="Q807" s="1912"/>
      <c r="R807" s="1912"/>
      <c r="S807" s="1912"/>
      <c r="T807" s="1912"/>
      <c r="U807" s="1912"/>
      <c r="V807" s="1912"/>
      <c r="W807" s="1912"/>
      <c r="X807" s="1912"/>
      <c r="Y807" s="1912"/>
      <c r="Z807" s="1912"/>
      <c r="AA807" s="1912"/>
      <c r="AB807" s="1912"/>
      <c r="AC807" s="1912"/>
      <c r="AD807" s="1912"/>
      <c r="AE807" s="1912"/>
      <c r="AF807" s="1912"/>
      <c r="AG807" s="1912"/>
    </row>
    <row r="808">
      <c r="A808" s="1912"/>
      <c r="B808" s="1912"/>
      <c r="C808" s="1912"/>
      <c r="D808" s="1912"/>
      <c r="E808" s="1912"/>
      <c r="F808" s="1912"/>
      <c r="G808" s="1912"/>
      <c r="H808" s="1912"/>
      <c r="I808" s="1912"/>
      <c r="J808" s="1912"/>
      <c r="K808" s="1912"/>
      <c r="L808" s="1912"/>
      <c r="M808" s="1912"/>
      <c r="N808" s="1912"/>
      <c r="O808" s="1912"/>
      <c r="P808" s="1912"/>
      <c r="Q808" s="1912"/>
      <c r="R808" s="1912"/>
      <c r="S808" s="1912"/>
      <c r="T808" s="1912"/>
      <c r="U808" s="1912"/>
      <c r="V808" s="1912"/>
      <c r="W808" s="1912"/>
      <c r="X808" s="1912"/>
      <c r="Y808" s="1912"/>
      <c r="Z808" s="1912"/>
      <c r="AA808" s="1912"/>
      <c r="AB808" s="1912"/>
      <c r="AC808" s="1912"/>
      <c r="AD808" s="1912"/>
      <c r="AE808" s="1912"/>
      <c r="AF808" s="1912"/>
      <c r="AG808" s="1912"/>
    </row>
    <row r="809">
      <c r="A809" s="1912"/>
      <c r="B809" s="1912"/>
      <c r="C809" s="1912"/>
      <c r="D809" s="1912"/>
      <c r="E809" s="1912"/>
      <c r="F809" s="1912"/>
      <c r="G809" s="1912"/>
      <c r="H809" s="1912"/>
      <c r="I809" s="1912"/>
      <c r="J809" s="1912"/>
      <c r="K809" s="1912"/>
      <c r="L809" s="1912"/>
      <c r="M809" s="1912"/>
      <c r="N809" s="1912"/>
      <c r="O809" s="1912"/>
      <c r="P809" s="1912"/>
      <c r="Q809" s="1912"/>
      <c r="R809" s="1912"/>
      <c r="S809" s="1912"/>
      <c r="T809" s="1912"/>
      <c r="U809" s="1912"/>
      <c r="V809" s="1912"/>
      <c r="W809" s="1912"/>
      <c r="X809" s="1912"/>
      <c r="Y809" s="1912"/>
      <c r="Z809" s="1912"/>
      <c r="AA809" s="1912"/>
      <c r="AB809" s="1912"/>
      <c r="AC809" s="1912"/>
      <c r="AD809" s="1912"/>
      <c r="AE809" s="1912"/>
      <c r="AF809" s="1912"/>
      <c r="AG809" s="1912"/>
    </row>
    <row r="810">
      <c r="A810" s="1912"/>
      <c r="B810" s="1912"/>
      <c r="C810" s="1912"/>
      <c r="D810" s="1912"/>
      <c r="E810" s="1912"/>
      <c r="F810" s="1912"/>
      <c r="G810" s="1912"/>
      <c r="H810" s="1912"/>
      <c r="I810" s="1912"/>
      <c r="J810" s="1912"/>
      <c r="K810" s="1912"/>
      <c r="L810" s="1912"/>
      <c r="M810" s="1912"/>
      <c r="N810" s="1912"/>
      <c r="O810" s="1912"/>
      <c r="P810" s="1912"/>
      <c r="Q810" s="1912"/>
      <c r="R810" s="1912"/>
      <c r="S810" s="1912"/>
      <c r="T810" s="1912"/>
      <c r="U810" s="1912"/>
      <c r="V810" s="1912"/>
      <c r="W810" s="1912"/>
      <c r="X810" s="1912"/>
      <c r="Y810" s="1912"/>
      <c r="Z810" s="1912"/>
      <c r="AA810" s="1912"/>
      <c r="AB810" s="1912"/>
      <c r="AC810" s="1912"/>
      <c r="AD810" s="1912"/>
      <c r="AE810" s="1912"/>
      <c r="AF810" s="1912"/>
      <c r="AG810" s="1912"/>
    </row>
    <row r="811">
      <c r="A811" s="1912"/>
      <c r="B811" s="1912"/>
      <c r="C811" s="1912"/>
      <c r="D811" s="1912"/>
      <c r="E811" s="1912"/>
      <c r="F811" s="1912"/>
      <c r="G811" s="1912"/>
      <c r="H811" s="1912"/>
      <c r="I811" s="1912"/>
      <c r="J811" s="1912"/>
      <c r="K811" s="1912"/>
      <c r="L811" s="1912"/>
      <c r="M811" s="1912"/>
      <c r="N811" s="1912"/>
      <c r="O811" s="1912"/>
      <c r="P811" s="1912"/>
      <c r="Q811" s="1912"/>
      <c r="R811" s="1912"/>
      <c r="S811" s="1912"/>
      <c r="T811" s="1912"/>
      <c r="U811" s="1912"/>
      <c r="V811" s="1912"/>
      <c r="W811" s="1912"/>
      <c r="X811" s="1912"/>
      <c r="Y811" s="1912"/>
      <c r="Z811" s="1912"/>
      <c r="AA811" s="1912"/>
      <c r="AB811" s="1912"/>
      <c r="AC811" s="1912"/>
      <c r="AD811" s="1912"/>
      <c r="AE811" s="1912"/>
      <c r="AF811" s="1912"/>
      <c r="AG811" s="1912"/>
    </row>
    <row r="812">
      <c r="A812" s="1912"/>
      <c r="B812" s="1912"/>
      <c r="C812" s="1912"/>
      <c r="D812" s="1912"/>
      <c r="E812" s="1912"/>
      <c r="F812" s="1912"/>
      <c r="G812" s="1912"/>
      <c r="H812" s="1912"/>
      <c r="I812" s="1912"/>
      <c r="J812" s="1912"/>
      <c r="K812" s="1912"/>
      <c r="L812" s="1912"/>
      <c r="M812" s="1912"/>
      <c r="N812" s="1912"/>
      <c r="O812" s="1912"/>
      <c r="P812" s="1912"/>
      <c r="Q812" s="1912"/>
      <c r="R812" s="1912"/>
      <c r="S812" s="1912"/>
      <c r="T812" s="1912"/>
      <c r="U812" s="1912"/>
      <c r="V812" s="1912"/>
      <c r="W812" s="1912"/>
      <c r="X812" s="1912"/>
      <c r="Y812" s="1912"/>
      <c r="Z812" s="1912"/>
      <c r="AA812" s="1912"/>
      <c r="AB812" s="1912"/>
      <c r="AC812" s="1912"/>
      <c r="AD812" s="1912"/>
      <c r="AE812" s="1912"/>
      <c r="AF812" s="1912"/>
      <c r="AG812" s="1912"/>
    </row>
    <row r="813">
      <c r="A813" s="1912"/>
      <c r="B813" s="1912"/>
      <c r="C813" s="1912"/>
      <c r="D813" s="1912"/>
      <c r="E813" s="1912"/>
      <c r="F813" s="1912"/>
      <c r="G813" s="1912"/>
      <c r="H813" s="1912"/>
      <c r="I813" s="1912"/>
      <c r="J813" s="1912"/>
      <c r="K813" s="1912"/>
      <c r="L813" s="1912"/>
      <c r="M813" s="1912"/>
      <c r="N813" s="1912"/>
      <c r="O813" s="1912"/>
      <c r="P813" s="1912"/>
      <c r="Q813" s="1912"/>
      <c r="R813" s="1912"/>
      <c r="S813" s="1912"/>
      <c r="T813" s="1912"/>
      <c r="U813" s="1912"/>
      <c r="V813" s="1912"/>
      <c r="W813" s="1912"/>
      <c r="X813" s="1912"/>
      <c r="Y813" s="1912"/>
      <c r="Z813" s="1912"/>
      <c r="AA813" s="1912"/>
      <c r="AB813" s="1912"/>
      <c r="AC813" s="1912"/>
      <c r="AD813" s="1912"/>
      <c r="AE813" s="1912"/>
      <c r="AF813" s="1912"/>
      <c r="AG813" s="1912"/>
    </row>
    <row r="814">
      <c r="A814" s="1912"/>
      <c r="B814" s="1912"/>
      <c r="C814" s="1912"/>
      <c r="D814" s="1912"/>
      <c r="E814" s="1912"/>
      <c r="F814" s="1912"/>
      <c r="G814" s="1912"/>
      <c r="H814" s="1912"/>
      <c r="I814" s="1912"/>
      <c r="J814" s="1912"/>
      <c r="K814" s="1912"/>
      <c r="L814" s="1912"/>
      <c r="M814" s="1912"/>
      <c r="N814" s="1912"/>
      <c r="O814" s="1912"/>
      <c r="P814" s="1912"/>
      <c r="Q814" s="1912"/>
      <c r="R814" s="1912"/>
      <c r="S814" s="1912"/>
      <c r="T814" s="1912"/>
      <c r="U814" s="1912"/>
      <c r="V814" s="1912"/>
      <c r="W814" s="1912"/>
      <c r="X814" s="1912"/>
      <c r="Y814" s="1912"/>
      <c r="Z814" s="1912"/>
      <c r="AA814" s="1912"/>
      <c r="AB814" s="1912"/>
      <c r="AC814" s="1912"/>
      <c r="AD814" s="1912"/>
      <c r="AE814" s="1912"/>
      <c r="AF814" s="1912"/>
      <c r="AG814" s="1912"/>
    </row>
    <row r="815">
      <c r="A815" s="1912"/>
      <c r="B815" s="1912"/>
      <c r="C815" s="1912"/>
      <c r="D815" s="1912"/>
      <c r="E815" s="1912"/>
      <c r="F815" s="1912"/>
      <c r="G815" s="1912"/>
      <c r="H815" s="1912"/>
      <c r="I815" s="1912"/>
      <c r="J815" s="1912"/>
      <c r="K815" s="1912"/>
      <c r="L815" s="1912"/>
      <c r="M815" s="1912"/>
      <c r="N815" s="1912"/>
      <c r="O815" s="1912"/>
      <c r="P815" s="1912"/>
      <c r="Q815" s="1912"/>
      <c r="R815" s="1912"/>
      <c r="S815" s="1912"/>
      <c r="T815" s="1912"/>
      <c r="U815" s="1912"/>
      <c r="V815" s="1912"/>
      <c r="W815" s="1912"/>
      <c r="X815" s="1912"/>
      <c r="Y815" s="1912"/>
      <c r="Z815" s="1912"/>
      <c r="AA815" s="1912"/>
      <c r="AB815" s="1912"/>
      <c r="AC815" s="1912"/>
      <c r="AD815" s="1912"/>
      <c r="AE815" s="1912"/>
      <c r="AF815" s="1912"/>
      <c r="AG815" s="1912"/>
    </row>
    <row r="816">
      <c r="A816" s="1912"/>
      <c r="B816" s="1912"/>
      <c r="C816" s="1912"/>
      <c r="D816" s="1912"/>
      <c r="E816" s="1912"/>
      <c r="F816" s="1912"/>
      <c r="G816" s="1912"/>
      <c r="H816" s="1912"/>
      <c r="I816" s="1912"/>
      <c r="J816" s="1912"/>
      <c r="K816" s="1912"/>
      <c r="L816" s="1912"/>
      <c r="M816" s="1912"/>
      <c r="N816" s="1912"/>
      <c r="O816" s="1912"/>
      <c r="P816" s="1912"/>
      <c r="Q816" s="1912"/>
      <c r="R816" s="1912"/>
      <c r="S816" s="1912"/>
      <c r="T816" s="1912"/>
      <c r="U816" s="1912"/>
      <c r="V816" s="1912"/>
      <c r="W816" s="1912"/>
      <c r="X816" s="1912"/>
      <c r="Y816" s="1912"/>
      <c r="Z816" s="1912"/>
      <c r="AA816" s="1912"/>
      <c r="AB816" s="1912"/>
      <c r="AC816" s="1912"/>
      <c r="AD816" s="1912"/>
      <c r="AE816" s="1912"/>
      <c r="AF816" s="1912"/>
      <c r="AG816" s="1912"/>
    </row>
    <row r="817">
      <c r="A817" s="1912"/>
      <c r="B817" s="1912"/>
      <c r="C817" s="1912"/>
      <c r="D817" s="1912"/>
      <c r="E817" s="1912"/>
      <c r="F817" s="1912"/>
      <c r="G817" s="1912"/>
      <c r="H817" s="1912"/>
      <c r="I817" s="1912"/>
      <c r="J817" s="1912"/>
      <c r="K817" s="1912"/>
      <c r="L817" s="1912"/>
      <c r="M817" s="1912"/>
      <c r="N817" s="1912"/>
      <c r="O817" s="1912"/>
      <c r="P817" s="1912"/>
      <c r="Q817" s="1912"/>
      <c r="R817" s="1912"/>
      <c r="S817" s="1912"/>
      <c r="T817" s="1912"/>
      <c r="U817" s="1912"/>
      <c r="V817" s="1912"/>
      <c r="W817" s="1912"/>
      <c r="X817" s="1912"/>
      <c r="Y817" s="1912"/>
      <c r="Z817" s="1912"/>
      <c r="AA817" s="1912"/>
      <c r="AB817" s="1912"/>
      <c r="AC817" s="1912"/>
      <c r="AD817" s="1912"/>
      <c r="AE817" s="1912"/>
      <c r="AF817" s="1912"/>
      <c r="AG817" s="1912"/>
    </row>
    <row r="818">
      <c r="A818" s="1912"/>
      <c r="B818" s="1912"/>
      <c r="C818" s="1912"/>
      <c r="D818" s="1912"/>
      <c r="E818" s="1912"/>
      <c r="F818" s="1912"/>
      <c r="G818" s="1912"/>
      <c r="H818" s="1912"/>
      <c r="I818" s="1912"/>
      <c r="J818" s="1912"/>
      <c r="K818" s="1912"/>
      <c r="L818" s="1912"/>
      <c r="M818" s="1912"/>
      <c r="N818" s="1912"/>
      <c r="O818" s="1912"/>
      <c r="P818" s="1912"/>
      <c r="Q818" s="1912"/>
      <c r="R818" s="1912"/>
      <c r="S818" s="1912"/>
      <c r="T818" s="1912"/>
      <c r="U818" s="1912"/>
      <c r="V818" s="1912"/>
      <c r="W818" s="1912"/>
      <c r="X818" s="1912"/>
      <c r="Y818" s="1912"/>
      <c r="Z818" s="1912"/>
      <c r="AA818" s="1912"/>
      <c r="AB818" s="1912"/>
      <c r="AC818" s="1912"/>
      <c r="AD818" s="1912"/>
      <c r="AE818" s="1912"/>
      <c r="AF818" s="1912"/>
      <c r="AG818" s="1912"/>
    </row>
    <row r="819">
      <c r="A819" s="1912"/>
      <c r="B819" s="1912"/>
      <c r="C819" s="1912"/>
      <c r="D819" s="1912"/>
      <c r="E819" s="1912"/>
      <c r="F819" s="1912"/>
      <c r="G819" s="1912"/>
      <c r="H819" s="1912"/>
      <c r="I819" s="1912"/>
      <c r="J819" s="1912"/>
      <c r="K819" s="1912"/>
      <c r="L819" s="1912"/>
      <c r="M819" s="1912"/>
      <c r="N819" s="1912"/>
      <c r="O819" s="1912"/>
      <c r="P819" s="1912"/>
      <c r="Q819" s="1912"/>
      <c r="R819" s="1912"/>
      <c r="S819" s="1912"/>
      <c r="T819" s="1912"/>
      <c r="U819" s="1912"/>
      <c r="V819" s="1912"/>
      <c r="W819" s="1912"/>
      <c r="X819" s="1912"/>
      <c r="Y819" s="1912"/>
      <c r="Z819" s="1912"/>
      <c r="AA819" s="1912"/>
      <c r="AB819" s="1912"/>
      <c r="AC819" s="1912"/>
      <c r="AD819" s="1912"/>
      <c r="AE819" s="1912"/>
      <c r="AF819" s="1912"/>
      <c r="AG819" s="1912"/>
    </row>
    <row r="820">
      <c r="A820" s="1912"/>
      <c r="B820" s="1912"/>
      <c r="C820" s="1912"/>
      <c r="D820" s="1912"/>
      <c r="E820" s="1912"/>
      <c r="F820" s="1912"/>
      <c r="G820" s="1912"/>
      <c r="H820" s="1912"/>
      <c r="I820" s="1912"/>
      <c r="J820" s="1912"/>
      <c r="K820" s="1912"/>
      <c r="L820" s="1912"/>
      <c r="M820" s="1912"/>
      <c r="N820" s="1912"/>
      <c r="O820" s="1912"/>
      <c r="P820" s="1912"/>
      <c r="Q820" s="1912"/>
      <c r="R820" s="1912"/>
      <c r="S820" s="1912"/>
      <c r="T820" s="1912"/>
      <c r="U820" s="1912"/>
      <c r="V820" s="1912"/>
      <c r="W820" s="1912"/>
      <c r="X820" s="1912"/>
      <c r="Y820" s="1912"/>
      <c r="Z820" s="1912"/>
      <c r="AA820" s="1912"/>
      <c r="AB820" s="1912"/>
      <c r="AC820" s="1912"/>
      <c r="AD820" s="1912"/>
      <c r="AE820" s="1912"/>
      <c r="AF820" s="1912"/>
      <c r="AG820" s="1912"/>
    </row>
    <row r="821">
      <c r="A821" s="1912"/>
      <c r="B821" s="1912"/>
      <c r="C821" s="1912"/>
      <c r="D821" s="1912"/>
      <c r="E821" s="1912"/>
      <c r="F821" s="1912"/>
      <c r="G821" s="1912"/>
      <c r="H821" s="1912"/>
      <c r="I821" s="1912"/>
      <c r="J821" s="1912"/>
      <c r="K821" s="1912"/>
      <c r="L821" s="1912"/>
      <c r="M821" s="1912"/>
      <c r="N821" s="1912"/>
      <c r="O821" s="1912"/>
      <c r="P821" s="1912"/>
      <c r="Q821" s="1912"/>
      <c r="R821" s="1912"/>
      <c r="S821" s="1912"/>
      <c r="T821" s="1912"/>
      <c r="U821" s="1912"/>
      <c r="V821" s="1912"/>
      <c r="W821" s="1912"/>
      <c r="X821" s="1912"/>
      <c r="Y821" s="1912"/>
      <c r="Z821" s="1912"/>
      <c r="AA821" s="1912"/>
      <c r="AB821" s="1912"/>
      <c r="AC821" s="1912"/>
      <c r="AD821" s="1912"/>
      <c r="AE821" s="1912"/>
      <c r="AF821" s="1912"/>
      <c r="AG821" s="1912"/>
    </row>
    <row r="822">
      <c r="A822" s="1912"/>
      <c r="B822" s="1912"/>
      <c r="C822" s="1912"/>
      <c r="D822" s="1912"/>
      <c r="E822" s="1912"/>
      <c r="F822" s="1912"/>
      <c r="G822" s="1912"/>
      <c r="H822" s="1912"/>
      <c r="I822" s="1912"/>
      <c r="J822" s="1912"/>
      <c r="K822" s="1912"/>
      <c r="L822" s="1912"/>
      <c r="M822" s="1912"/>
      <c r="N822" s="1912"/>
      <c r="O822" s="1912"/>
      <c r="P822" s="1912"/>
      <c r="Q822" s="1912"/>
      <c r="R822" s="1912"/>
      <c r="S822" s="1912"/>
      <c r="T822" s="1912"/>
      <c r="U822" s="1912"/>
      <c r="V822" s="1912"/>
      <c r="W822" s="1912"/>
      <c r="X822" s="1912"/>
      <c r="Y822" s="1912"/>
      <c r="Z822" s="1912"/>
      <c r="AA822" s="1912"/>
      <c r="AB822" s="1912"/>
      <c r="AC822" s="1912"/>
      <c r="AD822" s="1912"/>
      <c r="AE822" s="1912"/>
      <c r="AF822" s="1912"/>
      <c r="AG822" s="1912"/>
    </row>
    <row r="823">
      <c r="A823" s="1912"/>
      <c r="B823" s="1912"/>
      <c r="C823" s="1912"/>
      <c r="D823" s="1912"/>
      <c r="E823" s="1912"/>
      <c r="F823" s="1912"/>
      <c r="G823" s="1912"/>
      <c r="H823" s="1912"/>
      <c r="I823" s="1912"/>
      <c r="J823" s="1912"/>
      <c r="K823" s="1912"/>
      <c r="L823" s="1912"/>
      <c r="M823" s="1912"/>
      <c r="N823" s="1912"/>
      <c r="O823" s="1912"/>
      <c r="P823" s="1912"/>
      <c r="Q823" s="1912"/>
      <c r="R823" s="1912"/>
      <c r="S823" s="1912"/>
      <c r="T823" s="1912"/>
      <c r="U823" s="1912"/>
      <c r="V823" s="1912"/>
      <c r="W823" s="1912"/>
      <c r="X823" s="1912"/>
      <c r="Y823" s="1912"/>
      <c r="Z823" s="1912"/>
      <c r="AA823" s="1912"/>
      <c r="AB823" s="1912"/>
      <c r="AC823" s="1912"/>
      <c r="AD823" s="1912"/>
      <c r="AE823" s="1912"/>
      <c r="AF823" s="1912"/>
      <c r="AG823" s="1912"/>
    </row>
    <row r="824">
      <c r="A824" s="1912"/>
      <c r="B824" s="1912"/>
      <c r="C824" s="1912"/>
      <c r="D824" s="1912"/>
      <c r="E824" s="1912"/>
      <c r="F824" s="1912"/>
      <c r="G824" s="1912"/>
      <c r="H824" s="1912"/>
      <c r="I824" s="1912"/>
      <c r="J824" s="1912"/>
      <c r="K824" s="1912"/>
      <c r="L824" s="1912"/>
      <c r="M824" s="1912"/>
      <c r="N824" s="1912"/>
      <c r="O824" s="1912"/>
      <c r="P824" s="1912"/>
      <c r="Q824" s="1912"/>
      <c r="R824" s="1912"/>
      <c r="S824" s="1912"/>
      <c r="T824" s="1912"/>
      <c r="U824" s="1912"/>
      <c r="V824" s="1912"/>
      <c r="W824" s="1912"/>
      <c r="X824" s="1912"/>
      <c r="Y824" s="1912"/>
      <c r="Z824" s="1912"/>
      <c r="AA824" s="1912"/>
      <c r="AB824" s="1912"/>
      <c r="AC824" s="1912"/>
      <c r="AD824" s="1912"/>
      <c r="AE824" s="1912"/>
      <c r="AF824" s="1912"/>
      <c r="AG824" s="1912"/>
    </row>
    <row r="825">
      <c r="A825" s="1912"/>
      <c r="B825" s="1912"/>
      <c r="C825" s="1912"/>
      <c r="D825" s="1912"/>
      <c r="E825" s="1912"/>
      <c r="F825" s="1912"/>
      <c r="G825" s="1912"/>
      <c r="H825" s="1912"/>
      <c r="I825" s="1912"/>
      <c r="J825" s="1912"/>
      <c r="K825" s="1912"/>
      <c r="L825" s="1912"/>
      <c r="M825" s="1912"/>
      <c r="N825" s="1912"/>
      <c r="O825" s="1912"/>
      <c r="P825" s="1912"/>
      <c r="Q825" s="1912"/>
      <c r="R825" s="1912"/>
      <c r="S825" s="1912"/>
      <c r="T825" s="1912"/>
      <c r="U825" s="1912"/>
      <c r="V825" s="1912"/>
      <c r="W825" s="1912"/>
      <c r="X825" s="1912"/>
      <c r="Y825" s="1912"/>
      <c r="Z825" s="1912"/>
      <c r="AA825" s="1912"/>
      <c r="AB825" s="1912"/>
      <c r="AC825" s="1912"/>
      <c r="AD825" s="1912"/>
      <c r="AE825" s="1912"/>
      <c r="AF825" s="1912"/>
      <c r="AG825" s="1912"/>
    </row>
    <row r="826">
      <c r="A826" s="1912"/>
      <c r="B826" s="1912"/>
      <c r="C826" s="1912"/>
      <c r="D826" s="1912"/>
      <c r="E826" s="1912"/>
      <c r="F826" s="1912"/>
      <c r="G826" s="1912"/>
      <c r="H826" s="1912"/>
      <c r="I826" s="1912"/>
      <c r="J826" s="1912"/>
      <c r="K826" s="1912"/>
      <c r="L826" s="1912"/>
      <c r="M826" s="1912"/>
      <c r="N826" s="1912"/>
      <c r="O826" s="1912"/>
      <c r="P826" s="1912"/>
      <c r="Q826" s="1912"/>
      <c r="R826" s="1912"/>
      <c r="S826" s="1912"/>
      <c r="T826" s="1912"/>
      <c r="U826" s="1912"/>
      <c r="V826" s="1912"/>
      <c r="W826" s="1912"/>
      <c r="X826" s="1912"/>
      <c r="Y826" s="1912"/>
      <c r="Z826" s="1912"/>
      <c r="AA826" s="1912"/>
      <c r="AB826" s="1912"/>
      <c r="AC826" s="1912"/>
      <c r="AD826" s="1912"/>
      <c r="AE826" s="1912"/>
      <c r="AF826" s="1912"/>
      <c r="AG826" s="1912"/>
    </row>
    <row r="827">
      <c r="A827" s="1912"/>
      <c r="B827" s="1912"/>
      <c r="C827" s="1912"/>
      <c r="D827" s="1912"/>
      <c r="E827" s="1912"/>
      <c r="F827" s="1912"/>
      <c r="G827" s="1912"/>
      <c r="H827" s="1912"/>
      <c r="I827" s="1912"/>
      <c r="J827" s="1912"/>
      <c r="K827" s="1912"/>
      <c r="L827" s="1912"/>
      <c r="M827" s="1912"/>
      <c r="N827" s="1912"/>
      <c r="O827" s="1912"/>
      <c r="P827" s="1912"/>
      <c r="Q827" s="1912"/>
      <c r="R827" s="1912"/>
      <c r="S827" s="1912"/>
      <c r="T827" s="1912"/>
      <c r="U827" s="1912"/>
      <c r="V827" s="1912"/>
      <c r="W827" s="1912"/>
      <c r="X827" s="1912"/>
      <c r="Y827" s="1912"/>
      <c r="Z827" s="1912"/>
      <c r="AA827" s="1912"/>
      <c r="AB827" s="1912"/>
      <c r="AC827" s="1912"/>
      <c r="AD827" s="1912"/>
      <c r="AE827" s="1912"/>
      <c r="AF827" s="1912"/>
      <c r="AG827" s="1912"/>
    </row>
    <row r="828">
      <c r="A828" s="1912"/>
      <c r="B828" s="1912"/>
      <c r="C828" s="1912"/>
      <c r="D828" s="1912"/>
      <c r="E828" s="1912"/>
      <c r="F828" s="1912"/>
      <c r="G828" s="1912"/>
      <c r="H828" s="1912"/>
      <c r="I828" s="1912"/>
      <c r="J828" s="1912"/>
      <c r="K828" s="1912"/>
      <c r="L828" s="1912"/>
      <c r="M828" s="1912"/>
      <c r="N828" s="1912"/>
      <c r="O828" s="1912"/>
      <c r="P828" s="1912"/>
      <c r="Q828" s="1912"/>
      <c r="R828" s="1912"/>
      <c r="S828" s="1912"/>
      <c r="T828" s="1912"/>
      <c r="U828" s="1912"/>
      <c r="V828" s="1912"/>
      <c r="W828" s="1912"/>
      <c r="X828" s="1912"/>
      <c r="Y828" s="1912"/>
      <c r="Z828" s="1912"/>
      <c r="AA828" s="1912"/>
      <c r="AB828" s="1912"/>
      <c r="AC828" s="1912"/>
      <c r="AD828" s="1912"/>
      <c r="AE828" s="1912"/>
      <c r="AF828" s="1912"/>
      <c r="AG828" s="1912"/>
    </row>
    <row r="829">
      <c r="A829" s="1912"/>
      <c r="B829" s="1912"/>
      <c r="C829" s="1912"/>
      <c r="D829" s="1912"/>
      <c r="E829" s="1912"/>
      <c r="F829" s="1912"/>
      <c r="G829" s="1912"/>
      <c r="H829" s="1912"/>
      <c r="I829" s="1912"/>
      <c r="J829" s="1912"/>
      <c r="K829" s="1912"/>
      <c r="L829" s="1912"/>
      <c r="M829" s="1912"/>
      <c r="N829" s="1912"/>
      <c r="O829" s="1912"/>
      <c r="P829" s="1912"/>
      <c r="Q829" s="1912"/>
      <c r="R829" s="1912"/>
      <c r="S829" s="1912"/>
      <c r="T829" s="1912"/>
      <c r="U829" s="1912"/>
      <c r="V829" s="1912"/>
      <c r="W829" s="1912"/>
      <c r="X829" s="1912"/>
      <c r="Y829" s="1912"/>
      <c r="Z829" s="1912"/>
      <c r="AA829" s="1912"/>
      <c r="AB829" s="1912"/>
      <c r="AC829" s="1912"/>
      <c r="AD829" s="1912"/>
      <c r="AE829" s="1912"/>
      <c r="AF829" s="1912"/>
      <c r="AG829" s="1912"/>
    </row>
    <row r="830">
      <c r="A830" s="1912"/>
      <c r="B830" s="1912"/>
      <c r="C830" s="1912"/>
      <c r="D830" s="1912"/>
      <c r="E830" s="1912"/>
      <c r="F830" s="1912"/>
      <c r="G830" s="1912"/>
      <c r="H830" s="1912"/>
      <c r="I830" s="1912"/>
      <c r="J830" s="1912"/>
      <c r="K830" s="1912"/>
      <c r="L830" s="1912"/>
      <c r="M830" s="1912"/>
      <c r="N830" s="1912"/>
      <c r="O830" s="1912"/>
      <c r="P830" s="1912"/>
      <c r="Q830" s="1912"/>
      <c r="R830" s="1912"/>
      <c r="S830" s="1912"/>
      <c r="T830" s="1912"/>
      <c r="U830" s="1912"/>
      <c r="V830" s="1912"/>
      <c r="W830" s="1912"/>
      <c r="X830" s="1912"/>
      <c r="Y830" s="1912"/>
      <c r="Z830" s="1912"/>
      <c r="AA830" s="1912"/>
      <c r="AB830" s="1912"/>
      <c r="AC830" s="1912"/>
      <c r="AD830" s="1912"/>
      <c r="AE830" s="1912"/>
      <c r="AF830" s="1912"/>
      <c r="AG830" s="1912"/>
    </row>
    <row r="831">
      <c r="A831" s="1912"/>
      <c r="B831" s="1912"/>
      <c r="C831" s="1912"/>
      <c r="D831" s="1912"/>
      <c r="E831" s="1912"/>
      <c r="F831" s="1912"/>
      <c r="G831" s="1912"/>
      <c r="H831" s="1912"/>
      <c r="I831" s="1912"/>
      <c r="J831" s="1912"/>
      <c r="K831" s="1912"/>
      <c r="L831" s="1912"/>
      <c r="M831" s="1912"/>
      <c r="N831" s="1912"/>
      <c r="O831" s="1912"/>
      <c r="P831" s="1912"/>
      <c r="Q831" s="1912"/>
      <c r="R831" s="1912"/>
      <c r="S831" s="1912"/>
      <c r="T831" s="1912"/>
      <c r="U831" s="1912"/>
      <c r="V831" s="1912"/>
      <c r="W831" s="1912"/>
      <c r="X831" s="1912"/>
      <c r="Y831" s="1912"/>
      <c r="Z831" s="1912"/>
      <c r="AA831" s="1912"/>
      <c r="AB831" s="1912"/>
      <c r="AC831" s="1912"/>
      <c r="AD831" s="1912"/>
      <c r="AE831" s="1912"/>
      <c r="AF831" s="1912"/>
      <c r="AG831" s="1912"/>
    </row>
    <row r="832">
      <c r="A832" s="1912"/>
      <c r="B832" s="1912"/>
      <c r="C832" s="1912"/>
      <c r="D832" s="1912"/>
      <c r="E832" s="1912"/>
      <c r="F832" s="1912"/>
      <c r="G832" s="1912"/>
      <c r="H832" s="1912"/>
      <c r="I832" s="1912"/>
      <c r="J832" s="1912"/>
      <c r="K832" s="1912"/>
      <c r="L832" s="1912"/>
      <c r="M832" s="1912"/>
      <c r="N832" s="1912"/>
      <c r="O832" s="1912"/>
      <c r="P832" s="1912"/>
      <c r="Q832" s="1912"/>
      <c r="R832" s="1912"/>
      <c r="S832" s="1912"/>
      <c r="T832" s="1912"/>
      <c r="U832" s="1912"/>
      <c r="V832" s="1912"/>
      <c r="W832" s="1912"/>
      <c r="X832" s="1912"/>
      <c r="Y832" s="1912"/>
      <c r="Z832" s="1912"/>
      <c r="AA832" s="1912"/>
      <c r="AB832" s="1912"/>
      <c r="AC832" s="1912"/>
      <c r="AD832" s="1912"/>
      <c r="AE832" s="1912"/>
      <c r="AF832" s="1912"/>
      <c r="AG832" s="1912"/>
    </row>
    <row r="833">
      <c r="A833" s="1912"/>
      <c r="B833" s="1912"/>
      <c r="C833" s="1912"/>
      <c r="D833" s="1912"/>
      <c r="E833" s="1912"/>
      <c r="F833" s="1912"/>
      <c r="G833" s="1912"/>
      <c r="H833" s="1912"/>
      <c r="I833" s="1912"/>
      <c r="J833" s="1912"/>
      <c r="K833" s="1912"/>
      <c r="L833" s="1912"/>
      <c r="M833" s="1912"/>
      <c r="N833" s="1912"/>
      <c r="O833" s="1912"/>
      <c r="P833" s="1912"/>
      <c r="Q833" s="1912"/>
      <c r="R833" s="1912"/>
      <c r="S833" s="1912"/>
      <c r="T833" s="1912"/>
      <c r="U833" s="1912"/>
      <c r="V833" s="1912"/>
      <c r="W833" s="1912"/>
      <c r="X833" s="1912"/>
      <c r="Y833" s="1912"/>
      <c r="Z833" s="1912"/>
      <c r="AA833" s="1912"/>
      <c r="AB833" s="1912"/>
      <c r="AC833" s="1912"/>
      <c r="AD833" s="1912"/>
      <c r="AE833" s="1912"/>
      <c r="AF833" s="1912"/>
      <c r="AG833" s="1912"/>
    </row>
    <row r="834">
      <c r="A834" s="1912"/>
      <c r="B834" s="1912"/>
      <c r="C834" s="1912"/>
      <c r="D834" s="1912"/>
      <c r="E834" s="1912"/>
      <c r="F834" s="1912"/>
      <c r="G834" s="1912"/>
      <c r="H834" s="1912"/>
      <c r="I834" s="1912"/>
      <c r="J834" s="1912"/>
      <c r="K834" s="1912"/>
      <c r="L834" s="1912"/>
      <c r="M834" s="1912"/>
      <c r="N834" s="1912"/>
      <c r="O834" s="1912"/>
      <c r="P834" s="1912"/>
      <c r="Q834" s="1912"/>
      <c r="R834" s="1912"/>
      <c r="S834" s="1912"/>
      <c r="T834" s="1912"/>
      <c r="U834" s="1912"/>
      <c r="V834" s="1912"/>
      <c r="W834" s="1912"/>
      <c r="X834" s="1912"/>
      <c r="Y834" s="1912"/>
      <c r="Z834" s="1912"/>
      <c r="AA834" s="1912"/>
      <c r="AB834" s="1912"/>
      <c r="AC834" s="1912"/>
      <c r="AD834" s="1912"/>
      <c r="AE834" s="1912"/>
      <c r="AF834" s="1912"/>
      <c r="AG834" s="1912"/>
    </row>
    <row r="835">
      <c r="A835" s="1912"/>
      <c r="B835" s="1912"/>
      <c r="C835" s="1912"/>
      <c r="D835" s="1912"/>
      <c r="E835" s="1912"/>
      <c r="F835" s="1912"/>
      <c r="G835" s="1912"/>
      <c r="H835" s="1912"/>
      <c r="I835" s="1912"/>
      <c r="J835" s="1912"/>
      <c r="K835" s="1912"/>
      <c r="L835" s="1912"/>
      <c r="M835" s="1912"/>
      <c r="N835" s="1912"/>
      <c r="O835" s="1912"/>
      <c r="P835" s="1912"/>
      <c r="Q835" s="1912"/>
      <c r="R835" s="1912"/>
      <c r="S835" s="1912"/>
      <c r="T835" s="1912"/>
      <c r="U835" s="1912"/>
      <c r="V835" s="1912"/>
      <c r="W835" s="1912"/>
      <c r="X835" s="1912"/>
      <c r="Y835" s="1912"/>
      <c r="Z835" s="1912"/>
      <c r="AA835" s="1912"/>
      <c r="AB835" s="1912"/>
      <c r="AC835" s="1912"/>
      <c r="AD835" s="1912"/>
      <c r="AE835" s="1912"/>
      <c r="AF835" s="1912"/>
      <c r="AG835" s="1912"/>
    </row>
    <row r="836">
      <c r="A836" s="1912"/>
      <c r="B836" s="1912"/>
      <c r="C836" s="1912"/>
      <c r="D836" s="1912"/>
      <c r="E836" s="1912"/>
      <c r="F836" s="1912"/>
      <c r="G836" s="1912"/>
      <c r="H836" s="1912"/>
      <c r="I836" s="1912"/>
      <c r="J836" s="1912"/>
      <c r="K836" s="1912"/>
      <c r="L836" s="1912"/>
      <c r="M836" s="1912"/>
      <c r="N836" s="1912"/>
      <c r="O836" s="1912"/>
      <c r="P836" s="1912"/>
      <c r="Q836" s="1912"/>
      <c r="R836" s="1912"/>
      <c r="S836" s="1912"/>
      <c r="T836" s="1912"/>
      <c r="U836" s="1912"/>
      <c r="V836" s="1912"/>
      <c r="W836" s="1912"/>
      <c r="X836" s="1912"/>
      <c r="Y836" s="1912"/>
      <c r="Z836" s="1912"/>
      <c r="AA836" s="1912"/>
      <c r="AB836" s="1912"/>
      <c r="AC836" s="1912"/>
      <c r="AD836" s="1912"/>
      <c r="AE836" s="1912"/>
      <c r="AF836" s="1912"/>
      <c r="AG836" s="1912"/>
    </row>
    <row r="837">
      <c r="A837" s="1912"/>
      <c r="B837" s="1912"/>
      <c r="C837" s="1912"/>
      <c r="D837" s="1912"/>
      <c r="E837" s="1912"/>
      <c r="F837" s="1912"/>
      <c r="G837" s="1912"/>
      <c r="H837" s="1912"/>
      <c r="I837" s="1912"/>
      <c r="J837" s="1912"/>
      <c r="K837" s="1912"/>
      <c r="L837" s="1912"/>
      <c r="M837" s="1912"/>
      <c r="N837" s="1912"/>
      <c r="O837" s="1912"/>
      <c r="P837" s="1912"/>
      <c r="Q837" s="1912"/>
      <c r="R837" s="1912"/>
      <c r="S837" s="1912"/>
      <c r="T837" s="1912"/>
      <c r="U837" s="1912"/>
      <c r="V837" s="1912"/>
      <c r="W837" s="1912"/>
      <c r="X837" s="1912"/>
      <c r="Y837" s="1912"/>
      <c r="Z837" s="1912"/>
      <c r="AA837" s="1912"/>
      <c r="AB837" s="1912"/>
      <c r="AC837" s="1912"/>
      <c r="AD837" s="1912"/>
      <c r="AE837" s="1912"/>
      <c r="AF837" s="1912"/>
      <c r="AG837" s="1912"/>
    </row>
    <row r="838">
      <c r="A838" s="1912"/>
      <c r="B838" s="1912"/>
      <c r="C838" s="1912"/>
      <c r="D838" s="1912"/>
      <c r="E838" s="1912"/>
      <c r="F838" s="1912"/>
      <c r="G838" s="1912"/>
      <c r="H838" s="1912"/>
      <c r="I838" s="1912"/>
      <c r="J838" s="1912"/>
      <c r="K838" s="1912"/>
      <c r="L838" s="1912"/>
      <c r="M838" s="1912"/>
      <c r="N838" s="1912"/>
      <c r="O838" s="1912"/>
      <c r="P838" s="1912"/>
      <c r="Q838" s="1912"/>
      <c r="R838" s="1912"/>
      <c r="S838" s="1912"/>
      <c r="T838" s="1912"/>
      <c r="U838" s="1912"/>
      <c r="V838" s="1912"/>
      <c r="W838" s="1912"/>
      <c r="X838" s="1912"/>
      <c r="Y838" s="1912"/>
      <c r="Z838" s="1912"/>
      <c r="AA838" s="1912"/>
      <c r="AB838" s="1912"/>
      <c r="AC838" s="1912"/>
      <c r="AD838" s="1912"/>
      <c r="AE838" s="1912"/>
      <c r="AF838" s="1912"/>
      <c r="AG838" s="1912"/>
    </row>
    <row r="839">
      <c r="A839" s="1912"/>
      <c r="B839" s="1912"/>
      <c r="C839" s="1912"/>
      <c r="D839" s="1912"/>
      <c r="E839" s="1912"/>
      <c r="F839" s="1912"/>
      <c r="G839" s="1912"/>
      <c r="H839" s="1912"/>
      <c r="I839" s="1912"/>
      <c r="J839" s="1912"/>
      <c r="K839" s="1912"/>
      <c r="L839" s="1912"/>
      <c r="M839" s="1912"/>
      <c r="N839" s="1912"/>
      <c r="O839" s="1912"/>
      <c r="P839" s="1912"/>
      <c r="Q839" s="1912"/>
      <c r="R839" s="1912"/>
      <c r="S839" s="1912"/>
      <c r="T839" s="1912"/>
      <c r="U839" s="1912"/>
      <c r="V839" s="1912"/>
      <c r="W839" s="1912"/>
      <c r="X839" s="1912"/>
      <c r="Y839" s="1912"/>
      <c r="Z839" s="1912"/>
      <c r="AA839" s="1912"/>
      <c r="AB839" s="1912"/>
      <c r="AC839" s="1912"/>
      <c r="AD839" s="1912"/>
      <c r="AE839" s="1912"/>
      <c r="AF839" s="1912"/>
      <c r="AG839" s="1912"/>
    </row>
    <row r="840">
      <c r="A840" s="1912"/>
      <c r="B840" s="1912"/>
      <c r="C840" s="1912"/>
      <c r="D840" s="1912"/>
      <c r="E840" s="1912"/>
      <c r="F840" s="1912"/>
      <c r="G840" s="1912"/>
      <c r="H840" s="1912"/>
      <c r="I840" s="1912"/>
      <c r="J840" s="1912"/>
      <c r="K840" s="1912"/>
      <c r="L840" s="1912"/>
      <c r="M840" s="1912"/>
      <c r="N840" s="1912"/>
      <c r="O840" s="1912"/>
      <c r="P840" s="1912"/>
      <c r="Q840" s="1912"/>
      <c r="R840" s="1912"/>
      <c r="S840" s="1912"/>
      <c r="T840" s="1912"/>
      <c r="U840" s="1912"/>
      <c r="V840" s="1912"/>
      <c r="W840" s="1912"/>
      <c r="X840" s="1912"/>
      <c r="Y840" s="1912"/>
      <c r="Z840" s="1912"/>
      <c r="AA840" s="1912"/>
      <c r="AB840" s="1912"/>
      <c r="AC840" s="1912"/>
      <c r="AD840" s="1912"/>
      <c r="AE840" s="1912"/>
      <c r="AF840" s="1912"/>
      <c r="AG840" s="1912"/>
    </row>
    <row r="841">
      <c r="A841" s="1912"/>
      <c r="B841" s="1912"/>
      <c r="C841" s="1912"/>
      <c r="D841" s="1912"/>
      <c r="E841" s="1912"/>
      <c r="F841" s="1912"/>
      <c r="G841" s="1912"/>
      <c r="H841" s="1912"/>
      <c r="I841" s="1912"/>
      <c r="J841" s="1912"/>
      <c r="K841" s="1912"/>
      <c r="L841" s="1912"/>
      <c r="M841" s="1912"/>
      <c r="N841" s="1912"/>
      <c r="O841" s="1912"/>
      <c r="P841" s="1912"/>
      <c r="Q841" s="1912"/>
      <c r="R841" s="1912"/>
      <c r="S841" s="1912"/>
      <c r="T841" s="1912"/>
      <c r="U841" s="1912"/>
      <c r="V841" s="1912"/>
      <c r="W841" s="1912"/>
      <c r="X841" s="1912"/>
      <c r="Y841" s="1912"/>
      <c r="Z841" s="1912"/>
      <c r="AA841" s="1912"/>
      <c r="AB841" s="1912"/>
      <c r="AC841" s="1912"/>
      <c r="AD841" s="1912"/>
      <c r="AE841" s="1912"/>
      <c r="AF841" s="1912"/>
      <c r="AG841" s="1912"/>
    </row>
    <row r="842">
      <c r="A842" s="1912"/>
      <c r="B842" s="1912"/>
      <c r="C842" s="1912"/>
      <c r="D842" s="1912"/>
      <c r="E842" s="1912"/>
      <c r="F842" s="1912"/>
      <c r="G842" s="1912"/>
      <c r="H842" s="1912"/>
      <c r="I842" s="1912"/>
      <c r="J842" s="1912"/>
      <c r="K842" s="1912"/>
      <c r="L842" s="1912"/>
      <c r="M842" s="1912"/>
      <c r="N842" s="1912"/>
      <c r="O842" s="1912"/>
      <c r="P842" s="1912"/>
      <c r="Q842" s="1912"/>
      <c r="R842" s="1912"/>
      <c r="S842" s="1912"/>
      <c r="T842" s="1912"/>
      <c r="U842" s="1912"/>
      <c r="V842" s="1912"/>
      <c r="W842" s="1912"/>
      <c r="X842" s="1912"/>
      <c r="Y842" s="1912"/>
      <c r="Z842" s="1912"/>
      <c r="AA842" s="1912"/>
      <c r="AB842" s="1912"/>
      <c r="AC842" s="1912"/>
      <c r="AD842" s="1912"/>
      <c r="AE842" s="1912"/>
      <c r="AF842" s="1912"/>
      <c r="AG842" s="1912"/>
    </row>
    <row r="843">
      <c r="A843" s="1912"/>
      <c r="B843" s="1912"/>
      <c r="C843" s="1912"/>
      <c r="D843" s="1912"/>
      <c r="E843" s="1912"/>
      <c r="F843" s="1912"/>
      <c r="G843" s="1912"/>
      <c r="H843" s="1912"/>
      <c r="I843" s="1912"/>
      <c r="J843" s="1912"/>
      <c r="K843" s="1912"/>
      <c r="L843" s="1912"/>
      <c r="M843" s="1912"/>
      <c r="N843" s="1912"/>
      <c r="O843" s="1912"/>
      <c r="P843" s="1912"/>
      <c r="Q843" s="1912"/>
      <c r="R843" s="1912"/>
      <c r="S843" s="1912"/>
      <c r="T843" s="1912"/>
      <c r="U843" s="1912"/>
      <c r="V843" s="1912"/>
      <c r="W843" s="1912"/>
      <c r="X843" s="1912"/>
      <c r="Y843" s="1912"/>
      <c r="Z843" s="1912"/>
      <c r="AA843" s="1912"/>
      <c r="AB843" s="1912"/>
      <c r="AC843" s="1912"/>
      <c r="AD843" s="1912"/>
      <c r="AE843" s="1912"/>
      <c r="AF843" s="1912"/>
      <c r="AG843" s="1912"/>
    </row>
    <row r="844">
      <c r="A844" s="1912"/>
      <c r="B844" s="1912"/>
      <c r="C844" s="1912"/>
      <c r="D844" s="1912"/>
      <c r="E844" s="1912"/>
      <c r="F844" s="1912"/>
      <c r="G844" s="1912"/>
      <c r="H844" s="1912"/>
      <c r="I844" s="1912"/>
      <c r="J844" s="1912"/>
      <c r="K844" s="1912"/>
      <c r="L844" s="1912"/>
      <c r="M844" s="1912"/>
      <c r="N844" s="1912"/>
      <c r="O844" s="1912"/>
      <c r="P844" s="1912"/>
      <c r="Q844" s="1912"/>
      <c r="R844" s="1912"/>
      <c r="S844" s="1912"/>
      <c r="T844" s="1912"/>
      <c r="U844" s="1912"/>
      <c r="V844" s="1912"/>
      <c r="W844" s="1912"/>
      <c r="X844" s="1912"/>
      <c r="Y844" s="1912"/>
      <c r="Z844" s="1912"/>
      <c r="AA844" s="1912"/>
      <c r="AB844" s="1912"/>
      <c r="AC844" s="1912"/>
      <c r="AD844" s="1912"/>
      <c r="AE844" s="1912"/>
      <c r="AF844" s="1912"/>
      <c r="AG844" s="1912"/>
    </row>
    <row r="845">
      <c r="A845" s="1912"/>
      <c r="B845" s="1912"/>
      <c r="C845" s="1912"/>
      <c r="D845" s="1912"/>
      <c r="E845" s="1912"/>
      <c r="F845" s="1912"/>
      <c r="G845" s="1912"/>
      <c r="H845" s="1912"/>
      <c r="I845" s="1912"/>
      <c r="J845" s="1912"/>
      <c r="K845" s="1912"/>
      <c r="L845" s="1912"/>
      <c r="M845" s="1912"/>
      <c r="N845" s="1912"/>
      <c r="O845" s="1912"/>
      <c r="P845" s="1912"/>
      <c r="Q845" s="1912"/>
      <c r="R845" s="1912"/>
      <c r="S845" s="1912"/>
      <c r="T845" s="1912"/>
      <c r="U845" s="1912"/>
      <c r="V845" s="1912"/>
      <c r="W845" s="1912"/>
      <c r="X845" s="1912"/>
      <c r="Y845" s="1912"/>
      <c r="Z845" s="1912"/>
      <c r="AA845" s="1912"/>
      <c r="AB845" s="1912"/>
      <c r="AC845" s="1912"/>
      <c r="AD845" s="1912"/>
      <c r="AE845" s="1912"/>
      <c r="AF845" s="1912"/>
      <c r="AG845" s="1912"/>
    </row>
    <row r="846">
      <c r="A846" s="1912"/>
      <c r="B846" s="1912"/>
      <c r="C846" s="1912"/>
      <c r="D846" s="1912"/>
      <c r="E846" s="1912"/>
      <c r="F846" s="1912"/>
      <c r="G846" s="1912"/>
      <c r="H846" s="1912"/>
      <c r="I846" s="1912"/>
      <c r="J846" s="1912"/>
      <c r="K846" s="1912"/>
      <c r="L846" s="1912"/>
      <c r="M846" s="1912"/>
      <c r="N846" s="1912"/>
      <c r="O846" s="1912"/>
      <c r="P846" s="1912"/>
      <c r="Q846" s="1912"/>
      <c r="R846" s="1912"/>
      <c r="S846" s="1912"/>
      <c r="T846" s="1912"/>
      <c r="U846" s="1912"/>
      <c r="V846" s="1912"/>
      <c r="W846" s="1912"/>
      <c r="X846" s="1912"/>
      <c r="Y846" s="1912"/>
      <c r="Z846" s="1912"/>
      <c r="AA846" s="1912"/>
      <c r="AB846" s="1912"/>
      <c r="AC846" s="1912"/>
      <c r="AD846" s="1912"/>
      <c r="AE846" s="1912"/>
      <c r="AF846" s="1912"/>
      <c r="AG846" s="1912"/>
    </row>
    <row r="847">
      <c r="A847" s="1912"/>
      <c r="B847" s="1912"/>
      <c r="C847" s="1912"/>
      <c r="D847" s="1912"/>
      <c r="E847" s="1912"/>
      <c r="F847" s="1912"/>
      <c r="G847" s="1912"/>
      <c r="H847" s="1912"/>
      <c r="I847" s="1912"/>
      <c r="J847" s="1912"/>
      <c r="K847" s="1912"/>
      <c r="L847" s="1912"/>
      <c r="M847" s="1912"/>
      <c r="N847" s="1912"/>
      <c r="O847" s="1912"/>
      <c r="P847" s="1912"/>
      <c r="Q847" s="1912"/>
      <c r="R847" s="1912"/>
      <c r="S847" s="1912"/>
      <c r="T847" s="1912"/>
      <c r="U847" s="1912"/>
      <c r="V847" s="1912"/>
      <c r="W847" s="1912"/>
      <c r="X847" s="1912"/>
      <c r="Y847" s="1912"/>
      <c r="Z847" s="1912"/>
      <c r="AA847" s="1912"/>
      <c r="AB847" s="1912"/>
      <c r="AC847" s="1912"/>
      <c r="AD847" s="1912"/>
      <c r="AE847" s="1912"/>
      <c r="AF847" s="1912"/>
      <c r="AG847" s="1912"/>
    </row>
    <row r="848">
      <c r="A848" s="1912"/>
      <c r="B848" s="1912"/>
      <c r="C848" s="1912"/>
      <c r="D848" s="1912"/>
      <c r="E848" s="1912"/>
      <c r="F848" s="1912"/>
      <c r="G848" s="1912"/>
      <c r="H848" s="1912"/>
      <c r="I848" s="1912"/>
      <c r="J848" s="1912"/>
      <c r="K848" s="1912"/>
      <c r="L848" s="1912"/>
      <c r="M848" s="1912"/>
      <c r="N848" s="1912"/>
      <c r="O848" s="1912"/>
      <c r="P848" s="1912"/>
      <c r="Q848" s="1912"/>
      <c r="R848" s="1912"/>
      <c r="S848" s="1912"/>
      <c r="T848" s="1912"/>
      <c r="U848" s="1912"/>
      <c r="V848" s="1912"/>
      <c r="W848" s="1912"/>
      <c r="X848" s="1912"/>
      <c r="Y848" s="1912"/>
      <c r="Z848" s="1912"/>
      <c r="AA848" s="1912"/>
      <c r="AB848" s="1912"/>
      <c r="AC848" s="1912"/>
      <c r="AD848" s="1912"/>
      <c r="AE848" s="1912"/>
      <c r="AF848" s="1912"/>
      <c r="AG848" s="1912"/>
    </row>
    <row r="849">
      <c r="A849" s="1912"/>
      <c r="B849" s="1912"/>
      <c r="C849" s="1912"/>
      <c r="D849" s="1912"/>
      <c r="E849" s="1912"/>
      <c r="F849" s="1912"/>
      <c r="G849" s="1912"/>
      <c r="H849" s="1912"/>
      <c r="I849" s="1912"/>
      <c r="J849" s="1912"/>
      <c r="K849" s="1912"/>
      <c r="L849" s="1912"/>
      <c r="M849" s="1912"/>
      <c r="N849" s="1912"/>
      <c r="O849" s="1912"/>
      <c r="P849" s="1912"/>
      <c r="Q849" s="1912"/>
      <c r="R849" s="1912"/>
      <c r="S849" s="1912"/>
      <c r="T849" s="1912"/>
      <c r="U849" s="1912"/>
      <c r="V849" s="1912"/>
      <c r="W849" s="1912"/>
      <c r="X849" s="1912"/>
      <c r="Y849" s="1912"/>
      <c r="Z849" s="1912"/>
      <c r="AA849" s="1912"/>
      <c r="AB849" s="1912"/>
      <c r="AC849" s="1912"/>
      <c r="AD849" s="1912"/>
      <c r="AE849" s="1912"/>
      <c r="AF849" s="1912"/>
      <c r="AG849" s="1912"/>
    </row>
    <row r="850">
      <c r="A850" s="1912"/>
      <c r="B850" s="1912"/>
      <c r="C850" s="1912"/>
      <c r="D850" s="1912"/>
      <c r="E850" s="1912"/>
      <c r="F850" s="1912"/>
      <c r="G850" s="1912"/>
      <c r="H850" s="1912"/>
      <c r="I850" s="1912"/>
      <c r="J850" s="1912"/>
      <c r="K850" s="1912"/>
      <c r="L850" s="1912"/>
      <c r="M850" s="1912"/>
      <c r="N850" s="1912"/>
      <c r="O850" s="1912"/>
      <c r="P850" s="1912"/>
      <c r="Q850" s="1912"/>
      <c r="R850" s="1912"/>
      <c r="S850" s="1912"/>
      <c r="T850" s="1912"/>
      <c r="U850" s="1912"/>
      <c r="V850" s="1912"/>
      <c r="W850" s="1912"/>
      <c r="X850" s="1912"/>
      <c r="Y850" s="1912"/>
      <c r="Z850" s="1912"/>
      <c r="AA850" s="1912"/>
      <c r="AB850" s="1912"/>
      <c r="AC850" s="1912"/>
      <c r="AD850" s="1912"/>
      <c r="AE850" s="1912"/>
      <c r="AF850" s="1912"/>
      <c r="AG850" s="1912"/>
    </row>
    <row r="851">
      <c r="A851" s="1912"/>
      <c r="B851" s="1912"/>
      <c r="C851" s="1912"/>
      <c r="D851" s="1912"/>
      <c r="E851" s="1912"/>
      <c r="F851" s="1912"/>
      <c r="G851" s="1912"/>
      <c r="H851" s="1912"/>
      <c r="I851" s="1912"/>
      <c r="J851" s="1912"/>
      <c r="K851" s="1912"/>
      <c r="L851" s="1912"/>
      <c r="M851" s="1912"/>
      <c r="N851" s="1912"/>
      <c r="O851" s="1912"/>
      <c r="P851" s="1912"/>
      <c r="Q851" s="1912"/>
      <c r="R851" s="1912"/>
      <c r="S851" s="1912"/>
      <c r="T851" s="1912"/>
      <c r="U851" s="1912"/>
      <c r="V851" s="1912"/>
      <c r="W851" s="1912"/>
      <c r="X851" s="1912"/>
      <c r="Y851" s="1912"/>
      <c r="Z851" s="1912"/>
      <c r="AA851" s="1912"/>
      <c r="AB851" s="1912"/>
      <c r="AC851" s="1912"/>
      <c r="AD851" s="1912"/>
      <c r="AE851" s="1912"/>
      <c r="AF851" s="1912"/>
      <c r="AG851" s="1912"/>
    </row>
    <row r="852">
      <c r="A852" s="1912"/>
      <c r="B852" s="1912"/>
      <c r="C852" s="1912"/>
      <c r="D852" s="1912"/>
      <c r="E852" s="1912"/>
      <c r="F852" s="1912"/>
      <c r="G852" s="1912"/>
      <c r="H852" s="1912"/>
      <c r="I852" s="1912"/>
      <c r="J852" s="1912"/>
      <c r="K852" s="1912"/>
      <c r="L852" s="1912"/>
      <c r="M852" s="1912"/>
      <c r="N852" s="1912"/>
      <c r="O852" s="1912"/>
      <c r="P852" s="1912"/>
      <c r="Q852" s="1912"/>
      <c r="R852" s="1912"/>
      <c r="S852" s="1912"/>
      <c r="T852" s="1912"/>
      <c r="U852" s="1912"/>
      <c r="V852" s="1912"/>
      <c r="W852" s="1912"/>
      <c r="X852" s="1912"/>
      <c r="Y852" s="1912"/>
      <c r="Z852" s="1912"/>
      <c r="AA852" s="1912"/>
      <c r="AB852" s="1912"/>
      <c r="AC852" s="1912"/>
      <c r="AD852" s="1912"/>
      <c r="AE852" s="1912"/>
      <c r="AF852" s="1912"/>
      <c r="AG852" s="1912"/>
    </row>
    <row r="853">
      <c r="A853" s="1912"/>
      <c r="B853" s="1912"/>
      <c r="C853" s="1912"/>
      <c r="D853" s="1912"/>
      <c r="E853" s="1912"/>
      <c r="F853" s="1912"/>
      <c r="G853" s="1912"/>
      <c r="H853" s="1912"/>
      <c r="I853" s="1912"/>
      <c r="J853" s="1912"/>
      <c r="K853" s="1912"/>
      <c r="L853" s="1912"/>
      <c r="M853" s="1912"/>
      <c r="N853" s="1912"/>
      <c r="O853" s="1912"/>
      <c r="P853" s="1912"/>
      <c r="Q853" s="1912"/>
      <c r="R853" s="1912"/>
      <c r="S853" s="1912"/>
      <c r="T853" s="1912"/>
      <c r="U853" s="1912"/>
      <c r="V853" s="1912"/>
      <c r="W853" s="1912"/>
      <c r="X853" s="1912"/>
      <c r="Y853" s="1912"/>
      <c r="Z853" s="1912"/>
      <c r="AA853" s="1912"/>
      <c r="AB853" s="1912"/>
      <c r="AC853" s="1912"/>
      <c r="AD853" s="1912"/>
      <c r="AE853" s="1912"/>
      <c r="AF853" s="1912"/>
      <c r="AG853" s="1912"/>
    </row>
    <row r="854">
      <c r="A854" s="1912"/>
      <c r="B854" s="1912"/>
      <c r="C854" s="1912"/>
      <c r="D854" s="1912"/>
      <c r="E854" s="1912"/>
      <c r="F854" s="1912"/>
      <c r="G854" s="1912"/>
      <c r="H854" s="1912"/>
      <c r="I854" s="1912"/>
      <c r="J854" s="1912"/>
      <c r="K854" s="1912"/>
      <c r="L854" s="1912"/>
      <c r="M854" s="1912"/>
      <c r="N854" s="1912"/>
      <c r="O854" s="1912"/>
      <c r="P854" s="1912"/>
      <c r="Q854" s="1912"/>
      <c r="R854" s="1912"/>
      <c r="S854" s="1912"/>
      <c r="T854" s="1912"/>
      <c r="U854" s="1912"/>
      <c r="V854" s="1912"/>
      <c r="W854" s="1912"/>
      <c r="X854" s="1912"/>
      <c r="Y854" s="1912"/>
      <c r="Z854" s="1912"/>
      <c r="AA854" s="1912"/>
      <c r="AB854" s="1912"/>
      <c r="AC854" s="1912"/>
      <c r="AD854" s="1912"/>
      <c r="AE854" s="1912"/>
      <c r="AF854" s="1912"/>
      <c r="AG854" s="1912"/>
    </row>
    <row r="855">
      <c r="A855" s="1912"/>
      <c r="B855" s="1912"/>
      <c r="C855" s="1912"/>
      <c r="D855" s="1912"/>
      <c r="E855" s="1912"/>
      <c r="F855" s="1912"/>
      <c r="G855" s="1912"/>
      <c r="H855" s="1912"/>
      <c r="I855" s="1912"/>
      <c r="J855" s="1912"/>
      <c r="K855" s="1912"/>
      <c r="L855" s="1912"/>
      <c r="M855" s="1912"/>
      <c r="N855" s="1912"/>
      <c r="O855" s="1912"/>
      <c r="P855" s="1912"/>
      <c r="Q855" s="1912"/>
      <c r="R855" s="1912"/>
      <c r="S855" s="1912"/>
      <c r="T855" s="1912"/>
      <c r="U855" s="1912"/>
      <c r="V855" s="1912"/>
      <c r="W855" s="1912"/>
      <c r="X855" s="1912"/>
      <c r="Y855" s="1912"/>
      <c r="Z855" s="1912"/>
      <c r="AA855" s="1912"/>
      <c r="AB855" s="1912"/>
      <c r="AC855" s="1912"/>
      <c r="AD855" s="1912"/>
      <c r="AE855" s="1912"/>
      <c r="AF855" s="1912"/>
      <c r="AG855" s="1912"/>
    </row>
    <row r="856">
      <c r="A856" s="1912"/>
      <c r="B856" s="1912"/>
      <c r="C856" s="1912"/>
      <c r="D856" s="1912"/>
      <c r="E856" s="1912"/>
      <c r="F856" s="1912"/>
      <c r="G856" s="1912"/>
      <c r="H856" s="1912"/>
      <c r="I856" s="1912"/>
      <c r="J856" s="1912"/>
      <c r="K856" s="1912"/>
      <c r="L856" s="1912"/>
      <c r="M856" s="1912"/>
      <c r="N856" s="1912"/>
      <c r="O856" s="1912"/>
      <c r="P856" s="1912"/>
      <c r="Q856" s="1912"/>
      <c r="R856" s="1912"/>
      <c r="S856" s="1912"/>
      <c r="T856" s="1912"/>
      <c r="U856" s="1912"/>
      <c r="V856" s="1912"/>
      <c r="W856" s="1912"/>
      <c r="X856" s="1912"/>
      <c r="Y856" s="1912"/>
      <c r="Z856" s="1912"/>
      <c r="AA856" s="1912"/>
      <c r="AB856" s="1912"/>
      <c r="AC856" s="1912"/>
      <c r="AD856" s="1912"/>
      <c r="AE856" s="1912"/>
      <c r="AF856" s="1912"/>
      <c r="AG856" s="1912"/>
    </row>
    <row r="857">
      <c r="A857" s="1912"/>
      <c r="B857" s="1912"/>
      <c r="C857" s="1912"/>
      <c r="D857" s="1912"/>
      <c r="E857" s="1912"/>
      <c r="F857" s="1912"/>
      <c r="G857" s="1912"/>
      <c r="H857" s="1912"/>
      <c r="I857" s="1912"/>
      <c r="J857" s="1912"/>
      <c r="K857" s="1912"/>
      <c r="L857" s="1912"/>
      <c r="M857" s="1912"/>
      <c r="N857" s="1912"/>
      <c r="O857" s="1912"/>
      <c r="P857" s="1912"/>
      <c r="Q857" s="1912"/>
      <c r="R857" s="1912"/>
      <c r="S857" s="1912"/>
      <c r="T857" s="1912"/>
      <c r="U857" s="1912"/>
      <c r="V857" s="1912"/>
      <c r="W857" s="1912"/>
      <c r="X857" s="1912"/>
      <c r="Y857" s="1912"/>
      <c r="Z857" s="1912"/>
      <c r="AA857" s="1912"/>
      <c r="AB857" s="1912"/>
      <c r="AC857" s="1912"/>
      <c r="AD857" s="1912"/>
      <c r="AE857" s="1912"/>
      <c r="AF857" s="1912"/>
      <c r="AG857" s="1912"/>
    </row>
    <row r="858">
      <c r="A858" s="1912"/>
      <c r="B858" s="1912"/>
      <c r="C858" s="1912"/>
      <c r="D858" s="1912"/>
      <c r="E858" s="1912"/>
      <c r="F858" s="1912"/>
      <c r="G858" s="1912"/>
      <c r="H858" s="1912"/>
      <c r="I858" s="1912"/>
      <c r="J858" s="1912"/>
      <c r="K858" s="1912"/>
      <c r="L858" s="1912"/>
      <c r="M858" s="1912"/>
      <c r="N858" s="1912"/>
      <c r="O858" s="1912"/>
      <c r="P858" s="1912"/>
      <c r="Q858" s="1912"/>
      <c r="R858" s="1912"/>
      <c r="S858" s="1912"/>
      <c r="T858" s="1912"/>
      <c r="U858" s="1912"/>
      <c r="V858" s="1912"/>
      <c r="W858" s="1912"/>
      <c r="X858" s="1912"/>
      <c r="Y858" s="1912"/>
      <c r="Z858" s="1912"/>
      <c r="AA858" s="1912"/>
      <c r="AB858" s="1912"/>
      <c r="AC858" s="1912"/>
      <c r="AD858" s="1912"/>
      <c r="AE858" s="1912"/>
      <c r="AF858" s="1912"/>
      <c r="AG858" s="1912"/>
    </row>
    <row r="859">
      <c r="A859" s="1912"/>
      <c r="B859" s="1912"/>
      <c r="C859" s="1912"/>
      <c r="D859" s="1912"/>
      <c r="E859" s="1912"/>
      <c r="F859" s="1912"/>
      <c r="G859" s="1912"/>
      <c r="H859" s="1912"/>
      <c r="I859" s="1912"/>
      <c r="J859" s="1912"/>
      <c r="K859" s="1912"/>
      <c r="L859" s="1912"/>
      <c r="M859" s="1912"/>
      <c r="N859" s="1912"/>
      <c r="O859" s="1912"/>
      <c r="P859" s="1912"/>
      <c r="Q859" s="1912"/>
      <c r="R859" s="1912"/>
      <c r="S859" s="1912"/>
      <c r="T859" s="1912"/>
      <c r="U859" s="1912"/>
      <c r="V859" s="1912"/>
      <c r="W859" s="1912"/>
      <c r="X859" s="1912"/>
      <c r="Y859" s="1912"/>
      <c r="Z859" s="1912"/>
      <c r="AA859" s="1912"/>
      <c r="AB859" s="1912"/>
      <c r="AC859" s="1912"/>
      <c r="AD859" s="1912"/>
      <c r="AE859" s="1912"/>
      <c r="AF859" s="1912"/>
      <c r="AG859" s="1912"/>
    </row>
    <row r="860">
      <c r="A860" s="1912"/>
      <c r="B860" s="1912"/>
      <c r="C860" s="1912"/>
      <c r="D860" s="1912"/>
      <c r="E860" s="1912"/>
      <c r="F860" s="1912"/>
      <c r="G860" s="1912"/>
      <c r="H860" s="1912"/>
      <c r="I860" s="1912"/>
      <c r="J860" s="1912"/>
      <c r="K860" s="1912"/>
      <c r="L860" s="1912"/>
      <c r="M860" s="1912"/>
      <c r="N860" s="1912"/>
      <c r="O860" s="1912"/>
      <c r="P860" s="1912"/>
      <c r="Q860" s="1912"/>
      <c r="R860" s="1912"/>
      <c r="S860" s="1912"/>
      <c r="T860" s="1912"/>
      <c r="U860" s="1912"/>
      <c r="V860" s="1912"/>
      <c r="W860" s="1912"/>
      <c r="X860" s="1912"/>
      <c r="Y860" s="1912"/>
      <c r="Z860" s="1912"/>
      <c r="AA860" s="1912"/>
      <c r="AB860" s="1912"/>
      <c r="AC860" s="1912"/>
      <c r="AD860" s="1912"/>
      <c r="AE860" s="1912"/>
      <c r="AF860" s="1912"/>
      <c r="AG860" s="1912"/>
    </row>
    <row r="861">
      <c r="A861" s="1912"/>
      <c r="B861" s="1912"/>
      <c r="C861" s="1912"/>
      <c r="D861" s="1912"/>
      <c r="E861" s="1912"/>
      <c r="F861" s="1912"/>
      <c r="G861" s="1912"/>
      <c r="H861" s="1912"/>
      <c r="I861" s="1912"/>
      <c r="J861" s="1912"/>
      <c r="K861" s="1912"/>
      <c r="L861" s="1912"/>
      <c r="M861" s="1912"/>
      <c r="N861" s="1912"/>
      <c r="O861" s="1912"/>
      <c r="P861" s="1912"/>
      <c r="Q861" s="1912"/>
      <c r="R861" s="1912"/>
      <c r="S861" s="1912"/>
      <c r="T861" s="1912"/>
      <c r="U861" s="1912"/>
      <c r="V861" s="1912"/>
      <c r="W861" s="1912"/>
      <c r="X861" s="1912"/>
      <c r="Y861" s="1912"/>
      <c r="Z861" s="1912"/>
      <c r="AA861" s="1912"/>
      <c r="AB861" s="1912"/>
      <c r="AC861" s="1912"/>
      <c r="AD861" s="1912"/>
      <c r="AE861" s="1912"/>
      <c r="AF861" s="1912"/>
      <c r="AG861" s="1912"/>
    </row>
    <row r="862">
      <c r="A862" s="1912"/>
      <c r="B862" s="1912"/>
      <c r="C862" s="1912"/>
      <c r="D862" s="1912"/>
      <c r="E862" s="1912"/>
      <c r="F862" s="1912"/>
      <c r="G862" s="1912"/>
      <c r="H862" s="1912"/>
      <c r="I862" s="1912"/>
      <c r="J862" s="1912"/>
      <c r="K862" s="1912"/>
      <c r="L862" s="1912"/>
      <c r="M862" s="1912"/>
      <c r="N862" s="1912"/>
      <c r="O862" s="1912"/>
      <c r="P862" s="1912"/>
      <c r="Q862" s="1912"/>
      <c r="R862" s="1912"/>
      <c r="S862" s="1912"/>
      <c r="T862" s="1912"/>
      <c r="U862" s="1912"/>
      <c r="V862" s="1912"/>
      <c r="W862" s="1912"/>
      <c r="X862" s="1912"/>
      <c r="Y862" s="1912"/>
      <c r="Z862" s="1912"/>
      <c r="AA862" s="1912"/>
      <c r="AB862" s="1912"/>
      <c r="AC862" s="1912"/>
      <c r="AD862" s="1912"/>
      <c r="AE862" s="1912"/>
      <c r="AF862" s="1912"/>
      <c r="AG862" s="1912"/>
    </row>
    <row r="863">
      <c r="A863" s="1912"/>
      <c r="B863" s="1912"/>
      <c r="C863" s="1912"/>
      <c r="D863" s="1912"/>
      <c r="E863" s="1912"/>
      <c r="F863" s="1912"/>
      <c r="G863" s="1912"/>
      <c r="H863" s="1912"/>
      <c r="I863" s="1912"/>
      <c r="J863" s="1912"/>
      <c r="K863" s="1912"/>
      <c r="L863" s="1912"/>
      <c r="M863" s="1912"/>
      <c r="N863" s="1912"/>
      <c r="O863" s="1912"/>
      <c r="P863" s="1912"/>
      <c r="Q863" s="1912"/>
      <c r="R863" s="1912"/>
      <c r="S863" s="1912"/>
      <c r="T863" s="1912"/>
      <c r="U863" s="1912"/>
      <c r="V863" s="1912"/>
      <c r="W863" s="1912"/>
      <c r="X863" s="1912"/>
      <c r="Y863" s="1912"/>
      <c r="Z863" s="1912"/>
      <c r="AA863" s="1912"/>
      <c r="AB863" s="1912"/>
      <c r="AC863" s="1912"/>
      <c r="AD863" s="1912"/>
      <c r="AE863" s="1912"/>
      <c r="AF863" s="1912"/>
      <c r="AG863" s="1912"/>
    </row>
    <row r="864">
      <c r="A864" s="1912"/>
      <c r="B864" s="1912"/>
      <c r="C864" s="1912"/>
      <c r="D864" s="1912"/>
      <c r="E864" s="1912"/>
      <c r="F864" s="1912"/>
      <c r="G864" s="1912"/>
      <c r="H864" s="1912"/>
      <c r="I864" s="1912"/>
      <c r="J864" s="1912"/>
      <c r="K864" s="1912"/>
      <c r="L864" s="1912"/>
      <c r="M864" s="1912"/>
      <c r="N864" s="1912"/>
      <c r="O864" s="1912"/>
      <c r="P864" s="1912"/>
      <c r="Q864" s="1912"/>
      <c r="R864" s="1912"/>
      <c r="S864" s="1912"/>
      <c r="T864" s="1912"/>
      <c r="U864" s="1912"/>
      <c r="V864" s="1912"/>
      <c r="W864" s="1912"/>
      <c r="X864" s="1912"/>
      <c r="Y864" s="1912"/>
      <c r="Z864" s="1912"/>
      <c r="AA864" s="1912"/>
      <c r="AB864" s="1912"/>
      <c r="AC864" s="1912"/>
      <c r="AD864" s="1912"/>
      <c r="AE864" s="1912"/>
      <c r="AF864" s="1912"/>
      <c r="AG864" s="1912"/>
    </row>
    <row r="865">
      <c r="A865" s="1912"/>
      <c r="B865" s="1912"/>
      <c r="C865" s="1912"/>
      <c r="D865" s="1912"/>
      <c r="E865" s="1912"/>
      <c r="F865" s="1912"/>
      <c r="G865" s="1912"/>
      <c r="H865" s="1912"/>
      <c r="I865" s="1912"/>
      <c r="J865" s="1912"/>
      <c r="K865" s="1912"/>
      <c r="L865" s="1912"/>
      <c r="M865" s="1912"/>
      <c r="N865" s="1912"/>
      <c r="O865" s="1912"/>
      <c r="P865" s="1912"/>
      <c r="Q865" s="1912"/>
      <c r="R865" s="1912"/>
      <c r="S865" s="1912"/>
      <c r="T865" s="1912"/>
      <c r="U865" s="1912"/>
      <c r="V865" s="1912"/>
      <c r="W865" s="1912"/>
      <c r="X865" s="1912"/>
      <c r="Y865" s="1912"/>
      <c r="Z865" s="1912"/>
      <c r="AA865" s="1912"/>
      <c r="AB865" s="1912"/>
      <c r="AC865" s="1912"/>
      <c r="AD865" s="1912"/>
      <c r="AE865" s="1912"/>
      <c r="AF865" s="1912"/>
      <c r="AG865" s="1912"/>
    </row>
    <row r="866">
      <c r="A866" s="1912"/>
      <c r="B866" s="1912"/>
      <c r="C866" s="1912"/>
      <c r="D866" s="1912"/>
      <c r="E866" s="1912"/>
      <c r="F866" s="1912"/>
      <c r="G866" s="1912"/>
      <c r="H866" s="1912"/>
      <c r="I866" s="1912"/>
      <c r="J866" s="1912"/>
      <c r="K866" s="1912"/>
      <c r="L866" s="1912"/>
      <c r="M866" s="1912"/>
      <c r="N866" s="1912"/>
      <c r="O866" s="1912"/>
      <c r="P866" s="1912"/>
      <c r="Q866" s="1912"/>
      <c r="R866" s="1912"/>
      <c r="S866" s="1912"/>
      <c r="T866" s="1912"/>
      <c r="U866" s="1912"/>
      <c r="V866" s="1912"/>
      <c r="W866" s="1912"/>
      <c r="X866" s="1912"/>
      <c r="Y866" s="1912"/>
      <c r="Z866" s="1912"/>
      <c r="AA866" s="1912"/>
      <c r="AB866" s="1912"/>
      <c r="AC866" s="1912"/>
      <c r="AD866" s="1912"/>
      <c r="AE866" s="1912"/>
      <c r="AF866" s="1912"/>
      <c r="AG866" s="1912"/>
    </row>
    <row r="867">
      <c r="A867" s="1912"/>
      <c r="B867" s="1912"/>
      <c r="C867" s="1912"/>
      <c r="D867" s="1912"/>
      <c r="E867" s="1912"/>
      <c r="F867" s="1912"/>
      <c r="G867" s="1912"/>
      <c r="H867" s="1912"/>
      <c r="I867" s="1912"/>
      <c r="J867" s="1912"/>
      <c r="K867" s="1912"/>
      <c r="L867" s="1912"/>
      <c r="M867" s="1912"/>
      <c r="N867" s="1912"/>
      <c r="O867" s="1912"/>
      <c r="P867" s="1912"/>
      <c r="Q867" s="1912"/>
      <c r="R867" s="1912"/>
      <c r="S867" s="1912"/>
      <c r="T867" s="1912"/>
      <c r="U867" s="1912"/>
      <c r="V867" s="1912"/>
      <c r="W867" s="1912"/>
      <c r="X867" s="1912"/>
      <c r="Y867" s="1912"/>
      <c r="Z867" s="1912"/>
      <c r="AA867" s="1912"/>
      <c r="AB867" s="1912"/>
      <c r="AC867" s="1912"/>
      <c r="AD867" s="1912"/>
      <c r="AE867" s="1912"/>
      <c r="AF867" s="1912"/>
      <c r="AG867" s="1912"/>
    </row>
    <row r="868">
      <c r="A868" s="1912"/>
      <c r="B868" s="1912"/>
      <c r="C868" s="1912"/>
      <c r="D868" s="1912"/>
      <c r="E868" s="1912"/>
      <c r="F868" s="1912"/>
      <c r="G868" s="1912"/>
      <c r="H868" s="1912"/>
      <c r="I868" s="1912"/>
      <c r="J868" s="1912"/>
      <c r="K868" s="1912"/>
      <c r="L868" s="1912"/>
      <c r="M868" s="1912"/>
      <c r="N868" s="1912"/>
      <c r="O868" s="1912"/>
      <c r="P868" s="1912"/>
      <c r="Q868" s="1912"/>
      <c r="R868" s="1912"/>
      <c r="S868" s="1912"/>
      <c r="T868" s="1912"/>
      <c r="U868" s="1912"/>
      <c r="V868" s="1912"/>
      <c r="W868" s="1912"/>
      <c r="X868" s="1912"/>
      <c r="Y868" s="1912"/>
      <c r="Z868" s="1912"/>
      <c r="AA868" s="1912"/>
      <c r="AB868" s="1912"/>
      <c r="AC868" s="1912"/>
      <c r="AD868" s="1912"/>
      <c r="AE868" s="1912"/>
      <c r="AF868" s="1912"/>
      <c r="AG868" s="1912"/>
    </row>
    <row r="869">
      <c r="A869" s="1912"/>
      <c r="B869" s="1912"/>
      <c r="C869" s="1912"/>
      <c r="D869" s="1912"/>
      <c r="E869" s="1912"/>
      <c r="F869" s="1912"/>
      <c r="G869" s="1912"/>
      <c r="H869" s="1912"/>
      <c r="I869" s="1912"/>
      <c r="J869" s="1912"/>
      <c r="K869" s="1912"/>
      <c r="L869" s="1912"/>
      <c r="M869" s="1912"/>
      <c r="N869" s="1912"/>
      <c r="O869" s="1912"/>
      <c r="P869" s="1912"/>
      <c r="Q869" s="1912"/>
      <c r="R869" s="1912"/>
      <c r="S869" s="1912"/>
      <c r="T869" s="1912"/>
      <c r="U869" s="1912"/>
      <c r="V869" s="1912"/>
      <c r="W869" s="1912"/>
      <c r="X869" s="1912"/>
      <c r="Y869" s="1912"/>
      <c r="Z869" s="1912"/>
      <c r="AA869" s="1912"/>
      <c r="AB869" s="1912"/>
      <c r="AC869" s="1912"/>
      <c r="AD869" s="1912"/>
      <c r="AE869" s="1912"/>
      <c r="AF869" s="1912"/>
      <c r="AG869" s="1912"/>
    </row>
    <row r="870">
      <c r="A870" s="1912"/>
      <c r="B870" s="1912"/>
      <c r="C870" s="1912"/>
      <c r="D870" s="1912"/>
      <c r="E870" s="1912"/>
      <c r="F870" s="1912"/>
      <c r="G870" s="1912"/>
      <c r="H870" s="1912"/>
      <c r="I870" s="1912"/>
      <c r="J870" s="1912"/>
      <c r="K870" s="1912"/>
      <c r="L870" s="1912"/>
      <c r="M870" s="1912"/>
      <c r="N870" s="1912"/>
      <c r="O870" s="1912"/>
      <c r="P870" s="1912"/>
      <c r="Q870" s="1912"/>
      <c r="R870" s="1912"/>
      <c r="S870" s="1912"/>
      <c r="T870" s="1912"/>
      <c r="U870" s="1912"/>
      <c r="V870" s="1912"/>
      <c r="W870" s="1912"/>
      <c r="X870" s="1912"/>
      <c r="Y870" s="1912"/>
      <c r="Z870" s="1912"/>
      <c r="AA870" s="1912"/>
      <c r="AB870" s="1912"/>
      <c r="AC870" s="1912"/>
      <c r="AD870" s="1912"/>
      <c r="AE870" s="1912"/>
      <c r="AF870" s="1912"/>
      <c r="AG870" s="1912"/>
    </row>
    <row r="871">
      <c r="A871" s="1912"/>
      <c r="B871" s="1912"/>
      <c r="C871" s="1912"/>
      <c r="D871" s="1912"/>
      <c r="E871" s="1912"/>
      <c r="F871" s="1912"/>
      <c r="G871" s="1912"/>
      <c r="H871" s="1912"/>
      <c r="I871" s="1912"/>
      <c r="J871" s="1912"/>
      <c r="K871" s="1912"/>
      <c r="L871" s="1912"/>
      <c r="M871" s="1912"/>
      <c r="N871" s="1912"/>
      <c r="O871" s="1912"/>
      <c r="P871" s="1912"/>
      <c r="Q871" s="1912"/>
      <c r="R871" s="1912"/>
      <c r="S871" s="1912"/>
      <c r="T871" s="1912"/>
      <c r="U871" s="1912"/>
      <c r="V871" s="1912"/>
      <c r="W871" s="1912"/>
      <c r="X871" s="1912"/>
      <c r="Y871" s="1912"/>
      <c r="Z871" s="1912"/>
      <c r="AA871" s="1912"/>
      <c r="AB871" s="1912"/>
      <c r="AC871" s="1912"/>
      <c r="AD871" s="1912"/>
      <c r="AE871" s="1912"/>
      <c r="AF871" s="1912"/>
      <c r="AG871" s="1912"/>
    </row>
    <row r="872">
      <c r="A872" s="1912"/>
      <c r="B872" s="1912"/>
      <c r="C872" s="1912"/>
      <c r="D872" s="1912"/>
      <c r="E872" s="1912"/>
      <c r="F872" s="1912"/>
      <c r="G872" s="1912"/>
      <c r="H872" s="1912"/>
      <c r="I872" s="1912"/>
      <c r="J872" s="1912"/>
      <c r="K872" s="1912"/>
      <c r="L872" s="1912"/>
      <c r="M872" s="1912"/>
      <c r="N872" s="1912"/>
      <c r="O872" s="1912"/>
      <c r="P872" s="1912"/>
      <c r="Q872" s="1912"/>
      <c r="R872" s="1912"/>
      <c r="S872" s="1912"/>
      <c r="T872" s="1912"/>
      <c r="U872" s="1912"/>
      <c r="V872" s="1912"/>
      <c r="W872" s="1912"/>
      <c r="X872" s="1912"/>
      <c r="Y872" s="1912"/>
      <c r="Z872" s="1912"/>
      <c r="AA872" s="1912"/>
      <c r="AB872" s="1912"/>
      <c r="AC872" s="1912"/>
      <c r="AD872" s="1912"/>
      <c r="AE872" s="1912"/>
      <c r="AF872" s="1912"/>
      <c r="AG872" s="1912"/>
    </row>
    <row r="873">
      <c r="A873" s="1912"/>
      <c r="B873" s="1912"/>
      <c r="C873" s="1912"/>
      <c r="D873" s="1912"/>
      <c r="E873" s="1912"/>
      <c r="F873" s="1912"/>
      <c r="G873" s="1912"/>
      <c r="H873" s="1912"/>
      <c r="I873" s="1912"/>
      <c r="J873" s="1912"/>
      <c r="K873" s="1912"/>
      <c r="L873" s="1912"/>
      <c r="M873" s="1912"/>
      <c r="N873" s="1912"/>
      <c r="O873" s="1912"/>
      <c r="P873" s="1912"/>
      <c r="Q873" s="1912"/>
      <c r="R873" s="1912"/>
      <c r="S873" s="1912"/>
      <c r="T873" s="1912"/>
      <c r="U873" s="1912"/>
      <c r="V873" s="1912"/>
      <c r="W873" s="1912"/>
      <c r="X873" s="1912"/>
      <c r="Y873" s="1912"/>
      <c r="Z873" s="1912"/>
      <c r="AA873" s="1912"/>
      <c r="AB873" s="1912"/>
      <c r="AC873" s="1912"/>
      <c r="AD873" s="1912"/>
      <c r="AE873" s="1912"/>
      <c r="AF873" s="1912"/>
      <c r="AG873" s="1912"/>
    </row>
    <row r="874">
      <c r="A874" s="1912"/>
      <c r="B874" s="1912"/>
      <c r="C874" s="1912"/>
      <c r="D874" s="1912"/>
      <c r="E874" s="1912"/>
      <c r="F874" s="1912"/>
      <c r="G874" s="1912"/>
      <c r="H874" s="1912"/>
      <c r="I874" s="1912"/>
      <c r="J874" s="1912"/>
      <c r="K874" s="1912"/>
      <c r="L874" s="1912"/>
      <c r="M874" s="1912"/>
      <c r="N874" s="1912"/>
      <c r="O874" s="1912"/>
      <c r="P874" s="1912"/>
      <c r="Q874" s="1912"/>
      <c r="R874" s="1912"/>
      <c r="S874" s="1912"/>
      <c r="T874" s="1912"/>
      <c r="U874" s="1912"/>
      <c r="V874" s="1912"/>
      <c r="W874" s="1912"/>
      <c r="X874" s="1912"/>
      <c r="Y874" s="1912"/>
      <c r="Z874" s="1912"/>
      <c r="AA874" s="1912"/>
      <c r="AB874" s="1912"/>
      <c r="AC874" s="1912"/>
      <c r="AD874" s="1912"/>
      <c r="AE874" s="1912"/>
      <c r="AF874" s="1912"/>
      <c r="AG874" s="1912"/>
    </row>
    <row r="875">
      <c r="A875" s="1912"/>
      <c r="B875" s="1912"/>
      <c r="C875" s="1912"/>
      <c r="D875" s="1912"/>
      <c r="E875" s="1912"/>
      <c r="F875" s="1912"/>
      <c r="G875" s="1912"/>
      <c r="H875" s="1912"/>
      <c r="I875" s="1912"/>
      <c r="J875" s="1912"/>
      <c r="K875" s="1912"/>
      <c r="L875" s="1912"/>
      <c r="M875" s="1912"/>
      <c r="N875" s="1912"/>
      <c r="O875" s="1912"/>
      <c r="P875" s="1912"/>
      <c r="Q875" s="1912"/>
      <c r="R875" s="1912"/>
      <c r="S875" s="1912"/>
      <c r="T875" s="1912"/>
      <c r="U875" s="1912"/>
      <c r="V875" s="1912"/>
      <c r="W875" s="1912"/>
      <c r="X875" s="1912"/>
      <c r="Y875" s="1912"/>
      <c r="Z875" s="1912"/>
      <c r="AA875" s="1912"/>
      <c r="AB875" s="1912"/>
      <c r="AC875" s="1912"/>
      <c r="AD875" s="1912"/>
      <c r="AE875" s="1912"/>
      <c r="AF875" s="1912"/>
      <c r="AG875" s="1912"/>
    </row>
    <row r="876">
      <c r="A876" s="1912"/>
      <c r="B876" s="1912"/>
      <c r="C876" s="1912"/>
      <c r="D876" s="1912"/>
      <c r="E876" s="1912"/>
      <c r="F876" s="1912"/>
      <c r="G876" s="1912"/>
      <c r="H876" s="1912"/>
      <c r="I876" s="1912"/>
      <c r="J876" s="1912"/>
      <c r="K876" s="1912"/>
      <c r="L876" s="1912"/>
      <c r="M876" s="1912"/>
      <c r="N876" s="1912"/>
      <c r="O876" s="1912"/>
      <c r="P876" s="1912"/>
      <c r="Q876" s="1912"/>
      <c r="R876" s="1912"/>
      <c r="S876" s="1912"/>
      <c r="T876" s="1912"/>
      <c r="U876" s="1912"/>
      <c r="V876" s="1912"/>
      <c r="W876" s="1912"/>
      <c r="X876" s="1912"/>
      <c r="Y876" s="1912"/>
      <c r="Z876" s="1912"/>
      <c r="AA876" s="1912"/>
      <c r="AB876" s="1912"/>
      <c r="AC876" s="1912"/>
      <c r="AD876" s="1912"/>
      <c r="AE876" s="1912"/>
      <c r="AF876" s="1912"/>
      <c r="AG876" s="1912"/>
    </row>
    <row r="877">
      <c r="A877" s="1912"/>
      <c r="B877" s="1912"/>
      <c r="C877" s="1912"/>
      <c r="D877" s="1912"/>
      <c r="E877" s="1912"/>
      <c r="F877" s="1912"/>
      <c r="G877" s="1912"/>
      <c r="H877" s="1912"/>
      <c r="I877" s="1912"/>
      <c r="J877" s="1912"/>
      <c r="K877" s="1912"/>
      <c r="L877" s="1912"/>
      <c r="M877" s="1912"/>
      <c r="N877" s="1912"/>
      <c r="O877" s="1912"/>
      <c r="P877" s="1912"/>
      <c r="Q877" s="1912"/>
      <c r="R877" s="1912"/>
      <c r="S877" s="1912"/>
      <c r="T877" s="1912"/>
      <c r="U877" s="1912"/>
      <c r="V877" s="1912"/>
      <c r="W877" s="1912"/>
      <c r="X877" s="1912"/>
      <c r="Y877" s="1912"/>
      <c r="Z877" s="1912"/>
      <c r="AA877" s="1912"/>
      <c r="AB877" s="1912"/>
      <c r="AC877" s="1912"/>
      <c r="AD877" s="1912"/>
      <c r="AE877" s="1912"/>
      <c r="AF877" s="1912"/>
      <c r="AG877" s="1912"/>
    </row>
    <row r="878">
      <c r="A878" s="1912"/>
      <c r="B878" s="1912"/>
      <c r="C878" s="1912"/>
      <c r="D878" s="1912"/>
      <c r="E878" s="1912"/>
      <c r="F878" s="1912"/>
      <c r="G878" s="1912"/>
      <c r="H878" s="1912"/>
      <c r="I878" s="1912"/>
      <c r="J878" s="1912"/>
      <c r="K878" s="1912"/>
      <c r="L878" s="1912"/>
      <c r="M878" s="1912"/>
      <c r="N878" s="1912"/>
      <c r="O878" s="1912"/>
      <c r="P878" s="1912"/>
      <c r="Q878" s="1912"/>
      <c r="R878" s="1912"/>
      <c r="S878" s="1912"/>
      <c r="T878" s="1912"/>
      <c r="U878" s="1912"/>
      <c r="V878" s="1912"/>
      <c r="W878" s="1912"/>
      <c r="X878" s="1912"/>
      <c r="Y878" s="1912"/>
      <c r="Z878" s="1912"/>
      <c r="AA878" s="1912"/>
      <c r="AB878" s="1912"/>
      <c r="AC878" s="1912"/>
      <c r="AD878" s="1912"/>
      <c r="AE878" s="1912"/>
      <c r="AF878" s="1912"/>
      <c r="AG878" s="1912"/>
    </row>
    <row r="879">
      <c r="A879" s="1912"/>
      <c r="B879" s="1912"/>
      <c r="C879" s="1912"/>
      <c r="D879" s="1912"/>
      <c r="E879" s="1912"/>
      <c r="F879" s="1912"/>
      <c r="G879" s="1912"/>
      <c r="H879" s="1912"/>
      <c r="I879" s="1912"/>
      <c r="J879" s="1912"/>
      <c r="K879" s="1912"/>
      <c r="L879" s="1912"/>
      <c r="M879" s="1912"/>
      <c r="N879" s="1912"/>
      <c r="O879" s="1912"/>
      <c r="P879" s="1912"/>
      <c r="Q879" s="1912"/>
      <c r="R879" s="1912"/>
      <c r="S879" s="1912"/>
      <c r="T879" s="1912"/>
      <c r="U879" s="1912"/>
      <c r="V879" s="1912"/>
      <c r="W879" s="1912"/>
      <c r="X879" s="1912"/>
      <c r="Y879" s="1912"/>
      <c r="Z879" s="1912"/>
      <c r="AA879" s="1912"/>
      <c r="AB879" s="1912"/>
      <c r="AC879" s="1912"/>
      <c r="AD879" s="1912"/>
      <c r="AE879" s="1912"/>
      <c r="AF879" s="1912"/>
      <c r="AG879" s="1912"/>
    </row>
    <row r="880">
      <c r="A880" s="1912"/>
      <c r="B880" s="1912"/>
      <c r="C880" s="1912"/>
      <c r="D880" s="1912"/>
      <c r="E880" s="1912"/>
      <c r="F880" s="1912"/>
      <c r="G880" s="1912"/>
      <c r="H880" s="1912"/>
      <c r="I880" s="1912"/>
      <c r="J880" s="1912"/>
      <c r="K880" s="1912"/>
      <c r="L880" s="1912"/>
      <c r="M880" s="1912"/>
      <c r="N880" s="1912"/>
      <c r="O880" s="1912"/>
      <c r="P880" s="1912"/>
      <c r="Q880" s="1912"/>
      <c r="R880" s="1912"/>
      <c r="S880" s="1912"/>
      <c r="T880" s="1912"/>
      <c r="U880" s="1912"/>
      <c r="V880" s="1912"/>
      <c r="W880" s="1912"/>
      <c r="X880" s="1912"/>
      <c r="Y880" s="1912"/>
      <c r="Z880" s="1912"/>
      <c r="AA880" s="1912"/>
      <c r="AB880" s="1912"/>
      <c r="AC880" s="1912"/>
      <c r="AD880" s="1912"/>
      <c r="AE880" s="1912"/>
      <c r="AF880" s="1912"/>
      <c r="AG880" s="1912"/>
    </row>
    <row r="881">
      <c r="A881" s="1912"/>
      <c r="B881" s="1912"/>
      <c r="C881" s="1912"/>
      <c r="D881" s="1912"/>
      <c r="E881" s="1912"/>
      <c r="F881" s="1912"/>
      <c r="G881" s="1912"/>
      <c r="H881" s="1912"/>
      <c r="I881" s="1912"/>
      <c r="J881" s="1912"/>
      <c r="K881" s="1912"/>
      <c r="L881" s="1912"/>
      <c r="M881" s="1912"/>
      <c r="N881" s="1912"/>
      <c r="O881" s="1912"/>
      <c r="P881" s="1912"/>
      <c r="Q881" s="1912"/>
      <c r="R881" s="1912"/>
      <c r="S881" s="1912"/>
      <c r="T881" s="1912"/>
      <c r="U881" s="1912"/>
      <c r="V881" s="1912"/>
      <c r="W881" s="1912"/>
      <c r="X881" s="1912"/>
      <c r="Y881" s="1912"/>
      <c r="Z881" s="1912"/>
      <c r="AA881" s="1912"/>
      <c r="AB881" s="1912"/>
      <c r="AC881" s="1912"/>
      <c r="AD881" s="1912"/>
      <c r="AE881" s="1912"/>
      <c r="AF881" s="1912"/>
      <c r="AG881" s="1912"/>
    </row>
    <row r="882">
      <c r="A882" s="1912"/>
      <c r="B882" s="1912"/>
      <c r="C882" s="1912"/>
      <c r="D882" s="1912"/>
      <c r="E882" s="1912"/>
      <c r="F882" s="1912"/>
      <c r="G882" s="1912"/>
      <c r="H882" s="1912"/>
      <c r="I882" s="1912"/>
      <c r="J882" s="1912"/>
      <c r="K882" s="1912"/>
      <c r="L882" s="1912"/>
      <c r="M882" s="1912"/>
      <c r="N882" s="1912"/>
      <c r="O882" s="1912"/>
      <c r="P882" s="1912"/>
      <c r="Q882" s="1912"/>
      <c r="R882" s="1912"/>
      <c r="S882" s="1912"/>
      <c r="T882" s="1912"/>
      <c r="U882" s="1912"/>
      <c r="V882" s="1912"/>
      <c r="W882" s="1912"/>
      <c r="X882" s="1912"/>
      <c r="Y882" s="1912"/>
      <c r="Z882" s="1912"/>
      <c r="AA882" s="1912"/>
      <c r="AB882" s="1912"/>
      <c r="AC882" s="1912"/>
      <c r="AD882" s="1912"/>
      <c r="AE882" s="1912"/>
      <c r="AF882" s="1912"/>
      <c r="AG882" s="1912"/>
    </row>
    <row r="883">
      <c r="A883" s="1912"/>
      <c r="B883" s="1912"/>
      <c r="C883" s="1912"/>
      <c r="D883" s="1912"/>
      <c r="E883" s="1912"/>
      <c r="F883" s="1912"/>
      <c r="G883" s="1912"/>
      <c r="H883" s="1912"/>
      <c r="I883" s="1912"/>
      <c r="J883" s="1912"/>
      <c r="K883" s="1912"/>
      <c r="L883" s="1912"/>
      <c r="M883" s="1912"/>
      <c r="N883" s="1912"/>
      <c r="O883" s="1912"/>
      <c r="P883" s="1912"/>
      <c r="Q883" s="1912"/>
      <c r="R883" s="1912"/>
      <c r="S883" s="1912"/>
      <c r="T883" s="1912"/>
      <c r="U883" s="1912"/>
      <c r="V883" s="1912"/>
      <c r="W883" s="1912"/>
      <c r="X883" s="1912"/>
      <c r="Y883" s="1912"/>
      <c r="Z883" s="1912"/>
      <c r="AA883" s="1912"/>
      <c r="AB883" s="1912"/>
      <c r="AC883" s="1912"/>
      <c r="AD883" s="1912"/>
      <c r="AE883" s="1912"/>
      <c r="AF883" s="1912"/>
      <c r="AG883" s="1912"/>
    </row>
    <row r="884">
      <c r="A884" s="1912"/>
      <c r="B884" s="1912"/>
      <c r="C884" s="1912"/>
      <c r="D884" s="1912"/>
      <c r="E884" s="1912"/>
      <c r="F884" s="1912"/>
      <c r="G884" s="1912"/>
      <c r="H884" s="1912"/>
      <c r="I884" s="1912"/>
      <c r="J884" s="1912"/>
      <c r="K884" s="1912"/>
      <c r="L884" s="1912"/>
      <c r="M884" s="1912"/>
      <c r="N884" s="1912"/>
      <c r="O884" s="1912"/>
      <c r="P884" s="1912"/>
      <c r="Q884" s="1912"/>
      <c r="R884" s="1912"/>
      <c r="S884" s="1912"/>
      <c r="T884" s="1912"/>
      <c r="U884" s="1912"/>
      <c r="V884" s="1912"/>
      <c r="W884" s="1912"/>
      <c r="X884" s="1912"/>
      <c r="Y884" s="1912"/>
      <c r="Z884" s="1912"/>
      <c r="AA884" s="1912"/>
      <c r="AB884" s="1912"/>
      <c r="AC884" s="1912"/>
      <c r="AD884" s="1912"/>
      <c r="AE884" s="1912"/>
      <c r="AF884" s="1912"/>
      <c r="AG884" s="1912"/>
    </row>
    <row r="885">
      <c r="A885" s="1912"/>
      <c r="B885" s="1912"/>
      <c r="C885" s="1912"/>
      <c r="D885" s="1912"/>
      <c r="E885" s="1912"/>
      <c r="F885" s="1912"/>
      <c r="G885" s="1912"/>
      <c r="H885" s="1912"/>
      <c r="I885" s="1912"/>
      <c r="J885" s="1912"/>
      <c r="K885" s="1912"/>
      <c r="L885" s="1912"/>
      <c r="M885" s="1912"/>
      <c r="N885" s="1912"/>
      <c r="O885" s="1912"/>
      <c r="P885" s="1912"/>
      <c r="Q885" s="1912"/>
      <c r="R885" s="1912"/>
      <c r="S885" s="1912"/>
      <c r="T885" s="1912"/>
      <c r="U885" s="1912"/>
      <c r="V885" s="1912"/>
      <c r="W885" s="1912"/>
      <c r="X885" s="1912"/>
      <c r="Y885" s="1912"/>
      <c r="Z885" s="1912"/>
      <c r="AA885" s="1912"/>
      <c r="AB885" s="1912"/>
      <c r="AC885" s="1912"/>
      <c r="AD885" s="1912"/>
      <c r="AE885" s="1912"/>
      <c r="AF885" s="1912"/>
      <c r="AG885" s="1912"/>
    </row>
    <row r="886">
      <c r="A886" s="1912"/>
      <c r="B886" s="1912"/>
      <c r="C886" s="1912"/>
      <c r="D886" s="1912"/>
      <c r="E886" s="1912"/>
      <c r="F886" s="1912"/>
      <c r="G886" s="1912"/>
      <c r="H886" s="1912"/>
      <c r="I886" s="1912"/>
      <c r="J886" s="1912"/>
      <c r="K886" s="1912"/>
      <c r="L886" s="1912"/>
      <c r="M886" s="1912"/>
      <c r="N886" s="1912"/>
      <c r="O886" s="1912"/>
      <c r="P886" s="1912"/>
      <c r="Q886" s="1912"/>
      <c r="R886" s="1912"/>
      <c r="S886" s="1912"/>
      <c r="T886" s="1912"/>
      <c r="U886" s="1912"/>
      <c r="V886" s="1912"/>
      <c r="W886" s="1912"/>
      <c r="X886" s="1912"/>
      <c r="Y886" s="1912"/>
      <c r="Z886" s="1912"/>
      <c r="AA886" s="1912"/>
      <c r="AB886" s="1912"/>
      <c r="AC886" s="1912"/>
      <c r="AD886" s="1912"/>
      <c r="AE886" s="1912"/>
      <c r="AF886" s="1912"/>
      <c r="AG886" s="1912"/>
    </row>
    <row r="887">
      <c r="A887" s="1912"/>
      <c r="B887" s="1912"/>
      <c r="C887" s="1912"/>
      <c r="D887" s="1912"/>
      <c r="E887" s="1912"/>
      <c r="F887" s="1912"/>
      <c r="G887" s="1912"/>
      <c r="H887" s="1912"/>
      <c r="I887" s="1912"/>
      <c r="J887" s="1912"/>
      <c r="K887" s="1912"/>
      <c r="L887" s="1912"/>
      <c r="M887" s="1912"/>
      <c r="N887" s="1912"/>
      <c r="O887" s="1912"/>
      <c r="P887" s="1912"/>
      <c r="Q887" s="1912"/>
      <c r="R887" s="1912"/>
      <c r="S887" s="1912"/>
      <c r="T887" s="1912"/>
      <c r="U887" s="1912"/>
      <c r="V887" s="1912"/>
      <c r="W887" s="1912"/>
      <c r="X887" s="1912"/>
      <c r="Y887" s="1912"/>
      <c r="Z887" s="1912"/>
      <c r="AA887" s="1912"/>
      <c r="AB887" s="1912"/>
      <c r="AC887" s="1912"/>
      <c r="AD887" s="1912"/>
      <c r="AE887" s="1912"/>
      <c r="AF887" s="1912"/>
      <c r="AG887" s="1912"/>
    </row>
    <row r="888">
      <c r="A888" s="1912"/>
      <c r="B888" s="1912"/>
      <c r="C888" s="1912"/>
      <c r="D888" s="1912"/>
      <c r="E888" s="1912"/>
      <c r="F888" s="1912"/>
      <c r="G888" s="1912"/>
      <c r="H888" s="1912"/>
      <c r="I888" s="1912"/>
      <c r="J888" s="1912"/>
      <c r="K888" s="1912"/>
      <c r="L888" s="1912"/>
      <c r="M888" s="1912"/>
      <c r="N888" s="1912"/>
      <c r="O888" s="1912"/>
      <c r="P888" s="1912"/>
      <c r="Q888" s="1912"/>
      <c r="R888" s="1912"/>
      <c r="S888" s="1912"/>
      <c r="T888" s="1912"/>
      <c r="U888" s="1912"/>
      <c r="V888" s="1912"/>
      <c r="W888" s="1912"/>
      <c r="X888" s="1912"/>
      <c r="Y888" s="1912"/>
      <c r="Z888" s="1912"/>
      <c r="AA888" s="1912"/>
      <c r="AB888" s="1912"/>
      <c r="AC888" s="1912"/>
      <c r="AD888" s="1912"/>
      <c r="AE888" s="1912"/>
      <c r="AF888" s="1912"/>
      <c r="AG888" s="1912"/>
    </row>
    <row r="889">
      <c r="A889" s="1912"/>
      <c r="B889" s="1912"/>
      <c r="C889" s="1912"/>
      <c r="D889" s="1912"/>
      <c r="E889" s="1912"/>
      <c r="F889" s="1912"/>
      <c r="G889" s="1912"/>
      <c r="H889" s="1912"/>
      <c r="I889" s="1912"/>
      <c r="J889" s="1912"/>
      <c r="K889" s="1912"/>
      <c r="L889" s="1912"/>
      <c r="M889" s="1912"/>
      <c r="N889" s="1912"/>
      <c r="O889" s="1912"/>
      <c r="P889" s="1912"/>
      <c r="Q889" s="1912"/>
      <c r="R889" s="1912"/>
      <c r="S889" s="1912"/>
      <c r="T889" s="1912"/>
      <c r="U889" s="1912"/>
      <c r="V889" s="1912"/>
      <c r="W889" s="1912"/>
      <c r="X889" s="1912"/>
      <c r="Y889" s="1912"/>
      <c r="Z889" s="1912"/>
      <c r="AA889" s="1912"/>
      <c r="AB889" s="1912"/>
      <c r="AC889" s="1912"/>
      <c r="AD889" s="1912"/>
      <c r="AE889" s="1912"/>
      <c r="AF889" s="1912"/>
      <c r="AG889" s="1912"/>
    </row>
    <row r="890">
      <c r="A890" s="1912"/>
      <c r="B890" s="1912"/>
      <c r="C890" s="1912"/>
      <c r="D890" s="1912"/>
      <c r="E890" s="1912"/>
      <c r="F890" s="1912"/>
      <c r="G890" s="1912"/>
      <c r="H890" s="1912"/>
      <c r="I890" s="1912"/>
      <c r="J890" s="1912"/>
      <c r="K890" s="1912"/>
      <c r="L890" s="1912"/>
      <c r="M890" s="1912"/>
      <c r="N890" s="1912"/>
      <c r="O890" s="1912"/>
      <c r="P890" s="1912"/>
      <c r="Q890" s="1912"/>
      <c r="R890" s="1912"/>
      <c r="S890" s="1912"/>
      <c r="T890" s="1912"/>
      <c r="U890" s="1912"/>
      <c r="V890" s="1912"/>
      <c r="W890" s="1912"/>
      <c r="X890" s="1912"/>
      <c r="Y890" s="1912"/>
      <c r="Z890" s="1912"/>
      <c r="AA890" s="1912"/>
      <c r="AB890" s="1912"/>
      <c r="AC890" s="1912"/>
      <c r="AD890" s="1912"/>
      <c r="AE890" s="1912"/>
      <c r="AF890" s="1912"/>
      <c r="AG890" s="1912"/>
    </row>
    <row r="891">
      <c r="A891" s="1912"/>
      <c r="B891" s="1912"/>
      <c r="C891" s="1912"/>
      <c r="D891" s="1912"/>
      <c r="E891" s="1912"/>
      <c r="F891" s="1912"/>
      <c r="G891" s="1912"/>
      <c r="H891" s="1912"/>
      <c r="I891" s="1912"/>
      <c r="J891" s="1912"/>
      <c r="K891" s="1912"/>
      <c r="L891" s="1912"/>
      <c r="M891" s="1912"/>
      <c r="N891" s="1912"/>
      <c r="O891" s="1912"/>
      <c r="P891" s="1912"/>
      <c r="Q891" s="1912"/>
      <c r="R891" s="1912"/>
      <c r="S891" s="1912"/>
      <c r="T891" s="1912"/>
      <c r="U891" s="1912"/>
      <c r="V891" s="1912"/>
      <c r="W891" s="1912"/>
      <c r="X891" s="1912"/>
      <c r="Y891" s="1912"/>
      <c r="Z891" s="1912"/>
      <c r="AA891" s="1912"/>
      <c r="AB891" s="1912"/>
      <c r="AC891" s="1912"/>
      <c r="AD891" s="1912"/>
      <c r="AE891" s="1912"/>
      <c r="AF891" s="1912"/>
      <c r="AG891" s="1912"/>
    </row>
    <row r="892">
      <c r="A892" s="1912"/>
      <c r="B892" s="1912"/>
      <c r="C892" s="1912"/>
      <c r="D892" s="1912"/>
      <c r="E892" s="1912"/>
      <c r="F892" s="1912"/>
      <c r="G892" s="1912"/>
      <c r="H892" s="1912"/>
      <c r="I892" s="1912"/>
      <c r="J892" s="1912"/>
      <c r="K892" s="1912"/>
      <c r="L892" s="1912"/>
      <c r="M892" s="1912"/>
      <c r="N892" s="1912"/>
      <c r="O892" s="1912"/>
      <c r="P892" s="1912"/>
      <c r="Q892" s="1912"/>
      <c r="R892" s="1912"/>
      <c r="S892" s="1912"/>
      <c r="T892" s="1912"/>
      <c r="U892" s="1912"/>
      <c r="V892" s="1912"/>
      <c r="W892" s="1912"/>
      <c r="X892" s="1912"/>
      <c r="Y892" s="1912"/>
      <c r="Z892" s="1912"/>
      <c r="AA892" s="1912"/>
      <c r="AB892" s="1912"/>
      <c r="AC892" s="1912"/>
      <c r="AD892" s="1912"/>
      <c r="AE892" s="1912"/>
      <c r="AF892" s="1912"/>
      <c r="AG892" s="1912"/>
    </row>
    <row r="893">
      <c r="A893" s="1912"/>
      <c r="B893" s="1912"/>
      <c r="C893" s="1912"/>
      <c r="D893" s="1912"/>
      <c r="E893" s="1912"/>
      <c r="F893" s="1912"/>
      <c r="G893" s="1912"/>
      <c r="H893" s="1912"/>
      <c r="I893" s="1912"/>
      <c r="J893" s="1912"/>
      <c r="K893" s="1912"/>
      <c r="L893" s="1912"/>
      <c r="M893" s="1912"/>
      <c r="N893" s="1912"/>
      <c r="O893" s="1912"/>
      <c r="P893" s="1912"/>
      <c r="Q893" s="1912"/>
      <c r="R893" s="1912"/>
      <c r="S893" s="1912"/>
      <c r="T893" s="1912"/>
      <c r="U893" s="1912"/>
      <c r="V893" s="1912"/>
      <c r="W893" s="1912"/>
      <c r="X893" s="1912"/>
      <c r="Y893" s="1912"/>
      <c r="Z893" s="1912"/>
      <c r="AA893" s="1912"/>
      <c r="AB893" s="1912"/>
      <c r="AC893" s="1912"/>
      <c r="AD893" s="1912"/>
      <c r="AE893" s="1912"/>
      <c r="AF893" s="1912"/>
      <c r="AG893" s="1912"/>
    </row>
    <row r="894">
      <c r="A894" s="1912"/>
      <c r="B894" s="1912"/>
      <c r="C894" s="1912"/>
      <c r="D894" s="1912"/>
      <c r="E894" s="1912"/>
      <c r="F894" s="1912"/>
      <c r="G894" s="1912"/>
      <c r="H894" s="1912"/>
      <c r="I894" s="1912"/>
      <c r="J894" s="1912"/>
      <c r="K894" s="1912"/>
      <c r="L894" s="1912"/>
      <c r="M894" s="1912"/>
      <c r="N894" s="1912"/>
      <c r="O894" s="1912"/>
      <c r="P894" s="1912"/>
      <c r="Q894" s="1912"/>
      <c r="R894" s="1912"/>
      <c r="S894" s="1912"/>
      <c r="T894" s="1912"/>
      <c r="U894" s="1912"/>
      <c r="V894" s="1912"/>
      <c r="W894" s="1912"/>
      <c r="X894" s="1912"/>
      <c r="Y894" s="1912"/>
      <c r="Z894" s="1912"/>
      <c r="AA894" s="1912"/>
      <c r="AB894" s="1912"/>
      <c r="AC894" s="1912"/>
      <c r="AD894" s="1912"/>
      <c r="AE894" s="1912"/>
      <c r="AF894" s="1912"/>
      <c r="AG894" s="1912"/>
    </row>
    <row r="895">
      <c r="A895" s="1912"/>
      <c r="B895" s="1912"/>
      <c r="C895" s="1912"/>
      <c r="D895" s="1912"/>
      <c r="E895" s="1912"/>
      <c r="F895" s="1912"/>
      <c r="G895" s="1912"/>
      <c r="H895" s="1912"/>
      <c r="I895" s="1912"/>
      <c r="J895" s="1912"/>
      <c r="K895" s="1912"/>
      <c r="L895" s="1912"/>
      <c r="M895" s="1912"/>
      <c r="N895" s="1912"/>
      <c r="O895" s="1912"/>
      <c r="P895" s="1912"/>
      <c r="Q895" s="1912"/>
      <c r="R895" s="1912"/>
      <c r="S895" s="1912"/>
      <c r="T895" s="1912"/>
      <c r="U895" s="1912"/>
      <c r="V895" s="1912"/>
      <c r="W895" s="1912"/>
      <c r="X895" s="1912"/>
      <c r="Y895" s="1912"/>
      <c r="Z895" s="1912"/>
      <c r="AA895" s="1912"/>
      <c r="AB895" s="1912"/>
      <c r="AC895" s="1912"/>
      <c r="AD895" s="1912"/>
      <c r="AE895" s="1912"/>
      <c r="AF895" s="1912"/>
      <c r="AG895" s="1912"/>
    </row>
    <row r="896">
      <c r="A896" s="1912"/>
      <c r="B896" s="1912"/>
      <c r="C896" s="1912"/>
      <c r="D896" s="1912"/>
      <c r="E896" s="1912"/>
      <c r="F896" s="1912"/>
      <c r="G896" s="1912"/>
      <c r="H896" s="1912"/>
      <c r="I896" s="1912"/>
      <c r="J896" s="1912"/>
      <c r="K896" s="1912"/>
      <c r="L896" s="1912"/>
      <c r="M896" s="1912"/>
      <c r="N896" s="1912"/>
      <c r="O896" s="1912"/>
      <c r="P896" s="1912"/>
      <c r="Q896" s="1912"/>
      <c r="R896" s="1912"/>
      <c r="S896" s="1912"/>
      <c r="T896" s="1912"/>
      <c r="U896" s="1912"/>
      <c r="V896" s="1912"/>
      <c r="W896" s="1912"/>
      <c r="X896" s="1912"/>
      <c r="Y896" s="1912"/>
      <c r="Z896" s="1912"/>
      <c r="AA896" s="1912"/>
      <c r="AB896" s="1912"/>
      <c r="AC896" s="1912"/>
      <c r="AD896" s="1912"/>
      <c r="AE896" s="1912"/>
      <c r="AF896" s="1912"/>
      <c r="AG896" s="1912"/>
    </row>
    <row r="897">
      <c r="A897" s="1912"/>
      <c r="B897" s="1912"/>
      <c r="C897" s="1912"/>
      <c r="D897" s="1912"/>
      <c r="E897" s="1912"/>
      <c r="F897" s="1912"/>
      <c r="G897" s="1912"/>
      <c r="H897" s="1912"/>
      <c r="I897" s="1912"/>
      <c r="J897" s="1912"/>
      <c r="K897" s="1912"/>
      <c r="L897" s="1912"/>
      <c r="M897" s="1912"/>
      <c r="N897" s="1912"/>
      <c r="O897" s="1912"/>
      <c r="P897" s="1912"/>
      <c r="Q897" s="1912"/>
      <c r="R897" s="1912"/>
      <c r="S897" s="1912"/>
      <c r="T897" s="1912"/>
      <c r="U897" s="1912"/>
      <c r="V897" s="1912"/>
      <c r="W897" s="1912"/>
      <c r="X897" s="1912"/>
      <c r="Y897" s="1912"/>
      <c r="Z897" s="1912"/>
      <c r="AA897" s="1912"/>
      <c r="AB897" s="1912"/>
      <c r="AC897" s="1912"/>
      <c r="AD897" s="1912"/>
      <c r="AE897" s="1912"/>
      <c r="AF897" s="1912"/>
      <c r="AG897" s="1912"/>
    </row>
    <row r="898">
      <c r="A898" s="1912"/>
      <c r="B898" s="1912"/>
      <c r="C898" s="1912"/>
      <c r="D898" s="1912"/>
      <c r="E898" s="1912"/>
      <c r="F898" s="1912"/>
      <c r="G898" s="1912"/>
      <c r="H898" s="1912"/>
      <c r="I898" s="1912"/>
      <c r="J898" s="1912"/>
      <c r="K898" s="1912"/>
      <c r="L898" s="1912"/>
      <c r="M898" s="1912"/>
      <c r="N898" s="1912"/>
      <c r="O898" s="1912"/>
      <c r="P898" s="1912"/>
      <c r="Q898" s="1912"/>
      <c r="R898" s="1912"/>
      <c r="S898" s="1912"/>
      <c r="T898" s="1912"/>
      <c r="U898" s="1912"/>
      <c r="V898" s="1912"/>
      <c r="W898" s="1912"/>
      <c r="X898" s="1912"/>
      <c r="Y898" s="1912"/>
      <c r="Z898" s="1912"/>
      <c r="AA898" s="1912"/>
      <c r="AB898" s="1912"/>
      <c r="AC898" s="1912"/>
      <c r="AD898" s="1912"/>
      <c r="AE898" s="1912"/>
      <c r="AF898" s="1912"/>
      <c r="AG898" s="1912"/>
    </row>
    <row r="899">
      <c r="A899" s="1912"/>
      <c r="B899" s="1912"/>
      <c r="C899" s="1912"/>
      <c r="D899" s="1912"/>
      <c r="E899" s="1912"/>
      <c r="F899" s="1912"/>
      <c r="G899" s="1912"/>
      <c r="H899" s="1912"/>
      <c r="I899" s="1912"/>
      <c r="J899" s="1912"/>
      <c r="K899" s="1912"/>
      <c r="L899" s="1912"/>
      <c r="M899" s="1912"/>
      <c r="N899" s="1912"/>
      <c r="O899" s="1912"/>
      <c r="P899" s="1912"/>
      <c r="Q899" s="1912"/>
      <c r="R899" s="1912"/>
      <c r="S899" s="1912"/>
      <c r="T899" s="1912"/>
      <c r="U899" s="1912"/>
      <c r="V899" s="1912"/>
      <c r="W899" s="1912"/>
      <c r="X899" s="1912"/>
      <c r="Y899" s="1912"/>
      <c r="Z899" s="1912"/>
      <c r="AA899" s="1912"/>
      <c r="AB899" s="1912"/>
      <c r="AC899" s="1912"/>
      <c r="AD899" s="1912"/>
      <c r="AE899" s="1912"/>
      <c r="AF899" s="1912"/>
      <c r="AG899" s="1912"/>
    </row>
    <row r="900">
      <c r="A900" s="1912"/>
      <c r="B900" s="1912"/>
      <c r="C900" s="1912"/>
      <c r="D900" s="1912"/>
      <c r="E900" s="1912"/>
      <c r="F900" s="1912"/>
      <c r="G900" s="1912"/>
      <c r="H900" s="1912"/>
      <c r="I900" s="1912"/>
      <c r="J900" s="1912"/>
      <c r="K900" s="1912"/>
      <c r="L900" s="1912"/>
      <c r="M900" s="1912"/>
      <c r="N900" s="1912"/>
      <c r="O900" s="1912"/>
      <c r="P900" s="1912"/>
      <c r="Q900" s="1912"/>
      <c r="R900" s="1912"/>
      <c r="S900" s="1912"/>
      <c r="T900" s="1912"/>
      <c r="U900" s="1912"/>
      <c r="V900" s="1912"/>
      <c r="W900" s="1912"/>
      <c r="X900" s="1912"/>
      <c r="Y900" s="1912"/>
      <c r="Z900" s="1912"/>
      <c r="AA900" s="1912"/>
      <c r="AB900" s="1912"/>
      <c r="AC900" s="1912"/>
      <c r="AD900" s="1912"/>
      <c r="AE900" s="1912"/>
      <c r="AF900" s="1912"/>
      <c r="AG900" s="1912"/>
    </row>
    <row r="901">
      <c r="A901" s="1912"/>
      <c r="B901" s="1912"/>
      <c r="C901" s="1912"/>
      <c r="D901" s="1912"/>
      <c r="E901" s="1912"/>
      <c r="F901" s="1912"/>
      <c r="G901" s="1912"/>
      <c r="H901" s="1912"/>
      <c r="I901" s="1912"/>
      <c r="J901" s="1912"/>
      <c r="K901" s="1912"/>
      <c r="L901" s="1912"/>
      <c r="M901" s="1912"/>
      <c r="N901" s="1912"/>
      <c r="O901" s="1912"/>
      <c r="P901" s="1912"/>
      <c r="Q901" s="1912"/>
      <c r="R901" s="1912"/>
      <c r="S901" s="1912"/>
      <c r="T901" s="1912"/>
      <c r="U901" s="1912"/>
      <c r="V901" s="1912"/>
      <c r="W901" s="1912"/>
      <c r="X901" s="1912"/>
      <c r="Y901" s="1912"/>
      <c r="Z901" s="1912"/>
      <c r="AA901" s="1912"/>
      <c r="AB901" s="1912"/>
      <c r="AC901" s="1912"/>
      <c r="AD901" s="1912"/>
      <c r="AE901" s="1912"/>
      <c r="AF901" s="1912"/>
      <c r="AG901" s="1912"/>
    </row>
    <row r="902">
      <c r="A902" s="1912"/>
      <c r="B902" s="1912"/>
      <c r="C902" s="1912"/>
      <c r="D902" s="1912"/>
      <c r="E902" s="1912"/>
      <c r="F902" s="1912"/>
      <c r="G902" s="1912"/>
      <c r="H902" s="1912"/>
      <c r="I902" s="1912"/>
      <c r="J902" s="1912"/>
      <c r="K902" s="1912"/>
      <c r="L902" s="1912"/>
      <c r="M902" s="1912"/>
      <c r="N902" s="1912"/>
      <c r="O902" s="1912"/>
      <c r="P902" s="1912"/>
      <c r="Q902" s="1912"/>
      <c r="R902" s="1912"/>
      <c r="S902" s="1912"/>
      <c r="T902" s="1912"/>
      <c r="U902" s="1912"/>
      <c r="V902" s="1912"/>
      <c r="W902" s="1912"/>
      <c r="X902" s="1912"/>
      <c r="Y902" s="1912"/>
      <c r="Z902" s="1912"/>
      <c r="AA902" s="1912"/>
      <c r="AB902" s="1912"/>
      <c r="AC902" s="1912"/>
      <c r="AD902" s="1912"/>
      <c r="AE902" s="1912"/>
      <c r="AF902" s="1912"/>
      <c r="AG902" s="1912"/>
    </row>
    <row r="903">
      <c r="A903" s="1912"/>
      <c r="B903" s="1912"/>
      <c r="C903" s="1912"/>
      <c r="D903" s="1912"/>
      <c r="E903" s="1912"/>
      <c r="F903" s="1912"/>
      <c r="G903" s="1912"/>
      <c r="H903" s="1912"/>
      <c r="I903" s="1912"/>
      <c r="J903" s="1912"/>
      <c r="K903" s="1912"/>
      <c r="L903" s="1912"/>
      <c r="M903" s="1912"/>
      <c r="N903" s="1912"/>
      <c r="O903" s="1912"/>
      <c r="P903" s="1912"/>
      <c r="Q903" s="1912"/>
      <c r="R903" s="1912"/>
      <c r="S903" s="1912"/>
      <c r="T903" s="1912"/>
      <c r="U903" s="1912"/>
      <c r="V903" s="1912"/>
      <c r="W903" s="1912"/>
      <c r="X903" s="1912"/>
      <c r="Y903" s="1912"/>
      <c r="Z903" s="1912"/>
      <c r="AA903" s="1912"/>
      <c r="AB903" s="1912"/>
      <c r="AC903" s="1912"/>
      <c r="AD903" s="1912"/>
      <c r="AE903" s="1912"/>
      <c r="AF903" s="1912"/>
      <c r="AG903" s="1912"/>
    </row>
    <row r="904">
      <c r="A904" s="1912"/>
      <c r="B904" s="1912"/>
      <c r="C904" s="1912"/>
      <c r="D904" s="1912"/>
      <c r="E904" s="1912"/>
      <c r="F904" s="1912"/>
      <c r="G904" s="1912"/>
      <c r="H904" s="1912"/>
      <c r="I904" s="1912"/>
      <c r="J904" s="1912"/>
      <c r="K904" s="1912"/>
      <c r="L904" s="1912"/>
      <c r="M904" s="1912"/>
      <c r="N904" s="1912"/>
      <c r="O904" s="1912"/>
      <c r="P904" s="1912"/>
      <c r="Q904" s="1912"/>
      <c r="R904" s="1912"/>
      <c r="S904" s="1912"/>
      <c r="T904" s="1912"/>
      <c r="U904" s="1912"/>
      <c r="V904" s="1912"/>
      <c r="W904" s="1912"/>
      <c r="X904" s="1912"/>
      <c r="Y904" s="1912"/>
      <c r="Z904" s="1912"/>
      <c r="AA904" s="1912"/>
      <c r="AB904" s="1912"/>
      <c r="AC904" s="1912"/>
      <c r="AD904" s="1912"/>
      <c r="AE904" s="1912"/>
      <c r="AF904" s="1912"/>
      <c r="AG904" s="1912"/>
    </row>
    <row r="905">
      <c r="A905" s="1912"/>
      <c r="B905" s="1912"/>
      <c r="C905" s="1912"/>
      <c r="D905" s="1912"/>
      <c r="E905" s="1912"/>
      <c r="F905" s="1912"/>
      <c r="G905" s="1912"/>
      <c r="H905" s="1912"/>
      <c r="I905" s="1912"/>
      <c r="J905" s="1912"/>
      <c r="K905" s="1912"/>
      <c r="L905" s="1912"/>
      <c r="M905" s="1912"/>
      <c r="N905" s="1912"/>
      <c r="O905" s="1912"/>
      <c r="P905" s="1912"/>
      <c r="Q905" s="1912"/>
      <c r="R905" s="1912"/>
      <c r="S905" s="1912"/>
      <c r="T905" s="1912"/>
      <c r="U905" s="1912"/>
      <c r="V905" s="1912"/>
      <c r="W905" s="1912"/>
      <c r="X905" s="1912"/>
      <c r="Y905" s="1912"/>
      <c r="Z905" s="1912"/>
      <c r="AA905" s="1912"/>
      <c r="AB905" s="1912"/>
      <c r="AC905" s="1912"/>
      <c r="AD905" s="1912"/>
      <c r="AE905" s="1912"/>
      <c r="AF905" s="1912"/>
      <c r="AG905" s="1912"/>
    </row>
    <row r="906">
      <c r="A906" s="1912"/>
      <c r="B906" s="1912"/>
      <c r="C906" s="1912"/>
      <c r="D906" s="1912"/>
      <c r="E906" s="1912"/>
      <c r="F906" s="1912"/>
      <c r="G906" s="1912"/>
      <c r="H906" s="1912"/>
      <c r="I906" s="1912"/>
      <c r="J906" s="1912"/>
      <c r="K906" s="1912"/>
      <c r="L906" s="1912"/>
      <c r="M906" s="1912"/>
      <c r="N906" s="1912"/>
      <c r="O906" s="1912"/>
      <c r="P906" s="1912"/>
      <c r="Q906" s="1912"/>
      <c r="R906" s="1912"/>
      <c r="S906" s="1912"/>
      <c r="T906" s="1912"/>
      <c r="U906" s="1912"/>
      <c r="V906" s="1912"/>
      <c r="W906" s="1912"/>
      <c r="X906" s="1912"/>
      <c r="Y906" s="1912"/>
      <c r="Z906" s="1912"/>
      <c r="AA906" s="1912"/>
      <c r="AB906" s="1912"/>
      <c r="AC906" s="1912"/>
      <c r="AD906" s="1912"/>
      <c r="AE906" s="1912"/>
      <c r="AF906" s="1912"/>
      <c r="AG906" s="1912"/>
    </row>
    <row r="907">
      <c r="A907" s="1912"/>
      <c r="B907" s="1912"/>
      <c r="C907" s="1912"/>
      <c r="D907" s="1912"/>
      <c r="E907" s="1912"/>
      <c r="F907" s="1912"/>
      <c r="G907" s="1912"/>
      <c r="H907" s="1912"/>
      <c r="I907" s="1912"/>
      <c r="J907" s="1912"/>
      <c r="K907" s="1912"/>
      <c r="L907" s="1912"/>
      <c r="M907" s="1912"/>
      <c r="N907" s="1912"/>
      <c r="O907" s="1912"/>
      <c r="P907" s="1912"/>
      <c r="Q907" s="1912"/>
      <c r="R907" s="1912"/>
      <c r="S907" s="1912"/>
      <c r="T907" s="1912"/>
      <c r="U907" s="1912"/>
      <c r="V907" s="1912"/>
      <c r="W907" s="1912"/>
      <c r="X907" s="1912"/>
      <c r="Y907" s="1912"/>
      <c r="Z907" s="1912"/>
      <c r="AA907" s="1912"/>
      <c r="AB907" s="1912"/>
      <c r="AC907" s="1912"/>
      <c r="AD907" s="1912"/>
      <c r="AE907" s="1912"/>
      <c r="AF907" s="1912"/>
      <c r="AG907" s="1912"/>
    </row>
    <row r="908">
      <c r="A908" s="1912"/>
      <c r="B908" s="1912"/>
      <c r="C908" s="1912"/>
      <c r="D908" s="1912"/>
      <c r="E908" s="1912"/>
      <c r="F908" s="1912"/>
      <c r="G908" s="1912"/>
      <c r="H908" s="1912"/>
      <c r="I908" s="1912"/>
      <c r="J908" s="1912"/>
      <c r="K908" s="1912"/>
      <c r="L908" s="1912"/>
      <c r="M908" s="1912"/>
      <c r="N908" s="1912"/>
      <c r="O908" s="1912"/>
      <c r="P908" s="1912"/>
      <c r="Q908" s="1912"/>
      <c r="R908" s="1912"/>
      <c r="S908" s="1912"/>
      <c r="T908" s="1912"/>
      <c r="U908" s="1912"/>
      <c r="V908" s="1912"/>
      <c r="W908" s="1912"/>
      <c r="X908" s="1912"/>
      <c r="Y908" s="1912"/>
      <c r="Z908" s="1912"/>
      <c r="AA908" s="1912"/>
      <c r="AB908" s="1912"/>
      <c r="AC908" s="1912"/>
      <c r="AD908" s="1912"/>
      <c r="AE908" s="1912"/>
      <c r="AF908" s="1912"/>
      <c r="AG908" s="1912"/>
    </row>
    <row r="909">
      <c r="A909" s="1912"/>
      <c r="B909" s="1912"/>
      <c r="C909" s="1912"/>
      <c r="D909" s="1912"/>
      <c r="E909" s="1912"/>
      <c r="F909" s="1912"/>
      <c r="G909" s="1912"/>
      <c r="H909" s="1912"/>
      <c r="I909" s="1912"/>
      <c r="J909" s="1912"/>
      <c r="K909" s="1912"/>
      <c r="L909" s="1912"/>
      <c r="M909" s="1912"/>
      <c r="N909" s="1912"/>
      <c r="O909" s="1912"/>
      <c r="P909" s="1912"/>
      <c r="Q909" s="1912"/>
      <c r="R909" s="1912"/>
      <c r="S909" s="1912"/>
      <c r="T909" s="1912"/>
      <c r="U909" s="1912"/>
      <c r="V909" s="1912"/>
      <c r="W909" s="1912"/>
      <c r="X909" s="1912"/>
      <c r="Y909" s="1912"/>
      <c r="Z909" s="1912"/>
      <c r="AA909" s="1912"/>
      <c r="AB909" s="1912"/>
      <c r="AC909" s="1912"/>
      <c r="AD909" s="1912"/>
      <c r="AE909" s="1912"/>
      <c r="AF909" s="1912"/>
      <c r="AG909" s="1912"/>
    </row>
    <row r="910">
      <c r="A910" s="1912"/>
      <c r="B910" s="1912"/>
      <c r="C910" s="1912"/>
      <c r="D910" s="1912"/>
      <c r="E910" s="1912"/>
      <c r="F910" s="1912"/>
      <c r="G910" s="1912"/>
      <c r="H910" s="1912"/>
      <c r="I910" s="1912"/>
      <c r="J910" s="1912"/>
      <c r="K910" s="1912"/>
      <c r="L910" s="1912"/>
      <c r="M910" s="1912"/>
      <c r="N910" s="1912"/>
      <c r="O910" s="1912"/>
      <c r="P910" s="1912"/>
      <c r="Q910" s="1912"/>
      <c r="R910" s="1912"/>
      <c r="S910" s="1912"/>
      <c r="T910" s="1912"/>
      <c r="U910" s="1912"/>
      <c r="V910" s="1912"/>
      <c r="W910" s="1912"/>
      <c r="X910" s="1912"/>
      <c r="Y910" s="1912"/>
      <c r="Z910" s="1912"/>
      <c r="AA910" s="1912"/>
      <c r="AB910" s="1912"/>
      <c r="AC910" s="1912"/>
      <c r="AD910" s="1912"/>
      <c r="AE910" s="1912"/>
      <c r="AF910" s="1912"/>
      <c r="AG910" s="1912"/>
    </row>
    <row r="911">
      <c r="A911" s="1912"/>
      <c r="B911" s="1912"/>
      <c r="C911" s="1912"/>
      <c r="D911" s="1912"/>
      <c r="E911" s="1912"/>
      <c r="F911" s="1912"/>
      <c r="G911" s="1912"/>
      <c r="H911" s="1912"/>
      <c r="I911" s="1912"/>
      <c r="J911" s="1912"/>
      <c r="K911" s="1912"/>
      <c r="L911" s="1912"/>
      <c r="M911" s="1912"/>
      <c r="N911" s="1912"/>
      <c r="O911" s="1912"/>
      <c r="P911" s="1912"/>
      <c r="Q911" s="1912"/>
      <c r="R911" s="1912"/>
      <c r="S911" s="1912"/>
      <c r="T911" s="1912"/>
      <c r="U911" s="1912"/>
      <c r="V911" s="1912"/>
      <c r="W911" s="1912"/>
      <c r="X911" s="1912"/>
      <c r="Y911" s="1912"/>
      <c r="Z911" s="1912"/>
      <c r="AA911" s="1912"/>
      <c r="AB911" s="1912"/>
      <c r="AC911" s="1912"/>
      <c r="AD911" s="1912"/>
      <c r="AE911" s="1912"/>
      <c r="AF911" s="1912"/>
      <c r="AG911" s="1912"/>
    </row>
    <row r="912">
      <c r="A912" s="1912"/>
      <c r="B912" s="1912"/>
      <c r="C912" s="1912"/>
      <c r="D912" s="1912"/>
      <c r="E912" s="1912"/>
      <c r="F912" s="1912"/>
      <c r="G912" s="1912"/>
      <c r="H912" s="1912"/>
      <c r="I912" s="1912"/>
      <c r="J912" s="1912"/>
      <c r="K912" s="1912"/>
      <c r="L912" s="1912"/>
      <c r="M912" s="1912"/>
      <c r="N912" s="1912"/>
      <c r="O912" s="1912"/>
      <c r="P912" s="1912"/>
      <c r="Q912" s="1912"/>
      <c r="R912" s="1912"/>
      <c r="S912" s="1912"/>
      <c r="T912" s="1912"/>
      <c r="U912" s="1912"/>
      <c r="V912" s="1912"/>
      <c r="W912" s="1912"/>
      <c r="X912" s="1912"/>
      <c r="Y912" s="1912"/>
      <c r="Z912" s="1912"/>
      <c r="AA912" s="1912"/>
      <c r="AB912" s="1912"/>
      <c r="AC912" s="1912"/>
      <c r="AD912" s="1912"/>
      <c r="AE912" s="1912"/>
      <c r="AF912" s="1912"/>
      <c r="AG912" s="1912"/>
    </row>
    <row r="913">
      <c r="A913" s="1912"/>
      <c r="B913" s="1912"/>
      <c r="C913" s="1912"/>
      <c r="D913" s="1912"/>
      <c r="E913" s="1912"/>
      <c r="F913" s="1912"/>
      <c r="G913" s="1912"/>
      <c r="H913" s="1912"/>
      <c r="I913" s="1912"/>
      <c r="J913" s="1912"/>
      <c r="K913" s="1912"/>
      <c r="L913" s="1912"/>
      <c r="M913" s="1912"/>
      <c r="N913" s="1912"/>
      <c r="O913" s="1912"/>
      <c r="P913" s="1912"/>
      <c r="Q913" s="1912"/>
      <c r="R913" s="1912"/>
      <c r="S913" s="1912"/>
      <c r="T913" s="1912"/>
      <c r="U913" s="1912"/>
      <c r="V913" s="1912"/>
      <c r="W913" s="1912"/>
      <c r="X913" s="1912"/>
      <c r="Y913" s="1912"/>
      <c r="Z913" s="1912"/>
      <c r="AA913" s="1912"/>
      <c r="AB913" s="1912"/>
      <c r="AC913" s="1912"/>
      <c r="AD913" s="1912"/>
      <c r="AE913" s="1912"/>
      <c r="AF913" s="1912"/>
      <c r="AG913" s="1912"/>
    </row>
    <row r="914">
      <c r="A914" s="1912"/>
      <c r="B914" s="1912"/>
      <c r="C914" s="1912"/>
      <c r="D914" s="1912"/>
      <c r="E914" s="1912"/>
      <c r="F914" s="1912"/>
      <c r="G914" s="1912"/>
      <c r="H914" s="1912"/>
      <c r="I914" s="1912"/>
      <c r="J914" s="1912"/>
      <c r="K914" s="1912"/>
      <c r="L914" s="1912"/>
      <c r="M914" s="1912"/>
      <c r="N914" s="1912"/>
      <c r="O914" s="1912"/>
      <c r="P914" s="1912"/>
      <c r="Q914" s="1912"/>
      <c r="R914" s="1912"/>
      <c r="S914" s="1912"/>
      <c r="T914" s="1912"/>
      <c r="U914" s="1912"/>
      <c r="V914" s="1912"/>
      <c r="W914" s="1912"/>
      <c r="X914" s="1912"/>
      <c r="Y914" s="1912"/>
      <c r="Z914" s="1912"/>
      <c r="AA914" s="1912"/>
      <c r="AB914" s="1912"/>
      <c r="AC914" s="1912"/>
      <c r="AD914" s="1912"/>
      <c r="AE914" s="1912"/>
      <c r="AF914" s="1912"/>
      <c r="AG914" s="1912"/>
    </row>
    <row r="915">
      <c r="A915" s="1912"/>
      <c r="B915" s="1912"/>
      <c r="C915" s="1912"/>
      <c r="D915" s="1912"/>
      <c r="E915" s="1912"/>
      <c r="F915" s="1912"/>
      <c r="G915" s="1912"/>
      <c r="H915" s="1912"/>
      <c r="I915" s="1912"/>
      <c r="J915" s="1912"/>
      <c r="K915" s="1912"/>
      <c r="L915" s="1912"/>
      <c r="M915" s="1912"/>
      <c r="N915" s="1912"/>
      <c r="O915" s="1912"/>
      <c r="P915" s="1912"/>
      <c r="Q915" s="1912"/>
      <c r="R915" s="1912"/>
      <c r="S915" s="1912"/>
      <c r="T915" s="1912"/>
      <c r="U915" s="1912"/>
      <c r="V915" s="1912"/>
      <c r="W915" s="1912"/>
      <c r="X915" s="1912"/>
      <c r="Y915" s="1912"/>
      <c r="Z915" s="1912"/>
      <c r="AA915" s="1912"/>
      <c r="AB915" s="1912"/>
      <c r="AC915" s="1912"/>
      <c r="AD915" s="1912"/>
      <c r="AE915" s="1912"/>
      <c r="AF915" s="1912"/>
      <c r="AG915" s="1912"/>
    </row>
    <row r="916">
      <c r="A916" s="1912"/>
      <c r="B916" s="1912"/>
      <c r="C916" s="1912"/>
      <c r="D916" s="1912"/>
      <c r="E916" s="1912"/>
      <c r="F916" s="1912"/>
      <c r="G916" s="1912"/>
      <c r="H916" s="1912"/>
      <c r="I916" s="1912"/>
      <c r="J916" s="1912"/>
      <c r="K916" s="1912"/>
      <c r="L916" s="1912"/>
      <c r="M916" s="1912"/>
      <c r="N916" s="1912"/>
      <c r="O916" s="1912"/>
      <c r="P916" s="1912"/>
      <c r="Q916" s="1912"/>
      <c r="R916" s="1912"/>
      <c r="S916" s="1912"/>
      <c r="T916" s="1912"/>
      <c r="U916" s="1912"/>
      <c r="V916" s="1912"/>
      <c r="W916" s="1912"/>
      <c r="X916" s="1912"/>
      <c r="Y916" s="1912"/>
      <c r="Z916" s="1912"/>
      <c r="AA916" s="1912"/>
      <c r="AB916" s="1912"/>
      <c r="AC916" s="1912"/>
      <c r="AD916" s="1912"/>
      <c r="AE916" s="1912"/>
      <c r="AF916" s="1912"/>
      <c r="AG916" s="1912"/>
    </row>
    <row r="917">
      <c r="A917" s="1912"/>
      <c r="B917" s="1912"/>
      <c r="C917" s="1912"/>
      <c r="D917" s="1912"/>
      <c r="E917" s="1912"/>
      <c r="F917" s="1912"/>
      <c r="G917" s="1912"/>
      <c r="H917" s="1912"/>
      <c r="I917" s="1912"/>
      <c r="J917" s="1912"/>
      <c r="K917" s="1912"/>
      <c r="L917" s="1912"/>
      <c r="M917" s="1912"/>
      <c r="N917" s="1912"/>
      <c r="O917" s="1912"/>
      <c r="P917" s="1912"/>
      <c r="Q917" s="1912"/>
      <c r="R917" s="1912"/>
      <c r="S917" s="1912"/>
      <c r="T917" s="1912"/>
      <c r="U917" s="1912"/>
      <c r="V917" s="1912"/>
      <c r="W917" s="1912"/>
      <c r="X917" s="1912"/>
      <c r="Y917" s="1912"/>
      <c r="Z917" s="1912"/>
      <c r="AA917" s="1912"/>
      <c r="AB917" s="1912"/>
      <c r="AC917" s="1912"/>
      <c r="AD917" s="1912"/>
      <c r="AE917" s="1912"/>
      <c r="AF917" s="1912"/>
      <c r="AG917" s="1912"/>
    </row>
    <row r="918">
      <c r="A918" s="1912"/>
      <c r="B918" s="1912"/>
      <c r="C918" s="1912"/>
      <c r="D918" s="1912"/>
      <c r="E918" s="1912"/>
      <c r="F918" s="1912"/>
      <c r="G918" s="1912"/>
      <c r="H918" s="1912"/>
      <c r="I918" s="1912"/>
      <c r="J918" s="1912"/>
      <c r="K918" s="1912"/>
      <c r="L918" s="1912"/>
      <c r="M918" s="1912"/>
      <c r="N918" s="1912"/>
      <c r="O918" s="1912"/>
      <c r="P918" s="1912"/>
      <c r="Q918" s="1912"/>
      <c r="R918" s="1912"/>
      <c r="S918" s="1912"/>
      <c r="T918" s="1912"/>
      <c r="U918" s="1912"/>
      <c r="V918" s="1912"/>
      <c r="W918" s="1912"/>
      <c r="X918" s="1912"/>
      <c r="Y918" s="1912"/>
      <c r="Z918" s="1912"/>
      <c r="AA918" s="1912"/>
      <c r="AB918" s="1912"/>
      <c r="AC918" s="1912"/>
      <c r="AD918" s="1912"/>
      <c r="AE918" s="1912"/>
      <c r="AF918" s="1912"/>
      <c r="AG918" s="1912"/>
    </row>
    <row r="919">
      <c r="A919" s="1912"/>
      <c r="B919" s="1912"/>
      <c r="C919" s="1912"/>
      <c r="D919" s="1912"/>
      <c r="E919" s="1912"/>
      <c r="F919" s="1912"/>
      <c r="G919" s="1912"/>
      <c r="H919" s="1912"/>
      <c r="I919" s="1912"/>
      <c r="J919" s="1912"/>
      <c r="K919" s="1912"/>
      <c r="L919" s="1912"/>
      <c r="M919" s="1912"/>
      <c r="N919" s="1912"/>
      <c r="O919" s="1912"/>
      <c r="P919" s="1912"/>
      <c r="Q919" s="1912"/>
      <c r="R919" s="1912"/>
      <c r="S919" s="1912"/>
      <c r="T919" s="1912"/>
      <c r="U919" s="1912"/>
      <c r="V919" s="1912"/>
      <c r="W919" s="1912"/>
      <c r="X919" s="1912"/>
      <c r="Y919" s="1912"/>
      <c r="Z919" s="1912"/>
      <c r="AA919" s="1912"/>
      <c r="AB919" s="1912"/>
      <c r="AC919" s="1912"/>
      <c r="AD919" s="1912"/>
      <c r="AE919" s="1912"/>
      <c r="AF919" s="1912"/>
      <c r="AG919" s="1912"/>
    </row>
    <row r="920">
      <c r="A920" s="1912"/>
      <c r="B920" s="1912"/>
      <c r="C920" s="1912"/>
      <c r="D920" s="1912"/>
      <c r="E920" s="1912"/>
      <c r="F920" s="1912"/>
      <c r="G920" s="1912"/>
      <c r="H920" s="1912"/>
      <c r="I920" s="1912"/>
      <c r="J920" s="1912"/>
      <c r="K920" s="1912"/>
      <c r="L920" s="1912"/>
      <c r="M920" s="1912"/>
      <c r="N920" s="1912"/>
      <c r="O920" s="1912"/>
      <c r="P920" s="1912"/>
      <c r="Q920" s="1912"/>
      <c r="R920" s="1912"/>
      <c r="S920" s="1912"/>
      <c r="T920" s="1912"/>
      <c r="U920" s="1912"/>
      <c r="V920" s="1912"/>
      <c r="W920" s="1912"/>
      <c r="X920" s="1912"/>
      <c r="Y920" s="1912"/>
      <c r="Z920" s="1912"/>
      <c r="AA920" s="1912"/>
      <c r="AB920" s="1912"/>
      <c r="AC920" s="1912"/>
      <c r="AD920" s="1912"/>
      <c r="AE920" s="1912"/>
      <c r="AF920" s="1912"/>
      <c r="AG920" s="1912"/>
    </row>
    <row r="921">
      <c r="A921" s="1912"/>
      <c r="B921" s="1912"/>
      <c r="C921" s="1912"/>
      <c r="D921" s="1912"/>
      <c r="E921" s="1912"/>
      <c r="F921" s="1912"/>
      <c r="G921" s="1912"/>
      <c r="H921" s="1912"/>
      <c r="I921" s="1912"/>
      <c r="J921" s="1912"/>
      <c r="K921" s="1912"/>
      <c r="L921" s="1912"/>
      <c r="M921" s="1912"/>
      <c r="N921" s="1912"/>
      <c r="O921" s="1912"/>
      <c r="P921" s="1912"/>
      <c r="Q921" s="1912"/>
      <c r="R921" s="1912"/>
      <c r="S921" s="1912"/>
      <c r="T921" s="1912"/>
      <c r="U921" s="1912"/>
      <c r="V921" s="1912"/>
      <c r="W921" s="1912"/>
      <c r="X921" s="1912"/>
      <c r="Y921" s="1912"/>
      <c r="Z921" s="1912"/>
      <c r="AA921" s="1912"/>
      <c r="AB921" s="1912"/>
      <c r="AC921" s="1912"/>
      <c r="AD921" s="1912"/>
      <c r="AE921" s="1912"/>
      <c r="AF921" s="1912"/>
      <c r="AG921" s="1912"/>
    </row>
    <row r="922">
      <c r="A922" s="1912"/>
      <c r="B922" s="1912"/>
      <c r="C922" s="1912"/>
      <c r="D922" s="1912"/>
      <c r="E922" s="1912"/>
      <c r="F922" s="1912"/>
      <c r="G922" s="1912"/>
      <c r="H922" s="1912"/>
      <c r="I922" s="1912"/>
      <c r="J922" s="1912"/>
      <c r="K922" s="1912"/>
      <c r="L922" s="1912"/>
      <c r="M922" s="1912"/>
      <c r="N922" s="1912"/>
      <c r="O922" s="1912"/>
      <c r="P922" s="1912"/>
      <c r="Q922" s="1912"/>
      <c r="R922" s="1912"/>
      <c r="S922" s="1912"/>
      <c r="T922" s="1912"/>
      <c r="U922" s="1912"/>
      <c r="V922" s="1912"/>
      <c r="W922" s="1912"/>
      <c r="X922" s="1912"/>
      <c r="Y922" s="1912"/>
      <c r="Z922" s="1912"/>
      <c r="AA922" s="1912"/>
      <c r="AB922" s="1912"/>
      <c r="AC922" s="1912"/>
      <c r="AD922" s="1912"/>
      <c r="AE922" s="1912"/>
      <c r="AF922" s="1912"/>
      <c r="AG922" s="1912"/>
    </row>
    <row r="923">
      <c r="A923" s="1912"/>
      <c r="B923" s="1912"/>
      <c r="C923" s="1912"/>
      <c r="D923" s="1912"/>
      <c r="E923" s="1912"/>
      <c r="F923" s="1912"/>
      <c r="G923" s="1912"/>
      <c r="H923" s="1912"/>
      <c r="I923" s="1912"/>
      <c r="J923" s="1912"/>
      <c r="K923" s="1912"/>
      <c r="L923" s="1912"/>
      <c r="M923" s="1912"/>
      <c r="N923" s="1912"/>
      <c r="O923" s="1912"/>
      <c r="P923" s="1912"/>
      <c r="Q923" s="1912"/>
      <c r="R923" s="1912"/>
      <c r="S923" s="1912"/>
      <c r="T923" s="1912"/>
      <c r="U923" s="1912"/>
      <c r="V923" s="1912"/>
      <c r="W923" s="1912"/>
      <c r="X923" s="1912"/>
      <c r="Y923" s="1912"/>
      <c r="Z923" s="1912"/>
      <c r="AA923" s="1912"/>
      <c r="AB923" s="1912"/>
      <c r="AC923" s="1912"/>
      <c r="AD923" s="1912"/>
      <c r="AE923" s="1912"/>
      <c r="AF923" s="1912"/>
      <c r="AG923" s="1912"/>
    </row>
    <row r="924">
      <c r="A924" s="1912"/>
      <c r="B924" s="1912"/>
      <c r="C924" s="1912"/>
      <c r="D924" s="1912"/>
      <c r="E924" s="1912"/>
      <c r="F924" s="1912"/>
      <c r="G924" s="1912"/>
      <c r="H924" s="1912"/>
      <c r="I924" s="1912"/>
      <c r="J924" s="1912"/>
      <c r="K924" s="1912"/>
      <c r="L924" s="1912"/>
      <c r="M924" s="1912"/>
      <c r="N924" s="1912"/>
      <c r="O924" s="1912"/>
      <c r="P924" s="1912"/>
      <c r="Q924" s="1912"/>
      <c r="R924" s="1912"/>
      <c r="S924" s="1912"/>
      <c r="T924" s="1912"/>
      <c r="U924" s="1912"/>
      <c r="V924" s="1912"/>
      <c r="W924" s="1912"/>
      <c r="X924" s="1912"/>
      <c r="Y924" s="1912"/>
      <c r="Z924" s="1912"/>
      <c r="AA924" s="1912"/>
      <c r="AB924" s="1912"/>
      <c r="AC924" s="1912"/>
      <c r="AD924" s="1912"/>
      <c r="AE924" s="1912"/>
      <c r="AF924" s="1912"/>
      <c r="AG924" s="1912"/>
    </row>
    <row r="925">
      <c r="A925" s="1912"/>
      <c r="B925" s="1912"/>
      <c r="C925" s="1912"/>
      <c r="D925" s="1912"/>
      <c r="E925" s="1912"/>
      <c r="F925" s="1912"/>
      <c r="G925" s="1912"/>
      <c r="H925" s="1912"/>
      <c r="I925" s="1912"/>
      <c r="J925" s="1912"/>
      <c r="K925" s="1912"/>
      <c r="L925" s="1912"/>
      <c r="M925" s="1912"/>
      <c r="N925" s="1912"/>
      <c r="O925" s="1912"/>
      <c r="P925" s="1912"/>
      <c r="Q925" s="1912"/>
      <c r="R925" s="1912"/>
      <c r="S925" s="1912"/>
      <c r="T925" s="1912"/>
      <c r="U925" s="1912"/>
      <c r="V925" s="1912"/>
      <c r="W925" s="1912"/>
      <c r="X925" s="1912"/>
      <c r="Y925" s="1912"/>
      <c r="Z925" s="1912"/>
      <c r="AA925" s="1912"/>
      <c r="AB925" s="1912"/>
      <c r="AC925" s="1912"/>
      <c r="AD925" s="1912"/>
      <c r="AE925" s="1912"/>
      <c r="AF925" s="1912"/>
      <c r="AG925" s="1912"/>
    </row>
    <row r="926">
      <c r="A926" s="1912"/>
      <c r="B926" s="1912"/>
      <c r="C926" s="1912"/>
      <c r="D926" s="1912"/>
      <c r="E926" s="1912"/>
      <c r="F926" s="1912"/>
      <c r="G926" s="1912"/>
      <c r="H926" s="1912"/>
      <c r="I926" s="1912"/>
      <c r="J926" s="1912"/>
      <c r="K926" s="1912"/>
      <c r="L926" s="1912"/>
      <c r="M926" s="1912"/>
      <c r="N926" s="1912"/>
      <c r="O926" s="1912"/>
      <c r="P926" s="1912"/>
      <c r="Q926" s="1912"/>
      <c r="R926" s="1912"/>
      <c r="S926" s="1912"/>
      <c r="T926" s="1912"/>
      <c r="U926" s="1912"/>
      <c r="V926" s="1912"/>
      <c r="W926" s="1912"/>
      <c r="X926" s="1912"/>
      <c r="Y926" s="1912"/>
      <c r="Z926" s="1912"/>
      <c r="AA926" s="1912"/>
      <c r="AB926" s="1912"/>
      <c r="AC926" s="1912"/>
      <c r="AD926" s="1912"/>
      <c r="AE926" s="1912"/>
      <c r="AF926" s="1912"/>
      <c r="AG926" s="1912"/>
    </row>
    <row r="927">
      <c r="A927" s="1912"/>
      <c r="B927" s="1912"/>
      <c r="C927" s="1912"/>
      <c r="D927" s="1912"/>
      <c r="E927" s="1912"/>
      <c r="F927" s="1912"/>
      <c r="G927" s="1912"/>
      <c r="H927" s="1912"/>
      <c r="I927" s="1912"/>
      <c r="J927" s="1912"/>
      <c r="K927" s="1912"/>
      <c r="L927" s="1912"/>
      <c r="M927" s="1912"/>
      <c r="N927" s="1912"/>
      <c r="O927" s="1912"/>
      <c r="P927" s="1912"/>
      <c r="Q927" s="1912"/>
      <c r="R927" s="1912"/>
      <c r="S927" s="1912"/>
      <c r="T927" s="1912"/>
      <c r="U927" s="1912"/>
      <c r="V927" s="1912"/>
      <c r="W927" s="1912"/>
      <c r="X927" s="1912"/>
      <c r="Y927" s="1912"/>
      <c r="Z927" s="1912"/>
      <c r="AA927" s="1912"/>
      <c r="AB927" s="1912"/>
      <c r="AC927" s="1912"/>
      <c r="AD927" s="1912"/>
      <c r="AE927" s="1912"/>
      <c r="AF927" s="1912"/>
      <c r="AG927" s="1912"/>
    </row>
    <row r="928">
      <c r="A928" s="1912"/>
      <c r="B928" s="1912"/>
      <c r="C928" s="1912"/>
      <c r="D928" s="1912"/>
      <c r="E928" s="1912"/>
      <c r="F928" s="1912"/>
      <c r="G928" s="1912"/>
      <c r="H928" s="1912"/>
      <c r="I928" s="1912"/>
      <c r="J928" s="1912"/>
      <c r="K928" s="1912"/>
      <c r="L928" s="1912"/>
      <c r="M928" s="1912"/>
      <c r="N928" s="1912"/>
      <c r="O928" s="1912"/>
      <c r="P928" s="1912"/>
      <c r="Q928" s="1912"/>
      <c r="R928" s="1912"/>
      <c r="S928" s="1912"/>
      <c r="T928" s="1912"/>
      <c r="U928" s="1912"/>
      <c r="V928" s="1912"/>
      <c r="W928" s="1912"/>
      <c r="X928" s="1912"/>
      <c r="Y928" s="1912"/>
      <c r="Z928" s="1912"/>
      <c r="AA928" s="1912"/>
      <c r="AB928" s="1912"/>
      <c r="AC928" s="1912"/>
      <c r="AD928" s="1912"/>
      <c r="AE928" s="1912"/>
      <c r="AF928" s="1912"/>
      <c r="AG928" s="1912"/>
    </row>
    <row r="929">
      <c r="A929" s="1912"/>
      <c r="B929" s="1912"/>
      <c r="C929" s="1912"/>
      <c r="D929" s="1912"/>
      <c r="E929" s="1912"/>
      <c r="F929" s="1912"/>
      <c r="G929" s="1912"/>
      <c r="H929" s="1912"/>
      <c r="I929" s="1912"/>
      <c r="J929" s="1912"/>
      <c r="K929" s="1912"/>
      <c r="L929" s="1912"/>
      <c r="M929" s="1912"/>
      <c r="N929" s="1912"/>
      <c r="O929" s="1912"/>
      <c r="P929" s="1912"/>
      <c r="Q929" s="1912"/>
      <c r="R929" s="1912"/>
      <c r="S929" s="1912"/>
      <c r="T929" s="1912"/>
      <c r="U929" s="1912"/>
      <c r="V929" s="1912"/>
      <c r="W929" s="1912"/>
      <c r="X929" s="1912"/>
      <c r="Y929" s="1912"/>
      <c r="Z929" s="1912"/>
      <c r="AA929" s="1912"/>
      <c r="AB929" s="1912"/>
      <c r="AC929" s="1912"/>
      <c r="AD929" s="1912"/>
      <c r="AE929" s="1912"/>
      <c r="AF929" s="1912"/>
      <c r="AG929" s="1912"/>
    </row>
    <row r="930">
      <c r="A930" s="1912"/>
      <c r="B930" s="1912"/>
      <c r="C930" s="1912"/>
      <c r="D930" s="1912"/>
      <c r="E930" s="1912"/>
      <c r="F930" s="1912"/>
      <c r="G930" s="1912"/>
      <c r="H930" s="1912"/>
      <c r="I930" s="1912"/>
      <c r="J930" s="1912"/>
      <c r="K930" s="1912"/>
      <c r="L930" s="1912"/>
      <c r="M930" s="1912"/>
      <c r="N930" s="1912"/>
      <c r="O930" s="1912"/>
      <c r="P930" s="1912"/>
      <c r="Q930" s="1912"/>
      <c r="R930" s="1912"/>
      <c r="S930" s="1912"/>
      <c r="T930" s="1912"/>
      <c r="U930" s="1912"/>
      <c r="V930" s="1912"/>
      <c r="W930" s="1912"/>
      <c r="X930" s="1912"/>
      <c r="Y930" s="1912"/>
      <c r="Z930" s="1912"/>
      <c r="AA930" s="1912"/>
      <c r="AB930" s="1912"/>
      <c r="AC930" s="1912"/>
      <c r="AD930" s="1912"/>
      <c r="AE930" s="1912"/>
      <c r="AF930" s="1912"/>
      <c r="AG930" s="1912"/>
    </row>
    <row r="931">
      <c r="A931" s="1912"/>
      <c r="B931" s="1912"/>
      <c r="C931" s="1912"/>
      <c r="D931" s="1912"/>
      <c r="E931" s="1912"/>
      <c r="F931" s="1912"/>
      <c r="G931" s="1912"/>
      <c r="H931" s="1912"/>
      <c r="I931" s="1912"/>
      <c r="J931" s="1912"/>
      <c r="K931" s="1912"/>
      <c r="L931" s="1912"/>
      <c r="M931" s="1912"/>
      <c r="N931" s="1912"/>
      <c r="O931" s="1912"/>
      <c r="P931" s="1912"/>
      <c r="Q931" s="1912"/>
      <c r="R931" s="1912"/>
      <c r="S931" s="1912"/>
      <c r="T931" s="1912"/>
      <c r="U931" s="1912"/>
      <c r="V931" s="1912"/>
      <c r="W931" s="1912"/>
      <c r="X931" s="1912"/>
      <c r="Y931" s="1912"/>
      <c r="Z931" s="1912"/>
      <c r="AA931" s="1912"/>
      <c r="AB931" s="1912"/>
      <c r="AC931" s="1912"/>
      <c r="AD931" s="1912"/>
      <c r="AE931" s="1912"/>
      <c r="AF931" s="1912"/>
      <c r="AG931" s="1912"/>
    </row>
    <row r="932">
      <c r="A932" s="1912"/>
      <c r="B932" s="1912"/>
      <c r="C932" s="1912"/>
      <c r="D932" s="1912"/>
      <c r="E932" s="1912"/>
      <c r="F932" s="1912"/>
      <c r="G932" s="1912"/>
      <c r="H932" s="1912"/>
      <c r="I932" s="1912"/>
      <c r="J932" s="1912"/>
      <c r="K932" s="1912"/>
      <c r="L932" s="1912"/>
      <c r="M932" s="1912"/>
      <c r="N932" s="1912"/>
      <c r="O932" s="1912"/>
      <c r="P932" s="1912"/>
      <c r="Q932" s="1912"/>
      <c r="R932" s="1912"/>
      <c r="S932" s="1912"/>
      <c r="T932" s="1912"/>
      <c r="U932" s="1912"/>
      <c r="V932" s="1912"/>
      <c r="W932" s="1912"/>
      <c r="X932" s="1912"/>
      <c r="Y932" s="1912"/>
      <c r="Z932" s="1912"/>
      <c r="AA932" s="1912"/>
      <c r="AB932" s="1912"/>
      <c r="AC932" s="1912"/>
      <c r="AD932" s="1912"/>
      <c r="AE932" s="1912"/>
      <c r="AF932" s="1912"/>
      <c r="AG932" s="1912"/>
    </row>
    <row r="933">
      <c r="A933" s="1912"/>
      <c r="B933" s="1912"/>
      <c r="C933" s="1912"/>
      <c r="D933" s="1912"/>
      <c r="E933" s="1912"/>
      <c r="F933" s="1912"/>
      <c r="G933" s="1912"/>
      <c r="H933" s="1912"/>
      <c r="I933" s="1912"/>
      <c r="J933" s="1912"/>
      <c r="K933" s="1912"/>
      <c r="L933" s="1912"/>
      <c r="M933" s="1912"/>
      <c r="N933" s="1912"/>
      <c r="O933" s="1912"/>
      <c r="P933" s="1912"/>
      <c r="Q933" s="1912"/>
      <c r="R933" s="1912"/>
      <c r="S933" s="1912"/>
      <c r="T933" s="1912"/>
      <c r="U933" s="1912"/>
      <c r="V933" s="1912"/>
      <c r="W933" s="1912"/>
      <c r="X933" s="1912"/>
      <c r="Y933" s="1912"/>
      <c r="Z933" s="1912"/>
      <c r="AA933" s="1912"/>
      <c r="AB933" s="1912"/>
      <c r="AC933" s="1912"/>
      <c r="AD933" s="1912"/>
      <c r="AE933" s="1912"/>
      <c r="AF933" s="1912"/>
      <c r="AG933" s="1912"/>
    </row>
    <row r="934">
      <c r="A934" s="1912"/>
      <c r="B934" s="1912"/>
      <c r="C934" s="1912"/>
      <c r="D934" s="1912"/>
      <c r="E934" s="1912"/>
      <c r="F934" s="1912"/>
      <c r="G934" s="1912"/>
      <c r="H934" s="1912"/>
      <c r="I934" s="1912"/>
      <c r="J934" s="1912"/>
      <c r="K934" s="1912"/>
      <c r="L934" s="1912"/>
      <c r="M934" s="1912"/>
      <c r="N934" s="1912"/>
      <c r="O934" s="1912"/>
      <c r="P934" s="1912"/>
      <c r="Q934" s="1912"/>
      <c r="R934" s="1912"/>
      <c r="S934" s="1912"/>
      <c r="T934" s="1912"/>
      <c r="U934" s="1912"/>
      <c r="V934" s="1912"/>
      <c r="W934" s="1912"/>
      <c r="X934" s="1912"/>
      <c r="Y934" s="1912"/>
      <c r="Z934" s="1912"/>
      <c r="AA934" s="1912"/>
      <c r="AB934" s="1912"/>
      <c r="AC934" s="1912"/>
      <c r="AD934" s="1912"/>
      <c r="AE934" s="1912"/>
      <c r="AF934" s="1912"/>
      <c r="AG934" s="1912"/>
    </row>
    <row r="935">
      <c r="A935" s="1912"/>
      <c r="B935" s="1912"/>
      <c r="C935" s="1912"/>
      <c r="D935" s="1912"/>
      <c r="E935" s="1912"/>
      <c r="F935" s="1912"/>
      <c r="G935" s="1912"/>
      <c r="H935" s="1912"/>
      <c r="I935" s="1912"/>
      <c r="J935" s="1912"/>
      <c r="K935" s="1912"/>
      <c r="L935" s="1912"/>
      <c r="M935" s="1912"/>
      <c r="N935" s="1912"/>
      <c r="O935" s="1912"/>
      <c r="P935" s="1912"/>
      <c r="Q935" s="1912"/>
      <c r="R935" s="1912"/>
      <c r="S935" s="1912"/>
      <c r="T935" s="1912"/>
      <c r="U935" s="1912"/>
      <c r="V935" s="1912"/>
      <c r="W935" s="1912"/>
      <c r="X935" s="1912"/>
      <c r="Y935" s="1912"/>
      <c r="Z935" s="1912"/>
      <c r="AA935" s="1912"/>
      <c r="AB935" s="1912"/>
      <c r="AC935" s="1912"/>
      <c r="AD935" s="1912"/>
      <c r="AE935" s="1912"/>
      <c r="AF935" s="1912"/>
      <c r="AG935" s="1912"/>
    </row>
    <row r="936">
      <c r="A936" s="1912"/>
      <c r="B936" s="1912"/>
      <c r="C936" s="1912"/>
      <c r="D936" s="1912"/>
      <c r="E936" s="1912"/>
      <c r="F936" s="1912"/>
      <c r="G936" s="1912"/>
      <c r="H936" s="1912"/>
      <c r="I936" s="1912"/>
      <c r="J936" s="1912"/>
      <c r="K936" s="1912"/>
      <c r="L936" s="1912"/>
      <c r="M936" s="1912"/>
      <c r="N936" s="1912"/>
      <c r="O936" s="1912"/>
      <c r="P936" s="1912"/>
      <c r="Q936" s="1912"/>
      <c r="R936" s="1912"/>
      <c r="S936" s="1912"/>
      <c r="T936" s="1912"/>
      <c r="U936" s="1912"/>
      <c r="V936" s="1912"/>
      <c r="W936" s="1912"/>
      <c r="X936" s="1912"/>
      <c r="Y936" s="1912"/>
      <c r="Z936" s="1912"/>
      <c r="AA936" s="1912"/>
      <c r="AB936" s="1912"/>
      <c r="AC936" s="1912"/>
      <c r="AD936" s="1912"/>
      <c r="AE936" s="1912"/>
      <c r="AF936" s="1912"/>
      <c r="AG936" s="1912"/>
    </row>
    <row r="937">
      <c r="A937" s="1912"/>
      <c r="B937" s="1912"/>
      <c r="C937" s="1912"/>
      <c r="D937" s="1912"/>
      <c r="E937" s="1912"/>
      <c r="F937" s="1912"/>
      <c r="G937" s="1912"/>
      <c r="H937" s="1912"/>
      <c r="I937" s="1912"/>
      <c r="J937" s="1912"/>
      <c r="K937" s="1912"/>
      <c r="L937" s="1912"/>
      <c r="M937" s="1912"/>
      <c r="N937" s="1912"/>
      <c r="O937" s="1912"/>
      <c r="P937" s="1912"/>
      <c r="Q937" s="1912"/>
      <c r="R937" s="1912"/>
      <c r="S937" s="1912"/>
      <c r="T937" s="1912"/>
      <c r="U937" s="1912"/>
      <c r="V937" s="1912"/>
      <c r="W937" s="1912"/>
      <c r="X937" s="1912"/>
      <c r="Y937" s="1912"/>
      <c r="Z937" s="1912"/>
      <c r="AA937" s="1912"/>
      <c r="AB937" s="1912"/>
      <c r="AC937" s="1912"/>
      <c r="AD937" s="1912"/>
      <c r="AE937" s="1912"/>
      <c r="AF937" s="1912"/>
      <c r="AG937" s="1912"/>
    </row>
    <row r="938">
      <c r="A938" s="1912"/>
      <c r="B938" s="1912"/>
      <c r="C938" s="1912"/>
      <c r="D938" s="1912"/>
      <c r="E938" s="1912"/>
      <c r="F938" s="1912"/>
      <c r="G938" s="1912"/>
      <c r="H938" s="1912"/>
      <c r="I938" s="1912"/>
      <c r="J938" s="1912"/>
      <c r="K938" s="1912"/>
      <c r="L938" s="1912"/>
      <c r="M938" s="1912"/>
      <c r="N938" s="1912"/>
      <c r="O938" s="1912"/>
      <c r="P938" s="1912"/>
      <c r="Q938" s="1912"/>
      <c r="R938" s="1912"/>
      <c r="S938" s="1912"/>
      <c r="T938" s="1912"/>
      <c r="U938" s="1912"/>
      <c r="V938" s="1912"/>
      <c r="W938" s="1912"/>
      <c r="X938" s="1912"/>
      <c r="Y938" s="1912"/>
      <c r="Z938" s="1912"/>
      <c r="AA938" s="1912"/>
      <c r="AB938" s="1912"/>
      <c r="AC938" s="1912"/>
      <c r="AD938" s="1912"/>
      <c r="AE938" s="1912"/>
      <c r="AF938" s="1912"/>
      <c r="AG938" s="1912"/>
    </row>
    <row r="939">
      <c r="A939" s="1912"/>
      <c r="B939" s="1912"/>
      <c r="C939" s="1912"/>
      <c r="D939" s="1912"/>
      <c r="E939" s="1912"/>
      <c r="F939" s="1912"/>
      <c r="G939" s="1912"/>
      <c r="H939" s="1912"/>
      <c r="I939" s="1912"/>
      <c r="J939" s="1912"/>
      <c r="K939" s="1912"/>
      <c r="L939" s="1912"/>
      <c r="M939" s="1912"/>
      <c r="N939" s="1912"/>
      <c r="O939" s="1912"/>
      <c r="P939" s="1912"/>
      <c r="Q939" s="1912"/>
      <c r="R939" s="1912"/>
      <c r="S939" s="1912"/>
      <c r="T939" s="1912"/>
      <c r="U939" s="1912"/>
      <c r="V939" s="1912"/>
      <c r="W939" s="1912"/>
      <c r="X939" s="1912"/>
      <c r="Y939" s="1912"/>
      <c r="Z939" s="1912"/>
      <c r="AA939" s="1912"/>
      <c r="AB939" s="1912"/>
      <c r="AC939" s="1912"/>
      <c r="AD939" s="1912"/>
      <c r="AE939" s="1912"/>
      <c r="AF939" s="1912"/>
      <c r="AG939" s="1912"/>
    </row>
    <row r="940">
      <c r="A940" s="1912"/>
      <c r="B940" s="1912"/>
      <c r="C940" s="1912"/>
      <c r="D940" s="1912"/>
      <c r="E940" s="1912"/>
      <c r="F940" s="1912"/>
      <c r="G940" s="1912"/>
      <c r="H940" s="1912"/>
      <c r="I940" s="1912"/>
      <c r="J940" s="1912"/>
      <c r="K940" s="1912"/>
      <c r="L940" s="1912"/>
      <c r="M940" s="1912"/>
      <c r="N940" s="1912"/>
      <c r="O940" s="1912"/>
      <c r="P940" s="1912"/>
      <c r="Q940" s="1912"/>
      <c r="R940" s="1912"/>
      <c r="S940" s="1912"/>
      <c r="T940" s="1912"/>
      <c r="U940" s="1912"/>
      <c r="V940" s="1912"/>
      <c r="W940" s="1912"/>
      <c r="X940" s="1912"/>
      <c r="Y940" s="1912"/>
      <c r="Z940" s="1912"/>
      <c r="AA940" s="1912"/>
      <c r="AB940" s="1912"/>
      <c r="AC940" s="1912"/>
      <c r="AD940" s="1912"/>
      <c r="AE940" s="1912"/>
      <c r="AF940" s="1912"/>
      <c r="AG940" s="1912"/>
    </row>
    <row r="941">
      <c r="A941" s="1912"/>
      <c r="B941" s="1912"/>
      <c r="C941" s="1912"/>
      <c r="D941" s="1912"/>
      <c r="E941" s="1912"/>
      <c r="F941" s="1912"/>
      <c r="G941" s="1912"/>
      <c r="H941" s="1912"/>
      <c r="I941" s="1912"/>
      <c r="J941" s="1912"/>
      <c r="K941" s="1912"/>
      <c r="L941" s="1912"/>
      <c r="M941" s="1912"/>
      <c r="N941" s="1912"/>
      <c r="O941" s="1912"/>
      <c r="P941" s="1912"/>
      <c r="Q941" s="1912"/>
      <c r="R941" s="1912"/>
      <c r="S941" s="1912"/>
      <c r="T941" s="1912"/>
      <c r="U941" s="1912"/>
      <c r="V941" s="1912"/>
      <c r="W941" s="1912"/>
      <c r="X941" s="1912"/>
      <c r="Y941" s="1912"/>
      <c r="Z941" s="1912"/>
      <c r="AA941" s="1912"/>
      <c r="AB941" s="1912"/>
      <c r="AC941" s="1912"/>
      <c r="AD941" s="1912"/>
      <c r="AE941" s="1912"/>
      <c r="AF941" s="1912"/>
      <c r="AG941" s="1912"/>
    </row>
    <row r="942">
      <c r="A942" s="1912"/>
      <c r="B942" s="1912"/>
      <c r="C942" s="1912"/>
      <c r="D942" s="1912"/>
      <c r="E942" s="1912"/>
      <c r="F942" s="1912"/>
      <c r="G942" s="1912"/>
      <c r="H942" s="1912"/>
      <c r="I942" s="1912"/>
      <c r="J942" s="1912"/>
      <c r="K942" s="1912"/>
      <c r="L942" s="1912"/>
      <c r="M942" s="1912"/>
      <c r="N942" s="1912"/>
      <c r="O942" s="1912"/>
      <c r="P942" s="1912"/>
      <c r="Q942" s="1912"/>
      <c r="R942" s="1912"/>
      <c r="S942" s="1912"/>
      <c r="T942" s="1912"/>
      <c r="U942" s="1912"/>
      <c r="V942" s="1912"/>
      <c r="W942" s="1912"/>
      <c r="X942" s="1912"/>
      <c r="Y942" s="1912"/>
      <c r="Z942" s="1912"/>
      <c r="AA942" s="1912"/>
      <c r="AB942" s="1912"/>
      <c r="AC942" s="1912"/>
      <c r="AD942" s="1912"/>
      <c r="AE942" s="1912"/>
      <c r="AF942" s="1912"/>
      <c r="AG942" s="1912"/>
    </row>
    <row r="943">
      <c r="A943" s="1912"/>
      <c r="B943" s="1912"/>
      <c r="C943" s="1912"/>
      <c r="D943" s="1912"/>
      <c r="E943" s="1912"/>
      <c r="F943" s="1912"/>
      <c r="G943" s="1912"/>
      <c r="H943" s="1912"/>
      <c r="I943" s="1912"/>
      <c r="J943" s="1912"/>
      <c r="K943" s="1912"/>
      <c r="L943" s="1912"/>
      <c r="M943" s="1912"/>
      <c r="N943" s="1912"/>
      <c r="O943" s="1912"/>
      <c r="P943" s="1912"/>
      <c r="Q943" s="1912"/>
      <c r="R943" s="1912"/>
      <c r="S943" s="1912"/>
      <c r="T943" s="1912"/>
      <c r="U943" s="1912"/>
      <c r="V943" s="1912"/>
      <c r="W943" s="1912"/>
      <c r="X943" s="1912"/>
      <c r="Y943" s="1912"/>
      <c r="Z943" s="1912"/>
      <c r="AA943" s="1912"/>
      <c r="AB943" s="1912"/>
      <c r="AC943" s="1912"/>
      <c r="AD943" s="1912"/>
      <c r="AE943" s="1912"/>
      <c r="AF943" s="1912"/>
      <c r="AG943" s="1912"/>
    </row>
    <row r="944">
      <c r="A944" s="1912"/>
      <c r="B944" s="1912"/>
      <c r="C944" s="1912"/>
      <c r="D944" s="1912"/>
      <c r="E944" s="1912"/>
      <c r="F944" s="1912"/>
      <c r="G944" s="1912"/>
      <c r="H944" s="1912"/>
      <c r="I944" s="1912"/>
      <c r="J944" s="1912"/>
      <c r="K944" s="1912"/>
      <c r="L944" s="1912"/>
      <c r="M944" s="1912"/>
      <c r="N944" s="1912"/>
      <c r="O944" s="1912"/>
      <c r="P944" s="1912"/>
      <c r="Q944" s="1912"/>
      <c r="R944" s="1912"/>
      <c r="S944" s="1912"/>
      <c r="T944" s="1912"/>
      <c r="U944" s="1912"/>
      <c r="V944" s="1912"/>
      <c r="W944" s="1912"/>
      <c r="X944" s="1912"/>
      <c r="Y944" s="1912"/>
      <c r="Z944" s="1912"/>
      <c r="AA944" s="1912"/>
      <c r="AB944" s="1912"/>
      <c r="AC944" s="1912"/>
      <c r="AD944" s="1912"/>
      <c r="AE944" s="1912"/>
      <c r="AF944" s="1912"/>
      <c r="AG944" s="1912"/>
    </row>
    <row r="945">
      <c r="A945" s="1912"/>
      <c r="B945" s="1912"/>
      <c r="C945" s="1912"/>
      <c r="D945" s="1912"/>
      <c r="E945" s="1912"/>
      <c r="F945" s="1912"/>
      <c r="G945" s="1912"/>
      <c r="H945" s="1912"/>
      <c r="I945" s="1912"/>
      <c r="J945" s="1912"/>
      <c r="K945" s="1912"/>
      <c r="L945" s="1912"/>
      <c r="M945" s="1912"/>
      <c r="N945" s="1912"/>
      <c r="O945" s="1912"/>
      <c r="P945" s="1912"/>
      <c r="Q945" s="1912"/>
      <c r="R945" s="1912"/>
      <c r="S945" s="1912"/>
      <c r="T945" s="1912"/>
      <c r="U945" s="1912"/>
      <c r="V945" s="1912"/>
      <c r="W945" s="1912"/>
      <c r="X945" s="1912"/>
      <c r="Y945" s="1912"/>
      <c r="Z945" s="1912"/>
      <c r="AA945" s="1912"/>
      <c r="AB945" s="1912"/>
      <c r="AC945" s="1912"/>
      <c r="AD945" s="1912"/>
      <c r="AE945" s="1912"/>
      <c r="AF945" s="1912"/>
      <c r="AG945" s="1912"/>
    </row>
    <row r="946">
      <c r="A946" s="1912"/>
      <c r="B946" s="1912"/>
      <c r="C946" s="1912"/>
      <c r="D946" s="1912"/>
      <c r="E946" s="1912"/>
      <c r="F946" s="1912"/>
      <c r="G946" s="1912"/>
      <c r="H946" s="1912"/>
      <c r="I946" s="1912"/>
      <c r="J946" s="1912"/>
      <c r="K946" s="1912"/>
      <c r="L946" s="1912"/>
      <c r="M946" s="1912"/>
      <c r="N946" s="1912"/>
      <c r="O946" s="1912"/>
      <c r="P946" s="1912"/>
      <c r="Q946" s="1912"/>
      <c r="R946" s="1912"/>
      <c r="S946" s="1912"/>
      <c r="T946" s="1912"/>
      <c r="U946" s="1912"/>
      <c r="V946" s="1912"/>
      <c r="W946" s="1912"/>
      <c r="X946" s="1912"/>
      <c r="Y946" s="1912"/>
      <c r="Z946" s="1912"/>
      <c r="AA946" s="1912"/>
      <c r="AB946" s="1912"/>
      <c r="AC946" s="1912"/>
      <c r="AD946" s="1912"/>
      <c r="AE946" s="1912"/>
      <c r="AF946" s="1912"/>
      <c r="AG946" s="1912"/>
    </row>
    <row r="947">
      <c r="A947" s="1912"/>
      <c r="B947" s="1912"/>
      <c r="C947" s="1912"/>
      <c r="D947" s="1912"/>
      <c r="E947" s="1912"/>
      <c r="F947" s="1912"/>
      <c r="G947" s="1912"/>
      <c r="H947" s="1912"/>
      <c r="I947" s="1912"/>
      <c r="J947" s="1912"/>
      <c r="K947" s="1912"/>
      <c r="L947" s="1912"/>
      <c r="M947" s="1912"/>
      <c r="N947" s="1912"/>
      <c r="O947" s="1912"/>
      <c r="P947" s="1912"/>
      <c r="Q947" s="1912"/>
      <c r="R947" s="1912"/>
      <c r="S947" s="1912"/>
      <c r="T947" s="1912"/>
      <c r="U947" s="1912"/>
      <c r="V947" s="1912"/>
      <c r="W947" s="1912"/>
      <c r="X947" s="1912"/>
      <c r="Y947" s="1912"/>
      <c r="Z947" s="1912"/>
      <c r="AA947" s="1912"/>
      <c r="AB947" s="1912"/>
      <c r="AC947" s="1912"/>
      <c r="AD947" s="1912"/>
      <c r="AE947" s="1912"/>
      <c r="AF947" s="1912"/>
      <c r="AG947" s="1912"/>
    </row>
    <row r="948">
      <c r="A948" s="1912"/>
      <c r="B948" s="1912"/>
      <c r="C948" s="1912"/>
      <c r="D948" s="1912"/>
      <c r="E948" s="1912"/>
      <c r="F948" s="1912"/>
      <c r="G948" s="1912"/>
      <c r="H948" s="1912"/>
      <c r="I948" s="1912"/>
      <c r="J948" s="1912"/>
      <c r="K948" s="1912"/>
      <c r="L948" s="1912"/>
      <c r="M948" s="1912"/>
      <c r="N948" s="1912"/>
      <c r="O948" s="1912"/>
      <c r="P948" s="1912"/>
      <c r="Q948" s="1912"/>
      <c r="R948" s="1912"/>
      <c r="S948" s="1912"/>
      <c r="T948" s="1912"/>
      <c r="U948" s="1912"/>
      <c r="V948" s="1912"/>
      <c r="W948" s="1912"/>
      <c r="X948" s="1912"/>
      <c r="Y948" s="1912"/>
      <c r="Z948" s="1912"/>
      <c r="AA948" s="1912"/>
      <c r="AB948" s="1912"/>
      <c r="AC948" s="1912"/>
      <c r="AD948" s="1912"/>
      <c r="AE948" s="1912"/>
      <c r="AF948" s="1912"/>
      <c r="AG948" s="1912"/>
    </row>
    <row r="949">
      <c r="A949" s="1912"/>
      <c r="B949" s="1912"/>
      <c r="C949" s="1912"/>
      <c r="D949" s="1912"/>
      <c r="E949" s="1912"/>
      <c r="F949" s="1912"/>
      <c r="G949" s="1912"/>
      <c r="H949" s="1912"/>
      <c r="I949" s="1912"/>
      <c r="J949" s="1912"/>
      <c r="K949" s="1912"/>
      <c r="L949" s="1912"/>
      <c r="M949" s="1912"/>
      <c r="N949" s="1912"/>
      <c r="O949" s="1912"/>
      <c r="P949" s="1912"/>
      <c r="Q949" s="1912"/>
      <c r="R949" s="1912"/>
      <c r="S949" s="1912"/>
      <c r="T949" s="1912"/>
      <c r="U949" s="1912"/>
      <c r="V949" s="1912"/>
      <c r="W949" s="1912"/>
      <c r="X949" s="1912"/>
      <c r="Y949" s="1912"/>
      <c r="Z949" s="1912"/>
      <c r="AA949" s="1912"/>
      <c r="AB949" s="1912"/>
      <c r="AC949" s="1912"/>
      <c r="AD949" s="1912"/>
      <c r="AE949" s="1912"/>
      <c r="AF949" s="1912"/>
      <c r="AG949" s="1912"/>
    </row>
    <row r="950">
      <c r="A950" s="1912"/>
      <c r="B950" s="1912"/>
      <c r="C950" s="1912"/>
      <c r="D950" s="1912"/>
      <c r="E950" s="1912"/>
      <c r="F950" s="1912"/>
      <c r="G950" s="1912"/>
      <c r="H950" s="1912"/>
      <c r="I950" s="1912"/>
      <c r="J950" s="1912"/>
      <c r="K950" s="1912"/>
      <c r="L950" s="1912"/>
      <c r="M950" s="1912"/>
      <c r="N950" s="1912"/>
      <c r="O950" s="1912"/>
      <c r="P950" s="1912"/>
      <c r="Q950" s="1912"/>
      <c r="R950" s="1912"/>
      <c r="S950" s="1912"/>
      <c r="T950" s="1912"/>
      <c r="U950" s="1912"/>
      <c r="V950" s="1912"/>
      <c r="W950" s="1912"/>
      <c r="X950" s="1912"/>
      <c r="Y950" s="1912"/>
      <c r="Z950" s="1912"/>
      <c r="AA950" s="1912"/>
      <c r="AB950" s="1912"/>
      <c r="AC950" s="1912"/>
      <c r="AD950" s="1912"/>
      <c r="AE950" s="1912"/>
      <c r="AF950" s="1912"/>
      <c r="AG950" s="1912"/>
    </row>
    <row r="951">
      <c r="A951" s="1912"/>
      <c r="B951" s="1912"/>
      <c r="C951" s="1912"/>
      <c r="D951" s="1912"/>
      <c r="E951" s="1912"/>
      <c r="F951" s="1912"/>
      <c r="G951" s="1912"/>
      <c r="H951" s="1912"/>
      <c r="I951" s="1912"/>
      <c r="J951" s="1912"/>
      <c r="K951" s="1912"/>
      <c r="L951" s="1912"/>
      <c r="M951" s="1912"/>
      <c r="N951" s="1912"/>
      <c r="O951" s="1912"/>
      <c r="P951" s="1912"/>
      <c r="Q951" s="1912"/>
      <c r="R951" s="1912"/>
      <c r="S951" s="1912"/>
      <c r="T951" s="1912"/>
      <c r="U951" s="1912"/>
      <c r="V951" s="1912"/>
      <c r="W951" s="1912"/>
      <c r="X951" s="1912"/>
      <c r="Y951" s="1912"/>
      <c r="Z951" s="1912"/>
      <c r="AA951" s="1912"/>
      <c r="AB951" s="1912"/>
      <c r="AC951" s="1912"/>
      <c r="AD951" s="1912"/>
      <c r="AE951" s="1912"/>
      <c r="AF951" s="1912"/>
      <c r="AG951" s="1912"/>
    </row>
    <row r="952">
      <c r="A952" s="1912"/>
      <c r="B952" s="1912"/>
      <c r="C952" s="1912"/>
      <c r="D952" s="1912"/>
      <c r="E952" s="1912"/>
      <c r="F952" s="1912"/>
      <c r="G952" s="1912"/>
      <c r="H952" s="1912"/>
      <c r="I952" s="1912"/>
      <c r="J952" s="1912"/>
      <c r="K952" s="1912"/>
      <c r="L952" s="1912"/>
      <c r="M952" s="1912"/>
      <c r="N952" s="1912"/>
      <c r="O952" s="1912"/>
      <c r="P952" s="1912"/>
      <c r="Q952" s="1912"/>
      <c r="R952" s="1912"/>
      <c r="S952" s="1912"/>
      <c r="T952" s="1912"/>
      <c r="U952" s="1912"/>
      <c r="V952" s="1912"/>
      <c r="W952" s="1912"/>
      <c r="X952" s="1912"/>
      <c r="Y952" s="1912"/>
      <c r="Z952" s="1912"/>
      <c r="AA952" s="1912"/>
      <c r="AB952" s="1912"/>
      <c r="AC952" s="1912"/>
      <c r="AD952" s="1912"/>
      <c r="AE952" s="1912"/>
      <c r="AF952" s="1912"/>
      <c r="AG952" s="1912"/>
    </row>
    <row r="953">
      <c r="A953" s="1912"/>
      <c r="B953" s="1912"/>
      <c r="C953" s="1912"/>
      <c r="D953" s="1912"/>
      <c r="E953" s="1912"/>
      <c r="F953" s="1912"/>
      <c r="G953" s="1912"/>
      <c r="H953" s="1912"/>
      <c r="I953" s="1912"/>
      <c r="J953" s="1912"/>
      <c r="K953" s="1912"/>
      <c r="L953" s="1912"/>
      <c r="M953" s="1912"/>
      <c r="N953" s="1912"/>
      <c r="O953" s="1912"/>
      <c r="P953" s="1912"/>
      <c r="Q953" s="1912"/>
      <c r="R953" s="1912"/>
      <c r="S953" s="1912"/>
      <c r="T953" s="1912"/>
      <c r="U953" s="1912"/>
      <c r="V953" s="1912"/>
      <c r="W953" s="1912"/>
      <c r="X953" s="1912"/>
      <c r="Y953" s="1912"/>
      <c r="Z953" s="1912"/>
      <c r="AA953" s="1912"/>
      <c r="AB953" s="1912"/>
      <c r="AC953" s="1912"/>
      <c r="AD953" s="1912"/>
      <c r="AE953" s="1912"/>
      <c r="AF953" s="1912"/>
      <c r="AG953" s="1912"/>
    </row>
    <row r="954">
      <c r="A954" s="1912"/>
      <c r="B954" s="1912"/>
      <c r="C954" s="1912"/>
      <c r="D954" s="1912"/>
      <c r="E954" s="1912"/>
      <c r="F954" s="1912"/>
      <c r="G954" s="1912"/>
      <c r="H954" s="1912"/>
      <c r="I954" s="1912"/>
      <c r="J954" s="1912"/>
      <c r="K954" s="1912"/>
      <c r="L954" s="1912"/>
      <c r="M954" s="1912"/>
      <c r="N954" s="1912"/>
      <c r="O954" s="1912"/>
      <c r="P954" s="1912"/>
      <c r="Q954" s="1912"/>
      <c r="R954" s="1912"/>
      <c r="S954" s="1912"/>
      <c r="T954" s="1912"/>
      <c r="U954" s="1912"/>
      <c r="V954" s="1912"/>
      <c r="W954" s="1912"/>
      <c r="X954" s="1912"/>
      <c r="Y954" s="1912"/>
      <c r="Z954" s="1912"/>
      <c r="AA954" s="1912"/>
      <c r="AB954" s="1912"/>
      <c r="AC954" s="1912"/>
      <c r="AD954" s="1912"/>
      <c r="AE954" s="1912"/>
      <c r="AF954" s="1912"/>
      <c r="AG954" s="1912"/>
    </row>
    <row r="955">
      <c r="A955" s="1912"/>
      <c r="B955" s="1912"/>
      <c r="C955" s="1912"/>
      <c r="D955" s="1912"/>
      <c r="E955" s="1912"/>
      <c r="F955" s="1912"/>
      <c r="G955" s="1912"/>
      <c r="H955" s="1912"/>
      <c r="I955" s="1912"/>
      <c r="J955" s="1912"/>
      <c r="K955" s="1912"/>
      <c r="L955" s="1912"/>
      <c r="M955" s="1912"/>
      <c r="N955" s="1912"/>
      <c r="O955" s="1912"/>
      <c r="P955" s="1912"/>
      <c r="Q955" s="1912"/>
      <c r="R955" s="1912"/>
      <c r="S955" s="1912"/>
      <c r="T955" s="1912"/>
      <c r="U955" s="1912"/>
      <c r="V955" s="1912"/>
      <c r="W955" s="1912"/>
      <c r="X955" s="1912"/>
      <c r="Y955" s="1912"/>
      <c r="Z955" s="1912"/>
      <c r="AA955" s="1912"/>
      <c r="AB955" s="1912"/>
      <c r="AC955" s="1912"/>
      <c r="AD955" s="1912"/>
      <c r="AE955" s="1912"/>
      <c r="AF955" s="1912"/>
      <c r="AG955" s="1912"/>
    </row>
    <row r="956">
      <c r="A956" s="1912"/>
      <c r="B956" s="1912"/>
      <c r="C956" s="1912"/>
      <c r="D956" s="1912"/>
      <c r="E956" s="1912"/>
      <c r="F956" s="1912"/>
      <c r="G956" s="1912"/>
      <c r="H956" s="1912"/>
      <c r="I956" s="1912"/>
      <c r="J956" s="1912"/>
      <c r="K956" s="1912"/>
      <c r="L956" s="1912"/>
      <c r="M956" s="1912"/>
      <c r="N956" s="1912"/>
      <c r="O956" s="1912"/>
      <c r="P956" s="1912"/>
      <c r="Q956" s="1912"/>
      <c r="R956" s="1912"/>
      <c r="S956" s="1912"/>
      <c r="T956" s="1912"/>
      <c r="U956" s="1912"/>
      <c r="V956" s="1912"/>
      <c r="W956" s="1912"/>
      <c r="X956" s="1912"/>
      <c r="Y956" s="1912"/>
      <c r="Z956" s="1912"/>
      <c r="AA956" s="1912"/>
      <c r="AB956" s="1912"/>
      <c r="AC956" s="1912"/>
      <c r="AD956" s="1912"/>
      <c r="AE956" s="1912"/>
      <c r="AF956" s="1912"/>
      <c r="AG956" s="1912"/>
    </row>
    <row r="957">
      <c r="A957" s="1912"/>
      <c r="B957" s="1912"/>
      <c r="C957" s="1912"/>
      <c r="D957" s="1912"/>
      <c r="E957" s="1912"/>
      <c r="F957" s="1912"/>
      <c r="G957" s="1912"/>
      <c r="H957" s="1912"/>
      <c r="I957" s="1912"/>
      <c r="J957" s="1912"/>
      <c r="K957" s="1912"/>
      <c r="L957" s="1912"/>
      <c r="M957" s="1912"/>
      <c r="N957" s="1912"/>
      <c r="O957" s="1912"/>
      <c r="P957" s="1912"/>
      <c r="Q957" s="1912"/>
      <c r="R957" s="1912"/>
      <c r="S957" s="1912"/>
      <c r="T957" s="1912"/>
      <c r="U957" s="1912"/>
      <c r="V957" s="1912"/>
      <c r="W957" s="1912"/>
      <c r="X957" s="1912"/>
      <c r="Y957" s="1912"/>
      <c r="Z957" s="1912"/>
      <c r="AA957" s="1912"/>
      <c r="AB957" s="1912"/>
      <c r="AC957" s="1912"/>
      <c r="AD957" s="1912"/>
      <c r="AE957" s="1912"/>
      <c r="AF957" s="1912"/>
      <c r="AG957" s="1912"/>
    </row>
    <row r="958">
      <c r="A958" s="1912"/>
      <c r="B958" s="1912"/>
      <c r="C958" s="1912"/>
      <c r="D958" s="1912"/>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2"/>
      <c r="AF958" s="1912"/>
      <c r="AG958" s="1912"/>
    </row>
    <row r="959">
      <c r="A959" s="1912"/>
      <c r="B959" s="1912"/>
      <c r="C959" s="1912"/>
      <c r="D959" s="1912"/>
      <c r="E959" s="1912"/>
      <c r="F959" s="1912"/>
      <c r="G959" s="1912"/>
      <c r="H959" s="1912"/>
      <c r="I959" s="1912"/>
      <c r="J959" s="1912"/>
      <c r="K959" s="1912"/>
      <c r="L959" s="1912"/>
      <c r="M959" s="1912"/>
      <c r="N959" s="1912"/>
      <c r="O959" s="1912"/>
      <c r="P959" s="1912"/>
      <c r="Q959" s="1912"/>
      <c r="R959" s="1912"/>
      <c r="S959" s="1912"/>
      <c r="T959" s="1912"/>
      <c r="U959" s="1912"/>
      <c r="V959" s="1912"/>
      <c r="W959" s="1912"/>
      <c r="X959" s="1912"/>
      <c r="Y959" s="1912"/>
      <c r="Z959" s="1912"/>
      <c r="AA959" s="1912"/>
      <c r="AB959" s="1912"/>
      <c r="AC959" s="1912"/>
      <c r="AD959" s="1912"/>
      <c r="AE959" s="1912"/>
      <c r="AF959" s="1912"/>
      <c r="AG959" s="1912"/>
    </row>
    <row r="960">
      <c r="A960" s="1912"/>
      <c r="B960" s="1912"/>
      <c r="C960" s="1912"/>
      <c r="D960" s="1912"/>
      <c r="E960" s="1912"/>
      <c r="F960" s="1912"/>
      <c r="G960" s="1912"/>
      <c r="H960" s="1912"/>
      <c r="I960" s="1912"/>
      <c r="J960" s="1912"/>
      <c r="K960" s="1912"/>
      <c r="L960" s="1912"/>
      <c r="M960" s="1912"/>
      <c r="N960" s="1912"/>
      <c r="O960" s="1912"/>
      <c r="P960" s="1912"/>
      <c r="Q960" s="1912"/>
      <c r="R960" s="1912"/>
      <c r="S960" s="1912"/>
      <c r="T960" s="1912"/>
      <c r="U960" s="1912"/>
      <c r="V960" s="1912"/>
      <c r="W960" s="1912"/>
      <c r="X960" s="1912"/>
      <c r="Y960" s="1912"/>
      <c r="Z960" s="1912"/>
      <c r="AA960" s="1912"/>
      <c r="AB960" s="1912"/>
      <c r="AC960" s="1912"/>
      <c r="AD960" s="1912"/>
      <c r="AE960" s="1912"/>
      <c r="AF960" s="1912"/>
      <c r="AG960" s="1912"/>
    </row>
    <row r="961">
      <c r="A961" s="1912"/>
      <c r="B961" s="1912"/>
      <c r="C961" s="1912"/>
      <c r="D961" s="1912"/>
      <c r="E961" s="1912"/>
      <c r="F961" s="1912"/>
      <c r="G961" s="1912"/>
      <c r="H961" s="1912"/>
      <c r="I961" s="1912"/>
      <c r="J961" s="1912"/>
      <c r="K961" s="1912"/>
      <c r="L961" s="1912"/>
      <c r="M961" s="1912"/>
      <c r="N961" s="1912"/>
      <c r="O961" s="1912"/>
      <c r="P961" s="1912"/>
      <c r="Q961" s="1912"/>
      <c r="R961" s="1912"/>
      <c r="S961" s="1912"/>
      <c r="T961" s="1912"/>
      <c r="U961" s="1912"/>
      <c r="V961" s="1912"/>
      <c r="W961" s="1912"/>
      <c r="X961" s="1912"/>
      <c r="Y961" s="1912"/>
      <c r="Z961" s="1912"/>
      <c r="AA961" s="1912"/>
      <c r="AB961" s="1912"/>
      <c r="AC961" s="1912"/>
      <c r="AD961" s="1912"/>
      <c r="AE961" s="1912"/>
      <c r="AF961" s="1912"/>
      <c r="AG961" s="1912"/>
    </row>
    <row r="962">
      <c r="A962" s="1912"/>
      <c r="B962" s="1912"/>
      <c r="C962" s="1912"/>
      <c r="D962" s="1912"/>
      <c r="E962" s="1912"/>
      <c r="F962" s="1912"/>
      <c r="G962" s="1912"/>
      <c r="H962" s="1912"/>
      <c r="I962" s="1912"/>
      <c r="J962" s="1912"/>
      <c r="K962" s="1912"/>
      <c r="L962" s="1912"/>
      <c r="M962" s="1912"/>
      <c r="N962" s="1912"/>
      <c r="O962" s="1912"/>
      <c r="P962" s="1912"/>
      <c r="Q962" s="1912"/>
      <c r="R962" s="1912"/>
      <c r="S962" s="1912"/>
      <c r="T962" s="1912"/>
      <c r="U962" s="1912"/>
      <c r="V962" s="1912"/>
      <c r="W962" s="1912"/>
      <c r="X962" s="1912"/>
      <c r="Y962" s="1912"/>
      <c r="Z962" s="1912"/>
      <c r="AA962" s="1912"/>
      <c r="AB962" s="1912"/>
      <c r="AC962" s="1912"/>
      <c r="AD962" s="1912"/>
      <c r="AE962" s="1912"/>
      <c r="AF962" s="1912"/>
      <c r="AG962" s="1912"/>
    </row>
    <row r="963">
      <c r="A963" s="1912"/>
      <c r="B963" s="1912"/>
      <c r="C963" s="1912"/>
      <c r="D963" s="1912"/>
      <c r="E963" s="1912"/>
      <c r="F963" s="1912"/>
      <c r="G963" s="1912"/>
      <c r="H963" s="1912"/>
      <c r="I963" s="1912"/>
      <c r="J963" s="1912"/>
      <c r="K963" s="1912"/>
      <c r="L963" s="1912"/>
      <c r="M963" s="1912"/>
      <c r="N963" s="1912"/>
      <c r="O963" s="1912"/>
      <c r="P963" s="1912"/>
      <c r="Q963" s="1912"/>
      <c r="R963" s="1912"/>
      <c r="S963" s="1912"/>
      <c r="T963" s="1912"/>
      <c r="U963" s="1912"/>
      <c r="V963" s="1912"/>
      <c r="W963" s="1912"/>
      <c r="X963" s="1912"/>
      <c r="Y963" s="1912"/>
      <c r="Z963" s="1912"/>
      <c r="AA963" s="1912"/>
      <c r="AB963" s="1912"/>
      <c r="AC963" s="1912"/>
      <c r="AD963" s="1912"/>
      <c r="AE963" s="1912"/>
      <c r="AF963" s="1912"/>
      <c r="AG963" s="1912"/>
    </row>
    <row r="964">
      <c r="A964" s="1912"/>
      <c r="B964" s="1912"/>
      <c r="C964" s="1912"/>
      <c r="D964" s="1912"/>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2"/>
      <c r="AF964" s="1912"/>
      <c r="AG964" s="1912"/>
    </row>
    <row r="965">
      <c r="A965" s="1912"/>
      <c r="B965" s="1912"/>
      <c r="C965" s="1912"/>
      <c r="D965" s="1912"/>
      <c r="E965" s="1912"/>
      <c r="F965" s="1912"/>
      <c r="G965" s="1912"/>
      <c r="H965" s="1912"/>
      <c r="I965" s="1912"/>
      <c r="J965" s="1912"/>
      <c r="K965" s="1912"/>
      <c r="L965" s="1912"/>
      <c r="M965" s="1912"/>
      <c r="N965" s="1912"/>
      <c r="O965" s="1912"/>
      <c r="P965" s="1912"/>
      <c r="Q965" s="1912"/>
      <c r="R965" s="1912"/>
      <c r="S965" s="1912"/>
      <c r="T965" s="1912"/>
      <c r="U965" s="1912"/>
      <c r="V965" s="1912"/>
      <c r="W965" s="1912"/>
      <c r="X965" s="1912"/>
      <c r="Y965" s="1912"/>
      <c r="Z965" s="1912"/>
      <c r="AA965" s="1912"/>
      <c r="AB965" s="1912"/>
      <c r="AC965" s="1912"/>
      <c r="AD965" s="1912"/>
      <c r="AE965" s="1912"/>
      <c r="AF965" s="1912"/>
      <c r="AG965" s="1912"/>
    </row>
    <row r="966">
      <c r="A966" s="1912"/>
      <c r="B966" s="1912"/>
      <c r="C966" s="1912"/>
      <c r="D966" s="1912"/>
      <c r="E966" s="1912"/>
      <c r="F966" s="1912"/>
      <c r="G966" s="1912"/>
      <c r="H966" s="1912"/>
      <c r="I966" s="1912"/>
      <c r="J966" s="1912"/>
      <c r="K966" s="1912"/>
      <c r="L966" s="1912"/>
      <c r="M966" s="1912"/>
      <c r="N966" s="1912"/>
      <c r="O966" s="1912"/>
      <c r="P966" s="1912"/>
      <c r="Q966" s="1912"/>
      <c r="R966" s="1912"/>
      <c r="S966" s="1912"/>
      <c r="T966" s="1912"/>
      <c r="U966" s="1912"/>
      <c r="V966" s="1912"/>
      <c r="W966" s="1912"/>
      <c r="X966" s="1912"/>
      <c r="Y966" s="1912"/>
      <c r="Z966" s="1912"/>
      <c r="AA966" s="1912"/>
      <c r="AB966" s="1912"/>
      <c r="AC966" s="1912"/>
      <c r="AD966" s="1912"/>
      <c r="AE966" s="1912"/>
      <c r="AF966" s="1912"/>
      <c r="AG966" s="1912"/>
    </row>
    <row r="967">
      <c r="A967" s="1912"/>
      <c r="B967" s="1912"/>
      <c r="C967" s="1912"/>
      <c r="D967" s="1912"/>
      <c r="E967" s="1912"/>
      <c r="F967" s="1912"/>
      <c r="G967" s="1912"/>
      <c r="H967" s="1912"/>
      <c r="I967" s="1912"/>
      <c r="J967" s="1912"/>
      <c r="K967" s="1912"/>
      <c r="L967" s="1912"/>
      <c r="M967" s="1912"/>
      <c r="N967" s="1912"/>
      <c r="O967" s="1912"/>
      <c r="P967" s="1912"/>
      <c r="Q967" s="1912"/>
      <c r="R967" s="1912"/>
      <c r="S967" s="1912"/>
      <c r="T967" s="1912"/>
      <c r="U967" s="1912"/>
      <c r="V967" s="1912"/>
      <c r="W967" s="1912"/>
      <c r="X967" s="1912"/>
      <c r="Y967" s="1912"/>
      <c r="Z967" s="1912"/>
      <c r="AA967" s="1912"/>
      <c r="AB967" s="1912"/>
      <c r="AC967" s="1912"/>
      <c r="AD967" s="1912"/>
      <c r="AE967" s="1912"/>
      <c r="AF967" s="1912"/>
      <c r="AG967" s="1912"/>
    </row>
    <row r="968">
      <c r="A968" s="1912"/>
      <c r="B968" s="1912"/>
      <c r="C968" s="1912"/>
      <c r="D968" s="1912"/>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2"/>
      <c r="AF968" s="1912"/>
      <c r="AG968" s="1912"/>
    </row>
    <row r="969">
      <c r="A969" s="1912"/>
      <c r="B969" s="1912"/>
      <c r="C969" s="1912"/>
      <c r="D969" s="1912"/>
      <c r="E969" s="1912"/>
      <c r="F969" s="1912"/>
      <c r="G969" s="1912"/>
      <c r="H969" s="1912"/>
      <c r="I969" s="1912"/>
      <c r="J969" s="1912"/>
      <c r="K969" s="1912"/>
      <c r="L969" s="1912"/>
      <c r="M969" s="1912"/>
      <c r="N969" s="1912"/>
      <c r="O969" s="1912"/>
      <c r="P969" s="1912"/>
      <c r="Q969" s="1912"/>
      <c r="R969" s="1912"/>
      <c r="S969" s="1912"/>
      <c r="T969" s="1912"/>
      <c r="U969" s="1912"/>
      <c r="V969" s="1912"/>
      <c r="W969" s="1912"/>
      <c r="X969" s="1912"/>
      <c r="Y969" s="1912"/>
      <c r="Z969" s="1912"/>
      <c r="AA969" s="1912"/>
      <c r="AB969" s="1912"/>
      <c r="AC969" s="1912"/>
      <c r="AD969" s="1912"/>
      <c r="AE969" s="1912"/>
      <c r="AF969" s="1912"/>
      <c r="AG969" s="1912"/>
    </row>
    <row r="970">
      <c r="A970" s="1912"/>
      <c r="B970" s="1912"/>
      <c r="C970" s="1912"/>
      <c r="D970" s="1912"/>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2"/>
      <c r="AF970" s="1912"/>
      <c r="AG970" s="1912"/>
    </row>
    <row r="971">
      <c r="A971" s="1912"/>
      <c r="B971" s="1912"/>
      <c r="C971" s="1912"/>
      <c r="D971" s="1912"/>
      <c r="E971" s="1912"/>
      <c r="F971" s="1912"/>
      <c r="G971" s="1912"/>
      <c r="H971" s="1912"/>
      <c r="I971" s="1912"/>
      <c r="J971" s="1912"/>
      <c r="K971" s="1912"/>
      <c r="L971" s="1912"/>
      <c r="M971" s="1912"/>
      <c r="N971" s="1912"/>
      <c r="O971" s="1912"/>
      <c r="P971" s="1912"/>
      <c r="Q971" s="1912"/>
      <c r="R971" s="1912"/>
      <c r="S971" s="1912"/>
      <c r="T971" s="1912"/>
      <c r="U971" s="1912"/>
      <c r="V971" s="1912"/>
      <c r="W971" s="1912"/>
      <c r="X971" s="1912"/>
      <c r="Y971" s="1912"/>
      <c r="Z971" s="1912"/>
      <c r="AA971" s="1912"/>
      <c r="AB971" s="1912"/>
      <c r="AC971" s="1912"/>
      <c r="AD971" s="1912"/>
      <c r="AE971" s="1912"/>
      <c r="AF971" s="1912"/>
      <c r="AG971" s="1912"/>
    </row>
    <row r="972">
      <c r="A972" s="1912"/>
      <c r="B972" s="1912"/>
      <c r="C972" s="1912"/>
      <c r="D972" s="1912"/>
      <c r="E972" s="1912"/>
      <c r="F972" s="1912"/>
      <c r="G972" s="1912"/>
      <c r="H972" s="1912"/>
      <c r="I972" s="1912"/>
      <c r="J972" s="1912"/>
      <c r="K972" s="1912"/>
      <c r="L972" s="1912"/>
      <c r="M972" s="1912"/>
      <c r="N972" s="1912"/>
      <c r="O972" s="1912"/>
      <c r="P972" s="1912"/>
      <c r="Q972" s="1912"/>
      <c r="R972" s="1912"/>
      <c r="S972" s="1912"/>
      <c r="T972" s="1912"/>
      <c r="U972" s="1912"/>
      <c r="V972" s="1912"/>
      <c r="W972" s="1912"/>
      <c r="X972" s="1912"/>
      <c r="Y972" s="1912"/>
      <c r="Z972" s="1912"/>
      <c r="AA972" s="1912"/>
      <c r="AB972" s="1912"/>
      <c r="AC972" s="1912"/>
      <c r="AD972" s="1912"/>
      <c r="AE972" s="1912"/>
      <c r="AF972" s="1912"/>
      <c r="AG972" s="1912"/>
    </row>
    <row r="973">
      <c r="A973" s="1912"/>
      <c r="B973" s="1912"/>
      <c r="C973" s="1912"/>
      <c r="D973" s="1912"/>
      <c r="E973" s="1912"/>
      <c r="F973" s="1912"/>
      <c r="G973" s="1912"/>
      <c r="H973" s="1912"/>
      <c r="I973" s="1912"/>
      <c r="J973" s="1912"/>
      <c r="K973" s="1912"/>
      <c r="L973" s="1912"/>
      <c r="M973" s="1912"/>
      <c r="N973" s="1912"/>
      <c r="O973" s="1912"/>
      <c r="P973" s="1912"/>
      <c r="Q973" s="1912"/>
      <c r="R973" s="1912"/>
      <c r="S973" s="1912"/>
      <c r="T973" s="1912"/>
      <c r="U973" s="1912"/>
      <c r="V973" s="1912"/>
      <c r="W973" s="1912"/>
      <c r="X973" s="1912"/>
      <c r="Y973" s="1912"/>
      <c r="Z973" s="1912"/>
      <c r="AA973" s="1912"/>
      <c r="AB973" s="1912"/>
      <c r="AC973" s="1912"/>
      <c r="AD973" s="1912"/>
      <c r="AE973" s="1912"/>
      <c r="AF973" s="1912"/>
      <c r="AG973" s="1912"/>
    </row>
    <row r="974">
      <c r="A974" s="1912"/>
      <c r="B974" s="1912"/>
      <c r="C974" s="1912"/>
      <c r="D974" s="1912"/>
      <c r="E974" s="1912"/>
      <c r="F974" s="1912"/>
      <c r="G974" s="1912"/>
      <c r="H974" s="1912"/>
      <c r="I974" s="1912"/>
      <c r="J974" s="1912"/>
      <c r="K974" s="1912"/>
      <c r="L974" s="1912"/>
      <c r="M974" s="1912"/>
      <c r="N974" s="1912"/>
      <c r="O974" s="1912"/>
      <c r="P974" s="1912"/>
      <c r="Q974" s="1912"/>
      <c r="R974" s="1912"/>
      <c r="S974" s="1912"/>
      <c r="T974" s="1912"/>
      <c r="U974" s="1912"/>
      <c r="V974" s="1912"/>
      <c r="W974" s="1912"/>
      <c r="X974" s="1912"/>
      <c r="Y974" s="1912"/>
      <c r="Z974" s="1912"/>
      <c r="AA974" s="1912"/>
      <c r="AB974" s="1912"/>
      <c r="AC974" s="1912"/>
      <c r="AD974" s="1912"/>
      <c r="AE974" s="1912"/>
      <c r="AF974" s="1912"/>
      <c r="AG974" s="1912"/>
    </row>
    <row r="975">
      <c r="A975" s="1912"/>
      <c r="B975" s="1912"/>
      <c r="C975" s="1912"/>
      <c r="D975" s="1912"/>
      <c r="E975" s="1912"/>
      <c r="F975" s="1912"/>
      <c r="G975" s="1912"/>
      <c r="H975" s="1912"/>
      <c r="I975" s="1912"/>
      <c r="J975" s="1912"/>
      <c r="K975" s="1912"/>
      <c r="L975" s="1912"/>
      <c r="M975" s="1912"/>
      <c r="N975" s="1912"/>
      <c r="O975" s="1912"/>
      <c r="P975" s="1912"/>
      <c r="Q975" s="1912"/>
      <c r="R975" s="1912"/>
      <c r="S975" s="1912"/>
      <c r="T975" s="1912"/>
      <c r="U975" s="1912"/>
      <c r="V975" s="1912"/>
      <c r="W975" s="1912"/>
      <c r="X975" s="1912"/>
      <c r="Y975" s="1912"/>
      <c r="Z975" s="1912"/>
      <c r="AA975" s="1912"/>
      <c r="AB975" s="1912"/>
      <c r="AC975" s="1912"/>
      <c r="AD975" s="1912"/>
      <c r="AE975" s="1912"/>
      <c r="AF975" s="1912"/>
      <c r="AG975" s="1912"/>
    </row>
    <row r="976">
      <c r="A976" s="1912"/>
      <c r="B976" s="1912"/>
      <c r="C976" s="1912"/>
      <c r="D976" s="1912"/>
      <c r="E976" s="1912"/>
      <c r="F976" s="1912"/>
      <c r="G976" s="1912"/>
      <c r="H976" s="1912"/>
      <c r="I976" s="1912"/>
      <c r="J976" s="1912"/>
      <c r="K976" s="1912"/>
      <c r="L976" s="1912"/>
      <c r="M976" s="1912"/>
      <c r="N976" s="1912"/>
      <c r="O976" s="1912"/>
      <c r="P976" s="1912"/>
      <c r="Q976" s="1912"/>
      <c r="R976" s="1912"/>
      <c r="S976" s="1912"/>
      <c r="T976" s="1912"/>
      <c r="U976" s="1912"/>
      <c r="V976" s="1912"/>
      <c r="W976" s="1912"/>
      <c r="X976" s="1912"/>
      <c r="Y976" s="1912"/>
      <c r="Z976" s="1912"/>
      <c r="AA976" s="1912"/>
      <c r="AB976" s="1912"/>
      <c r="AC976" s="1912"/>
      <c r="AD976" s="1912"/>
      <c r="AE976" s="1912"/>
      <c r="AF976" s="1912"/>
      <c r="AG976" s="1912"/>
    </row>
    <row r="977">
      <c r="A977" s="1912"/>
      <c r="B977" s="1912"/>
      <c r="C977" s="1912"/>
      <c r="D977" s="1912"/>
      <c r="E977" s="1912"/>
      <c r="F977" s="1912"/>
      <c r="G977" s="1912"/>
      <c r="H977" s="1912"/>
      <c r="I977" s="1912"/>
      <c r="J977" s="1912"/>
      <c r="K977" s="1912"/>
      <c r="L977" s="1912"/>
      <c r="M977" s="1912"/>
      <c r="N977" s="1912"/>
      <c r="O977" s="1912"/>
      <c r="P977" s="1912"/>
      <c r="Q977" s="1912"/>
      <c r="R977" s="1912"/>
      <c r="S977" s="1912"/>
      <c r="T977" s="1912"/>
      <c r="U977" s="1912"/>
      <c r="V977" s="1912"/>
      <c r="W977" s="1912"/>
      <c r="X977" s="1912"/>
      <c r="Y977" s="1912"/>
      <c r="Z977" s="1912"/>
      <c r="AA977" s="1912"/>
      <c r="AB977" s="1912"/>
      <c r="AC977" s="1912"/>
      <c r="AD977" s="1912"/>
      <c r="AE977" s="1912"/>
      <c r="AF977" s="1912"/>
      <c r="AG977" s="1912"/>
    </row>
    <row r="978">
      <c r="A978" s="1912"/>
      <c r="B978" s="1912"/>
      <c r="C978" s="1912"/>
      <c r="D978" s="1912"/>
      <c r="E978" s="1912"/>
      <c r="F978" s="1912"/>
      <c r="G978" s="1912"/>
      <c r="H978" s="1912"/>
      <c r="I978" s="1912"/>
      <c r="J978" s="1912"/>
      <c r="K978" s="1912"/>
      <c r="L978" s="1912"/>
      <c r="M978" s="1912"/>
      <c r="N978" s="1912"/>
      <c r="O978" s="1912"/>
      <c r="P978" s="1912"/>
      <c r="Q978" s="1912"/>
      <c r="R978" s="1912"/>
      <c r="S978" s="1912"/>
      <c r="T978" s="1912"/>
      <c r="U978" s="1912"/>
      <c r="V978" s="1912"/>
      <c r="W978" s="1912"/>
      <c r="X978" s="1912"/>
      <c r="Y978" s="1912"/>
      <c r="Z978" s="1912"/>
      <c r="AA978" s="1912"/>
      <c r="AB978" s="1912"/>
      <c r="AC978" s="1912"/>
      <c r="AD978" s="1912"/>
      <c r="AE978" s="1912"/>
      <c r="AF978" s="1912"/>
      <c r="AG978" s="1912"/>
    </row>
    <row r="979">
      <c r="A979" s="1912"/>
      <c r="B979" s="1912"/>
      <c r="C979" s="1912"/>
      <c r="D979" s="1912"/>
      <c r="E979" s="1912"/>
      <c r="F979" s="1912"/>
      <c r="G979" s="1912"/>
      <c r="H979" s="1912"/>
      <c r="I979" s="1912"/>
      <c r="J979" s="1912"/>
      <c r="K979" s="1912"/>
      <c r="L979" s="1912"/>
      <c r="M979" s="1912"/>
      <c r="N979" s="1912"/>
      <c r="O979" s="1912"/>
      <c r="P979" s="1912"/>
      <c r="Q979" s="1912"/>
      <c r="R979" s="1912"/>
      <c r="S979" s="1912"/>
      <c r="T979" s="1912"/>
      <c r="U979" s="1912"/>
      <c r="V979" s="1912"/>
      <c r="W979" s="1912"/>
      <c r="X979" s="1912"/>
      <c r="Y979" s="1912"/>
      <c r="Z979" s="1912"/>
      <c r="AA979" s="1912"/>
      <c r="AB979" s="1912"/>
      <c r="AC979" s="1912"/>
      <c r="AD979" s="1912"/>
      <c r="AE979" s="1912"/>
      <c r="AF979" s="1912"/>
      <c r="AG979" s="1912"/>
    </row>
    <row r="980">
      <c r="A980" s="1912"/>
      <c r="B980" s="1912"/>
      <c r="C980" s="1912"/>
      <c r="D980" s="1912"/>
      <c r="E980" s="1912"/>
      <c r="F980" s="1912"/>
      <c r="G980" s="1912"/>
      <c r="H980" s="1912"/>
      <c r="I980" s="1912"/>
      <c r="J980" s="1912"/>
      <c r="K980" s="1912"/>
      <c r="L980" s="1912"/>
      <c r="M980" s="1912"/>
      <c r="N980" s="1912"/>
      <c r="O980" s="1912"/>
      <c r="P980" s="1912"/>
      <c r="Q980" s="1912"/>
      <c r="R980" s="1912"/>
      <c r="S980" s="1912"/>
      <c r="T980" s="1912"/>
      <c r="U980" s="1912"/>
      <c r="V980" s="1912"/>
      <c r="W980" s="1912"/>
      <c r="X980" s="1912"/>
      <c r="Y980" s="1912"/>
      <c r="Z980" s="1912"/>
      <c r="AA980" s="1912"/>
      <c r="AB980" s="1912"/>
      <c r="AC980" s="1912"/>
      <c r="AD980" s="1912"/>
      <c r="AE980" s="1912"/>
      <c r="AF980" s="1912"/>
      <c r="AG980" s="1912"/>
    </row>
    <row r="981">
      <c r="A981" s="1912"/>
      <c r="B981" s="1912"/>
      <c r="C981" s="1912"/>
      <c r="D981" s="1912"/>
      <c r="E981" s="1912"/>
      <c r="F981" s="1912"/>
      <c r="G981" s="1912"/>
      <c r="H981" s="1912"/>
      <c r="I981" s="1912"/>
      <c r="J981" s="1912"/>
      <c r="K981" s="1912"/>
      <c r="L981" s="1912"/>
      <c r="M981" s="1912"/>
      <c r="N981" s="1912"/>
      <c r="O981" s="1912"/>
      <c r="P981" s="1912"/>
      <c r="Q981" s="1912"/>
      <c r="R981" s="1912"/>
      <c r="S981" s="1912"/>
      <c r="T981" s="1912"/>
      <c r="U981" s="1912"/>
      <c r="V981" s="1912"/>
      <c r="W981" s="1912"/>
      <c r="X981" s="1912"/>
      <c r="Y981" s="1912"/>
      <c r="Z981" s="1912"/>
      <c r="AA981" s="1912"/>
      <c r="AB981" s="1912"/>
      <c r="AC981" s="1912"/>
      <c r="AD981" s="1912"/>
      <c r="AE981" s="1912"/>
      <c r="AF981" s="1912"/>
      <c r="AG981" s="1912"/>
    </row>
    <row r="982">
      <c r="A982" s="1912"/>
      <c r="B982" s="1912"/>
      <c r="C982" s="1912"/>
      <c r="D982" s="1912"/>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2"/>
      <c r="AF982" s="1912"/>
      <c r="AG982" s="1912"/>
    </row>
    <row r="983">
      <c r="A983" s="1912"/>
      <c r="B983" s="1912"/>
      <c r="C983" s="1912"/>
      <c r="D983" s="1912"/>
      <c r="E983" s="1912"/>
      <c r="F983" s="1912"/>
      <c r="G983" s="1912"/>
      <c r="H983" s="1912"/>
      <c r="I983" s="1912"/>
      <c r="J983" s="1912"/>
      <c r="K983" s="1912"/>
      <c r="L983" s="1912"/>
      <c r="M983" s="1912"/>
      <c r="N983" s="1912"/>
      <c r="O983" s="1912"/>
      <c r="P983" s="1912"/>
      <c r="Q983" s="1912"/>
      <c r="R983" s="1912"/>
      <c r="S983" s="1912"/>
      <c r="T983" s="1912"/>
      <c r="U983" s="1912"/>
      <c r="V983" s="1912"/>
      <c r="W983" s="1912"/>
      <c r="X983" s="1912"/>
      <c r="Y983" s="1912"/>
      <c r="Z983" s="1912"/>
      <c r="AA983" s="1912"/>
      <c r="AB983" s="1912"/>
      <c r="AC983" s="1912"/>
      <c r="AD983" s="1912"/>
      <c r="AE983" s="1912"/>
      <c r="AF983" s="1912"/>
      <c r="AG983" s="1912"/>
    </row>
    <row r="984">
      <c r="A984" s="1912"/>
      <c r="B984" s="1912"/>
      <c r="C984" s="1912"/>
      <c r="D984" s="1912"/>
      <c r="E984" s="1912"/>
      <c r="F984" s="1912"/>
      <c r="G984" s="1912"/>
      <c r="H984" s="1912"/>
      <c r="I984" s="1912"/>
      <c r="J984" s="1912"/>
      <c r="K984" s="1912"/>
      <c r="L984" s="1912"/>
      <c r="M984" s="1912"/>
      <c r="N984" s="1912"/>
      <c r="O984" s="1912"/>
      <c r="P984" s="1912"/>
      <c r="Q984" s="1912"/>
      <c r="R984" s="1912"/>
      <c r="S984" s="1912"/>
      <c r="T984" s="1912"/>
      <c r="U984" s="1912"/>
      <c r="V984" s="1912"/>
      <c r="W984" s="1912"/>
      <c r="X984" s="1912"/>
      <c r="Y984" s="1912"/>
      <c r="Z984" s="1912"/>
      <c r="AA984" s="1912"/>
      <c r="AB984" s="1912"/>
      <c r="AC984" s="1912"/>
      <c r="AD984" s="1912"/>
      <c r="AE984" s="1912"/>
      <c r="AF984" s="1912"/>
      <c r="AG984" s="1912"/>
    </row>
    <row r="985">
      <c r="A985" s="1912"/>
      <c r="B985" s="1912"/>
      <c r="C985" s="1912"/>
      <c r="D985" s="1912"/>
      <c r="E985" s="1912"/>
      <c r="F985" s="1912"/>
      <c r="G985" s="1912"/>
      <c r="H985" s="1912"/>
      <c r="I985" s="1912"/>
      <c r="J985" s="1912"/>
      <c r="K985" s="1912"/>
      <c r="L985" s="1912"/>
      <c r="M985" s="1912"/>
      <c r="N985" s="1912"/>
      <c r="O985" s="1912"/>
      <c r="P985" s="1912"/>
      <c r="Q985" s="1912"/>
      <c r="R985" s="1912"/>
      <c r="S985" s="1912"/>
      <c r="T985" s="1912"/>
      <c r="U985" s="1912"/>
      <c r="V985" s="1912"/>
      <c r="W985" s="1912"/>
      <c r="X985" s="1912"/>
      <c r="Y985" s="1912"/>
      <c r="Z985" s="1912"/>
      <c r="AA985" s="1912"/>
      <c r="AB985" s="1912"/>
      <c r="AC985" s="1912"/>
      <c r="AD985" s="1912"/>
      <c r="AE985" s="1912"/>
      <c r="AF985" s="1912"/>
      <c r="AG985" s="1912"/>
    </row>
    <row r="986">
      <c r="A986" s="1912"/>
      <c r="B986" s="1912"/>
      <c r="C986" s="1912"/>
      <c r="D986" s="1912"/>
      <c r="E986" s="1912"/>
      <c r="F986" s="1912"/>
      <c r="G986" s="1912"/>
      <c r="H986" s="1912"/>
      <c r="I986" s="1912"/>
      <c r="J986" s="1912"/>
      <c r="K986" s="1912"/>
      <c r="L986" s="1912"/>
      <c r="M986" s="1912"/>
      <c r="N986" s="1912"/>
      <c r="O986" s="1912"/>
      <c r="P986" s="1912"/>
      <c r="Q986" s="1912"/>
      <c r="R986" s="1912"/>
      <c r="S986" s="1912"/>
      <c r="T986" s="1912"/>
      <c r="U986" s="1912"/>
      <c r="V986" s="1912"/>
      <c r="W986" s="1912"/>
      <c r="X986" s="1912"/>
      <c r="Y986" s="1912"/>
      <c r="Z986" s="1912"/>
      <c r="AA986" s="1912"/>
      <c r="AB986" s="1912"/>
      <c r="AC986" s="1912"/>
      <c r="AD986" s="1912"/>
      <c r="AE986" s="1912"/>
      <c r="AF986" s="1912"/>
      <c r="AG986" s="1912"/>
    </row>
    <row r="987">
      <c r="A987" s="1912"/>
      <c r="B987" s="1912"/>
      <c r="C987" s="1912"/>
      <c r="D987" s="1912"/>
      <c r="E987" s="1912"/>
      <c r="F987" s="1912"/>
      <c r="G987" s="1912"/>
      <c r="H987" s="1912"/>
      <c r="I987" s="1912"/>
      <c r="J987" s="1912"/>
      <c r="K987" s="1912"/>
      <c r="L987" s="1912"/>
      <c r="M987" s="1912"/>
      <c r="N987" s="1912"/>
      <c r="O987" s="1912"/>
      <c r="P987" s="1912"/>
      <c r="Q987" s="1912"/>
      <c r="R987" s="1912"/>
      <c r="S987" s="1912"/>
      <c r="T987" s="1912"/>
      <c r="U987" s="1912"/>
      <c r="V987" s="1912"/>
      <c r="W987" s="1912"/>
      <c r="X987" s="1912"/>
      <c r="Y987" s="1912"/>
      <c r="Z987" s="1912"/>
      <c r="AA987" s="1912"/>
      <c r="AB987" s="1912"/>
      <c r="AC987" s="1912"/>
      <c r="AD987" s="1912"/>
      <c r="AE987" s="1912"/>
      <c r="AF987" s="1912"/>
      <c r="AG987" s="1912"/>
    </row>
    <row r="988">
      <c r="A988" s="1912"/>
      <c r="B988" s="1912"/>
      <c r="C988" s="1912"/>
      <c r="D988" s="1912"/>
      <c r="E988" s="1912"/>
      <c r="F988" s="1912"/>
      <c r="G988" s="1912"/>
      <c r="H988" s="1912"/>
      <c r="I988" s="1912"/>
      <c r="J988" s="1912"/>
      <c r="K988" s="1912"/>
      <c r="L988" s="1912"/>
      <c r="M988" s="1912"/>
      <c r="N988" s="1912"/>
      <c r="O988" s="1912"/>
      <c r="P988" s="1912"/>
      <c r="Q988" s="1912"/>
      <c r="R988" s="1912"/>
      <c r="S988" s="1912"/>
      <c r="T988" s="1912"/>
      <c r="U988" s="1912"/>
      <c r="V988" s="1912"/>
      <c r="W988" s="1912"/>
      <c r="X988" s="1912"/>
      <c r="Y988" s="1912"/>
      <c r="Z988" s="1912"/>
      <c r="AA988" s="1912"/>
      <c r="AB988" s="1912"/>
      <c r="AC988" s="1912"/>
      <c r="AD988" s="1912"/>
      <c r="AE988" s="1912"/>
      <c r="AF988" s="1912"/>
      <c r="AG988" s="1912"/>
    </row>
    <row r="989">
      <c r="A989" s="1912"/>
      <c r="B989" s="1912"/>
      <c r="C989" s="1912"/>
      <c r="D989" s="1912"/>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2"/>
      <c r="AF989" s="1912"/>
      <c r="AG989" s="1912"/>
    </row>
    <row r="990">
      <c r="A990" s="1912"/>
      <c r="B990" s="1912"/>
      <c r="C990" s="1912"/>
      <c r="D990" s="1912"/>
      <c r="E990" s="1912"/>
      <c r="F990" s="1912"/>
      <c r="G990" s="1912"/>
      <c r="H990" s="1912"/>
      <c r="I990" s="1912"/>
      <c r="J990" s="1912"/>
      <c r="K990" s="1912"/>
      <c r="L990" s="1912"/>
      <c r="M990" s="1912"/>
      <c r="N990" s="1912"/>
      <c r="O990" s="1912"/>
      <c r="P990" s="1912"/>
      <c r="Q990" s="1912"/>
      <c r="R990" s="1912"/>
      <c r="S990" s="1912"/>
      <c r="T990" s="1912"/>
      <c r="U990" s="1912"/>
      <c r="V990" s="1912"/>
      <c r="W990" s="1912"/>
      <c r="X990" s="1912"/>
      <c r="Y990" s="1912"/>
      <c r="Z990" s="1912"/>
      <c r="AA990" s="1912"/>
      <c r="AB990" s="1912"/>
      <c r="AC990" s="1912"/>
      <c r="AD990" s="1912"/>
      <c r="AE990" s="1912"/>
      <c r="AF990" s="1912"/>
      <c r="AG990" s="1912"/>
    </row>
    <row r="991">
      <c r="A991" s="1912"/>
      <c r="B991" s="1912"/>
      <c r="C991" s="1912"/>
      <c r="D991" s="1912"/>
      <c r="E991" s="1912"/>
      <c r="F991" s="1912"/>
      <c r="G991" s="1912"/>
      <c r="H991" s="1912"/>
      <c r="I991" s="1912"/>
      <c r="J991" s="1912"/>
      <c r="K991" s="1912"/>
      <c r="L991" s="1912"/>
      <c r="M991" s="1912"/>
      <c r="N991" s="1912"/>
      <c r="O991" s="1912"/>
      <c r="P991" s="1912"/>
      <c r="Q991" s="1912"/>
      <c r="R991" s="1912"/>
      <c r="S991" s="1912"/>
      <c r="T991" s="1912"/>
      <c r="U991" s="1912"/>
      <c r="V991" s="1912"/>
      <c r="W991" s="1912"/>
      <c r="X991" s="1912"/>
      <c r="Y991" s="1912"/>
      <c r="Z991" s="1912"/>
      <c r="AA991" s="1912"/>
      <c r="AB991" s="1912"/>
      <c r="AC991" s="1912"/>
      <c r="AD991" s="1912"/>
      <c r="AE991" s="1912"/>
      <c r="AF991" s="1912"/>
      <c r="AG991" s="1912"/>
    </row>
    <row r="992">
      <c r="A992" s="1912"/>
      <c r="B992" s="1912"/>
      <c r="C992" s="1912"/>
      <c r="D992" s="1912"/>
      <c r="E992" s="1912"/>
      <c r="F992" s="1912"/>
      <c r="G992" s="1912"/>
      <c r="H992" s="1912"/>
      <c r="I992" s="1912"/>
      <c r="J992" s="1912"/>
      <c r="K992" s="1912"/>
      <c r="L992" s="1912"/>
      <c r="M992" s="1912"/>
      <c r="N992" s="1912"/>
      <c r="O992" s="1912"/>
      <c r="P992" s="1912"/>
      <c r="Q992" s="1912"/>
      <c r="R992" s="1912"/>
      <c r="S992" s="1912"/>
      <c r="T992" s="1912"/>
      <c r="U992" s="1912"/>
      <c r="V992" s="1912"/>
      <c r="W992" s="1912"/>
      <c r="X992" s="1912"/>
      <c r="Y992" s="1912"/>
      <c r="Z992" s="1912"/>
      <c r="AA992" s="1912"/>
      <c r="AB992" s="1912"/>
      <c r="AC992" s="1912"/>
      <c r="AD992" s="1912"/>
      <c r="AE992" s="1912"/>
      <c r="AF992" s="1912"/>
      <c r="AG992" s="1912"/>
    </row>
    <row r="993">
      <c r="A993" s="1912"/>
      <c r="B993" s="1912"/>
      <c r="C993" s="1912"/>
      <c r="D993" s="1912"/>
      <c r="E993" s="1912"/>
      <c r="F993" s="1912"/>
      <c r="G993" s="1912"/>
      <c r="H993" s="1912"/>
      <c r="I993" s="1912"/>
      <c r="J993" s="1912"/>
      <c r="K993" s="1912"/>
      <c r="L993" s="1912"/>
      <c r="M993" s="1912"/>
      <c r="N993" s="1912"/>
      <c r="O993" s="1912"/>
      <c r="P993" s="1912"/>
      <c r="Q993" s="1912"/>
      <c r="R993" s="1912"/>
      <c r="S993" s="1912"/>
      <c r="T993" s="1912"/>
      <c r="U993" s="1912"/>
      <c r="V993" s="1912"/>
      <c r="W993" s="1912"/>
      <c r="X993" s="1912"/>
      <c r="Y993" s="1912"/>
      <c r="Z993" s="1912"/>
      <c r="AA993" s="1912"/>
      <c r="AB993" s="1912"/>
      <c r="AC993" s="1912"/>
      <c r="AD993" s="1912"/>
      <c r="AE993" s="1912"/>
      <c r="AF993" s="1912"/>
      <c r="AG993" s="1912"/>
    </row>
  </sheetData>
  <drawing r:id="rId2"/>
  <legacy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0"/>
    <col customWidth="1" min="3" max="4" width="10.75"/>
    <col customWidth="1" min="5" max="5" width="12.38"/>
    <col customWidth="1" min="6" max="6" width="11.25"/>
    <col customWidth="1" min="7" max="7" width="12.5"/>
    <col customWidth="1" min="8" max="8" width="11.5"/>
  </cols>
  <sheetData>
    <row r="1">
      <c r="C1" s="2027">
        <v>0.12</v>
      </c>
      <c r="D1" s="2027">
        <v>0.24</v>
      </c>
      <c r="E1" s="2027">
        <v>0.16</v>
      </c>
      <c r="F1" s="2027">
        <v>0.16</v>
      </c>
      <c r="G1" s="2027">
        <v>0.16</v>
      </c>
      <c r="H1" s="2027">
        <v>0.16</v>
      </c>
    </row>
    <row r="2">
      <c r="B2" s="2028" t="s">
        <v>1383</v>
      </c>
      <c r="C2" s="2029" t="s">
        <v>295</v>
      </c>
      <c r="D2" s="2029" t="s">
        <v>297</v>
      </c>
      <c r="E2" s="2030" t="s">
        <v>299</v>
      </c>
      <c r="F2" s="2030" t="s">
        <v>302</v>
      </c>
      <c r="G2" s="2029" t="s">
        <v>304</v>
      </c>
      <c r="H2" s="2029" t="s">
        <v>306</v>
      </c>
      <c r="J2" s="410" t="s">
        <v>2525</v>
      </c>
      <c r="K2" s="410" t="s">
        <v>29</v>
      </c>
    </row>
    <row r="3">
      <c r="B3" s="2031">
        <v>1.0</v>
      </c>
      <c r="C3" s="2031">
        <v>0.0</v>
      </c>
      <c r="D3" s="2031">
        <v>1.0</v>
      </c>
      <c r="E3" s="2031">
        <v>0.0</v>
      </c>
      <c r="F3" s="2031">
        <v>0.0</v>
      </c>
      <c r="G3" s="2031">
        <v>0.0</v>
      </c>
      <c r="H3" s="2031">
        <v>0.0</v>
      </c>
      <c r="J3" s="410">
        <v>0.0</v>
      </c>
      <c r="K3" s="410">
        <v>1.0</v>
      </c>
    </row>
    <row r="4">
      <c r="B4" s="2031">
        <v>2.0</v>
      </c>
      <c r="C4" s="2031">
        <v>1.0</v>
      </c>
      <c r="D4" s="2031">
        <v>1.0</v>
      </c>
      <c r="E4" s="2031">
        <v>0.0</v>
      </c>
      <c r="F4" s="2031">
        <v>0.0</v>
      </c>
      <c r="G4" s="2031">
        <v>0.0</v>
      </c>
      <c r="H4" s="2031">
        <v>0.0</v>
      </c>
      <c r="J4" s="410">
        <v>20.0</v>
      </c>
      <c r="K4" s="410">
        <v>2.0</v>
      </c>
    </row>
    <row r="5">
      <c r="B5" s="2031">
        <v>3.0</v>
      </c>
      <c r="C5" s="2031">
        <v>0.0</v>
      </c>
      <c r="D5" s="2031">
        <v>1.0</v>
      </c>
      <c r="E5" s="2031">
        <v>0.0</v>
      </c>
      <c r="F5" s="2031">
        <v>0.0</v>
      </c>
      <c r="G5" s="2031">
        <v>1.0</v>
      </c>
      <c r="H5" s="2031">
        <v>1.0</v>
      </c>
      <c r="J5" s="410">
        <v>60.0</v>
      </c>
      <c r="K5" s="410">
        <v>3.0</v>
      </c>
    </row>
    <row r="6">
      <c r="B6" s="2031">
        <v>4.0</v>
      </c>
      <c r="C6" s="2031">
        <v>1.0</v>
      </c>
      <c r="D6" s="2031">
        <v>1.0</v>
      </c>
      <c r="E6" s="2031">
        <v>0.0</v>
      </c>
      <c r="F6" s="2031">
        <v>0.0</v>
      </c>
      <c r="G6" s="2031">
        <v>1.0</v>
      </c>
      <c r="H6" s="2031">
        <v>1.0</v>
      </c>
      <c r="J6" s="410">
        <v>120.0</v>
      </c>
      <c r="K6" s="410">
        <v>4.0</v>
      </c>
    </row>
    <row r="7">
      <c r="B7" s="2031">
        <v>5.0</v>
      </c>
      <c r="C7" s="2031">
        <v>0.0</v>
      </c>
      <c r="D7" s="2031">
        <v>1.0</v>
      </c>
      <c r="E7" s="2031">
        <v>1.0</v>
      </c>
      <c r="F7" s="2031">
        <v>1.0</v>
      </c>
      <c r="G7" s="2031">
        <v>1.0</v>
      </c>
      <c r="H7" s="2031">
        <v>1.0</v>
      </c>
      <c r="J7" s="410">
        <v>200.0</v>
      </c>
      <c r="K7" s="410">
        <v>5.0</v>
      </c>
    </row>
    <row r="8">
      <c r="B8" s="2031">
        <v>6.0</v>
      </c>
      <c r="C8" s="2031">
        <v>1.0</v>
      </c>
      <c r="D8" s="2031">
        <v>1.0</v>
      </c>
      <c r="E8" s="2031">
        <v>1.0</v>
      </c>
      <c r="F8" s="2031">
        <v>1.0</v>
      </c>
      <c r="G8" s="2031">
        <v>1.0</v>
      </c>
      <c r="H8" s="2031">
        <v>1.0</v>
      </c>
      <c r="J8" s="410">
        <v>300.0</v>
      </c>
      <c r="K8" s="410">
        <v>6.0</v>
      </c>
    </row>
    <row r="9">
      <c r="B9" s="2031">
        <v>7.0</v>
      </c>
      <c r="C9" s="2031">
        <v>1.0</v>
      </c>
      <c r="D9" s="2031">
        <v>2.0</v>
      </c>
      <c r="E9" s="2031">
        <v>1.0</v>
      </c>
      <c r="F9" s="2031">
        <v>1.0</v>
      </c>
      <c r="G9" s="2031">
        <v>1.0</v>
      </c>
      <c r="H9" s="2031">
        <v>1.0</v>
      </c>
      <c r="J9" s="410">
        <v>420.0</v>
      </c>
      <c r="K9" s="410">
        <v>7.0</v>
      </c>
    </row>
    <row r="10">
      <c r="B10" s="2031">
        <v>8.0</v>
      </c>
      <c r="C10" s="2031">
        <v>1.0</v>
      </c>
      <c r="D10" s="2031">
        <v>1.0</v>
      </c>
      <c r="E10" s="2031">
        <v>1.0</v>
      </c>
      <c r="F10" s="2031">
        <v>1.0</v>
      </c>
      <c r="G10" s="2031">
        <v>2.0</v>
      </c>
      <c r="H10" s="2031">
        <v>2.0</v>
      </c>
      <c r="J10" s="410">
        <v>560.0</v>
      </c>
      <c r="K10" s="410">
        <v>8.0</v>
      </c>
    </row>
    <row r="11">
      <c r="B11" s="2031">
        <v>9.0</v>
      </c>
      <c r="C11" s="2031">
        <v>1.0</v>
      </c>
      <c r="D11" s="2031">
        <v>2.0</v>
      </c>
      <c r="E11" s="2031">
        <v>1.0</v>
      </c>
      <c r="F11" s="2031">
        <v>1.0</v>
      </c>
      <c r="G11" s="2031">
        <v>2.0</v>
      </c>
      <c r="H11" s="2031">
        <v>2.0</v>
      </c>
      <c r="J11" s="410">
        <v>720.0</v>
      </c>
      <c r="K11" s="410">
        <v>9.0</v>
      </c>
    </row>
    <row r="12">
      <c r="B12" s="2031">
        <v>10.0</v>
      </c>
      <c r="C12" s="2031">
        <v>1.0</v>
      </c>
      <c r="D12" s="2031">
        <v>3.0</v>
      </c>
      <c r="E12" s="2031">
        <v>1.0</v>
      </c>
      <c r="F12" s="2031">
        <v>1.0</v>
      </c>
      <c r="G12" s="2031">
        <v>2.0</v>
      </c>
      <c r="H12" s="2031">
        <v>2.0</v>
      </c>
      <c r="J12" s="410">
        <v>900.0</v>
      </c>
      <c r="K12" s="410">
        <v>10.0</v>
      </c>
    </row>
    <row r="13">
      <c r="B13" s="2031">
        <v>11.0</v>
      </c>
      <c r="C13" s="2031">
        <v>1.0</v>
      </c>
      <c r="D13" s="2031">
        <v>2.0</v>
      </c>
      <c r="E13" s="2031">
        <v>2.0</v>
      </c>
      <c r="F13" s="2031">
        <v>2.0</v>
      </c>
      <c r="G13" s="2031">
        <v>2.0</v>
      </c>
      <c r="H13" s="2031">
        <v>2.0</v>
      </c>
      <c r="J13" s="410">
        <v>1100.0</v>
      </c>
      <c r="K13" s="410">
        <v>11.0</v>
      </c>
    </row>
    <row r="14">
      <c r="B14" s="2031">
        <v>12.0</v>
      </c>
      <c r="C14" s="2031">
        <v>1.0</v>
      </c>
      <c r="D14" s="2031">
        <v>3.0</v>
      </c>
      <c r="E14" s="2031">
        <v>2.0</v>
      </c>
      <c r="F14" s="2031">
        <v>2.0</v>
      </c>
      <c r="G14" s="2031">
        <v>2.0</v>
      </c>
      <c r="H14" s="2031">
        <v>2.0</v>
      </c>
      <c r="J14" s="410">
        <v>1320.0</v>
      </c>
      <c r="K14" s="410">
        <v>12.0</v>
      </c>
    </row>
    <row r="15">
      <c r="B15" s="2031">
        <v>13.0</v>
      </c>
      <c r="C15" s="2031">
        <v>2.0</v>
      </c>
      <c r="D15" s="2031">
        <v>3.0</v>
      </c>
      <c r="E15" s="2031">
        <v>2.0</v>
      </c>
      <c r="F15" s="2031">
        <v>2.0</v>
      </c>
      <c r="G15" s="2031">
        <v>2.0</v>
      </c>
      <c r="H15" s="2031">
        <v>2.0</v>
      </c>
    </row>
    <row r="16">
      <c r="B16" s="2031">
        <v>14.0</v>
      </c>
      <c r="C16" s="2031">
        <v>2.0</v>
      </c>
      <c r="D16" s="2031">
        <v>4.0</v>
      </c>
      <c r="E16" s="2031">
        <v>2.0</v>
      </c>
      <c r="F16" s="2031">
        <v>2.0</v>
      </c>
      <c r="G16" s="2031">
        <v>2.0</v>
      </c>
      <c r="H16" s="2031">
        <v>2.0</v>
      </c>
    </row>
    <row r="17">
      <c r="B17" s="2031">
        <v>15.0</v>
      </c>
      <c r="C17" s="2031">
        <v>2.0</v>
      </c>
      <c r="D17" s="2031">
        <v>3.0</v>
      </c>
      <c r="E17" s="2031">
        <v>2.0</v>
      </c>
      <c r="F17" s="2031">
        <v>2.0</v>
      </c>
      <c r="G17" s="2031">
        <v>3.0</v>
      </c>
      <c r="H17" s="2031">
        <v>3.0</v>
      </c>
    </row>
    <row r="18">
      <c r="B18" s="2031">
        <v>16.0</v>
      </c>
      <c r="C18" s="2031">
        <v>2.0</v>
      </c>
      <c r="D18" s="2031">
        <v>4.0</v>
      </c>
      <c r="E18" s="2031">
        <v>2.0</v>
      </c>
      <c r="F18" s="2031">
        <v>2.0</v>
      </c>
      <c r="G18" s="2031">
        <v>3.0</v>
      </c>
      <c r="H18" s="2031">
        <v>3.0</v>
      </c>
    </row>
    <row r="19">
      <c r="B19" s="2031">
        <v>17.0</v>
      </c>
      <c r="C19" s="2031">
        <v>2.0</v>
      </c>
      <c r="D19" s="2031">
        <v>5.0</v>
      </c>
      <c r="E19" s="2031">
        <v>2.0</v>
      </c>
      <c r="F19" s="2031">
        <v>2.0</v>
      </c>
      <c r="G19" s="2031">
        <v>3.0</v>
      </c>
      <c r="H19" s="2031">
        <v>3.0</v>
      </c>
    </row>
    <row r="20">
      <c r="B20" s="2031">
        <v>18.0</v>
      </c>
      <c r="C20" s="2031">
        <v>2.0</v>
      </c>
      <c r="D20" s="2031">
        <v>4.0</v>
      </c>
      <c r="E20" s="2031">
        <v>3.0</v>
      </c>
      <c r="F20" s="2031">
        <v>3.0</v>
      </c>
      <c r="G20" s="2031">
        <v>3.0</v>
      </c>
      <c r="H20" s="2031">
        <v>3.0</v>
      </c>
    </row>
    <row r="21">
      <c r="B21" s="2031">
        <v>19.0</v>
      </c>
      <c r="C21" s="2031">
        <v>2.0</v>
      </c>
      <c r="D21" s="2031">
        <v>5.0</v>
      </c>
      <c r="E21" s="2031">
        <v>3.0</v>
      </c>
      <c r="F21" s="2031">
        <v>3.0</v>
      </c>
      <c r="G21" s="2031">
        <v>3.0</v>
      </c>
      <c r="H21" s="2031">
        <v>3.0</v>
      </c>
    </row>
    <row r="22">
      <c r="B22" s="2031">
        <v>20.0</v>
      </c>
      <c r="C22" s="2031">
        <v>3.0</v>
      </c>
      <c r="D22" s="2031">
        <v>5.0</v>
      </c>
      <c r="E22" s="2031">
        <v>3.0</v>
      </c>
      <c r="F22" s="2031">
        <v>3.0</v>
      </c>
      <c r="G22" s="2031">
        <v>3.0</v>
      </c>
      <c r="H22" s="2031">
        <v>3.0</v>
      </c>
    </row>
    <row r="23">
      <c r="B23" s="2031">
        <v>21.0</v>
      </c>
      <c r="C23" s="2031">
        <v>2.0</v>
      </c>
      <c r="D23" s="2031">
        <v>5.0</v>
      </c>
      <c r="E23" s="2031">
        <v>3.0</v>
      </c>
      <c r="F23" s="2031">
        <v>3.0</v>
      </c>
      <c r="G23" s="2031">
        <v>4.0</v>
      </c>
      <c r="H23" s="2031">
        <v>4.0</v>
      </c>
    </row>
    <row r="24">
      <c r="B24" s="2031">
        <v>22.0</v>
      </c>
      <c r="C24" s="2031">
        <v>3.0</v>
      </c>
      <c r="D24" s="2031">
        <v>5.0</v>
      </c>
      <c r="E24" s="2031">
        <v>3.0</v>
      </c>
      <c r="F24" s="2031">
        <v>3.0</v>
      </c>
      <c r="G24" s="2031">
        <v>4.0</v>
      </c>
      <c r="H24" s="2031">
        <v>4.0</v>
      </c>
    </row>
    <row r="25">
      <c r="B25" s="2031">
        <v>23.0</v>
      </c>
      <c r="C25" s="2031">
        <v>2.0</v>
      </c>
      <c r="D25" s="2031">
        <v>5.0</v>
      </c>
      <c r="E25" s="2031">
        <v>4.0</v>
      </c>
      <c r="F25" s="2031">
        <v>4.0</v>
      </c>
      <c r="G25" s="2031">
        <v>4.0</v>
      </c>
      <c r="H25" s="2031">
        <v>4.0</v>
      </c>
    </row>
    <row r="26">
      <c r="B26" s="2031">
        <v>24.0</v>
      </c>
      <c r="C26" s="2031">
        <v>3.0</v>
      </c>
      <c r="D26" s="2031">
        <v>5.0</v>
      </c>
      <c r="E26" s="2031">
        <v>4.0</v>
      </c>
      <c r="F26" s="2031">
        <v>4.0</v>
      </c>
      <c r="G26" s="2031">
        <v>4.0</v>
      </c>
      <c r="H26" s="2031">
        <v>4.0</v>
      </c>
    </row>
    <row r="27">
      <c r="B27" s="2031">
        <v>25.0</v>
      </c>
      <c r="C27" s="2031">
        <v>3.0</v>
      </c>
      <c r="D27" s="2031">
        <v>6.0</v>
      </c>
      <c r="E27" s="2031">
        <v>4.0</v>
      </c>
      <c r="F27" s="2031">
        <v>4.0</v>
      </c>
      <c r="G27" s="2031">
        <v>4.0</v>
      </c>
      <c r="H27" s="2031">
        <v>4.0</v>
      </c>
    </row>
    <row r="28">
      <c r="B28" s="2031">
        <v>26.0</v>
      </c>
      <c r="C28" s="2031">
        <v>3.0</v>
      </c>
      <c r="D28" s="2031">
        <v>7.0</v>
      </c>
      <c r="E28" s="2031">
        <v>4.0</v>
      </c>
      <c r="F28" s="2031">
        <v>4.0</v>
      </c>
      <c r="G28" s="2031">
        <v>4.0</v>
      </c>
      <c r="H28" s="2031">
        <v>4.0</v>
      </c>
    </row>
    <row r="29">
      <c r="B29" s="2031">
        <v>27.0</v>
      </c>
      <c r="C29" s="2031">
        <v>4.0</v>
      </c>
      <c r="D29" s="2031">
        <v>7.0</v>
      </c>
      <c r="E29" s="2031">
        <v>4.0</v>
      </c>
      <c r="F29" s="2031">
        <v>4.0</v>
      </c>
      <c r="G29" s="2031">
        <v>4.0</v>
      </c>
      <c r="H29" s="2031">
        <v>4.0</v>
      </c>
    </row>
    <row r="30">
      <c r="B30" s="2031">
        <v>28.0</v>
      </c>
      <c r="C30" s="2031">
        <v>3.0</v>
      </c>
      <c r="D30" s="2031">
        <v>7.0</v>
      </c>
      <c r="E30" s="2031">
        <v>4.0</v>
      </c>
      <c r="F30" s="2031">
        <v>4.0</v>
      </c>
      <c r="G30" s="2031">
        <v>5.0</v>
      </c>
      <c r="H30" s="2031">
        <v>5.0</v>
      </c>
    </row>
    <row r="31">
      <c r="B31" s="2031">
        <v>29.0</v>
      </c>
      <c r="C31" s="2031">
        <v>4.0</v>
      </c>
      <c r="D31" s="2031">
        <v>7.0</v>
      </c>
      <c r="E31" s="2031">
        <v>4.0</v>
      </c>
      <c r="F31" s="2031">
        <v>4.0</v>
      </c>
      <c r="G31" s="2031">
        <v>5.0</v>
      </c>
      <c r="H31" s="2031">
        <v>5.0</v>
      </c>
    </row>
    <row r="32">
      <c r="B32" s="2031">
        <v>30.0</v>
      </c>
      <c r="C32" s="2031">
        <v>3.0</v>
      </c>
      <c r="D32" s="2031">
        <v>7.0</v>
      </c>
      <c r="E32" s="2031">
        <v>5.0</v>
      </c>
      <c r="F32" s="2031">
        <v>5.0</v>
      </c>
      <c r="G32" s="2031">
        <v>5.0</v>
      </c>
      <c r="H32" s="2031">
        <v>5.0</v>
      </c>
    </row>
    <row r="33">
      <c r="B33" s="2031">
        <v>31.0</v>
      </c>
      <c r="C33" s="2031">
        <v>4.0</v>
      </c>
      <c r="D33" s="2031">
        <v>7.0</v>
      </c>
      <c r="E33" s="2031">
        <v>5.0</v>
      </c>
      <c r="F33" s="2031">
        <v>5.0</v>
      </c>
      <c r="G33" s="2031">
        <v>5.0</v>
      </c>
      <c r="H33" s="2031">
        <v>5.0</v>
      </c>
    </row>
    <row r="34">
      <c r="B34" s="2031">
        <v>32.0</v>
      </c>
      <c r="C34" s="2031">
        <v>4.0</v>
      </c>
      <c r="D34" s="2031">
        <v>8.0</v>
      </c>
      <c r="E34" s="2031">
        <v>5.0</v>
      </c>
      <c r="F34" s="2031">
        <v>5.0</v>
      </c>
      <c r="G34" s="2031">
        <v>5.0</v>
      </c>
      <c r="H34" s="2031">
        <v>5.0</v>
      </c>
    </row>
    <row r="35">
      <c r="B35" s="2031">
        <v>33.0</v>
      </c>
      <c r="C35" s="2031">
        <v>4.0</v>
      </c>
      <c r="D35" s="2031">
        <v>7.0</v>
      </c>
      <c r="E35" s="2031">
        <v>5.0</v>
      </c>
      <c r="F35" s="2031">
        <v>5.0</v>
      </c>
      <c r="G35" s="2031">
        <v>6.0</v>
      </c>
      <c r="H35" s="2031">
        <v>6.0</v>
      </c>
    </row>
    <row r="36">
      <c r="B36" s="2031">
        <v>34.0</v>
      </c>
      <c r="C36" s="2031">
        <v>4.0</v>
      </c>
      <c r="D36" s="2031">
        <v>8.0</v>
      </c>
      <c r="E36" s="2031">
        <v>5.0</v>
      </c>
      <c r="F36" s="2031">
        <v>5.0</v>
      </c>
      <c r="G36" s="2031">
        <v>6.0</v>
      </c>
      <c r="H36" s="2031">
        <v>6.0</v>
      </c>
    </row>
    <row r="37">
      <c r="B37" s="2031">
        <v>35.0</v>
      </c>
      <c r="C37" s="2031">
        <v>4.0</v>
      </c>
      <c r="D37" s="2031">
        <v>9.0</v>
      </c>
      <c r="E37" s="2031">
        <v>5.0</v>
      </c>
      <c r="F37" s="2031">
        <v>5.0</v>
      </c>
      <c r="G37" s="2031">
        <v>6.0</v>
      </c>
      <c r="H37" s="2031">
        <v>6.0</v>
      </c>
    </row>
    <row r="38">
      <c r="B38" s="2031">
        <v>36.0</v>
      </c>
      <c r="C38" s="2031">
        <v>4.0</v>
      </c>
      <c r="D38" s="2031">
        <v>8.0</v>
      </c>
      <c r="E38" s="2031">
        <v>6.0</v>
      </c>
      <c r="F38" s="2031">
        <v>6.0</v>
      </c>
      <c r="G38" s="2031">
        <v>6.0</v>
      </c>
      <c r="H38" s="2031">
        <v>6.0</v>
      </c>
    </row>
    <row r="39">
      <c r="B39" s="2031">
        <v>37.0</v>
      </c>
      <c r="C39" s="2031">
        <v>4.0</v>
      </c>
      <c r="D39" s="2031">
        <v>9.0</v>
      </c>
      <c r="E39" s="2031">
        <v>6.0</v>
      </c>
      <c r="F39" s="2031">
        <v>6.0</v>
      </c>
      <c r="G39" s="2031">
        <v>6.0</v>
      </c>
      <c r="H39" s="2031">
        <v>6.0</v>
      </c>
    </row>
    <row r="40">
      <c r="B40" s="2031">
        <v>38.0</v>
      </c>
      <c r="C40" s="2031">
        <v>5.0</v>
      </c>
      <c r="D40" s="2031">
        <v>9.0</v>
      </c>
      <c r="E40" s="2031">
        <v>6.0</v>
      </c>
      <c r="F40" s="2031">
        <v>6.0</v>
      </c>
      <c r="G40" s="2031">
        <v>6.0</v>
      </c>
      <c r="H40" s="2031">
        <v>6.0</v>
      </c>
    </row>
    <row r="41">
      <c r="B41" s="2031">
        <v>39.0</v>
      </c>
      <c r="C41" s="2031">
        <v>5.0</v>
      </c>
      <c r="D41" s="2031">
        <v>10.0</v>
      </c>
      <c r="E41" s="2031">
        <v>6.0</v>
      </c>
      <c r="F41" s="2031">
        <v>6.0</v>
      </c>
      <c r="G41" s="2031">
        <v>6.0</v>
      </c>
      <c r="H41" s="2031">
        <v>6.0</v>
      </c>
    </row>
    <row r="42">
      <c r="B42" s="2031">
        <v>40.0</v>
      </c>
      <c r="C42" s="2031">
        <v>5.0</v>
      </c>
      <c r="D42" s="2031">
        <v>9.0</v>
      </c>
      <c r="E42" s="2031">
        <v>6.0</v>
      </c>
      <c r="F42" s="2031">
        <v>6.0</v>
      </c>
      <c r="G42" s="2031">
        <v>7.0</v>
      </c>
      <c r="H42" s="2031">
        <v>7.0</v>
      </c>
    </row>
    <row r="43">
      <c r="B43" s="2031">
        <v>41.0</v>
      </c>
      <c r="C43" s="2031">
        <v>5.0</v>
      </c>
      <c r="D43" s="2031">
        <v>10.0</v>
      </c>
      <c r="E43" s="2031">
        <v>6.0</v>
      </c>
      <c r="F43" s="2031">
        <v>6.0</v>
      </c>
      <c r="G43" s="2031">
        <v>7.0</v>
      </c>
      <c r="H43" s="2031">
        <v>7.0</v>
      </c>
    </row>
    <row r="44">
      <c r="B44" s="2031">
        <v>42.0</v>
      </c>
      <c r="C44" s="2031">
        <v>5.0</v>
      </c>
      <c r="D44" s="2031">
        <v>11.0</v>
      </c>
      <c r="E44" s="2031">
        <v>6.0</v>
      </c>
      <c r="F44" s="2031">
        <v>6.0</v>
      </c>
      <c r="G44" s="2031">
        <v>7.0</v>
      </c>
      <c r="H44" s="2031">
        <v>7.0</v>
      </c>
    </row>
    <row r="45">
      <c r="B45" s="2031">
        <v>43.0</v>
      </c>
      <c r="C45" s="2031">
        <v>5.0</v>
      </c>
      <c r="D45" s="2031">
        <v>10.0</v>
      </c>
      <c r="E45" s="2031">
        <v>7.0</v>
      </c>
      <c r="F45" s="2031">
        <v>7.0</v>
      </c>
      <c r="G45" s="2031">
        <v>7.0</v>
      </c>
      <c r="H45" s="2031">
        <v>7.0</v>
      </c>
    </row>
    <row r="46">
      <c r="B46" s="2031">
        <v>44.0</v>
      </c>
      <c r="C46" s="2031">
        <v>5.0</v>
      </c>
      <c r="D46" s="2031">
        <v>11.0</v>
      </c>
      <c r="E46" s="2031">
        <v>7.0</v>
      </c>
      <c r="F46" s="2031">
        <v>7.0</v>
      </c>
      <c r="G46" s="2031">
        <v>7.0</v>
      </c>
      <c r="H46" s="2031">
        <v>7.0</v>
      </c>
    </row>
    <row r="47">
      <c r="B47" s="2031">
        <v>45.0</v>
      </c>
      <c r="C47" s="2031">
        <v>6.0</v>
      </c>
      <c r="D47" s="2031">
        <v>11.0</v>
      </c>
      <c r="E47" s="2031">
        <v>7.0</v>
      </c>
      <c r="F47" s="2031">
        <v>7.0</v>
      </c>
      <c r="G47" s="2031">
        <v>7.0</v>
      </c>
      <c r="H47" s="2031">
        <v>7.0</v>
      </c>
    </row>
    <row r="48">
      <c r="B48" s="2031">
        <v>46.0</v>
      </c>
      <c r="C48" s="2031">
        <v>5.0</v>
      </c>
      <c r="D48" s="2031">
        <v>11.0</v>
      </c>
      <c r="E48" s="2031">
        <v>7.0</v>
      </c>
      <c r="F48" s="2031">
        <v>7.0</v>
      </c>
      <c r="G48" s="2031">
        <v>8.0</v>
      </c>
      <c r="H48" s="2031">
        <v>8.0</v>
      </c>
    </row>
    <row r="49">
      <c r="B49" s="2031">
        <v>47.0</v>
      </c>
      <c r="C49" s="2031">
        <v>6.0</v>
      </c>
      <c r="D49" s="2031">
        <v>11.0</v>
      </c>
      <c r="E49" s="2031">
        <v>7.0</v>
      </c>
      <c r="F49" s="2031">
        <v>7.0</v>
      </c>
      <c r="G49" s="2031">
        <v>8.0</v>
      </c>
      <c r="H49" s="2031">
        <v>8.0</v>
      </c>
    </row>
    <row r="50">
      <c r="B50" s="2031">
        <v>48.0</v>
      </c>
      <c r="C50" s="2031">
        <v>5.0</v>
      </c>
      <c r="D50" s="2031">
        <v>11.0</v>
      </c>
      <c r="E50" s="2031">
        <v>8.0</v>
      </c>
      <c r="F50" s="2031">
        <v>8.0</v>
      </c>
      <c r="G50" s="2031">
        <v>8.0</v>
      </c>
      <c r="H50" s="2031">
        <v>8.0</v>
      </c>
    </row>
    <row r="51">
      <c r="B51" s="2031">
        <v>49.0</v>
      </c>
      <c r="C51" s="2031">
        <v>6.0</v>
      </c>
      <c r="D51" s="2031">
        <v>11.0</v>
      </c>
      <c r="E51" s="2031">
        <v>8.0</v>
      </c>
      <c r="F51" s="2031">
        <v>8.0</v>
      </c>
      <c r="G51" s="2031">
        <v>8.0</v>
      </c>
      <c r="H51" s="2031">
        <v>8.0</v>
      </c>
    </row>
    <row r="52">
      <c r="B52" s="2031">
        <v>50.0</v>
      </c>
      <c r="C52" s="2031">
        <v>6.0</v>
      </c>
      <c r="D52" s="2031">
        <v>12.0</v>
      </c>
      <c r="E52" s="2031">
        <v>8.0</v>
      </c>
      <c r="F52" s="2031">
        <v>8.0</v>
      </c>
      <c r="G52" s="2031">
        <v>8.0</v>
      </c>
      <c r="H52" s="2031">
        <v>8.0</v>
      </c>
    </row>
    <row r="53">
      <c r="B53" s="2031">
        <v>51.0</v>
      </c>
      <c r="C53" s="2031">
        <v>6.0</v>
      </c>
      <c r="D53" s="2031">
        <v>13.0</v>
      </c>
      <c r="E53" s="2031">
        <v>8.0</v>
      </c>
      <c r="F53" s="2031">
        <v>8.0</v>
      </c>
      <c r="G53" s="2031">
        <v>8.0</v>
      </c>
      <c r="H53" s="2031">
        <v>8.0</v>
      </c>
    </row>
    <row r="54">
      <c r="B54" s="2031">
        <v>52.0</v>
      </c>
      <c r="C54" s="2031">
        <v>7.0</v>
      </c>
      <c r="D54" s="2031">
        <v>13.0</v>
      </c>
      <c r="E54" s="2031">
        <v>8.0</v>
      </c>
      <c r="F54" s="2031">
        <v>8.0</v>
      </c>
      <c r="G54" s="2031">
        <v>8.0</v>
      </c>
      <c r="H54" s="2031">
        <v>8.0</v>
      </c>
    </row>
    <row r="55">
      <c r="B55" s="2031">
        <v>53.0</v>
      </c>
      <c r="C55" s="2031">
        <v>6.0</v>
      </c>
      <c r="D55" s="2031">
        <v>13.0</v>
      </c>
      <c r="E55" s="2031">
        <v>8.0</v>
      </c>
      <c r="F55" s="2031">
        <v>8.0</v>
      </c>
      <c r="G55" s="2031">
        <v>9.0</v>
      </c>
      <c r="H55" s="2031">
        <v>9.0</v>
      </c>
    </row>
    <row r="56">
      <c r="B56" s="2031">
        <v>54.0</v>
      </c>
      <c r="C56" s="2031">
        <v>7.0</v>
      </c>
      <c r="D56" s="2031">
        <v>13.0</v>
      </c>
      <c r="E56" s="2031">
        <v>8.0</v>
      </c>
      <c r="F56" s="2031">
        <v>8.0</v>
      </c>
      <c r="G56" s="2031">
        <v>9.0</v>
      </c>
      <c r="H56" s="2031">
        <v>9.0</v>
      </c>
    </row>
    <row r="57">
      <c r="B57" s="2031">
        <v>55.0</v>
      </c>
      <c r="C57" s="2031">
        <v>6.0</v>
      </c>
      <c r="D57" s="2031">
        <v>13.0</v>
      </c>
      <c r="E57" s="2031">
        <v>9.0</v>
      </c>
      <c r="F57" s="2031">
        <v>9.0</v>
      </c>
      <c r="G57" s="2031">
        <v>9.0</v>
      </c>
      <c r="H57" s="2031">
        <v>9.0</v>
      </c>
    </row>
    <row r="58">
      <c r="B58" s="2031">
        <v>56.0</v>
      </c>
      <c r="C58" s="2031">
        <v>7.0</v>
      </c>
      <c r="D58" s="2031">
        <v>13.0</v>
      </c>
      <c r="E58" s="2031">
        <v>9.0</v>
      </c>
      <c r="F58" s="2031">
        <v>9.0</v>
      </c>
      <c r="G58" s="2031">
        <v>9.0</v>
      </c>
      <c r="H58" s="2031">
        <v>9.0</v>
      </c>
    </row>
    <row r="59">
      <c r="B59" s="2031">
        <v>57.0</v>
      </c>
      <c r="C59" s="2031">
        <v>7.0</v>
      </c>
      <c r="D59" s="2031">
        <v>14.0</v>
      </c>
      <c r="E59" s="2031">
        <v>9.0</v>
      </c>
      <c r="F59" s="2031">
        <v>9.0</v>
      </c>
      <c r="G59" s="2031">
        <v>9.0</v>
      </c>
      <c r="H59" s="2031">
        <v>9.0</v>
      </c>
    </row>
    <row r="60">
      <c r="B60" s="2031">
        <v>58.0</v>
      </c>
      <c r="C60" s="2031">
        <v>7.0</v>
      </c>
      <c r="D60" s="2031">
        <v>13.0</v>
      </c>
      <c r="E60" s="2031">
        <v>9.0</v>
      </c>
      <c r="F60" s="2031">
        <v>9.0</v>
      </c>
      <c r="G60" s="2031">
        <v>10.0</v>
      </c>
      <c r="H60" s="2031">
        <v>10.0</v>
      </c>
    </row>
    <row r="61">
      <c r="B61" s="2031">
        <v>59.0</v>
      </c>
      <c r="C61" s="2031">
        <v>7.0</v>
      </c>
      <c r="D61" s="2031">
        <v>14.0</v>
      </c>
      <c r="E61" s="2031">
        <v>9.0</v>
      </c>
      <c r="F61" s="2031">
        <v>9.0</v>
      </c>
      <c r="G61" s="2031">
        <v>10.0</v>
      </c>
      <c r="H61" s="2031">
        <v>10.0</v>
      </c>
    </row>
    <row r="62">
      <c r="B62" s="2031">
        <v>60.0</v>
      </c>
      <c r="C62" s="2031">
        <v>7.0</v>
      </c>
      <c r="D62" s="2031">
        <v>15.0</v>
      </c>
      <c r="E62" s="2031">
        <v>9.0</v>
      </c>
      <c r="F62" s="2031">
        <v>9.0</v>
      </c>
      <c r="G62" s="2031">
        <v>10.0</v>
      </c>
      <c r="H62" s="2031">
        <v>10.0</v>
      </c>
    </row>
    <row r="63">
      <c r="B63" s="2031">
        <v>61.0</v>
      </c>
      <c r="C63" s="2031">
        <v>7.0</v>
      </c>
      <c r="D63" s="2031">
        <v>14.0</v>
      </c>
      <c r="E63" s="2031">
        <v>10.0</v>
      </c>
      <c r="F63" s="2031">
        <v>10.0</v>
      </c>
      <c r="G63" s="2031">
        <v>10.0</v>
      </c>
      <c r="H63" s="2031">
        <v>10.0</v>
      </c>
    </row>
    <row r="64">
      <c r="B64" s="2031">
        <v>62.0</v>
      </c>
      <c r="C64" s="2031">
        <v>7.0</v>
      </c>
      <c r="D64" s="2031">
        <v>15.0</v>
      </c>
      <c r="E64" s="2031">
        <v>10.0</v>
      </c>
      <c r="F64" s="2031">
        <v>10.0</v>
      </c>
      <c r="G64" s="2031">
        <v>10.0</v>
      </c>
      <c r="H64" s="2031">
        <v>10.0</v>
      </c>
    </row>
    <row r="65">
      <c r="B65" s="2031">
        <v>63.0</v>
      </c>
      <c r="C65" s="2031">
        <v>8.0</v>
      </c>
      <c r="D65" s="2031">
        <v>15.0</v>
      </c>
      <c r="E65" s="2031">
        <v>10.0</v>
      </c>
      <c r="F65" s="2031">
        <v>10.0</v>
      </c>
      <c r="G65" s="2031">
        <v>10.0</v>
      </c>
      <c r="H65" s="2031">
        <v>10.0</v>
      </c>
    </row>
    <row r="66">
      <c r="B66" s="2031">
        <v>64.0</v>
      </c>
      <c r="C66" s="2031">
        <v>8.0</v>
      </c>
      <c r="D66" s="2031">
        <v>16.0</v>
      </c>
      <c r="E66" s="2031">
        <v>10.0</v>
      </c>
      <c r="F66" s="2031">
        <v>10.0</v>
      </c>
      <c r="G66" s="2031">
        <v>10.0</v>
      </c>
      <c r="H66" s="2031">
        <v>10.0</v>
      </c>
    </row>
    <row r="67">
      <c r="B67" s="2031">
        <v>65.0</v>
      </c>
      <c r="C67" s="2031">
        <v>8.0</v>
      </c>
      <c r="D67" s="2031">
        <v>15.0</v>
      </c>
      <c r="E67" s="2031">
        <v>10.0</v>
      </c>
      <c r="F67" s="2031">
        <v>10.0</v>
      </c>
      <c r="G67" s="2031">
        <v>11.0</v>
      </c>
      <c r="H67" s="2031">
        <v>11.0</v>
      </c>
    </row>
    <row r="68">
      <c r="B68" s="2031">
        <v>66.0</v>
      </c>
      <c r="C68" s="2031">
        <v>8.0</v>
      </c>
      <c r="D68" s="2031">
        <v>16.0</v>
      </c>
      <c r="E68" s="2031">
        <v>10.0</v>
      </c>
      <c r="F68" s="2031">
        <v>10.0</v>
      </c>
      <c r="G68" s="2031">
        <v>11.0</v>
      </c>
      <c r="H68" s="2031">
        <v>11.0</v>
      </c>
    </row>
    <row r="69">
      <c r="B69" s="2031">
        <v>67.0</v>
      </c>
      <c r="C69" s="2031">
        <v>8.0</v>
      </c>
      <c r="D69" s="2031">
        <v>17.0</v>
      </c>
      <c r="E69" s="2031">
        <v>10.0</v>
      </c>
      <c r="F69" s="2031">
        <v>10.0</v>
      </c>
      <c r="G69" s="2031">
        <v>11.0</v>
      </c>
      <c r="H69" s="2031">
        <v>11.0</v>
      </c>
    </row>
    <row r="70">
      <c r="B70" s="2031">
        <v>68.0</v>
      </c>
      <c r="C70" s="2031">
        <v>8.0</v>
      </c>
      <c r="D70" s="2031">
        <v>16.0</v>
      </c>
      <c r="E70" s="2031">
        <v>11.0</v>
      </c>
      <c r="F70" s="2031">
        <v>11.0</v>
      </c>
      <c r="G70" s="2031">
        <v>11.0</v>
      </c>
      <c r="H70" s="2031">
        <v>11.0</v>
      </c>
    </row>
    <row r="71">
      <c r="B71" s="2031">
        <v>69.0</v>
      </c>
      <c r="C71" s="2031">
        <v>8.0</v>
      </c>
      <c r="D71" s="2031">
        <v>17.0</v>
      </c>
      <c r="E71" s="2031">
        <v>11.0</v>
      </c>
      <c r="F71" s="2031">
        <v>11.0</v>
      </c>
      <c r="G71" s="2031">
        <v>11.0</v>
      </c>
      <c r="H71" s="2031">
        <v>11.0</v>
      </c>
    </row>
    <row r="72">
      <c r="B72" s="2031">
        <v>70.0</v>
      </c>
      <c r="C72" s="2031">
        <v>9.0</v>
      </c>
      <c r="D72" s="2031">
        <v>17.0</v>
      </c>
      <c r="E72" s="2031">
        <v>11.0</v>
      </c>
      <c r="F72" s="2031">
        <v>11.0</v>
      </c>
      <c r="G72" s="2031">
        <v>11.0</v>
      </c>
      <c r="H72" s="2031">
        <v>11.0</v>
      </c>
    </row>
    <row r="73">
      <c r="B73" s="2031">
        <v>71.0</v>
      </c>
      <c r="C73" s="2031">
        <v>8.0</v>
      </c>
      <c r="D73" s="2031">
        <v>17.0</v>
      </c>
      <c r="E73" s="2031">
        <v>11.0</v>
      </c>
      <c r="F73" s="2031">
        <v>11.0</v>
      </c>
      <c r="G73" s="2031">
        <v>12.0</v>
      </c>
      <c r="H73" s="2031">
        <v>12.0</v>
      </c>
    </row>
    <row r="74">
      <c r="B74" s="2031">
        <v>72.0</v>
      </c>
      <c r="C74" s="2031">
        <v>9.0</v>
      </c>
      <c r="D74" s="2031">
        <v>17.0</v>
      </c>
      <c r="E74" s="2031">
        <v>11.0</v>
      </c>
      <c r="F74" s="2031">
        <v>11.0</v>
      </c>
      <c r="G74" s="2031">
        <v>12.0</v>
      </c>
      <c r="H74" s="2031">
        <v>12.0</v>
      </c>
    </row>
    <row r="75">
      <c r="B75" s="2031">
        <v>73.0</v>
      </c>
      <c r="C75" s="2031">
        <v>8.0</v>
      </c>
      <c r="D75" s="2031">
        <v>17.0</v>
      </c>
      <c r="E75" s="2031">
        <v>12.0</v>
      </c>
      <c r="F75" s="2031">
        <v>12.0</v>
      </c>
      <c r="G75" s="2031">
        <v>12.0</v>
      </c>
      <c r="H75" s="2031">
        <v>12.0</v>
      </c>
    </row>
    <row r="76">
      <c r="B76" s="2031">
        <v>74.0</v>
      </c>
      <c r="C76" s="2031">
        <v>9.0</v>
      </c>
      <c r="D76" s="2031">
        <v>17.0</v>
      </c>
      <c r="E76" s="2031">
        <v>12.0</v>
      </c>
      <c r="F76" s="2031">
        <v>12.0</v>
      </c>
      <c r="G76" s="2031">
        <v>12.0</v>
      </c>
      <c r="H76" s="2031">
        <v>12.0</v>
      </c>
    </row>
    <row r="77">
      <c r="B77" s="2031">
        <v>75.0</v>
      </c>
      <c r="C77" s="2031">
        <v>9.0</v>
      </c>
      <c r="D77" s="2031">
        <v>18.0</v>
      </c>
      <c r="E77" s="2031">
        <v>12.0</v>
      </c>
      <c r="F77" s="2031">
        <v>12.0</v>
      </c>
      <c r="G77" s="2031">
        <v>12.0</v>
      </c>
      <c r="H77" s="2031">
        <v>12.0</v>
      </c>
    </row>
    <row r="78">
      <c r="B78" s="2031">
        <v>76.0</v>
      </c>
      <c r="C78" s="2031">
        <v>9.0</v>
      </c>
      <c r="D78" s="2031">
        <v>19.0</v>
      </c>
      <c r="E78" s="2031">
        <v>12.0</v>
      </c>
      <c r="F78" s="2031">
        <v>12.0</v>
      </c>
      <c r="G78" s="2031">
        <v>12.0</v>
      </c>
      <c r="H78" s="2031">
        <v>12.0</v>
      </c>
    </row>
    <row r="79">
      <c r="B79" s="2031">
        <v>77.0</v>
      </c>
      <c r="C79" s="2031">
        <v>10.0</v>
      </c>
      <c r="D79" s="2031">
        <v>19.0</v>
      </c>
      <c r="E79" s="2031">
        <v>12.0</v>
      </c>
      <c r="F79" s="2031">
        <v>12.0</v>
      </c>
      <c r="G79" s="2031">
        <v>12.0</v>
      </c>
      <c r="H79" s="2031">
        <v>12.0</v>
      </c>
    </row>
    <row r="80">
      <c r="B80" s="2031">
        <v>78.0</v>
      </c>
      <c r="C80" s="2031">
        <v>9.0</v>
      </c>
      <c r="D80" s="2031">
        <v>19.0</v>
      </c>
      <c r="E80" s="2031">
        <v>12.0</v>
      </c>
      <c r="F80" s="2031">
        <v>12.0</v>
      </c>
      <c r="G80" s="2031">
        <v>13.0</v>
      </c>
      <c r="H80" s="2031">
        <v>13.0</v>
      </c>
    </row>
    <row r="81">
      <c r="B81" s="2031">
        <v>79.0</v>
      </c>
      <c r="C81" s="2031">
        <v>10.0</v>
      </c>
      <c r="D81" s="2031">
        <v>19.0</v>
      </c>
      <c r="E81" s="2031">
        <v>12.0</v>
      </c>
      <c r="F81" s="2031">
        <v>12.0</v>
      </c>
      <c r="G81" s="2031">
        <v>13.0</v>
      </c>
      <c r="H81" s="2031">
        <v>13.0</v>
      </c>
    </row>
    <row r="82">
      <c r="B82" s="2031">
        <v>80.0</v>
      </c>
      <c r="C82" s="2031">
        <v>9.0</v>
      </c>
      <c r="D82" s="2031">
        <v>19.0</v>
      </c>
      <c r="E82" s="2031">
        <v>13.0</v>
      </c>
      <c r="F82" s="2031">
        <v>13.0</v>
      </c>
      <c r="G82" s="2031">
        <v>13.0</v>
      </c>
      <c r="H82" s="2031">
        <v>13.0</v>
      </c>
    </row>
    <row r="83">
      <c r="B83" s="2031">
        <v>81.0</v>
      </c>
      <c r="C83" s="2031">
        <v>10.0</v>
      </c>
      <c r="D83" s="2031">
        <v>19.0</v>
      </c>
      <c r="E83" s="2031">
        <v>13.0</v>
      </c>
      <c r="F83" s="2031">
        <v>13.0</v>
      </c>
      <c r="G83" s="2031">
        <v>13.0</v>
      </c>
      <c r="H83" s="2031">
        <v>13.0</v>
      </c>
    </row>
    <row r="84">
      <c r="B84" s="2031">
        <v>82.0</v>
      </c>
      <c r="C84" s="2031">
        <v>10.0</v>
      </c>
      <c r="D84" s="2031">
        <v>20.0</v>
      </c>
      <c r="E84" s="2031">
        <v>13.0</v>
      </c>
      <c r="F84" s="2031">
        <v>13.0</v>
      </c>
      <c r="G84" s="2031">
        <v>13.0</v>
      </c>
      <c r="H84" s="2031">
        <v>13.0</v>
      </c>
    </row>
    <row r="85">
      <c r="B85" s="2031">
        <v>83.0</v>
      </c>
      <c r="C85" s="2031">
        <v>10.0</v>
      </c>
      <c r="D85" s="2031">
        <v>19.0</v>
      </c>
      <c r="E85" s="2031">
        <v>13.0</v>
      </c>
      <c r="F85" s="2031">
        <v>13.0</v>
      </c>
      <c r="G85" s="2031">
        <v>14.0</v>
      </c>
      <c r="H85" s="2031">
        <v>14.0</v>
      </c>
    </row>
    <row r="86">
      <c r="B86" s="2031">
        <v>84.0</v>
      </c>
      <c r="C86" s="2031">
        <v>10.0</v>
      </c>
      <c r="D86" s="2031">
        <v>20.0</v>
      </c>
      <c r="E86" s="2031">
        <v>13.0</v>
      </c>
      <c r="F86" s="2031">
        <v>13.0</v>
      </c>
      <c r="G86" s="2031">
        <v>14.0</v>
      </c>
      <c r="H86" s="2031">
        <v>14.0</v>
      </c>
    </row>
    <row r="87">
      <c r="B87" s="2031">
        <v>85.0</v>
      </c>
      <c r="C87" s="2031">
        <v>10.0</v>
      </c>
      <c r="D87" s="2031">
        <v>21.0</v>
      </c>
      <c r="E87" s="2031">
        <v>13.0</v>
      </c>
      <c r="F87" s="2031">
        <v>13.0</v>
      </c>
      <c r="G87" s="2031">
        <v>14.0</v>
      </c>
      <c r="H87" s="2031">
        <v>14.0</v>
      </c>
    </row>
    <row r="88">
      <c r="B88" s="2031">
        <v>86.0</v>
      </c>
      <c r="C88" s="2031">
        <v>10.0</v>
      </c>
      <c r="D88" s="2031">
        <v>20.0</v>
      </c>
      <c r="E88" s="2031">
        <v>14.0</v>
      </c>
      <c r="F88" s="2031">
        <v>14.0</v>
      </c>
      <c r="G88" s="2031">
        <v>14.0</v>
      </c>
      <c r="H88" s="2031">
        <v>14.0</v>
      </c>
    </row>
    <row r="89">
      <c r="B89" s="2031">
        <v>87.0</v>
      </c>
      <c r="C89" s="2031">
        <v>10.0</v>
      </c>
      <c r="D89" s="2031">
        <v>21.0</v>
      </c>
      <c r="E89" s="2031">
        <v>14.0</v>
      </c>
      <c r="F89" s="2031">
        <v>14.0</v>
      </c>
      <c r="G89" s="2031">
        <v>14.0</v>
      </c>
      <c r="H89" s="2031">
        <v>14.0</v>
      </c>
    </row>
    <row r="90">
      <c r="B90" s="2031">
        <v>88.0</v>
      </c>
      <c r="C90" s="2031">
        <v>11.0</v>
      </c>
      <c r="D90" s="2031">
        <v>21.0</v>
      </c>
      <c r="E90" s="2031">
        <v>14.0</v>
      </c>
      <c r="F90" s="2031">
        <v>14.0</v>
      </c>
      <c r="G90" s="2031">
        <v>14.0</v>
      </c>
      <c r="H90" s="2031">
        <v>14.0</v>
      </c>
    </row>
    <row r="91">
      <c r="B91" s="2031">
        <v>89.0</v>
      </c>
      <c r="C91" s="2031">
        <v>11.0</v>
      </c>
      <c r="D91" s="2031">
        <v>22.0</v>
      </c>
      <c r="E91" s="2031">
        <v>14.0</v>
      </c>
      <c r="F91" s="2031">
        <v>14.0</v>
      </c>
      <c r="G91" s="2031">
        <v>14.0</v>
      </c>
      <c r="H91" s="2031">
        <v>14.0</v>
      </c>
    </row>
    <row r="92">
      <c r="B92" s="2031">
        <v>90.0</v>
      </c>
      <c r="C92" s="2031">
        <v>11.0</v>
      </c>
      <c r="D92" s="2031">
        <v>21.0</v>
      </c>
      <c r="E92" s="2031">
        <v>14.0</v>
      </c>
      <c r="F92" s="2031">
        <v>14.0</v>
      </c>
      <c r="G92" s="2031">
        <v>15.0</v>
      </c>
      <c r="H92" s="2031">
        <v>15.0</v>
      </c>
    </row>
    <row r="93">
      <c r="B93" s="2031">
        <v>91.0</v>
      </c>
      <c r="C93" s="2031">
        <v>11.0</v>
      </c>
      <c r="D93" s="2031">
        <v>22.0</v>
      </c>
      <c r="E93" s="2031">
        <v>14.0</v>
      </c>
      <c r="F93" s="2031">
        <v>14.0</v>
      </c>
      <c r="G93" s="2031">
        <v>15.0</v>
      </c>
      <c r="H93" s="2031">
        <v>15.0</v>
      </c>
    </row>
    <row r="94">
      <c r="B94" s="2031">
        <v>92.0</v>
      </c>
      <c r="C94" s="2031">
        <v>11.0</v>
      </c>
      <c r="D94" s="2031">
        <v>23.0</v>
      </c>
      <c r="E94" s="2031">
        <v>14.0</v>
      </c>
      <c r="F94" s="2031">
        <v>14.0</v>
      </c>
      <c r="G94" s="2031">
        <v>15.0</v>
      </c>
      <c r="H94" s="2031">
        <v>15.0</v>
      </c>
    </row>
    <row r="95">
      <c r="B95" s="2031">
        <v>93.0</v>
      </c>
      <c r="C95" s="2031">
        <v>11.0</v>
      </c>
      <c r="D95" s="2031">
        <v>22.0</v>
      </c>
      <c r="E95" s="2031">
        <v>15.0</v>
      </c>
      <c r="F95" s="2031">
        <v>15.0</v>
      </c>
      <c r="G95" s="2031">
        <v>15.0</v>
      </c>
      <c r="H95" s="2031">
        <v>15.0</v>
      </c>
    </row>
    <row r="96">
      <c r="B96" s="2031">
        <v>94.0</v>
      </c>
      <c r="C96" s="2031">
        <v>11.0</v>
      </c>
      <c r="D96" s="2031">
        <v>23.0</v>
      </c>
      <c r="E96" s="2031">
        <v>15.0</v>
      </c>
      <c r="F96" s="2031">
        <v>15.0</v>
      </c>
      <c r="G96" s="2031">
        <v>15.0</v>
      </c>
      <c r="H96" s="2031">
        <v>15.0</v>
      </c>
    </row>
    <row r="97">
      <c r="B97" s="2031">
        <v>95.0</v>
      </c>
      <c r="C97" s="2031">
        <v>12.0</v>
      </c>
      <c r="D97" s="2031">
        <v>23.0</v>
      </c>
      <c r="E97" s="2031">
        <v>15.0</v>
      </c>
      <c r="F97" s="2031">
        <v>15.0</v>
      </c>
      <c r="G97" s="2031">
        <v>15.0</v>
      </c>
      <c r="H97" s="2031">
        <v>15.0</v>
      </c>
    </row>
    <row r="98">
      <c r="B98" s="2031">
        <v>96.0</v>
      </c>
      <c r="C98" s="2031">
        <v>11.0</v>
      </c>
      <c r="D98" s="2031">
        <v>23.0</v>
      </c>
      <c r="E98" s="2031">
        <v>15.0</v>
      </c>
      <c r="F98" s="2031">
        <v>15.0</v>
      </c>
      <c r="G98" s="2031">
        <v>16.0</v>
      </c>
      <c r="H98" s="2031">
        <v>16.0</v>
      </c>
    </row>
    <row r="99">
      <c r="B99" s="2031">
        <v>97.0</v>
      </c>
      <c r="C99" s="2031">
        <v>12.0</v>
      </c>
      <c r="D99" s="2031">
        <v>23.0</v>
      </c>
      <c r="E99" s="2031">
        <v>15.0</v>
      </c>
      <c r="F99" s="2031">
        <v>15.0</v>
      </c>
      <c r="G99" s="2031">
        <v>16.0</v>
      </c>
      <c r="H99" s="2031">
        <v>16.0</v>
      </c>
    </row>
    <row r="100">
      <c r="B100" s="2031">
        <v>98.0</v>
      </c>
      <c r="C100" s="2031">
        <v>11.0</v>
      </c>
      <c r="D100" s="2031">
        <v>23.0</v>
      </c>
      <c r="E100" s="2031">
        <v>16.0</v>
      </c>
      <c r="F100" s="2031">
        <v>16.0</v>
      </c>
      <c r="G100" s="2031">
        <v>16.0</v>
      </c>
      <c r="H100" s="2031">
        <v>16.0</v>
      </c>
    </row>
    <row r="101">
      <c r="B101" s="2031">
        <v>99.0</v>
      </c>
      <c r="C101" s="2031">
        <v>12.0</v>
      </c>
      <c r="D101" s="2031">
        <v>23.0</v>
      </c>
      <c r="E101" s="2031">
        <v>16.0</v>
      </c>
      <c r="F101" s="2031">
        <v>16.0</v>
      </c>
      <c r="G101" s="2031">
        <v>16.0</v>
      </c>
      <c r="H101" s="2031">
        <v>16.0</v>
      </c>
    </row>
    <row r="102">
      <c r="B102" s="2031">
        <v>100.0</v>
      </c>
      <c r="C102" s="2031">
        <v>12.0</v>
      </c>
      <c r="D102" s="2031">
        <v>24.0</v>
      </c>
      <c r="E102" s="2031">
        <v>16.0</v>
      </c>
      <c r="F102" s="2031">
        <v>16.0</v>
      </c>
      <c r="G102" s="2031">
        <v>16.0</v>
      </c>
      <c r="H102" s="2031">
        <v>16.0</v>
      </c>
    </row>
    <row r="103">
      <c r="B103" s="2031">
        <v>101.0</v>
      </c>
      <c r="C103" s="2031">
        <v>12.0</v>
      </c>
      <c r="D103" s="2031">
        <v>25.0</v>
      </c>
      <c r="E103" s="2031">
        <v>16.0</v>
      </c>
      <c r="F103" s="2031">
        <v>16.0</v>
      </c>
      <c r="G103" s="2031">
        <v>16.0</v>
      </c>
      <c r="H103" s="2031">
        <v>16.0</v>
      </c>
    </row>
    <row r="104">
      <c r="B104" s="2031">
        <v>102.0</v>
      </c>
      <c r="C104" s="2031">
        <v>13.0</v>
      </c>
      <c r="D104" s="2031">
        <v>25.0</v>
      </c>
      <c r="E104" s="2031">
        <v>16.0</v>
      </c>
      <c r="F104" s="2031">
        <v>16.0</v>
      </c>
      <c r="G104" s="2031">
        <v>16.0</v>
      </c>
      <c r="H104" s="2031">
        <v>16.0</v>
      </c>
    </row>
    <row r="105">
      <c r="B105" s="2031">
        <v>103.0</v>
      </c>
      <c r="C105" s="2031">
        <v>12.0</v>
      </c>
      <c r="D105" s="2031">
        <v>25.0</v>
      </c>
      <c r="E105" s="2031">
        <v>16.0</v>
      </c>
      <c r="F105" s="2031">
        <v>16.0</v>
      </c>
      <c r="G105" s="2031">
        <v>17.0</v>
      </c>
      <c r="H105" s="2031">
        <v>17.0</v>
      </c>
    </row>
    <row r="106">
      <c r="B106" s="2031">
        <v>104.0</v>
      </c>
      <c r="C106" s="2031">
        <v>13.0</v>
      </c>
      <c r="D106" s="2031">
        <v>25.0</v>
      </c>
      <c r="E106" s="2031">
        <v>16.0</v>
      </c>
      <c r="F106" s="2031">
        <v>16.0</v>
      </c>
      <c r="G106" s="2031">
        <v>17.0</v>
      </c>
      <c r="H106" s="2031">
        <v>17.0</v>
      </c>
    </row>
    <row r="107">
      <c r="B107" s="2031">
        <v>105.0</v>
      </c>
      <c r="C107" s="2031">
        <v>12.0</v>
      </c>
      <c r="D107" s="2031">
        <v>25.0</v>
      </c>
      <c r="E107" s="2031">
        <v>17.0</v>
      </c>
      <c r="F107" s="2031">
        <v>17.0</v>
      </c>
      <c r="G107" s="2031">
        <v>17.0</v>
      </c>
      <c r="H107" s="2031">
        <v>17.0</v>
      </c>
    </row>
    <row r="108">
      <c r="B108" s="2031">
        <v>106.0</v>
      </c>
      <c r="C108" s="2031">
        <v>13.0</v>
      </c>
      <c r="D108" s="2031">
        <v>25.0</v>
      </c>
      <c r="E108" s="2031">
        <v>17.0</v>
      </c>
      <c r="F108" s="2031">
        <v>17.0</v>
      </c>
      <c r="G108" s="2031">
        <v>17.0</v>
      </c>
      <c r="H108" s="2031">
        <v>17.0</v>
      </c>
    </row>
    <row r="109">
      <c r="B109" s="2031">
        <v>107.0</v>
      </c>
      <c r="C109" s="2031">
        <v>13.0</v>
      </c>
      <c r="D109" s="2031">
        <v>26.0</v>
      </c>
      <c r="E109" s="2031">
        <v>17.0</v>
      </c>
      <c r="F109" s="2031">
        <v>17.0</v>
      </c>
      <c r="G109" s="2031">
        <v>17.0</v>
      </c>
      <c r="H109" s="2031">
        <v>17.0</v>
      </c>
    </row>
    <row r="110">
      <c r="B110" s="2031">
        <v>108.0</v>
      </c>
      <c r="C110" s="2031">
        <v>13.0</v>
      </c>
      <c r="D110" s="2031">
        <v>25.0</v>
      </c>
      <c r="E110" s="2031">
        <v>17.0</v>
      </c>
      <c r="F110" s="2031">
        <v>17.0</v>
      </c>
      <c r="G110" s="2031">
        <v>18.0</v>
      </c>
      <c r="H110" s="2031">
        <v>18.0</v>
      </c>
    </row>
    <row r="111">
      <c r="B111" s="2031">
        <v>109.0</v>
      </c>
      <c r="C111" s="2031">
        <v>13.0</v>
      </c>
      <c r="D111" s="2031">
        <v>26.0</v>
      </c>
      <c r="E111" s="2031">
        <v>17.0</v>
      </c>
      <c r="F111" s="2031">
        <v>17.0</v>
      </c>
      <c r="G111" s="2031">
        <v>18.0</v>
      </c>
      <c r="H111" s="2031">
        <v>18.0</v>
      </c>
    </row>
    <row r="112">
      <c r="B112" s="2031">
        <v>110.0</v>
      </c>
      <c r="C112" s="2031">
        <v>13.0</v>
      </c>
      <c r="D112" s="2031">
        <v>27.0</v>
      </c>
      <c r="E112" s="2031">
        <v>17.0</v>
      </c>
      <c r="F112" s="2031">
        <v>17.0</v>
      </c>
      <c r="G112" s="2031">
        <v>18.0</v>
      </c>
      <c r="H112" s="2031">
        <v>18.0</v>
      </c>
    </row>
    <row r="113">
      <c r="B113" s="2031">
        <v>111.0</v>
      </c>
      <c r="C113" s="2031">
        <v>13.0</v>
      </c>
      <c r="D113" s="2031">
        <v>26.0</v>
      </c>
      <c r="E113" s="2031">
        <v>18.0</v>
      </c>
      <c r="F113" s="2031">
        <v>18.0</v>
      </c>
      <c r="G113" s="2031">
        <v>18.0</v>
      </c>
      <c r="H113" s="2031">
        <v>18.0</v>
      </c>
    </row>
    <row r="114">
      <c r="B114" s="2031">
        <v>112.0</v>
      </c>
      <c r="C114" s="2031">
        <v>13.0</v>
      </c>
      <c r="D114" s="2031">
        <v>27.0</v>
      </c>
      <c r="E114" s="2031">
        <v>18.0</v>
      </c>
      <c r="F114" s="2031">
        <v>18.0</v>
      </c>
      <c r="G114" s="2031">
        <v>18.0</v>
      </c>
      <c r="H114" s="2031">
        <v>18.0</v>
      </c>
    </row>
    <row r="115">
      <c r="B115" s="2031">
        <v>113.0</v>
      </c>
      <c r="C115" s="2031">
        <v>14.0</v>
      </c>
      <c r="D115" s="2031">
        <v>27.0</v>
      </c>
      <c r="E115" s="2031">
        <v>18.0</v>
      </c>
      <c r="F115" s="2031">
        <v>18.0</v>
      </c>
      <c r="G115" s="2031">
        <v>18.0</v>
      </c>
      <c r="H115" s="2031">
        <v>18.0</v>
      </c>
    </row>
    <row r="116">
      <c r="B116" s="2031">
        <v>114.0</v>
      </c>
      <c r="C116" s="2031">
        <v>14.0</v>
      </c>
      <c r="D116" s="2031">
        <v>28.0</v>
      </c>
      <c r="E116" s="2031">
        <v>18.0</v>
      </c>
      <c r="F116" s="2031">
        <v>18.0</v>
      </c>
      <c r="G116" s="2031">
        <v>18.0</v>
      </c>
      <c r="H116" s="2031">
        <v>18.0</v>
      </c>
    </row>
    <row r="117">
      <c r="B117" s="2031">
        <v>115.0</v>
      </c>
      <c r="C117" s="2031">
        <v>14.0</v>
      </c>
      <c r="D117" s="2031">
        <v>27.0</v>
      </c>
      <c r="E117" s="2031">
        <v>18.0</v>
      </c>
      <c r="F117" s="2031">
        <v>18.0</v>
      </c>
      <c r="G117" s="2031">
        <v>19.0</v>
      </c>
      <c r="H117" s="2031">
        <v>19.0</v>
      </c>
    </row>
    <row r="118">
      <c r="B118" s="2031">
        <v>116.0</v>
      </c>
      <c r="C118" s="2031">
        <v>14.0</v>
      </c>
      <c r="D118" s="2031">
        <v>28.0</v>
      </c>
      <c r="E118" s="2031">
        <v>18.0</v>
      </c>
      <c r="F118" s="2031">
        <v>18.0</v>
      </c>
      <c r="G118" s="2031">
        <v>19.0</v>
      </c>
      <c r="H118" s="2031">
        <v>19.0</v>
      </c>
    </row>
    <row r="119">
      <c r="B119" s="2031">
        <v>117.0</v>
      </c>
      <c r="C119" s="2031">
        <v>14.0</v>
      </c>
      <c r="D119" s="2031">
        <v>29.0</v>
      </c>
      <c r="E119" s="2031">
        <v>18.0</v>
      </c>
      <c r="F119" s="2031">
        <v>18.0</v>
      </c>
      <c r="G119" s="2031">
        <v>19.0</v>
      </c>
      <c r="H119" s="2031">
        <v>19.0</v>
      </c>
    </row>
    <row r="120">
      <c r="B120" s="2031">
        <v>118.0</v>
      </c>
      <c r="C120" s="2031">
        <v>14.0</v>
      </c>
      <c r="D120" s="2031">
        <v>28.0</v>
      </c>
      <c r="E120" s="2031">
        <v>19.0</v>
      </c>
      <c r="F120" s="2031">
        <v>19.0</v>
      </c>
      <c r="G120" s="2031">
        <v>19.0</v>
      </c>
      <c r="H120" s="2031">
        <v>19.0</v>
      </c>
    </row>
    <row r="121">
      <c r="B121" s="2031">
        <v>119.0</v>
      </c>
      <c r="C121" s="2031">
        <v>14.0</v>
      </c>
      <c r="D121" s="2031">
        <v>29.0</v>
      </c>
      <c r="E121" s="2031">
        <v>19.0</v>
      </c>
      <c r="F121" s="2031">
        <v>19.0</v>
      </c>
      <c r="G121" s="2031">
        <v>19.0</v>
      </c>
      <c r="H121" s="2031">
        <v>19.0</v>
      </c>
    </row>
    <row r="122">
      <c r="B122" s="2031">
        <v>120.0</v>
      </c>
      <c r="C122" s="2031">
        <v>15.0</v>
      </c>
      <c r="D122" s="2031">
        <v>29.0</v>
      </c>
      <c r="E122" s="2031">
        <v>19.0</v>
      </c>
      <c r="F122" s="2031">
        <v>19.0</v>
      </c>
      <c r="G122" s="2031">
        <v>19.0</v>
      </c>
      <c r="H122" s="2031">
        <v>19.0</v>
      </c>
    </row>
    <row r="123">
      <c r="B123" s="2031">
        <v>121.0</v>
      </c>
      <c r="C123" s="2031">
        <v>14.0</v>
      </c>
      <c r="D123" s="2031">
        <v>29.0</v>
      </c>
      <c r="E123" s="2031">
        <v>19.0</v>
      </c>
      <c r="F123" s="2031">
        <v>19.0</v>
      </c>
      <c r="G123" s="2031">
        <v>20.0</v>
      </c>
      <c r="H123" s="2031">
        <v>20.0</v>
      </c>
    </row>
    <row r="124">
      <c r="B124" s="2031">
        <v>122.0</v>
      </c>
      <c r="C124" s="2031">
        <v>15.0</v>
      </c>
      <c r="D124" s="2031">
        <v>29.0</v>
      </c>
      <c r="E124" s="2031">
        <v>19.0</v>
      </c>
      <c r="F124" s="2031">
        <v>19.0</v>
      </c>
      <c r="G124" s="2031">
        <v>20.0</v>
      </c>
      <c r="H124" s="2031">
        <v>20.0</v>
      </c>
    </row>
    <row r="125">
      <c r="B125" s="2031">
        <v>123.0</v>
      </c>
      <c r="C125" s="2031">
        <v>14.0</v>
      </c>
      <c r="D125" s="2031">
        <v>29.0</v>
      </c>
      <c r="E125" s="2031">
        <v>20.0</v>
      </c>
      <c r="F125" s="2031">
        <v>20.0</v>
      </c>
      <c r="G125" s="2031">
        <v>20.0</v>
      </c>
      <c r="H125" s="2031">
        <v>20.0</v>
      </c>
    </row>
    <row r="126">
      <c r="B126" s="2031">
        <v>124.0</v>
      </c>
      <c r="C126" s="2031">
        <v>15.0</v>
      </c>
      <c r="D126" s="2031">
        <v>29.0</v>
      </c>
      <c r="E126" s="2031">
        <v>20.0</v>
      </c>
      <c r="F126" s="2031">
        <v>20.0</v>
      </c>
      <c r="G126" s="2031">
        <v>20.0</v>
      </c>
      <c r="H126" s="2031">
        <v>20.0</v>
      </c>
    </row>
    <row r="127">
      <c r="B127" s="2031">
        <v>125.0</v>
      </c>
      <c r="C127" s="2031">
        <v>15.0</v>
      </c>
      <c r="D127" s="2031">
        <v>30.0</v>
      </c>
      <c r="E127" s="2031">
        <v>20.0</v>
      </c>
      <c r="F127" s="2031">
        <v>20.0</v>
      </c>
      <c r="G127" s="2031">
        <v>20.0</v>
      </c>
      <c r="H127" s="2031">
        <v>20.0</v>
      </c>
    </row>
    <row r="128">
      <c r="B128" s="2031">
        <v>126.0</v>
      </c>
      <c r="C128" s="2031">
        <v>15.0</v>
      </c>
      <c r="D128" s="2031">
        <v>31.0</v>
      </c>
      <c r="E128" s="2031">
        <v>20.0</v>
      </c>
      <c r="F128" s="2031">
        <v>20.0</v>
      </c>
      <c r="G128" s="2031">
        <v>20.0</v>
      </c>
      <c r="H128" s="2031">
        <v>20.0</v>
      </c>
    </row>
    <row r="129">
      <c r="B129" s="2031">
        <v>127.0</v>
      </c>
      <c r="C129" s="2031">
        <v>16.0</v>
      </c>
      <c r="D129" s="2031">
        <v>31.0</v>
      </c>
      <c r="E129" s="2031">
        <v>20.0</v>
      </c>
      <c r="F129" s="2031">
        <v>20.0</v>
      </c>
      <c r="G129" s="2031">
        <v>20.0</v>
      </c>
      <c r="H129" s="2031">
        <v>20.0</v>
      </c>
    </row>
    <row r="130">
      <c r="B130" s="2031">
        <v>128.0</v>
      </c>
      <c r="C130" s="2031">
        <v>15.0</v>
      </c>
      <c r="D130" s="2031">
        <v>31.0</v>
      </c>
      <c r="E130" s="2031">
        <v>20.0</v>
      </c>
      <c r="F130" s="2031">
        <v>20.0</v>
      </c>
      <c r="G130" s="2031">
        <v>21.0</v>
      </c>
      <c r="H130" s="2031">
        <v>21.0</v>
      </c>
    </row>
    <row r="131">
      <c r="B131" s="2031">
        <v>129.0</v>
      </c>
      <c r="C131" s="2031">
        <v>16.0</v>
      </c>
      <c r="D131" s="2031">
        <v>31.0</v>
      </c>
      <c r="E131" s="2031">
        <v>20.0</v>
      </c>
      <c r="F131" s="2031">
        <v>20.0</v>
      </c>
      <c r="G131" s="2031">
        <v>21.0</v>
      </c>
      <c r="H131" s="2031">
        <v>21.0</v>
      </c>
    </row>
    <row r="132">
      <c r="B132" s="2031">
        <v>130.0</v>
      </c>
      <c r="C132" s="2031">
        <v>15.0</v>
      </c>
      <c r="D132" s="2031">
        <v>31.0</v>
      </c>
      <c r="E132" s="2031">
        <v>21.0</v>
      </c>
      <c r="F132" s="2031">
        <v>21.0</v>
      </c>
      <c r="G132" s="2031">
        <v>21.0</v>
      </c>
      <c r="H132" s="2031">
        <v>21.0</v>
      </c>
    </row>
    <row r="133">
      <c r="B133" s="2031">
        <v>131.0</v>
      </c>
      <c r="C133" s="2031">
        <v>16.0</v>
      </c>
      <c r="D133" s="2031">
        <v>31.0</v>
      </c>
      <c r="E133" s="2031">
        <v>21.0</v>
      </c>
      <c r="F133" s="2031">
        <v>21.0</v>
      </c>
      <c r="G133" s="2031">
        <v>21.0</v>
      </c>
      <c r="H133" s="2031">
        <v>21.0</v>
      </c>
    </row>
    <row r="134">
      <c r="B134" s="2031">
        <v>132.0</v>
      </c>
      <c r="C134" s="2031">
        <v>16.0</v>
      </c>
      <c r="D134" s="2031">
        <v>32.0</v>
      </c>
      <c r="E134" s="2031">
        <v>21.0</v>
      </c>
      <c r="F134" s="2031">
        <v>21.0</v>
      </c>
      <c r="G134" s="2031">
        <v>21.0</v>
      </c>
      <c r="H134" s="2031">
        <v>21.0</v>
      </c>
    </row>
    <row r="135">
      <c r="B135" s="2031">
        <v>133.0</v>
      </c>
      <c r="C135" s="2031">
        <v>16.0</v>
      </c>
      <c r="D135" s="2031">
        <v>31.0</v>
      </c>
      <c r="E135" s="2031">
        <v>21.0</v>
      </c>
      <c r="F135" s="2031">
        <v>21.0</v>
      </c>
      <c r="G135" s="2031">
        <v>22.0</v>
      </c>
      <c r="H135" s="2031">
        <v>22.0</v>
      </c>
    </row>
    <row r="136">
      <c r="B136" s="2031">
        <v>134.0</v>
      </c>
      <c r="C136" s="2031">
        <v>16.0</v>
      </c>
      <c r="D136" s="2031">
        <v>32.0</v>
      </c>
      <c r="E136" s="2031">
        <v>21.0</v>
      </c>
      <c r="F136" s="2031">
        <v>21.0</v>
      </c>
      <c r="G136" s="2031">
        <v>22.0</v>
      </c>
      <c r="H136" s="2031">
        <v>22.0</v>
      </c>
    </row>
    <row r="137">
      <c r="B137" s="2031">
        <v>135.0</v>
      </c>
      <c r="C137" s="2031">
        <v>16.0</v>
      </c>
      <c r="D137" s="2031">
        <v>33.0</v>
      </c>
      <c r="E137" s="2031">
        <v>21.0</v>
      </c>
      <c r="F137" s="2031">
        <v>21.0</v>
      </c>
      <c r="G137" s="2031">
        <v>22.0</v>
      </c>
      <c r="H137" s="2031">
        <v>22.0</v>
      </c>
    </row>
    <row r="138">
      <c r="B138" s="2031">
        <v>136.0</v>
      </c>
      <c r="C138" s="2031">
        <v>16.0</v>
      </c>
      <c r="D138" s="2031">
        <v>32.0</v>
      </c>
      <c r="E138" s="2031">
        <v>22.0</v>
      </c>
      <c r="F138" s="2031">
        <v>22.0</v>
      </c>
      <c r="G138" s="2031">
        <v>22.0</v>
      </c>
      <c r="H138" s="2031">
        <v>22.0</v>
      </c>
    </row>
    <row r="139">
      <c r="B139" s="2031">
        <v>137.0</v>
      </c>
      <c r="C139" s="2031">
        <v>16.0</v>
      </c>
      <c r="D139" s="2031">
        <v>33.0</v>
      </c>
      <c r="E139" s="2031">
        <v>22.0</v>
      </c>
      <c r="F139" s="2031">
        <v>22.0</v>
      </c>
      <c r="G139" s="2031">
        <v>22.0</v>
      </c>
      <c r="H139" s="2031">
        <v>22.0</v>
      </c>
    </row>
    <row r="140">
      <c r="B140" s="2031">
        <v>138.0</v>
      </c>
      <c r="C140" s="2031">
        <v>17.0</v>
      </c>
      <c r="D140" s="2031">
        <v>33.0</v>
      </c>
      <c r="E140" s="2031">
        <v>22.0</v>
      </c>
      <c r="F140" s="2031">
        <v>22.0</v>
      </c>
      <c r="G140" s="2031">
        <v>22.0</v>
      </c>
      <c r="H140" s="2031">
        <v>22.0</v>
      </c>
    </row>
    <row r="141">
      <c r="B141" s="2031">
        <v>139.0</v>
      </c>
      <c r="C141" s="2031">
        <v>17.0</v>
      </c>
      <c r="D141" s="2031">
        <v>34.0</v>
      </c>
      <c r="E141" s="2031">
        <v>22.0</v>
      </c>
      <c r="F141" s="2031">
        <v>22.0</v>
      </c>
      <c r="G141" s="2031">
        <v>22.0</v>
      </c>
      <c r="H141" s="2031">
        <v>22.0</v>
      </c>
    </row>
    <row r="142">
      <c r="B142" s="2031">
        <v>140.0</v>
      </c>
      <c r="C142" s="2031">
        <v>17.0</v>
      </c>
      <c r="D142" s="2031">
        <v>33.0</v>
      </c>
      <c r="E142" s="2031">
        <v>22.0</v>
      </c>
      <c r="F142" s="2031">
        <v>22.0</v>
      </c>
      <c r="G142" s="2031">
        <v>23.0</v>
      </c>
      <c r="H142" s="2031">
        <v>23.0</v>
      </c>
    </row>
    <row r="143">
      <c r="B143" s="2031">
        <v>141.0</v>
      </c>
      <c r="C143" s="2031">
        <v>17.0</v>
      </c>
      <c r="D143" s="2031">
        <v>34.0</v>
      </c>
      <c r="E143" s="2031">
        <v>22.0</v>
      </c>
      <c r="F143" s="2031">
        <v>22.0</v>
      </c>
      <c r="G143" s="2031">
        <v>23.0</v>
      </c>
      <c r="H143" s="2031">
        <v>23.0</v>
      </c>
    </row>
    <row r="144">
      <c r="B144" s="2031">
        <v>142.0</v>
      </c>
      <c r="C144" s="2031">
        <v>17.0</v>
      </c>
      <c r="D144" s="2031">
        <v>35.0</v>
      </c>
      <c r="E144" s="2031">
        <v>22.0</v>
      </c>
      <c r="F144" s="2031">
        <v>22.0</v>
      </c>
      <c r="G144" s="2031">
        <v>23.0</v>
      </c>
      <c r="H144" s="2031">
        <v>23.0</v>
      </c>
    </row>
    <row r="145">
      <c r="B145" s="2031">
        <v>143.0</v>
      </c>
      <c r="C145" s="2031">
        <v>17.0</v>
      </c>
      <c r="D145" s="2031">
        <v>34.0</v>
      </c>
      <c r="E145" s="2031">
        <v>23.0</v>
      </c>
      <c r="F145" s="2031">
        <v>23.0</v>
      </c>
      <c r="G145" s="2031">
        <v>23.0</v>
      </c>
      <c r="H145" s="2031">
        <v>23.0</v>
      </c>
    </row>
    <row r="146">
      <c r="B146" s="2031">
        <v>144.0</v>
      </c>
      <c r="C146" s="2031">
        <v>17.0</v>
      </c>
      <c r="D146" s="2031">
        <v>35.0</v>
      </c>
      <c r="E146" s="2031">
        <v>23.0</v>
      </c>
      <c r="F146" s="2031">
        <v>23.0</v>
      </c>
      <c r="G146" s="2031">
        <v>23.0</v>
      </c>
      <c r="H146" s="2031">
        <v>23.0</v>
      </c>
    </row>
    <row r="147">
      <c r="B147" s="2031">
        <v>145.0</v>
      </c>
      <c r="C147" s="2031">
        <v>18.0</v>
      </c>
      <c r="D147" s="2031">
        <v>35.0</v>
      </c>
      <c r="E147" s="2031">
        <v>23.0</v>
      </c>
      <c r="F147" s="2031">
        <v>23.0</v>
      </c>
      <c r="G147" s="2031">
        <v>23.0</v>
      </c>
      <c r="H147" s="2031">
        <v>23.0</v>
      </c>
    </row>
    <row r="148">
      <c r="B148" s="2031">
        <v>146.0</v>
      </c>
      <c r="C148" s="2031">
        <v>17.0</v>
      </c>
      <c r="D148" s="2031">
        <v>35.0</v>
      </c>
      <c r="E148" s="2031">
        <v>23.0</v>
      </c>
      <c r="F148" s="2031">
        <v>23.0</v>
      </c>
      <c r="G148" s="2031">
        <v>24.0</v>
      </c>
      <c r="H148" s="2031">
        <v>24.0</v>
      </c>
    </row>
    <row r="149">
      <c r="B149" s="2031">
        <v>147.0</v>
      </c>
      <c r="C149" s="2031">
        <v>18.0</v>
      </c>
      <c r="D149" s="2031">
        <v>35.0</v>
      </c>
      <c r="E149" s="2031">
        <v>23.0</v>
      </c>
      <c r="F149" s="2031">
        <v>23.0</v>
      </c>
      <c r="G149" s="2031">
        <v>24.0</v>
      </c>
      <c r="H149" s="2031">
        <v>24.0</v>
      </c>
    </row>
    <row r="150">
      <c r="B150" s="2031">
        <v>148.0</v>
      </c>
      <c r="C150" s="2031">
        <v>17.0</v>
      </c>
      <c r="D150" s="2031">
        <v>35.0</v>
      </c>
      <c r="E150" s="2031">
        <v>24.0</v>
      </c>
      <c r="F150" s="2031">
        <v>24.0</v>
      </c>
      <c r="G150" s="2031">
        <v>24.0</v>
      </c>
      <c r="H150" s="2031">
        <v>24.0</v>
      </c>
    </row>
    <row r="151">
      <c r="B151" s="2031">
        <v>149.0</v>
      </c>
      <c r="C151" s="2031">
        <v>18.0</v>
      </c>
      <c r="D151" s="2031">
        <v>35.0</v>
      </c>
      <c r="E151" s="2031">
        <v>24.0</v>
      </c>
      <c r="F151" s="2031">
        <v>24.0</v>
      </c>
      <c r="G151" s="2031">
        <v>24.0</v>
      </c>
      <c r="H151" s="2031">
        <v>24.0</v>
      </c>
    </row>
    <row r="152">
      <c r="B152" s="2031">
        <v>150.0</v>
      </c>
      <c r="C152" s="2031">
        <v>18.0</v>
      </c>
      <c r="D152" s="2031">
        <v>36.0</v>
      </c>
      <c r="E152" s="2031">
        <v>24.0</v>
      </c>
      <c r="F152" s="2031">
        <v>24.0</v>
      </c>
      <c r="G152" s="2031">
        <v>24.0</v>
      </c>
      <c r="H152" s="2031">
        <v>24.0</v>
      </c>
    </row>
    <row r="153">
      <c r="B153" s="2031">
        <v>151.0</v>
      </c>
      <c r="C153" s="2031">
        <v>18.0</v>
      </c>
      <c r="D153" s="2031">
        <v>37.0</v>
      </c>
      <c r="E153" s="2031">
        <v>24.0</v>
      </c>
      <c r="F153" s="2031">
        <v>24.0</v>
      </c>
      <c r="G153" s="2031">
        <v>24.0</v>
      </c>
      <c r="H153" s="2031">
        <v>24.0</v>
      </c>
    </row>
    <row r="154">
      <c r="B154" s="2031">
        <v>152.0</v>
      </c>
      <c r="C154" s="2031">
        <v>19.0</v>
      </c>
      <c r="D154" s="2031">
        <v>37.0</v>
      </c>
      <c r="E154" s="2031">
        <v>24.0</v>
      </c>
      <c r="F154" s="2031">
        <v>24.0</v>
      </c>
      <c r="G154" s="2031">
        <v>24.0</v>
      </c>
      <c r="H154" s="2031">
        <v>24.0</v>
      </c>
    </row>
    <row r="155">
      <c r="B155" s="2031">
        <v>153.0</v>
      </c>
      <c r="C155" s="2031">
        <v>18.0</v>
      </c>
      <c r="D155" s="2031">
        <v>37.0</v>
      </c>
      <c r="E155" s="2031">
        <v>24.0</v>
      </c>
      <c r="F155" s="2031">
        <v>24.0</v>
      </c>
      <c r="G155" s="2031">
        <v>25.0</v>
      </c>
      <c r="H155" s="2031">
        <v>25.0</v>
      </c>
    </row>
    <row r="156">
      <c r="B156" s="2031">
        <v>154.0</v>
      </c>
      <c r="C156" s="2031">
        <v>19.0</v>
      </c>
      <c r="D156" s="2031">
        <v>37.0</v>
      </c>
      <c r="E156" s="2031">
        <v>24.0</v>
      </c>
      <c r="F156" s="2031">
        <v>24.0</v>
      </c>
      <c r="G156" s="2031">
        <v>25.0</v>
      </c>
      <c r="H156" s="2031">
        <v>25.0</v>
      </c>
    </row>
    <row r="157">
      <c r="B157" s="2031">
        <v>155.0</v>
      </c>
      <c r="C157" s="2031">
        <v>18.0</v>
      </c>
      <c r="D157" s="2031">
        <v>37.0</v>
      </c>
      <c r="E157" s="2031">
        <v>25.0</v>
      </c>
      <c r="F157" s="2031">
        <v>25.0</v>
      </c>
      <c r="G157" s="2031">
        <v>25.0</v>
      </c>
      <c r="H157" s="2031">
        <v>25.0</v>
      </c>
    </row>
    <row r="158">
      <c r="B158" s="2031">
        <v>156.0</v>
      </c>
      <c r="C158" s="2031">
        <v>19.0</v>
      </c>
      <c r="D158" s="2031">
        <v>37.0</v>
      </c>
      <c r="E158" s="2031">
        <v>25.0</v>
      </c>
      <c r="F158" s="2031">
        <v>25.0</v>
      </c>
      <c r="G158" s="2031">
        <v>25.0</v>
      </c>
      <c r="H158" s="2031">
        <v>25.0</v>
      </c>
    </row>
    <row r="159">
      <c r="B159" s="2031">
        <v>157.0</v>
      </c>
      <c r="C159" s="2031">
        <v>19.0</v>
      </c>
      <c r="D159" s="2031">
        <v>38.0</v>
      </c>
      <c r="E159" s="2031">
        <v>25.0</v>
      </c>
      <c r="F159" s="2031">
        <v>25.0</v>
      </c>
      <c r="G159" s="2031">
        <v>25.0</v>
      </c>
      <c r="H159" s="2031">
        <v>25.0</v>
      </c>
    </row>
    <row r="160">
      <c r="B160" s="2031">
        <v>158.0</v>
      </c>
      <c r="C160" s="2031">
        <v>19.0</v>
      </c>
      <c r="D160" s="2031">
        <v>37.0</v>
      </c>
      <c r="E160" s="2031">
        <v>25.0</v>
      </c>
      <c r="F160" s="2031">
        <v>25.0</v>
      </c>
      <c r="G160" s="2031">
        <v>26.0</v>
      </c>
      <c r="H160" s="2031">
        <v>26.0</v>
      </c>
    </row>
    <row r="161">
      <c r="B161" s="2031">
        <v>159.0</v>
      </c>
      <c r="C161" s="2031">
        <v>19.0</v>
      </c>
      <c r="D161" s="2031">
        <v>38.0</v>
      </c>
      <c r="E161" s="2031">
        <v>25.0</v>
      </c>
      <c r="F161" s="2031">
        <v>25.0</v>
      </c>
      <c r="G161" s="2031">
        <v>26.0</v>
      </c>
      <c r="H161" s="2031">
        <v>26.0</v>
      </c>
    </row>
    <row r="162">
      <c r="B162" s="2031">
        <v>160.0</v>
      </c>
      <c r="C162" s="2031">
        <v>19.0</v>
      </c>
      <c r="D162" s="2031">
        <v>39.0</v>
      </c>
      <c r="E162" s="2031">
        <v>25.0</v>
      </c>
      <c r="F162" s="2031">
        <v>25.0</v>
      </c>
      <c r="G162" s="2031">
        <v>26.0</v>
      </c>
      <c r="H162" s="2031">
        <v>26.0</v>
      </c>
    </row>
    <row r="163">
      <c r="B163" s="2031">
        <v>161.0</v>
      </c>
      <c r="C163" s="2031">
        <v>19.0</v>
      </c>
      <c r="D163" s="2031">
        <v>38.0</v>
      </c>
      <c r="E163" s="2031">
        <v>26.0</v>
      </c>
      <c r="F163" s="2031">
        <v>26.0</v>
      </c>
      <c r="G163" s="2031">
        <v>26.0</v>
      </c>
      <c r="H163" s="2031">
        <v>26.0</v>
      </c>
    </row>
    <row r="164">
      <c r="B164" s="2031">
        <v>162.0</v>
      </c>
      <c r="C164" s="2031">
        <v>19.0</v>
      </c>
      <c r="D164" s="2031">
        <v>39.0</v>
      </c>
      <c r="E164" s="2031">
        <v>26.0</v>
      </c>
      <c r="F164" s="2031">
        <v>26.0</v>
      </c>
      <c r="G164" s="2031">
        <v>26.0</v>
      </c>
      <c r="H164" s="2031">
        <v>26.0</v>
      </c>
    </row>
    <row r="165">
      <c r="B165" s="2031">
        <v>163.0</v>
      </c>
      <c r="C165" s="2031">
        <v>20.0</v>
      </c>
      <c r="D165" s="2031">
        <v>39.0</v>
      </c>
      <c r="E165" s="2031">
        <v>26.0</v>
      </c>
      <c r="F165" s="2031">
        <v>26.0</v>
      </c>
      <c r="G165" s="2031">
        <v>26.0</v>
      </c>
      <c r="H165" s="2031">
        <v>26.0</v>
      </c>
    </row>
    <row r="166">
      <c r="B166" s="2031">
        <v>164.0</v>
      </c>
      <c r="C166" s="2031">
        <v>20.0</v>
      </c>
      <c r="D166" s="2031">
        <v>40.0</v>
      </c>
      <c r="E166" s="2031">
        <v>26.0</v>
      </c>
      <c r="F166" s="2031">
        <v>26.0</v>
      </c>
      <c r="G166" s="2031">
        <v>26.0</v>
      </c>
      <c r="H166" s="2031">
        <v>26.0</v>
      </c>
    </row>
    <row r="167">
      <c r="B167" s="2031">
        <v>165.0</v>
      </c>
      <c r="C167" s="2031">
        <v>20.0</v>
      </c>
      <c r="D167" s="2031">
        <v>39.0</v>
      </c>
      <c r="E167" s="2031">
        <v>26.0</v>
      </c>
      <c r="F167" s="2031">
        <v>26.0</v>
      </c>
      <c r="G167" s="2031">
        <v>27.0</v>
      </c>
      <c r="H167" s="2031">
        <v>27.0</v>
      </c>
    </row>
    <row r="168">
      <c r="B168" s="2031">
        <v>166.0</v>
      </c>
      <c r="C168" s="2031">
        <v>20.0</v>
      </c>
      <c r="D168" s="2031">
        <v>40.0</v>
      </c>
      <c r="E168" s="2031">
        <v>26.0</v>
      </c>
      <c r="F168" s="2031">
        <v>26.0</v>
      </c>
      <c r="G168" s="2031">
        <v>27.0</v>
      </c>
      <c r="H168" s="2031">
        <v>27.0</v>
      </c>
    </row>
    <row r="169">
      <c r="B169" s="2031">
        <v>167.0</v>
      </c>
      <c r="C169" s="2031">
        <v>20.0</v>
      </c>
      <c r="D169" s="2031">
        <v>41.0</v>
      </c>
      <c r="E169" s="2031">
        <v>26.0</v>
      </c>
      <c r="F169" s="2031">
        <v>26.0</v>
      </c>
      <c r="G169" s="2031">
        <v>27.0</v>
      </c>
      <c r="H169" s="2031">
        <v>27.0</v>
      </c>
    </row>
    <row r="170">
      <c r="B170" s="2031">
        <v>168.0</v>
      </c>
      <c r="C170" s="2031">
        <v>20.0</v>
      </c>
      <c r="D170" s="2031">
        <v>40.0</v>
      </c>
      <c r="E170" s="2031">
        <v>27.0</v>
      </c>
      <c r="F170" s="2031">
        <v>27.0</v>
      </c>
      <c r="G170" s="2031">
        <v>27.0</v>
      </c>
      <c r="H170" s="2031">
        <v>27.0</v>
      </c>
    </row>
    <row r="171">
      <c r="B171" s="2031">
        <v>169.0</v>
      </c>
      <c r="C171" s="2031">
        <v>20.0</v>
      </c>
      <c r="D171" s="2031">
        <v>41.0</v>
      </c>
      <c r="E171" s="2031">
        <v>27.0</v>
      </c>
      <c r="F171" s="2031">
        <v>27.0</v>
      </c>
      <c r="G171" s="2031">
        <v>27.0</v>
      </c>
      <c r="H171" s="2031">
        <v>27.0</v>
      </c>
    </row>
    <row r="172">
      <c r="B172" s="2031">
        <v>170.0</v>
      </c>
      <c r="C172" s="2031">
        <v>21.0</v>
      </c>
      <c r="D172" s="2031">
        <v>41.0</v>
      </c>
      <c r="E172" s="2031">
        <v>27.0</v>
      </c>
      <c r="F172" s="2031">
        <v>27.0</v>
      </c>
      <c r="G172" s="2031">
        <v>27.0</v>
      </c>
      <c r="H172" s="2031">
        <v>27.0</v>
      </c>
    </row>
    <row r="173">
      <c r="B173" s="2031">
        <v>171.0</v>
      </c>
      <c r="C173" s="2031">
        <v>20.0</v>
      </c>
      <c r="D173" s="2031">
        <v>41.0</v>
      </c>
      <c r="E173" s="2031">
        <v>27.0</v>
      </c>
      <c r="F173" s="2031">
        <v>27.0</v>
      </c>
      <c r="G173" s="2031">
        <v>28.0</v>
      </c>
      <c r="H173" s="2031">
        <v>28.0</v>
      </c>
    </row>
    <row r="174">
      <c r="B174" s="2031">
        <v>172.0</v>
      </c>
      <c r="C174" s="2031">
        <v>21.0</v>
      </c>
      <c r="D174" s="2031">
        <v>41.0</v>
      </c>
      <c r="E174" s="2031">
        <v>27.0</v>
      </c>
      <c r="F174" s="2031">
        <v>27.0</v>
      </c>
      <c r="G174" s="2031">
        <v>28.0</v>
      </c>
      <c r="H174" s="2031">
        <v>28.0</v>
      </c>
    </row>
    <row r="175">
      <c r="B175" s="2031">
        <v>173.0</v>
      </c>
      <c r="C175" s="2031">
        <v>20.0</v>
      </c>
      <c r="D175" s="2031">
        <v>41.0</v>
      </c>
      <c r="E175" s="2031">
        <v>28.0</v>
      </c>
      <c r="F175" s="2031">
        <v>28.0</v>
      </c>
      <c r="G175" s="2031">
        <v>28.0</v>
      </c>
      <c r="H175" s="2031">
        <v>28.0</v>
      </c>
    </row>
    <row r="176">
      <c r="B176" s="2031">
        <v>174.0</v>
      </c>
      <c r="C176" s="2031">
        <v>21.0</v>
      </c>
      <c r="D176" s="2031">
        <v>41.0</v>
      </c>
      <c r="E176" s="2031">
        <v>28.0</v>
      </c>
      <c r="F176" s="2031">
        <v>28.0</v>
      </c>
      <c r="G176" s="2031">
        <v>28.0</v>
      </c>
      <c r="H176" s="2031">
        <v>28.0</v>
      </c>
    </row>
    <row r="177">
      <c r="B177" s="2031">
        <v>175.0</v>
      </c>
      <c r="C177" s="2031">
        <v>21.0</v>
      </c>
      <c r="D177" s="2031">
        <v>42.0</v>
      </c>
      <c r="E177" s="2031">
        <v>28.0</v>
      </c>
      <c r="F177" s="2031">
        <v>28.0</v>
      </c>
      <c r="G177" s="2031">
        <v>28.0</v>
      </c>
      <c r="H177" s="2031">
        <v>28.0</v>
      </c>
    </row>
    <row r="178">
      <c r="B178" s="2031">
        <v>176.0</v>
      </c>
      <c r="C178" s="2031">
        <v>21.0</v>
      </c>
      <c r="D178" s="2031">
        <v>43.0</v>
      </c>
      <c r="E178" s="2031">
        <v>28.0</v>
      </c>
      <c r="F178" s="2031">
        <v>28.0</v>
      </c>
      <c r="G178" s="2031">
        <v>28.0</v>
      </c>
      <c r="H178" s="2031">
        <v>28.0</v>
      </c>
    </row>
    <row r="179">
      <c r="B179" s="2031">
        <v>177.0</v>
      </c>
      <c r="C179" s="2031">
        <v>22.0</v>
      </c>
      <c r="D179" s="2031">
        <v>43.0</v>
      </c>
      <c r="E179" s="2031">
        <v>28.0</v>
      </c>
      <c r="F179" s="2031">
        <v>28.0</v>
      </c>
      <c r="G179" s="2031">
        <v>28.0</v>
      </c>
      <c r="H179" s="2031">
        <v>28.0</v>
      </c>
    </row>
    <row r="180">
      <c r="B180" s="2031">
        <v>178.0</v>
      </c>
      <c r="C180" s="2031">
        <v>21.0</v>
      </c>
      <c r="D180" s="2031">
        <v>43.0</v>
      </c>
      <c r="E180" s="2031">
        <v>28.0</v>
      </c>
      <c r="F180" s="2031">
        <v>28.0</v>
      </c>
      <c r="G180" s="2031">
        <v>29.0</v>
      </c>
      <c r="H180" s="2031">
        <v>29.0</v>
      </c>
    </row>
    <row r="181">
      <c r="B181" s="2031">
        <v>179.0</v>
      </c>
      <c r="C181" s="2031">
        <v>22.0</v>
      </c>
      <c r="D181" s="2031">
        <v>43.0</v>
      </c>
      <c r="E181" s="2031">
        <v>28.0</v>
      </c>
      <c r="F181" s="2031">
        <v>28.0</v>
      </c>
      <c r="G181" s="2031">
        <v>29.0</v>
      </c>
      <c r="H181" s="2031">
        <v>29.0</v>
      </c>
    </row>
    <row r="182">
      <c r="B182" s="2031">
        <v>180.0</v>
      </c>
      <c r="C182" s="2031">
        <v>21.0</v>
      </c>
      <c r="D182" s="2031">
        <v>43.0</v>
      </c>
      <c r="E182" s="2031">
        <v>29.0</v>
      </c>
      <c r="F182" s="2031">
        <v>29.0</v>
      </c>
      <c r="G182" s="2031">
        <v>29.0</v>
      </c>
      <c r="H182" s="2031">
        <v>29.0</v>
      </c>
    </row>
    <row r="183">
      <c r="B183" s="2031">
        <v>181.0</v>
      </c>
      <c r="C183" s="2031">
        <v>22.0</v>
      </c>
      <c r="D183" s="2031">
        <v>43.0</v>
      </c>
      <c r="E183" s="2031">
        <v>29.0</v>
      </c>
      <c r="F183" s="2031">
        <v>29.0</v>
      </c>
      <c r="G183" s="2031">
        <v>29.0</v>
      </c>
      <c r="H183" s="2031">
        <v>29.0</v>
      </c>
    </row>
    <row r="184">
      <c r="B184" s="2031">
        <v>182.0</v>
      </c>
      <c r="C184" s="2031">
        <v>22.0</v>
      </c>
      <c r="D184" s="2031">
        <v>44.0</v>
      </c>
      <c r="E184" s="2031">
        <v>29.0</v>
      </c>
      <c r="F184" s="2031">
        <v>29.0</v>
      </c>
      <c r="G184" s="2031">
        <v>29.0</v>
      </c>
      <c r="H184" s="2031">
        <v>29.0</v>
      </c>
    </row>
    <row r="185">
      <c r="B185" s="2031">
        <v>183.0</v>
      </c>
      <c r="C185" s="2031">
        <v>22.0</v>
      </c>
      <c r="D185" s="2031">
        <v>43.0</v>
      </c>
      <c r="E185" s="2031">
        <v>29.0</v>
      </c>
      <c r="F185" s="2031">
        <v>29.0</v>
      </c>
      <c r="G185" s="2031">
        <v>30.0</v>
      </c>
      <c r="H185" s="2031">
        <v>30.0</v>
      </c>
    </row>
    <row r="186">
      <c r="B186" s="2031">
        <v>184.0</v>
      </c>
      <c r="C186" s="2031">
        <v>22.0</v>
      </c>
      <c r="D186" s="2031">
        <v>44.0</v>
      </c>
      <c r="E186" s="2031">
        <v>29.0</v>
      </c>
      <c r="F186" s="2031">
        <v>29.0</v>
      </c>
      <c r="G186" s="2031">
        <v>30.0</v>
      </c>
      <c r="H186" s="2031">
        <v>30.0</v>
      </c>
    </row>
    <row r="187">
      <c r="B187" s="2031">
        <v>185.0</v>
      </c>
      <c r="C187" s="2031">
        <v>22.0</v>
      </c>
      <c r="D187" s="2031">
        <v>45.0</v>
      </c>
      <c r="E187" s="2031">
        <v>29.0</v>
      </c>
      <c r="F187" s="2031">
        <v>29.0</v>
      </c>
      <c r="G187" s="2031">
        <v>30.0</v>
      </c>
      <c r="H187" s="2031">
        <v>30.0</v>
      </c>
    </row>
    <row r="188">
      <c r="B188" s="2031">
        <v>186.0</v>
      </c>
      <c r="C188" s="2031">
        <v>22.0</v>
      </c>
      <c r="D188" s="2031">
        <v>44.0</v>
      </c>
      <c r="E188" s="2031">
        <v>30.0</v>
      </c>
      <c r="F188" s="2031">
        <v>30.0</v>
      </c>
      <c r="G188" s="2031">
        <v>30.0</v>
      </c>
      <c r="H188" s="2031">
        <v>30.0</v>
      </c>
    </row>
    <row r="189">
      <c r="B189" s="2031">
        <v>187.0</v>
      </c>
      <c r="C189" s="2031">
        <v>22.0</v>
      </c>
      <c r="D189" s="2031">
        <v>45.0</v>
      </c>
      <c r="E189" s="2031">
        <v>30.0</v>
      </c>
      <c r="F189" s="2031">
        <v>30.0</v>
      </c>
      <c r="G189" s="2031">
        <v>30.0</v>
      </c>
      <c r="H189" s="2031">
        <v>30.0</v>
      </c>
    </row>
    <row r="190">
      <c r="B190" s="2031">
        <v>188.0</v>
      </c>
      <c r="C190" s="2031">
        <v>23.0</v>
      </c>
      <c r="D190" s="2031">
        <v>45.0</v>
      </c>
      <c r="E190" s="2031">
        <v>30.0</v>
      </c>
      <c r="F190" s="2031">
        <v>30.0</v>
      </c>
      <c r="G190" s="2031">
        <v>30.0</v>
      </c>
      <c r="H190" s="2031">
        <v>30.0</v>
      </c>
    </row>
    <row r="191">
      <c r="B191" s="2031">
        <v>189.0</v>
      </c>
      <c r="C191" s="2031">
        <v>23.0</v>
      </c>
      <c r="D191" s="2031">
        <v>46.0</v>
      </c>
      <c r="E191" s="2031">
        <v>30.0</v>
      </c>
      <c r="F191" s="2031">
        <v>30.0</v>
      </c>
      <c r="G191" s="2031">
        <v>30.0</v>
      </c>
      <c r="H191" s="2031">
        <v>30.0</v>
      </c>
    </row>
    <row r="192">
      <c r="B192" s="2031">
        <v>190.0</v>
      </c>
      <c r="C192" s="2031">
        <v>23.0</v>
      </c>
      <c r="D192" s="2031">
        <v>45.0</v>
      </c>
      <c r="E192" s="2031">
        <v>30.0</v>
      </c>
      <c r="F192" s="2031">
        <v>30.0</v>
      </c>
      <c r="G192" s="2031">
        <v>31.0</v>
      </c>
      <c r="H192" s="2031">
        <v>31.0</v>
      </c>
    </row>
    <row r="193">
      <c r="B193" s="2031">
        <v>191.0</v>
      </c>
      <c r="C193" s="2031">
        <v>23.0</v>
      </c>
      <c r="D193" s="2031">
        <v>46.0</v>
      </c>
      <c r="E193" s="2031">
        <v>30.0</v>
      </c>
      <c r="F193" s="2031">
        <v>30.0</v>
      </c>
      <c r="G193" s="2031">
        <v>31.0</v>
      </c>
      <c r="H193" s="2031">
        <v>31.0</v>
      </c>
    </row>
    <row r="194">
      <c r="B194" s="2031">
        <v>192.0</v>
      </c>
      <c r="C194" s="2031">
        <v>23.0</v>
      </c>
      <c r="D194" s="2031">
        <v>47.0</v>
      </c>
      <c r="E194" s="2031">
        <v>30.0</v>
      </c>
      <c r="F194" s="2031">
        <v>30.0</v>
      </c>
      <c r="G194" s="2031">
        <v>31.0</v>
      </c>
      <c r="H194" s="2031">
        <v>31.0</v>
      </c>
    </row>
    <row r="195">
      <c r="B195" s="2031">
        <v>193.0</v>
      </c>
      <c r="C195" s="2031">
        <v>23.0</v>
      </c>
      <c r="D195" s="2031">
        <v>46.0</v>
      </c>
      <c r="E195" s="2031">
        <v>31.0</v>
      </c>
      <c r="F195" s="2031">
        <v>31.0</v>
      </c>
      <c r="G195" s="2031">
        <v>31.0</v>
      </c>
      <c r="H195" s="2031">
        <v>31.0</v>
      </c>
    </row>
    <row r="196">
      <c r="B196" s="2031">
        <v>194.0</v>
      </c>
      <c r="C196" s="2031">
        <v>23.0</v>
      </c>
      <c r="D196" s="2031">
        <v>47.0</v>
      </c>
      <c r="E196" s="2031">
        <v>31.0</v>
      </c>
      <c r="F196" s="2031">
        <v>31.0</v>
      </c>
      <c r="G196" s="2031">
        <v>31.0</v>
      </c>
      <c r="H196" s="2031">
        <v>31.0</v>
      </c>
    </row>
    <row r="197">
      <c r="B197" s="2031">
        <v>195.0</v>
      </c>
      <c r="C197" s="2031">
        <v>24.0</v>
      </c>
      <c r="D197" s="2031">
        <v>47.0</v>
      </c>
      <c r="E197" s="2031">
        <v>31.0</v>
      </c>
      <c r="F197" s="2031">
        <v>31.0</v>
      </c>
      <c r="G197" s="2031">
        <v>31.0</v>
      </c>
      <c r="H197" s="2031">
        <v>31.0</v>
      </c>
    </row>
    <row r="198">
      <c r="B198" s="2031">
        <v>196.0</v>
      </c>
      <c r="C198" s="2031">
        <v>23.0</v>
      </c>
      <c r="D198" s="2031">
        <v>47.0</v>
      </c>
      <c r="E198" s="2031">
        <v>31.0</v>
      </c>
      <c r="F198" s="2031">
        <v>31.0</v>
      </c>
      <c r="G198" s="2031">
        <v>32.0</v>
      </c>
      <c r="H198" s="2031">
        <v>32.0</v>
      </c>
    </row>
    <row r="199">
      <c r="B199" s="2031">
        <v>197.0</v>
      </c>
      <c r="C199" s="2031">
        <v>24.0</v>
      </c>
      <c r="D199" s="2031">
        <v>47.0</v>
      </c>
      <c r="E199" s="2031">
        <v>31.0</v>
      </c>
      <c r="F199" s="2031">
        <v>31.0</v>
      </c>
      <c r="G199" s="2031">
        <v>32.0</v>
      </c>
      <c r="H199" s="2031">
        <v>32.0</v>
      </c>
    </row>
    <row r="200">
      <c r="B200" s="2031">
        <v>198.0</v>
      </c>
      <c r="C200" s="2031">
        <v>23.0</v>
      </c>
      <c r="D200" s="2031">
        <v>47.0</v>
      </c>
      <c r="E200" s="2031">
        <v>32.0</v>
      </c>
      <c r="F200" s="2031">
        <v>32.0</v>
      </c>
      <c r="G200" s="2031">
        <v>32.0</v>
      </c>
      <c r="H200" s="2031">
        <v>32.0</v>
      </c>
    </row>
    <row r="201">
      <c r="B201" s="2031">
        <v>199.0</v>
      </c>
      <c r="C201" s="2031">
        <v>24.0</v>
      </c>
      <c r="D201" s="2031">
        <v>47.0</v>
      </c>
      <c r="E201" s="2031">
        <v>32.0</v>
      </c>
      <c r="F201" s="2031">
        <v>32.0</v>
      </c>
      <c r="G201" s="2031">
        <v>32.0</v>
      </c>
      <c r="H201" s="2031">
        <v>32.0</v>
      </c>
    </row>
    <row r="202">
      <c r="B202" s="2031">
        <v>200.0</v>
      </c>
      <c r="C202" s="2031">
        <v>24.0</v>
      </c>
      <c r="D202" s="2031">
        <v>48.0</v>
      </c>
      <c r="E202" s="2031">
        <v>32.0</v>
      </c>
      <c r="F202" s="2031">
        <v>32.0</v>
      </c>
      <c r="G202" s="2031">
        <v>32.0</v>
      </c>
      <c r="H202" s="2031">
        <v>32.0</v>
      </c>
    </row>
    <row r="203">
      <c r="B203" s="2031">
        <v>201.0</v>
      </c>
      <c r="C203" s="2031">
        <v>24.0</v>
      </c>
      <c r="D203" s="2031">
        <v>49.0</v>
      </c>
      <c r="E203" s="2031">
        <v>32.0</v>
      </c>
      <c r="F203" s="2031">
        <v>32.0</v>
      </c>
      <c r="G203" s="2031">
        <v>32.0</v>
      </c>
      <c r="H203" s="2031">
        <v>32.0</v>
      </c>
    </row>
    <row r="204">
      <c r="B204" s="2031">
        <v>202.0</v>
      </c>
      <c r="C204" s="2031">
        <v>25.0</v>
      </c>
      <c r="D204" s="2031">
        <v>49.0</v>
      </c>
      <c r="E204" s="2031">
        <v>32.0</v>
      </c>
      <c r="F204" s="2031">
        <v>32.0</v>
      </c>
      <c r="G204" s="2031">
        <v>32.0</v>
      </c>
      <c r="H204" s="2031">
        <v>32.0</v>
      </c>
    </row>
    <row r="205">
      <c r="B205" s="2031">
        <v>203.0</v>
      </c>
      <c r="C205" s="2031">
        <v>24.0</v>
      </c>
      <c r="D205" s="2031">
        <v>49.0</v>
      </c>
      <c r="E205" s="2031">
        <v>32.0</v>
      </c>
      <c r="F205" s="2031">
        <v>32.0</v>
      </c>
      <c r="G205" s="2031">
        <v>33.0</v>
      </c>
      <c r="H205" s="2031">
        <v>33.0</v>
      </c>
    </row>
    <row r="206">
      <c r="B206" s="2031">
        <v>204.0</v>
      </c>
      <c r="C206" s="2031">
        <v>25.0</v>
      </c>
      <c r="D206" s="2031">
        <v>49.0</v>
      </c>
      <c r="E206" s="2031">
        <v>32.0</v>
      </c>
      <c r="F206" s="2031">
        <v>32.0</v>
      </c>
      <c r="G206" s="2031">
        <v>33.0</v>
      </c>
      <c r="H206" s="2031">
        <v>33.0</v>
      </c>
    </row>
    <row r="207">
      <c r="B207" s="2031">
        <v>205.0</v>
      </c>
      <c r="C207" s="2031">
        <v>24.0</v>
      </c>
      <c r="D207" s="2031">
        <v>49.0</v>
      </c>
      <c r="E207" s="2031">
        <v>33.0</v>
      </c>
      <c r="F207" s="2031">
        <v>33.0</v>
      </c>
      <c r="G207" s="2031">
        <v>33.0</v>
      </c>
      <c r="H207" s="2031">
        <v>33.0</v>
      </c>
    </row>
    <row r="208">
      <c r="B208" s="2031">
        <v>206.0</v>
      </c>
      <c r="C208" s="2031">
        <v>25.0</v>
      </c>
      <c r="D208" s="2031">
        <v>49.0</v>
      </c>
      <c r="E208" s="2031">
        <v>33.0</v>
      </c>
      <c r="F208" s="2031">
        <v>33.0</v>
      </c>
      <c r="G208" s="2031">
        <v>33.0</v>
      </c>
      <c r="H208" s="2031">
        <v>33.0</v>
      </c>
    </row>
    <row r="209">
      <c r="B209" s="2031">
        <v>207.0</v>
      </c>
      <c r="C209" s="2031">
        <v>25.0</v>
      </c>
      <c r="D209" s="2031">
        <v>50.0</v>
      </c>
      <c r="E209" s="2031">
        <v>33.0</v>
      </c>
      <c r="F209" s="2031">
        <v>33.0</v>
      </c>
      <c r="G209" s="2031">
        <v>33.0</v>
      </c>
      <c r="H209" s="2031">
        <v>33.0</v>
      </c>
    </row>
    <row r="210">
      <c r="B210" s="2031">
        <v>208.0</v>
      </c>
      <c r="C210" s="2031">
        <v>25.0</v>
      </c>
      <c r="D210" s="2031">
        <v>49.0</v>
      </c>
      <c r="E210" s="2031">
        <v>33.0</v>
      </c>
      <c r="F210" s="2031">
        <v>33.0</v>
      </c>
      <c r="G210" s="2031">
        <v>34.0</v>
      </c>
      <c r="H210" s="2031">
        <v>34.0</v>
      </c>
    </row>
    <row r="211">
      <c r="B211" s="2031">
        <v>209.0</v>
      </c>
      <c r="C211" s="2031">
        <v>25.0</v>
      </c>
      <c r="D211" s="2031">
        <v>50.0</v>
      </c>
      <c r="E211" s="2031">
        <v>33.0</v>
      </c>
      <c r="F211" s="2031">
        <v>33.0</v>
      </c>
      <c r="G211" s="2031">
        <v>34.0</v>
      </c>
      <c r="H211" s="2031">
        <v>34.0</v>
      </c>
    </row>
    <row r="212">
      <c r="B212" s="2031">
        <v>210.0</v>
      </c>
      <c r="C212" s="2031">
        <v>25.0</v>
      </c>
      <c r="D212" s="2031">
        <v>51.0</v>
      </c>
      <c r="E212" s="2031">
        <v>33.0</v>
      </c>
      <c r="F212" s="2031">
        <v>33.0</v>
      </c>
      <c r="G212" s="2031">
        <v>34.0</v>
      </c>
      <c r="H212" s="2031">
        <v>34.0</v>
      </c>
    </row>
    <row r="213">
      <c r="B213" s="2031">
        <v>211.0</v>
      </c>
      <c r="C213" s="2031">
        <v>25.0</v>
      </c>
      <c r="D213" s="2031">
        <v>50.0</v>
      </c>
      <c r="E213" s="2031">
        <v>34.0</v>
      </c>
      <c r="F213" s="2031">
        <v>34.0</v>
      </c>
      <c r="G213" s="2031">
        <v>34.0</v>
      </c>
      <c r="H213" s="2031">
        <v>34.0</v>
      </c>
    </row>
    <row r="214">
      <c r="B214" s="2031">
        <v>212.0</v>
      </c>
      <c r="C214" s="2031">
        <v>25.0</v>
      </c>
      <c r="D214" s="2031">
        <v>51.0</v>
      </c>
      <c r="E214" s="2031">
        <v>34.0</v>
      </c>
      <c r="F214" s="2031">
        <v>34.0</v>
      </c>
      <c r="G214" s="2031">
        <v>34.0</v>
      </c>
      <c r="H214" s="2031">
        <v>34.0</v>
      </c>
    </row>
    <row r="215">
      <c r="B215" s="2031">
        <v>213.0</v>
      </c>
      <c r="C215" s="2031">
        <v>26.0</v>
      </c>
      <c r="D215" s="2031">
        <v>51.0</v>
      </c>
      <c r="E215" s="2031">
        <v>34.0</v>
      </c>
      <c r="F215" s="2031">
        <v>34.0</v>
      </c>
      <c r="G215" s="2031">
        <v>34.0</v>
      </c>
      <c r="H215" s="2031">
        <v>34.0</v>
      </c>
    </row>
    <row r="216">
      <c r="B216" s="2031">
        <v>214.0</v>
      </c>
      <c r="C216" s="2031">
        <v>26.0</v>
      </c>
      <c r="D216" s="2031">
        <v>52.0</v>
      </c>
      <c r="E216" s="2031">
        <v>34.0</v>
      </c>
      <c r="F216" s="2031">
        <v>34.0</v>
      </c>
      <c r="G216" s="2031">
        <v>34.0</v>
      </c>
      <c r="H216" s="2031">
        <v>34.0</v>
      </c>
    </row>
    <row r="217">
      <c r="B217" s="2031">
        <v>215.0</v>
      </c>
      <c r="C217" s="2031">
        <v>26.0</v>
      </c>
      <c r="D217" s="2031">
        <v>51.0</v>
      </c>
      <c r="E217" s="2031">
        <v>34.0</v>
      </c>
      <c r="F217" s="2031">
        <v>34.0</v>
      </c>
      <c r="G217" s="2031">
        <v>35.0</v>
      </c>
      <c r="H217" s="2031">
        <v>35.0</v>
      </c>
    </row>
    <row r="218">
      <c r="B218" s="2031">
        <v>216.0</v>
      </c>
      <c r="C218" s="2031">
        <v>26.0</v>
      </c>
      <c r="D218" s="2031">
        <v>52.0</v>
      </c>
      <c r="E218" s="2031">
        <v>34.0</v>
      </c>
      <c r="F218" s="2031">
        <v>34.0</v>
      </c>
      <c r="G218" s="2031">
        <v>35.0</v>
      </c>
      <c r="H218" s="2031">
        <v>35.0</v>
      </c>
    </row>
    <row r="219">
      <c r="B219" s="2031">
        <v>217.0</v>
      </c>
      <c r="C219" s="2031">
        <v>26.0</v>
      </c>
      <c r="D219" s="2031">
        <v>53.0</v>
      </c>
      <c r="E219" s="2031">
        <v>34.0</v>
      </c>
      <c r="F219" s="2031">
        <v>34.0</v>
      </c>
      <c r="G219" s="2031">
        <v>35.0</v>
      </c>
      <c r="H219" s="2031">
        <v>35.0</v>
      </c>
    </row>
    <row r="220">
      <c r="B220" s="2031">
        <v>218.0</v>
      </c>
      <c r="C220" s="2031">
        <v>26.0</v>
      </c>
      <c r="D220" s="2031">
        <v>52.0</v>
      </c>
      <c r="E220" s="2031">
        <v>35.0</v>
      </c>
      <c r="F220" s="2031">
        <v>35.0</v>
      </c>
      <c r="G220" s="2031">
        <v>35.0</v>
      </c>
      <c r="H220" s="2031">
        <v>35.0</v>
      </c>
    </row>
    <row r="221">
      <c r="B221" s="2031">
        <v>219.0</v>
      </c>
      <c r="C221" s="2031">
        <v>26.0</v>
      </c>
      <c r="D221" s="2031">
        <v>53.0</v>
      </c>
      <c r="E221" s="2031">
        <v>35.0</v>
      </c>
      <c r="F221" s="2031">
        <v>35.0</v>
      </c>
      <c r="G221" s="2031">
        <v>35.0</v>
      </c>
      <c r="H221" s="2031">
        <v>35.0</v>
      </c>
    </row>
    <row r="222">
      <c r="B222" s="2031">
        <v>220.0</v>
      </c>
      <c r="C222" s="2031">
        <v>27.0</v>
      </c>
      <c r="D222" s="2031">
        <v>53.0</v>
      </c>
      <c r="E222" s="2031">
        <v>35.0</v>
      </c>
      <c r="F222" s="2031">
        <v>35.0</v>
      </c>
      <c r="G222" s="2031">
        <v>35.0</v>
      </c>
      <c r="H222" s="2031">
        <v>35.0</v>
      </c>
    </row>
    <row r="223">
      <c r="B223" s="2031">
        <v>221.0</v>
      </c>
      <c r="C223" s="2031">
        <v>26.0</v>
      </c>
      <c r="D223" s="2031">
        <v>53.0</v>
      </c>
      <c r="E223" s="2031">
        <v>35.0</v>
      </c>
      <c r="F223" s="2031">
        <v>35.0</v>
      </c>
      <c r="G223" s="2031">
        <v>36.0</v>
      </c>
      <c r="H223" s="2031">
        <v>36.0</v>
      </c>
    </row>
    <row r="224">
      <c r="B224" s="2031">
        <v>222.0</v>
      </c>
      <c r="C224" s="2031">
        <v>27.0</v>
      </c>
      <c r="D224" s="2031">
        <v>53.0</v>
      </c>
      <c r="E224" s="2031">
        <v>35.0</v>
      </c>
      <c r="F224" s="2031">
        <v>35.0</v>
      </c>
      <c r="G224" s="2031">
        <v>36.0</v>
      </c>
      <c r="H224" s="2031">
        <v>36.0</v>
      </c>
    </row>
    <row r="225">
      <c r="B225" s="2031">
        <v>223.0</v>
      </c>
      <c r="C225" s="2031">
        <v>26.0</v>
      </c>
      <c r="D225" s="2031">
        <v>53.0</v>
      </c>
      <c r="E225" s="2031">
        <v>36.0</v>
      </c>
      <c r="F225" s="2031">
        <v>36.0</v>
      </c>
      <c r="G225" s="2031">
        <v>36.0</v>
      </c>
      <c r="H225" s="2031">
        <v>36.0</v>
      </c>
    </row>
    <row r="226">
      <c r="B226" s="2031">
        <v>224.0</v>
      </c>
      <c r="C226" s="2031">
        <v>27.0</v>
      </c>
      <c r="D226" s="2031">
        <v>53.0</v>
      </c>
      <c r="E226" s="2031">
        <v>36.0</v>
      </c>
      <c r="F226" s="2031">
        <v>36.0</v>
      </c>
      <c r="G226" s="2031">
        <v>36.0</v>
      </c>
      <c r="H226" s="2031">
        <v>36.0</v>
      </c>
    </row>
    <row r="227">
      <c r="B227" s="2031">
        <v>225.0</v>
      </c>
      <c r="C227" s="2031">
        <v>27.0</v>
      </c>
      <c r="D227" s="2031">
        <v>54.0</v>
      </c>
      <c r="E227" s="2031">
        <v>36.0</v>
      </c>
      <c r="F227" s="2031">
        <v>36.0</v>
      </c>
      <c r="G227" s="2031">
        <v>36.0</v>
      </c>
      <c r="H227" s="2031">
        <v>36.0</v>
      </c>
    </row>
    <row r="228">
      <c r="B228" s="2031">
        <v>226.0</v>
      </c>
      <c r="C228" s="2031">
        <v>27.0</v>
      </c>
      <c r="D228" s="2031">
        <v>55.0</v>
      </c>
      <c r="E228" s="2031">
        <v>36.0</v>
      </c>
      <c r="F228" s="2031">
        <v>36.0</v>
      </c>
      <c r="G228" s="2031">
        <v>36.0</v>
      </c>
      <c r="H228" s="2031">
        <v>36.0</v>
      </c>
    </row>
    <row r="229">
      <c r="B229" s="2031">
        <v>227.0</v>
      </c>
      <c r="C229" s="2031">
        <v>28.0</v>
      </c>
      <c r="D229" s="2031">
        <v>55.0</v>
      </c>
      <c r="E229" s="2031">
        <v>36.0</v>
      </c>
      <c r="F229" s="2031">
        <v>36.0</v>
      </c>
      <c r="G229" s="2031">
        <v>36.0</v>
      </c>
      <c r="H229" s="2031">
        <v>36.0</v>
      </c>
    </row>
    <row r="230">
      <c r="B230" s="2031">
        <v>228.0</v>
      </c>
      <c r="C230" s="2031">
        <v>27.0</v>
      </c>
      <c r="D230" s="2031">
        <v>55.0</v>
      </c>
      <c r="E230" s="2031">
        <v>36.0</v>
      </c>
      <c r="F230" s="2031">
        <v>36.0</v>
      </c>
      <c r="G230" s="2031">
        <v>37.0</v>
      </c>
      <c r="H230" s="2031">
        <v>37.0</v>
      </c>
    </row>
    <row r="231">
      <c r="B231" s="2031">
        <v>229.0</v>
      </c>
      <c r="C231" s="2031">
        <v>28.0</v>
      </c>
      <c r="D231" s="2031">
        <v>55.0</v>
      </c>
      <c r="E231" s="2031">
        <v>36.0</v>
      </c>
      <c r="F231" s="2031">
        <v>36.0</v>
      </c>
      <c r="G231" s="2031">
        <v>37.0</v>
      </c>
      <c r="H231" s="2031">
        <v>37.0</v>
      </c>
    </row>
    <row r="232">
      <c r="B232" s="2031">
        <v>230.0</v>
      </c>
      <c r="C232" s="2031">
        <v>27.0</v>
      </c>
      <c r="D232" s="2031">
        <v>55.0</v>
      </c>
      <c r="E232" s="2031">
        <v>37.0</v>
      </c>
      <c r="F232" s="2031">
        <v>37.0</v>
      </c>
      <c r="G232" s="2031">
        <v>37.0</v>
      </c>
      <c r="H232" s="2031">
        <v>37.0</v>
      </c>
    </row>
    <row r="233">
      <c r="B233" s="2031">
        <v>231.0</v>
      </c>
      <c r="C233" s="2031">
        <v>28.0</v>
      </c>
      <c r="D233" s="2031">
        <v>55.0</v>
      </c>
      <c r="E233" s="2031">
        <v>37.0</v>
      </c>
      <c r="F233" s="2031">
        <v>37.0</v>
      </c>
      <c r="G233" s="2031">
        <v>37.0</v>
      </c>
      <c r="H233" s="2031">
        <v>37.0</v>
      </c>
    </row>
    <row r="234">
      <c r="B234" s="2031">
        <v>232.0</v>
      </c>
      <c r="C234" s="2031">
        <v>28.0</v>
      </c>
      <c r="D234" s="2031">
        <v>56.0</v>
      </c>
      <c r="E234" s="2031">
        <v>37.0</v>
      </c>
      <c r="F234" s="2031">
        <v>37.0</v>
      </c>
      <c r="G234" s="2031">
        <v>37.0</v>
      </c>
      <c r="H234" s="2031">
        <v>37.0</v>
      </c>
    </row>
    <row r="235">
      <c r="B235" s="2031">
        <v>233.0</v>
      </c>
      <c r="C235" s="2031">
        <v>28.0</v>
      </c>
      <c r="D235" s="2031">
        <v>55.0</v>
      </c>
      <c r="E235" s="2031">
        <v>37.0</v>
      </c>
      <c r="F235" s="2031">
        <v>37.0</v>
      </c>
      <c r="G235" s="2031">
        <v>38.0</v>
      </c>
      <c r="H235" s="2031">
        <v>38.0</v>
      </c>
    </row>
    <row r="236">
      <c r="B236" s="2031">
        <v>234.0</v>
      </c>
      <c r="C236" s="2031">
        <v>28.0</v>
      </c>
      <c r="D236" s="2031">
        <v>56.0</v>
      </c>
      <c r="E236" s="2031">
        <v>37.0</v>
      </c>
      <c r="F236" s="2031">
        <v>37.0</v>
      </c>
      <c r="G236" s="2031">
        <v>38.0</v>
      </c>
      <c r="H236" s="2031">
        <v>38.0</v>
      </c>
    </row>
    <row r="237">
      <c r="B237" s="2031">
        <v>235.0</v>
      </c>
      <c r="C237" s="2031">
        <v>28.0</v>
      </c>
      <c r="D237" s="2031">
        <v>57.0</v>
      </c>
      <c r="E237" s="2031">
        <v>37.0</v>
      </c>
      <c r="F237" s="2031">
        <v>37.0</v>
      </c>
      <c r="G237" s="2031">
        <v>38.0</v>
      </c>
      <c r="H237" s="2031">
        <v>38.0</v>
      </c>
    </row>
    <row r="238">
      <c r="B238" s="2031">
        <v>236.0</v>
      </c>
      <c r="C238" s="2031">
        <v>28.0</v>
      </c>
      <c r="D238" s="2031">
        <v>56.0</v>
      </c>
      <c r="E238" s="2031">
        <v>38.0</v>
      </c>
      <c r="F238" s="2031">
        <v>38.0</v>
      </c>
      <c r="G238" s="2031">
        <v>38.0</v>
      </c>
      <c r="H238" s="2031">
        <v>38.0</v>
      </c>
    </row>
    <row r="239">
      <c r="B239" s="2031">
        <v>237.0</v>
      </c>
      <c r="C239" s="2031">
        <v>28.0</v>
      </c>
      <c r="D239" s="2031">
        <v>57.0</v>
      </c>
      <c r="E239" s="2031">
        <v>38.0</v>
      </c>
      <c r="F239" s="2031">
        <v>38.0</v>
      </c>
      <c r="G239" s="2031">
        <v>38.0</v>
      </c>
      <c r="H239" s="2031">
        <v>38.0</v>
      </c>
    </row>
    <row r="240">
      <c r="B240" s="2031">
        <v>238.0</v>
      </c>
      <c r="C240" s="2031">
        <v>29.0</v>
      </c>
      <c r="D240" s="2031">
        <v>57.0</v>
      </c>
      <c r="E240" s="2031">
        <v>38.0</v>
      </c>
      <c r="F240" s="2031">
        <v>38.0</v>
      </c>
      <c r="G240" s="2031">
        <v>38.0</v>
      </c>
      <c r="H240" s="2031">
        <v>38.0</v>
      </c>
    </row>
    <row r="241">
      <c r="B241" s="2031">
        <v>239.0</v>
      </c>
      <c r="C241" s="2031">
        <v>29.0</v>
      </c>
      <c r="D241" s="2031">
        <v>58.0</v>
      </c>
      <c r="E241" s="2031">
        <v>38.0</v>
      </c>
      <c r="F241" s="2031">
        <v>38.0</v>
      </c>
      <c r="G241" s="2031">
        <v>38.0</v>
      </c>
      <c r="H241" s="2031">
        <v>38.0</v>
      </c>
    </row>
    <row r="242">
      <c r="B242" s="2031">
        <v>240.0</v>
      </c>
      <c r="C242" s="2031">
        <v>29.0</v>
      </c>
      <c r="D242" s="2031">
        <v>57.0</v>
      </c>
      <c r="E242" s="2031">
        <v>38.0</v>
      </c>
      <c r="F242" s="2031">
        <v>38.0</v>
      </c>
      <c r="G242" s="2031">
        <v>39.0</v>
      </c>
      <c r="H242" s="2031">
        <v>39.0</v>
      </c>
    </row>
    <row r="243">
      <c r="B243" s="2031">
        <v>241.0</v>
      </c>
      <c r="C243" s="2031">
        <v>29.0</v>
      </c>
      <c r="D243" s="2031">
        <v>58.0</v>
      </c>
      <c r="E243" s="2031">
        <v>38.0</v>
      </c>
      <c r="F243" s="2031">
        <v>38.0</v>
      </c>
      <c r="G243" s="2031">
        <v>39.0</v>
      </c>
      <c r="H243" s="2031">
        <v>39.0</v>
      </c>
    </row>
    <row r="244">
      <c r="B244" s="2031">
        <v>242.0</v>
      </c>
      <c r="C244" s="2031">
        <v>29.0</v>
      </c>
      <c r="D244" s="2031">
        <v>59.0</v>
      </c>
      <c r="E244" s="2031">
        <v>38.0</v>
      </c>
      <c r="F244" s="2031">
        <v>38.0</v>
      </c>
      <c r="G244" s="2031">
        <v>39.0</v>
      </c>
      <c r="H244" s="2031">
        <v>39.0</v>
      </c>
    </row>
    <row r="245">
      <c r="B245" s="2031">
        <v>243.0</v>
      </c>
      <c r="C245" s="2031">
        <v>29.0</v>
      </c>
      <c r="D245" s="2031">
        <v>58.0</v>
      </c>
      <c r="E245" s="2031">
        <v>39.0</v>
      </c>
      <c r="F245" s="2031">
        <v>39.0</v>
      </c>
      <c r="G245" s="2031">
        <v>39.0</v>
      </c>
      <c r="H245" s="2031">
        <v>39.0</v>
      </c>
    </row>
    <row r="246">
      <c r="B246" s="2031">
        <v>244.0</v>
      </c>
      <c r="C246" s="2031">
        <v>29.0</v>
      </c>
      <c r="D246" s="2031">
        <v>59.0</v>
      </c>
      <c r="E246" s="2031">
        <v>39.0</v>
      </c>
      <c r="F246" s="2031">
        <v>39.0</v>
      </c>
      <c r="G246" s="2031">
        <v>39.0</v>
      </c>
      <c r="H246" s="2031">
        <v>39.0</v>
      </c>
    </row>
    <row r="247">
      <c r="B247" s="2031">
        <v>245.0</v>
      </c>
      <c r="C247" s="2031">
        <v>30.0</v>
      </c>
      <c r="D247" s="2031">
        <v>59.0</v>
      </c>
      <c r="E247" s="2031">
        <v>39.0</v>
      </c>
      <c r="F247" s="2031">
        <v>39.0</v>
      </c>
      <c r="G247" s="2031">
        <v>39.0</v>
      </c>
      <c r="H247" s="2031">
        <v>39.0</v>
      </c>
    </row>
    <row r="248">
      <c r="B248" s="2031">
        <v>246.0</v>
      </c>
      <c r="C248" s="2031">
        <v>29.0</v>
      </c>
      <c r="D248" s="2031">
        <v>59.0</v>
      </c>
      <c r="E248" s="2031">
        <v>39.0</v>
      </c>
      <c r="F248" s="2031">
        <v>39.0</v>
      </c>
      <c r="G248" s="2031">
        <v>40.0</v>
      </c>
      <c r="H248" s="2031">
        <v>40.0</v>
      </c>
    </row>
    <row r="249">
      <c r="B249" s="2031">
        <v>247.0</v>
      </c>
      <c r="C249" s="2031">
        <v>30.0</v>
      </c>
      <c r="D249" s="2031">
        <v>59.0</v>
      </c>
      <c r="E249" s="2031">
        <v>39.0</v>
      </c>
      <c r="F249" s="2031">
        <v>39.0</v>
      </c>
      <c r="G249" s="2031">
        <v>40.0</v>
      </c>
      <c r="H249" s="2031">
        <v>40.0</v>
      </c>
    </row>
    <row r="250">
      <c r="B250" s="2031">
        <v>248.0</v>
      </c>
      <c r="C250" s="2031">
        <v>29.0</v>
      </c>
      <c r="D250" s="2031">
        <v>59.0</v>
      </c>
      <c r="E250" s="2031">
        <v>40.0</v>
      </c>
      <c r="F250" s="2031">
        <v>40.0</v>
      </c>
      <c r="G250" s="2031">
        <v>40.0</v>
      </c>
      <c r="H250" s="2031">
        <v>40.0</v>
      </c>
    </row>
    <row r="251">
      <c r="B251" s="2031">
        <v>249.0</v>
      </c>
      <c r="C251" s="2031">
        <v>30.0</v>
      </c>
      <c r="D251" s="2031">
        <v>59.0</v>
      </c>
      <c r="E251" s="2031">
        <v>40.0</v>
      </c>
      <c r="F251" s="2031">
        <v>40.0</v>
      </c>
      <c r="G251" s="2031">
        <v>40.0</v>
      </c>
      <c r="H251" s="2031">
        <v>40.0</v>
      </c>
    </row>
    <row r="252">
      <c r="B252" s="2031">
        <v>250.0</v>
      </c>
      <c r="C252" s="2031">
        <v>30.0</v>
      </c>
      <c r="D252" s="2031">
        <v>60.0</v>
      </c>
      <c r="E252" s="2031">
        <v>40.0</v>
      </c>
      <c r="F252" s="2031">
        <v>40.0</v>
      </c>
      <c r="G252" s="2031">
        <v>40.0</v>
      </c>
      <c r="H252" s="2031">
        <v>40.0</v>
      </c>
    </row>
    <row r="253">
      <c r="B253" s="2031">
        <v>251.0</v>
      </c>
      <c r="C253" s="2031">
        <v>30.0</v>
      </c>
      <c r="D253" s="2031">
        <v>61.0</v>
      </c>
      <c r="E253" s="2031">
        <v>40.0</v>
      </c>
      <c r="F253" s="2031">
        <v>40.0</v>
      </c>
      <c r="G253" s="2031">
        <v>40.0</v>
      </c>
      <c r="H253" s="2031">
        <v>40.0</v>
      </c>
    </row>
    <row r="254">
      <c r="B254" s="2031">
        <v>252.0</v>
      </c>
      <c r="C254" s="2031">
        <v>31.0</v>
      </c>
      <c r="D254" s="2031">
        <v>61.0</v>
      </c>
      <c r="E254" s="2031">
        <v>40.0</v>
      </c>
      <c r="F254" s="2031">
        <v>40.0</v>
      </c>
      <c r="G254" s="2031">
        <v>40.0</v>
      </c>
      <c r="H254" s="2031">
        <v>40.0</v>
      </c>
    </row>
    <row r="255">
      <c r="B255" s="2031">
        <v>253.0</v>
      </c>
      <c r="C255" s="2031">
        <v>30.0</v>
      </c>
      <c r="D255" s="2031">
        <v>61.0</v>
      </c>
      <c r="E255" s="2031">
        <v>40.0</v>
      </c>
      <c r="F255" s="2031">
        <v>40.0</v>
      </c>
      <c r="G255" s="2031">
        <v>41.0</v>
      </c>
      <c r="H255" s="2031">
        <v>41.0</v>
      </c>
    </row>
    <row r="256">
      <c r="B256" s="2031">
        <v>254.0</v>
      </c>
      <c r="C256" s="2031">
        <v>31.0</v>
      </c>
      <c r="D256" s="2031">
        <v>61.0</v>
      </c>
      <c r="E256" s="2031">
        <v>40.0</v>
      </c>
      <c r="F256" s="2031">
        <v>40.0</v>
      </c>
      <c r="G256" s="2031">
        <v>41.0</v>
      </c>
      <c r="H256" s="2031">
        <v>41.0</v>
      </c>
    </row>
    <row r="257">
      <c r="B257" s="2031">
        <v>255.0</v>
      </c>
      <c r="C257" s="2031">
        <v>30.0</v>
      </c>
      <c r="D257" s="2031">
        <v>61.0</v>
      </c>
      <c r="E257" s="2031">
        <v>41.0</v>
      </c>
      <c r="F257" s="2031">
        <v>41.0</v>
      </c>
      <c r="G257" s="2031">
        <v>41.0</v>
      </c>
      <c r="H257" s="2031">
        <v>41.0</v>
      </c>
    </row>
    <row r="258">
      <c r="B258" s="2031">
        <v>256.0</v>
      </c>
      <c r="C258" s="2031">
        <v>31.0</v>
      </c>
      <c r="D258" s="2031">
        <v>61.0</v>
      </c>
      <c r="E258" s="2031">
        <v>41.0</v>
      </c>
      <c r="F258" s="2031">
        <v>41.0</v>
      </c>
      <c r="G258" s="2031">
        <v>41.0</v>
      </c>
      <c r="H258" s="2031">
        <v>41.0</v>
      </c>
    </row>
    <row r="259">
      <c r="B259" s="2031">
        <v>257.0</v>
      </c>
      <c r="C259" s="2031">
        <v>31.0</v>
      </c>
      <c r="D259" s="2031">
        <v>62.0</v>
      </c>
      <c r="E259" s="2031">
        <v>41.0</v>
      </c>
      <c r="F259" s="2031">
        <v>41.0</v>
      </c>
      <c r="G259" s="2031">
        <v>41.0</v>
      </c>
      <c r="H259" s="2031">
        <v>41.0</v>
      </c>
    </row>
    <row r="260">
      <c r="B260" s="2031">
        <v>258.0</v>
      </c>
      <c r="C260" s="2031">
        <v>31.0</v>
      </c>
      <c r="D260" s="2031">
        <v>61.0</v>
      </c>
      <c r="E260" s="2031">
        <v>41.0</v>
      </c>
      <c r="F260" s="2031">
        <v>41.0</v>
      </c>
      <c r="G260" s="2031">
        <v>42.0</v>
      </c>
      <c r="H260" s="2031">
        <v>42.0</v>
      </c>
    </row>
    <row r="261">
      <c r="B261" s="2031">
        <v>259.0</v>
      </c>
      <c r="C261" s="2031">
        <v>31.0</v>
      </c>
      <c r="D261" s="2031">
        <v>62.0</v>
      </c>
      <c r="E261" s="2031">
        <v>41.0</v>
      </c>
      <c r="F261" s="2031">
        <v>41.0</v>
      </c>
      <c r="G261" s="2031">
        <v>42.0</v>
      </c>
      <c r="H261" s="2031">
        <v>42.0</v>
      </c>
    </row>
    <row r="262">
      <c r="B262" s="2031">
        <v>260.0</v>
      </c>
      <c r="C262" s="2031">
        <v>31.0</v>
      </c>
      <c r="D262" s="2031">
        <v>63.0</v>
      </c>
      <c r="E262" s="2031">
        <v>41.0</v>
      </c>
      <c r="F262" s="2031">
        <v>41.0</v>
      </c>
      <c r="G262" s="2031">
        <v>42.0</v>
      </c>
      <c r="H262" s="2031">
        <v>42.0</v>
      </c>
    </row>
    <row r="263">
      <c r="B263" s="2031">
        <v>261.0</v>
      </c>
      <c r="C263" s="2031">
        <v>31.0</v>
      </c>
      <c r="D263" s="2031">
        <v>62.0</v>
      </c>
      <c r="E263" s="2031">
        <v>42.0</v>
      </c>
      <c r="F263" s="2031">
        <v>42.0</v>
      </c>
      <c r="G263" s="2031">
        <v>42.0</v>
      </c>
      <c r="H263" s="2031">
        <v>42.0</v>
      </c>
    </row>
    <row r="264">
      <c r="B264" s="2031">
        <v>262.0</v>
      </c>
      <c r="C264" s="2031">
        <v>31.0</v>
      </c>
      <c r="D264" s="2031">
        <v>63.0</v>
      </c>
      <c r="E264" s="2031">
        <v>42.0</v>
      </c>
      <c r="F264" s="2031">
        <v>42.0</v>
      </c>
      <c r="G264" s="2031">
        <v>42.0</v>
      </c>
      <c r="H264" s="2031">
        <v>42.0</v>
      </c>
    </row>
    <row r="265">
      <c r="B265" s="2031">
        <v>263.0</v>
      </c>
      <c r="C265" s="2031">
        <v>32.0</v>
      </c>
      <c r="D265" s="2031">
        <v>63.0</v>
      </c>
      <c r="E265" s="2031">
        <v>42.0</v>
      </c>
      <c r="F265" s="2031">
        <v>42.0</v>
      </c>
      <c r="G265" s="2031">
        <v>42.0</v>
      </c>
      <c r="H265" s="2031">
        <v>42.0</v>
      </c>
    </row>
    <row r="266">
      <c r="B266" s="2031">
        <v>264.0</v>
      </c>
      <c r="C266" s="2031">
        <v>32.0</v>
      </c>
      <c r="D266" s="2031">
        <v>64.0</v>
      </c>
      <c r="E266" s="2031">
        <v>42.0</v>
      </c>
      <c r="F266" s="2031">
        <v>42.0</v>
      </c>
      <c r="G266" s="2031">
        <v>42.0</v>
      </c>
      <c r="H266" s="2031">
        <v>42.0</v>
      </c>
    </row>
    <row r="267">
      <c r="B267" s="2031">
        <v>265.0</v>
      </c>
      <c r="C267" s="2031">
        <v>32.0</v>
      </c>
      <c r="D267" s="2031">
        <v>63.0</v>
      </c>
      <c r="E267" s="2031">
        <v>42.0</v>
      </c>
      <c r="F267" s="2031">
        <v>42.0</v>
      </c>
      <c r="G267" s="2031">
        <v>43.0</v>
      </c>
      <c r="H267" s="2031">
        <v>43.0</v>
      </c>
    </row>
    <row r="268">
      <c r="B268" s="2031">
        <v>266.0</v>
      </c>
      <c r="C268" s="2031">
        <v>32.0</v>
      </c>
      <c r="D268" s="2031">
        <v>64.0</v>
      </c>
      <c r="E268" s="2031">
        <v>42.0</v>
      </c>
      <c r="F268" s="2031">
        <v>42.0</v>
      </c>
      <c r="G268" s="2031">
        <v>43.0</v>
      </c>
      <c r="H268" s="2031">
        <v>43.0</v>
      </c>
    </row>
    <row r="269">
      <c r="B269" s="2031">
        <v>267.0</v>
      </c>
      <c r="C269" s="2031">
        <v>32.0</v>
      </c>
      <c r="D269" s="2031">
        <v>65.0</v>
      </c>
      <c r="E269" s="2031">
        <v>42.0</v>
      </c>
      <c r="F269" s="2031">
        <v>42.0</v>
      </c>
      <c r="G269" s="2031">
        <v>43.0</v>
      </c>
      <c r="H269" s="2031">
        <v>43.0</v>
      </c>
    </row>
    <row r="270">
      <c r="B270" s="2031">
        <v>268.0</v>
      </c>
      <c r="C270" s="2031">
        <v>32.0</v>
      </c>
      <c r="D270" s="2031">
        <v>64.0</v>
      </c>
      <c r="E270" s="2031">
        <v>43.0</v>
      </c>
      <c r="F270" s="2031">
        <v>43.0</v>
      </c>
      <c r="G270" s="2031">
        <v>43.0</v>
      </c>
      <c r="H270" s="2031">
        <v>43.0</v>
      </c>
    </row>
    <row r="271">
      <c r="B271" s="2031">
        <v>269.0</v>
      </c>
      <c r="C271" s="2031">
        <v>32.0</v>
      </c>
      <c r="D271" s="2031">
        <v>65.0</v>
      </c>
      <c r="E271" s="2031">
        <v>43.0</v>
      </c>
      <c r="F271" s="2031">
        <v>43.0</v>
      </c>
      <c r="G271" s="2031">
        <v>43.0</v>
      </c>
      <c r="H271" s="2031">
        <v>43.0</v>
      </c>
    </row>
    <row r="272">
      <c r="B272" s="2031">
        <v>270.0</v>
      </c>
      <c r="C272" s="2031">
        <v>33.0</v>
      </c>
      <c r="D272" s="2031">
        <v>65.0</v>
      </c>
      <c r="E272" s="2031">
        <v>43.0</v>
      </c>
      <c r="F272" s="2031">
        <v>43.0</v>
      </c>
      <c r="G272" s="2031">
        <v>43.0</v>
      </c>
      <c r="H272" s="2031">
        <v>43.0</v>
      </c>
    </row>
    <row r="273">
      <c r="B273" s="2031">
        <v>271.0</v>
      </c>
      <c r="C273" s="2031">
        <v>32.0</v>
      </c>
      <c r="D273" s="2031">
        <v>65.0</v>
      </c>
      <c r="E273" s="2031">
        <v>43.0</v>
      </c>
      <c r="F273" s="2031">
        <v>43.0</v>
      </c>
      <c r="G273" s="2031">
        <v>44.0</v>
      </c>
      <c r="H273" s="2031">
        <v>44.0</v>
      </c>
    </row>
    <row r="274">
      <c r="B274" s="2031">
        <v>272.0</v>
      </c>
      <c r="C274" s="2031">
        <v>33.0</v>
      </c>
      <c r="D274" s="2031">
        <v>65.0</v>
      </c>
      <c r="E274" s="2031">
        <v>43.0</v>
      </c>
      <c r="F274" s="2031">
        <v>43.0</v>
      </c>
      <c r="G274" s="2031">
        <v>44.0</v>
      </c>
      <c r="H274" s="2031">
        <v>44.0</v>
      </c>
    </row>
    <row r="275">
      <c r="B275" s="2031">
        <v>273.0</v>
      </c>
      <c r="C275" s="2031">
        <v>32.0</v>
      </c>
      <c r="D275" s="2031">
        <v>65.0</v>
      </c>
      <c r="E275" s="2031">
        <v>44.0</v>
      </c>
      <c r="F275" s="2031">
        <v>44.0</v>
      </c>
      <c r="G275" s="2031">
        <v>44.0</v>
      </c>
      <c r="H275" s="2031">
        <v>44.0</v>
      </c>
    </row>
    <row r="276">
      <c r="B276" s="2031">
        <v>274.0</v>
      </c>
      <c r="C276" s="2031">
        <v>33.0</v>
      </c>
      <c r="D276" s="2031">
        <v>65.0</v>
      </c>
      <c r="E276" s="2031">
        <v>44.0</v>
      </c>
      <c r="F276" s="2031">
        <v>44.0</v>
      </c>
      <c r="G276" s="2031">
        <v>44.0</v>
      </c>
      <c r="H276" s="2031">
        <v>44.0</v>
      </c>
    </row>
    <row r="277">
      <c r="B277" s="2031">
        <v>275.0</v>
      </c>
      <c r="C277" s="2031">
        <v>33.0</v>
      </c>
      <c r="D277" s="2031">
        <v>66.0</v>
      </c>
      <c r="E277" s="2031">
        <v>44.0</v>
      </c>
      <c r="F277" s="2031">
        <v>44.0</v>
      </c>
      <c r="G277" s="2031">
        <v>44.0</v>
      </c>
      <c r="H277" s="2031">
        <v>44.0</v>
      </c>
    </row>
    <row r="278">
      <c r="B278" s="2031">
        <v>276.0</v>
      </c>
      <c r="C278" s="2031">
        <v>33.0</v>
      </c>
      <c r="D278" s="2031">
        <v>67.0</v>
      </c>
      <c r="E278" s="2031">
        <v>44.0</v>
      </c>
      <c r="F278" s="2031">
        <v>44.0</v>
      </c>
      <c r="G278" s="2031">
        <v>44.0</v>
      </c>
      <c r="H278" s="2031">
        <v>44.0</v>
      </c>
    </row>
    <row r="279">
      <c r="B279" s="2031">
        <v>277.0</v>
      </c>
      <c r="C279" s="2031">
        <v>34.0</v>
      </c>
      <c r="D279" s="2031">
        <v>67.0</v>
      </c>
      <c r="E279" s="2031">
        <v>44.0</v>
      </c>
      <c r="F279" s="2031">
        <v>44.0</v>
      </c>
      <c r="G279" s="2031">
        <v>44.0</v>
      </c>
      <c r="H279" s="2031">
        <v>44.0</v>
      </c>
    </row>
    <row r="280">
      <c r="B280" s="2031">
        <v>278.0</v>
      </c>
      <c r="C280" s="2031">
        <v>33.0</v>
      </c>
      <c r="D280" s="2031">
        <v>67.0</v>
      </c>
      <c r="E280" s="2031">
        <v>44.0</v>
      </c>
      <c r="F280" s="2031">
        <v>44.0</v>
      </c>
      <c r="G280" s="2031">
        <v>45.0</v>
      </c>
      <c r="H280" s="2031">
        <v>45.0</v>
      </c>
    </row>
    <row r="281">
      <c r="B281" s="2031">
        <v>279.0</v>
      </c>
      <c r="C281" s="2031">
        <v>34.0</v>
      </c>
      <c r="D281" s="2031">
        <v>67.0</v>
      </c>
      <c r="E281" s="2031">
        <v>44.0</v>
      </c>
      <c r="F281" s="2031">
        <v>44.0</v>
      </c>
      <c r="G281" s="2031">
        <v>45.0</v>
      </c>
      <c r="H281" s="2031">
        <v>45.0</v>
      </c>
    </row>
    <row r="282">
      <c r="B282" s="2031">
        <v>280.0</v>
      </c>
      <c r="C282" s="2031">
        <v>33.0</v>
      </c>
      <c r="D282" s="2031">
        <v>67.0</v>
      </c>
      <c r="E282" s="2031">
        <v>45.0</v>
      </c>
      <c r="F282" s="2031">
        <v>45.0</v>
      </c>
      <c r="G282" s="2031">
        <v>45.0</v>
      </c>
      <c r="H282" s="2031">
        <v>45.0</v>
      </c>
    </row>
    <row r="283">
      <c r="B283" s="2031">
        <v>281.0</v>
      </c>
      <c r="C283" s="2031">
        <v>34.0</v>
      </c>
      <c r="D283" s="2031">
        <v>67.0</v>
      </c>
      <c r="E283" s="2031">
        <v>45.0</v>
      </c>
      <c r="F283" s="2031">
        <v>45.0</v>
      </c>
      <c r="G283" s="2031">
        <v>45.0</v>
      </c>
      <c r="H283" s="2031">
        <v>45.0</v>
      </c>
    </row>
    <row r="284">
      <c r="B284" s="2031">
        <v>282.0</v>
      </c>
      <c r="C284" s="2031">
        <v>34.0</v>
      </c>
      <c r="D284" s="2031">
        <v>68.0</v>
      </c>
      <c r="E284" s="2031">
        <v>45.0</v>
      </c>
      <c r="F284" s="2031">
        <v>45.0</v>
      </c>
      <c r="G284" s="2031">
        <v>45.0</v>
      </c>
      <c r="H284" s="2031">
        <v>45.0</v>
      </c>
    </row>
    <row r="285">
      <c r="B285" s="2031">
        <v>283.0</v>
      </c>
      <c r="C285" s="2031">
        <v>34.0</v>
      </c>
      <c r="D285" s="2031">
        <v>67.0</v>
      </c>
      <c r="E285" s="2031">
        <v>45.0</v>
      </c>
      <c r="F285" s="2031">
        <v>45.0</v>
      </c>
      <c r="G285" s="2031">
        <v>46.0</v>
      </c>
      <c r="H285" s="2031">
        <v>46.0</v>
      </c>
    </row>
    <row r="286">
      <c r="B286" s="2031">
        <v>284.0</v>
      </c>
      <c r="C286" s="2031">
        <v>34.0</v>
      </c>
      <c r="D286" s="2031">
        <v>68.0</v>
      </c>
      <c r="E286" s="2031">
        <v>45.0</v>
      </c>
      <c r="F286" s="2031">
        <v>45.0</v>
      </c>
      <c r="G286" s="2031">
        <v>46.0</v>
      </c>
      <c r="H286" s="2031">
        <v>46.0</v>
      </c>
    </row>
    <row r="287">
      <c r="B287" s="2031">
        <v>285.0</v>
      </c>
      <c r="C287" s="2031">
        <v>34.0</v>
      </c>
      <c r="D287" s="2031">
        <v>69.0</v>
      </c>
      <c r="E287" s="2031">
        <v>45.0</v>
      </c>
      <c r="F287" s="2031">
        <v>45.0</v>
      </c>
      <c r="G287" s="2031">
        <v>46.0</v>
      </c>
      <c r="H287" s="2031">
        <v>46.0</v>
      </c>
    </row>
    <row r="288">
      <c r="B288" s="2031">
        <v>286.0</v>
      </c>
      <c r="C288" s="2031">
        <v>34.0</v>
      </c>
      <c r="D288" s="2031">
        <v>68.0</v>
      </c>
      <c r="E288" s="2031">
        <v>46.0</v>
      </c>
      <c r="F288" s="2031">
        <v>46.0</v>
      </c>
      <c r="G288" s="2031">
        <v>46.0</v>
      </c>
      <c r="H288" s="2031">
        <v>46.0</v>
      </c>
    </row>
    <row r="289">
      <c r="B289" s="2031">
        <v>287.0</v>
      </c>
      <c r="C289" s="2031">
        <v>34.0</v>
      </c>
      <c r="D289" s="2031">
        <v>69.0</v>
      </c>
      <c r="E289" s="2031">
        <v>46.0</v>
      </c>
      <c r="F289" s="2031">
        <v>46.0</v>
      </c>
      <c r="G289" s="2031">
        <v>46.0</v>
      </c>
      <c r="H289" s="2031">
        <v>46.0</v>
      </c>
    </row>
    <row r="290">
      <c r="B290" s="2031">
        <v>288.0</v>
      </c>
      <c r="C290" s="2031">
        <v>35.0</v>
      </c>
      <c r="D290" s="2031">
        <v>69.0</v>
      </c>
      <c r="E290" s="2031">
        <v>46.0</v>
      </c>
      <c r="F290" s="2031">
        <v>46.0</v>
      </c>
      <c r="G290" s="2031">
        <v>46.0</v>
      </c>
      <c r="H290" s="2031">
        <v>46.0</v>
      </c>
    </row>
    <row r="291">
      <c r="B291" s="2031">
        <v>289.0</v>
      </c>
      <c r="C291" s="2031">
        <v>35.0</v>
      </c>
      <c r="D291" s="2031">
        <v>70.0</v>
      </c>
      <c r="E291" s="2031">
        <v>46.0</v>
      </c>
      <c r="F291" s="2031">
        <v>46.0</v>
      </c>
      <c r="G291" s="2031">
        <v>46.0</v>
      </c>
      <c r="H291" s="2031">
        <v>46.0</v>
      </c>
    </row>
    <row r="292">
      <c r="B292" s="2031">
        <v>290.0</v>
      </c>
      <c r="C292" s="2031">
        <v>35.0</v>
      </c>
      <c r="D292" s="2031">
        <v>69.0</v>
      </c>
      <c r="E292" s="2031">
        <v>46.0</v>
      </c>
      <c r="F292" s="2031">
        <v>46.0</v>
      </c>
      <c r="G292" s="2031">
        <v>47.0</v>
      </c>
      <c r="H292" s="2031">
        <v>47.0</v>
      </c>
    </row>
    <row r="293">
      <c r="B293" s="2031">
        <v>291.0</v>
      </c>
      <c r="C293" s="2031">
        <v>35.0</v>
      </c>
      <c r="D293" s="2031">
        <v>70.0</v>
      </c>
      <c r="E293" s="2031">
        <v>46.0</v>
      </c>
      <c r="F293" s="2031">
        <v>46.0</v>
      </c>
      <c r="G293" s="2031">
        <v>47.0</v>
      </c>
      <c r="H293" s="2031">
        <v>47.0</v>
      </c>
    </row>
    <row r="294">
      <c r="B294" s="2031">
        <v>292.0</v>
      </c>
      <c r="C294" s="2031">
        <v>35.0</v>
      </c>
      <c r="D294" s="2031">
        <v>71.0</v>
      </c>
      <c r="E294" s="2031">
        <v>46.0</v>
      </c>
      <c r="F294" s="2031">
        <v>46.0</v>
      </c>
      <c r="G294" s="2031">
        <v>47.0</v>
      </c>
      <c r="H294" s="2031">
        <v>47.0</v>
      </c>
    </row>
    <row r="295">
      <c r="B295" s="2031">
        <v>293.0</v>
      </c>
      <c r="C295" s="2031">
        <v>35.0</v>
      </c>
      <c r="D295" s="2031">
        <v>70.0</v>
      </c>
      <c r="E295" s="2031">
        <v>47.0</v>
      </c>
      <c r="F295" s="2031">
        <v>47.0</v>
      </c>
      <c r="G295" s="2031">
        <v>47.0</v>
      </c>
      <c r="H295" s="2031">
        <v>47.0</v>
      </c>
    </row>
    <row r="296">
      <c r="B296" s="2031">
        <v>294.0</v>
      </c>
      <c r="C296" s="2031">
        <v>35.0</v>
      </c>
      <c r="D296" s="2031">
        <v>71.0</v>
      </c>
      <c r="E296" s="2031">
        <v>47.0</v>
      </c>
      <c r="F296" s="2031">
        <v>47.0</v>
      </c>
      <c r="G296" s="2031">
        <v>47.0</v>
      </c>
      <c r="H296" s="2031">
        <v>47.0</v>
      </c>
    </row>
    <row r="297">
      <c r="B297" s="2031">
        <v>295.0</v>
      </c>
      <c r="C297" s="2031">
        <v>36.0</v>
      </c>
      <c r="D297" s="2031">
        <v>71.0</v>
      </c>
      <c r="E297" s="2031">
        <v>47.0</v>
      </c>
      <c r="F297" s="2031">
        <v>47.0</v>
      </c>
      <c r="G297" s="2031">
        <v>47.0</v>
      </c>
      <c r="H297" s="2031">
        <v>47.0</v>
      </c>
    </row>
    <row r="298">
      <c r="B298" s="2031">
        <v>296.0</v>
      </c>
      <c r="C298" s="2031">
        <v>35.0</v>
      </c>
      <c r="D298" s="2031">
        <v>71.0</v>
      </c>
      <c r="E298" s="2031">
        <v>47.0</v>
      </c>
      <c r="F298" s="2031">
        <v>47.0</v>
      </c>
      <c r="G298" s="2031">
        <v>48.0</v>
      </c>
      <c r="H298" s="2031">
        <v>48.0</v>
      </c>
    </row>
    <row r="299">
      <c r="B299" s="2031">
        <v>297.0</v>
      </c>
      <c r="C299" s="2031">
        <v>36.0</v>
      </c>
      <c r="D299" s="2031">
        <v>71.0</v>
      </c>
      <c r="E299" s="2031">
        <v>47.0</v>
      </c>
      <c r="F299" s="2031">
        <v>47.0</v>
      </c>
      <c r="G299" s="2031">
        <v>48.0</v>
      </c>
      <c r="H299" s="2031">
        <v>48.0</v>
      </c>
    </row>
    <row r="300">
      <c r="B300" s="2031">
        <v>298.0</v>
      </c>
      <c r="C300" s="2031">
        <v>35.0</v>
      </c>
      <c r="D300" s="2031">
        <v>71.0</v>
      </c>
      <c r="E300" s="2031">
        <v>48.0</v>
      </c>
      <c r="F300" s="2031">
        <v>48.0</v>
      </c>
      <c r="G300" s="2031">
        <v>48.0</v>
      </c>
      <c r="H300" s="2031">
        <v>48.0</v>
      </c>
    </row>
    <row r="301">
      <c r="B301" s="2031">
        <v>299.0</v>
      </c>
      <c r="C301" s="2031">
        <v>36.0</v>
      </c>
      <c r="D301" s="2031">
        <v>71.0</v>
      </c>
      <c r="E301" s="2031">
        <v>48.0</v>
      </c>
      <c r="F301" s="2031">
        <v>48.0</v>
      </c>
      <c r="G301" s="2031">
        <v>48.0</v>
      </c>
      <c r="H301" s="2031">
        <v>48.0</v>
      </c>
    </row>
    <row r="302">
      <c r="B302" s="2031">
        <v>300.0</v>
      </c>
      <c r="C302" s="2031">
        <v>36.0</v>
      </c>
      <c r="D302" s="2031">
        <v>72.0</v>
      </c>
      <c r="E302" s="2031">
        <v>48.0</v>
      </c>
      <c r="F302" s="2031">
        <v>48.0</v>
      </c>
      <c r="G302" s="2031">
        <v>48.0</v>
      </c>
      <c r="H302" s="2031">
        <v>48.0</v>
      </c>
    </row>
    <row r="303">
      <c r="B303" s="2031">
        <v>301.0</v>
      </c>
      <c r="C303" s="2031">
        <v>36.0</v>
      </c>
      <c r="D303" s="2031">
        <v>73.0</v>
      </c>
      <c r="E303" s="2031">
        <v>48.0</v>
      </c>
      <c r="F303" s="2031">
        <v>48.0</v>
      </c>
      <c r="G303" s="2031">
        <v>48.0</v>
      </c>
      <c r="H303" s="2031">
        <v>48.0</v>
      </c>
    </row>
    <row r="304">
      <c r="B304" s="2031">
        <v>302.0</v>
      </c>
      <c r="C304" s="2031">
        <v>37.0</v>
      </c>
      <c r="D304" s="2031">
        <v>73.0</v>
      </c>
      <c r="E304" s="2031">
        <v>48.0</v>
      </c>
      <c r="F304" s="2031">
        <v>48.0</v>
      </c>
      <c r="G304" s="2031">
        <v>48.0</v>
      </c>
      <c r="H304" s="2031">
        <v>48.0</v>
      </c>
    </row>
    <row r="305">
      <c r="B305" s="2031">
        <v>303.0</v>
      </c>
      <c r="C305" s="2031">
        <v>36.0</v>
      </c>
      <c r="D305" s="2031">
        <v>73.0</v>
      </c>
      <c r="E305" s="2031">
        <v>48.0</v>
      </c>
      <c r="F305" s="2031">
        <v>48.0</v>
      </c>
      <c r="G305" s="2031">
        <v>49.0</v>
      </c>
      <c r="H305" s="2031">
        <v>49.0</v>
      </c>
    </row>
    <row r="306">
      <c r="B306" s="2031">
        <v>304.0</v>
      </c>
      <c r="C306" s="2031">
        <v>37.0</v>
      </c>
      <c r="D306" s="2031">
        <v>73.0</v>
      </c>
      <c r="E306" s="2031">
        <v>48.0</v>
      </c>
      <c r="F306" s="2031">
        <v>48.0</v>
      </c>
      <c r="G306" s="2031">
        <v>49.0</v>
      </c>
      <c r="H306" s="2031">
        <v>49.0</v>
      </c>
    </row>
    <row r="307">
      <c r="B307" s="2031">
        <v>305.0</v>
      </c>
      <c r="C307" s="2031">
        <v>36.0</v>
      </c>
      <c r="D307" s="2031">
        <v>73.0</v>
      </c>
      <c r="E307" s="2031">
        <v>49.0</v>
      </c>
      <c r="F307" s="2031">
        <v>49.0</v>
      </c>
      <c r="G307" s="2031">
        <v>49.0</v>
      </c>
      <c r="H307" s="2031">
        <v>49.0</v>
      </c>
    </row>
    <row r="308">
      <c r="B308" s="2031">
        <v>306.0</v>
      </c>
      <c r="C308" s="2031">
        <v>37.0</v>
      </c>
      <c r="D308" s="2031">
        <v>73.0</v>
      </c>
      <c r="E308" s="2031">
        <v>49.0</v>
      </c>
      <c r="F308" s="2031">
        <v>49.0</v>
      </c>
      <c r="G308" s="2031">
        <v>49.0</v>
      </c>
      <c r="H308" s="2031">
        <v>49.0</v>
      </c>
    </row>
    <row r="309">
      <c r="B309" s="2031">
        <v>307.0</v>
      </c>
      <c r="C309" s="2031">
        <v>37.0</v>
      </c>
      <c r="D309" s="2031">
        <v>74.0</v>
      </c>
      <c r="E309" s="2031">
        <v>49.0</v>
      </c>
      <c r="F309" s="2031">
        <v>49.0</v>
      </c>
      <c r="G309" s="2031">
        <v>49.0</v>
      </c>
      <c r="H309" s="2031">
        <v>49.0</v>
      </c>
    </row>
    <row r="310">
      <c r="B310" s="2031">
        <v>308.0</v>
      </c>
      <c r="C310" s="2031">
        <v>37.0</v>
      </c>
      <c r="D310" s="2031">
        <v>73.0</v>
      </c>
      <c r="E310" s="2031">
        <v>49.0</v>
      </c>
      <c r="F310" s="2031">
        <v>49.0</v>
      </c>
      <c r="G310" s="2031">
        <v>50.0</v>
      </c>
      <c r="H310" s="2031">
        <v>50.0</v>
      </c>
    </row>
    <row r="311">
      <c r="B311" s="2031">
        <v>309.0</v>
      </c>
      <c r="C311" s="2031">
        <v>37.0</v>
      </c>
      <c r="D311" s="2031">
        <v>74.0</v>
      </c>
      <c r="E311" s="2031">
        <v>49.0</v>
      </c>
      <c r="F311" s="2031">
        <v>49.0</v>
      </c>
      <c r="G311" s="2031">
        <v>50.0</v>
      </c>
      <c r="H311" s="2031">
        <v>50.0</v>
      </c>
    </row>
    <row r="312">
      <c r="B312" s="2031">
        <v>310.0</v>
      </c>
      <c r="C312" s="2031">
        <v>37.0</v>
      </c>
      <c r="D312" s="2031">
        <v>75.0</v>
      </c>
      <c r="E312" s="2031">
        <v>49.0</v>
      </c>
      <c r="F312" s="2031">
        <v>49.0</v>
      </c>
      <c r="G312" s="2031">
        <v>50.0</v>
      </c>
      <c r="H312" s="2031">
        <v>50.0</v>
      </c>
    </row>
    <row r="313">
      <c r="B313" s="2031">
        <v>311.0</v>
      </c>
      <c r="C313" s="2031">
        <v>37.0</v>
      </c>
      <c r="D313" s="2031">
        <v>74.0</v>
      </c>
      <c r="E313" s="2031">
        <v>50.0</v>
      </c>
      <c r="F313" s="2031">
        <v>50.0</v>
      </c>
      <c r="G313" s="2031">
        <v>50.0</v>
      </c>
      <c r="H313" s="2031">
        <v>50.0</v>
      </c>
    </row>
    <row r="314">
      <c r="B314" s="2031">
        <v>312.0</v>
      </c>
      <c r="C314" s="2031">
        <v>37.0</v>
      </c>
      <c r="D314" s="2031">
        <v>75.0</v>
      </c>
      <c r="E314" s="2031">
        <v>50.0</v>
      </c>
      <c r="F314" s="2031">
        <v>50.0</v>
      </c>
      <c r="G314" s="2031">
        <v>50.0</v>
      </c>
      <c r="H314" s="2031">
        <v>50.0</v>
      </c>
    </row>
    <row r="315">
      <c r="B315" s="2031">
        <v>313.0</v>
      </c>
      <c r="C315" s="2031">
        <v>38.0</v>
      </c>
      <c r="D315" s="2031">
        <v>75.0</v>
      </c>
      <c r="E315" s="2031">
        <v>50.0</v>
      </c>
      <c r="F315" s="2031">
        <v>50.0</v>
      </c>
      <c r="G315" s="2031">
        <v>50.0</v>
      </c>
      <c r="H315" s="2031">
        <v>50.0</v>
      </c>
    </row>
    <row r="316">
      <c r="B316" s="2031">
        <v>314.0</v>
      </c>
      <c r="C316" s="2031">
        <v>38.0</v>
      </c>
      <c r="D316" s="2031">
        <v>76.0</v>
      </c>
      <c r="E316" s="2031">
        <v>50.0</v>
      </c>
      <c r="F316" s="2031">
        <v>50.0</v>
      </c>
      <c r="G316" s="2031">
        <v>50.0</v>
      </c>
      <c r="H316" s="2031">
        <v>50.0</v>
      </c>
    </row>
    <row r="317">
      <c r="B317" s="2031">
        <v>315.0</v>
      </c>
      <c r="C317" s="2031">
        <v>38.0</v>
      </c>
      <c r="D317" s="2031">
        <v>75.0</v>
      </c>
      <c r="E317" s="2031">
        <v>50.0</v>
      </c>
      <c r="F317" s="2031">
        <v>50.0</v>
      </c>
      <c r="G317" s="2031">
        <v>51.0</v>
      </c>
      <c r="H317" s="2031">
        <v>51.0</v>
      </c>
    </row>
    <row r="318">
      <c r="B318" s="2031">
        <v>316.0</v>
      </c>
      <c r="C318" s="2031">
        <v>38.0</v>
      </c>
      <c r="D318" s="2031">
        <v>76.0</v>
      </c>
      <c r="E318" s="2031">
        <v>50.0</v>
      </c>
      <c r="F318" s="2031">
        <v>50.0</v>
      </c>
      <c r="G318" s="2031">
        <v>51.0</v>
      </c>
      <c r="H318" s="2031">
        <v>51.0</v>
      </c>
    </row>
    <row r="319">
      <c r="B319" s="2031">
        <v>317.0</v>
      </c>
      <c r="C319" s="2031">
        <v>38.0</v>
      </c>
      <c r="D319" s="2031">
        <v>77.0</v>
      </c>
      <c r="E319" s="2031">
        <v>50.0</v>
      </c>
      <c r="F319" s="2031">
        <v>50.0</v>
      </c>
      <c r="G319" s="2031">
        <v>51.0</v>
      </c>
      <c r="H319" s="2031">
        <v>51.0</v>
      </c>
    </row>
    <row r="320">
      <c r="B320" s="2031">
        <v>318.0</v>
      </c>
      <c r="C320" s="2031">
        <v>38.0</v>
      </c>
      <c r="D320" s="2031">
        <v>76.0</v>
      </c>
      <c r="E320" s="2031">
        <v>51.0</v>
      </c>
      <c r="F320" s="2031">
        <v>51.0</v>
      </c>
      <c r="G320" s="2031">
        <v>51.0</v>
      </c>
      <c r="H320" s="2031">
        <v>51.0</v>
      </c>
    </row>
    <row r="321">
      <c r="B321" s="2031">
        <v>319.0</v>
      </c>
      <c r="C321" s="2031">
        <v>38.0</v>
      </c>
      <c r="D321" s="2031">
        <v>77.0</v>
      </c>
      <c r="E321" s="2031">
        <v>51.0</v>
      </c>
      <c r="F321" s="2031">
        <v>51.0</v>
      </c>
      <c r="G321" s="2031">
        <v>51.0</v>
      </c>
      <c r="H321" s="2031">
        <v>51.0</v>
      </c>
    </row>
    <row r="322">
      <c r="B322" s="2031">
        <v>320.0</v>
      </c>
      <c r="C322" s="2031">
        <v>39.0</v>
      </c>
      <c r="D322" s="2031">
        <v>77.0</v>
      </c>
      <c r="E322" s="2031">
        <v>51.0</v>
      </c>
      <c r="F322" s="2031">
        <v>51.0</v>
      </c>
      <c r="G322" s="2031">
        <v>51.0</v>
      </c>
      <c r="H322" s="2031">
        <v>51.0</v>
      </c>
    </row>
    <row r="323">
      <c r="B323" s="2031">
        <v>321.0</v>
      </c>
      <c r="C323" s="2031">
        <v>38.0</v>
      </c>
      <c r="D323" s="2031">
        <v>77.0</v>
      </c>
      <c r="E323" s="2031">
        <v>51.0</v>
      </c>
      <c r="F323" s="2031">
        <v>51.0</v>
      </c>
      <c r="G323" s="2031">
        <v>52.0</v>
      </c>
      <c r="H323" s="2031">
        <v>52.0</v>
      </c>
    </row>
    <row r="324">
      <c r="B324" s="2031">
        <v>322.0</v>
      </c>
      <c r="C324" s="2031">
        <v>39.0</v>
      </c>
      <c r="D324" s="2031">
        <v>77.0</v>
      </c>
      <c r="E324" s="2031">
        <v>51.0</v>
      </c>
      <c r="F324" s="2031">
        <v>51.0</v>
      </c>
      <c r="G324" s="2031">
        <v>52.0</v>
      </c>
      <c r="H324" s="2031">
        <v>52.0</v>
      </c>
    </row>
    <row r="325">
      <c r="B325" s="2031">
        <v>323.0</v>
      </c>
      <c r="C325" s="2031">
        <v>38.0</v>
      </c>
      <c r="D325" s="2031">
        <v>77.0</v>
      </c>
      <c r="E325" s="2031">
        <v>52.0</v>
      </c>
      <c r="F325" s="2031">
        <v>52.0</v>
      </c>
      <c r="G325" s="2031">
        <v>52.0</v>
      </c>
      <c r="H325" s="2031">
        <v>52.0</v>
      </c>
    </row>
    <row r="326">
      <c r="B326" s="2031">
        <v>324.0</v>
      </c>
      <c r="C326" s="2031">
        <v>39.0</v>
      </c>
      <c r="D326" s="2031">
        <v>77.0</v>
      </c>
      <c r="E326" s="2031">
        <v>52.0</v>
      </c>
      <c r="F326" s="2031">
        <v>52.0</v>
      </c>
      <c r="G326" s="2031">
        <v>52.0</v>
      </c>
      <c r="H326" s="2031">
        <v>52.0</v>
      </c>
    </row>
    <row r="327">
      <c r="B327" s="2031">
        <v>325.0</v>
      </c>
      <c r="C327" s="2031">
        <v>39.0</v>
      </c>
      <c r="D327" s="2031">
        <v>78.0</v>
      </c>
      <c r="E327" s="2031">
        <v>52.0</v>
      </c>
      <c r="F327" s="2031">
        <v>52.0</v>
      </c>
      <c r="G327" s="2031">
        <v>52.0</v>
      </c>
      <c r="H327" s="2031">
        <v>52.0</v>
      </c>
    </row>
    <row r="328">
      <c r="B328" s="2031">
        <v>326.0</v>
      </c>
      <c r="C328" s="2031">
        <v>39.0</v>
      </c>
      <c r="D328" s="2031">
        <v>79.0</v>
      </c>
      <c r="E328" s="2031">
        <v>52.0</v>
      </c>
      <c r="F328" s="2031">
        <v>52.0</v>
      </c>
      <c r="G328" s="2031">
        <v>52.0</v>
      </c>
      <c r="H328" s="2031">
        <v>52.0</v>
      </c>
    </row>
    <row r="329">
      <c r="B329" s="2031">
        <v>327.0</v>
      </c>
      <c r="C329" s="2031">
        <v>40.0</v>
      </c>
      <c r="D329" s="2031">
        <v>79.0</v>
      </c>
      <c r="E329" s="2031">
        <v>52.0</v>
      </c>
      <c r="F329" s="2031">
        <v>52.0</v>
      </c>
      <c r="G329" s="2031">
        <v>52.0</v>
      </c>
      <c r="H329" s="2031">
        <v>52.0</v>
      </c>
    </row>
    <row r="330">
      <c r="B330" s="2031">
        <v>328.0</v>
      </c>
      <c r="C330" s="2031">
        <v>39.0</v>
      </c>
      <c r="D330" s="2031">
        <v>79.0</v>
      </c>
      <c r="E330" s="2031">
        <v>52.0</v>
      </c>
      <c r="F330" s="2031">
        <v>52.0</v>
      </c>
      <c r="G330" s="2031">
        <v>53.0</v>
      </c>
      <c r="H330" s="2031">
        <v>53.0</v>
      </c>
    </row>
    <row r="331">
      <c r="B331" s="2031">
        <v>329.0</v>
      </c>
      <c r="C331" s="2031">
        <v>40.0</v>
      </c>
      <c r="D331" s="2031">
        <v>79.0</v>
      </c>
      <c r="E331" s="2031">
        <v>52.0</v>
      </c>
      <c r="F331" s="2031">
        <v>52.0</v>
      </c>
      <c r="G331" s="2031">
        <v>53.0</v>
      </c>
      <c r="H331" s="2031">
        <v>53.0</v>
      </c>
    </row>
    <row r="332">
      <c r="B332" s="2031">
        <v>330.0</v>
      </c>
      <c r="C332" s="2031">
        <v>39.0</v>
      </c>
      <c r="D332" s="2031">
        <v>79.0</v>
      </c>
      <c r="E332" s="2031">
        <v>53.0</v>
      </c>
      <c r="F332" s="2031">
        <v>53.0</v>
      </c>
      <c r="G332" s="2031">
        <v>53.0</v>
      </c>
      <c r="H332" s="2031">
        <v>53.0</v>
      </c>
    </row>
    <row r="333">
      <c r="B333" s="2031">
        <v>331.0</v>
      </c>
      <c r="C333" s="2031">
        <v>40.0</v>
      </c>
      <c r="D333" s="2031">
        <v>79.0</v>
      </c>
      <c r="E333" s="2031">
        <v>53.0</v>
      </c>
      <c r="F333" s="2031">
        <v>53.0</v>
      </c>
      <c r="G333" s="2031">
        <v>53.0</v>
      </c>
      <c r="H333" s="2031">
        <v>53.0</v>
      </c>
    </row>
    <row r="334">
      <c r="B334" s="2031">
        <v>332.0</v>
      </c>
      <c r="C334" s="2031">
        <v>40.0</v>
      </c>
      <c r="D334" s="2031">
        <v>80.0</v>
      </c>
      <c r="E334" s="2031">
        <v>53.0</v>
      </c>
      <c r="F334" s="2031">
        <v>53.0</v>
      </c>
      <c r="G334" s="2031">
        <v>53.0</v>
      </c>
      <c r="H334" s="2031">
        <v>53.0</v>
      </c>
    </row>
    <row r="335">
      <c r="B335" s="2031">
        <v>333.0</v>
      </c>
      <c r="C335" s="2031">
        <v>40.0</v>
      </c>
      <c r="D335" s="2031">
        <v>79.0</v>
      </c>
      <c r="E335" s="2031">
        <v>53.0</v>
      </c>
      <c r="F335" s="2031">
        <v>53.0</v>
      </c>
      <c r="G335" s="2031">
        <v>54.0</v>
      </c>
      <c r="H335" s="2031">
        <v>54.0</v>
      </c>
    </row>
    <row r="336">
      <c r="B336" s="2031">
        <v>334.0</v>
      </c>
      <c r="C336" s="2031">
        <v>40.0</v>
      </c>
      <c r="D336" s="2031">
        <v>80.0</v>
      </c>
      <c r="E336" s="2031">
        <v>53.0</v>
      </c>
      <c r="F336" s="2031">
        <v>53.0</v>
      </c>
      <c r="G336" s="2031">
        <v>54.0</v>
      </c>
      <c r="H336" s="2031">
        <v>54.0</v>
      </c>
    </row>
    <row r="337">
      <c r="B337" s="2031">
        <v>335.0</v>
      </c>
      <c r="C337" s="2031">
        <v>40.0</v>
      </c>
      <c r="D337" s="2031">
        <v>81.0</v>
      </c>
      <c r="E337" s="2031">
        <v>53.0</v>
      </c>
      <c r="F337" s="2031">
        <v>53.0</v>
      </c>
      <c r="G337" s="2031">
        <v>54.0</v>
      </c>
      <c r="H337" s="2031">
        <v>54.0</v>
      </c>
    </row>
    <row r="338">
      <c r="B338" s="2031">
        <v>336.0</v>
      </c>
      <c r="C338" s="2031">
        <v>40.0</v>
      </c>
      <c r="D338" s="2031">
        <v>80.0</v>
      </c>
      <c r="E338" s="2031">
        <v>54.0</v>
      </c>
      <c r="F338" s="2031">
        <v>54.0</v>
      </c>
      <c r="G338" s="2031">
        <v>54.0</v>
      </c>
      <c r="H338" s="2031">
        <v>54.0</v>
      </c>
    </row>
    <row r="339">
      <c r="B339" s="2031">
        <v>337.0</v>
      </c>
      <c r="C339" s="2031">
        <v>40.0</v>
      </c>
      <c r="D339" s="2031">
        <v>81.0</v>
      </c>
      <c r="E339" s="2031">
        <v>54.0</v>
      </c>
      <c r="F339" s="2031">
        <v>54.0</v>
      </c>
      <c r="G339" s="2031">
        <v>54.0</v>
      </c>
      <c r="H339" s="2031">
        <v>54.0</v>
      </c>
    </row>
    <row r="340">
      <c r="B340" s="2031">
        <v>338.0</v>
      </c>
      <c r="C340" s="2031">
        <v>41.0</v>
      </c>
      <c r="D340" s="2031">
        <v>81.0</v>
      </c>
      <c r="E340" s="2031">
        <v>54.0</v>
      </c>
      <c r="F340" s="2031">
        <v>54.0</v>
      </c>
      <c r="G340" s="2031">
        <v>54.0</v>
      </c>
      <c r="H340" s="2031">
        <v>54.0</v>
      </c>
    </row>
    <row r="341">
      <c r="B341" s="2031">
        <v>339.0</v>
      </c>
      <c r="C341" s="2031">
        <v>41.0</v>
      </c>
      <c r="D341" s="2031">
        <v>82.0</v>
      </c>
      <c r="E341" s="2031">
        <v>54.0</v>
      </c>
      <c r="F341" s="2031">
        <v>54.0</v>
      </c>
      <c r="G341" s="2031">
        <v>54.0</v>
      </c>
      <c r="H341" s="2031">
        <v>54.0</v>
      </c>
    </row>
    <row r="342">
      <c r="B342" s="2031">
        <v>340.0</v>
      </c>
      <c r="C342" s="2031">
        <v>41.0</v>
      </c>
      <c r="D342" s="2031">
        <v>81.0</v>
      </c>
      <c r="E342" s="2031">
        <v>54.0</v>
      </c>
      <c r="F342" s="2031">
        <v>54.0</v>
      </c>
      <c r="G342" s="2031">
        <v>55.0</v>
      </c>
      <c r="H342" s="2031">
        <v>55.0</v>
      </c>
    </row>
    <row r="343">
      <c r="B343" s="2031">
        <v>341.0</v>
      </c>
      <c r="C343" s="2031">
        <v>41.0</v>
      </c>
      <c r="D343" s="2031">
        <v>82.0</v>
      </c>
      <c r="E343" s="2031">
        <v>54.0</v>
      </c>
      <c r="F343" s="2031">
        <v>54.0</v>
      </c>
      <c r="G343" s="2031">
        <v>55.0</v>
      </c>
      <c r="H343" s="2031">
        <v>55.0</v>
      </c>
    </row>
    <row r="344">
      <c r="B344" s="2031">
        <v>342.0</v>
      </c>
      <c r="C344" s="2031">
        <v>41.0</v>
      </c>
      <c r="D344" s="2031">
        <v>83.0</v>
      </c>
      <c r="E344" s="2031">
        <v>54.0</v>
      </c>
      <c r="F344" s="2031">
        <v>54.0</v>
      </c>
      <c r="G344" s="2031">
        <v>55.0</v>
      </c>
      <c r="H344" s="2031">
        <v>55.0</v>
      </c>
    </row>
    <row r="345">
      <c r="B345" s="2031">
        <v>343.0</v>
      </c>
      <c r="C345" s="2031">
        <v>41.0</v>
      </c>
      <c r="D345" s="2031">
        <v>82.0</v>
      </c>
      <c r="E345" s="2031">
        <v>55.0</v>
      </c>
      <c r="F345" s="2031">
        <v>55.0</v>
      </c>
      <c r="G345" s="2031">
        <v>55.0</v>
      </c>
      <c r="H345" s="2031">
        <v>55.0</v>
      </c>
    </row>
    <row r="346">
      <c r="B346" s="2031">
        <v>344.0</v>
      </c>
      <c r="C346" s="2031">
        <v>41.0</v>
      </c>
      <c r="D346" s="2031">
        <v>83.0</v>
      </c>
      <c r="E346" s="2031">
        <v>55.0</v>
      </c>
      <c r="F346" s="2031">
        <v>55.0</v>
      </c>
      <c r="G346" s="2031">
        <v>55.0</v>
      </c>
      <c r="H346" s="2031">
        <v>55.0</v>
      </c>
    </row>
    <row r="347">
      <c r="B347" s="2031">
        <v>345.0</v>
      </c>
      <c r="C347" s="2031">
        <v>42.0</v>
      </c>
      <c r="D347" s="2031">
        <v>83.0</v>
      </c>
      <c r="E347" s="2031">
        <v>55.0</v>
      </c>
      <c r="F347" s="2031">
        <v>55.0</v>
      </c>
      <c r="G347" s="2031">
        <v>55.0</v>
      </c>
      <c r="H347" s="2031">
        <v>55.0</v>
      </c>
    </row>
    <row r="348">
      <c r="B348" s="2031">
        <v>346.0</v>
      </c>
      <c r="C348" s="2031">
        <v>41.0</v>
      </c>
      <c r="D348" s="2031">
        <v>83.0</v>
      </c>
      <c r="E348" s="2031">
        <v>55.0</v>
      </c>
      <c r="F348" s="2031">
        <v>55.0</v>
      </c>
      <c r="G348" s="2031">
        <v>56.0</v>
      </c>
      <c r="H348" s="2031">
        <v>56.0</v>
      </c>
    </row>
    <row r="349">
      <c r="B349" s="2031">
        <v>347.0</v>
      </c>
      <c r="C349" s="2031">
        <v>42.0</v>
      </c>
      <c r="D349" s="2031">
        <v>83.0</v>
      </c>
      <c r="E349" s="2031">
        <v>55.0</v>
      </c>
      <c r="F349" s="2031">
        <v>55.0</v>
      </c>
      <c r="G349" s="2031">
        <v>56.0</v>
      </c>
      <c r="H349" s="2031">
        <v>56.0</v>
      </c>
    </row>
    <row r="350">
      <c r="B350" s="2031">
        <v>348.0</v>
      </c>
      <c r="C350" s="2031">
        <v>41.0</v>
      </c>
      <c r="D350" s="2031">
        <v>83.0</v>
      </c>
      <c r="E350" s="2031">
        <v>56.0</v>
      </c>
      <c r="F350" s="2031">
        <v>56.0</v>
      </c>
      <c r="G350" s="2031">
        <v>56.0</v>
      </c>
      <c r="H350" s="2031">
        <v>56.0</v>
      </c>
    </row>
    <row r="351">
      <c r="B351" s="2031">
        <v>349.0</v>
      </c>
      <c r="C351" s="2031">
        <v>42.0</v>
      </c>
      <c r="D351" s="2031">
        <v>83.0</v>
      </c>
      <c r="E351" s="2031">
        <v>56.0</v>
      </c>
      <c r="F351" s="2031">
        <v>56.0</v>
      </c>
      <c r="G351" s="2031">
        <v>56.0</v>
      </c>
      <c r="H351" s="2031">
        <v>56.0</v>
      </c>
    </row>
    <row r="352">
      <c r="B352" s="2031">
        <v>350.0</v>
      </c>
      <c r="C352" s="2031">
        <v>42.0</v>
      </c>
      <c r="D352" s="2031">
        <v>84.0</v>
      </c>
      <c r="E352" s="2031">
        <v>56.0</v>
      </c>
      <c r="F352" s="2031">
        <v>56.0</v>
      </c>
      <c r="G352" s="2031">
        <v>56.0</v>
      </c>
      <c r="H352" s="2031">
        <v>56.0</v>
      </c>
    </row>
    <row r="353">
      <c r="B353" s="2031">
        <v>351.0</v>
      </c>
      <c r="C353" s="2031">
        <v>42.0</v>
      </c>
      <c r="D353" s="2031">
        <v>85.0</v>
      </c>
      <c r="E353" s="2031">
        <v>56.0</v>
      </c>
      <c r="F353" s="2031">
        <v>56.0</v>
      </c>
      <c r="G353" s="2031">
        <v>56.0</v>
      </c>
      <c r="H353" s="2031">
        <v>56.0</v>
      </c>
    </row>
    <row r="354">
      <c r="B354" s="2031">
        <v>352.0</v>
      </c>
      <c r="C354" s="2031">
        <v>43.0</v>
      </c>
      <c r="D354" s="2031">
        <v>85.0</v>
      </c>
      <c r="E354" s="2031">
        <v>56.0</v>
      </c>
      <c r="F354" s="2031">
        <v>56.0</v>
      </c>
      <c r="G354" s="2031">
        <v>56.0</v>
      </c>
      <c r="H354" s="2031">
        <v>56.0</v>
      </c>
    </row>
    <row r="355">
      <c r="B355" s="2031">
        <v>353.0</v>
      </c>
      <c r="C355" s="2031">
        <v>42.0</v>
      </c>
      <c r="D355" s="2031">
        <v>85.0</v>
      </c>
      <c r="E355" s="2031">
        <v>56.0</v>
      </c>
      <c r="F355" s="2031">
        <v>56.0</v>
      </c>
      <c r="G355" s="2031">
        <v>57.0</v>
      </c>
      <c r="H355" s="2031">
        <v>57.0</v>
      </c>
    </row>
    <row r="356">
      <c r="B356" s="2031">
        <v>354.0</v>
      </c>
      <c r="C356" s="2031">
        <v>43.0</v>
      </c>
      <c r="D356" s="2031">
        <v>85.0</v>
      </c>
      <c r="E356" s="2031">
        <v>56.0</v>
      </c>
      <c r="F356" s="2031">
        <v>56.0</v>
      </c>
      <c r="G356" s="2031">
        <v>57.0</v>
      </c>
      <c r="H356" s="2031">
        <v>57.0</v>
      </c>
    </row>
    <row r="357">
      <c r="B357" s="2031">
        <v>355.0</v>
      </c>
      <c r="C357" s="2031">
        <v>42.0</v>
      </c>
      <c r="D357" s="2031">
        <v>85.0</v>
      </c>
      <c r="E357" s="2031">
        <v>57.0</v>
      </c>
      <c r="F357" s="2031">
        <v>57.0</v>
      </c>
      <c r="G357" s="2031">
        <v>57.0</v>
      </c>
      <c r="H357" s="2031">
        <v>57.0</v>
      </c>
    </row>
    <row r="358">
      <c r="B358" s="2031">
        <v>356.0</v>
      </c>
      <c r="C358" s="2031">
        <v>43.0</v>
      </c>
      <c r="D358" s="2031">
        <v>85.0</v>
      </c>
      <c r="E358" s="2031">
        <v>57.0</v>
      </c>
      <c r="F358" s="2031">
        <v>57.0</v>
      </c>
      <c r="G358" s="2031">
        <v>57.0</v>
      </c>
      <c r="H358" s="2031">
        <v>57.0</v>
      </c>
    </row>
    <row r="359">
      <c r="B359" s="2031">
        <v>357.0</v>
      </c>
      <c r="C359" s="2031">
        <v>43.0</v>
      </c>
      <c r="D359" s="2031">
        <v>86.0</v>
      </c>
      <c r="E359" s="2031">
        <v>57.0</v>
      </c>
      <c r="F359" s="2031">
        <v>57.0</v>
      </c>
      <c r="G359" s="2031">
        <v>57.0</v>
      </c>
      <c r="H359" s="2031">
        <v>57.0</v>
      </c>
    </row>
    <row r="360">
      <c r="B360" s="2031">
        <v>358.0</v>
      </c>
      <c r="C360" s="2031">
        <v>43.0</v>
      </c>
      <c r="D360" s="2031">
        <v>85.0</v>
      </c>
      <c r="E360" s="2031">
        <v>57.0</v>
      </c>
      <c r="F360" s="2031">
        <v>57.0</v>
      </c>
      <c r="G360" s="2031">
        <v>58.0</v>
      </c>
      <c r="H360" s="2031">
        <v>58.0</v>
      </c>
    </row>
    <row r="361">
      <c r="B361" s="2031">
        <v>359.0</v>
      </c>
      <c r="C361" s="2031">
        <v>43.0</v>
      </c>
      <c r="D361" s="2031">
        <v>86.0</v>
      </c>
      <c r="E361" s="2031">
        <v>57.0</v>
      </c>
      <c r="F361" s="2031">
        <v>57.0</v>
      </c>
      <c r="G361" s="2031">
        <v>58.0</v>
      </c>
      <c r="H361" s="2031">
        <v>58.0</v>
      </c>
    </row>
    <row r="362">
      <c r="B362" s="2031">
        <v>360.0</v>
      </c>
      <c r="C362" s="2031">
        <v>43.0</v>
      </c>
      <c r="D362" s="2031">
        <v>87.0</v>
      </c>
      <c r="E362" s="2031">
        <v>57.0</v>
      </c>
      <c r="F362" s="2031">
        <v>57.0</v>
      </c>
      <c r="G362" s="2031">
        <v>58.0</v>
      </c>
      <c r="H362" s="2031">
        <v>58.0</v>
      </c>
    </row>
    <row r="363">
      <c r="B363" s="2031">
        <v>361.0</v>
      </c>
      <c r="C363" s="2031">
        <v>43.0</v>
      </c>
      <c r="D363" s="2031">
        <v>86.0</v>
      </c>
      <c r="E363" s="2031">
        <v>58.0</v>
      </c>
      <c r="F363" s="2031">
        <v>58.0</v>
      </c>
      <c r="G363" s="2031">
        <v>58.0</v>
      </c>
      <c r="H363" s="2031">
        <v>58.0</v>
      </c>
    </row>
    <row r="364">
      <c r="B364" s="2031">
        <v>362.0</v>
      </c>
      <c r="C364" s="2031">
        <v>43.0</v>
      </c>
      <c r="D364" s="2031">
        <v>87.0</v>
      </c>
      <c r="E364" s="2031">
        <v>58.0</v>
      </c>
      <c r="F364" s="2031">
        <v>58.0</v>
      </c>
      <c r="G364" s="2031">
        <v>58.0</v>
      </c>
      <c r="H364" s="2031">
        <v>58.0</v>
      </c>
    </row>
    <row r="365">
      <c r="B365" s="2031">
        <v>363.0</v>
      </c>
      <c r="C365" s="2031">
        <v>44.0</v>
      </c>
      <c r="D365" s="2031">
        <v>87.0</v>
      </c>
      <c r="E365" s="2031">
        <v>58.0</v>
      </c>
      <c r="F365" s="2031">
        <v>58.0</v>
      </c>
      <c r="G365" s="2031">
        <v>58.0</v>
      </c>
      <c r="H365" s="2031">
        <v>58.0</v>
      </c>
    </row>
    <row r="366">
      <c r="B366" s="2031">
        <v>364.0</v>
      </c>
      <c r="C366" s="2031">
        <v>44.0</v>
      </c>
      <c r="D366" s="2031">
        <v>88.0</v>
      </c>
      <c r="E366" s="2031">
        <v>58.0</v>
      </c>
      <c r="F366" s="2031">
        <v>58.0</v>
      </c>
      <c r="G366" s="2031">
        <v>58.0</v>
      </c>
      <c r="H366" s="2031">
        <v>58.0</v>
      </c>
    </row>
    <row r="367">
      <c r="B367" s="2031">
        <v>365.0</v>
      </c>
      <c r="C367" s="2031">
        <v>44.0</v>
      </c>
      <c r="D367" s="2031">
        <v>87.0</v>
      </c>
      <c r="E367" s="2031">
        <v>58.0</v>
      </c>
      <c r="F367" s="2031">
        <v>58.0</v>
      </c>
      <c r="G367" s="2031">
        <v>59.0</v>
      </c>
      <c r="H367" s="2031">
        <v>59.0</v>
      </c>
    </row>
    <row r="368">
      <c r="B368" s="2031">
        <v>366.0</v>
      </c>
      <c r="C368" s="2031">
        <v>44.0</v>
      </c>
      <c r="D368" s="2031">
        <v>88.0</v>
      </c>
      <c r="E368" s="2031">
        <v>58.0</v>
      </c>
      <c r="F368" s="2031">
        <v>58.0</v>
      </c>
      <c r="G368" s="2031">
        <v>59.0</v>
      </c>
      <c r="H368" s="2031">
        <v>59.0</v>
      </c>
    </row>
    <row r="369">
      <c r="B369" s="2031">
        <v>367.0</v>
      </c>
      <c r="C369" s="2031">
        <v>44.0</v>
      </c>
      <c r="D369" s="2031">
        <v>89.0</v>
      </c>
      <c r="E369" s="2031">
        <v>58.0</v>
      </c>
      <c r="F369" s="2031">
        <v>58.0</v>
      </c>
      <c r="G369" s="2031">
        <v>59.0</v>
      </c>
      <c r="H369" s="2031">
        <v>59.0</v>
      </c>
    </row>
    <row r="370">
      <c r="B370" s="2031">
        <v>368.0</v>
      </c>
      <c r="C370" s="2031">
        <v>44.0</v>
      </c>
      <c r="D370" s="2031">
        <v>88.0</v>
      </c>
      <c r="E370" s="2031">
        <v>59.0</v>
      </c>
      <c r="F370" s="2031">
        <v>59.0</v>
      </c>
      <c r="G370" s="2031">
        <v>59.0</v>
      </c>
      <c r="H370" s="2031">
        <v>59.0</v>
      </c>
    </row>
    <row r="371">
      <c r="B371" s="2031">
        <v>369.0</v>
      </c>
      <c r="C371" s="2031">
        <v>44.0</v>
      </c>
      <c r="D371" s="2031">
        <v>89.0</v>
      </c>
      <c r="E371" s="2031">
        <v>59.0</v>
      </c>
      <c r="F371" s="2031">
        <v>59.0</v>
      </c>
      <c r="G371" s="2031">
        <v>59.0</v>
      </c>
      <c r="H371" s="2031">
        <v>59.0</v>
      </c>
    </row>
    <row r="372">
      <c r="B372" s="2031">
        <v>370.0</v>
      </c>
      <c r="C372" s="2031">
        <v>45.0</v>
      </c>
      <c r="D372" s="2031">
        <v>89.0</v>
      </c>
      <c r="E372" s="2031">
        <v>59.0</v>
      </c>
      <c r="F372" s="2031">
        <v>59.0</v>
      </c>
      <c r="G372" s="2031">
        <v>59.0</v>
      </c>
      <c r="H372" s="2031">
        <v>59.0</v>
      </c>
    </row>
    <row r="373">
      <c r="B373" s="2031">
        <v>371.0</v>
      </c>
      <c r="C373" s="2031">
        <v>44.0</v>
      </c>
      <c r="D373" s="2031">
        <v>89.0</v>
      </c>
      <c r="E373" s="2031">
        <v>59.0</v>
      </c>
      <c r="F373" s="2031">
        <v>59.0</v>
      </c>
      <c r="G373" s="2031">
        <v>60.0</v>
      </c>
      <c r="H373" s="2031">
        <v>60.0</v>
      </c>
    </row>
    <row r="374">
      <c r="B374" s="2031">
        <v>372.0</v>
      </c>
      <c r="C374" s="2031">
        <v>45.0</v>
      </c>
      <c r="D374" s="2031">
        <v>89.0</v>
      </c>
      <c r="E374" s="2031">
        <v>59.0</v>
      </c>
      <c r="F374" s="2031">
        <v>59.0</v>
      </c>
      <c r="G374" s="2031">
        <v>60.0</v>
      </c>
      <c r="H374" s="2031">
        <v>60.0</v>
      </c>
    </row>
    <row r="375">
      <c r="B375" s="2031">
        <v>373.0</v>
      </c>
      <c r="C375" s="2031">
        <v>44.0</v>
      </c>
      <c r="D375" s="2031">
        <v>89.0</v>
      </c>
      <c r="E375" s="2031">
        <v>60.0</v>
      </c>
      <c r="F375" s="2031">
        <v>60.0</v>
      </c>
      <c r="G375" s="2031">
        <v>60.0</v>
      </c>
      <c r="H375" s="2031">
        <v>60.0</v>
      </c>
    </row>
    <row r="376">
      <c r="B376" s="2031">
        <v>374.0</v>
      </c>
      <c r="C376" s="2031">
        <v>45.0</v>
      </c>
      <c r="D376" s="2031">
        <v>89.0</v>
      </c>
      <c r="E376" s="2031">
        <v>60.0</v>
      </c>
      <c r="F376" s="2031">
        <v>60.0</v>
      </c>
      <c r="G376" s="2031">
        <v>60.0</v>
      </c>
      <c r="H376" s="2031">
        <v>60.0</v>
      </c>
    </row>
    <row r="377">
      <c r="B377" s="2031">
        <v>375.0</v>
      </c>
      <c r="C377" s="2031">
        <v>45.0</v>
      </c>
      <c r="D377" s="2031">
        <v>90.0</v>
      </c>
      <c r="E377" s="2031">
        <v>60.0</v>
      </c>
      <c r="F377" s="2031">
        <v>60.0</v>
      </c>
      <c r="G377" s="2031">
        <v>60.0</v>
      </c>
      <c r="H377" s="2031">
        <v>60.0</v>
      </c>
    </row>
    <row r="378">
      <c r="B378" s="2031">
        <v>376.0</v>
      </c>
      <c r="C378" s="2031">
        <v>45.0</v>
      </c>
      <c r="D378" s="2031">
        <v>91.0</v>
      </c>
      <c r="E378" s="2031">
        <v>60.0</v>
      </c>
      <c r="F378" s="2031">
        <v>60.0</v>
      </c>
      <c r="G378" s="2031">
        <v>60.0</v>
      </c>
      <c r="H378" s="2031">
        <v>60.0</v>
      </c>
    </row>
    <row r="379">
      <c r="B379" s="2031">
        <v>377.0</v>
      </c>
      <c r="C379" s="2031">
        <v>46.0</v>
      </c>
      <c r="D379" s="2031">
        <v>91.0</v>
      </c>
      <c r="E379" s="2031">
        <v>60.0</v>
      </c>
      <c r="F379" s="2031">
        <v>60.0</v>
      </c>
      <c r="G379" s="2031">
        <v>60.0</v>
      </c>
      <c r="H379" s="2031">
        <v>60.0</v>
      </c>
    </row>
    <row r="380">
      <c r="B380" s="2031">
        <v>378.0</v>
      </c>
      <c r="C380" s="2031">
        <v>45.0</v>
      </c>
      <c r="D380" s="2031">
        <v>91.0</v>
      </c>
      <c r="E380" s="2031">
        <v>60.0</v>
      </c>
      <c r="F380" s="2031">
        <v>60.0</v>
      </c>
      <c r="G380" s="2031">
        <v>61.0</v>
      </c>
      <c r="H380" s="2031">
        <v>61.0</v>
      </c>
    </row>
    <row r="381">
      <c r="B381" s="2031">
        <v>379.0</v>
      </c>
      <c r="C381" s="2031">
        <v>46.0</v>
      </c>
      <c r="D381" s="2031">
        <v>91.0</v>
      </c>
      <c r="E381" s="2031">
        <v>60.0</v>
      </c>
      <c r="F381" s="2031">
        <v>60.0</v>
      </c>
      <c r="G381" s="2031">
        <v>61.0</v>
      </c>
      <c r="H381" s="2031">
        <v>61.0</v>
      </c>
    </row>
    <row r="382">
      <c r="B382" s="2031">
        <v>380.0</v>
      </c>
      <c r="C382" s="2031">
        <v>45.0</v>
      </c>
      <c r="D382" s="2031">
        <v>91.0</v>
      </c>
      <c r="E382" s="2031">
        <v>61.0</v>
      </c>
      <c r="F382" s="2031">
        <v>61.0</v>
      </c>
      <c r="G382" s="2031">
        <v>61.0</v>
      </c>
      <c r="H382" s="2031">
        <v>61.0</v>
      </c>
    </row>
    <row r="383">
      <c r="B383" s="2031">
        <v>381.0</v>
      </c>
      <c r="C383" s="2031">
        <v>46.0</v>
      </c>
      <c r="D383" s="2031">
        <v>91.0</v>
      </c>
      <c r="E383" s="2031">
        <v>61.0</v>
      </c>
      <c r="F383" s="2031">
        <v>61.0</v>
      </c>
      <c r="G383" s="2031">
        <v>61.0</v>
      </c>
      <c r="H383" s="2031">
        <v>61.0</v>
      </c>
    </row>
    <row r="384">
      <c r="B384" s="2031">
        <v>382.0</v>
      </c>
      <c r="C384" s="2031">
        <v>46.0</v>
      </c>
      <c r="D384" s="2031">
        <v>92.0</v>
      </c>
      <c r="E384" s="2031">
        <v>61.0</v>
      </c>
      <c r="F384" s="2031">
        <v>61.0</v>
      </c>
      <c r="G384" s="2031">
        <v>61.0</v>
      </c>
      <c r="H384" s="2031">
        <v>61.0</v>
      </c>
    </row>
    <row r="385">
      <c r="B385" s="2031">
        <v>383.0</v>
      </c>
      <c r="C385" s="2031">
        <v>46.0</v>
      </c>
      <c r="D385" s="2031">
        <v>91.0</v>
      </c>
      <c r="E385" s="2031">
        <v>61.0</v>
      </c>
      <c r="F385" s="2031">
        <v>61.0</v>
      </c>
      <c r="G385" s="2031">
        <v>62.0</v>
      </c>
      <c r="H385" s="2031">
        <v>62.0</v>
      </c>
    </row>
    <row r="386">
      <c r="B386" s="2031">
        <v>384.0</v>
      </c>
      <c r="C386" s="2031">
        <v>46.0</v>
      </c>
      <c r="D386" s="2031">
        <v>92.0</v>
      </c>
      <c r="E386" s="2031">
        <v>61.0</v>
      </c>
      <c r="F386" s="2031">
        <v>61.0</v>
      </c>
      <c r="G386" s="2031">
        <v>62.0</v>
      </c>
      <c r="H386" s="2031">
        <v>62.0</v>
      </c>
    </row>
    <row r="387">
      <c r="B387" s="2031">
        <v>385.0</v>
      </c>
      <c r="C387" s="2031">
        <v>46.0</v>
      </c>
      <c r="D387" s="2031">
        <v>93.0</v>
      </c>
      <c r="E387" s="2031">
        <v>61.0</v>
      </c>
      <c r="F387" s="2031">
        <v>61.0</v>
      </c>
      <c r="G387" s="2031">
        <v>62.0</v>
      </c>
      <c r="H387" s="2031">
        <v>62.0</v>
      </c>
    </row>
    <row r="388">
      <c r="B388" s="2031">
        <v>386.0</v>
      </c>
      <c r="C388" s="2031">
        <v>46.0</v>
      </c>
      <c r="D388" s="2031">
        <v>92.0</v>
      </c>
      <c r="E388" s="2031">
        <v>62.0</v>
      </c>
      <c r="F388" s="2031">
        <v>62.0</v>
      </c>
      <c r="G388" s="2031">
        <v>62.0</v>
      </c>
      <c r="H388" s="2031">
        <v>62.0</v>
      </c>
    </row>
    <row r="389">
      <c r="B389" s="2031">
        <v>387.0</v>
      </c>
      <c r="C389" s="2031">
        <v>46.0</v>
      </c>
      <c r="D389" s="2031">
        <v>93.0</v>
      </c>
      <c r="E389" s="2031">
        <v>62.0</v>
      </c>
      <c r="F389" s="2031">
        <v>62.0</v>
      </c>
      <c r="G389" s="2031">
        <v>62.0</v>
      </c>
      <c r="H389" s="2031">
        <v>62.0</v>
      </c>
    </row>
    <row r="390">
      <c r="B390" s="2031">
        <v>388.0</v>
      </c>
      <c r="C390" s="2031">
        <v>47.0</v>
      </c>
      <c r="D390" s="2031">
        <v>93.0</v>
      </c>
      <c r="E390" s="2031">
        <v>62.0</v>
      </c>
      <c r="F390" s="2031">
        <v>62.0</v>
      </c>
      <c r="G390" s="2031">
        <v>62.0</v>
      </c>
      <c r="H390" s="2031">
        <v>62.0</v>
      </c>
    </row>
    <row r="391">
      <c r="B391" s="2031">
        <v>389.0</v>
      </c>
      <c r="C391" s="2031">
        <v>47.0</v>
      </c>
      <c r="D391" s="2031">
        <v>94.0</v>
      </c>
      <c r="E391" s="2031">
        <v>62.0</v>
      </c>
      <c r="F391" s="2031">
        <v>62.0</v>
      </c>
      <c r="G391" s="2031">
        <v>62.0</v>
      </c>
      <c r="H391" s="2031">
        <v>62.0</v>
      </c>
    </row>
    <row r="392">
      <c r="B392" s="2031">
        <v>390.0</v>
      </c>
      <c r="C392" s="2031">
        <v>47.0</v>
      </c>
      <c r="D392" s="2031">
        <v>93.0</v>
      </c>
      <c r="E392" s="2031">
        <v>62.0</v>
      </c>
      <c r="F392" s="2031">
        <v>62.0</v>
      </c>
      <c r="G392" s="2031">
        <v>63.0</v>
      </c>
      <c r="H392" s="2031">
        <v>63.0</v>
      </c>
    </row>
    <row r="393">
      <c r="B393" s="2031">
        <v>391.0</v>
      </c>
      <c r="C393" s="2031">
        <v>47.0</v>
      </c>
      <c r="D393" s="2031">
        <v>94.0</v>
      </c>
      <c r="E393" s="2031">
        <v>62.0</v>
      </c>
      <c r="F393" s="2031">
        <v>62.0</v>
      </c>
      <c r="G393" s="2031">
        <v>63.0</v>
      </c>
      <c r="H393" s="2031">
        <v>63.0</v>
      </c>
    </row>
    <row r="394">
      <c r="B394" s="2031">
        <v>392.0</v>
      </c>
      <c r="C394" s="2031">
        <v>47.0</v>
      </c>
      <c r="D394" s="2031">
        <v>95.0</v>
      </c>
      <c r="E394" s="2031">
        <v>62.0</v>
      </c>
      <c r="F394" s="2031">
        <v>62.0</v>
      </c>
      <c r="G394" s="2031">
        <v>63.0</v>
      </c>
      <c r="H394" s="2031">
        <v>63.0</v>
      </c>
    </row>
    <row r="395">
      <c r="B395" s="2031">
        <v>393.0</v>
      </c>
      <c r="C395" s="2031">
        <v>47.0</v>
      </c>
      <c r="D395" s="2031">
        <v>94.0</v>
      </c>
      <c r="E395" s="2031">
        <v>63.0</v>
      </c>
      <c r="F395" s="2031">
        <v>63.0</v>
      </c>
      <c r="G395" s="2031">
        <v>63.0</v>
      </c>
      <c r="H395" s="2031">
        <v>63.0</v>
      </c>
    </row>
    <row r="396">
      <c r="B396" s="2031">
        <v>394.0</v>
      </c>
      <c r="C396" s="2031">
        <v>47.0</v>
      </c>
      <c r="D396" s="2031">
        <v>95.0</v>
      </c>
      <c r="E396" s="2031">
        <v>63.0</v>
      </c>
      <c r="F396" s="2031">
        <v>63.0</v>
      </c>
      <c r="G396" s="2031">
        <v>63.0</v>
      </c>
      <c r="H396" s="2031">
        <v>63.0</v>
      </c>
    </row>
    <row r="397">
      <c r="B397" s="2031">
        <v>395.0</v>
      </c>
      <c r="C397" s="2031">
        <v>48.0</v>
      </c>
      <c r="D397" s="2031">
        <v>95.0</v>
      </c>
      <c r="E397" s="2031">
        <v>63.0</v>
      </c>
      <c r="F397" s="2031">
        <v>63.0</v>
      </c>
      <c r="G397" s="2031">
        <v>63.0</v>
      </c>
      <c r="H397" s="2031">
        <v>63.0</v>
      </c>
    </row>
    <row r="398">
      <c r="B398" s="2031">
        <v>396.0</v>
      </c>
      <c r="C398" s="2031">
        <v>47.0</v>
      </c>
      <c r="D398" s="2031">
        <v>95.0</v>
      </c>
      <c r="E398" s="2031">
        <v>63.0</v>
      </c>
      <c r="F398" s="2031">
        <v>63.0</v>
      </c>
      <c r="G398" s="2031">
        <v>64.0</v>
      </c>
      <c r="H398" s="2031">
        <v>64.0</v>
      </c>
    </row>
    <row r="399">
      <c r="B399" s="2031">
        <v>397.0</v>
      </c>
      <c r="C399" s="2031">
        <v>48.0</v>
      </c>
      <c r="D399" s="2031">
        <v>95.0</v>
      </c>
      <c r="E399" s="2031">
        <v>63.0</v>
      </c>
      <c r="F399" s="2031">
        <v>63.0</v>
      </c>
      <c r="G399" s="2031">
        <v>64.0</v>
      </c>
      <c r="H399" s="2031">
        <v>64.0</v>
      </c>
    </row>
    <row r="400">
      <c r="B400" s="2031">
        <v>398.0</v>
      </c>
      <c r="C400" s="2031">
        <v>47.0</v>
      </c>
      <c r="D400" s="2031">
        <v>95.0</v>
      </c>
      <c r="E400" s="2031">
        <v>64.0</v>
      </c>
      <c r="F400" s="2031">
        <v>64.0</v>
      </c>
      <c r="G400" s="2031">
        <v>64.0</v>
      </c>
      <c r="H400" s="2031">
        <v>64.0</v>
      </c>
    </row>
    <row r="401">
      <c r="B401" s="2031">
        <v>399.0</v>
      </c>
      <c r="C401" s="2031">
        <v>48.0</v>
      </c>
      <c r="D401" s="2031">
        <v>95.0</v>
      </c>
      <c r="E401" s="2031">
        <v>64.0</v>
      </c>
      <c r="F401" s="2031">
        <v>64.0</v>
      </c>
      <c r="G401" s="2031">
        <v>64.0</v>
      </c>
      <c r="H401" s="2031">
        <v>64.0</v>
      </c>
    </row>
    <row r="402">
      <c r="B402" s="2031">
        <v>400.0</v>
      </c>
      <c r="C402" s="2031">
        <v>48.0</v>
      </c>
      <c r="D402" s="2031">
        <v>96.0</v>
      </c>
      <c r="E402" s="2031">
        <v>64.0</v>
      </c>
      <c r="F402" s="2031">
        <v>64.0</v>
      </c>
      <c r="G402" s="2031">
        <v>64.0</v>
      </c>
      <c r="H402" s="2031">
        <v>64.0</v>
      </c>
    </row>
    <row r="403">
      <c r="B403" s="2031">
        <v>401.0</v>
      </c>
      <c r="C403" s="2031">
        <v>48.0</v>
      </c>
      <c r="D403" s="2031">
        <v>97.0</v>
      </c>
      <c r="E403" s="2031">
        <v>64.0</v>
      </c>
      <c r="F403" s="2031">
        <v>64.0</v>
      </c>
      <c r="G403" s="2031">
        <v>64.0</v>
      </c>
      <c r="H403" s="2031">
        <v>64.0</v>
      </c>
    </row>
    <row r="404">
      <c r="B404" s="2031">
        <v>402.0</v>
      </c>
      <c r="C404" s="2031">
        <v>49.0</v>
      </c>
      <c r="D404" s="2031">
        <v>97.0</v>
      </c>
      <c r="E404" s="2031">
        <v>64.0</v>
      </c>
      <c r="F404" s="2031">
        <v>64.0</v>
      </c>
      <c r="G404" s="2031">
        <v>64.0</v>
      </c>
      <c r="H404" s="2031">
        <v>64.0</v>
      </c>
    </row>
    <row r="405">
      <c r="B405" s="2031">
        <v>403.0</v>
      </c>
      <c r="C405" s="2031">
        <v>48.0</v>
      </c>
      <c r="D405" s="2031">
        <v>97.0</v>
      </c>
      <c r="E405" s="2031">
        <v>64.0</v>
      </c>
      <c r="F405" s="2031">
        <v>64.0</v>
      </c>
      <c r="G405" s="2031">
        <v>65.0</v>
      </c>
      <c r="H405" s="2031">
        <v>65.0</v>
      </c>
    </row>
    <row r="406">
      <c r="B406" s="2031">
        <v>404.0</v>
      </c>
      <c r="C406" s="2031">
        <v>49.0</v>
      </c>
      <c r="D406" s="2031">
        <v>97.0</v>
      </c>
      <c r="E406" s="2031">
        <v>64.0</v>
      </c>
      <c r="F406" s="2031">
        <v>64.0</v>
      </c>
      <c r="G406" s="2031">
        <v>65.0</v>
      </c>
      <c r="H406" s="2031">
        <v>65.0</v>
      </c>
    </row>
    <row r="407">
      <c r="B407" s="2031">
        <v>405.0</v>
      </c>
      <c r="C407" s="2031">
        <v>48.0</v>
      </c>
      <c r="D407" s="2031">
        <v>97.0</v>
      </c>
      <c r="E407" s="2031">
        <v>65.0</v>
      </c>
      <c r="F407" s="2031">
        <v>65.0</v>
      </c>
      <c r="G407" s="2031">
        <v>65.0</v>
      </c>
      <c r="H407" s="2031">
        <v>65.0</v>
      </c>
    </row>
    <row r="408">
      <c r="B408" s="2031">
        <v>406.0</v>
      </c>
      <c r="C408" s="2031">
        <v>49.0</v>
      </c>
      <c r="D408" s="2031">
        <v>97.0</v>
      </c>
      <c r="E408" s="2031">
        <v>65.0</v>
      </c>
      <c r="F408" s="2031">
        <v>65.0</v>
      </c>
      <c r="G408" s="2031">
        <v>65.0</v>
      </c>
      <c r="H408" s="2031">
        <v>65.0</v>
      </c>
    </row>
    <row r="409">
      <c r="B409" s="2031">
        <v>407.0</v>
      </c>
      <c r="C409" s="2031">
        <v>49.0</v>
      </c>
      <c r="D409" s="2031">
        <v>98.0</v>
      </c>
      <c r="E409" s="2031">
        <v>65.0</v>
      </c>
      <c r="F409" s="2031">
        <v>65.0</v>
      </c>
      <c r="G409" s="2031">
        <v>65.0</v>
      </c>
      <c r="H409" s="2031">
        <v>65.0</v>
      </c>
    </row>
    <row r="410">
      <c r="B410" s="2031">
        <v>408.0</v>
      </c>
      <c r="C410" s="2031">
        <v>49.0</v>
      </c>
      <c r="D410" s="2031">
        <v>97.0</v>
      </c>
      <c r="E410" s="2031">
        <v>65.0</v>
      </c>
      <c r="F410" s="2031">
        <v>65.0</v>
      </c>
      <c r="G410" s="2031">
        <v>66.0</v>
      </c>
      <c r="H410" s="2031">
        <v>66.0</v>
      </c>
    </row>
    <row r="411">
      <c r="B411" s="2031">
        <v>409.0</v>
      </c>
      <c r="C411" s="2031">
        <v>49.0</v>
      </c>
      <c r="D411" s="2031">
        <v>98.0</v>
      </c>
      <c r="E411" s="2031">
        <v>65.0</v>
      </c>
      <c r="F411" s="2031">
        <v>65.0</v>
      </c>
      <c r="G411" s="2031">
        <v>66.0</v>
      </c>
      <c r="H411" s="2031">
        <v>66.0</v>
      </c>
    </row>
    <row r="412">
      <c r="B412" s="2031">
        <v>410.0</v>
      </c>
      <c r="C412" s="2031">
        <v>49.0</v>
      </c>
      <c r="D412" s="2031">
        <v>99.0</v>
      </c>
      <c r="E412" s="2031">
        <v>65.0</v>
      </c>
      <c r="F412" s="2031">
        <v>65.0</v>
      </c>
      <c r="G412" s="2031">
        <v>66.0</v>
      </c>
      <c r="H412" s="2031">
        <v>66.0</v>
      </c>
    </row>
    <row r="413">
      <c r="B413" s="2031">
        <v>411.0</v>
      </c>
      <c r="C413" s="2031">
        <v>49.0</v>
      </c>
      <c r="D413" s="2031">
        <v>98.0</v>
      </c>
      <c r="E413" s="2031">
        <v>66.0</v>
      </c>
      <c r="F413" s="2031">
        <v>66.0</v>
      </c>
      <c r="G413" s="2031">
        <v>66.0</v>
      </c>
      <c r="H413" s="2031">
        <v>66.0</v>
      </c>
    </row>
    <row r="414">
      <c r="B414" s="2031">
        <v>412.0</v>
      </c>
      <c r="C414" s="2031">
        <v>49.0</v>
      </c>
      <c r="D414" s="2031">
        <v>99.0</v>
      </c>
      <c r="E414" s="2031">
        <v>66.0</v>
      </c>
      <c r="F414" s="2031">
        <v>66.0</v>
      </c>
      <c r="G414" s="2031">
        <v>66.0</v>
      </c>
      <c r="H414" s="2031">
        <v>66.0</v>
      </c>
    </row>
    <row r="415">
      <c r="B415" s="2031">
        <v>413.0</v>
      </c>
      <c r="C415" s="2031">
        <v>50.0</v>
      </c>
      <c r="D415" s="2031">
        <v>99.0</v>
      </c>
      <c r="E415" s="2031">
        <v>66.0</v>
      </c>
      <c r="F415" s="2031">
        <v>66.0</v>
      </c>
      <c r="G415" s="2031">
        <v>66.0</v>
      </c>
      <c r="H415" s="2031">
        <v>66.0</v>
      </c>
    </row>
    <row r="416">
      <c r="B416" s="2031">
        <v>414.0</v>
      </c>
      <c r="C416" s="2031">
        <v>50.0</v>
      </c>
      <c r="D416" s="2031">
        <v>100.0</v>
      </c>
      <c r="E416" s="2031">
        <v>66.0</v>
      </c>
      <c r="F416" s="2031">
        <v>66.0</v>
      </c>
      <c r="G416" s="2031">
        <v>66.0</v>
      </c>
      <c r="H416" s="2031">
        <v>66.0</v>
      </c>
    </row>
    <row r="417">
      <c r="B417" s="2031">
        <v>415.0</v>
      </c>
      <c r="C417" s="2031">
        <v>50.0</v>
      </c>
      <c r="D417" s="2031">
        <v>99.0</v>
      </c>
      <c r="E417" s="2031">
        <v>66.0</v>
      </c>
      <c r="F417" s="2031">
        <v>66.0</v>
      </c>
      <c r="G417" s="2031">
        <v>67.0</v>
      </c>
      <c r="H417" s="2031">
        <v>67.0</v>
      </c>
    </row>
    <row r="418">
      <c r="B418" s="2031">
        <v>416.0</v>
      </c>
      <c r="C418" s="2031">
        <v>50.0</v>
      </c>
      <c r="D418" s="2031">
        <v>100.0</v>
      </c>
      <c r="E418" s="2031">
        <v>66.0</v>
      </c>
      <c r="F418" s="2031">
        <v>66.0</v>
      </c>
      <c r="G418" s="2031">
        <v>67.0</v>
      </c>
      <c r="H418" s="2031">
        <v>67.0</v>
      </c>
    </row>
    <row r="419">
      <c r="B419" s="2031">
        <v>417.0</v>
      </c>
      <c r="C419" s="2031">
        <v>50.0</v>
      </c>
      <c r="D419" s="2031">
        <v>101.0</v>
      </c>
      <c r="E419" s="2031">
        <v>66.0</v>
      </c>
      <c r="F419" s="2031">
        <v>66.0</v>
      </c>
      <c r="G419" s="2031">
        <v>67.0</v>
      </c>
      <c r="H419" s="2031">
        <v>67.0</v>
      </c>
    </row>
    <row r="420">
      <c r="B420" s="2031">
        <v>418.0</v>
      </c>
      <c r="C420" s="2031">
        <v>50.0</v>
      </c>
      <c r="D420" s="2031">
        <v>100.0</v>
      </c>
      <c r="E420" s="2031">
        <v>67.0</v>
      </c>
      <c r="F420" s="2031">
        <v>67.0</v>
      </c>
      <c r="G420" s="2031">
        <v>67.0</v>
      </c>
      <c r="H420" s="2031">
        <v>67.0</v>
      </c>
    </row>
    <row r="421">
      <c r="B421" s="2031">
        <v>419.0</v>
      </c>
      <c r="C421" s="2031">
        <v>50.0</v>
      </c>
      <c r="D421" s="2031">
        <v>101.0</v>
      </c>
      <c r="E421" s="2031">
        <v>67.0</v>
      </c>
      <c r="F421" s="2031">
        <v>67.0</v>
      </c>
      <c r="G421" s="2031">
        <v>67.0</v>
      </c>
      <c r="H421" s="2031">
        <v>67.0</v>
      </c>
    </row>
    <row r="422">
      <c r="B422" s="2031">
        <v>420.0</v>
      </c>
      <c r="C422" s="2031">
        <v>51.0</v>
      </c>
      <c r="D422" s="2031">
        <v>101.0</v>
      </c>
      <c r="E422" s="2031">
        <v>67.0</v>
      </c>
      <c r="F422" s="2031">
        <v>67.0</v>
      </c>
      <c r="G422" s="2031">
        <v>67.0</v>
      </c>
      <c r="H422" s="2031">
        <v>67.0</v>
      </c>
    </row>
    <row r="423">
      <c r="B423" s="2031">
        <v>421.0</v>
      </c>
      <c r="C423" s="2031">
        <v>50.0</v>
      </c>
      <c r="D423" s="2031">
        <v>101.0</v>
      </c>
      <c r="E423" s="2031">
        <v>67.0</v>
      </c>
      <c r="F423" s="2031">
        <v>67.0</v>
      </c>
      <c r="G423" s="2031">
        <v>68.0</v>
      </c>
      <c r="H423" s="2031">
        <v>68.0</v>
      </c>
    </row>
    <row r="424">
      <c r="B424" s="2031">
        <v>422.0</v>
      </c>
      <c r="C424" s="2031">
        <v>51.0</v>
      </c>
      <c r="D424" s="2031">
        <v>101.0</v>
      </c>
      <c r="E424" s="2031">
        <v>67.0</v>
      </c>
      <c r="F424" s="2031">
        <v>67.0</v>
      </c>
      <c r="G424" s="2031">
        <v>68.0</v>
      </c>
      <c r="H424" s="2031">
        <v>68.0</v>
      </c>
    </row>
    <row r="425">
      <c r="B425" s="2031">
        <v>423.0</v>
      </c>
      <c r="C425" s="2031">
        <v>50.0</v>
      </c>
      <c r="D425" s="2031">
        <v>101.0</v>
      </c>
      <c r="E425" s="2031">
        <v>68.0</v>
      </c>
      <c r="F425" s="2031">
        <v>68.0</v>
      </c>
      <c r="G425" s="2031">
        <v>68.0</v>
      </c>
      <c r="H425" s="2031">
        <v>68.0</v>
      </c>
    </row>
    <row r="426">
      <c r="B426" s="2031">
        <v>424.0</v>
      </c>
      <c r="C426" s="2031">
        <v>51.0</v>
      </c>
      <c r="D426" s="2031">
        <v>101.0</v>
      </c>
      <c r="E426" s="2031">
        <v>68.0</v>
      </c>
      <c r="F426" s="2031">
        <v>68.0</v>
      </c>
      <c r="G426" s="2031">
        <v>68.0</v>
      </c>
      <c r="H426" s="2031">
        <v>68.0</v>
      </c>
    </row>
    <row r="427">
      <c r="B427" s="2031">
        <v>425.0</v>
      </c>
      <c r="C427" s="2031">
        <v>51.0</v>
      </c>
      <c r="D427" s="2031">
        <v>102.0</v>
      </c>
      <c r="E427" s="2031">
        <v>68.0</v>
      </c>
      <c r="F427" s="2031">
        <v>68.0</v>
      </c>
      <c r="G427" s="2031">
        <v>68.0</v>
      </c>
      <c r="H427" s="2031">
        <v>68.0</v>
      </c>
    </row>
    <row r="428">
      <c r="B428" s="2031">
        <v>426.0</v>
      </c>
      <c r="C428" s="2031">
        <v>51.0</v>
      </c>
      <c r="D428" s="2031">
        <v>103.0</v>
      </c>
      <c r="E428" s="2031">
        <v>68.0</v>
      </c>
      <c r="F428" s="2031">
        <v>68.0</v>
      </c>
      <c r="G428" s="2031">
        <v>68.0</v>
      </c>
      <c r="H428" s="2031">
        <v>68.0</v>
      </c>
    </row>
    <row r="429">
      <c r="B429" s="2031">
        <v>427.0</v>
      </c>
      <c r="C429" s="2031">
        <v>52.0</v>
      </c>
      <c r="D429" s="2031">
        <v>103.0</v>
      </c>
      <c r="E429" s="2031">
        <v>68.0</v>
      </c>
      <c r="F429" s="2031">
        <v>68.0</v>
      </c>
      <c r="G429" s="2031">
        <v>68.0</v>
      </c>
      <c r="H429" s="2031">
        <v>68.0</v>
      </c>
    </row>
    <row r="430">
      <c r="B430" s="2031">
        <v>428.0</v>
      </c>
      <c r="C430" s="2031">
        <v>51.0</v>
      </c>
      <c r="D430" s="2031">
        <v>103.0</v>
      </c>
      <c r="E430" s="2031">
        <v>68.0</v>
      </c>
      <c r="F430" s="2031">
        <v>68.0</v>
      </c>
      <c r="G430" s="2031">
        <v>69.0</v>
      </c>
      <c r="H430" s="2031">
        <v>69.0</v>
      </c>
    </row>
    <row r="431">
      <c r="B431" s="2031">
        <v>429.0</v>
      </c>
      <c r="C431" s="2031">
        <v>52.0</v>
      </c>
      <c r="D431" s="2031">
        <v>103.0</v>
      </c>
      <c r="E431" s="2031">
        <v>68.0</v>
      </c>
      <c r="F431" s="2031">
        <v>68.0</v>
      </c>
      <c r="G431" s="2031">
        <v>69.0</v>
      </c>
      <c r="H431" s="2031">
        <v>69.0</v>
      </c>
    </row>
    <row r="432">
      <c r="B432" s="2031">
        <v>430.0</v>
      </c>
      <c r="C432" s="2031">
        <v>51.0</v>
      </c>
      <c r="D432" s="2031">
        <v>103.0</v>
      </c>
      <c r="E432" s="2031">
        <v>69.0</v>
      </c>
      <c r="F432" s="2031">
        <v>69.0</v>
      </c>
      <c r="G432" s="2031">
        <v>69.0</v>
      </c>
      <c r="H432" s="2031">
        <v>69.0</v>
      </c>
    </row>
    <row r="433">
      <c r="B433" s="2031">
        <v>431.0</v>
      </c>
      <c r="C433" s="2031">
        <v>52.0</v>
      </c>
      <c r="D433" s="2031">
        <v>103.0</v>
      </c>
      <c r="E433" s="2031">
        <v>69.0</v>
      </c>
      <c r="F433" s="2031">
        <v>69.0</v>
      </c>
      <c r="G433" s="2031">
        <v>69.0</v>
      </c>
      <c r="H433" s="2031">
        <v>69.0</v>
      </c>
    </row>
    <row r="434">
      <c r="B434" s="2031">
        <v>432.0</v>
      </c>
      <c r="C434" s="2031">
        <v>52.0</v>
      </c>
      <c r="D434" s="2031">
        <v>104.0</v>
      </c>
      <c r="E434" s="2031">
        <v>69.0</v>
      </c>
      <c r="F434" s="2031">
        <v>69.0</v>
      </c>
      <c r="G434" s="2031">
        <v>69.0</v>
      </c>
      <c r="H434" s="2031">
        <v>69.0</v>
      </c>
    </row>
    <row r="435">
      <c r="B435" s="2031">
        <v>433.0</v>
      </c>
      <c r="C435" s="2031">
        <v>52.0</v>
      </c>
      <c r="D435" s="2031">
        <v>103.0</v>
      </c>
      <c r="E435" s="2031">
        <v>69.0</v>
      </c>
      <c r="F435" s="2031">
        <v>69.0</v>
      </c>
      <c r="G435" s="2031">
        <v>70.0</v>
      </c>
      <c r="H435" s="2031">
        <v>70.0</v>
      </c>
    </row>
    <row r="436">
      <c r="B436" s="2031">
        <v>434.0</v>
      </c>
      <c r="C436" s="2031">
        <v>52.0</v>
      </c>
      <c r="D436" s="2031">
        <v>104.0</v>
      </c>
      <c r="E436" s="2031">
        <v>69.0</v>
      </c>
      <c r="F436" s="2031">
        <v>69.0</v>
      </c>
      <c r="G436" s="2031">
        <v>70.0</v>
      </c>
      <c r="H436" s="2031">
        <v>70.0</v>
      </c>
    </row>
    <row r="437">
      <c r="B437" s="2031">
        <v>435.0</v>
      </c>
      <c r="C437" s="2031">
        <v>52.0</v>
      </c>
      <c r="D437" s="2031">
        <v>105.0</v>
      </c>
      <c r="E437" s="2031">
        <v>69.0</v>
      </c>
      <c r="F437" s="2031">
        <v>69.0</v>
      </c>
      <c r="G437" s="2031">
        <v>70.0</v>
      </c>
      <c r="H437" s="2031">
        <v>70.0</v>
      </c>
    </row>
    <row r="438">
      <c r="B438" s="2031">
        <v>436.0</v>
      </c>
      <c r="C438" s="2031">
        <v>52.0</v>
      </c>
      <c r="D438" s="2031">
        <v>104.0</v>
      </c>
      <c r="E438" s="2031">
        <v>70.0</v>
      </c>
      <c r="F438" s="2031">
        <v>70.0</v>
      </c>
      <c r="G438" s="2031">
        <v>70.0</v>
      </c>
      <c r="H438" s="2031">
        <v>70.0</v>
      </c>
    </row>
    <row r="439">
      <c r="B439" s="2031">
        <v>437.0</v>
      </c>
      <c r="C439" s="2031">
        <v>52.0</v>
      </c>
      <c r="D439" s="2031">
        <v>105.0</v>
      </c>
      <c r="E439" s="2031">
        <v>70.0</v>
      </c>
      <c r="F439" s="2031">
        <v>70.0</v>
      </c>
      <c r="G439" s="2031">
        <v>70.0</v>
      </c>
      <c r="H439" s="2031">
        <v>70.0</v>
      </c>
    </row>
    <row r="440">
      <c r="B440" s="2031">
        <v>438.0</v>
      </c>
      <c r="C440" s="2031">
        <v>53.0</v>
      </c>
      <c r="D440" s="2031">
        <v>105.0</v>
      </c>
      <c r="E440" s="2031">
        <v>70.0</v>
      </c>
      <c r="F440" s="2031">
        <v>70.0</v>
      </c>
      <c r="G440" s="2031">
        <v>70.0</v>
      </c>
      <c r="H440" s="2031">
        <v>70.0</v>
      </c>
    </row>
    <row r="441">
      <c r="B441" s="2031">
        <v>439.0</v>
      </c>
      <c r="C441" s="2031">
        <v>53.0</v>
      </c>
      <c r="D441" s="2031">
        <v>106.0</v>
      </c>
      <c r="E441" s="2031">
        <v>70.0</v>
      </c>
      <c r="F441" s="2031">
        <v>70.0</v>
      </c>
      <c r="G441" s="2031">
        <v>70.0</v>
      </c>
      <c r="H441" s="2031">
        <v>70.0</v>
      </c>
    </row>
    <row r="442">
      <c r="B442" s="2031">
        <v>440.0</v>
      </c>
      <c r="C442" s="2031">
        <v>53.0</v>
      </c>
      <c r="D442" s="2031">
        <v>105.0</v>
      </c>
      <c r="E442" s="2031">
        <v>70.0</v>
      </c>
      <c r="F442" s="2031">
        <v>70.0</v>
      </c>
      <c r="G442" s="2031">
        <v>71.0</v>
      </c>
      <c r="H442" s="2031">
        <v>71.0</v>
      </c>
    </row>
    <row r="443">
      <c r="B443" s="2031">
        <v>441.0</v>
      </c>
      <c r="C443" s="2031">
        <v>53.0</v>
      </c>
      <c r="D443" s="2031">
        <v>106.0</v>
      </c>
      <c r="E443" s="2031">
        <v>70.0</v>
      </c>
      <c r="F443" s="2031">
        <v>70.0</v>
      </c>
      <c r="G443" s="2031">
        <v>71.0</v>
      </c>
      <c r="H443" s="2031">
        <v>71.0</v>
      </c>
    </row>
    <row r="444">
      <c r="B444" s="2031">
        <v>442.0</v>
      </c>
      <c r="C444" s="2031">
        <v>53.0</v>
      </c>
      <c r="D444" s="2031">
        <v>107.0</v>
      </c>
      <c r="E444" s="2031">
        <v>70.0</v>
      </c>
      <c r="F444" s="2031">
        <v>70.0</v>
      </c>
      <c r="G444" s="2031">
        <v>71.0</v>
      </c>
      <c r="H444" s="2031">
        <v>71.0</v>
      </c>
    </row>
    <row r="445">
      <c r="B445" s="2031">
        <v>443.0</v>
      </c>
      <c r="C445" s="2031">
        <v>53.0</v>
      </c>
      <c r="D445" s="2031">
        <v>106.0</v>
      </c>
      <c r="E445" s="2031">
        <v>71.0</v>
      </c>
      <c r="F445" s="2031">
        <v>71.0</v>
      </c>
      <c r="G445" s="2031">
        <v>71.0</v>
      </c>
      <c r="H445" s="2031">
        <v>71.0</v>
      </c>
    </row>
    <row r="446">
      <c r="B446" s="2031">
        <v>444.0</v>
      </c>
      <c r="C446" s="2031">
        <v>53.0</v>
      </c>
      <c r="D446" s="2031">
        <v>107.0</v>
      </c>
      <c r="E446" s="2031">
        <v>71.0</v>
      </c>
      <c r="F446" s="2031">
        <v>71.0</v>
      </c>
      <c r="G446" s="2031">
        <v>71.0</v>
      </c>
      <c r="H446" s="2031">
        <v>71.0</v>
      </c>
    </row>
    <row r="447">
      <c r="B447" s="2031">
        <v>445.0</v>
      </c>
      <c r="C447" s="2031">
        <v>54.0</v>
      </c>
      <c r="D447" s="2031">
        <v>107.0</v>
      </c>
      <c r="E447" s="2031">
        <v>71.0</v>
      </c>
      <c r="F447" s="2031">
        <v>71.0</v>
      </c>
      <c r="G447" s="2031">
        <v>71.0</v>
      </c>
      <c r="H447" s="2031">
        <v>71.0</v>
      </c>
    </row>
    <row r="448">
      <c r="B448" s="2031">
        <v>446.0</v>
      </c>
      <c r="C448" s="2031">
        <v>53.0</v>
      </c>
      <c r="D448" s="2031">
        <v>107.0</v>
      </c>
      <c r="E448" s="2031">
        <v>71.0</v>
      </c>
      <c r="F448" s="2031">
        <v>71.0</v>
      </c>
      <c r="G448" s="2031">
        <v>72.0</v>
      </c>
      <c r="H448" s="2031">
        <v>72.0</v>
      </c>
    </row>
    <row r="449">
      <c r="B449" s="2031">
        <v>447.0</v>
      </c>
      <c r="C449" s="2031">
        <v>54.0</v>
      </c>
      <c r="D449" s="2031">
        <v>107.0</v>
      </c>
      <c r="E449" s="2031">
        <v>71.0</v>
      </c>
      <c r="F449" s="2031">
        <v>71.0</v>
      </c>
      <c r="G449" s="2031">
        <v>72.0</v>
      </c>
      <c r="H449" s="2031">
        <v>72.0</v>
      </c>
    </row>
    <row r="450">
      <c r="B450" s="2031">
        <v>448.0</v>
      </c>
      <c r="C450" s="2031">
        <v>53.0</v>
      </c>
      <c r="D450" s="2031">
        <v>107.0</v>
      </c>
      <c r="E450" s="2031">
        <v>72.0</v>
      </c>
      <c r="F450" s="2031">
        <v>72.0</v>
      </c>
      <c r="G450" s="2031">
        <v>72.0</v>
      </c>
      <c r="H450" s="2031">
        <v>72.0</v>
      </c>
    </row>
    <row r="451">
      <c r="B451" s="2031">
        <v>449.0</v>
      </c>
      <c r="C451" s="2031">
        <v>54.0</v>
      </c>
      <c r="D451" s="2031">
        <v>107.0</v>
      </c>
      <c r="E451" s="2031">
        <v>72.0</v>
      </c>
      <c r="F451" s="2031">
        <v>72.0</v>
      </c>
      <c r="G451" s="2031">
        <v>72.0</v>
      </c>
      <c r="H451" s="2031">
        <v>72.0</v>
      </c>
    </row>
    <row r="452">
      <c r="B452" s="2031">
        <v>450.0</v>
      </c>
      <c r="C452" s="2031">
        <v>54.0</v>
      </c>
      <c r="D452" s="2031">
        <v>108.0</v>
      </c>
      <c r="E452" s="2031">
        <v>72.0</v>
      </c>
      <c r="F452" s="2031">
        <v>72.0</v>
      </c>
      <c r="G452" s="2031">
        <v>72.0</v>
      </c>
      <c r="H452" s="2031">
        <v>72.0</v>
      </c>
    </row>
    <row r="453">
      <c r="B453" s="2031">
        <v>451.0</v>
      </c>
      <c r="C453" s="2031">
        <v>54.0</v>
      </c>
      <c r="D453" s="2031">
        <v>109.0</v>
      </c>
      <c r="E453" s="2031">
        <v>72.0</v>
      </c>
      <c r="F453" s="2031">
        <v>72.0</v>
      </c>
      <c r="G453" s="2031">
        <v>72.0</v>
      </c>
      <c r="H453" s="2031">
        <v>72.0</v>
      </c>
    </row>
    <row r="454">
      <c r="B454" s="2031">
        <v>452.0</v>
      </c>
      <c r="C454" s="2031">
        <v>55.0</v>
      </c>
      <c r="D454" s="2031">
        <v>109.0</v>
      </c>
      <c r="E454" s="2031">
        <v>72.0</v>
      </c>
      <c r="F454" s="2031">
        <v>72.0</v>
      </c>
      <c r="G454" s="2031">
        <v>72.0</v>
      </c>
      <c r="H454" s="2031">
        <v>72.0</v>
      </c>
    </row>
    <row r="455">
      <c r="B455" s="2031">
        <v>453.0</v>
      </c>
      <c r="C455" s="2031">
        <v>54.0</v>
      </c>
      <c r="D455" s="2031">
        <v>109.0</v>
      </c>
      <c r="E455" s="2031">
        <v>72.0</v>
      </c>
      <c r="F455" s="2031">
        <v>72.0</v>
      </c>
      <c r="G455" s="2031">
        <v>73.0</v>
      </c>
      <c r="H455" s="2031">
        <v>73.0</v>
      </c>
    </row>
    <row r="456">
      <c r="B456" s="2031">
        <v>454.0</v>
      </c>
      <c r="C456" s="2031">
        <v>55.0</v>
      </c>
      <c r="D456" s="2031">
        <v>109.0</v>
      </c>
      <c r="E456" s="2031">
        <v>72.0</v>
      </c>
      <c r="F456" s="2031">
        <v>72.0</v>
      </c>
      <c r="G456" s="2031">
        <v>73.0</v>
      </c>
      <c r="H456" s="2031">
        <v>73.0</v>
      </c>
    </row>
    <row r="457">
      <c r="B457" s="2031">
        <v>455.0</v>
      </c>
      <c r="C457" s="2031">
        <v>54.0</v>
      </c>
      <c r="D457" s="2031">
        <v>109.0</v>
      </c>
      <c r="E457" s="2031">
        <v>73.0</v>
      </c>
      <c r="F457" s="2031">
        <v>73.0</v>
      </c>
      <c r="G457" s="2031">
        <v>73.0</v>
      </c>
      <c r="H457" s="2031">
        <v>73.0</v>
      </c>
    </row>
    <row r="458">
      <c r="B458" s="2031">
        <v>456.0</v>
      </c>
      <c r="C458" s="2031">
        <v>55.0</v>
      </c>
      <c r="D458" s="2031">
        <v>109.0</v>
      </c>
      <c r="E458" s="2031">
        <v>73.0</v>
      </c>
      <c r="F458" s="2031">
        <v>73.0</v>
      </c>
      <c r="G458" s="2031">
        <v>73.0</v>
      </c>
      <c r="H458" s="2031">
        <v>73.0</v>
      </c>
    </row>
    <row r="459">
      <c r="B459" s="2031">
        <v>457.0</v>
      </c>
      <c r="C459" s="2031">
        <v>55.0</v>
      </c>
      <c r="D459" s="2031">
        <v>110.0</v>
      </c>
      <c r="E459" s="2031">
        <v>73.0</v>
      </c>
      <c r="F459" s="2031">
        <v>73.0</v>
      </c>
      <c r="G459" s="2031">
        <v>73.0</v>
      </c>
      <c r="H459" s="2031">
        <v>73.0</v>
      </c>
    </row>
    <row r="460">
      <c r="B460" s="2031">
        <v>458.0</v>
      </c>
      <c r="C460" s="2031">
        <v>55.0</v>
      </c>
      <c r="D460" s="2031">
        <v>109.0</v>
      </c>
      <c r="E460" s="2031">
        <v>73.0</v>
      </c>
      <c r="F460" s="2031">
        <v>73.0</v>
      </c>
      <c r="G460" s="2031">
        <v>74.0</v>
      </c>
      <c r="H460" s="2031">
        <v>74.0</v>
      </c>
    </row>
    <row r="461">
      <c r="B461" s="2031">
        <v>459.0</v>
      </c>
      <c r="C461" s="2031">
        <v>55.0</v>
      </c>
      <c r="D461" s="2031">
        <v>110.0</v>
      </c>
      <c r="E461" s="2031">
        <v>73.0</v>
      </c>
      <c r="F461" s="2031">
        <v>73.0</v>
      </c>
      <c r="G461" s="2031">
        <v>74.0</v>
      </c>
      <c r="H461" s="2031">
        <v>74.0</v>
      </c>
    </row>
    <row r="462">
      <c r="B462" s="2031">
        <v>460.0</v>
      </c>
      <c r="C462" s="2031">
        <v>55.0</v>
      </c>
      <c r="D462" s="2031">
        <v>111.0</v>
      </c>
      <c r="E462" s="2031">
        <v>73.0</v>
      </c>
      <c r="F462" s="2031">
        <v>73.0</v>
      </c>
      <c r="G462" s="2031">
        <v>74.0</v>
      </c>
      <c r="H462" s="2031">
        <v>74.0</v>
      </c>
    </row>
    <row r="463">
      <c r="B463" s="2031">
        <v>461.0</v>
      </c>
      <c r="C463" s="2031">
        <v>55.0</v>
      </c>
      <c r="D463" s="2031">
        <v>110.0</v>
      </c>
      <c r="E463" s="2031">
        <v>74.0</v>
      </c>
      <c r="F463" s="2031">
        <v>74.0</v>
      </c>
      <c r="G463" s="2031">
        <v>74.0</v>
      </c>
      <c r="H463" s="2031">
        <v>74.0</v>
      </c>
    </row>
    <row r="464">
      <c r="B464" s="2031">
        <v>462.0</v>
      </c>
      <c r="C464" s="2031">
        <v>55.0</v>
      </c>
      <c r="D464" s="2031">
        <v>111.0</v>
      </c>
      <c r="E464" s="2031">
        <v>74.0</v>
      </c>
      <c r="F464" s="2031">
        <v>74.0</v>
      </c>
      <c r="G464" s="2031">
        <v>74.0</v>
      </c>
      <c r="H464" s="2031">
        <v>74.0</v>
      </c>
    </row>
    <row r="465">
      <c r="B465" s="2031">
        <v>463.0</v>
      </c>
      <c r="C465" s="2031">
        <v>56.0</v>
      </c>
      <c r="D465" s="2031">
        <v>111.0</v>
      </c>
      <c r="E465" s="2031">
        <v>74.0</v>
      </c>
      <c r="F465" s="2031">
        <v>74.0</v>
      </c>
      <c r="G465" s="2031">
        <v>74.0</v>
      </c>
      <c r="H465" s="2031">
        <v>74.0</v>
      </c>
    </row>
    <row r="466">
      <c r="B466" s="2031">
        <v>464.0</v>
      </c>
      <c r="C466" s="2031">
        <v>56.0</v>
      </c>
      <c r="D466" s="2031">
        <v>112.0</v>
      </c>
      <c r="E466" s="2031">
        <v>74.0</v>
      </c>
      <c r="F466" s="2031">
        <v>74.0</v>
      </c>
      <c r="G466" s="2031">
        <v>74.0</v>
      </c>
      <c r="H466" s="2031">
        <v>74.0</v>
      </c>
    </row>
    <row r="467">
      <c r="B467" s="2031">
        <v>465.0</v>
      </c>
      <c r="C467" s="2031">
        <v>56.0</v>
      </c>
      <c r="D467" s="2031">
        <v>111.0</v>
      </c>
      <c r="E467" s="2031">
        <v>74.0</v>
      </c>
      <c r="F467" s="2031">
        <v>74.0</v>
      </c>
      <c r="G467" s="2031">
        <v>75.0</v>
      </c>
      <c r="H467" s="2031">
        <v>75.0</v>
      </c>
    </row>
    <row r="468">
      <c r="B468" s="2031">
        <v>466.0</v>
      </c>
      <c r="C468" s="2031">
        <v>56.0</v>
      </c>
      <c r="D468" s="2031">
        <v>112.0</v>
      </c>
      <c r="E468" s="2031">
        <v>74.0</v>
      </c>
      <c r="F468" s="2031">
        <v>74.0</v>
      </c>
      <c r="G468" s="2031">
        <v>75.0</v>
      </c>
      <c r="H468" s="2031">
        <v>75.0</v>
      </c>
    </row>
    <row r="469">
      <c r="B469" s="2031">
        <v>467.0</v>
      </c>
      <c r="C469" s="2031">
        <v>56.0</v>
      </c>
      <c r="D469" s="2031">
        <v>113.0</v>
      </c>
      <c r="E469" s="2031">
        <v>74.0</v>
      </c>
      <c r="F469" s="2031">
        <v>74.0</v>
      </c>
      <c r="G469" s="2031">
        <v>75.0</v>
      </c>
      <c r="H469" s="2031">
        <v>75.0</v>
      </c>
    </row>
    <row r="470">
      <c r="B470" s="2031">
        <v>468.0</v>
      </c>
      <c r="C470" s="2031">
        <v>56.0</v>
      </c>
      <c r="D470" s="2031">
        <v>112.0</v>
      </c>
      <c r="E470" s="2031">
        <v>75.0</v>
      </c>
      <c r="F470" s="2031">
        <v>75.0</v>
      </c>
      <c r="G470" s="2031">
        <v>75.0</v>
      </c>
      <c r="H470" s="2031">
        <v>75.0</v>
      </c>
    </row>
    <row r="471">
      <c r="B471" s="2031">
        <v>469.0</v>
      </c>
      <c r="C471" s="2031">
        <v>56.0</v>
      </c>
      <c r="D471" s="2031">
        <v>113.0</v>
      </c>
      <c r="E471" s="2031">
        <v>75.0</v>
      </c>
      <c r="F471" s="2031">
        <v>75.0</v>
      </c>
      <c r="G471" s="2031">
        <v>75.0</v>
      </c>
      <c r="H471" s="2031">
        <v>75.0</v>
      </c>
    </row>
    <row r="472">
      <c r="B472" s="2031">
        <v>470.0</v>
      </c>
      <c r="C472" s="2031">
        <v>57.0</v>
      </c>
      <c r="D472" s="2031">
        <v>113.0</v>
      </c>
      <c r="E472" s="2031">
        <v>75.0</v>
      </c>
      <c r="F472" s="2031">
        <v>75.0</v>
      </c>
      <c r="G472" s="2031">
        <v>75.0</v>
      </c>
      <c r="H472" s="2031">
        <v>75.0</v>
      </c>
    </row>
    <row r="473">
      <c r="B473" s="2031">
        <v>471.0</v>
      </c>
      <c r="C473" s="2031">
        <v>56.0</v>
      </c>
      <c r="D473" s="2031">
        <v>113.0</v>
      </c>
      <c r="E473" s="2031">
        <v>75.0</v>
      </c>
      <c r="F473" s="2031">
        <v>75.0</v>
      </c>
      <c r="G473" s="2031">
        <v>76.0</v>
      </c>
      <c r="H473" s="2031">
        <v>76.0</v>
      </c>
    </row>
    <row r="474">
      <c r="B474" s="2031">
        <v>472.0</v>
      </c>
      <c r="C474" s="2031">
        <v>57.0</v>
      </c>
      <c r="D474" s="2031">
        <v>113.0</v>
      </c>
      <c r="E474" s="2031">
        <v>75.0</v>
      </c>
      <c r="F474" s="2031">
        <v>75.0</v>
      </c>
      <c r="G474" s="2031">
        <v>76.0</v>
      </c>
      <c r="H474" s="2031">
        <v>76.0</v>
      </c>
    </row>
    <row r="475">
      <c r="B475" s="2031">
        <v>473.0</v>
      </c>
      <c r="C475" s="2031">
        <v>56.0</v>
      </c>
      <c r="D475" s="2031">
        <v>113.0</v>
      </c>
      <c r="E475" s="2031">
        <v>76.0</v>
      </c>
      <c r="F475" s="2031">
        <v>76.0</v>
      </c>
      <c r="G475" s="2031">
        <v>76.0</v>
      </c>
      <c r="H475" s="2031">
        <v>76.0</v>
      </c>
    </row>
    <row r="476">
      <c r="B476" s="2031">
        <v>474.0</v>
      </c>
      <c r="C476" s="2031">
        <v>57.0</v>
      </c>
      <c r="D476" s="2031">
        <v>113.0</v>
      </c>
      <c r="E476" s="2031">
        <v>76.0</v>
      </c>
      <c r="F476" s="2031">
        <v>76.0</v>
      </c>
      <c r="G476" s="2031">
        <v>76.0</v>
      </c>
      <c r="H476" s="2031">
        <v>76.0</v>
      </c>
    </row>
    <row r="477">
      <c r="B477" s="2031">
        <v>475.0</v>
      </c>
      <c r="C477" s="2031">
        <v>57.0</v>
      </c>
      <c r="D477" s="2031">
        <v>114.0</v>
      </c>
      <c r="E477" s="2031">
        <v>76.0</v>
      </c>
      <c r="F477" s="2031">
        <v>76.0</v>
      </c>
      <c r="G477" s="2031">
        <v>76.0</v>
      </c>
      <c r="H477" s="2031">
        <v>76.0</v>
      </c>
    </row>
    <row r="478">
      <c r="B478" s="2031">
        <v>476.0</v>
      </c>
      <c r="C478" s="2031">
        <v>57.0</v>
      </c>
      <c r="D478" s="2031">
        <v>115.0</v>
      </c>
      <c r="E478" s="2031">
        <v>76.0</v>
      </c>
      <c r="F478" s="2031">
        <v>76.0</v>
      </c>
      <c r="G478" s="2031">
        <v>76.0</v>
      </c>
      <c r="H478" s="2031">
        <v>76.0</v>
      </c>
    </row>
    <row r="479">
      <c r="B479" s="2031">
        <v>477.0</v>
      </c>
      <c r="C479" s="2031">
        <v>58.0</v>
      </c>
      <c r="D479" s="2031">
        <v>115.0</v>
      </c>
      <c r="E479" s="2031">
        <v>76.0</v>
      </c>
      <c r="F479" s="2031">
        <v>76.0</v>
      </c>
      <c r="G479" s="2031">
        <v>76.0</v>
      </c>
      <c r="H479" s="2031">
        <v>76.0</v>
      </c>
    </row>
    <row r="480">
      <c r="B480" s="2031">
        <v>478.0</v>
      </c>
      <c r="C480" s="2031">
        <v>57.0</v>
      </c>
      <c r="D480" s="2031">
        <v>115.0</v>
      </c>
      <c r="E480" s="2031">
        <v>76.0</v>
      </c>
      <c r="F480" s="2031">
        <v>76.0</v>
      </c>
      <c r="G480" s="2031">
        <v>77.0</v>
      </c>
      <c r="H480" s="2031">
        <v>77.0</v>
      </c>
    </row>
    <row r="481">
      <c r="B481" s="2031">
        <v>479.0</v>
      </c>
      <c r="C481" s="2031">
        <v>58.0</v>
      </c>
      <c r="D481" s="2031">
        <v>115.0</v>
      </c>
      <c r="E481" s="2031">
        <v>76.0</v>
      </c>
      <c r="F481" s="2031">
        <v>76.0</v>
      </c>
      <c r="G481" s="2031">
        <v>77.0</v>
      </c>
      <c r="H481" s="2031">
        <v>77.0</v>
      </c>
    </row>
    <row r="482">
      <c r="B482" s="2031">
        <v>480.0</v>
      </c>
      <c r="C482" s="2031">
        <v>57.0</v>
      </c>
      <c r="D482" s="2031">
        <v>115.0</v>
      </c>
      <c r="E482" s="2031">
        <v>77.0</v>
      </c>
      <c r="F482" s="2031">
        <v>77.0</v>
      </c>
      <c r="G482" s="2031">
        <v>77.0</v>
      </c>
      <c r="H482" s="2031">
        <v>77.0</v>
      </c>
    </row>
    <row r="483">
      <c r="B483" s="2031">
        <v>481.0</v>
      </c>
      <c r="C483" s="2031">
        <v>58.0</v>
      </c>
      <c r="D483" s="2031">
        <v>115.0</v>
      </c>
      <c r="E483" s="2031">
        <v>77.0</v>
      </c>
      <c r="F483" s="2031">
        <v>77.0</v>
      </c>
      <c r="G483" s="2031">
        <v>77.0</v>
      </c>
      <c r="H483" s="2031">
        <v>77.0</v>
      </c>
    </row>
    <row r="484">
      <c r="B484" s="2031">
        <v>482.0</v>
      </c>
      <c r="C484" s="2031">
        <v>58.0</v>
      </c>
      <c r="D484" s="2031">
        <v>116.0</v>
      </c>
      <c r="E484" s="2031">
        <v>77.0</v>
      </c>
      <c r="F484" s="2031">
        <v>77.0</v>
      </c>
      <c r="G484" s="2031">
        <v>77.0</v>
      </c>
      <c r="H484" s="2031">
        <v>77.0</v>
      </c>
    </row>
    <row r="485">
      <c r="B485" s="2031">
        <v>483.0</v>
      </c>
      <c r="C485" s="2031">
        <v>58.0</v>
      </c>
      <c r="D485" s="2031">
        <v>115.0</v>
      </c>
      <c r="E485" s="2031">
        <v>77.0</v>
      </c>
      <c r="F485" s="2031">
        <v>77.0</v>
      </c>
      <c r="G485" s="2031">
        <v>78.0</v>
      </c>
      <c r="H485" s="2031">
        <v>78.0</v>
      </c>
    </row>
    <row r="486">
      <c r="B486" s="2031">
        <v>484.0</v>
      </c>
      <c r="C486" s="2031">
        <v>58.0</v>
      </c>
      <c r="D486" s="2031">
        <v>116.0</v>
      </c>
      <c r="E486" s="2031">
        <v>77.0</v>
      </c>
      <c r="F486" s="2031">
        <v>77.0</v>
      </c>
      <c r="G486" s="2031">
        <v>78.0</v>
      </c>
      <c r="H486" s="2031">
        <v>78.0</v>
      </c>
    </row>
    <row r="487">
      <c r="B487" s="2031">
        <v>485.0</v>
      </c>
      <c r="C487" s="2031">
        <v>58.0</v>
      </c>
      <c r="D487" s="2031">
        <v>117.0</v>
      </c>
      <c r="E487" s="2031">
        <v>77.0</v>
      </c>
      <c r="F487" s="2031">
        <v>77.0</v>
      </c>
      <c r="G487" s="2031">
        <v>78.0</v>
      </c>
      <c r="H487" s="2031">
        <v>78.0</v>
      </c>
    </row>
    <row r="488">
      <c r="B488" s="2031">
        <v>486.0</v>
      </c>
      <c r="C488" s="2031">
        <v>58.0</v>
      </c>
      <c r="D488" s="2031">
        <v>116.0</v>
      </c>
      <c r="E488" s="2031">
        <v>78.0</v>
      </c>
      <c r="F488" s="2031">
        <v>78.0</v>
      </c>
      <c r="G488" s="2031">
        <v>78.0</v>
      </c>
      <c r="H488" s="2031">
        <v>78.0</v>
      </c>
    </row>
    <row r="489">
      <c r="B489" s="2031">
        <v>487.0</v>
      </c>
      <c r="C489" s="2031">
        <v>58.0</v>
      </c>
      <c r="D489" s="2031">
        <v>117.0</v>
      </c>
      <c r="E489" s="2031">
        <v>78.0</v>
      </c>
      <c r="F489" s="2031">
        <v>78.0</v>
      </c>
      <c r="G489" s="2031">
        <v>78.0</v>
      </c>
      <c r="H489" s="2031">
        <v>78.0</v>
      </c>
    </row>
    <row r="490">
      <c r="B490" s="2031">
        <v>488.0</v>
      </c>
      <c r="C490" s="2031">
        <v>59.0</v>
      </c>
      <c r="D490" s="2031">
        <v>117.0</v>
      </c>
      <c r="E490" s="2031">
        <v>78.0</v>
      </c>
      <c r="F490" s="2031">
        <v>78.0</v>
      </c>
      <c r="G490" s="2031">
        <v>78.0</v>
      </c>
      <c r="H490" s="2031">
        <v>78.0</v>
      </c>
    </row>
    <row r="491">
      <c r="B491" s="2031">
        <v>489.0</v>
      </c>
      <c r="C491" s="2031">
        <v>59.0</v>
      </c>
      <c r="D491" s="2031">
        <v>118.0</v>
      </c>
      <c r="E491" s="2031">
        <v>78.0</v>
      </c>
      <c r="F491" s="2031">
        <v>78.0</v>
      </c>
      <c r="G491" s="2031">
        <v>78.0</v>
      </c>
      <c r="H491" s="2031">
        <v>78.0</v>
      </c>
    </row>
    <row r="492">
      <c r="B492" s="2031">
        <v>490.0</v>
      </c>
      <c r="C492" s="2031">
        <v>59.0</v>
      </c>
      <c r="D492" s="2031">
        <v>117.0</v>
      </c>
      <c r="E492" s="2031">
        <v>78.0</v>
      </c>
      <c r="F492" s="2031">
        <v>78.0</v>
      </c>
      <c r="G492" s="2031">
        <v>79.0</v>
      </c>
      <c r="H492" s="2031">
        <v>79.0</v>
      </c>
    </row>
    <row r="493">
      <c r="B493" s="2031">
        <v>491.0</v>
      </c>
      <c r="C493" s="2031">
        <v>59.0</v>
      </c>
      <c r="D493" s="2031">
        <v>118.0</v>
      </c>
      <c r="E493" s="2031">
        <v>78.0</v>
      </c>
      <c r="F493" s="2031">
        <v>78.0</v>
      </c>
      <c r="G493" s="2031">
        <v>79.0</v>
      </c>
      <c r="H493" s="2031">
        <v>79.0</v>
      </c>
    </row>
    <row r="494">
      <c r="B494" s="2031">
        <v>492.0</v>
      </c>
      <c r="C494" s="2031">
        <v>59.0</v>
      </c>
      <c r="D494" s="2031">
        <v>119.0</v>
      </c>
      <c r="E494" s="2031">
        <v>78.0</v>
      </c>
      <c r="F494" s="2031">
        <v>78.0</v>
      </c>
      <c r="G494" s="2031">
        <v>79.0</v>
      </c>
      <c r="H494" s="2031">
        <v>79.0</v>
      </c>
    </row>
    <row r="495">
      <c r="B495" s="2031">
        <v>493.0</v>
      </c>
      <c r="C495" s="2031">
        <v>59.0</v>
      </c>
      <c r="D495" s="2031">
        <v>118.0</v>
      </c>
      <c r="E495" s="2031">
        <v>79.0</v>
      </c>
      <c r="F495" s="2031">
        <v>79.0</v>
      </c>
      <c r="G495" s="2031">
        <v>79.0</v>
      </c>
      <c r="H495" s="2031">
        <v>79.0</v>
      </c>
    </row>
    <row r="496">
      <c r="B496" s="2031">
        <v>494.0</v>
      </c>
      <c r="C496" s="2031">
        <v>59.0</v>
      </c>
      <c r="D496" s="2031">
        <v>119.0</v>
      </c>
      <c r="E496" s="2031">
        <v>79.0</v>
      </c>
      <c r="F496" s="2031">
        <v>79.0</v>
      </c>
      <c r="G496" s="2031">
        <v>79.0</v>
      </c>
      <c r="H496" s="2031">
        <v>79.0</v>
      </c>
    </row>
    <row r="497">
      <c r="B497" s="2031">
        <v>495.0</v>
      </c>
      <c r="C497" s="2031">
        <v>60.0</v>
      </c>
      <c r="D497" s="2031">
        <v>119.0</v>
      </c>
      <c r="E497" s="2031">
        <v>79.0</v>
      </c>
      <c r="F497" s="2031">
        <v>79.0</v>
      </c>
      <c r="G497" s="2031">
        <v>79.0</v>
      </c>
      <c r="H497" s="2031">
        <v>79.0</v>
      </c>
    </row>
    <row r="498">
      <c r="B498" s="2031">
        <v>496.0</v>
      </c>
      <c r="C498" s="2031">
        <v>59.0</v>
      </c>
      <c r="D498" s="2031">
        <v>119.0</v>
      </c>
      <c r="E498" s="2031">
        <v>79.0</v>
      </c>
      <c r="F498" s="2031">
        <v>79.0</v>
      </c>
      <c r="G498" s="2031">
        <v>80.0</v>
      </c>
      <c r="H498" s="2031">
        <v>80.0</v>
      </c>
    </row>
    <row r="499">
      <c r="B499" s="2031">
        <v>497.0</v>
      </c>
      <c r="C499" s="2031">
        <v>60.0</v>
      </c>
      <c r="D499" s="2031">
        <v>119.0</v>
      </c>
      <c r="E499" s="2031">
        <v>79.0</v>
      </c>
      <c r="F499" s="2031">
        <v>79.0</v>
      </c>
      <c r="G499" s="2031">
        <v>80.0</v>
      </c>
      <c r="H499" s="2031">
        <v>80.0</v>
      </c>
    </row>
    <row r="500">
      <c r="B500" s="2031">
        <v>498.0</v>
      </c>
      <c r="C500" s="2031">
        <v>59.0</v>
      </c>
      <c r="D500" s="2031">
        <v>119.0</v>
      </c>
      <c r="E500" s="2031">
        <v>80.0</v>
      </c>
      <c r="F500" s="2031">
        <v>80.0</v>
      </c>
      <c r="G500" s="2031">
        <v>80.0</v>
      </c>
      <c r="H500" s="2031">
        <v>80.0</v>
      </c>
    </row>
    <row r="501">
      <c r="B501" s="2031">
        <v>499.0</v>
      </c>
      <c r="C501" s="2031">
        <v>60.0</v>
      </c>
      <c r="D501" s="2031">
        <v>119.0</v>
      </c>
      <c r="E501" s="2031">
        <v>80.0</v>
      </c>
      <c r="F501" s="2031">
        <v>80.0</v>
      </c>
      <c r="G501" s="2031">
        <v>80.0</v>
      </c>
      <c r="H501" s="2031">
        <v>80.0</v>
      </c>
    </row>
    <row r="502">
      <c r="B502" s="2031">
        <v>500.0</v>
      </c>
      <c r="C502" s="2031">
        <v>60.0</v>
      </c>
      <c r="D502" s="2031">
        <v>120.0</v>
      </c>
      <c r="E502" s="2031">
        <v>80.0</v>
      </c>
      <c r="F502" s="2031">
        <v>80.0</v>
      </c>
      <c r="G502" s="2031">
        <v>80.0</v>
      </c>
      <c r="H502" s="2031">
        <v>80.0</v>
      </c>
    </row>
    <row r="503">
      <c r="B503" s="2031">
        <v>501.0</v>
      </c>
      <c r="C503" s="2031">
        <v>60.0</v>
      </c>
      <c r="D503" s="2031">
        <v>121.0</v>
      </c>
      <c r="E503" s="2031">
        <v>80.0</v>
      </c>
      <c r="F503" s="2031">
        <v>80.0</v>
      </c>
      <c r="G503" s="2031">
        <v>80.0</v>
      </c>
      <c r="H503" s="2031">
        <v>80.0</v>
      </c>
    </row>
    <row r="504">
      <c r="B504" s="2031">
        <v>502.0</v>
      </c>
      <c r="C504" s="2031">
        <v>61.0</v>
      </c>
      <c r="D504" s="2031">
        <v>121.0</v>
      </c>
      <c r="E504" s="2031">
        <v>80.0</v>
      </c>
      <c r="F504" s="2031">
        <v>80.0</v>
      </c>
      <c r="G504" s="2031">
        <v>80.0</v>
      </c>
      <c r="H504" s="2031">
        <v>80.0</v>
      </c>
    </row>
    <row r="505">
      <c r="B505" s="2031">
        <v>503.0</v>
      </c>
      <c r="C505" s="2031">
        <v>60.0</v>
      </c>
      <c r="D505" s="2031">
        <v>121.0</v>
      </c>
      <c r="E505" s="2031">
        <v>80.0</v>
      </c>
      <c r="F505" s="2031">
        <v>80.0</v>
      </c>
      <c r="G505" s="2031">
        <v>81.0</v>
      </c>
      <c r="H505" s="2031">
        <v>81.0</v>
      </c>
    </row>
    <row r="506">
      <c r="B506" s="2031">
        <v>504.0</v>
      </c>
      <c r="C506" s="2031">
        <v>61.0</v>
      </c>
      <c r="D506" s="2031">
        <v>121.0</v>
      </c>
      <c r="E506" s="2031">
        <v>80.0</v>
      </c>
      <c r="F506" s="2031">
        <v>80.0</v>
      </c>
      <c r="G506" s="2031">
        <v>81.0</v>
      </c>
      <c r="H506" s="2031">
        <v>81.0</v>
      </c>
    </row>
    <row r="507">
      <c r="B507" s="2031">
        <v>505.0</v>
      </c>
      <c r="C507" s="2031">
        <v>60.0</v>
      </c>
      <c r="D507" s="2031">
        <v>121.0</v>
      </c>
      <c r="E507" s="2031">
        <v>81.0</v>
      </c>
      <c r="F507" s="2031">
        <v>81.0</v>
      </c>
      <c r="G507" s="2031">
        <v>81.0</v>
      </c>
      <c r="H507" s="2031">
        <v>81.0</v>
      </c>
    </row>
    <row r="508">
      <c r="B508" s="2031">
        <v>506.0</v>
      </c>
      <c r="C508" s="2031">
        <v>61.0</v>
      </c>
      <c r="D508" s="2031">
        <v>121.0</v>
      </c>
      <c r="E508" s="2031">
        <v>81.0</v>
      </c>
      <c r="F508" s="2031">
        <v>81.0</v>
      </c>
      <c r="G508" s="2031">
        <v>81.0</v>
      </c>
      <c r="H508" s="2031">
        <v>81.0</v>
      </c>
    </row>
    <row r="509">
      <c r="B509" s="2031">
        <v>507.0</v>
      </c>
      <c r="C509" s="2031">
        <v>61.0</v>
      </c>
      <c r="D509" s="2031">
        <v>122.0</v>
      </c>
      <c r="E509" s="2031">
        <v>81.0</v>
      </c>
      <c r="F509" s="2031">
        <v>81.0</v>
      </c>
      <c r="G509" s="2031">
        <v>81.0</v>
      </c>
      <c r="H509" s="2031">
        <v>81.0</v>
      </c>
    </row>
    <row r="510">
      <c r="B510" s="2031">
        <v>508.0</v>
      </c>
      <c r="C510" s="2031">
        <v>61.0</v>
      </c>
      <c r="D510" s="2031">
        <v>121.0</v>
      </c>
      <c r="E510" s="2031">
        <v>81.0</v>
      </c>
      <c r="F510" s="2031">
        <v>81.0</v>
      </c>
      <c r="G510" s="2031">
        <v>82.0</v>
      </c>
      <c r="H510" s="2031">
        <v>82.0</v>
      </c>
    </row>
    <row r="511">
      <c r="B511" s="2031">
        <v>509.0</v>
      </c>
      <c r="C511" s="2031">
        <v>61.0</v>
      </c>
      <c r="D511" s="2031">
        <v>122.0</v>
      </c>
      <c r="E511" s="2031">
        <v>81.0</v>
      </c>
      <c r="F511" s="2031">
        <v>81.0</v>
      </c>
      <c r="G511" s="2031">
        <v>82.0</v>
      </c>
      <c r="H511" s="2031">
        <v>82.0</v>
      </c>
    </row>
    <row r="512">
      <c r="B512" s="2031">
        <v>510.0</v>
      </c>
      <c r="C512" s="2031">
        <v>61.0</v>
      </c>
      <c r="D512" s="2031">
        <v>123.0</v>
      </c>
      <c r="E512" s="2031">
        <v>81.0</v>
      </c>
      <c r="F512" s="2031">
        <v>81.0</v>
      </c>
      <c r="G512" s="2031">
        <v>82.0</v>
      </c>
      <c r="H512" s="2031">
        <v>82.0</v>
      </c>
    </row>
    <row r="513">
      <c r="B513" s="2031">
        <v>511.0</v>
      </c>
      <c r="C513" s="2031">
        <v>61.0</v>
      </c>
      <c r="D513" s="2031">
        <v>122.0</v>
      </c>
      <c r="E513" s="2031">
        <v>82.0</v>
      </c>
      <c r="F513" s="2031">
        <v>82.0</v>
      </c>
      <c r="G513" s="2031">
        <v>82.0</v>
      </c>
      <c r="H513" s="2031">
        <v>82.0</v>
      </c>
    </row>
    <row r="514">
      <c r="B514" s="2031">
        <v>512.0</v>
      </c>
      <c r="C514" s="2031">
        <v>61.0</v>
      </c>
      <c r="D514" s="2031">
        <v>123.0</v>
      </c>
      <c r="E514" s="2031">
        <v>82.0</v>
      </c>
      <c r="F514" s="2031">
        <v>82.0</v>
      </c>
      <c r="G514" s="2031">
        <v>82.0</v>
      </c>
      <c r="H514" s="2031">
        <v>82.0</v>
      </c>
    </row>
    <row r="515">
      <c r="B515" s="2031">
        <v>513.0</v>
      </c>
      <c r="C515" s="2031">
        <v>62.0</v>
      </c>
      <c r="D515" s="2031">
        <v>123.0</v>
      </c>
      <c r="E515" s="2031">
        <v>82.0</v>
      </c>
      <c r="F515" s="2031">
        <v>82.0</v>
      </c>
      <c r="G515" s="2031">
        <v>82.0</v>
      </c>
      <c r="H515" s="2031">
        <v>82.0</v>
      </c>
    </row>
    <row r="516">
      <c r="B516" s="2031">
        <v>514.0</v>
      </c>
      <c r="C516" s="2031">
        <v>62.0</v>
      </c>
      <c r="D516" s="2031">
        <v>124.0</v>
      </c>
      <c r="E516" s="2031">
        <v>82.0</v>
      </c>
      <c r="F516" s="2031">
        <v>82.0</v>
      </c>
      <c r="G516" s="2031">
        <v>82.0</v>
      </c>
      <c r="H516" s="2031">
        <v>82.0</v>
      </c>
    </row>
    <row r="517">
      <c r="B517" s="2031">
        <v>515.0</v>
      </c>
      <c r="C517" s="2031">
        <v>62.0</v>
      </c>
      <c r="D517" s="2031">
        <v>123.0</v>
      </c>
      <c r="E517" s="2031">
        <v>82.0</v>
      </c>
      <c r="F517" s="2031">
        <v>82.0</v>
      </c>
      <c r="G517" s="2031">
        <v>83.0</v>
      </c>
      <c r="H517" s="2031">
        <v>83.0</v>
      </c>
    </row>
    <row r="518">
      <c r="B518" s="2031">
        <v>516.0</v>
      </c>
      <c r="C518" s="2031">
        <v>62.0</v>
      </c>
      <c r="D518" s="2031">
        <v>124.0</v>
      </c>
      <c r="E518" s="2031">
        <v>82.0</v>
      </c>
      <c r="F518" s="2031">
        <v>82.0</v>
      </c>
      <c r="G518" s="2031">
        <v>83.0</v>
      </c>
      <c r="H518" s="2031">
        <v>83.0</v>
      </c>
    </row>
    <row r="519">
      <c r="B519" s="2031">
        <v>517.0</v>
      </c>
      <c r="C519" s="2031">
        <v>62.0</v>
      </c>
      <c r="D519" s="2031">
        <v>125.0</v>
      </c>
      <c r="E519" s="2031">
        <v>82.0</v>
      </c>
      <c r="F519" s="2031">
        <v>82.0</v>
      </c>
      <c r="G519" s="2031">
        <v>83.0</v>
      </c>
      <c r="H519" s="2031">
        <v>83.0</v>
      </c>
    </row>
    <row r="520">
      <c r="B520" s="2031">
        <v>518.0</v>
      </c>
      <c r="C520" s="2031">
        <v>62.0</v>
      </c>
      <c r="D520" s="2031">
        <v>124.0</v>
      </c>
      <c r="E520" s="2031">
        <v>83.0</v>
      </c>
      <c r="F520" s="2031">
        <v>83.0</v>
      </c>
      <c r="G520" s="2031">
        <v>83.0</v>
      </c>
      <c r="H520" s="2031">
        <v>83.0</v>
      </c>
    </row>
    <row r="521">
      <c r="B521" s="2031">
        <v>519.0</v>
      </c>
      <c r="C521" s="2031">
        <v>62.0</v>
      </c>
      <c r="D521" s="2031">
        <v>125.0</v>
      </c>
      <c r="E521" s="2031">
        <v>83.0</v>
      </c>
      <c r="F521" s="2031">
        <v>83.0</v>
      </c>
      <c r="G521" s="2031">
        <v>83.0</v>
      </c>
      <c r="H521" s="2031">
        <v>83.0</v>
      </c>
    </row>
    <row r="522">
      <c r="B522" s="2031">
        <v>520.0</v>
      </c>
      <c r="C522" s="2031">
        <v>63.0</v>
      </c>
      <c r="D522" s="2031">
        <v>125.0</v>
      </c>
      <c r="E522" s="2031">
        <v>83.0</v>
      </c>
      <c r="F522" s="2031">
        <v>83.0</v>
      </c>
      <c r="G522" s="2031">
        <v>83.0</v>
      </c>
      <c r="H522" s="2031">
        <v>83.0</v>
      </c>
    </row>
    <row r="523">
      <c r="B523" s="2031">
        <v>521.0</v>
      </c>
      <c r="C523" s="2031">
        <v>62.0</v>
      </c>
      <c r="D523" s="2031">
        <v>125.0</v>
      </c>
      <c r="E523" s="2031">
        <v>83.0</v>
      </c>
      <c r="F523" s="2031">
        <v>83.0</v>
      </c>
      <c r="G523" s="2031">
        <v>84.0</v>
      </c>
      <c r="H523" s="2031">
        <v>84.0</v>
      </c>
    </row>
    <row r="524">
      <c r="B524" s="2031">
        <v>522.0</v>
      </c>
      <c r="C524" s="2031">
        <v>63.0</v>
      </c>
      <c r="D524" s="2031">
        <v>125.0</v>
      </c>
      <c r="E524" s="2031">
        <v>83.0</v>
      </c>
      <c r="F524" s="2031">
        <v>83.0</v>
      </c>
      <c r="G524" s="2031">
        <v>84.0</v>
      </c>
      <c r="H524" s="2031">
        <v>84.0</v>
      </c>
    </row>
    <row r="525">
      <c r="B525" s="2031">
        <v>523.0</v>
      </c>
      <c r="C525" s="2031">
        <v>62.0</v>
      </c>
      <c r="D525" s="2031">
        <v>125.0</v>
      </c>
      <c r="E525" s="2031">
        <v>84.0</v>
      </c>
      <c r="F525" s="2031">
        <v>84.0</v>
      </c>
      <c r="G525" s="2031">
        <v>84.0</v>
      </c>
      <c r="H525" s="2031">
        <v>84.0</v>
      </c>
    </row>
    <row r="526">
      <c r="B526" s="2031">
        <v>524.0</v>
      </c>
      <c r="C526" s="2031">
        <v>63.0</v>
      </c>
      <c r="D526" s="2031">
        <v>125.0</v>
      </c>
      <c r="E526" s="2031">
        <v>84.0</v>
      </c>
      <c r="F526" s="2031">
        <v>84.0</v>
      </c>
      <c r="G526" s="2031">
        <v>84.0</v>
      </c>
      <c r="H526" s="2031">
        <v>84.0</v>
      </c>
    </row>
    <row r="527">
      <c r="B527" s="2031">
        <v>525.0</v>
      </c>
      <c r="C527" s="2031">
        <v>63.0</v>
      </c>
      <c r="D527" s="2031">
        <v>126.0</v>
      </c>
      <c r="E527" s="2031">
        <v>84.0</v>
      </c>
      <c r="F527" s="2031">
        <v>84.0</v>
      </c>
      <c r="G527" s="2031">
        <v>84.0</v>
      </c>
      <c r="H527" s="2031">
        <v>84.0</v>
      </c>
    </row>
    <row r="528">
      <c r="B528" s="2031">
        <v>526.0</v>
      </c>
      <c r="C528" s="2031">
        <v>63.0</v>
      </c>
      <c r="D528" s="2031">
        <v>127.0</v>
      </c>
      <c r="E528" s="2031">
        <v>84.0</v>
      </c>
      <c r="F528" s="2031">
        <v>84.0</v>
      </c>
      <c r="G528" s="2031">
        <v>84.0</v>
      </c>
      <c r="H528" s="2031">
        <v>84.0</v>
      </c>
    </row>
    <row r="529">
      <c r="B529" s="2031">
        <v>527.0</v>
      </c>
      <c r="C529" s="2031">
        <v>64.0</v>
      </c>
      <c r="D529" s="2031">
        <v>127.0</v>
      </c>
      <c r="E529" s="2031">
        <v>84.0</v>
      </c>
      <c r="F529" s="2031">
        <v>84.0</v>
      </c>
      <c r="G529" s="2031">
        <v>84.0</v>
      </c>
      <c r="H529" s="2031">
        <v>84.0</v>
      </c>
    </row>
    <row r="530">
      <c r="B530" s="2031">
        <v>528.0</v>
      </c>
      <c r="C530" s="2031">
        <v>63.0</v>
      </c>
      <c r="D530" s="2031">
        <v>127.0</v>
      </c>
      <c r="E530" s="2031">
        <v>84.0</v>
      </c>
      <c r="F530" s="2031">
        <v>84.0</v>
      </c>
      <c r="G530" s="2031">
        <v>85.0</v>
      </c>
      <c r="H530" s="2031">
        <v>85.0</v>
      </c>
    </row>
    <row r="531">
      <c r="B531" s="2031">
        <v>529.0</v>
      </c>
      <c r="C531" s="2031">
        <v>64.0</v>
      </c>
      <c r="D531" s="2031">
        <v>127.0</v>
      </c>
      <c r="E531" s="2031">
        <v>84.0</v>
      </c>
      <c r="F531" s="2031">
        <v>84.0</v>
      </c>
      <c r="G531" s="2031">
        <v>85.0</v>
      </c>
      <c r="H531" s="2031">
        <v>85.0</v>
      </c>
    </row>
    <row r="532">
      <c r="B532" s="2031">
        <v>530.0</v>
      </c>
      <c r="C532" s="2031">
        <v>63.0</v>
      </c>
      <c r="D532" s="2031">
        <v>127.0</v>
      </c>
      <c r="E532" s="2031">
        <v>85.0</v>
      </c>
      <c r="F532" s="2031">
        <v>85.0</v>
      </c>
      <c r="G532" s="2031">
        <v>85.0</v>
      </c>
      <c r="H532" s="2031">
        <v>85.0</v>
      </c>
    </row>
    <row r="533">
      <c r="B533" s="2031">
        <v>531.0</v>
      </c>
      <c r="C533" s="2031">
        <v>64.0</v>
      </c>
      <c r="D533" s="2031">
        <v>127.0</v>
      </c>
      <c r="E533" s="2031">
        <v>85.0</v>
      </c>
      <c r="F533" s="2031">
        <v>85.0</v>
      </c>
      <c r="G533" s="2031">
        <v>85.0</v>
      </c>
      <c r="H533" s="2031">
        <v>85.0</v>
      </c>
    </row>
    <row r="534">
      <c r="B534" s="2031">
        <v>532.0</v>
      </c>
      <c r="C534" s="2031">
        <v>64.0</v>
      </c>
      <c r="D534" s="2031">
        <v>128.0</v>
      </c>
      <c r="E534" s="2031">
        <v>85.0</v>
      </c>
      <c r="F534" s="2031">
        <v>85.0</v>
      </c>
      <c r="G534" s="2031">
        <v>85.0</v>
      </c>
      <c r="H534" s="2031">
        <v>85.0</v>
      </c>
    </row>
    <row r="535">
      <c r="B535" s="2031">
        <v>533.0</v>
      </c>
      <c r="C535" s="2031">
        <v>64.0</v>
      </c>
      <c r="D535" s="2031">
        <v>127.0</v>
      </c>
      <c r="E535" s="2031">
        <v>85.0</v>
      </c>
      <c r="F535" s="2031">
        <v>85.0</v>
      </c>
      <c r="G535" s="2031">
        <v>86.0</v>
      </c>
      <c r="H535" s="2031">
        <v>86.0</v>
      </c>
    </row>
    <row r="536">
      <c r="B536" s="2031">
        <v>534.0</v>
      </c>
      <c r="C536" s="2031">
        <v>64.0</v>
      </c>
      <c r="D536" s="2031">
        <v>128.0</v>
      </c>
      <c r="E536" s="2031">
        <v>85.0</v>
      </c>
      <c r="F536" s="2031">
        <v>85.0</v>
      </c>
      <c r="G536" s="2031">
        <v>86.0</v>
      </c>
      <c r="H536" s="2031">
        <v>86.0</v>
      </c>
    </row>
    <row r="537">
      <c r="B537" s="2031">
        <v>535.0</v>
      </c>
      <c r="C537" s="2031">
        <v>64.0</v>
      </c>
      <c r="D537" s="2031">
        <v>129.0</v>
      </c>
      <c r="E537" s="2031">
        <v>85.0</v>
      </c>
      <c r="F537" s="2031">
        <v>85.0</v>
      </c>
      <c r="G537" s="2031">
        <v>86.0</v>
      </c>
      <c r="H537" s="2031">
        <v>86.0</v>
      </c>
    </row>
    <row r="538">
      <c r="B538" s="2031">
        <v>536.0</v>
      </c>
      <c r="C538" s="2031">
        <v>64.0</v>
      </c>
      <c r="D538" s="2031">
        <v>128.0</v>
      </c>
      <c r="E538" s="2031">
        <v>86.0</v>
      </c>
      <c r="F538" s="2031">
        <v>86.0</v>
      </c>
      <c r="G538" s="2031">
        <v>86.0</v>
      </c>
      <c r="H538" s="2031">
        <v>86.0</v>
      </c>
    </row>
    <row r="539">
      <c r="B539" s="2031">
        <v>537.0</v>
      </c>
      <c r="C539" s="2031">
        <v>64.0</v>
      </c>
      <c r="D539" s="2031">
        <v>129.0</v>
      </c>
      <c r="E539" s="2031">
        <v>86.0</v>
      </c>
      <c r="F539" s="2031">
        <v>86.0</v>
      </c>
      <c r="G539" s="2031">
        <v>86.0</v>
      </c>
      <c r="H539" s="2031">
        <v>86.0</v>
      </c>
    </row>
    <row r="540">
      <c r="B540" s="2031">
        <v>538.0</v>
      </c>
      <c r="C540" s="2031">
        <v>65.0</v>
      </c>
      <c r="D540" s="2031">
        <v>129.0</v>
      </c>
      <c r="E540" s="2031">
        <v>86.0</v>
      </c>
      <c r="F540" s="2031">
        <v>86.0</v>
      </c>
      <c r="G540" s="2031">
        <v>86.0</v>
      </c>
      <c r="H540" s="2031">
        <v>86.0</v>
      </c>
    </row>
    <row r="541">
      <c r="B541" s="2031">
        <v>539.0</v>
      </c>
      <c r="C541" s="2031">
        <v>65.0</v>
      </c>
      <c r="D541" s="2031">
        <v>130.0</v>
      </c>
      <c r="E541" s="2031">
        <v>86.0</v>
      </c>
      <c r="F541" s="2031">
        <v>86.0</v>
      </c>
      <c r="G541" s="2031">
        <v>86.0</v>
      </c>
      <c r="H541" s="2031">
        <v>86.0</v>
      </c>
    </row>
    <row r="542">
      <c r="B542" s="2031">
        <v>540.0</v>
      </c>
      <c r="C542" s="2031">
        <v>65.0</v>
      </c>
      <c r="D542" s="2031">
        <v>129.0</v>
      </c>
      <c r="E542" s="2031">
        <v>86.0</v>
      </c>
      <c r="F542" s="2031">
        <v>86.0</v>
      </c>
      <c r="G542" s="2031">
        <v>87.0</v>
      </c>
      <c r="H542" s="2031">
        <v>87.0</v>
      </c>
    </row>
    <row r="543">
      <c r="B543" s="2031">
        <v>541.0</v>
      </c>
      <c r="C543" s="2031">
        <v>65.0</v>
      </c>
      <c r="D543" s="2031">
        <v>130.0</v>
      </c>
      <c r="E543" s="2031">
        <v>86.0</v>
      </c>
      <c r="F543" s="2031">
        <v>86.0</v>
      </c>
      <c r="G543" s="2031">
        <v>87.0</v>
      </c>
      <c r="H543" s="2031">
        <v>87.0</v>
      </c>
    </row>
    <row r="544">
      <c r="B544" s="2031">
        <v>542.0</v>
      </c>
      <c r="C544" s="2031">
        <v>65.0</v>
      </c>
      <c r="D544" s="2031">
        <v>131.0</v>
      </c>
      <c r="E544" s="2031">
        <v>86.0</v>
      </c>
      <c r="F544" s="2031">
        <v>86.0</v>
      </c>
      <c r="G544" s="2031">
        <v>87.0</v>
      </c>
      <c r="H544" s="2031">
        <v>87.0</v>
      </c>
    </row>
    <row r="545">
      <c r="B545" s="2031">
        <v>543.0</v>
      </c>
      <c r="C545" s="2031">
        <v>65.0</v>
      </c>
      <c r="D545" s="2031">
        <v>130.0</v>
      </c>
      <c r="E545" s="2031">
        <v>87.0</v>
      </c>
      <c r="F545" s="2031">
        <v>87.0</v>
      </c>
      <c r="G545" s="2031">
        <v>87.0</v>
      </c>
      <c r="H545" s="2031">
        <v>87.0</v>
      </c>
    </row>
    <row r="546">
      <c r="B546" s="2031">
        <v>544.0</v>
      </c>
      <c r="C546" s="2031">
        <v>65.0</v>
      </c>
      <c r="D546" s="2031">
        <v>131.0</v>
      </c>
      <c r="E546" s="2031">
        <v>87.0</v>
      </c>
      <c r="F546" s="2031">
        <v>87.0</v>
      </c>
      <c r="G546" s="2031">
        <v>87.0</v>
      </c>
      <c r="H546" s="2031">
        <v>87.0</v>
      </c>
    </row>
    <row r="547">
      <c r="B547" s="2031">
        <v>545.0</v>
      </c>
      <c r="C547" s="2031">
        <v>66.0</v>
      </c>
      <c r="D547" s="2031">
        <v>131.0</v>
      </c>
      <c r="E547" s="2031">
        <v>87.0</v>
      </c>
      <c r="F547" s="2031">
        <v>87.0</v>
      </c>
      <c r="G547" s="2031">
        <v>87.0</v>
      </c>
      <c r="H547" s="2031">
        <v>87.0</v>
      </c>
    </row>
    <row r="548">
      <c r="B548" s="2031">
        <v>546.0</v>
      </c>
      <c r="C548" s="2031">
        <v>65.0</v>
      </c>
      <c r="D548" s="2031">
        <v>131.0</v>
      </c>
      <c r="E548" s="2031">
        <v>87.0</v>
      </c>
      <c r="F548" s="2031">
        <v>87.0</v>
      </c>
      <c r="G548" s="2031">
        <v>88.0</v>
      </c>
      <c r="H548" s="2031">
        <v>88.0</v>
      </c>
    </row>
    <row r="549">
      <c r="B549" s="2031">
        <v>547.0</v>
      </c>
      <c r="C549" s="2031">
        <v>66.0</v>
      </c>
      <c r="D549" s="2031">
        <v>131.0</v>
      </c>
      <c r="E549" s="2031">
        <v>87.0</v>
      </c>
      <c r="F549" s="2031">
        <v>87.0</v>
      </c>
      <c r="G549" s="2031">
        <v>88.0</v>
      </c>
      <c r="H549" s="2031">
        <v>88.0</v>
      </c>
    </row>
    <row r="550">
      <c r="B550" s="2031">
        <v>548.0</v>
      </c>
      <c r="C550" s="2031">
        <v>65.0</v>
      </c>
      <c r="D550" s="2031">
        <v>131.0</v>
      </c>
      <c r="E550" s="2031">
        <v>88.0</v>
      </c>
      <c r="F550" s="2031">
        <v>88.0</v>
      </c>
      <c r="G550" s="2031">
        <v>88.0</v>
      </c>
      <c r="H550" s="2031">
        <v>88.0</v>
      </c>
    </row>
    <row r="551">
      <c r="B551" s="2031">
        <v>549.0</v>
      </c>
      <c r="C551" s="2031">
        <v>66.0</v>
      </c>
      <c r="D551" s="2031">
        <v>131.0</v>
      </c>
      <c r="E551" s="2031">
        <v>88.0</v>
      </c>
      <c r="F551" s="2031">
        <v>88.0</v>
      </c>
      <c r="G551" s="2031">
        <v>88.0</v>
      </c>
      <c r="H551" s="2031">
        <v>88.0</v>
      </c>
    </row>
    <row r="552">
      <c r="B552" s="2031">
        <v>550.0</v>
      </c>
      <c r="C552" s="2031">
        <v>66.0</v>
      </c>
      <c r="D552" s="2031">
        <v>132.0</v>
      </c>
      <c r="E552" s="2031">
        <v>88.0</v>
      </c>
      <c r="F552" s="2031">
        <v>88.0</v>
      </c>
      <c r="G552" s="2031">
        <v>88.0</v>
      </c>
      <c r="H552" s="2031">
        <v>88.0</v>
      </c>
    </row>
    <row r="553">
      <c r="B553" s="2031">
        <v>551.0</v>
      </c>
      <c r="C553" s="2031">
        <v>66.0</v>
      </c>
      <c r="D553" s="2031">
        <v>133.0</v>
      </c>
      <c r="E553" s="2031">
        <v>88.0</v>
      </c>
      <c r="F553" s="2031">
        <v>88.0</v>
      </c>
      <c r="G553" s="2031">
        <v>88.0</v>
      </c>
      <c r="H553" s="2031">
        <v>88.0</v>
      </c>
    </row>
    <row r="554">
      <c r="B554" s="2031">
        <v>552.0</v>
      </c>
      <c r="C554" s="2031">
        <v>67.0</v>
      </c>
      <c r="D554" s="2031">
        <v>133.0</v>
      </c>
      <c r="E554" s="2031">
        <v>88.0</v>
      </c>
      <c r="F554" s="2031">
        <v>88.0</v>
      </c>
      <c r="G554" s="2031">
        <v>88.0</v>
      </c>
      <c r="H554" s="2031">
        <v>88.0</v>
      </c>
    </row>
    <row r="555">
      <c r="B555" s="2031">
        <v>553.0</v>
      </c>
      <c r="C555" s="2031">
        <v>66.0</v>
      </c>
      <c r="D555" s="2031">
        <v>133.0</v>
      </c>
      <c r="E555" s="2031">
        <v>88.0</v>
      </c>
      <c r="F555" s="2031">
        <v>88.0</v>
      </c>
      <c r="G555" s="2031">
        <v>89.0</v>
      </c>
      <c r="H555" s="2031">
        <v>89.0</v>
      </c>
    </row>
    <row r="556">
      <c r="B556" s="2031">
        <v>554.0</v>
      </c>
      <c r="C556" s="2031">
        <v>67.0</v>
      </c>
      <c r="D556" s="2031">
        <v>133.0</v>
      </c>
      <c r="E556" s="2031">
        <v>88.0</v>
      </c>
      <c r="F556" s="2031">
        <v>88.0</v>
      </c>
      <c r="G556" s="2031">
        <v>89.0</v>
      </c>
      <c r="H556" s="2031">
        <v>89.0</v>
      </c>
    </row>
    <row r="557">
      <c r="B557" s="2031">
        <v>555.0</v>
      </c>
      <c r="C557" s="2031">
        <v>66.0</v>
      </c>
      <c r="D557" s="2031">
        <v>133.0</v>
      </c>
      <c r="E557" s="2031">
        <v>89.0</v>
      </c>
      <c r="F557" s="2031">
        <v>89.0</v>
      </c>
      <c r="G557" s="2031">
        <v>89.0</v>
      </c>
      <c r="H557" s="2031">
        <v>89.0</v>
      </c>
    </row>
    <row r="558">
      <c r="B558" s="2031">
        <v>556.0</v>
      </c>
      <c r="C558" s="2031">
        <v>67.0</v>
      </c>
      <c r="D558" s="2031">
        <v>133.0</v>
      </c>
      <c r="E558" s="2031">
        <v>89.0</v>
      </c>
      <c r="F558" s="2031">
        <v>89.0</v>
      </c>
      <c r="G558" s="2031">
        <v>89.0</v>
      </c>
      <c r="H558" s="2031">
        <v>89.0</v>
      </c>
    </row>
    <row r="559">
      <c r="B559" s="2031">
        <v>557.0</v>
      </c>
      <c r="C559" s="2031">
        <v>67.0</v>
      </c>
      <c r="D559" s="2031">
        <v>134.0</v>
      </c>
      <c r="E559" s="2031">
        <v>89.0</v>
      </c>
      <c r="F559" s="2031">
        <v>89.0</v>
      </c>
      <c r="G559" s="2031">
        <v>89.0</v>
      </c>
      <c r="H559" s="2031">
        <v>89.0</v>
      </c>
    </row>
    <row r="560">
      <c r="B560" s="2031">
        <v>558.0</v>
      </c>
      <c r="C560" s="2031">
        <v>67.0</v>
      </c>
      <c r="D560" s="2031">
        <v>133.0</v>
      </c>
      <c r="E560" s="2031">
        <v>89.0</v>
      </c>
      <c r="F560" s="2031">
        <v>89.0</v>
      </c>
      <c r="G560" s="2031">
        <v>90.0</v>
      </c>
      <c r="H560" s="2031">
        <v>90.0</v>
      </c>
    </row>
    <row r="561">
      <c r="B561" s="2031">
        <v>559.0</v>
      </c>
      <c r="C561" s="2031">
        <v>67.0</v>
      </c>
      <c r="D561" s="2031">
        <v>134.0</v>
      </c>
      <c r="E561" s="2031">
        <v>89.0</v>
      </c>
      <c r="F561" s="2031">
        <v>89.0</v>
      </c>
      <c r="G561" s="2031">
        <v>90.0</v>
      </c>
      <c r="H561" s="2031">
        <v>90.0</v>
      </c>
    </row>
    <row r="562">
      <c r="B562" s="2031">
        <v>560.0</v>
      </c>
      <c r="C562" s="2031">
        <v>67.0</v>
      </c>
      <c r="D562" s="2031">
        <v>135.0</v>
      </c>
      <c r="E562" s="2031">
        <v>89.0</v>
      </c>
      <c r="F562" s="2031">
        <v>89.0</v>
      </c>
      <c r="G562" s="2031">
        <v>90.0</v>
      </c>
      <c r="H562" s="2031">
        <v>90.0</v>
      </c>
    </row>
    <row r="563">
      <c r="B563" s="2031">
        <v>561.0</v>
      </c>
      <c r="C563" s="2031">
        <v>67.0</v>
      </c>
      <c r="D563" s="2031">
        <v>134.0</v>
      </c>
      <c r="E563" s="2031">
        <v>90.0</v>
      </c>
      <c r="F563" s="2031">
        <v>90.0</v>
      </c>
      <c r="G563" s="2031">
        <v>90.0</v>
      </c>
      <c r="H563" s="2031">
        <v>90.0</v>
      </c>
    </row>
    <row r="564">
      <c r="B564" s="2031">
        <v>562.0</v>
      </c>
      <c r="C564" s="2031">
        <v>67.0</v>
      </c>
      <c r="D564" s="2031">
        <v>135.0</v>
      </c>
      <c r="E564" s="2031">
        <v>90.0</v>
      </c>
      <c r="F564" s="2031">
        <v>90.0</v>
      </c>
      <c r="G564" s="2031">
        <v>90.0</v>
      </c>
      <c r="H564" s="2031">
        <v>90.0</v>
      </c>
    </row>
    <row r="565">
      <c r="B565" s="2031">
        <v>563.0</v>
      </c>
      <c r="C565" s="2031">
        <v>68.0</v>
      </c>
      <c r="D565" s="2031">
        <v>135.0</v>
      </c>
      <c r="E565" s="2031">
        <v>90.0</v>
      </c>
      <c r="F565" s="2031">
        <v>90.0</v>
      </c>
      <c r="G565" s="2031">
        <v>90.0</v>
      </c>
      <c r="H565" s="2031">
        <v>90.0</v>
      </c>
    </row>
    <row r="566">
      <c r="B566" s="2031">
        <v>564.0</v>
      </c>
      <c r="C566" s="2031">
        <v>68.0</v>
      </c>
      <c r="D566" s="2031">
        <v>136.0</v>
      </c>
      <c r="E566" s="2031">
        <v>90.0</v>
      </c>
      <c r="F566" s="2031">
        <v>90.0</v>
      </c>
      <c r="G566" s="2031">
        <v>90.0</v>
      </c>
      <c r="H566" s="2031">
        <v>90.0</v>
      </c>
    </row>
    <row r="567">
      <c r="B567" s="2031">
        <v>565.0</v>
      </c>
      <c r="C567" s="2031">
        <v>68.0</v>
      </c>
      <c r="D567" s="2031">
        <v>135.0</v>
      </c>
      <c r="E567" s="2031">
        <v>90.0</v>
      </c>
      <c r="F567" s="2031">
        <v>90.0</v>
      </c>
      <c r="G567" s="2031">
        <v>91.0</v>
      </c>
      <c r="H567" s="2031">
        <v>91.0</v>
      </c>
    </row>
    <row r="568">
      <c r="B568" s="2031">
        <v>566.0</v>
      </c>
      <c r="C568" s="2031">
        <v>68.0</v>
      </c>
      <c r="D568" s="2031">
        <v>136.0</v>
      </c>
      <c r="E568" s="2031">
        <v>90.0</v>
      </c>
      <c r="F568" s="2031">
        <v>90.0</v>
      </c>
      <c r="G568" s="2031">
        <v>91.0</v>
      </c>
      <c r="H568" s="2031">
        <v>91.0</v>
      </c>
    </row>
    <row r="569">
      <c r="B569" s="2031">
        <v>567.0</v>
      </c>
      <c r="C569" s="2031">
        <v>68.0</v>
      </c>
      <c r="D569" s="2031">
        <v>137.0</v>
      </c>
      <c r="E569" s="2031">
        <v>90.0</v>
      </c>
      <c r="F569" s="2031">
        <v>90.0</v>
      </c>
      <c r="G569" s="2031">
        <v>91.0</v>
      </c>
      <c r="H569" s="2031">
        <v>91.0</v>
      </c>
    </row>
    <row r="570">
      <c r="B570" s="2031">
        <v>568.0</v>
      </c>
      <c r="C570" s="2031">
        <v>68.0</v>
      </c>
      <c r="D570" s="2031">
        <v>136.0</v>
      </c>
      <c r="E570" s="2031">
        <v>91.0</v>
      </c>
      <c r="F570" s="2031">
        <v>91.0</v>
      </c>
      <c r="G570" s="2031">
        <v>91.0</v>
      </c>
      <c r="H570" s="2031">
        <v>91.0</v>
      </c>
    </row>
    <row r="571">
      <c r="B571" s="2031">
        <v>569.0</v>
      </c>
      <c r="C571" s="2031">
        <v>68.0</v>
      </c>
      <c r="D571" s="2031">
        <v>137.0</v>
      </c>
      <c r="E571" s="2031">
        <v>91.0</v>
      </c>
      <c r="F571" s="2031">
        <v>91.0</v>
      </c>
      <c r="G571" s="2031">
        <v>91.0</v>
      </c>
      <c r="H571" s="2031">
        <v>91.0</v>
      </c>
    </row>
    <row r="572">
      <c r="B572" s="2031">
        <v>570.0</v>
      </c>
      <c r="C572" s="2031">
        <v>69.0</v>
      </c>
      <c r="D572" s="2031">
        <v>137.0</v>
      </c>
      <c r="E572" s="2031">
        <v>91.0</v>
      </c>
      <c r="F572" s="2031">
        <v>91.0</v>
      </c>
      <c r="G572" s="2031">
        <v>91.0</v>
      </c>
      <c r="H572" s="2031">
        <v>91.0</v>
      </c>
    </row>
    <row r="573">
      <c r="B573" s="2031">
        <v>571.0</v>
      </c>
      <c r="C573" s="2031">
        <v>68.0</v>
      </c>
      <c r="D573" s="2031">
        <v>137.0</v>
      </c>
      <c r="E573" s="2031">
        <v>91.0</v>
      </c>
      <c r="F573" s="2031">
        <v>91.0</v>
      </c>
      <c r="G573" s="2031">
        <v>92.0</v>
      </c>
      <c r="H573" s="2031">
        <v>92.0</v>
      </c>
    </row>
    <row r="574">
      <c r="B574" s="2031">
        <v>572.0</v>
      </c>
      <c r="C574" s="2031">
        <v>69.0</v>
      </c>
      <c r="D574" s="2031">
        <v>137.0</v>
      </c>
      <c r="E574" s="2031">
        <v>91.0</v>
      </c>
      <c r="F574" s="2031">
        <v>91.0</v>
      </c>
      <c r="G574" s="2031">
        <v>92.0</v>
      </c>
      <c r="H574" s="2031">
        <v>92.0</v>
      </c>
    </row>
    <row r="575">
      <c r="B575" s="2031">
        <v>573.0</v>
      </c>
      <c r="C575" s="2031">
        <v>68.0</v>
      </c>
      <c r="D575" s="2031">
        <v>137.0</v>
      </c>
      <c r="E575" s="2031">
        <v>92.0</v>
      </c>
      <c r="F575" s="2031">
        <v>92.0</v>
      </c>
      <c r="G575" s="2031">
        <v>92.0</v>
      </c>
      <c r="H575" s="2031">
        <v>92.0</v>
      </c>
    </row>
    <row r="576">
      <c r="B576" s="2031">
        <v>574.0</v>
      </c>
      <c r="C576" s="2031">
        <v>69.0</v>
      </c>
      <c r="D576" s="2031">
        <v>137.0</v>
      </c>
      <c r="E576" s="2031">
        <v>92.0</v>
      </c>
      <c r="F576" s="2031">
        <v>92.0</v>
      </c>
      <c r="G576" s="2031">
        <v>92.0</v>
      </c>
      <c r="H576" s="2031">
        <v>92.0</v>
      </c>
    </row>
    <row r="577">
      <c r="B577" s="2031">
        <v>575.0</v>
      </c>
      <c r="C577" s="2031">
        <v>69.0</v>
      </c>
      <c r="D577" s="2031">
        <v>138.0</v>
      </c>
      <c r="E577" s="2031">
        <v>92.0</v>
      </c>
      <c r="F577" s="2031">
        <v>92.0</v>
      </c>
      <c r="G577" s="2031">
        <v>92.0</v>
      </c>
      <c r="H577" s="2031">
        <v>92.0</v>
      </c>
    </row>
    <row r="578">
      <c r="B578" s="2031">
        <v>576.0</v>
      </c>
      <c r="C578" s="2031">
        <v>69.0</v>
      </c>
      <c r="D578" s="2031">
        <v>139.0</v>
      </c>
      <c r="E578" s="2031">
        <v>92.0</v>
      </c>
      <c r="F578" s="2031">
        <v>92.0</v>
      </c>
      <c r="G578" s="2031">
        <v>92.0</v>
      </c>
      <c r="H578" s="2031">
        <v>92.0</v>
      </c>
    </row>
    <row r="579">
      <c r="B579" s="2031">
        <v>577.0</v>
      </c>
      <c r="C579" s="2031">
        <v>70.0</v>
      </c>
      <c r="D579" s="2031">
        <v>139.0</v>
      </c>
      <c r="E579" s="2031">
        <v>92.0</v>
      </c>
      <c r="F579" s="2031">
        <v>92.0</v>
      </c>
      <c r="G579" s="2031">
        <v>92.0</v>
      </c>
      <c r="H579" s="2031">
        <v>92.0</v>
      </c>
    </row>
    <row r="580">
      <c r="B580" s="2031">
        <v>578.0</v>
      </c>
      <c r="C580" s="2031">
        <v>69.0</v>
      </c>
      <c r="D580" s="2031">
        <v>139.0</v>
      </c>
      <c r="E580" s="2031">
        <v>92.0</v>
      </c>
      <c r="F580" s="2031">
        <v>92.0</v>
      </c>
      <c r="G580" s="2031">
        <v>93.0</v>
      </c>
      <c r="H580" s="2031">
        <v>93.0</v>
      </c>
    </row>
    <row r="581">
      <c r="B581" s="2031">
        <v>579.0</v>
      </c>
      <c r="C581" s="2031">
        <v>70.0</v>
      </c>
      <c r="D581" s="2031">
        <v>139.0</v>
      </c>
      <c r="E581" s="2031">
        <v>92.0</v>
      </c>
      <c r="F581" s="2031">
        <v>92.0</v>
      </c>
      <c r="G581" s="2031">
        <v>93.0</v>
      </c>
      <c r="H581" s="2031">
        <v>93.0</v>
      </c>
    </row>
    <row r="582">
      <c r="B582" s="2031">
        <v>580.0</v>
      </c>
      <c r="C582" s="2031">
        <v>69.0</v>
      </c>
      <c r="D582" s="2031">
        <v>139.0</v>
      </c>
      <c r="E582" s="2031">
        <v>93.0</v>
      </c>
      <c r="F582" s="2031">
        <v>93.0</v>
      </c>
      <c r="G582" s="2031">
        <v>93.0</v>
      </c>
      <c r="H582" s="2031">
        <v>93.0</v>
      </c>
    </row>
    <row r="583">
      <c r="B583" s="2031">
        <v>581.0</v>
      </c>
      <c r="C583" s="2031">
        <v>70.0</v>
      </c>
      <c r="D583" s="2031">
        <v>139.0</v>
      </c>
      <c r="E583" s="2031">
        <v>93.0</v>
      </c>
      <c r="F583" s="2031">
        <v>93.0</v>
      </c>
      <c r="G583" s="2031">
        <v>93.0</v>
      </c>
      <c r="H583" s="2031">
        <v>93.0</v>
      </c>
    </row>
    <row r="584">
      <c r="B584" s="2031">
        <v>582.0</v>
      </c>
      <c r="C584" s="2031">
        <v>70.0</v>
      </c>
      <c r="D584" s="2031">
        <v>140.0</v>
      </c>
      <c r="E584" s="2031">
        <v>93.0</v>
      </c>
      <c r="F584" s="2031">
        <v>93.0</v>
      </c>
      <c r="G584" s="2031">
        <v>93.0</v>
      </c>
      <c r="H584" s="2031">
        <v>93.0</v>
      </c>
    </row>
    <row r="585">
      <c r="B585" s="2031">
        <v>583.0</v>
      </c>
      <c r="C585" s="2031">
        <v>70.0</v>
      </c>
      <c r="D585" s="2031">
        <v>139.0</v>
      </c>
      <c r="E585" s="2031">
        <v>93.0</v>
      </c>
      <c r="F585" s="2031">
        <v>93.0</v>
      </c>
      <c r="G585" s="2031">
        <v>94.0</v>
      </c>
      <c r="H585" s="2031">
        <v>94.0</v>
      </c>
    </row>
    <row r="586">
      <c r="B586" s="2031">
        <v>584.0</v>
      </c>
      <c r="C586" s="2031">
        <v>70.0</v>
      </c>
      <c r="D586" s="2031">
        <v>140.0</v>
      </c>
      <c r="E586" s="2031">
        <v>93.0</v>
      </c>
      <c r="F586" s="2031">
        <v>93.0</v>
      </c>
      <c r="G586" s="2031">
        <v>94.0</v>
      </c>
      <c r="H586" s="2031">
        <v>94.0</v>
      </c>
    </row>
    <row r="587">
      <c r="B587" s="2031">
        <v>585.0</v>
      </c>
      <c r="C587" s="2031">
        <v>70.0</v>
      </c>
      <c r="D587" s="2031">
        <v>141.0</v>
      </c>
      <c r="E587" s="2031">
        <v>93.0</v>
      </c>
      <c r="F587" s="2031">
        <v>93.0</v>
      </c>
      <c r="G587" s="2031">
        <v>94.0</v>
      </c>
      <c r="H587" s="2031">
        <v>94.0</v>
      </c>
    </row>
    <row r="588">
      <c r="B588" s="2031">
        <v>586.0</v>
      </c>
      <c r="C588" s="2031">
        <v>70.0</v>
      </c>
      <c r="D588" s="2031">
        <v>140.0</v>
      </c>
      <c r="E588" s="2031">
        <v>94.0</v>
      </c>
      <c r="F588" s="2031">
        <v>94.0</v>
      </c>
      <c r="G588" s="2031">
        <v>94.0</v>
      </c>
      <c r="H588" s="2031">
        <v>94.0</v>
      </c>
    </row>
    <row r="589">
      <c r="B589" s="2031">
        <v>587.0</v>
      </c>
      <c r="C589" s="2031">
        <v>70.0</v>
      </c>
      <c r="D589" s="2031">
        <v>141.0</v>
      </c>
      <c r="E589" s="2031">
        <v>94.0</v>
      </c>
      <c r="F589" s="2031">
        <v>94.0</v>
      </c>
      <c r="G589" s="2031">
        <v>94.0</v>
      </c>
      <c r="H589" s="2031">
        <v>94.0</v>
      </c>
    </row>
    <row r="590">
      <c r="B590" s="2031">
        <v>588.0</v>
      </c>
      <c r="C590" s="2031">
        <v>71.0</v>
      </c>
      <c r="D590" s="2031">
        <v>141.0</v>
      </c>
      <c r="E590" s="2031">
        <v>94.0</v>
      </c>
      <c r="F590" s="2031">
        <v>94.0</v>
      </c>
      <c r="G590" s="2031">
        <v>94.0</v>
      </c>
      <c r="H590" s="2031">
        <v>94.0</v>
      </c>
    </row>
    <row r="591">
      <c r="B591" s="2031">
        <v>589.0</v>
      </c>
      <c r="C591" s="2031">
        <v>71.0</v>
      </c>
      <c r="D591" s="2031">
        <v>142.0</v>
      </c>
      <c r="E591" s="2031">
        <v>94.0</v>
      </c>
      <c r="F591" s="2031">
        <v>94.0</v>
      </c>
      <c r="G591" s="2031">
        <v>94.0</v>
      </c>
      <c r="H591" s="2031">
        <v>94.0</v>
      </c>
    </row>
    <row r="592">
      <c r="B592" s="2031">
        <v>590.0</v>
      </c>
      <c r="C592" s="2031">
        <v>71.0</v>
      </c>
      <c r="D592" s="2031">
        <v>141.0</v>
      </c>
      <c r="E592" s="2031">
        <v>94.0</v>
      </c>
      <c r="F592" s="2031">
        <v>94.0</v>
      </c>
      <c r="G592" s="2031">
        <v>95.0</v>
      </c>
      <c r="H592" s="2031">
        <v>95.0</v>
      </c>
    </row>
    <row r="593">
      <c r="B593" s="2031">
        <v>591.0</v>
      </c>
      <c r="C593" s="2031">
        <v>71.0</v>
      </c>
      <c r="D593" s="2031">
        <v>142.0</v>
      </c>
      <c r="E593" s="2031">
        <v>94.0</v>
      </c>
      <c r="F593" s="2031">
        <v>94.0</v>
      </c>
      <c r="G593" s="2031">
        <v>95.0</v>
      </c>
      <c r="H593" s="2031">
        <v>95.0</v>
      </c>
    </row>
    <row r="594">
      <c r="B594" s="2031">
        <v>592.0</v>
      </c>
      <c r="C594" s="2031">
        <v>71.0</v>
      </c>
      <c r="D594" s="2031">
        <v>143.0</v>
      </c>
      <c r="E594" s="2031">
        <v>94.0</v>
      </c>
      <c r="F594" s="2031">
        <v>94.0</v>
      </c>
      <c r="G594" s="2031">
        <v>95.0</v>
      </c>
      <c r="H594" s="2031">
        <v>95.0</v>
      </c>
    </row>
    <row r="595">
      <c r="B595" s="2031">
        <v>593.0</v>
      </c>
      <c r="C595" s="2031">
        <v>71.0</v>
      </c>
      <c r="D595" s="2031">
        <v>142.0</v>
      </c>
      <c r="E595" s="2031">
        <v>95.0</v>
      </c>
      <c r="F595" s="2031">
        <v>95.0</v>
      </c>
      <c r="G595" s="2031">
        <v>95.0</v>
      </c>
      <c r="H595" s="2031">
        <v>95.0</v>
      </c>
    </row>
    <row r="596">
      <c r="B596" s="2031">
        <v>594.0</v>
      </c>
      <c r="C596" s="2031">
        <v>71.0</v>
      </c>
      <c r="D596" s="2031">
        <v>143.0</v>
      </c>
      <c r="E596" s="2031">
        <v>95.0</v>
      </c>
      <c r="F596" s="2031">
        <v>95.0</v>
      </c>
      <c r="G596" s="2031">
        <v>95.0</v>
      </c>
      <c r="H596" s="2031">
        <v>95.0</v>
      </c>
    </row>
    <row r="597">
      <c r="B597" s="2031">
        <v>595.0</v>
      </c>
      <c r="C597" s="2031">
        <v>72.0</v>
      </c>
      <c r="D597" s="2031">
        <v>143.0</v>
      </c>
      <c r="E597" s="2031">
        <v>95.0</v>
      </c>
      <c r="F597" s="2031">
        <v>95.0</v>
      </c>
      <c r="G597" s="2031">
        <v>95.0</v>
      </c>
      <c r="H597" s="2031">
        <v>95.0</v>
      </c>
    </row>
    <row r="598">
      <c r="B598" s="2031">
        <v>596.0</v>
      </c>
      <c r="C598" s="2031">
        <v>71.0</v>
      </c>
      <c r="D598" s="2031">
        <v>143.0</v>
      </c>
      <c r="E598" s="2031">
        <v>95.0</v>
      </c>
      <c r="F598" s="2031">
        <v>95.0</v>
      </c>
      <c r="G598" s="2031">
        <v>96.0</v>
      </c>
      <c r="H598" s="2031">
        <v>96.0</v>
      </c>
    </row>
    <row r="599">
      <c r="B599" s="2031">
        <v>597.0</v>
      </c>
      <c r="C599" s="2031">
        <v>72.0</v>
      </c>
      <c r="D599" s="2031">
        <v>143.0</v>
      </c>
      <c r="E599" s="2031">
        <v>95.0</v>
      </c>
      <c r="F599" s="2031">
        <v>95.0</v>
      </c>
      <c r="G599" s="2031">
        <v>96.0</v>
      </c>
      <c r="H599" s="2031">
        <v>96.0</v>
      </c>
    </row>
    <row r="600">
      <c r="B600" s="2031">
        <v>598.0</v>
      </c>
      <c r="C600" s="2031">
        <v>71.0</v>
      </c>
      <c r="D600" s="2031">
        <v>143.0</v>
      </c>
      <c r="E600" s="2031">
        <v>96.0</v>
      </c>
      <c r="F600" s="2031">
        <v>96.0</v>
      </c>
      <c r="G600" s="2031">
        <v>96.0</v>
      </c>
      <c r="H600" s="2031">
        <v>96.0</v>
      </c>
    </row>
    <row r="601">
      <c r="B601" s="2031">
        <v>599.0</v>
      </c>
      <c r="C601" s="2031">
        <v>72.0</v>
      </c>
      <c r="D601" s="2031">
        <v>143.0</v>
      </c>
      <c r="E601" s="2031">
        <v>96.0</v>
      </c>
      <c r="F601" s="2031">
        <v>96.0</v>
      </c>
      <c r="G601" s="2031">
        <v>96.0</v>
      </c>
      <c r="H601" s="2031">
        <v>96.0</v>
      </c>
    </row>
    <row r="602">
      <c r="B602" s="2031">
        <v>600.0</v>
      </c>
      <c r="C602" s="2031">
        <v>72.0</v>
      </c>
      <c r="D602" s="2031">
        <v>144.0</v>
      </c>
      <c r="E602" s="2031">
        <v>96.0</v>
      </c>
      <c r="F602" s="2031">
        <v>96.0</v>
      </c>
      <c r="G602" s="2031">
        <v>96.0</v>
      </c>
      <c r="H602" s="2031">
        <v>96.0</v>
      </c>
    </row>
    <row r="603">
      <c r="B603" s="2031">
        <v>601.0</v>
      </c>
      <c r="C603" s="2031">
        <v>72.0</v>
      </c>
      <c r="D603" s="2031">
        <v>145.0</v>
      </c>
      <c r="E603" s="2031">
        <v>96.0</v>
      </c>
      <c r="F603" s="2031">
        <v>96.0</v>
      </c>
      <c r="G603" s="2031">
        <v>96.0</v>
      </c>
      <c r="H603" s="2031">
        <v>96.0</v>
      </c>
    </row>
    <row r="604">
      <c r="B604" s="2031">
        <v>602.0</v>
      </c>
      <c r="C604" s="2031">
        <v>73.0</v>
      </c>
      <c r="D604" s="2031">
        <v>145.0</v>
      </c>
      <c r="E604" s="2031">
        <v>96.0</v>
      </c>
      <c r="F604" s="2031">
        <v>96.0</v>
      </c>
      <c r="G604" s="2031">
        <v>96.0</v>
      </c>
      <c r="H604" s="2031">
        <v>96.0</v>
      </c>
    </row>
    <row r="605">
      <c r="B605" s="2031">
        <v>603.0</v>
      </c>
      <c r="C605" s="2031">
        <v>72.0</v>
      </c>
      <c r="D605" s="2031">
        <v>145.0</v>
      </c>
      <c r="E605" s="2031">
        <v>96.0</v>
      </c>
      <c r="F605" s="2031">
        <v>96.0</v>
      </c>
      <c r="G605" s="2031">
        <v>97.0</v>
      </c>
      <c r="H605" s="2031">
        <v>97.0</v>
      </c>
    </row>
    <row r="606">
      <c r="B606" s="2031">
        <v>604.0</v>
      </c>
      <c r="C606" s="2031">
        <v>73.0</v>
      </c>
      <c r="D606" s="2031">
        <v>145.0</v>
      </c>
      <c r="E606" s="2031">
        <v>96.0</v>
      </c>
      <c r="F606" s="2031">
        <v>96.0</v>
      </c>
      <c r="G606" s="2031">
        <v>97.0</v>
      </c>
      <c r="H606" s="2031">
        <v>97.0</v>
      </c>
    </row>
    <row r="607">
      <c r="B607" s="2031">
        <v>605.0</v>
      </c>
      <c r="C607" s="2031">
        <v>72.0</v>
      </c>
      <c r="D607" s="2031">
        <v>145.0</v>
      </c>
      <c r="E607" s="2031">
        <v>97.0</v>
      </c>
      <c r="F607" s="2031">
        <v>97.0</v>
      </c>
      <c r="G607" s="2031">
        <v>97.0</v>
      </c>
      <c r="H607" s="2031">
        <v>97.0</v>
      </c>
    </row>
    <row r="608">
      <c r="B608" s="2031">
        <v>606.0</v>
      </c>
      <c r="C608" s="2031">
        <v>73.0</v>
      </c>
      <c r="D608" s="2031">
        <v>145.0</v>
      </c>
      <c r="E608" s="2031">
        <v>97.0</v>
      </c>
      <c r="F608" s="2031">
        <v>97.0</v>
      </c>
      <c r="G608" s="2031">
        <v>97.0</v>
      </c>
      <c r="H608" s="2031">
        <v>97.0</v>
      </c>
    </row>
    <row r="609">
      <c r="B609" s="2031">
        <v>607.0</v>
      </c>
      <c r="C609" s="2031">
        <v>73.0</v>
      </c>
      <c r="D609" s="2031">
        <v>146.0</v>
      </c>
      <c r="E609" s="2031">
        <v>97.0</v>
      </c>
      <c r="F609" s="2031">
        <v>97.0</v>
      </c>
      <c r="G609" s="2031">
        <v>97.0</v>
      </c>
      <c r="H609" s="2031">
        <v>97.0</v>
      </c>
    </row>
    <row r="610">
      <c r="B610" s="2031">
        <v>608.0</v>
      </c>
      <c r="C610" s="2031">
        <v>73.0</v>
      </c>
      <c r="D610" s="2031">
        <v>145.0</v>
      </c>
      <c r="E610" s="2031">
        <v>97.0</v>
      </c>
      <c r="F610" s="2031">
        <v>97.0</v>
      </c>
      <c r="G610" s="2031">
        <v>98.0</v>
      </c>
      <c r="H610" s="2031">
        <v>98.0</v>
      </c>
    </row>
    <row r="611">
      <c r="B611" s="2031">
        <v>609.0</v>
      </c>
      <c r="C611" s="2031">
        <v>73.0</v>
      </c>
      <c r="D611" s="2031">
        <v>146.0</v>
      </c>
      <c r="E611" s="2031">
        <v>97.0</v>
      </c>
      <c r="F611" s="2031">
        <v>97.0</v>
      </c>
      <c r="G611" s="2031">
        <v>98.0</v>
      </c>
      <c r="H611" s="2031">
        <v>98.0</v>
      </c>
    </row>
    <row r="612">
      <c r="B612" s="2031">
        <v>610.0</v>
      </c>
      <c r="C612" s="2031">
        <v>73.0</v>
      </c>
      <c r="D612" s="2031">
        <v>147.0</v>
      </c>
      <c r="E612" s="2031">
        <v>97.0</v>
      </c>
      <c r="F612" s="2031">
        <v>97.0</v>
      </c>
      <c r="G612" s="2031">
        <v>98.0</v>
      </c>
      <c r="H612" s="2031">
        <v>98.0</v>
      </c>
    </row>
    <row r="613">
      <c r="B613" s="2031">
        <v>611.0</v>
      </c>
      <c r="C613" s="2031">
        <v>73.0</v>
      </c>
      <c r="D613" s="2031">
        <v>146.0</v>
      </c>
      <c r="E613" s="2031">
        <v>98.0</v>
      </c>
      <c r="F613" s="2031">
        <v>98.0</v>
      </c>
      <c r="G613" s="2031">
        <v>98.0</v>
      </c>
      <c r="H613" s="2031">
        <v>98.0</v>
      </c>
    </row>
    <row r="614">
      <c r="B614" s="2031">
        <v>612.0</v>
      </c>
      <c r="C614" s="2031">
        <v>73.0</v>
      </c>
      <c r="D614" s="2031">
        <v>147.0</v>
      </c>
      <c r="E614" s="2031">
        <v>98.0</v>
      </c>
      <c r="F614" s="2031">
        <v>98.0</v>
      </c>
      <c r="G614" s="2031">
        <v>98.0</v>
      </c>
      <c r="H614" s="2031">
        <v>98.0</v>
      </c>
    </row>
    <row r="615">
      <c r="B615" s="2031">
        <v>613.0</v>
      </c>
      <c r="C615" s="2031">
        <v>74.0</v>
      </c>
      <c r="D615" s="2031">
        <v>147.0</v>
      </c>
      <c r="E615" s="2031">
        <v>98.0</v>
      </c>
      <c r="F615" s="2031">
        <v>98.0</v>
      </c>
      <c r="G615" s="2031">
        <v>98.0</v>
      </c>
      <c r="H615" s="2031">
        <v>98.0</v>
      </c>
    </row>
    <row r="616">
      <c r="B616" s="2031">
        <v>614.0</v>
      </c>
      <c r="C616" s="2031">
        <v>74.0</v>
      </c>
      <c r="D616" s="2031">
        <v>148.0</v>
      </c>
      <c r="E616" s="2031">
        <v>98.0</v>
      </c>
      <c r="F616" s="2031">
        <v>98.0</v>
      </c>
      <c r="G616" s="2031">
        <v>98.0</v>
      </c>
      <c r="H616" s="2031">
        <v>98.0</v>
      </c>
    </row>
    <row r="617">
      <c r="B617" s="2031">
        <v>615.0</v>
      </c>
      <c r="C617" s="2031">
        <v>74.0</v>
      </c>
      <c r="D617" s="2031">
        <v>147.0</v>
      </c>
      <c r="E617" s="2031">
        <v>98.0</v>
      </c>
      <c r="F617" s="2031">
        <v>98.0</v>
      </c>
      <c r="G617" s="2031">
        <v>99.0</v>
      </c>
      <c r="H617" s="2031">
        <v>99.0</v>
      </c>
    </row>
    <row r="618">
      <c r="B618" s="2031">
        <v>616.0</v>
      </c>
      <c r="C618" s="2031">
        <v>74.0</v>
      </c>
      <c r="D618" s="2031">
        <v>148.0</v>
      </c>
      <c r="E618" s="2031">
        <v>98.0</v>
      </c>
      <c r="F618" s="2031">
        <v>98.0</v>
      </c>
      <c r="G618" s="2031">
        <v>99.0</v>
      </c>
      <c r="H618" s="2031">
        <v>99.0</v>
      </c>
    </row>
    <row r="619">
      <c r="B619" s="2031">
        <v>617.0</v>
      </c>
      <c r="C619" s="2031">
        <v>74.0</v>
      </c>
      <c r="D619" s="2031">
        <v>149.0</v>
      </c>
      <c r="E619" s="2031">
        <v>98.0</v>
      </c>
      <c r="F619" s="2031">
        <v>98.0</v>
      </c>
      <c r="G619" s="2031">
        <v>99.0</v>
      </c>
      <c r="H619" s="2031">
        <v>99.0</v>
      </c>
    </row>
    <row r="620">
      <c r="B620" s="2031">
        <v>618.0</v>
      </c>
      <c r="C620" s="2031">
        <v>74.0</v>
      </c>
      <c r="D620" s="2031">
        <v>148.0</v>
      </c>
      <c r="E620" s="2031">
        <v>99.0</v>
      </c>
      <c r="F620" s="2031">
        <v>99.0</v>
      </c>
      <c r="G620" s="2031">
        <v>99.0</v>
      </c>
      <c r="H620" s="2031">
        <v>99.0</v>
      </c>
    </row>
    <row r="621">
      <c r="B621" s="2031">
        <v>619.0</v>
      </c>
      <c r="C621" s="2031">
        <v>74.0</v>
      </c>
      <c r="D621" s="2031">
        <v>149.0</v>
      </c>
      <c r="E621" s="2031">
        <v>99.0</v>
      </c>
      <c r="F621" s="2031">
        <v>99.0</v>
      </c>
      <c r="G621" s="2031">
        <v>99.0</v>
      </c>
      <c r="H621" s="2031">
        <v>99.0</v>
      </c>
    </row>
    <row r="622">
      <c r="B622" s="2031">
        <v>620.0</v>
      </c>
      <c r="C622" s="2031">
        <v>75.0</v>
      </c>
      <c r="D622" s="2031">
        <v>149.0</v>
      </c>
      <c r="E622" s="2031">
        <v>99.0</v>
      </c>
      <c r="F622" s="2031">
        <v>99.0</v>
      </c>
      <c r="G622" s="2031">
        <v>99.0</v>
      </c>
      <c r="H622" s="2031">
        <v>99.0</v>
      </c>
    </row>
    <row r="623">
      <c r="B623" s="2031">
        <v>621.0</v>
      </c>
      <c r="C623" s="2031">
        <v>74.0</v>
      </c>
      <c r="D623" s="2031">
        <v>149.0</v>
      </c>
      <c r="E623" s="2031">
        <v>99.0</v>
      </c>
      <c r="F623" s="2031">
        <v>99.0</v>
      </c>
      <c r="G623" s="2031">
        <v>100.0</v>
      </c>
      <c r="H623" s="2031">
        <v>100.0</v>
      </c>
    </row>
    <row r="624">
      <c r="B624" s="2031">
        <v>622.0</v>
      </c>
      <c r="C624" s="2031">
        <v>75.0</v>
      </c>
      <c r="D624" s="2031">
        <v>149.0</v>
      </c>
      <c r="E624" s="2031">
        <v>99.0</v>
      </c>
      <c r="F624" s="2031">
        <v>99.0</v>
      </c>
      <c r="G624" s="2031">
        <v>100.0</v>
      </c>
      <c r="H624" s="2031">
        <v>100.0</v>
      </c>
    </row>
    <row r="625">
      <c r="B625" s="2031">
        <v>623.0</v>
      </c>
      <c r="C625" s="2031">
        <v>74.0</v>
      </c>
      <c r="D625" s="2031">
        <v>149.0</v>
      </c>
      <c r="E625" s="2031">
        <v>100.0</v>
      </c>
      <c r="F625" s="2031">
        <v>100.0</v>
      </c>
      <c r="G625" s="2031">
        <v>100.0</v>
      </c>
      <c r="H625" s="2031">
        <v>100.0</v>
      </c>
    </row>
    <row r="626">
      <c r="B626" s="2031">
        <v>624.0</v>
      </c>
      <c r="C626" s="2031">
        <v>75.0</v>
      </c>
      <c r="D626" s="2031">
        <v>149.0</v>
      </c>
      <c r="E626" s="2031">
        <v>100.0</v>
      </c>
      <c r="F626" s="2031">
        <v>100.0</v>
      </c>
      <c r="G626" s="2031">
        <v>100.0</v>
      </c>
      <c r="H626" s="2031">
        <v>100.0</v>
      </c>
    </row>
    <row r="627">
      <c r="B627" s="2031">
        <v>625.0</v>
      </c>
      <c r="C627" s="2031">
        <v>75.0</v>
      </c>
      <c r="D627" s="2031">
        <v>150.0</v>
      </c>
      <c r="E627" s="2031">
        <v>100.0</v>
      </c>
      <c r="F627" s="2031">
        <v>100.0</v>
      </c>
      <c r="G627" s="2031">
        <v>100.0</v>
      </c>
      <c r="H627" s="2031">
        <v>100.0</v>
      </c>
    </row>
    <row r="628">
      <c r="B628" s="2031">
        <v>626.0</v>
      </c>
      <c r="C628" s="2031">
        <v>75.0</v>
      </c>
      <c r="D628" s="2031">
        <v>151.0</v>
      </c>
      <c r="E628" s="2031">
        <v>100.0</v>
      </c>
      <c r="F628" s="2031">
        <v>100.0</v>
      </c>
      <c r="G628" s="2031">
        <v>100.0</v>
      </c>
      <c r="H628" s="2031">
        <v>100.0</v>
      </c>
    </row>
    <row r="629">
      <c r="B629" s="2031">
        <v>627.0</v>
      </c>
      <c r="C629" s="2031">
        <v>76.0</v>
      </c>
      <c r="D629" s="2031">
        <v>151.0</v>
      </c>
      <c r="E629" s="2031">
        <v>100.0</v>
      </c>
      <c r="F629" s="2031">
        <v>100.0</v>
      </c>
      <c r="G629" s="2031">
        <v>100.0</v>
      </c>
      <c r="H629" s="2031">
        <v>100.0</v>
      </c>
    </row>
    <row r="630">
      <c r="B630" s="2031">
        <v>628.0</v>
      </c>
      <c r="C630" s="2031">
        <v>75.0</v>
      </c>
      <c r="D630" s="2031">
        <v>151.0</v>
      </c>
      <c r="E630" s="2031">
        <v>100.0</v>
      </c>
      <c r="F630" s="2031">
        <v>100.0</v>
      </c>
      <c r="G630" s="2031">
        <v>101.0</v>
      </c>
      <c r="H630" s="2031">
        <v>101.0</v>
      </c>
    </row>
    <row r="631">
      <c r="B631" s="2031">
        <v>629.0</v>
      </c>
      <c r="C631" s="2031">
        <v>76.0</v>
      </c>
      <c r="D631" s="2031">
        <v>151.0</v>
      </c>
      <c r="E631" s="2031">
        <v>100.0</v>
      </c>
      <c r="F631" s="2031">
        <v>100.0</v>
      </c>
      <c r="G631" s="2031">
        <v>101.0</v>
      </c>
      <c r="H631" s="2031">
        <v>101.0</v>
      </c>
    </row>
    <row r="632">
      <c r="B632" s="2031">
        <v>630.0</v>
      </c>
      <c r="C632" s="2031">
        <v>75.0</v>
      </c>
      <c r="D632" s="2031">
        <v>151.0</v>
      </c>
      <c r="E632" s="2031">
        <v>101.0</v>
      </c>
      <c r="F632" s="2031">
        <v>101.0</v>
      </c>
      <c r="G632" s="2031">
        <v>101.0</v>
      </c>
      <c r="H632" s="2031">
        <v>101.0</v>
      </c>
    </row>
    <row r="633">
      <c r="B633" s="2031">
        <v>631.0</v>
      </c>
      <c r="C633" s="2031">
        <v>76.0</v>
      </c>
      <c r="D633" s="2031">
        <v>151.0</v>
      </c>
      <c r="E633" s="2031">
        <v>101.0</v>
      </c>
      <c r="F633" s="2031">
        <v>101.0</v>
      </c>
      <c r="G633" s="2031">
        <v>101.0</v>
      </c>
      <c r="H633" s="2031">
        <v>101.0</v>
      </c>
    </row>
    <row r="634">
      <c r="B634" s="2031">
        <v>632.0</v>
      </c>
      <c r="C634" s="2031">
        <v>76.0</v>
      </c>
      <c r="D634" s="2031">
        <v>152.0</v>
      </c>
      <c r="E634" s="2031">
        <v>101.0</v>
      </c>
      <c r="F634" s="2031">
        <v>101.0</v>
      </c>
      <c r="G634" s="2031">
        <v>101.0</v>
      </c>
      <c r="H634" s="2031">
        <v>101.0</v>
      </c>
    </row>
    <row r="635">
      <c r="B635" s="2031">
        <v>633.0</v>
      </c>
      <c r="C635" s="2031">
        <v>76.0</v>
      </c>
      <c r="D635" s="2031">
        <v>151.0</v>
      </c>
      <c r="E635" s="2031">
        <v>101.0</v>
      </c>
      <c r="F635" s="2031">
        <v>101.0</v>
      </c>
      <c r="G635" s="2031">
        <v>102.0</v>
      </c>
      <c r="H635" s="2031">
        <v>102.0</v>
      </c>
    </row>
    <row r="636">
      <c r="B636" s="2031">
        <v>634.0</v>
      </c>
      <c r="C636" s="2031">
        <v>76.0</v>
      </c>
      <c r="D636" s="2031">
        <v>152.0</v>
      </c>
      <c r="E636" s="2031">
        <v>101.0</v>
      </c>
      <c r="F636" s="2031">
        <v>101.0</v>
      </c>
      <c r="G636" s="2031">
        <v>102.0</v>
      </c>
      <c r="H636" s="2031">
        <v>102.0</v>
      </c>
    </row>
    <row r="637">
      <c r="B637" s="2031">
        <v>635.0</v>
      </c>
      <c r="C637" s="2031">
        <v>76.0</v>
      </c>
      <c r="D637" s="2031">
        <v>153.0</v>
      </c>
      <c r="E637" s="2031">
        <v>101.0</v>
      </c>
      <c r="F637" s="2031">
        <v>101.0</v>
      </c>
      <c r="G637" s="2031">
        <v>102.0</v>
      </c>
      <c r="H637" s="2031">
        <v>102.0</v>
      </c>
    </row>
    <row r="638">
      <c r="B638" s="2031">
        <v>636.0</v>
      </c>
      <c r="C638" s="2031">
        <v>76.0</v>
      </c>
      <c r="D638" s="2031">
        <v>152.0</v>
      </c>
      <c r="E638" s="2031">
        <v>102.0</v>
      </c>
      <c r="F638" s="2031">
        <v>102.0</v>
      </c>
      <c r="G638" s="2031">
        <v>102.0</v>
      </c>
      <c r="H638" s="2031">
        <v>102.0</v>
      </c>
    </row>
    <row r="639">
      <c r="B639" s="2031">
        <v>637.0</v>
      </c>
      <c r="C639" s="2031">
        <v>76.0</v>
      </c>
      <c r="D639" s="2031">
        <v>153.0</v>
      </c>
      <c r="E639" s="2031">
        <v>102.0</v>
      </c>
      <c r="F639" s="2031">
        <v>102.0</v>
      </c>
      <c r="G639" s="2031">
        <v>102.0</v>
      </c>
      <c r="H639" s="2031">
        <v>102.0</v>
      </c>
    </row>
    <row r="640">
      <c r="B640" s="2031">
        <v>638.0</v>
      </c>
      <c r="C640" s="2031">
        <v>77.0</v>
      </c>
      <c r="D640" s="2031">
        <v>153.0</v>
      </c>
      <c r="E640" s="2031">
        <v>102.0</v>
      </c>
      <c r="F640" s="2031">
        <v>102.0</v>
      </c>
      <c r="G640" s="2031">
        <v>102.0</v>
      </c>
      <c r="H640" s="2031">
        <v>102.0</v>
      </c>
    </row>
    <row r="641">
      <c r="B641" s="2031">
        <v>639.0</v>
      </c>
      <c r="C641" s="2031">
        <v>77.0</v>
      </c>
      <c r="D641" s="2031">
        <v>154.0</v>
      </c>
      <c r="E641" s="2031">
        <v>102.0</v>
      </c>
      <c r="F641" s="2031">
        <v>102.0</v>
      </c>
      <c r="G641" s="2031">
        <v>102.0</v>
      </c>
      <c r="H641" s="2031">
        <v>102.0</v>
      </c>
    </row>
    <row r="642">
      <c r="B642" s="2031">
        <v>640.0</v>
      </c>
      <c r="C642" s="2031">
        <v>77.0</v>
      </c>
      <c r="D642" s="2031">
        <v>153.0</v>
      </c>
      <c r="E642" s="2031">
        <v>102.0</v>
      </c>
      <c r="F642" s="2031">
        <v>102.0</v>
      </c>
      <c r="G642" s="2031">
        <v>103.0</v>
      </c>
      <c r="H642" s="2031">
        <v>103.0</v>
      </c>
    </row>
    <row r="643">
      <c r="B643" s="2031">
        <v>641.0</v>
      </c>
      <c r="C643" s="2031">
        <v>77.0</v>
      </c>
      <c r="D643" s="2031">
        <v>154.0</v>
      </c>
      <c r="E643" s="2031">
        <v>102.0</v>
      </c>
      <c r="F643" s="2031">
        <v>102.0</v>
      </c>
      <c r="G643" s="2031">
        <v>103.0</v>
      </c>
      <c r="H643" s="2031">
        <v>103.0</v>
      </c>
    </row>
    <row r="644">
      <c r="B644" s="2031">
        <v>642.0</v>
      </c>
      <c r="C644" s="2031">
        <v>77.0</v>
      </c>
      <c r="D644" s="2031">
        <v>155.0</v>
      </c>
      <c r="E644" s="2031">
        <v>102.0</v>
      </c>
      <c r="F644" s="2031">
        <v>102.0</v>
      </c>
      <c r="G644" s="2031">
        <v>103.0</v>
      </c>
      <c r="H644" s="2031">
        <v>103.0</v>
      </c>
    </row>
    <row r="645">
      <c r="B645" s="2031">
        <v>643.0</v>
      </c>
      <c r="C645" s="2031">
        <v>77.0</v>
      </c>
      <c r="D645" s="2031">
        <v>154.0</v>
      </c>
      <c r="E645" s="2031">
        <v>103.0</v>
      </c>
      <c r="F645" s="2031">
        <v>103.0</v>
      </c>
      <c r="G645" s="2031">
        <v>103.0</v>
      </c>
      <c r="H645" s="2031">
        <v>103.0</v>
      </c>
    </row>
    <row r="646">
      <c r="B646" s="2031">
        <v>644.0</v>
      </c>
      <c r="C646" s="2031">
        <v>77.0</v>
      </c>
      <c r="D646" s="2031">
        <v>155.0</v>
      </c>
      <c r="E646" s="2031">
        <v>103.0</v>
      </c>
      <c r="F646" s="2031">
        <v>103.0</v>
      </c>
      <c r="G646" s="2031">
        <v>103.0</v>
      </c>
      <c r="H646" s="2031">
        <v>103.0</v>
      </c>
    </row>
    <row r="647">
      <c r="B647" s="2031">
        <v>645.0</v>
      </c>
      <c r="C647" s="2031">
        <v>78.0</v>
      </c>
      <c r="D647" s="2031">
        <v>155.0</v>
      </c>
      <c r="E647" s="2031">
        <v>103.0</v>
      </c>
      <c r="F647" s="2031">
        <v>103.0</v>
      </c>
      <c r="G647" s="2031">
        <v>103.0</v>
      </c>
      <c r="H647" s="2031">
        <v>103.0</v>
      </c>
    </row>
    <row r="648">
      <c r="B648" s="2031">
        <v>646.0</v>
      </c>
      <c r="C648" s="2031">
        <v>77.0</v>
      </c>
      <c r="D648" s="2031">
        <v>155.0</v>
      </c>
      <c r="E648" s="2031">
        <v>103.0</v>
      </c>
      <c r="F648" s="2031">
        <v>103.0</v>
      </c>
      <c r="G648" s="2031">
        <v>104.0</v>
      </c>
      <c r="H648" s="2031">
        <v>104.0</v>
      </c>
    </row>
    <row r="649">
      <c r="B649" s="2031">
        <v>647.0</v>
      </c>
      <c r="C649" s="2031">
        <v>78.0</v>
      </c>
      <c r="D649" s="2031">
        <v>155.0</v>
      </c>
      <c r="E649" s="2031">
        <v>103.0</v>
      </c>
      <c r="F649" s="2031">
        <v>103.0</v>
      </c>
      <c r="G649" s="2031">
        <v>104.0</v>
      </c>
      <c r="H649" s="2031">
        <v>104.0</v>
      </c>
    </row>
    <row r="650">
      <c r="B650" s="2031">
        <v>648.0</v>
      </c>
      <c r="C650" s="2031">
        <v>77.0</v>
      </c>
      <c r="D650" s="2031">
        <v>155.0</v>
      </c>
      <c r="E650" s="2031">
        <v>104.0</v>
      </c>
      <c r="F650" s="2031">
        <v>104.0</v>
      </c>
      <c r="G650" s="2031">
        <v>104.0</v>
      </c>
      <c r="H650" s="2031">
        <v>104.0</v>
      </c>
    </row>
    <row r="651">
      <c r="B651" s="2031">
        <v>649.0</v>
      </c>
      <c r="C651" s="2031">
        <v>78.0</v>
      </c>
      <c r="D651" s="2031">
        <v>155.0</v>
      </c>
      <c r="E651" s="2031">
        <v>104.0</v>
      </c>
      <c r="F651" s="2031">
        <v>104.0</v>
      </c>
      <c r="G651" s="2031">
        <v>104.0</v>
      </c>
      <c r="H651" s="2031">
        <v>104.0</v>
      </c>
    </row>
    <row r="652">
      <c r="B652" s="2031">
        <v>650.0</v>
      </c>
      <c r="C652" s="2031">
        <v>78.0</v>
      </c>
      <c r="D652" s="2031">
        <v>156.0</v>
      </c>
      <c r="E652" s="2031">
        <v>104.0</v>
      </c>
      <c r="F652" s="2031">
        <v>104.0</v>
      </c>
      <c r="G652" s="2031">
        <v>104.0</v>
      </c>
      <c r="H652" s="2031">
        <v>104.0</v>
      </c>
    </row>
    <row r="653">
      <c r="B653" s="2031">
        <v>651.0</v>
      </c>
      <c r="C653" s="2031">
        <v>78.0</v>
      </c>
      <c r="D653" s="2031">
        <v>157.0</v>
      </c>
      <c r="E653" s="2031">
        <v>104.0</v>
      </c>
      <c r="F653" s="2031">
        <v>104.0</v>
      </c>
      <c r="G653" s="2031">
        <v>104.0</v>
      </c>
      <c r="H653" s="2031">
        <v>104.0</v>
      </c>
    </row>
    <row r="654">
      <c r="B654" s="2031">
        <v>652.0</v>
      </c>
      <c r="C654" s="2031">
        <v>79.0</v>
      </c>
      <c r="D654" s="2031">
        <v>157.0</v>
      </c>
      <c r="E654" s="2031">
        <v>104.0</v>
      </c>
      <c r="F654" s="2031">
        <v>104.0</v>
      </c>
      <c r="G654" s="2031">
        <v>104.0</v>
      </c>
      <c r="H654" s="2031">
        <v>104.0</v>
      </c>
    </row>
    <row r="655">
      <c r="B655" s="2031">
        <v>653.0</v>
      </c>
      <c r="C655" s="2031">
        <v>78.0</v>
      </c>
      <c r="D655" s="2031">
        <v>157.0</v>
      </c>
      <c r="E655" s="2031">
        <v>104.0</v>
      </c>
      <c r="F655" s="2031">
        <v>104.0</v>
      </c>
      <c r="G655" s="2031">
        <v>105.0</v>
      </c>
      <c r="H655" s="2031">
        <v>105.0</v>
      </c>
    </row>
    <row r="656">
      <c r="B656" s="2031">
        <v>654.0</v>
      </c>
      <c r="C656" s="2031">
        <v>79.0</v>
      </c>
      <c r="D656" s="2031">
        <v>157.0</v>
      </c>
      <c r="E656" s="2031">
        <v>104.0</v>
      </c>
      <c r="F656" s="2031">
        <v>104.0</v>
      </c>
      <c r="G656" s="2031">
        <v>105.0</v>
      </c>
      <c r="H656" s="2031">
        <v>105.0</v>
      </c>
    </row>
    <row r="657">
      <c r="B657" s="2031">
        <v>655.0</v>
      </c>
      <c r="C657" s="2031">
        <v>78.0</v>
      </c>
      <c r="D657" s="2031">
        <v>157.0</v>
      </c>
      <c r="E657" s="2031">
        <v>105.0</v>
      </c>
      <c r="F657" s="2031">
        <v>105.0</v>
      </c>
      <c r="G657" s="2031">
        <v>105.0</v>
      </c>
      <c r="H657" s="2031">
        <v>105.0</v>
      </c>
    </row>
    <row r="658">
      <c r="B658" s="2031">
        <v>656.0</v>
      </c>
      <c r="C658" s="2031">
        <v>79.0</v>
      </c>
      <c r="D658" s="2031">
        <v>157.0</v>
      </c>
      <c r="E658" s="2031">
        <v>105.0</v>
      </c>
      <c r="F658" s="2031">
        <v>105.0</v>
      </c>
      <c r="G658" s="2031">
        <v>105.0</v>
      </c>
      <c r="H658" s="2031">
        <v>105.0</v>
      </c>
    </row>
    <row r="659">
      <c r="B659" s="2031">
        <v>657.0</v>
      </c>
      <c r="C659" s="2031">
        <v>79.0</v>
      </c>
      <c r="D659" s="2031">
        <v>158.0</v>
      </c>
      <c r="E659" s="2031">
        <v>105.0</v>
      </c>
      <c r="F659" s="2031">
        <v>105.0</v>
      </c>
      <c r="G659" s="2031">
        <v>105.0</v>
      </c>
      <c r="H659" s="2031">
        <v>105.0</v>
      </c>
    </row>
    <row r="660">
      <c r="B660" s="2031">
        <v>658.0</v>
      </c>
      <c r="C660" s="2031">
        <v>79.0</v>
      </c>
      <c r="D660" s="2031">
        <v>157.0</v>
      </c>
      <c r="E660" s="2031">
        <v>105.0</v>
      </c>
      <c r="F660" s="2031">
        <v>105.0</v>
      </c>
      <c r="G660" s="2031">
        <v>106.0</v>
      </c>
      <c r="H660" s="2031">
        <v>106.0</v>
      </c>
    </row>
    <row r="661">
      <c r="B661" s="2031">
        <v>659.0</v>
      </c>
      <c r="C661" s="2031">
        <v>79.0</v>
      </c>
      <c r="D661" s="2031">
        <v>158.0</v>
      </c>
      <c r="E661" s="2031">
        <v>105.0</v>
      </c>
      <c r="F661" s="2031">
        <v>105.0</v>
      </c>
      <c r="G661" s="2031">
        <v>106.0</v>
      </c>
      <c r="H661" s="2031">
        <v>106.0</v>
      </c>
    </row>
    <row r="662">
      <c r="B662" s="2031">
        <v>660.0</v>
      </c>
      <c r="C662" s="2031">
        <v>79.0</v>
      </c>
      <c r="D662" s="2031">
        <v>159.0</v>
      </c>
      <c r="E662" s="2031">
        <v>105.0</v>
      </c>
      <c r="F662" s="2031">
        <v>105.0</v>
      </c>
      <c r="G662" s="2031">
        <v>106.0</v>
      </c>
      <c r="H662" s="2031">
        <v>106.0</v>
      </c>
    </row>
    <row r="663">
      <c r="B663" s="2031">
        <v>661.0</v>
      </c>
      <c r="C663" s="2031">
        <v>79.0</v>
      </c>
      <c r="D663" s="2031">
        <v>158.0</v>
      </c>
      <c r="E663" s="2031">
        <v>106.0</v>
      </c>
      <c r="F663" s="2031">
        <v>106.0</v>
      </c>
      <c r="G663" s="2031">
        <v>106.0</v>
      </c>
      <c r="H663" s="2031">
        <v>106.0</v>
      </c>
    </row>
    <row r="664">
      <c r="B664" s="2031">
        <v>662.0</v>
      </c>
      <c r="C664" s="2031">
        <v>79.0</v>
      </c>
      <c r="D664" s="2031">
        <v>159.0</v>
      </c>
      <c r="E664" s="2031">
        <v>106.0</v>
      </c>
      <c r="F664" s="2031">
        <v>106.0</v>
      </c>
      <c r="G664" s="2031">
        <v>106.0</v>
      </c>
      <c r="H664" s="2031">
        <v>106.0</v>
      </c>
    </row>
    <row r="665">
      <c r="B665" s="2031">
        <v>663.0</v>
      </c>
      <c r="C665" s="2031">
        <v>80.0</v>
      </c>
      <c r="D665" s="2031">
        <v>159.0</v>
      </c>
      <c r="E665" s="2031">
        <v>106.0</v>
      </c>
      <c r="F665" s="2031">
        <v>106.0</v>
      </c>
      <c r="G665" s="2031">
        <v>106.0</v>
      </c>
      <c r="H665" s="2031">
        <v>106.0</v>
      </c>
    </row>
    <row r="666">
      <c r="B666" s="2031">
        <v>664.0</v>
      </c>
      <c r="C666" s="2031">
        <v>80.0</v>
      </c>
      <c r="D666" s="2031">
        <v>160.0</v>
      </c>
      <c r="E666" s="2031">
        <v>106.0</v>
      </c>
      <c r="F666" s="2031">
        <v>106.0</v>
      </c>
      <c r="G666" s="2031">
        <v>106.0</v>
      </c>
      <c r="H666" s="2031">
        <v>106.0</v>
      </c>
    </row>
    <row r="667">
      <c r="B667" s="2031">
        <v>665.0</v>
      </c>
      <c r="C667" s="2031">
        <v>80.0</v>
      </c>
      <c r="D667" s="2031">
        <v>159.0</v>
      </c>
      <c r="E667" s="2031">
        <v>106.0</v>
      </c>
      <c r="F667" s="2031">
        <v>106.0</v>
      </c>
      <c r="G667" s="2031">
        <v>107.0</v>
      </c>
      <c r="H667" s="2031">
        <v>107.0</v>
      </c>
    </row>
    <row r="668">
      <c r="B668" s="2031">
        <v>666.0</v>
      </c>
      <c r="C668" s="2031">
        <v>80.0</v>
      </c>
      <c r="D668" s="2031">
        <v>160.0</v>
      </c>
      <c r="E668" s="2031">
        <v>106.0</v>
      </c>
      <c r="F668" s="2031">
        <v>106.0</v>
      </c>
      <c r="G668" s="2031">
        <v>107.0</v>
      </c>
      <c r="H668" s="2031">
        <v>107.0</v>
      </c>
    </row>
    <row r="669">
      <c r="B669" s="2031">
        <v>667.0</v>
      </c>
      <c r="C669" s="2031">
        <v>80.0</v>
      </c>
      <c r="D669" s="2031">
        <v>161.0</v>
      </c>
      <c r="E669" s="2031">
        <v>106.0</v>
      </c>
      <c r="F669" s="2031">
        <v>106.0</v>
      </c>
      <c r="G669" s="2031">
        <v>107.0</v>
      </c>
      <c r="H669" s="2031">
        <v>107.0</v>
      </c>
    </row>
    <row r="670">
      <c r="B670" s="2031">
        <v>668.0</v>
      </c>
      <c r="C670" s="2031">
        <v>80.0</v>
      </c>
      <c r="D670" s="2031">
        <v>160.0</v>
      </c>
      <c r="E670" s="2031">
        <v>107.0</v>
      </c>
      <c r="F670" s="2031">
        <v>107.0</v>
      </c>
      <c r="G670" s="2031">
        <v>107.0</v>
      </c>
      <c r="H670" s="2031">
        <v>107.0</v>
      </c>
    </row>
    <row r="671">
      <c r="B671" s="2031">
        <v>669.0</v>
      </c>
      <c r="C671" s="2031">
        <v>80.0</v>
      </c>
      <c r="D671" s="2031">
        <v>161.0</v>
      </c>
      <c r="E671" s="2031">
        <v>107.0</v>
      </c>
      <c r="F671" s="2031">
        <v>107.0</v>
      </c>
      <c r="G671" s="2031">
        <v>107.0</v>
      </c>
      <c r="H671" s="2031">
        <v>107.0</v>
      </c>
    </row>
    <row r="672">
      <c r="B672" s="2031">
        <v>670.0</v>
      </c>
      <c r="C672" s="2031">
        <v>81.0</v>
      </c>
      <c r="D672" s="2031">
        <v>161.0</v>
      </c>
      <c r="E672" s="2031">
        <v>107.0</v>
      </c>
      <c r="F672" s="2031">
        <v>107.0</v>
      </c>
      <c r="G672" s="2031">
        <v>107.0</v>
      </c>
      <c r="H672" s="2031">
        <v>107.0</v>
      </c>
    </row>
    <row r="673">
      <c r="B673" s="2031">
        <v>671.0</v>
      </c>
      <c r="C673" s="2031">
        <v>80.0</v>
      </c>
      <c r="D673" s="2031">
        <v>161.0</v>
      </c>
      <c r="E673" s="2031">
        <v>107.0</v>
      </c>
      <c r="F673" s="2031">
        <v>107.0</v>
      </c>
      <c r="G673" s="2031">
        <v>108.0</v>
      </c>
      <c r="H673" s="2031">
        <v>108.0</v>
      </c>
    </row>
    <row r="674">
      <c r="B674" s="2031">
        <v>672.0</v>
      </c>
      <c r="C674" s="2031">
        <v>81.0</v>
      </c>
      <c r="D674" s="2031">
        <v>161.0</v>
      </c>
      <c r="E674" s="2031">
        <v>107.0</v>
      </c>
      <c r="F674" s="2031">
        <v>107.0</v>
      </c>
      <c r="G674" s="2031">
        <v>108.0</v>
      </c>
      <c r="H674" s="2031">
        <v>108.0</v>
      </c>
    </row>
    <row r="675">
      <c r="B675" s="2031">
        <v>673.0</v>
      </c>
      <c r="C675" s="2031">
        <v>80.0</v>
      </c>
      <c r="D675" s="2031">
        <v>161.0</v>
      </c>
      <c r="E675" s="2031">
        <v>108.0</v>
      </c>
      <c r="F675" s="2031">
        <v>108.0</v>
      </c>
      <c r="G675" s="2031">
        <v>108.0</v>
      </c>
      <c r="H675" s="2031">
        <v>108.0</v>
      </c>
    </row>
    <row r="676">
      <c r="B676" s="2031">
        <v>674.0</v>
      </c>
      <c r="C676" s="2031">
        <v>81.0</v>
      </c>
      <c r="D676" s="2031">
        <v>161.0</v>
      </c>
      <c r="E676" s="2031">
        <v>108.0</v>
      </c>
      <c r="F676" s="2031">
        <v>108.0</v>
      </c>
      <c r="G676" s="2031">
        <v>108.0</v>
      </c>
      <c r="H676" s="2031">
        <v>108.0</v>
      </c>
    </row>
    <row r="677">
      <c r="B677" s="2031">
        <v>675.0</v>
      </c>
      <c r="C677" s="2031">
        <v>81.0</v>
      </c>
      <c r="D677" s="2031">
        <v>162.0</v>
      </c>
      <c r="E677" s="2031">
        <v>108.0</v>
      </c>
      <c r="F677" s="2031">
        <v>108.0</v>
      </c>
      <c r="G677" s="2031">
        <v>108.0</v>
      </c>
      <c r="H677" s="2031">
        <v>108.0</v>
      </c>
    </row>
    <row r="678">
      <c r="B678" s="2031">
        <v>676.0</v>
      </c>
      <c r="C678" s="2031">
        <v>81.0</v>
      </c>
      <c r="D678" s="2031">
        <v>163.0</v>
      </c>
      <c r="E678" s="2031">
        <v>108.0</v>
      </c>
      <c r="F678" s="2031">
        <v>108.0</v>
      </c>
      <c r="G678" s="2031">
        <v>108.0</v>
      </c>
      <c r="H678" s="2031">
        <v>108.0</v>
      </c>
    </row>
    <row r="679">
      <c r="B679" s="2031">
        <v>677.0</v>
      </c>
      <c r="C679" s="2031">
        <v>82.0</v>
      </c>
      <c r="D679" s="2031">
        <v>163.0</v>
      </c>
      <c r="E679" s="2031">
        <v>108.0</v>
      </c>
      <c r="F679" s="2031">
        <v>108.0</v>
      </c>
      <c r="G679" s="2031">
        <v>108.0</v>
      </c>
      <c r="H679" s="2031">
        <v>108.0</v>
      </c>
    </row>
    <row r="680">
      <c r="B680" s="2031">
        <v>678.0</v>
      </c>
      <c r="C680" s="2031">
        <v>81.0</v>
      </c>
      <c r="D680" s="2031">
        <v>163.0</v>
      </c>
      <c r="E680" s="2031">
        <v>108.0</v>
      </c>
      <c r="F680" s="2031">
        <v>108.0</v>
      </c>
      <c r="G680" s="2031">
        <v>109.0</v>
      </c>
      <c r="H680" s="2031">
        <v>109.0</v>
      </c>
    </row>
    <row r="681">
      <c r="B681" s="2031">
        <v>679.0</v>
      </c>
      <c r="C681" s="2031">
        <v>82.0</v>
      </c>
      <c r="D681" s="2031">
        <v>163.0</v>
      </c>
      <c r="E681" s="2031">
        <v>108.0</v>
      </c>
      <c r="F681" s="2031">
        <v>108.0</v>
      </c>
      <c r="G681" s="2031">
        <v>109.0</v>
      </c>
      <c r="H681" s="2031">
        <v>109.0</v>
      </c>
    </row>
    <row r="682">
      <c r="B682" s="2031">
        <v>680.0</v>
      </c>
      <c r="C682" s="2031">
        <v>81.0</v>
      </c>
      <c r="D682" s="2031">
        <v>163.0</v>
      </c>
      <c r="E682" s="2031">
        <v>109.0</v>
      </c>
      <c r="F682" s="2031">
        <v>109.0</v>
      </c>
      <c r="G682" s="2031">
        <v>109.0</v>
      </c>
      <c r="H682" s="2031">
        <v>109.0</v>
      </c>
    </row>
    <row r="683">
      <c r="B683" s="2031">
        <v>681.0</v>
      </c>
      <c r="C683" s="2031">
        <v>82.0</v>
      </c>
      <c r="D683" s="2031">
        <v>163.0</v>
      </c>
      <c r="E683" s="2031">
        <v>109.0</v>
      </c>
      <c r="F683" s="2031">
        <v>109.0</v>
      </c>
      <c r="G683" s="2031">
        <v>109.0</v>
      </c>
      <c r="H683" s="2031">
        <v>109.0</v>
      </c>
    </row>
    <row r="684">
      <c r="B684" s="2031">
        <v>682.0</v>
      </c>
      <c r="C684" s="2031">
        <v>82.0</v>
      </c>
      <c r="D684" s="2031">
        <v>164.0</v>
      </c>
      <c r="E684" s="2031">
        <v>109.0</v>
      </c>
      <c r="F684" s="2031">
        <v>109.0</v>
      </c>
      <c r="G684" s="2031">
        <v>109.0</v>
      </c>
      <c r="H684" s="2031">
        <v>109.0</v>
      </c>
    </row>
    <row r="685">
      <c r="B685" s="2031">
        <v>683.0</v>
      </c>
      <c r="C685" s="2031">
        <v>82.0</v>
      </c>
      <c r="D685" s="2031">
        <v>163.0</v>
      </c>
      <c r="E685" s="2031">
        <v>109.0</v>
      </c>
      <c r="F685" s="2031">
        <v>109.0</v>
      </c>
      <c r="G685" s="2031">
        <v>110.0</v>
      </c>
      <c r="H685" s="2031">
        <v>110.0</v>
      </c>
    </row>
    <row r="686">
      <c r="B686" s="2031">
        <v>684.0</v>
      </c>
      <c r="C686" s="2031">
        <v>82.0</v>
      </c>
      <c r="D686" s="2031">
        <v>164.0</v>
      </c>
      <c r="E686" s="2031">
        <v>109.0</v>
      </c>
      <c r="F686" s="2031">
        <v>109.0</v>
      </c>
      <c r="G686" s="2031">
        <v>110.0</v>
      </c>
      <c r="H686" s="2031">
        <v>110.0</v>
      </c>
    </row>
    <row r="687">
      <c r="B687" s="2031">
        <v>685.0</v>
      </c>
      <c r="C687" s="2031">
        <v>82.0</v>
      </c>
      <c r="D687" s="2031">
        <v>165.0</v>
      </c>
      <c r="E687" s="2031">
        <v>109.0</v>
      </c>
      <c r="F687" s="2031">
        <v>109.0</v>
      </c>
      <c r="G687" s="2031">
        <v>110.0</v>
      </c>
      <c r="H687" s="2031">
        <v>110.0</v>
      </c>
    </row>
    <row r="688">
      <c r="B688" s="2031">
        <v>686.0</v>
      </c>
      <c r="C688" s="2031">
        <v>82.0</v>
      </c>
      <c r="D688" s="2031">
        <v>164.0</v>
      </c>
      <c r="E688" s="2031">
        <v>110.0</v>
      </c>
      <c r="F688" s="2031">
        <v>110.0</v>
      </c>
      <c r="G688" s="2031">
        <v>110.0</v>
      </c>
      <c r="H688" s="2031">
        <v>110.0</v>
      </c>
    </row>
    <row r="689">
      <c r="B689" s="2031">
        <v>687.0</v>
      </c>
      <c r="C689" s="2031">
        <v>82.0</v>
      </c>
      <c r="D689" s="2031">
        <v>165.0</v>
      </c>
      <c r="E689" s="2031">
        <v>110.0</v>
      </c>
      <c r="F689" s="2031">
        <v>110.0</v>
      </c>
      <c r="G689" s="2031">
        <v>110.0</v>
      </c>
      <c r="H689" s="2031">
        <v>110.0</v>
      </c>
    </row>
    <row r="690">
      <c r="B690" s="2031">
        <v>688.0</v>
      </c>
      <c r="C690" s="2031">
        <v>83.0</v>
      </c>
      <c r="D690" s="2031">
        <v>165.0</v>
      </c>
      <c r="E690" s="2031">
        <v>110.0</v>
      </c>
      <c r="F690" s="2031">
        <v>110.0</v>
      </c>
      <c r="G690" s="2031">
        <v>110.0</v>
      </c>
      <c r="H690" s="2031">
        <v>110.0</v>
      </c>
    </row>
    <row r="691">
      <c r="B691" s="2031">
        <v>689.0</v>
      </c>
      <c r="C691" s="2031">
        <v>83.0</v>
      </c>
      <c r="D691" s="2031">
        <v>166.0</v>
      </c>
      <c r="E691" s="2031">
        <v>110.0</v>
      </c>
      <c r="F691" s="2031">
        <v>110.0</v>
      </c>
      <c r="G691" s="2031">
        <v>110.0</v>
      </c>
      <c r="H691" s="2031">
        <v>110.0</v>
      </c>
    </row>
    <row r="692">
      <c r="B692" s="2031">
        <v>690.0</v>
      </c>
      <c r="C692" s="2031">
        <v>83.0</v>
      </c>
      <c r="D692" s="2031">
        <v>165.0</v>
      </c>
      <c r="E692" s="2031">
        <v>110.0</v>
      </c>
      <c r="F692" s="2031">
        <v>110.0</v>
      </c>
      <c r="G692" s="2031">
        <v>111.0</v>
      </c>
      <c r="H692" s="2031">
        <v>111.0</v>
      </c>
    </row>
    <row r="693">
      <c r="B693" s="2031">
        <v>691.0</v>
      </c>
      <c r="C693" s="2031">
        <v>83.0</v>
      </c>
      <c r="D693" s="2031">
        <v>166.0</v>
      </c>
      <c r="E693" s="2031">
        <v>110.0</v>
      </c>
      <c r="F693" s="2031">
        <v>110.0</v>
      </c>
      <c r="G693" s="2031">
        <v>111.0</v>
      </c>
      <c r="H693" s="2031">
        <v>111.0</v>
      </c>
    </row>
    <row r="694">
      <c r="B694" s="2031">
        <v>692.0</v>
      </c>
      <c r="C694" s="2031">
        <v>83.0</v>
      </c>
      <c r="D694" s="2031">
        <v>167.0</v>
      </c>
      <c r="E694" s="2031">
        <v>110.0</v>
      </c>
      <c r="F694" s="2031">
        <v>110.0</v>
      </c>
      <c r="G694" s="2031">
        <v>111.0</v>
      </c>
      <c r="H694" s="2031">
        <v>111.0</v>
      </c>
    </row>
    <row r="695">
      <c r="B695" s="2031">
        <v>693.0</v>
      </c>
      <c r="C695" s="2031">
        <v>83.0</v>
      </c>
      <c r="D695" s="2031">
        <v>166.0</v>
      </c>
      <c r="E695" s="2031">
        <v>111.0</v>
      </c>
      <c r="F695" s="2031">
        <v>111.0</v>
      </c>
      <c r="G695" s="2031">
        <v>111.0</v>
      </c>
      <c r="H695" s="2031">
        <v>111.0</v>
      </c>
    </row>
    <row r="696">
      <c r="B696" s="2031">
        <v>694.0</v>
      </c>
      <c r="C696" s="2031">
        <v>83.0</v>
      </c>
      <c r="D696" s="2031">
        <v>167.0</v>
      </c>
      <c r="E696" s="2031">
        <v>111.0</v>
      </c>
      <c r="F696" s="2031">
        <v>111.0</v>
      </c>
      <c r="G696" s="2031">
        <v>111.0</v>
      </c>
      <c r="H696" s="2031">
        <v>111.0</v>
      </c>
    </row>
    <row r="697">
      <c r="B697" s="2031">
        <v>695.0</v>
      </c>
      <c r="C697" s="2031">
        <v>84.0</v>
      </c>
      <c r="D697" s="2031">
        <v>167.0</v>
      </c>
      <c r="E697" s="2031">
        <v>111.0</v>
      </c>
      <c r="F697" s="2031">
        <v>111.0</v>
      </c>
      <c r="G697" s="2031">
        <v>111.0</v>
      </c>
      <c r="H697" s="2031">
        <v>111.0</v>
      </c>
    </row>
    <row r="698">
      <c r="B698" s="2031">
        <v>696.0</v>
      </c>
      <c r="C698" s="2031">
        <v>83.0</v>
      </c>
      <c r="D698" s="2031">
        <v>167.0</v>
      </c>
      <c r="E698" s="2031">
        <v>111.0</v>
      </c>
      <c r="F698" s="2031">
        <v>111.0</v>
      </c>
      <c r="G698" s="2031">
        <v>112.0</v>
      </c>
      <c r="H698" s="2031">
        <v>112.0</v>
      </c>
    </row>
    <row r="699">
      <c r="B699" s="2031">
        <v>697.0</v>
      </c>
      <c r="C699" s="2031">
        <v>84.0</v>
      </c>
      <c r="D699" s="2031">
        <v>167.0</v>
      </c>
      <c r="E699" s="2031">
        <v>111.0</v>
      </c>
      <c r="F699" s="2031">
        <v>111.0</v>
      </c>
      <c r="G699" s="2031">
        <v>112.0</v>
      </c>
      <c r="H699" s="2031">
        <v>112.0</v>
      </c>
    </row>
    <row r="700">
      <c r="B700" s="2031">
        <v>698.0</v>
      </c>
      <c r="C700" s="2031">
        <v>83.0</v>
      </c>
      <c r="D700" s="2031">
        <v>167.0</v>
      </c>
      <c r="E700" s="2031">
        <v>112.0</v>
      </c>
      <c r="F700" s="2031">
        <v>112.0</v>
      </c>
      <c r="G700" s="2031">
        <v>112.0</v>
      </c>
      <c r="H700" s="2031">
        <v>112.0</v>
      </c>
    </row>
    <row r="701">
      <c r="B701" s="2031">
        <v>699.0</v>
      </c>
      <c r="C701" s="2031">
        <v>84.0</v>
      </c>
      <c r="D701" s="2031">
        <v>167.0</v>
      </c>
      <c r="E701" s="2031">
        <v>112.0</v>
      </c>
      <c r="F701" s="2031">
        <v>112.0</v>
      </c>
      <c r="G701" s="2031">
        <v>112.0</v>
      </c>
      <c r="H701" s="2031">
        <v>112.0</v>
      </c>
    </row>
    <row r="702">
      <c r="B702" s="2031">
        <v>700.0</v>
      </c>
      <c r="C702" s="2031">
        <v>84.0</v>
      </c>
      <c r="D702" s="2031">
        <v>168.0</v>
      </c>
      <c r="E702" s="2031">
        <v>112.0</v>
      </c>
      <c r="F702" s="2031">
        <v>112.0</v>
      </c>
      <c r="G702" s="2031">
        <v>112.0</v>
      </c>
      <c r="H702" s="2031">
        <v>112.0</v>
      </c>
    </row>
    <row r="703">
      <c r="B703" s="2031">
        <v>701.0</v>
      </c>
      <c r="C703" s="2031">
        <v>84.0</v>
      </c>
      <c r="D703" s="2031">
        <v>169.0</v>
      </c>
      <c r="E703" s="2031">
        <v>112.0</v>
      </c>
      <c r="F703" s="2031">
        <v>112.0</v>
      </c>
      <c r="G703" s="2031">
        <v>112.0</v>
      </c>
      <c r="H703" s="2031">
        <v>112.0</v>
      </c>
    </row>
    <row r="704">
      <c r="B704" s="2031">
        <v>702.0</v>
      </c>
      <c r="C704" s="2031">
        <v>85.0</v>
      </c>
      <c r="D704" s="2031">
        <v>169.0</v>
      </c>
      <c r="E704" s="2031">
        <v>112.0</v>
      </c>
      <c r="F704" s="2031">
        <v>112.0</v>
      </c>
      <c r="G704" s="2031">
        <v>112.0</v>
      </c>
      <c r="H704" s="2031">
        <v>112.0</v>
      </c>
    </row>
    <row r="705">
      <c r="B705" s="2031">
        <v>703.0</v>
      </c>
      <c r="C705" s="2031">
        <v>84.0</v>
      </c>
      <c r="D705" s="2031">
        <v>169.0</v>
      </c>
      <c r="E705" s="2031">
        <v>112.0</v>
      </c>
      <c r="F705" s="2031">
        <v>112.0</v>
      </c>
      <c r="G705" s="2031">
        <v>113.0</v>
      </c>
      <c r="H705" s="2031">
        <v>113.0</v>
      </c>
    </row>
    <row r="706">
      <c r="B706" s="2031">
        <v>704.0</v>
      </c>
      <c r="C706" s="2031">
        <v>85.0</v>
      </c>
      <c r="D706" s="2031">
        <v>169.0</v>
      </c>
      <c r="E706" s="2031">
        <v>112.0</v>
      </c>
      <c r="F706" s="2031">
        <v>112.0</v>
      </c>
      <c r="G706" s="2031">
        <v>113.0</v>
      </c>
      <c r="H706" s="2031">
        <v>113.0</v>
      </c>
    </row>
    <row r="707">
      <c r="B707" s="2031">
        <v>705.0</v>
      </c>
      <c r="C707" s="2031">
        <v>84.0</v>
      </c>
      <c r="D707" s="2031">
        <v>169.0</v>
      </c>
      <c r="E707" s="2031">
        <v>113.0</v>
      </c>
      <c r="F707" s="2031">
        <v>113.0</v>
      </c>
      <c r="G707" s="2031">
        <v>113.0</v>
      </c>
      <c r="H707" s="2031">
        <v>113.0</v>
      </c>
    </row>
    <row r="708">
      <c r="B708" s="2031">
        <v>706.0</v>
      </c>
      <c r="C708" s="2031">
        <v>85.0</v>
      </c>
      <c r="D708" s="2031">
        <v>169.0</v>
      </c>
      <c r="E708" s="2031">
        <v>113.0</v>
      </c>
      <c r="F708" s="2031">
        <v>113.0</v>
      </c>
      <c r="G708" s="2031">
        <v>113.0</v>
      </c>
      <c r="H708" s="2031">
        <v>113.0</v>
      </c>
    </row>
    <row r="709">
      <c r="B709" s="2031">
        <v>707.0</v>
      </c>
      <c r="C709" s="2031">
        <v>85.0</v>
      </c>
      <c r="D709" s="2031">
        <v>170.0</v>
      </c>
      <c r="E709" s="2031">
        <v>113.0</v>
      </c>
      <c r="F709" s="2031">
        <v>113.0</v>
      </c>
      <c r="G709" s="2031">
        <v>113.0</v>
      </c>
      <c r="H709" s="2031">
        <v>113.0</v>
      </c>
    </row>
    <row r="710">
      <c r="B710" s="2031">
        <v>708.0</v>
      </c>
      <c r="C710" s="2031">
        <v>85.0</v>
      </c>
      <c r="D710" s="2031">
        <v>169.0</v>
      </c>
      <c r="E710" s="2031">
        <v>113.0</v>
      </c>
      <c r="F710" s="2031">
        <v>113.0</v>
      </c>
      <c r="G710" s="2031">
        <v>114.0</v>
      </c>
      <c r="H710" s="2031">
        <v>114.0</v>
      </c>
    </row>
    <row r="711">
      <c r="B711" s="2031">
        <v>709.0</v>
      </c>
      <c r="C711" s="2031">
        <v>85.0</v>
      </c>
      <c r="D711" s="2031">
        <v>170.0</v>
      </c>
      <c r="E711" s="2031">
        <v>113.0</v>
      </c>
      <c r="F711" s="2031">
        <v>113.0</v>
      </c>
      <c r="G711" s="2031">
        <v>114.0</v>
      </c>
      <c r="H711" s="2031">
        <v>114.0</v>
      </c>
    </row>
    <row r="712">
      <c r="B712" s="2031">
        <v>710.0</v>
      </c>
      <c r="C712" s="2031">
        <v>85.0</v>
      </c>
      <c r="D712" s="2031">
        <v>171.0</v>
      </c>
      <c r="E712" s="2031">
        <v>113.0</v>
      </c>
      <c r="F712" s="2031">
        <v>113.0</v>
      </c>
      <c r="G712" s="2031">
        <v>114.0</v>
      </c>
      <c r="H712" s="2031">
        <v>114.0</v>
      </c>
    </row>
    <row r="713">
      <c r="B713" s="2031">
        <v>711.0</v>
      </c>
      <c r="C713" s="2031">
        <v>85.0</v>
      </c>
      <c r="D713" s="2031">
        <v>170.0</v>
      </c>
      <c r="E713" s="2031">
        <v>114.0</v>
      </c>
      <c r="F713" s="2031">
        <v>114.0</v>
      </c>
      <c r="G713" s="2031">
        <v>114.0</v>
      </c>
      <c r="H713" s="2031">
        <v>114.0</v>
      </c>
    </row>
    <row r="714">
      <c r="B714" s="2031">
        <v>712.0</v>
      </c>
      <c r="C714" s="2031">
        <v>85.0</v>
      </c>
      <c r="D714" s="2031">
        <v>171.0</v>
      </c>
      <c r="E714" s="2031">
        <v>114.0</v>
      </c>
      <c r="F714" s="2031">
        <v>114.0</v>
      </c>
      <c r="G714" s="2031">
        <v>114.0</v>
      </c>
      <c r="H714" s="2031">
        <v>114.0</v>
      </c>
    </row>
    <row r="715">
      <c r="B715" s="2031">
        <v>713.0</v>
      </c>
      <c r="C715" s="2031">
        <v>86.0</v>
      </c>
      <c r="D715" s="2031">
        <v>171.0</v>
      </c>
      <c r="E715" s="2031">
        <v>114.0</v>
      </c>
      <c r="F715" s="2031">
        <v>114.0</v>
      </c>
      <c r="G715" s="2031">
        <v>114.0</v>
      </c>
      <c r="H715" s="2031">
        <v>114.0</v>
      </c>
    </row>
    <row r="716">
      <c r="B716" s="2031">
        <v>714.0</v>
      </c>
      <c r="C716" s="2031">
        <v>86.0</v>
      </c>
      <c r="D716" s="2031">
        <v>172.0</v>
      </c>
      <c r="E716" s="2031">
        <v>114.0</v>
      </c>
      <c r="F716" s="2031">
        <v>114.0</v>
      </c>
      <c r="G716" s="2031">
        <v>114.0</v>
      </c>
      <c r="H716" s="2031">
        <v>114.0</v>
      </c>
    </row>
    <row r="717">
      <c r="B717" s="2031">
        <v>715.0</v>
      </c>
      <c r="C717" s="2031">
        <v>86.0</v>
      </c>
      <c r="D717" s="2031">
        <v>171.0</v>
      </c>
      <c r="E717" s="2031">
        <v>114.0</v>
      </c>
      <c r="F717" s="2031">
        <v>114.0</v>
      </c>
      <c r="G717" s="2031">
        <v>115.0</v>
      </c>
      <c r="H717" s="2031">
        <v>115.0</v>
      </c>
    </row>
    <row r="718">
      <c r="B718" s="2031">
        <v>716.0</v>
      </c>
      <c r="C718" s="2031">
        <v>86.0</v>
      </c>
      <c r="D718" s="2031">
        <v>172.0</v>
      </c>
      <c r="E718" s="2031">
        <v>114.0</v>
      </c>
      <c r="F718" s="2031">
        <v>114.0</v>
      </c>
      <c r="G718" s="2031">
        <v>115.0</v>
      </c>
      <c r="H718" s="2031">
        <v>115.0</v>
      </c>
    </row>
    <row r="719">
      <c r="B719" s="2031">
        <v>717.0</v>
      </c>
      <c r="C719" s="2031">
        <v>86.0</v>
      </c>
      <c r="D719" s="2031">
        <v>173.0</v>
      </c>
      <c r="E719" s="2031">
        <v>114.0</v>
      </c>
      <c r="F719" s="2031">
        <v>114.0</v>
      </c>
      <c r="G719" s="2031">
        <v>115.0</v>
      </c>
      <c r="H719" s="2031">
        <v>115.0</v>
      </c>
    </row>
    <row r="720">
      <c r="B720" s="2031">
        <v>718.0</v>
      </c>
      <c r="C720" s="2031">
        <v>86.0</v>
      </c>
      <c r="D720" s="2031">
        <v>172.0</v>
      </c>
      <c r="E720" s="2031">
        <v>115.0</v>
      </c>
      <c r="F720" s="2031">
        <v>115.0</v>
      </c>
      <c r="G720" s="2031">
        <v>115.0</v>
      </c>
      <c r="H720" s="2031">
        <v>115.0</v>
      </c>
    </row>
    <row r="721">
      <c r="B721" s="2031">
        <v>719.0</v>
      </c>
      <c r="C721" s="2031">
        <v>86.0</v>
      </c>
      <c r="D721" s="2031">
        <v>173.0</v>
      </c>
      <c r="E721" s="2031">
        <v>115.0</v>
      </c>
      <c r="F721" s="2031">
        <v>115.0</v>
      </c>
      <c r="G721" s="2031">
        <v>115.0</v>
      </c>
      <c r="H721" s="2031">
        <v>115.0</v>
      </c>
    </row>
    <row r="722">
      <c r="B722" s="2031">
        <v>720.0</v>
      </c>
      <c r="C722" s="2031">
        <v>87.0</v>
      </c>
      <c r="D722" s="2031">
        <v>173.0</v>
      </c>
      <c r="E722" s="2031">
        <v>115.0</v>
      </c>
      <c r="F722" s="2031">
        <v>115.0</v>
      </c>
      <c r="G722" s="2031">
        <v>115.0</v>
      </c>
      <c r="H722" s="2031">
        <v>115.0</v>
      </c>
    </row>
    <row r="723">
      <c r="B723" s="2031">
        <v>721.0</v>
      </c>
      <c r="C723" s="2031">
        <v>86.0</v>
      </c>
      <c r="D723" s="2031">
        <v>173.0</v>
      </c>
      <c r="E723" s="2031">
        <v>115.0</v>
      </c>
      <c r="F723" s="2031">
        <v>115.0</v>
      </c>
      <c r="G723" s="2031">
        <v>116.0</v>
      </c>
      <c r="H723" s="2031">
        <v>116.0</v>
      </c>
    </row>
    <row r="724">
      <c r="B724" s="2031">
        <v>722.0</v>
      </c>
      <c r="C724" s="2031">
        <v>87.0</v>
      </c>
      <c r="D724" s="2031">
        <v>173.0</v>
      </c>
      <c r="E724" s="2031">
        <v>115.0</v>
      </c>
      <c r="F724" s="2031">
        <v>115.0</v>
      </c>
      <c r="G724" s="2031">
        <v>116.0</v>
      </c>
      <c r="H724" s="2031">
        <v>116.0</v>
      </c>
    </row>
    <row r="725">
      <c r="B725" s="2031">
        <v>723.0</v>
      </c>
      <c r="C725" s="2031">
        <v>86.0</v>
      </c>
      <c r="D725" s="2031">
        <v>173.0</v>
      </c>
      <c r="E725" s="2031">
        <v>116.0</v>
      </c>
      <c r="F725" s="2031">
        <v>116.0</v>
      </c>
      <c r="G725" s="2031">
        <v>116.0</v>
      </c>
      <c r="H725" s="2031">
        <v>116.0</v>
      </c>
    </row>
    <row r="726">
      <c r="B726" s="2031">
        <v>724.0</v>
      </c>
      <c r="C726" s="2031">
        <v>87.0</v>
      </c>
      <c r="D726" s="2031">
        <v>173.0</v>
      </c>
      <c r="E726" s="2031">
        <v>116.0</v>
      </c>
      <c r="F726" s="2031">
        <v>116.0</v>
      </c>
      <c r="G726" s="2031">
        <v>116.0</v>
      </c>
      <c r="H726" s="2031">
        <v>116.0</v>
      </c>
    </row>
    <row r="727">
      <c r="B727" s="2031">
        <v>725.0</v>
      </c>
      <c r="C727" s="2031">
        <v>87.0</v>
      </c>
      <c r="D727" s="2031">
        <v>174.0</v>
      </c>
      <c r="E727" s="2031">
        <v>116.0</v>
      </c>
      <c r="F727" s="2031">
        <v>116.0</v>
      </c>
      <c r="G727" s="2031">
        <v>116.0</v>
      </c>
      <c r="H727" s="2031">
        <v>116.0</v>
      </c>
    </row>
    <row r="728">
      <c r="B728" s="2031">
        <v>726.0</v>
      </c>
      <c r="C728" s="2031">
        <v>87.0</v>
      </c>
      <c r="D728" s="2031">
        <v>175.0</v>
      </c>
      <c r="E728" s="2031">
        <v>116.0</v>
      </c>
      <c r="F728" s="2031">
        <v>116.0</v>
      </c>
      <c r="G728" s="2031">
        <v>116.0</v>
      </c>
      <c r="H728" s="2031">
        <v>116.0</v>
      </c>
    </row>
    <row r="729">
      <c r="B729" s="2031">
        <v>727.0</v>
      </c>
      <c r="C729" s="2031">
        <v>88.0</v>
      </c>
      <c r="D729" s="2031">
        <v>175.0</v>
      </c>
      <c r="E729" s="2031">
        <v>116.0</v>
      </c>
      <c r="F729" s="2031">
        <v>116.0</v>
      </c>
      <c r="G729" s="2031">
        <v>116.0</v>
      </c>
      <c r="H729" s="2031">
        <v>116.0</v>
      </c>
    </row>
    <row r="730">
      <c r="B730" s="2031">
        <v>728.0</v>
      </c>
      <c r="C730" s="2031">
        <v>87.0</v>
      </c>
      <c r="D730" s="2031">
        <v>175.0</v>
      </c>
      <c r="E730" s="2031">
        <v>116.0</v>
      </c>
      <c r="F730" s="2031">
        <v>116.0</v>
      </c>
      <c r="G730" s="2031">
        <v>117.0</v>
      </c>
      <c r="H730" s="2031">
        <v>117.0</v>
      </c>
    </row>
    <row r="731">
      <c r="B731" s="2031">
        <v>729.0</v>
      </c>
      <c r="C731" s="2031">
        <v>88.0</v>
      </c>
      <c r="D731" s="2031">
        <v>175.0</v>
      </c>
      <c r="E731" s="2031">
        <v>116.0</v>
      </c>
      <c r="F731" s="2031">
        <v>116.0</v>
      </c>
      <c r="G731" s="2031">
        <v>117.0</v>
      </c>
      <c r="H731" s="2031">
        <v>117.0</v>
      </c>
    </row>
    <row r="732">
      <c r="B732" s="2031">
        <v>730.0</v>
      </c>
      <c r="C732" s="2031">
        <v>87.0</v>
      </c>
      <c r="D732" s="2031">
        <v>175.0</v>
      </c>
      <c r="E732" s="2031">
        <v>117.0</v>
      </c>
      <c r="F732" s="2031">
        <v>117.0</v>
      </c>
      <c r="G732" s="2031">
        <v>117.0</v>
      </c>
      <c r="H732" s="2031">
        <v>117.0</v>
      </c>
    </row>
    <row r="733">
      <c r="B733" s="2031">
        <v>731.0</v>
      </c>
      <c r="C733" s="2031">
        <v>88.0</v>
      </c>
      <c r="D733" s="2031">
        <v>175.0</v>
      </c>
      <c r="E733" s="2031">
        <v>117.0</v>
      </c>
      <c r="F733" s="2031">
        <v>117.0</v>
      </c>
      <c r="G733" s="2031">
        <v>117.0</v>
      </c>
      <c r="H733" s="2031">
        <v>117.0</v>
      </c>
    </row>
    <row r="734">
      <c r="B734" s="2031">
        <v>732.0</v>
      </c>
      <c r="C734" s="2031">
        <v>88.0</v>
      </c>
      <c r="D734" s="2031">
        <v>176.0</v>
      </c>
      <c r="E734" s="2031">
        <v>117.0</v>
      </c>
      <c r="F734" s="2031">
        <v>117.0</v>
      </c>
      <c r="G734" s="2031">
        <v>117.0</v>
      </c>
      <c r="H734" s="2031">
        <v>117.0</v>
      </c>
    </row>
    <row r="735">
      <c r="B735" s="2031">
        <v>733.0</v>
      </c>
      <c r="C735" s="2031">
        <v>88.0</v>
      </c>
      <c r="D735" s="2031">
        <v>175.0</v>
      </c>
      <c r="E735" s="2031">
        <v>117.0</v>
      </c>
      <c r="F735" s="2031">
        <v>117.0</v>
      </c>
      <c r="G735" s="2031">
        <v>118.0</v>
      </c>
      <c r="H735" s="2031">
        <v>118.0</v>
      </c>
    </row>
    <row r="736">
      <c r="B736" s="2031">
        <v>734.0</v>
      </c>
      <c r="C736" s="2031">
        <v>88.0</v>
      </c>
      <c r="D736" s="2031">
        <v>176.0</v>
      </c>
      <c r="E736" s="2031">
        <v>117.0</v>
      </c>
      <c r="F736" s="2031">
        <v>117.0</v>
      </c>
      <c r="G736" s="2031">
        <v>118.0</v>
      </c>
      <c r="H736" s="2031">
        <v>118.0</v>
      </c>
    </row>
    <row r="737">
      <c r="B737" s="2031">
        <v>735.0</v>
      </c>
      <c r="C737" s="2031">
        <v>88.0</v>
      </c>
      <c r="D737" s="2031">
        <v>177.0</v>
      </c>
      <c r="E737" s="2031">
        <v>117.0</v>
      </c>
      <c r="F737" s="2031">
        <v>117.0</v>
      </c>
      <c r="G737" s="2031">
        <v>118.0</v>
      </c>
      <c r="H737" s="2031">
        <v>118.0</v>
      </c>
    </row>
    <row r="738">
      <c r="B738" s="2031">
        <v>736.0</v>
      </c>
      <c r="C738" s="2031">
        <v>88.0</v>
      </c>
      <c r="D738" s="2031">
        <v>176.0</v>
      </c>
      <c r="E738" s="2031">
        <v>118.0</v>
      </c>
      <c r="F738" s="2031">
        <v>118.0</v>
      </c>
      <c r="G738" s="2031">
        <v>118.0</v>
      </c>
      <c r="H738" s="2031">
        <v>118.0</v>
      </c>
    </row>
    <row r="739">
      <c r="B739" s="2031">
        <v>737.0</v>
      </c>
      <c r="C739" s="2031">
        <v>88.0</v>
      </c>
      <c r="D739" s="2031">
        <v>177.0</v>
      </c>
      <c r="E739" s="2031">
        <v>118.0</v>
      </c>
      <c r="F739" s="2031">
        <v>118.0</v>
      </c>
      <c r="G739" s="2031">
        <v>118.0</v>
      </c>
      <c r="H739" s="2031">
        <v>118.0</v>
      </c>
    </row>
    <row r="740">
      <c r="B740" s="2031">
        <v>738.0</v>
      </c>
      <c r="C740" s="2031">
        <v>89.0</v>
      </c>
      <c r="D740" s="2031">
        <v>177.0</v>
      </c>
      <c r="E740" s="2031">
        <v>118.0</v>
      </c>
      <c r="F740" s="2031">
        <v>118.0</v>
      </c>
      <c r="G740" s="2031">
        <v>118.0</v>
      </c>
      <c r="H740" s="2031">
        <v>118.0</v>
      </c>
    </row>
    <row r="741">
      <c r="B741" s="2031">
        <v>739.0</v>
      </c>
      <c r="C741" s="2031">
        <v>89.0</v>
      </c>
      <c r="D741" s="2031">
        <v>178.0</v>
      </c>
      <c r="E741" s="2031">
        <v>118.0</v>
      </c>
      <c r="F741" s="2031">
        <v>118.0</v>
      </c>
      <c r="G741" s="2031">
        <v>118.0</v>
      </c>
      <c r="H741" s="2031">
        <v>118.0</v>
      </c>
    </row>
    <row r="742">
      <c r="B742" s="2031">
        <v>740.0</v>
      </c>
      <c r="C742" s="2031">
        <v>89.0</v>
      </c>
      <c r="D742" s="2031">
        <v>177.0</v>
      </c>
      <c r="E742" s="2031">
        <v>118.0</v>
      </c>
      <c r="F742" s="2031">
        <v>118.0</v>
      </c>
      <c r="G742" s="2031">
        <v>119.0</v>
      </c>
      <c r="H742" s="2031">
        <v>119.0</v>
      </c>
    </row>
    <row r="743">
      <c r="B743" s="2031">
        <v>741.0</v>
      </c>
      <c r="C743" s="2031">
        <v>89.0</v>
      </c>
      <c r="D743" s="2031">
        <v>178.0</v>
      </c>
      <c r="E743" s="2031">
        <v>118.0</v>
      </c>
      <c r="F743" s="2031">
        <v>118.0</v>
      </c>
      <c r="G743" s="2031">
        <v>119.0</v>
      </c>
      <c r="H743" s="2031">
        <v>119.0</v>
      </c>
    </row>
    <row r="744">
      <c r="B744" s="2031">
        <v>742.0</v>
      </c>
      <c r="C744" s="2031">
        <v>89.0</v>
      </c>
      <c r="D744" s="2031">
        <v>179.0</v>
      </c>
      <c r="E744" s="2031">
        <v>118.0</v>
      </c>
      <c r="F744" s="2031">
        <v>118.0</v>
      </c>
      <c r="G744" s="2031">
        <v>119.0</v>
      </c>
      <c r="H744" s="2031">
        <v>119.0</v>
      </c>
    </row>
    <row r="745">
      <c r="B745" s="2031">
        <v>743.0</v>
      </c>
      <c r="C745" s="2031">
        <v>89.0</v>
      </c>
      <c r="D745" s="2031">
        <v>178.0</v>
      </c>
      <c r="E745" s="2031">
        <v>119.0</v>
      </c>
      <c r="F745" s="2031">
        <v>119.0</v>
      </c>
      <c r="G745" s="2031">
        <v>119.0</v>
      </c>
      <c r="H745" s="2031">
        <v>119.0</v>
      </c>
    </row>
    <row r="746">
      <c r="B746" s="2031">
        <v>744.0</v>
      </c>
      <c r="C746" s="2031">
        <v>89.0</v>
      </c>
      <c r="D746" s="2031">
        <v>179.0</v>
      </c>
      <c r="E746" s="2031">
        <v>119.0</v>
      </c>
      <c r="F746" s="2031">
        <v>119.0</v>
      </c>
      <c r="G746" s="2031">
        <v>119.0</v>
      </c>
      <c r="H746" s="2031">
        <v>119.0</v>
      </c>
    </row>
    <row r="747">
      <c r="B747" s="2031">
        <v>745.0</v>
      </c>
      <c r="C747" s="2031">
        <v>90.0</v>
      </c>
      <c r="D747" s="2031">
        <v>179.0</v>
      </c>
      <c r="E747" s="2031">
        <v>119.0</v>
      </c>
      <c r="F747" s="2031">
        <v>119.0</v>
      </c>
      <c r="G747" s="2031">
        <v>119.0</v>
      </c>
      <c r="H747" s="2031">
        <v>119.0</v>
      </c>
    </row>
    <row r="748">
      <c r="B748" s="2031">
        <v>746.0</v>
      </c>
      <c r="C748" s="2031">
        <v>89.0</v>
      </c>
      <c r="D748" s="2031">
        <v>179.0</v>
      </c>
      <c r="E748" s="2031">
        <v>119.0</v>
      </c>
      <c r="F748" s="2031">
        <v>119.0</v>
      </c>
      <c r="G748" s="2031">
        <v>120.0</v>
      </c>
      <c r="H748" s="2031">
        <v>120.0</v>
      </c>
    </row>
    <row r="749">
      <c r="B749" s="2031">
        <v>747.0</v>
      </c>
      <c r="C749" s="2031">
        <v>90.0</v>
      </c>
      <c r="D749" s="2031">
        <v>179.0</v>
      </c>
      <c r="E749" s="2031">
        <v>119.0</v>
      </c>
      <c r="F749" s="2031">
        <v>119.0</v>
      </c>
      <c r="G749" s="2031">
        <v>120.0</v>
      </c>
      <c r="H749" s="2031">
        <v>120.0</v>
      </c>
    </row>
    <row r="750">
      <c r="B750" s="2031">
        <v>748.0</v>
      </c>
      <c r="C750" s="2031">
        <v>89.0</v>
      </c>
      <c r="D750" s="2031">
        <v>179.0</v>
      </c>
      <c r="E750" s="2031">
        <v>120.0</v>
      </c>
      <c r="F750" s="2031">
        <v>120.0</v>
      </c>
      <c r="G750" s="2031">
        <v>120.0</v>
      </c>
      <c r="H750" s="2031">
        <v>120.0</v>
      </c>
    </row>
    <row r="751">
      <c r="B751" s="2031">
        <v>749.0</v>
      </c>
      <c r="C751" s="2031">
        <v>90.0</v>
      </c>
      <c r="D751" s="2031">
        <v>179.0</v>
      </c>
      <c r="E751" s="2031">
        <v>120.0</v>
      </c>
      <c r="F751" s="2031">
        <v>120.0</v>
      </c>
      <c r="G751" s="2031">
        <v>120.0</v>
      </c>
      <c r="H751" s="2031">
        <v>120.0</v>
      </c>
    </row>
    <row r="752">
      <c r="B752" s="2031">
        <v>750.0</v>
      </c>
      <c r="C752" s="2031">
        <v>90.0</v>
      </c>
      <c r="D752" s="2031">
        <v>180.0</v>
      </c>
      <c r="E752" s="2031">
        <v>120.0</v>
      </c>
      <c r="F752" s="2031">
        <v>120.0</v>
      </c>
      <c r="G752" s="2031">
        <v>120.0</v>
      </c>
      <c r="H752" s="2031">
        <v>120.0</v>
      </c>
    </row>
    <row r="753">
      <c r="B753" s="2031">
        <v>751.0</v>
      </c>
      <c r="C753" s="2031">
        <v>90.0</v>
      </c>
      <c r="D753" s="2031">
        <v>181.0</v>
      </c>
      <c r="E753" s="2031">
        <v>120.0</v>
      </c>
      <c r="F753" s="2031">
        <v>120.0</v>
      </c>
      <c r="G753" s="2031">
        <v>120.0</v>
      </c>
      <c r="H753" s="2031">
        <v>120.0</v>
      </c>
    </row>
    <row r="754">
      <c r="B754" s="2031">
        <v>752.0</v>
      </c>
      <c r="C754" s="2031">
        <v>91.0</v>
      </c>
      <c r="D754" s="2031">
        <v>181.0</v>
      </c>
      <c r="E754" s="2031">
        <v>120.0</v>
      </c>
      <c r="F754" s="2031">
        <v>120.0</v>
      </c>
      <c r="G754" s="2031">
        <v>120.0</v>
      </c>
      <c r="H754" s="2031">
        <v>120.0</v>
      </c>
    </row>
    <row r="755">
      <c r="B755" s="2031">
        <v>753.0</v>
      </c>
      <c r="C755" s="2031">
        <v>90.0</v>
      </c>
      <c r="D755" s="2031">
        <v>181.0</v>
      </c>
      <c r="E755" s="2031">
        <v>120.0</v>
      </c>
      <c r="F755" s="2031">
        <v>120.0</v>
      </c>
      <c r="G755" s="2031">
        <v>121.0</v>
      </c>
      <c r="H755" s="2031">
        <v>121.0</v>
      </c>
    </row>
    <row r="756">
      <c r="B756" s="2031">
        <v>754.0</v>
      </c>
      <c r="C756" s="2031">
        <v>91.0</v>
      </c>
      <c r="D756" s="2031">
        <v>181.0</v>
      </c>
      <c r="E756" s="2031">
        <v>120.0</v>
      </c>
      <c r="F756" s="2031">
        <v>120.0</v>
      </c>
      <c r="G756" s="2031">
        <v>121.0</v>
      </c>
      <c r="H756" s="2031">
        <v>121.0</v>
      </c>
    </row>
    <row r="757">
      <c r="B757" s="2031">
        <v>755.0</v>
      </c>
      <c r="C757" s="2031">
        <v>90.0</v>
      </c>
      <c r="D757" s="2031">
        <v>181.0</v>
      </c>
      <c r="E757" s="2031">
        <v>121.0</v>
      </c>
      <c r="F757" s="2031">
        <v>121.0</v>
      </c>
      <c r="G757" s="2031">
        <v>121.0</v>
      </c>
      <c r="H757" s="2031">
        <v>121.0</v>
      </c>
    </row>
    <row r="758">
      <c r="B758" s="2031">
        <v>756.0</v>
      </c>
      <c r="C758" s="2031">
        <v>91.0</v>
      </c>
      <c r="D758" s="2031">
        <v>181.0</v>
      </c>
      <c r="E758" s="2031">
        <v>121.0</v>
      </c>
      <c r="F758" s="2031">
        <v>121.0</v>
      </c>
      <c r="G758" s="2031">
        <v>121.0</v>
      </c>
      <c r="H758" s="2031">
        <v>121.0</v>
      </c>
    </row>
    <row r="759">
      <c r="B759" s="2031">
        <v>757.0</v>
      </c>
      <c r="C759" s="2031">
        <v>91.0</v>
      </c>
      <c r="D759" s="2031">
        <v>182.0</v>
      </c>
      <c r="E759" s="2031">
        <v>121.0</v>
      </c>
      <c r="F759" s="2031">
        <v>121.0</v>
      </c>
      <c r="G759" s="2031">
        <v>121.0</v>
      </c>
      <c r="H759" s="2031">
        <v>121.0</v>
      </c>
    </row>
    <row r="760">
      <c r="B760" s="2031">
        <v>758.0</v>
      </c>
      <c r="C760" s="2031">
        <v>91.0</v>
      </c>
      <c r="D760" s="2031">
        <v>181.0</v>
      </c>
      <c r="E760" s="2031">
        <v>121.0</v>
      </c>
      <c r="F760" s="2031">
        <v>121.0</v>
      </c>
      <c r="G760" s="2031">
        <v>122.0</v>
      </c>
      <c r="H760" s="2031">
        <v>122.0</v>
      </c>
    </row>
    <row r="761">
      <c r="B761" s="2031">
        <v>759.0</v>
      </c>
      <c r="C761" s="2031">
        <v>91.0</v>
      </c>
      <c r="D761" s="2031">
        <v>182.0</v>
      </c>
      <c r="E761" s="2031">
        <v>121.0</v>
      </c>
      <c r="F761" s="2031">
        <v>121.0</v>
      </c>
      <c r="G761" s="2031">
        <v>122.0</v>
      </c>
      <c r="H761" s="2031">
        <v>122.0</v>
      </c>
    </row>
    <row r="762">
      <c r="B762" s="2031">
        <v>760.0</v>
      </c>
      <c r="C762" s="2031">
        <v>91.0</v>
      </c>
      <c r="D762" s="2031">
        <v>183.0</v>
      </c>
      <c r="E762" s="2031">
        <v>121.0</v>
      </c>
      <c r="F762" s="2031">
        <v>121.0</v>
      </c>
      <c r="G762" s="2031">
        <v>122.0</v>
      </c>
      <c r="H762" s="2031">
        <v>122.0</v>
      </c>
    </row>
    <row r="763">
      <c r="B763" s="2031">
        <v>761.0</v>
      </c>
      <c r="C763" s="2031">
        <v>91.0</v>
      </c>
      <c r="D763" s="2031">
        <v>182.0</v>
      </c>
      <c r="E763" s="2031">
        <v>122.0</v>
      </c>
      <c r="F763" s="2031">
        <v>122.0</v>
      </c>
      <c r="G763" s="2031">
        <v>122.0</v>
      </c>
      <c r="H763" s="2031">
        <v>122.0</v>
      </c>
    </row>
    <row r="764">
      <c r="B764" s="2031">
        <v>762.0</v>
      </c>
      <c r="C764" s="2031">
        <v>91.0</v>
      </c>
      <c r="D764" s="2031">
        <v>183.0</v>
      </c>
      <c r="E764" s="2031">
        <v>122.0</v>
      </c>
      <c r="F764" s="2031">
        <v>122.0</v>
      </c>
      <c r="G764" s="2031">
        <v>122.0</v>
      </c>
      <c r="H764" s="2031">
        <v>122.0</v>
      </c>
    </row>
    <row r="765">
      <c r="B765" s="2031">
        <v>763.0</v>
      </c>
      <c r="C765" s="2031">
        <v>92.0</v>
      </c>
      <c r="D765" s="2031">
        <v>183.0</v>
      </c>
      <c r="E765" s="2031">
        <v>122.0</v>
      </c>
      <c r="F765" s="2031">
        <v>122.0</v>
      </c>
      <c r="G765" s="2031">
        <v>122.0</v>
      </c>
      <c r="H765" s="2031">
        <v>122.0</v>
      </c>
    </row>
    <row r="766">
      <c r="B766" s="2031">
        <v>764.0</v>
      </c>
      <c r="C766" s="2031">
        <v>92.0</v>
      </c>
      <c r="D766" s="2031">
        <v>184.0</v>
      </c>
      <c r="E766" s="2031">
        <v>122.0</v>
      </c>
      <c r="F766" s="2031">
        <v>122.0</v>
      </c>
      <c r="G766" s="2031">
        <v>122.0</v>
      </c>
      <c r="H766" s="2031">
        <v>122.0</v>
      </c>
    </row>
    <row r="767">
      <c r="B767" s="2031">
        <v>765.0</v>
      </c>
      <c r="C767" s="2031">
        <v>92.0</v>
      </c>
      <c r="D767" s="2031">
        <v>183.0</v>
      </c>
      <c r="E767" s="2031">
        <v>122.0</v>
      </c>
      <c r="F767" s="2031">
        <v>122.0</v>
      </c>
      <c r="G767" s="2031">
        <v>123.0</v>
      </c>
      <c r="H767" s="2031">
        <v>123.0</v>
      </c>
    </row>
    <row r="768">
      <c r="B768" s="2031">
        <v>766.0</v>
      </c>
      <c r="C768" s="2031">
        <v>92.0</v>
      </c>
      <c r="D768" s="2031">
        <v>184.0</v>
      </c>
      <c r="E768" s="2031">
        <v>122.0</v>
      </c>
      <c r="F768" s="2031">
        <v>122.0</v>
      </c>
      <c r="G768" s="2031">
        <v>123.0</v>
      </c>
      <c r="H768" s="2031">
        <v>123.0</v>
      </c>
    </row>
    <row r="769">
      <c r="B769" s="2031">
        <v>767.0</v>
      </c>
      <c r="C769" s="2031">
        <v>92.0</v>
      </c>
      <c r="D769" s="2031">
        <v>185.0</v>
      </c>
      <c r="E769" s="2031">
        <v>122.0</v>
      </c>
      <c r="F769" s="2031">
        <v>122.0</v>
      </c>
      <c r="G769" s="2031">
        <v>123.0</v>
      </c>
      <c r="H769" s="2031">
        <v>123.0</v>
      </c>
    </row>
    <row r="770">
      <c r="B770" s="2031">
        <v>768.0</v>
      </c>
      <c r="C770" s="2031">
        <v>92.0</v>
      </c>
      <c r="D770" s="2031">
        <v>184.0</v>
      </c>
      <c r="E770" s="2031">
        <v>123.0</v>
      </c>
      <c r="F770" s="2031">
        <v>123.0</v>
      </c>
      <c r="G770" s="2031">
        <v>123.0</v>
      </c>
      <c r="H770" s="2031">
        <v>123.0</v>
      </c>
    </row>
    <row r="771">
      <c r="B771" s="2031">
        <v>769.0</v>
      </c>
      <c r="C771" s="2031">
        <v>92.0</v>
      </c>
      <c r="D771" s="2031">
        <v>185.0</v>
      </c>
      <c r="E771" s="2031">
        <v>123.0</v>
      </c>
      <c r="F771" s="2031">
        <v>123.0</v>
      </c>
      <c r="G771" s="2031">
        <v>123.0</v>
      </c>
      <c r="H771" s="2031">
        <v>123.0</v>
      </c>
    </row>
    <row r="772">
      <c r="B772" s="2031">
        <v>770.0</v>
      </c>
      <c r="C772" s="2031">
        <v>93.0</v>
      </c>
      <c r="D772" s="2031">
        <v>185.0</v>
      </c>
      <c r="E772" s="2031">
        <v>123.0</v>
      </c>
      <c r="F772" s="2031">
        <v>123.0</v>
      </c>
      <c r="G772" s="2031">
        <v>123.0</v>
      </c>
      <c r="H772" s="2031">
        <v>123.0</v>
      </c>
    </row>
    <row r="773">
      <c r="B773" s="2031">
        <v>771.0</v>
      </c>
      <c r="C773" s="2031">
        <v>92.0</v>
      </c>
      <c r="D773" s="2031">
        <v>185.0</v>
      </c>
      <c r="E773" s="2031">
        <v>123.0</v>
      </c>
      <c r="F773" s="2031">
        <v>123.0</v>
      </c>
      <c r="G773" s="2031">
        <v>124.0</v>
      </c>
      <c r="H773" s="2031">
        <v>124.0</v>
      </c>
    </row>
    <row r="774">
      <c r="B774" s="2031">
        <v>772.0</v>
      </c>
      <c r="C774" s="2031">
        <v>93.0</v>
      </c>
      <c r="D774" s="2031">
        <v>185.0</v>
      </c>
      <c r="E774" s="2031">
        <v>123.0</v>
      </c>
      <c r="F774" s="2031">
        <v>123.0</v>
      </c>
      <c r="G774" s="2031">
        <v>124.0</v>
      </c>
      <c r="H774" s="2031">
        <v>124.0</v>
      </c>
    </row>
    <row r="775">
      <c r="B775" s="2031">
        <v>773.0</v>
      </c>
      <c r="C775" s="2031">
        <v>92.0</v>
      </c>
      <c r="D775" s="2031">
        <v>185.0</v>
      </c>
      <c r="E775" s="2031">
        <v>124.0</v>
      </c>
      <c r="F775" s="2031">
        <v>124.0</v>
      </c>
      <c r="G775" s="2031">
        <v>124.0</v>
      </c>
      <c r="H775" s="2031">
        <v>124.0</v>
      </c>
    </row>
    <row r="776">
      <c r="B776" s="2031">
        <v>774.0</v>
      </c>
      <c r="C776" s="2031">
        <v>93.0</v>
      </c>
      <c r="D776" s="2031">
        <v>185.0</v>
      </c>
      <c r="E776" s="2031">
        <v>124.0</v>
      </c>
      <c r="F776" s="2031">
        <v>124.0</v>
      </c>
      <c r="G776" s="2031">
        <v>124.0</v>
      </c>
      <c r="H776" s="2031">
        <v>124.0</v>
      </c>
    </row>
    <row r="777">
      <c r="B777" s="2031">
        <v>775.0</v>
      </c>
      <c r="C777" s="2031">
        <v>93.0</v>
      </c>
      <c r="D777" s="2031">
        <v>186.0</v>
      </c>
      <c r="E777" s="2031">
        <v>124.0</v>
      </c>
      <c r="F777" s="2031">
        <v>124.0</v>
      </c>
      <c r="G777" s="2031">
        <v>124.0</v>
      </c>
      <c r="H777" s="2031">
        <v>124.0</v>
      </c>
    </row>
    <row r="778">
      <c r="B778" s="2031">
        <v>776.0</v>
      </c>
      <c r="C778" s="2031">
        <v>93.0</v>
      </c>
      <c r="D778" s="2031">
        <v>187.0</v>
      </c>
      <c r="E778" s="2031">
        <v>124.0</v>
      </c>
      <c r="F778" s="2031">
        <v>124.0</v>
      </c>
      <c r="G778" s="2031">
        <v>124.0</v>
      </c>
      <c r="H778" s="2031">
        <v>124.0</v>
      </c>
    </row>
    <row r="779">
      <c r="B779" s="2031">
        <v>777.0</v>
      </c>
      <c r="C779" s="2031">
        <v>94.0</v>
      </c>
      <c r="D779" s="2031">
        <v>187.0</v>
      </c>
      <c r="E779" s="2031">
        <v>124.0</v>
      </c>
      <c r="F779" s="2031">
        <v>124.0</v>
      </c>
      <c r="G779" s="2031">
        <v>124.0</v>
      </c>
      <c r="H779" s="2031">
        <v>124.0</v>
      </c>
    </row>
    <row r="780">
      <c r="B780" s="2031">
        <v>778.0</v>
      </c>
      <c r="C780" s="2031">
        <v>93.0</v>
      </c>
      <c r="D780" s="2031">
        <v>187.0</v>
      </c>
      <c r="E780" s="2031">
        <v>124.0</v>
      </c>
      <c r="F780" s="2031">
        <v>124.0</v>
      </c>
      <c r="G780" s="2031">
        <v>125.0</v>
      </c>
      <c r="H780" s="2031">
        <v>125.0</v>
      </c>
    </row>
    <row r="781">
      <c r="B781" s="2031">
        <v>779.0</v>
      </c>
      <c r="C781" s="2031">
        <v>94.0</v>
      </c>
      <c r="D781" s="2031">
        <v>187.0</v>
      </c>
      <c r="E781" s="2031">
        <v>124.0</v>
      </c>
      <c r="F781" s="2031">
        <v>124.0</v>
      </c>
      <c r="G781" s="2031">
        <v>125.0</v>
      </c>
      <c r="H781" s="2031">
        <v>125.0</v>
      </c>
    </row>
    <row r="782">
      <c r="B782" s="2031">
        <v>780.0</v>
      </c>
      <c r="C782" s="2031">
        <v>93.0</v>
      </c>
      <c r="D782" s="2031">
        <v>187.0</v>
      </c>
      <c r="E782" s="2031">
        <v>125.0</v>
      </c>
      <c r="F782" s="2031">
        <v>125.0</v>
      </c>
      <c r="G782" s="2031">
        <v>125.0</v>
      </c>
      <c r="H782" s="2031">
        <v>125.0</v>
      </c>
    </row>
    <row r="783">
      <c r="B783" s="2031">
        <v>781.0</v>
      </c>
      <c r="C783" s="2031">
        <v>94.0</v>
      </c>
      <c r="D783" s="2031">
        <v>187.0</v>
      </c>
      <c r="E783" s="2031">
        <v>125.0</v>
      </c>
      <c r="F783" s="2031">
        <v>125.0</v>
      </c>
      <c r="G783" s="2031">
        <v>125.0</v>
      </c>
      <c r="H783" s="2031">
        <v>125.0</v>
      </c>
    </row>
    <row r="784">
      <c r="B784" s="2031">
        <v>782.0</v>
      </c>
      <c r="C784" s="2031">
        <v>94.0</v>
      </c>
      <c r="D784" s="2031">
        <v>188.0</v>
      </c>
      <c r="E784" s="2031">
        <v>125.0</v>
      </c>
      <c r="F784" s="2031">
        <v>125.0</v>
      </c>
      <c r="G784" s="2031">
        <v>125.0</v>
      </c>
      <c r="H784" s="2031">
        <v>125.0</v>
      </c>
    </row>
    <row r="785">
      <c r="B785" s="2031">
        <v>783.0</v>
      </c>
      <c r="C785" s="2031">
        <v>94.0</v>
      </c>
      <c r="D785" s="2031">
        <v>187.0</v>
      </c>
      <c r="E785" s="2031">
        <v>125.0</v>
      </c>
      <c r="F785" s="2031">
        <v>125.0</v>
      </c>
      <c r="G785" s="2031">
        <v>126.0</v>
      </c>
      <c r="H785" s="2031">
        <v>126.0</v>
      </c>
    </row>
    <row r="786">
      <c r="B786" s="2031">
        <v>784.0</v>
      </c>
      <c r="C786" s="2031">
        <v>94.0</v>
      </c>
      <c r="D786" s="2031">
        <v>188.0</v>
      </c>
      <c r="E786" s="2031">
        <v>125.0</v>
      </c>
      <c r="F786" s="2031">
        <v>125.0</v>
      </c>
      <c r="G786" s="2031">
        <v>126.0</v>
      </c>
      <c r="H786" s="2031">
        <v>126.0</v>
      </c>
    </row>
    <row r="787">
      <c r="B787" s="2031">
        <v>785.0</v>
      </c>
      <c r="C787" s="2031">
        <v>94.0</v>
      </c>
      <c r="D787" s="2031">
        <v>189.0</v>
      </c>
      <c r="E787" s="2031">
        <v>125.0</v>
      </c>
      <c r="F787" s="2031">
        <v>125.0</v>
      </c>
      <c r="G787" s="2031">
        <v>126.0</v>
      </c>
      <c r="H787" s="2031">
        <v>126.0</v>
      </c>
    </row>
    <row r="788">
      <c r="B788" s="2031">
        <v>786.0</v>
      </c>
      <c r="C788" s="2031">
        <v>94.0</v>
      </c>
      <c r="D788" s="2031">
        <v>188.0</v>
      </c>
      <c r="E788" s="2031">
        <v>126.0</v>
      </c>
      <c r="F788" s="2031">
        <v>126.0</v>
      </c>
      <c r="G788" s="2031">
        <v>126.0</v>
      </c>
      <c r="H788" s="2031">
        <v>126.0</v>
      </c>
    </row>
    <row r="789">
      <c r="B789" s="2031">
        <v>787.0</v>
      </c>
      <c r="C789" s="2031">
        <v>94.0</v>
      </c>
      <c r="D789" s="2031">
        <v>189.0</v>
      </c>
      <c r="E789" s="2031">
        <v>126.0</v>
      </c>
      <c r="F789" s="2031">
        <v>126.0</v>
      </c>
      <c r="G789" s="2031">
        <v>126.0</v>
      </c>
      <c r="H789" s="2031">
        <v>126.0</v>
      </c>
    </row>
    <row r="790">
      <c r="B790" s="2031">
        <v>788.0</v>
      </c>
      <c r="C790" s="2031">
        <v>95.0</v>
      </c>
      <c r="D790" s="2031">
        <v>189.0</v>
      </c>
      <c r="E790" s="2031">
        <v>126.0</v>
      </c>
      <c r="F790" s="2031">
        <v>126.0</v>
      </c>
      <c r="G790" s="2031">
        <v>126.0</v>
      </c>
      <c r="H790" s="2031">
        <v>126.0</v>
      </c>
    </row>
    <row r="791">
      <c r="B791" s="2031">
        <v>789.0</v>
      </c>
      <c r="C791" s="2031">
        <v>95.0</v>
      </c>
      <c r="D791" s="2031">
        <v>190.0</v>
      </c>
      <c r="E791" s="2031">
        <v>126.0</v>
      </c>
      <c r="F791" s="2031">
        <v>126.0</v>
      </c>
      <c r="G791" s="2031">
        <v>126.0</v>
      </c>
      <c r="H791" s="2031">
        <v>126.0</v>
      </c>
    </row>
    <row r="792">
      <c r="B792" s="2031">
        <v>790.0</v>
      </c>
      <c r="C792" s="2031">
        <v>95.0</v>
      </c>
      <c r="D792" s="2031">
        <v>189.0</v>
      </c>
      <c r="E792" s="2031">
        <v>126.0</v>
      </c>
      <c r="F792" s="2031">
        <v>126.0</v>
      </c>
      <c r="G792" s="2031">
        <v>127.0</v>
      </c>
      <c r="H792" s="2031">
        <v>127.0</v>
      </c>
    </row>
    <row r="793">
      <c r="B793" s="2031">
        <v>791.0</v>
      </c>
      <c r="C793" s="2031">
        <v>95.0</v>
      </c>
      <c r="D793" s="2031">
        <v>190.0</v>
      </c>
      <c r="E793" s="2031">
        <v>126.0</v>
      </c>
      <c r="F793" s="2031">
        <v>126.0</v>
      </c>
      <c r="G793" s="2031">
        <v>127.0</v>
      </c>
      <c r="H793" s="2031">
        <v>127.0</v>
      </c>
    </row>
    <row r="794">
      <c r="B794" s="2031">
        <v>792.0</v>
      </c>
      <c r="C794" s="2031">
        <v>95.0</v>
      </c>
      <c r="D794" s="2031">
        <v>191.0</v>
      </c>
      <c r="E794" s="2031">
        <v>126.0</v>
      </c>
      <c r="F794" s="2031">
        <v>126.0</v>
      </c>
      <c r="G794" s="2031">
        <v>127.0</v>
      </c>
      <c r="H794" s="2031">
        <v>127.0</v>
      </c>
    </row>
    <row r="795">
      <c r="B795" s="2031">
        <v>793.0</v>
      </c>
      <c r="C795" s="2031">
        <v>95.0</v>
      </c>
      <c r="D795" s="2031">
        <v>190.0</v>
      </c>
      <c r="E795" s="2031">
        <v>127.0</v>
      </c>
      <c r="F795" s="2031">
        <v>127.0</v>
      </c>
      <c r="G795" s="2031">
        <v>127.0</v>
      </c>
      <c r="H795" s="2031">
        <v>127.0</v>
      </c>
    </row>
    <row r="796">
      <c r="B796" s="2031">
        <v>794.0</v>
      </c>
      <c r="C796" s="2031">
        <v>95.0</v>
      </c>
      <c r="D796" s="2031">
        <v>191.0</v>
      </c>
      <c r="E796" s="2031">
        <v>127.0</v>
      </c>
      <c r="F796" s="2031">
        <v>127.0</v>
      </c>
      <c r="G796" s="2031">
        <v>127.0</v>
      </c>
      <c r="H796" s="2031">
        <v>127.0</v>
      </c>
    </row>
    <row r="797">
      <c r="B797" s="2031">
        <v>795.0</v>
      </c>
      <c r="C797" s="2031">
        <v>96.0</v>
      </c>
      <c r="D797" s="2031">
        <v>191.0</v>
      </c>
      <c r="E797" s="2031">
        <v>127.0</v>
      </c>
      <c r="F797" s="2031">
        <v>127.0</v>
      </c>
      <c r="G797" s="2031">
        <v>127.0</v>
      </c>
      <c r="H797" s="2031">
        <v>127.0</v>
      </c>
    </row>
    <row r="798">
      <c r="B798" s="2031">
        <v>796.0</v>
      </c>
      <c r="C798" s="2031">
        <v>95.0</v>
      </c>
      <c r="D798" s="2031">
        <v>191.0</v>
      </c>
      <c r="E798" s="2031">
        <v>127.0</v>
      </c>
      <c r="F798" s="2031">
        <v>127.0</v>
      </c>
      <c r="G798" s="2031">
        <v>128.0</v>
      </c>
      <c r="H798" s="2031">
        <v>128.0</v>
      </c>
    </row>
    <row r="799">
      <c r="B799" s="2031">
        <v>797.0</v>
      </c>
      <c r="C799" s="2031">
        <v>96.0</v>
      </c>
      <c r="D799" s="2031">
        <v>191.0</v>
      </c>
      <c r="E799" s="2031">
        <v>127.0</v>
      </c>
      <c r="F799" s="2031">
        <v>127.0</v>
      </c>
      <c r="G799" s="2031">
        <v>128.0</v>
      </c>
      <c r="H799" s="2031">
        <v>128.0</v>
      </c>
    </row>
    <row r="800">
      <c r="B800" s="2031">
        <v>798.0</v>
      </c>
      <c r="C800" s="2031">
        <v>95.0</v>
      </c>
      <c r="D800" s="2031">
        <v>191.0</v>
      </c>
      <c r="E800" s="2031">
        <v>128.0</v>
      </c>
      <c r="F800" s="2031">
        <v>128.0</v>
      </c>
      <c r="G800" s="2031">
        <v>128.0</v>
      </c>
      <c r="H800" s="2031">
        <v>128.0</v>
      </c>
    </row>
    <row r="801">
      <c r="B801" s="2031">
        <v>799.0</v>
      </c>
      <c r="C801" s="2031">
        <v>96.0</v>
      </c>
      <c r="D801" s="2031">
        <v>191.0</v>
      </c>
      <c r="E801" s="2031">
        <v>128.0</v>
      </c>
      <c r="F801" s="2031">
        <v>128.0</v>
      </c>
      <c r="G801" s="2031">
        <v>128.0</v>
      </c>
      <c r="H801" s="2031">
        <v>128.0</v>
      </c>
    </row>
    <row r="802">
      <c r="B802" s="2031">
        <v>800.0</v>
      </c>
      <c r="C802" s="2031">
        <v>96.0</v>
      </c>
      <c r="D802" s="2031">
        <v>192.0</v>
      </c>
      <c r="E802" s="2031">
        <v>128.0</v>
      </c>
      <c r="F802" s="2031">
        <v>128.0</v>
      </c>
      <c r="G802" s="2031">
        <v>128.0</v>
      </c>
      <c r="H802" s="2031">
        <v>128.0</v>
      </c>
    </row>
    <row r="803">
      <c r="B803" s="2031">
        <v>801.0</v>
      </c>
      <c r="C803" s="2031">
        <v>96.0</v>
      </c>
      <c r="D803" s="2031">
        <v>193.0</v>
      </c>
      <c r="E803" s="2031">
        <v>128.0</v>
      </c>
      <c r="F803" s="2031">
        <v>128.0</v>
      </c>
      <c r="G803" s="2031">
        <v>128.0</v>
      </c>
      <c r="H803" s="2031">
        <v>128.0</v>
      </c>
    </row>
    <row r="804">
      <c r="B804" s="2031">
        <v>802.0</v>
      </c>
      <c r="C804" s="2031">
        <v>97.0</v>
      </c>
      <c r="D804" s="2031">
        <v>193.0</v>
      </c>
      <c r="E804" s="2031">
        <v>128.0</v>
      </c>
      <c r="F804" s="2031">
        <v>128.0</v>
      </c>
      <c r="G804" s="2031">
        <v>128.0</v>
      </c>
      <c r="H804" s="2031">
        <v>128.0</v>
      </c>
    </row>
    <row r="805">
      <c r="B805" s="2031">
        <v>803.0</v>
      </c>
      <c r="C805" s="2031">
        <v>96.0</v>
      </c>
      <c r="D805" s="2031">
        <v>193.0</v>
      </c>
      <c r="E805" s="2031">
        <v>128.0</v>
      </c>
      <c r="F805" s="2031">
        <v>128.0</v>
      </c>
      <c r="G805" s="2031">
        <v>129.0</v>
      </c>
      <c r="H805" s="2031">
        <v>129.0</v>
      </c>
    </row>
    <row r="806">
      <c r="B806" s="2031">
        <v>804.0</v>
      </c>
      <c r="C806" s="2031">
        <v>97.0</v>
      </c>
      <c r="D806" s="2031">
        <v>193.0</v>
      </c>
      <c r="E806" s="2031">
        <v>128.0</v>
      </c>
      <c r="F806" s="2031">
        <v>128.0</v>
      </c>
      <c r="G806" s="2031">
        <v>129.0</v>
      </c>
      <c r="H806" s="2031">
        <v>129.0</v>
      </c>
    </row>
    <row r="807">
      <c r="B807" s="2031">
        <v>805.0</v>
      </c>
      <c r="C807" s="2031">
        <v>96.0</v>
      </c>
      <c r="D807" s="2031">
        <v>193.0</v>
      </c>
      <c r="E807" s="2031">
        <v>129.0</v>
      </c>
      <c r="F807" s="2031">
        <v>129.0</v>
      </c>
      <c r="G807" s="2031">
        <v>129.0</v>
      </c>
      <c r="H807" s="2031">
        <v>129.0</v>
      </c>
    </row>
    <row r="808">
      <c r="B808" s="2031">
        <v>806.0</v>
      </c>
      <c r="C808" s="2031">
        <v>97.0</v>
      </c>
      <c r="D808" s="2031">
        <v>193.0</v>
      </c>
      <c r="E808" s="2031">
        <v>129.0</v>
      </c>
      <c r="F808" s="2031">
        <v>129.0</v>
      </c>
      <c r="G808" s="2031">
        <v>129.0</v>
      </c>
      <c r="H808" s="2031">
        <v>129.0</v>
      </c>
    </row>
    <row r="809">
      <c r="B809" s="2031">
        <v>807.0</v>
      </c>
      <c r="C809" s="2031">
        <v>97.0</v>
      </c>
      <c r="D809" s="2031">
        <v>194.0</v>
      </c>
      <c r="E809" s="2031">
        <v>129.0</v>
      </c>
      <c r="F809" s="2031">
        <v>129.0</v>
      </c>
      <c r="G809" s="2031">
        <v>129.0</v>
      </c>
      <c r="H809" s="2031">
        <v>129.0</v>
      </c>
    </row>
    <row r="810">
      <c r="B810" s="2031">
        <v>808.0</v>
      </c>
      <c r="C810" s="2031">
        <v>97.0</v>
      </c>
      <c r="D810" s="2031">
        <v>193.0</v>
      </c>
      <c r="E810" s="2031">
        <v>129.0</v>
      </c>
      <c r="F810" s="2031">
        <v>129.0</v>
      </c>
      <c r="G810" s="2031">
        <v>130.0</v>
      </c>
      <c r="H810" s="2031">
        <v>130.0</v>
      </c>
    </row>
    <row r="811">
      <c r="B811" s="2031">
        <v>809.0</v>
      </c>
      <c r="C811" s="2031">
        <v>97.0</v>
      </c>
      <c r="D811" s="2031">
        <v>194.0</v>
      </c>
      <c r="E811" s="2031">
        <v>129.0</v>
      </c>
      <c r="F811" s="2031">
        <v>129.0</v>
      </c>
      <c r="G811" s="2031">
        <v>130.0</v>
      </c>
      <c r="H811" s="2031">
        <v>130.0</v>
      </c>
    </row>
    <row r="812">
      <c r="B812" s="2031">
        <v>810.0</v>
      </c>
      <c r="C812" s="2031">
        <v>97.0</v>
      </c>
      <c r="D812" s="2031">
        <v>195.0</v>
      </c>
      <c r="E812" s="2031">
        <v>129.0</v>
      </c>
      <c r="F812" s="2031">
        <v>129.0</v>
      </c>
      <c r="G812" s="2031">
        <v>130.0</v>
      </c>
      <c r="H812" s="2031">
        <v>130.0</v>
      </c>
    </row>
    <row r="813">
      <c r="B813" s="2031">
        <v>811.0</v>
      </c>
      <c r="C813" s="2031">
        <v>97.0</v>
      </c>
      <c r="D813" s="2031">
        <v>194.0</v>
      </c>
      <c r="E813" s="2031">
        <v>130.0</v>
      </c>
      <c r="F813" s="2031">
        <v>130.0</v>
      </c>
      <c r="G813" s="2031">
        <v>130.0</v>
      </c>
      <c r="H813" s="2031">
        <v>130.0</v>
      </c>
    </row>
    <row r="814">
      <c r="B814" s="2031">
        <v>812.0</v>
      </c>
      <c r="C814" s="2031">
        <v>97.0</v>
      </c>
      <c r="D814" s="2031">
        <v>195.0</v>
      </c>
      <c r="E814" s="2031">
        <v>130.0</v>
      </c>
      <c r="F814" s="2031">
        <v>130.0</v>
      </c>
      <c r="G814" s="2031">
        <v>130.0</v>
      </c>
      <c r="H814" s="2031">
        <v>130.0</v>
      </c>
    </row>
    <row r="815">
      <c r="B815" s="2031">
        <v>813.0</v>
      </c>
      <c r="C815" s="2031">
        <v>98.0</v>
      </c>
      <c r="D815" s="2031">
        <v>195.0</v>
      </c>
      <c r="E815" s="2031">
        <v>130.0</v>
      </c>
      <c r="F815" s="2031">
        <v>130.0</v>
      </c>
      <c r="G815" s="2031">
        <v>130.0</v>
      </c>
      <c r="H815" s="2031">
        <v>130.0</v>
      </c>
    </row>
    <row r="816">
      <c r="B816" s="2031">
        <v>814.0</v>
      </c>
      <c r="C816" s="2031">
        <v>98.0</v>
      </c>
      <c r="D816" s="2031">
        <v>196.0</v>
      </c>
      <c r="E816" s="2031">
        <v>130.0</v>
      </c>
      <c r="F816" s="2031">
        <v>130.0</v>
      </c>
      <c r="G816" s="2031">
        <v>130.0</v>
      </c>
      <c r="H816" s="2031">
        <v>130.0</v>
      </c>
    </row>
    <row r="817">
      <c r="B817" s="2031">
        <v>815.0</v>
      </c>
      <c r="C817" s="2031">
        <v>98.0</v>
      </c>
      <c r="D817" s="2031">
        <v>195.0</v>
      </c>
      <c r="E817" s="2031">
        <v>130.0</v>
      </c>
      <c r="F817" s="2031">
        <v>130.0</v>
      </c>
      <c r="G817" s="2031">
        <v>131.0</v>
      </c>
      <c r="H817" s="2031">
        <v>131.0</v>
      </c>
    </row>
    <row r="818">
      <c r="B818" s="2031">
        <v>816.0</v>
      </c>
      <c r="C818" s="2031">
        <v>98.0</v>
      </c>
      <c r="D818" s="2031">
        <v>196.0</v>
      </c>
      <c r="E818" s="2031">
        <v>130.0</v>
      </c>
      <c r="F818" s="2031">
        <v>130.0</v>
      </c>
      <c r="G818" s="2031">
        <v>131.0</v>
      </c>
      <c r="H818" s="2031">
        <v>131.0</v>
      </c>
    </row>
    <row r="819">
      <c r="B819" s="2031">
        <v>817.0</v>
      </c>
      <c r="C819" s="2031">
        <v>98.0</v>
      </c>
      <c r="D819" s="2031">
        <v>197.0</v>
      </c>
      <c r="E819" s="2031">
        <v>130.0</v>
      </c>
      <c r="F819" s="2031">
        <v>130.0</v>
      </c>
      <c r="G819" s="2031">
        <v>131.0</v>
      </c>
      <c r="H819" s="2031">
        <v>131.0</v>
      </c>
    </row>
    <row r="820">
      <c r="B820" s="2031">
        <v>818.0</v>
      </c>
      <c r="C820" s="2031">
        <v>98.0</v>
      </c>
      <c r="D820" s="2031">
        <v>196.0</v>
      </c>
      <c r="E820" s="2031">
        <v>131.0</v>
      </c>
      <c r="F820" s="2031">
        <v>131.0</v>
      </c>
      <c r="G820" s="2031">
        <v>131.0</v>
      </c>
      <c r="H820" s="2031">
        <v>131.0</v>
      </c>
    </row>
    <row r="821">
      <c r="B821" s="2031">
        <v>819.0</v>
      </c>
      <c r="C821" s="2031">
        <v>98.0</v>
      </c>
      <c r="D821" s="2031">
        <v>197.0</v>
      </c>
      <c r="E821" s="2031">
        <v>131.0</v>
      </c>
      <c r="F821" s="2031">
        <v>131.0</v>
      </c>
      <c r="G821" s="2031">
        <v>131.0</v>
      </c>
      <c r="H821" s="2031">
        <v>131.0</v>
      </c>
    </row>
    <row r="822">
      <c r="B822" s="2031">
        <v>820.0</v>
      </c>
      <c r="C822" s="2031">
        <v>99.0</v>
      </c>
      <c r="D822" s="2031">
        <v>197.0</v>
      </c>
      <c r="E822" s="2031">
        <v>131.0</v>
      </c>
      <c r="F822" s="2031">
        <v>131.0</v>
      </c>
      <c r="G822" s="2031">
        <v>131.0</v>
      </c>
      <c r="H822" s="2031">
        <v>131.0</v>
      </c>
    </row>
    <row r="823">
      <c r="B823" s="2031">
        <v>821.0</v>
      </c>
      <c r="C823" s="2031">
        <v>98.0</v>
      </c>
      <c r="D823" s="2031">
        <v>197.0</v>
      </c>
      <c r="E823" s="2031">
        <v>131.0</v>
      </c>
      <c r="F823" s="2031">
        <v>131.0</v>
      </c>
      <c r="G823" s="2031">
        <v>132.0</v>
      </c>
      <c r="H823" s="2031">
        <v>132.0</v>
      </c>
    </row>
    <row r="824">
      <c r="B824" s="2031">
        <v>822.0</v>
      </c>
      <c r="C824" s="2031">
        <v>99.0</v>
      </c>
      <c r="D824" s="2031">
        <v>197.0</v>
      </c>
      <c r="E824" s="2031">
        <v>131.0</v>
      </c>
      <c r="F824" s="2031">
        <v>131.0</v>
      </c>
      <c r="G824" s="2031">
        <v>132.0</v>
      </c>
      <c r="H824" s="2031">
        <v>132.0</v>
      </c>
    </row>
    <row r="825">
      <c r="B825" s="2031">
        <v>823.0</v>
      </c>
      <c r="C825" s="2031">
        <v>98.0</v>
      </c>
      <c r="D825" s="2031">
        <v>197.0</v>
      </c>
      <c r="E825" s="2031">
        <v>132.0</v>
      </c>
      <c r="F825" s="2031">
        <v>132.0</v>
      </c>
      <c r="G825" s="2031">
        <v>132.0</v>
      </c>
      <c r="H825" s="2031">
        <v>132.0</v>
      </c>
    </row>
    <row r="826">
      <c r="B826" s="2031">
        <v>824.0</v>
      </c>
      <c r="C826" s="2031">
        <v>99.0</v>
      </c>
      <c r="D826" s="2031">
        <v>197.0</v>
      </c>
      <c r="E826" s="2031">
        <v>132.0</v>
      </c>
      <c r="F826" s="2031">
        <v>132.0</v>
      </c>
      <c r="G826" s="2031">
        <v>132.0</v>
      </c>
      <c r="H826" s="2031">
        <v>132.0</v>
      </c>
    </row>
    <row r="827">
      <c r="B827" s="2031">
        <v>825.0</v>
      </c>
      <c r="C827" s="2031">
        <v>99.0</v>
      </c>
      <c r="D827" s="2031">
        <v>198.0</v>
      </c>
      <c r="E827" s="2031">
        <v>132.0</v>
      </c>
      <c r="F827" s="2031">
        <v>132.0</v>
      </c>
      <c r="G827" s="2031">
        <v>132.0</v>
      </c>
      <c r="H827" s="2031">
        <v>132.0</v>
      </c>
    </row>
    <row r="828">
      <c r="B828" s="2031">
        <v>826.0</v>
      </c>
      <c r="C828" s="2031">
        <v>99.0</v>
      </c>
      <c r="D828" s="2031">
        <v>199.0</v>
      </c>
      <c r="E828" s="2031">
        <v>132.0</v>
      </c>
      <c r="F828" s="2031">
        <v>132.0</v>
      </c>
      <c r="G828" s="2031">
        <v>132.0</v>
      </c>
      <c r="H828" s="2031">
        <v>132.0</v>
      </c>
    </row>
    <row r="829">
      <c r="B829" s="2031">
        <v>827.0</v>
      </c>
      <c r="C829" s="2031">
        <v>100.0</v>
      </c>
      <c r="D829" s="2031">
        <v>199.0</v>
      </c>
      <c r="E829" s="2031">
        <v>132.0</v>
      </c>
      <c r="F829" s="2031">
        <v>132.0</v>
      </c>
      <c r="G829" s="2031">
        <v>132.0</v>
      </c>
      <c r="H829" s="2031">
        <v>132.0</v>
      </c>
    </row>
    <row r="830">
      <c r="B830" s="2031">
        <v>828.0</v>
      </c>
      <c r="C830" s="2031">
        <v>99.0</v>
      </c>
      <c r="D830" s="2031">
        <v>199.0</v>
      </c>
      <c r="E830" s="2031">
        <v>132.0</v>
      </c>
      <c r="F830" s="2031">
        <v>132.0</v>
      </c>
      <c r="G830" s="2031">
        <v>133.0</v>
      </c>
      <c r="H830" s="2031">
        <v>133.0</v>
      </c>
    </row>
    <row r="831">
      <c r="B831" s="2031">
        <v>829.0</v>
      </c>
      <c r="C831" s="2031">
        <v>100.0</v>
      </c>
      <c r="D831" s="2031">
        <v>199.0</v>
      </c>
      <c r="E831" s="2031">
        <v>132.0</v>
      </c>
      <c r="F831" s="2031">
        <v>132.0</v>
      </c>
      <c r="G831" s="2031">
        <v>133.0</v>
      </c>
      <c r="H831" s="2031">
        <v>133.0</v>
      </c>
    </row>
    <row r="832">
      <c r="B832" s="2031">
        <v>830.0</v>
      </c>
      <c r="C832" s="2031">
        <v>99.0</v>
      </c>
      <c r="D832" s="2031">
        <v>199.0</v>
      </c>
      <c r="E832" s="2031">
        <v>133.0</v>
      </c>
      <c r="F832" s="2031">
        <v>133.0</v>
      </c>
      <c r="G832" s="2031">
        <v>133.0</v>
      </c>
      <c r="H832" s="2031">
        <v>133.0</v>
      </c>
    </row>
    <row r="833">
      <c r="B833" s="2031">
        <v>831.0</v>
      </c>
      <c r="C833" s="2031">
        <v>100.0</v>
      </c>
      <c r="D833" s="2031">
        <v>199.0</v>
      </c>
      <c r="E833" s="2031">
        <v>133.0</v>
      </c>
      <c r="F833" s="2031">
        <v>133.0</v>
      </c>
      <c r="G833" s="2031">
        <v>133.0</v>
      </c>
      <c r="H833" s="2031">
        <v>133.0</v>
      </c>
    </row>
    <row r="834">
      <c r="B834" s="2031">
        <v>832.0</v>
      </c>
      <c r="C834" s="2031">
        <v>100.0</v>
      </c>
      <c r="D834" s="2031">
        <v>200.0</v>
      </c>
      <c r="E834" s="2031">
        <v>133.0</v>
      </c>
      <c r="F834" s="2031">
        <v>133.0</v>
      </c>
      <c r="G834" s="2031">
        <v>133.0</v>
      </c>
      <c r="H834" s="2031">
        <v>133.0</v>
      </c>
    </row>
    <row r="835">
      <c r="B835" s="2031">
        <v>833.0</v>
      </c>
      <c r="C835" s="2031">
        <v>100.0</v>
      </c>
      <c r="D835" s="2031">
        <v>199.0</v>
      </c>
      <c r="E835" s="2031">
        <v>133.0</v>
      </c>
      <c r="F835" s="2031">
        <v>133.0</v>
      </c>
      <c r="G835" s="2031">
        <v>134.0</v>
      </c>
      <c r="H835" s="2031">
        <v>134.0</v>
      </c>
    </row>
    <row r="836">
      <c r="B836" s="2031">
        <v>834.0</v>
      </c>
      <c r="C836" s="2031">
        <v>100.0</v>
      </c>
      <c r="D836" s="2031">
        <v>200.0</v>
      </c>
      <c r="E836" s="2031">
        <v>133.0</v>
      </c>
      <c r="F836" s="2031">
        <v>133.0</v>
      </c>
      <c r="G836" s="2031">
        <v>134.0</v>
      </c>
      <c r="H836" s="2031">
        <v>134.0</v>
      </c>
    </row>
    <row r="837">
      <c r="B837" s="2031">
        <v>835.0</v>
      </c>
      <c r="C837" s="2031">
        <v>100.0</v>
      </c>
      <c r="D837" s="2031">
        <v>201.0</v>
      </c>
      <c r="E837" s="2031">
        <v>133.0</v>
      </c>
      <c r="F837" s="2031">
        <v>133.0</v>
      </c>
      <c r="G837" s="2031">
        <v>134.0</v>
      </c>
      <c r="H837" s="2031">
        <v>134.0</v>
      </c>
    </row>
    <row r="838">
      <c r="B838" s="2031">
        <v>836.0</v>
      </c>
      <c r="C838" s="2031">
        <v>100.0</v>
      </c>
      <c r="D838" s="2031">
        <v>200.0</v>
      </c>
      <c r="E838" s="2031">
        <v>134.0</v>
      </c>
      <c r="F838" s="2031">
        <v>134.0</v>
      </c>
      <c r="G838" s="2031">
        <v>134.0</v>
      </c>
      <c r="H838" s="2031">
        <v>134.0</v>
      </c>
    </row>
    <row r="839">
      <c r="B839" s="2031">
        <v>837.0</v>
      </c>
      <c r="C839" s="2031">
        <v>100.0</v>
      </c>
      <c r="D839" s="2031">
        <v>201.0</v>
      </c>
      <c r="E839" s="2031">
        <v>134.0</v>
      </c>
      <c r="F839" s="2031">
        <v>134.0</v>
      </c>
      <c r="G839" s="2031">
        <v>134.0</v>
      </c>
      <c r="H839" s="2031">
        <v>134.0</v>
      </c>
    </row>
    <row r="840">
      <c r="B840" s="2031">
        <v>838.0</v>
      </c>
      <c r="C840" s="2031">
        <v>101.0</v>
      </c>
      <c r="D840" s="2031">
        <v>201.0</v>
      </c>
      <c r="E840" s="2031">
        <v>134.0</v>
      </c>
      <c r="F840" s="2031">
        <v>134.0</v>
      </c>
      <c r="G840" s="2031">
        <v>134.0</v>
      </c>
      <c r="H840" s="2031">
        <v>134.0</v>
      </c>
    </row>
    <row r="841">
      <c r="B841" s="2031">
        <v>839.0</v>
      </c>
      <c r="C841" s="2031">
        <v>101.0</v>
      </c>
      <c r="D841" s="2031">
        <v>202.0</v>
      </c>
      <c r="E841" s="2031">
        <v>134.0</v>
      </c>
      <c r="F841" s="2031">
        <v>134.0</v>
      </c>
      <c r="G841" s="2031">
        <v>134.0</v>
      </c>
      <c r="H841" s="2031">
        <v>134.0</v>
      </c>
    </row>
    <row r="842">
      <c r="B842" s="2031">
        <v>840.0</v>
      </c>
      <c r="C842" s="2031">
        <v>101.0</v>
      </c>
      <c r="D842" s="2031">
        <v>201.0</v>
      </c>
      <c r="E842" s="2031">
        <v>134.0</v>
      </c>
      <c r="F842" s="2031">
        <v>134.0</v>
      </c>
      <c r="G842" s="2031">
        <v>135.0</v>
      </c>
      <c r="H842" s="2031">
        <v>135.0</v>
      </c>
    </row>
    <row r="843">
      <c r="B843" s="2031">
        <v>841.0</v>
      </c>
      <c r="C843" s="2031">
        <v>101.0</v>
      </c>
      <c r="D843" s="2031">
        <v>202.0</v>
      </c>
      <c r="E843" s="2031">
        <v>134.0</v>
      </c>
      <c r="F843" s="2031">
        <v>134.0</v>
      </c>
      <c r="G843" s="2031">
        <v>135.0</v>
      </c>
      <c r="H843" s="2031">
        <v>135.0</v>
      </c>
    </row>
    <row r="844">
      <c r="B844" s="2031">
        <v>842.0</v>
      </c>
      <c r="C844" s="2031">
        <v>101.0</v>
      </c>
      <c r="D844" s="2031">
        <v>203.0</v>
      </c>
      <c r="E844" s="2031">
        <v>134.0</v>
      </c>
      <c r="F844" s="2031">
        <v>134.0</v>
      </c>
      <c r="G844" s="2031">
        <v>135.0</v>
      </c>
      <c r="H844" s="2031">
        <v>135.0</v>
      </c>
    </row>
    <row r="845">
      <c r="B845" s="2031">
        <v>843.0</v>
      </c>
      <c r="C845" s="2031">
        <v>101.0</v>
      </c>
      <c r="D845" s="2031">
        <v>202.0</v>
      </c>
      <c r="E845" s="2031">
        <v>135.0</v>
      </c>
      <c r="F845" s="2031">
        <v>135.0</v>
      </c>
      <c r="G845" s="2031">
        <v>135.0</v>
      </c>
      <c r="H845" s="2031">
        <v>135.0</v>
      </c>
    </row>
    <row r="846">
      <c r="B846" s="2031">
        <v>844.0</v>
      </c>
      <c r="C846" s="2031">
        <v>101.0</v>
      </c>
      <c r="D846" s="2031">
        <v>203.0</v>
      </c>
      <c r="E846" s="2031">
        <v>135.0</v>
      </c>
      <c r="F846" s="2031">
        <v>135.0</v>
      </c>
      <c r="G846" s="2031">
        <v>135.0</v>
      </c>
      <c r="H846" s="2031">
        <v>135.0</v>
      </c>
    </row>
    <row r="847">
      <c r="B847" s="2031">
        <v>845.0</v>
      </c>
      <c r="C847" s="2031">
        <v>102.0</v>
      </c>
      <c r="D847" s="2031">
        <v>203.0</v>
      </c>
      <c r="E847" s="2031">
        <v>135.0</v>
      </c>
      <c r="F847" s="2031">
        <v>135.0</v>
      </c>
      <c r="G847" s="2031">
        <v>135.0</v>
      </c>
      <c r="H847" s="2031">
        <v>135.0</v>
      </c>
    </row>
    <row r="848">
      <c r="B848" s="2031">
        <v>846.0</v>
      </c>
      <c r="C848" s="2031">
        <v>101.0</v>
      </c>
      <c r="D848" s="2031">
        <v>203.0</v>
      </c>
      <c r="E848" s="2031">
        <v>135.0</v>
      </c>
      <c r="F848" s="2031">
        <v>135.0</v>
      </c>
      <c r="G848" s="2031">
        <v>136.0</v>
      </c>
      <c r="H848" s="2031">
        <v>136.0</v>
      </c>
    </row>
    <row r="849">
      <c r="B849" s="2031">
        <v>847.0</v>
      </c>
      <c r="C849" s="2031">
        <v>102.0</v>
      </c>
      <c r="D849" s="2031">
        <v>203.0</v>
      </c>
      <c r="E849" s="2031">
        <v>135.0</v>
      </c>
      <c r="F849" s="2031">
        <v>135.0</v>
      </c>
      <c r="G849" s="2031">
        <v>136.0</v>
      </c>
      <c r="H849" s="2031">
        <v>136.0</v>
      </c>
    </row>
    <row r="850">
      <c r="B850" s="2031">
        <v>848.0</v>
      </c>
      <c r="C850" s="2031">
        <v>101.0</v>
      </c>
      <c r="D850" s="2031">
        <v>203.0</v>
      </c>
      <c r="E850" s="2031">
        <v>136.0</v>
      </c>
      <c r="F850" s="2031">
        <v>136.0</v>
      </c>
      <c r="G850" s="2031">
        <v>136.0</v>
      </c>
      <c r="H850" s="2031">
        <v>136.0</v>
      </c>
    </row>
    <row r="851">
      <c r="B851" s="2031">
        <v>849.0</v>
      </c>
      <c r="C851" s="2031">
        <v>102.0</v>
      </c>
      <c r="D851" s="2031">
        <v>203.0</v>
      </c>
      <c r="E851" s="2031">
        <v>136.0</v>
      </c>
      <c r="F851" s="2031">
        <v>136.0</v>
      </c>
      <c r="G851" s="2031">
        <v>136.0</v>
      </c>
      <c r="H851" s="2031">
        <v>136.0</v>
      </c>
    </row>
    <row r="852">
      <c r="B852" s="2031">
        <v>850.0</v>
      </c>
      <c r="C852" s="2031">
        <v>102.0</v>
      </c>
      <c r="D852" s="2031">
        <v>204.0</v>
      </c>
      <c r="E852" s="2031">
        <v>136.0</v>
      </c>
      <c r="F852" s="2031">
        <v>136.0</v>
      </c>
      <c r="G852" s="2031">
        <v>136.0</v>
      </c>
      <c r="H852" s="2031">
        <v>136.0</v>
      </c>
    </row>
    <row r="853">
      <c r="B853" s="2031">
        <v>851.0</v>
      </c>
      <c r="C853" s="2031">
        <v>102.0</v>
      </c>
      <c r="D853" s="2031">
        <v>205.0</v>
      </c>
      <c r="E853" s="2031">
        <v>136.0</v>
      </c>
      <c r="F853" s="2031">
        <v>136.0</v>
      </c>
      <c r="G853" s="2031">
        <v>136.0</v>
      </c>
      <c r="H853" s="2031">
        <v>136.0</v>
      </c>
    </row>
    <row r="854">
      <c r="B854" s="2031">
        <v>852.0</v>
      </c>
      <c r="C854" s="2031">
        <v>103.0</v>
      </c>
      <c r="D854" s="2031">
        <v>205.0</v>
      </c>
      <c r="E854" s="2031">
        <v>136.0</v>
      </c>
      <c r="F854" s="2031">
        <v>136.0</v>
      </c>
      <c r="G854" s="2031">
        <v>136.0</v>
      </c>
      <c r="H854" s="2031">
        <v>136.0</v>
      </c>
    </row>
    <row r="855">
      <c r="B855" s="2031">
        <v>853.0</v>
      </c>
      <c r="C855" s="2031">
        <v>102.0</v>
      </c>
      <c r="D855" s="2031">
        <v>205.0</v>
      </c>
      <c r="E855" s="2031">
        <v>136.0</v>
      </c>
      <c r="F855" s="2031">
        <v>136.0</v>
      </c>
      <c r="G855" s="2031">
        <v>137.0</v>
      </c>
      <c r="H855" s="2031">
        <v>137.0</v>
      </c>
    </row>
    <row r="856">
      <c r="B856" s="2031">
        <v>854.0</v>
      </c>
      <c r="C856" s="2031">
        <v>103.0</v>
      </c>
      <c r="D856" s="2031">
        <v>205.0</v>
      </c>
      <c r="E856" s="2031">
        <v>136.0</v>
      </c>
      <c r="F856" s="2031">
        <v>136.0</v>
      </c>
      <c r="G856" s="2031">
        <v>137.0</v>
      </c>
      <c r="H856" s="2031">
        <v>137.0</v>
      </c>
    </row>
    <row r="857">
      <c r="B857" s="2031">
        <v>855.0</v>
      </c>
      <c r="C857" s="2031">
        <v>102.0</v>
      </c>
      <c r="D857" s="2031">
        <v>205.0</v>
      </c>
      <c r="E857" s="2031">
        <v>137.0</v>
      </c>
      <c r="F857" s="2031">
        <v>137.0</v>
      </c>
      <c r="G857" s="2031">
        <v>137.0</v>
      </c>
      <c r="H857" s="2031">
        <v>137.0</v>
      </c>
    </row>
    <row r="858">
      <c r="B858" s="2031">
        <v>856.0</v>
      </c>
      <c r="C858" s="2031">
        <v>103.0</v>
      </c>
      <c r="D858" s="2031">
        <v>205.0</v>
      </c>
      <c r="E858" s="2031">
        <v>137.0</v>
      </c>
      <c r="F858" s="2031">
        <v>137.0</v>
      </c>
      <c r="G858" s="2031">
        <v>137.0</v>
      </c>
      <c r="H858" s="2031">
        <v>137.0</v>
      </c>
    </row>
    <row r="859">
      <c r="B859" s="2031">
        <v>857.0</v>
      </c>
      <c r="C859" s="2031">
        <v>103.0</v>
      </c>
      <c r="D859" s="2031">
        <v>206.0</v>
      </c>
      <c r="E859" s="2031">
        <v>137.0</v>
      </c>
      <c r="F859" s="2031">
        <v>137.0</v>
      </c>
      <c r="G859" s="2031">
        <v>137.0</v>
      </c>
      <c r="H859" s="2031">
        <v>137.0</v>
      </c>
    </row>
    <row r="860">
      <c r="B860" s="2031">
        <v>858.0</v>
      </c>
      <c r="C860" s="2031">
        <v>103.0</v>
      </c>
      <c r="D860" s="2031">
        <v>205.0</v>
      </c>
      <c r="E860" s="2031">
        <v>137.0</v>
      </c>
      <c r="F860" s="2031">
        <v>137.0</v>
      </c>
      <c r="G860" s="2031">
        <v>138.0</v>
      </c>
      <c r="H860" s="2031">
        <v>138.0</v>
      </c>
    </row>
    <row r="861">
      <c r="B861" s="2031">
        <v>859.0</v>
      </c>
      <c r="C861" s="2031">
        <v>103.0</v>
      </c>
      <c r="D861" s="2031">
        <v>206.0</v>
      </c>
      <c r="E861" s="2031">
        <v>137.0</v>
      </c>
      <c r="F861" s="2031">
        <v>137.0</v>
      </c>
      <c r="G861" s="2031">
        <v>138.0</v>
      </c>
      <c r="H861" s="2031">
        <v>138.0</v>
      </c>
    </row>
    <row r="862">
      <c r="B862" s="2031">
        <v>860.0</v>
      </c>
      <c r="C862" s="2031">
        <v>103.0</v>
      </c>
      <c r="D862" s="2031">
        <v>207.0</v>
      </c>
      <c r="E862" s="2031">
        <v>137.0</v>
      </c>
      <c r="F862" s="2031">
        <v>137.0</v>
      </c>
      <c r="G862" s="2031">
        <v>138.0</v>
      </c>
      <c r="H862" s="2031">
        <v>138.0</v>
      </c>
    </row>
    <row r="863">
      <c r="B863" s="2031">
        <v>861.0</v>
      </c>
      <c r="C863" s="2031">
        <v>103.0</v>
      </c>
      <c r="D863" s="2031">
        <v>206.0</v>
      </c>
      <c r="E863" s="2031">
        <v>138.0</v>
      </c>
      <c r="F863" s="2031">
        <v>138.0</v>
      </c>
      <c r="G863" s="2031">
        <v>138.0</v>
      </c>
      <c r="H863" s="2031">
        <v>138.0</v>
      </c>
    </row>
    <row r="864">
      <c r="B864" s="2031">
        <v>862.0</v>
      </c>
      <c r="C864" s="2031">
        <v>103.0</v>
      </c>
      <c r="D864" s="2031">
        <v>207.0</v>
      </c>
      <c r="E864" s="2031">
        <v>138.0</v>
      </c>
      <c r="F864" s="2031">
        <v>138.0</v>
      </c>
      <c r="G864" s="2031">
        <v>138.0</v>
      </c>
      <c r="H864" s="2031">
        <v>138.0</v>
      </c>
    </row>
    <row r="865">
      <c r="B865" s="2031">
        <v>863.0</v>
      </c>
      <c r="C865" s="2031">
        <v>104.0</v>
      </c>
      <c r="D865" s="2031">
        <v>207.0</v>
      </c>
      <c r="E865" s="2031">
        <v>138.0</v>
      </c>
      <c r="F865" s="2031">
        <v>138.0</v>
      </c>
      <c r="G865" s="2031">
        <v>138.0</v>
      </c>
      <c r="H865" s="2031">
        <v>138.0</v>
      </c>
    </row>
    <row r="866">
      <c r="B866" s="2031">
        <v>864.0</v>
      </c>
      <c r="C866" s="2031">
        <v>104.0</v>
      </c>
      <c r="D866" s="2031">
        <v>208.0</v>
      </c>
      <c r="E866" s="2031">
        <v>138.0</v>
      </c>
      <c r="F866" s="2031">
        <v>138.0</v>
      </c>
      <c r="G866" s="2031">
        <v>138.0</v>
      </c>
      <c r="H866" s="2031">
        <v>138.0</v>
      </c>
    </row>
    <row r="867">
      <c r="B867" s="2031">
        <v>865.0</v>
      </c>
      <c r="C867" s="2031">
        <v>104.0</v>
      </c>
      <c r="D867" s="2031">
        <v>207.0</v>
      </c>
      <c r="E867" s="2031">
        <v>138.0</v>
      </c>
      <c r="F867" s="2031">
        <v>138.0</v>
      </c>
      <c r="G867" s="2031">
        <v>139.0</v>
      </c>
      <c r="H867" s="2031">
        <v>139.0</v>
      </c>
    </row>
    <row r="868">
      <c r="B868" s="2031">
        <v>866.0</v>
      </c>
      <c r="C868" s="2031">
        <v>104.0</v>
      </c>
      <c r="D868" s="2031">
        <v>208.0</v>
      </c>
      <c r="E868" s="2031">
        <v>138.0</v>
      </c>
      <c r="F868" s="2031">
        <v>138.0</v>
      </c>
      <c r="G868" s="2031">
        <v>139.0</v>
      </c>
      <c r="H868" s="2031">
        <v>139.0</v>
      </c>
    </row>
    <row r="869">
      <c r="B869" s="2031">
        <v>867.0</v>
      </c>
      <c r="C869" s="2031">
        <v>104.0</v>
      </c>
      <c r="D869" s="2031">
        <v>209.0</v>
      </c>
      <c r="E869" s="2031">
        <v>138.0</v>
      </c>
      <c r="F869" s="2031">
        <v>138.0</v>
      </c>
      <c r="G869" s="2031">
        <v>139.0</v>
      </c>
      <c r="H869" s="2031">
        <v>139.0</v>
      </c>
    </row>
    <row r="870">
      <c r="B870" s="2031">
        <v>868.0</v>
      </c>
      <c r="C870" s="2031">
        <v>104.0</v>
      </c>
      <c r="D870" s="2031">
        <v>208.0</v>
      </c>
      <c r="E870" s="2031">
        <v>139.0</v>
      </c>
      <c r="F870" s="2031">
        <v>139.0</v>
      </c>
      <c r="G870" s="2031">
        <v>139.0</v>
      </c>
      <c r="H870" s="2031">
        <v>139.0</v>
      </c>
    </row>
    <row r="871">
      <c r="B871" s="2031">
        <v>869.0</v>
      </c>
      <c r="C871" s="2031">
        <v>104.0</v>
      </c>
      <c r="D871" s="2031">
        <v>209.0</v>
      </c>
      <c r="E871" s="2031">
        <v>139.0</v>
      </c>
      <c r="F871" s="2031">
        <v>139.0</v>
      </c>
      <c r="G871" s="2031">
        <v>139.0</v>
      </c>
      <c r="H871" s="2031">
        <v>139.0</v>
      </c>
    </row>
    <row r="872">
      <c r="B872" s="2031">
        <v>870.0</v>
      </c>
      <c r="C872" s="2031">
        <v>105.0</v>
      </c>
      <c r="D872" s="2031">
        <v>209.0</v>
      </c>
      <c r="E872" s="2031">
        <v>139.0</v>
      </c>
      <c r="F872" s="2031">
        <v>139.0</v>
      </c>
      <c r="G872" s="2031">
        <v>139.0</v>
      </c>
      <c r="H872" s="2031">
        <v>139.0</v>
      </c>
    </row>
    <row r="873">
      <c r="B873" s="2031">
        <v>871.0</v>
      </c>
      <c r="C873" s="2031">
        <v>104.0</v>
      </c>
      <c r="D873" s="2031">
        <v>209.0</v>
      </c>
      <c r="E873" s="2031">
        <v>139.0</v>
      </c>
      <c r="F873" s="2031">
        <v>139.0</v>
      </c>
      <c r="G873" s="2031">
        <v>140.0</v>
      </c>
      <c r="H873" s="2031">
        <v>140.0</v>
      </c>
    </row>
    <row r="874">
      <c r="B874" s="2031">
        <v>872.0</v>
      </c>
      <c r="C874" s="2031">
        <v>105.0</v>
      </c>
      <c r="D874" s="2031">
        <v>209.0</v>
      </c>
      <c r="E874" s="2031">
        <v>139.0</v>
      </c>
      <c r="F874" s="2031">
        <v>139.0</v>
      </c>
      <c r="G874" s="2031">
        <v>140.0</v>
      </c>
      <c r="H874" s="2031">
        <v>140.0</v>
      </c>
    </row>
    <row r="875">
      <c r="B875" s="2031">
        <v>873.0</v>
      </c>
      <c r="C875" s="2031">
        <v>104.0</v>
      </c>
      <c r="D875" s="2031">
        <v>209.0</v>
      </c>
      <c r="E875" s="2031">
        <v>140.0</v>
      </c>
      <c r="F875" s="2031">
        <v>140.0</v>
      </c>
      <c r="G875" s="2031">
        <v>140.0</v>
      </c>
      <c r="H875" s="2031">
        <v>140.0</v>
      </c>
    </row>
    <row r="876">
      <c r="B876" s="2031">
        <v>874.0</v>
      </c>
      <c r="C876" s="2031">
        <v>105.0</v>
      </c>
      <c r="D876" s="2031">
        <v>209.0</v>
      </c>
      <c r="E876" s="2031">
        <v>140.0</v>
      </c>
      <c r="F876" s="2031">
        <v>140.0</v>
      </c>
      <c r="G876" s="2031">
        <v>140.0</v>
      </c>
      <c r="H876" s="2031">
        <v>140.0</v>
      </c>
    </row>
    <row r="877">
      <c r="B877" s="2031">
        <v>875.0</v>
      </c>
      <c r="C877" s="2031">
        <v>105.0</v>
      </c>
      <c r="D877" s="2031">
        <v>210.0</v>
      </c>
      <c r="E877" s="2031">
        <v>140.0</v>
      </c>
      <c r="F877" s="2031">
        <v>140.0</v>
      </c>
      <c r="G877" s="2031">
        <v>140.0</v>
      </c>
      <c r="H877" s="2031">
        <v>140.0</v>
      </c>
    </row>
    <row r="878">
      <c r="B878" s="2031">
        <v>876.0</v>
      </c>
      <c r="C878" s="2031">
        <v>105.0</v>
      </c>
      <c r="D878" s="2031">
        <v>211.0</v>
      </c>
      <c r="E878" s="2031">
        <v>140.0</v>
      </c>
      <c r="F878" s="2031">
        <v>140.0</v>
      </c>
      <c r="G878" s="2031">
        <v>140.0</v>
      </c>
      <c r="H878" s="2031">
        <v>140.0</v>
      </c>
    </row>
    <row r="879">
      <c r="B879" s="2031">
        <v>877.0</v>
      </c>
      <c r="C879" s="2031">
        <v>106.0</v>
      </c>
      <c r="D879" s="2031">
        <v>211.0</v>
      </c>
      <c r="E879" s="2031">
        <v>140.0</v>
      </c>
      <c r="F879" s="2031">
        <v>140.0</v>
      </c>
      <c r="G879" s="2031">
        <v>140.0</v>
      </c>
      <c r="H879" s="2031">
        <v>140.0</v>
      </c>
    </row>
    <row r="880">
      <c r="B880" s="2031">
        <v>878.0</v>
      </c>
      <c r="C880" s="2031">
        <v>105.0</v>
      </c>
      <c r="D880" s="2031">
        <v>211.0</v>
      </c>
      <c r="E880" s="2031">
        <v>140.0</v>
      </c>
      <c r="F880" s="2031">
        <v>140.0</v>
      </c>
      <c r="G880" s="2031">
        <v>141.0</v>
      </c>
      <c r="H880" s="2031">
        <v>141.0</v>
      </c>
    </row>
    <row r="881">
      <c r="B881" s="2031">
        <v>879.0</v>
      </c>
      <c r="C881" s="2031">
        <v>106.0</v>
      </c>
      <c r="D881" s="2031">
        <v>211.0</v>
      </c>
      <c r="E881" s="2031">
        <v>140.0</v>
      </c>
      <c r="F881" s="2031">
        <v>140.0</v>
      </c>
      <c r="G881" s="2031">
        <v>141.0</v>
      </c>
      <c r="H881" s="2031">
        <v>141.0</v>
      </c>
    </row>
    <row r="882">
      <c r="B882" s="2031">
        <v>880.0</v>
      </c>
      <c r="C882" s="2031">
        <v>105.0</v>
      </c>
      <c r="D882" s="2031">
        <v>211.0</v>
      </c>
      <c r="E882" s="2031">
        <v>141.0</v>
      </c>
      <c r="F882" s="2031">
        <v>141.0</v>
      </c>
      <c r="G882" s="2031">
        <v>141.0</v>
      </c>
      <c r="H882" s="2031">
        <v>141.0</v>
      </c>
    </row>
    <row r="883">
      <c r="B883" s="2031">
        <v>881.0</v>
      </c>
      <c r="C883" s="2031">
        <v>106.0</v>
      </c>
      <c r="D883" s="2031">
        <v>211.0</v>
      </c>
      <c r="E883" s="2031">
        <v>141.0</v>
      </c>
      <c r="F883" s="2031">
        <v>141.0</v>
      </c>
      <c r="G883" s="2031">
        <v>141.0</v>
      </c>
      <c r="H883" s="2031">
        <v>141.0</v>
      </c>
    </row>
    <row r="884">
      <c r="B884" s="2031">
        <v>882.0</v>
      </c>
      <c r="C884" s="2031">
        <v>106.0</v>
      </c>
      <c r="D884" s="2031">
        <v>212.0</v>
      </c>
      <c r="E884" s="2031">
        <v>141.0</v>
      </c>
      <c r="F884" s="2031">
        <v>141.0</v>
      </c>
      <c r="G884" s="2031">
        <v>141.0</v>
      </c>
      <c r="H884" s="2031">
        <v>141.0</v>
      </c>
    </row>
    <row r="885">
      <c r="B885" s="2031">
        <v>883.0</v>
      </c>
      <c r="C885" s="2031">
        <v>106.0</v>
      </c>
      <c r="D885" s="2031">
        <v>211.0</v>
      </c>
      <c r="E885" s="2031">
        <v>141.0</v>
      </c>
      <c r="F885" s="2031">
        <v>141.0</v>
      </c>
      <c r="G885" s="2031">
        <v>142.0</v>
      </c>
      <c r="H885" s="2031">
        <v>142.0</v>
      </c>
    </row>
    <row r="886">
      <c r="B886" s="2031">
        <v>884.0</v>
      </c>
      <c r="C886" s="2031">
        <v>106.0</v>
      </c>
      <c r="D886" s="2031">
        <v>212.0</v>
      </c>
      <c r="E886" s="2031">
        <v>141.0</v>
      </c>
      <c r="F886" s="2031">
        <v>141.0</v>
      </c>
      <c r="G886" s="2031">
        <v>142.0</v>
      </c>
      <c r="H886" s="2031">
        <v>142.0</v>
      </c>
    </row>
    <row r="887">
      <c r="B887" s="2031">
        <v>885.0</v>
      </c>
      <c r="C887" s="2031">
        <v>106.0</v>
      </c>
      <c r="D887" s="2031">
        <v>213.0</v>
      </c>
      <c r="E887" s="2031">
        <v>141.0</v>
      </c>
      <c r="F887" s="2031">
        <v>141.0</v>
      </c>
      <c r="G887" s="2031">
        <v>142.0</v>
      </c>
      <c r="H887" s="2031">
        <v>142.0</v>
      </c>
    </row>
    <row r="888">
      <c r="B888" s="2031">
        <v>886.0</v>
      </c>
      <c r="C888" s="2031">
        <v>106.0</v>
      </c>
      <c r="D888" s="2031">
        <v>212.0</v>
      </c>
      <c r="E888" s="2031">
        <v>142.0</v>
      </c>
      <c r="F888" s="2031">
        <v>142.0</v>
      </c>
      <c r="G888" s="2031">
        <v>142.0</v>
      </c>
      <c r="H888" s="2031">
        <v>142.0</v>
      </c>
    </row>
    <row r="889">
      <c r="B889" s="2031">
        <v>887.0</v>
      </c>
      <c r="C889" s="2031">
        <v>106.0</v>
      </c>
      <c r="D889" s="2031">
        <v>213.0</v>
      </c>
      <c r="E889" s="2031">
        <v>142.0</v>
      </c>
      <c r="F889" s="2031">
        <v>142.0</v>
      </c>
      <c r="G889" s="2031">
        <v>142.0</v>
      </c>
      <c r="H889" s="2031">
        <v>142.0</v>
      </c>
    </row>
    <row r="890">
      <c r="B890" s="2031">
        <v>888.0</v>
      </c>
      <c r="C890" s="2031">
        <v>107.0</v>
      </c>
      <c r="D890" s="2031">
        <v>213.0</v>
      </c>
      <c r="E890" s="2031">
        <v>142.0</v>
      </c>
      <c r="F890" s="2031">
        <v>142.0</v>
      </c>
      <c r="G890" s="2031">
        <v>142.0</v>
      </c>
      <c r="H890" s="2031">
        <v>142.0</v>
      </c>
    </row>
    <row r="891">
      <c r="B891" s="2031">
        <v>889.0</v>
      </c>
      <c r="C891" s="2031">
        <v>107.0</v>
      </c>
      <c r="D891" s="2031">
        <v>214.0</v>
      </c>
      <c r="E891" s="2031">
        <v>142.0</v>
      </c>
      <c r="F891" s="2031">
        <v>142.0</v>
      </c>
      <c r="G891" s="2031">
        <v>142.0</v>
      </c>
      <c r="H891" s="2031">
        <v>142.0</v>
      </c>
    </row>
    <row r="892">
      <c r="B892" s="2031">
        <v>890.0</v>
      </c>
      <c r="C892" s="2031">
        <v>107.0</v>
      </c>
      <c r="D892" s="2031">
        <v>213.0</v>
      </c>
      <c r="E892" s="2031">
        <v>142.0</v>
      </c>
      <c r="F892" s="2031">
        <v>142.0</v>
      </c>
      <c r="G892" s="2031">
        <v>143.0</v>
      </c>
      <c r="H892" s="2031">
        <v>143.0</v>
      </c>
    </row>
    <row r="893">
      <c r="B893" s="2031">
        <v>891.0</v>
      </c>
      <c r="C893" s="2031">
        <v>107.0</v>
      </c>
      <c r="D893" s="2031">
        <v>214.0</v>
      </c>
      <c r="E893" s="2031">
        <v>142.0</v>
      </c>
      <c r="F893" s="2031">
        <v>142.0</v>
      </c>
      <c r="G893" s="2031">
        <v>143.0</v>
      </c>
      <c r="H893" s="2031">
        <v>143.0</v>
      </c>
    </row>
    <row r="894">
      <c r="B894" s="2031">
        <v>892.0</v>
      </c>
      <c r="C894" s="2031">
        <v>107.0</v>
      </c>
      <c r="D894" s="2031">
        <v>215.0</v>
      </c>
      <c r="E894" s="2031">
        <v>142.0</v>
      </c>
      <c r="F894" s="2031">
        <v>142.0</v>
      </c>
      <c r="G894" s="2031">
        <v>143.0</v>
      </c>
      <c r="H894" s="2031">
        <v>143.0</v>
      </c>
    </row>
    <row r="895">
      <c r="B895" s="2031">
        <v>893.0</v>
      </c>
      <c r="C895" s="2031">
        <v>107.0</v>
      </c>
      <c r="D895" s="2031">
        <v>214.0</v>
      </c>
      <c r="E895" s="2031">
        <v>143.0</v>
      </c>
      <c r="F895" s="2031">
        <v>143.0</v>
      </c>
      <c r="G895" s="2031">
        <v>143.0</v>
      </c>
      <c r="H895" s="2031">
        <v>143.0</v>
      </c>
    </row>
    <row r="896">
      <c r="B896" s="2031">
        <v>894.0</v>
      </c>
      <c r="C896" s="2031">
        <v>107.0</v>
      </c>
      <c r="D896" s="2031">
        <v>215.0</v>
      </c>
      <c r="E896" s="2031">
        <v>143.0</v>
      </c>
      <c r="F896" s="2031">
        <v>143.0</v>
      </c>
      <c r="G896" s="2031">
        <v>143.0</v>
      </c>
      <c r="H896" s="2031">
        <v>143.0</v>
      </c>
    </row>
    <row r="897">
      <c r="B897" s="2031">
        <v>895.0</v>
      </c>
      <c r="C897" s="2031">
        <v>108.0</v>
      </c>
      <c r="D897" s="2031">
        <v>215.0</v>
      </c>
      <c r="E897" s="2031">
        <v>143.0</v>
      </c>
      <c r="F897" s="2031">
        <v>143.0</v>
      </c>
      <c r="G897" s="2031">
        <v>143.0</v>
      </c>
      <c r="H897" s="2031">
        <v>143.0</v>
      </c>
    </row>
    <row r="898">
      <c r="B898" s="2031">
        <v>896.0</v>
      </c>
      <c r="C898" s="2031">
        <v>107.0</v>
      </c>
      <c r="D898" s="2031">
        <v>215.0</v>
      </c>
      <c r="E898" s="2031">
        <v>143.0</v>
      </c>
      <c r="F898" s="2031">
        <v>143.0</v>
      </c>
      <c r="G898" s="2031">
        <v>144.0</v>
      </c>
      <c r="H898" s="2031">
        <v>144.0</v>
      </c>
    </row>
    <row r="899">
      <c r="B899" s="2031">
        <v>897.0</v>
      </c>
      <c r="C899" s="2031">
        <v>108.0</v>
      </c>
      <c r="D899" s="2031">
        <v>215.0</v>
      </c>
      <c r="E899" s="2031">
        <v>143.0</v>
      </c>
      <c r="F899" s="2031">
        <v>143.0</v>
      </c>
      <c r="G899" s="2031">
        <v>144.0</v>
      </c>
      <c r="H899" s="2031">
        <v>144.0</v>
      </c>
    </row>
    <row r="900">
      <c r="B900" s="2031">
        <v>898.0</v>
      </c>
      <c r="C900" s="2031">
        <v>107.0</v>
      </c>
      <c r="D900" s="2031">
        <v>215.0</v>
      </c>
      <c r="E900" s="2031">
        <v>144.0</v>
      </c>
      <c r="F900" s="2031">
        <v>144.0</v>
      </c>
      <c r="G900" s="2031">
        <v>144.0</v>
      </c>
      <c r="H900" s="2031">
        <v>144.0</v>
      </c>
    </row>
    <row r="901">
      <c r="B901" s="2031">
        <v>899.0</v>
      </c>
      <c r="C901" s="2031">
        <v>108.0</v>
      </c>
      <c r="D901" s="2031">
        <v>215.0</v>
      </c>
      <c r="E901" s="2031">
        <v>144.0</v>
      </c>
      <c r="F901" s="2031">
        <v>144.0</v>
      </c>
      <c r="G901" s="2031">
        <v>144.0</v>
      </c>
      <c r="H901" s="2031">
        <v>144.0</v>
      </c>
    </row>
    <row r="902">
      <c r="B902" s="2031">
        <v>900.0</v>
      </c>
      <c r="C902" s="2031">
        <v>108.0</v>
      </c>
      <c r="D902" s="2031">
        <v>216.0</v>
      </c>
      <c r="E902" s="2031">
        <v>144.0</v>
      </c>
      <c r="F902" s="2031">
        <v>144.0</v>
      </c>
      <c r="G902" s="2031">
        <v>144.0</v>
      </c>
      <c r="H902" s="2031">
        <v>144.0</v>
      </c>
    </row>
    <row r="903">
      <c r="B903" s="2031">
        <v>901.0</v>
      </c>
      <c r="C903" s="2031">
        <v>108.0</v>
      </c>
      <c r="D903" s="2031">
        <v>217.0</v>
      </c>
      <c r="E903" s="2031">
        <v>144.0</v>
      </c>
      <c r="F903" s="2031">
        <v>144.0</v>
      </c>
      <c r="G903" s="2031">
        <v>144.0</v>
      </c>
      <c r="H903" s="2031">
        <v>144.0</v>
      </c>
    </row>
    <row r="904">
      <c r="B904" s="2031">
        <v>902.0</v>
      </c>
      <c r="C904" s="2031">
        <v>109.0</v>
      </c>
      <c r="D904" s="2031">
        <v>217.0</v>
      </c>
      <c r="E904" s="2031">
        <v>144.0</v>
      </c>
      <c r="F904" s="2031">
        <v>144.0</v>
      </c>
      <c r="G904" s="2031">
        <v>144.0</v>
      </c>
      <c r="H904" s="2031">
        <v>144.0</v>
      </c>
    </row>
    <row r="905">
      <c r="B905" s="2031">
        <v>903.0</v>
      </c>
      <c r="C905" s="2031">
        <v>108.0</v>
      </c>
      <c r="D905" s="2031">
        <v>217.0</v>
      </c>
      <c r="E905" s="2031">
        <v>144.0</v>
      </c>
      <c r="F905" s="2031">
        <v>144.0</v>
      </c>
      <c r="G905" s="2031">
        <v>145.0</v>
      </c>
      <c r="H905" s="2031">
        <v>145.0</v>
      </c>
    </row>
    <row r="906">
      <c r="B906" s="2031">
        <v>904.0</v>
      </c>
      <c r="C906" s="2031">
        <v>109.0</v>
      </c>
      <c r="D906" s="2031">
        <v>217.0</v>
      </c>
      <c r="E906" s="2031">
        <v>144.0</v>
      </c>
      <c r="F906" s="2031">
        <v>144.0</v>
      </c>
      <c r="G906" s="2031">
        <v>145.0</v>
      </c>
      <c r="H906" s="2031">
        <v>145.0</v>
      </c>
    </row>
    <row r="907">
      <c r="B907" s="2031">
        <v>905.0</v>
      </c>
      <c r="C907" s="2031">
        <v>108.0</v>
      </c>
      <c r="D907" s="2031">
        <v>217.0</v>
      </c>
      <c r="E907" s="2031">
        <v>145.0</v>
      </c>
      <c r="F907" s="2031">
        <v>145.0</v>
      </c>
      <c r="G907" s="2031">
        <v>145.0</v>
      </c>
      <c r="H907" s="2031">
        <v>145.0</v>
      </c>
    </row>
    <row r="908">
      <c r="B908" s="2031">
        <v>906.0</v>
      </c>
      <c r="C908" s="2031">
        <v>109.0</v>
      </c>
      <c r="D908" s="2031">
        <v>217.0</v>
      </c>
      <c r="E908" s="2031">
        <v>145.0</v>
      </c>
      <c r="F908" s="2031">
        <v>145.0</v>
      </c>
      <c r="G908" s="2031">
        <v>145.0</v>
      </c>
      <c r="H908" s="2031">
        <v>145.0</v>
      </c>
    </row>
    <row r="909">
      <c r="B909" s="2031">
        <v>907.0</v>
      </c>
      <c r="C909" s="2031">
        <v>109.0</v>
      </c>
      <c r="D909" s="2031">
        <v>218.0</v>
      </c>
      <c r="E909" s="2031">
        <v>145.0</v>
      </c>
      <c r="F909" s="2031">
        <v>145.0</v>
      </c>
      <c r="G909" s="2031">
        <v>145.0</v>
      </c>
      <c r="H909" s="2031">
        <v>145.0</v>
      </c>
    </row>
    <row r="910">
      <c r="B910" s="2031">
        <v>908.0</v>
      </c>
      <c r="C910" s="2031">
        <v>109.0</v>
      </c>
      <c r="D910" s="2031">
        <v>217.0</v>
      </c>
      <c r="E910" s="2031">
        <v>145.0</v>
      </c>
      <c r="F910" s="2031">
        <v>145.0</v>
      </c>
      <c r="G910" s="2031">
        <v>146.0</v>
      </c>
      <c r="H910" s="2031">
        <v>146.0</v>
      </c>
    </row>
    <row r="911">
      <c r="B911" s="2031">
        <v>909.0</v>
      </c>
      <c r="C911" s="2031">
        <v>109.0</v>
      </c>
      <c r="D911" s="2031">
        <v>218.0</v>
      </c>
      <c r="E911" s="2031">
        <v>145.0</v>
      </c>
      <c r="F911" s="2031">
        <v>145.0</v>
      </c>
      <c r="G911" s="2031">
        <v>146.0</v>
      </c>
      <c r="H911" s="2031">
        <v>146.0</v>
      </c>
    </row>
    <row r="912">
      <c r="B912" s="2031">
        <v>910.0</v>
      </c>
      <c r="C912" s="2031">
        <v>109.0</v>
      </c>
      <c r="D912" s="2031">
        <v>219.0</v>
      </c>
      <c r="E912" s="2031">
        <v>145.0</v>
      </c>
      <c r="F912" s="2031">
        <v>145.0</v>
      </c>
      <c r="G912" s="2031">
        <v>146.0</v>
      </c>
      <c r="H912" s="2031">
        <v>146.0</v>
      </c>
    </row>
    <row r="913">
      <c r="B913" s="2031">
        <v>911.0</v>
      </c>
      <c r="C913" s="2031">
        <v>109.0</v>
      </c>
      <c r="D913" s="2031">
        <v>218.0</v>
      </c>
      <c r="E913" s="2031">
        <v>146.0</v>
      </c>
      <c r="F913" s="2031">
        <v>146.0</v>
      </c>
      <c r="G913" s="2031">
        <v>146.0</v>
      </c>
      <c r="H913" s="2031">
        <v>146.0</v>
      </c>
    </row>
    <row r="914">
      <c r="B914" s="2031">
        <v>912.0</v>
      </c>
      <c r="C914" s="2031">
        <v>109.0</v>
      </c>
      <c r="D914" s="2031">
        <v>219.0</v>
      </c>
      <c r="E914" s="2031">
        <v>146.0</v>
      </c>
      <c r="F914" s="2031">
        <v>146.0</v>
      </c>
      <c r="G914" s="2031">
        <v>146.0</v>
      </c>
      <c r="H914" s="2031">
        <v>146.0</v>
      </c>
    </row>
    <row r="915">
      <c r="B915" s="2031">
        <v>913.0</v>
      </c>
      <c r="C915" s="2031">
        <v>110.0</v>
      </c>
      <c r="D915" s="2031">
        <v>219.0</v>
      </c>
      <c r="E915" s="2031">
        <v>146.0</v>
      </c>
      <c r="F915" s="2031">
        <v>146.0</v>
      </c>
      <c r="G915" s="2031">
        <v>146.0</v>
      </c>
      <c r="H915" s="2031">
        <v>146.0</v>
      </c>
    </row>
    <row r="916">
      <c r="B916" s="2031">
        <v>914.0</v>
      </c>
      <c r="C916" s="2031">
        <v>110.0</v>
      </c>
      <c r="D916" s="2031">
        <v>220.0</v>
      </c>
      <c r="E916" s="2031">
        <v>146.0</v>
      </c>
      <c r="F916" s="2031">
        <v>146.0</v>
      </c>
      <c r="G916" s="2031">
        <v>146.0</v>
      </c>
      <c r="H916" s="2031">
        <v>146.0</v>
      </c>
    </row>
    <row r="917">
      <c r="B917" s="2031">
        <v>915.0</v>
      </c>
      <c r="C917" s="2031">
        <v>110.0</v>
      </c>
      <c r="D917" s="2031">
        <v>219.0</v>
      </c>
      <c r="E917" s="2031">
        <v>146.0</v>
      </c>
      <c r="F917" s="2031">
        <v>146.0</v>
      </c>
      <c r="G917" s="2031">
        <v>147.0</v>
      </c>
      <c r="H917" s="2031">
        <v>147.0</v>
      </c>
    </row>
    <row r="918">
      <c r="B918" s="2031">
        <v>916.0</v>
      </c>
      <c r="C918" s="2031">
        <v>110.0</v>
      </c>
      <c r="D918" s="2031">
        <v>220.0</v>
      </c>
      <c r="E918" s="2031">
        <v>146.0</v>
      </c>
      <c r="F918" s="2031">
        <v>146.0</v>
      </c>
      <c r="G918" s="2031">
        <v>147.0</v>
      </c>
      <c r="H918" s="2031">
        <v>147.0</v>
      </c>
    </row>
    <row r="919">
      <c r="B919" s="2031">
        <v>917.0</v>
      </c>
      <c r="C919" s="2031">
        <v>110.0</v>
      </c>
      <c r="D919" s="2031">
        <v>221.0</v>
      </c>
      <c r="E919" s="2031">
        <v>146.0</v>
      </c>
      <c r="F919" s="2031">
        <v>146.0</v>
      </c>
      <c r="G919" s="2031">
        <v>147.0</v>
      </c>
      <c r="H919" s="2031">
        <v>147.0</v>
      </c>
    </row>
    <row r="920">
      <c r="B920" s="2031">
        <v>918.0</v>
      </c>
      <c r="C920" s="2031">
        <v>110.0</v>
      </c>
      <c r="D920" s="2031">
        <v>220.0</v>
      </c>
      <c r="E920" s="2031">
        <v>147.0</v>
      </c>
      <c r="F920" s="2031">
        <v>147.0</v>
      </c>
      <c r="G920" s="2031">
        <v>147.0</v>
      </c>
      <c r="H920" s="2031">
        <v>147.0</v>
      </c>
    </row>
    <row r="921">
      <c r="B921" s="2031">
        <v>919.0</v>
      </c>
      <c r="C921" s="2031">
        <v>110.0</v>
      </c>
      <c r="D921" s="2031">
        <v>221.0</v>
      </c>
      <c r="E921" s="2031">
        <v>147.0</v>
      </c>
      <c r="F921" s="2031">
        <v>147.0</v>
      </c>
      <c r="G921" s="2031">
        <v>147.0</v>
      </c>
      <c r="H921" s="2031">
        <v>147.0</v>
      </c>
    </row>
    <row r="922">
      <c r="B922" s="2031">
        <v>920.0</v>
      </c>
      <c r="C922" s="2031">
        <v>111.0</v>
      </c>
      <c r="D922" s="2031">
        <v>221.0</v>
      </c>
      <c r="E922" s="2031">
        <v>147.0</v>
      </c>
      <c r="F922" s="2031">
        <v>147.0</v>
      </c>
      <c r="G922" s="2031">
        <v>147.0</v>
      </c>
      <c r="H922" s="2031">
        <v>147.0</v>
      </c>
    </row>
    <row r="923">
      <c r="B923" s="2031">
        <v>921.0</v>
      </c>
      <c r="C923" s="2031">
        <v>110.0</v>
      </c>
      <c r="D923" s="2031">
        <v>221.0</v>
      </c>
      <c r="E923" s="2031">
        <v>147.0</v>
      </c>
      <c r="F923" s="2031">
        <v>147.0</v>
      </c>
      <c r="G923" s="2031">
        <v>148.0</v>
      </c>
      <c r="H923" s="2031">
        <v>148.0</v>
      </c>
    </row>
    <row r="924">
      <c r="B924" s="2031">
        <v>922.0</v>
      </c>
      <c r="C924" s="2031">
        <v>111.0</v>
      </c>
      <c r="D924" s="2031">
        <v>221.0</v>
      </c>
      <c r="E924" s="2031">
        <v>147.0</v>
      </c>
      <c r="F924" s="2031">
        <v>147.0</v>
      </c>
      <c r="G924" s="2031">
        <v>148.0</v>
      </c>
      <c r="H924" s="2031">
        <v>148.0</v>
      </c>
    </row>
    <row r="925">
      <c r="B925" s="2031">
        <v>923.0</v>
      </c>
      <c r="C925" s="2031">
        <v>110.0</v>
      </c>
      <c r="D925" s="2031">
        <v>221.0</v>
      </c>
      <c r="E925" s="2031">
        <v>148.0</v>
      </c>
      <c r="F925" s="2031">
        <v>148.0</v>
      </c>
      <c r="G925" s="2031">
        <v>148.0</v>
      </c>
      <c r="H925" s="2031">
        <v>148.0</v>
      </c>
    </row>
    <row r="926">
      <c r="B926" s="2031">
        <v>924.0</v>
      </c>
      <c r="C926" s="2031">
        <v>111.0</v>
      </c>
      <c r="D926" s="2031">
        <v>221.0</v>
      </c>
      <c r="E926" s="2031">
        <v>148.0</v>
      </c>
      <c r="F926" s="2031">
        <v>148.0</v>
      </c>
      <c r="G926" s="2031">
        <v>148.0</v>
      </c>
      <c r="H926" s="2031">
        <v>148.0</v>
      </c>
    </row>
    <row r="927">
      <c r="B927" s="2031">
        <v>925.0</v>
      </c>
      <c r="C927" s="2031">
        <v>111.0</v>
      </c>
      <c r="D927" s="2031">
        <v>222.0</v>
      </c>
      <c r="E927" s="2031">
        <v>148.0</v>
      </c>
      <c r="F927" s="2031">
        <v>148.0</v>
      </c>
      <c r="G927" s="2031">
        <v>148.0</v>
      </c>
      <c r="H927" s="2031">
        <v>148.0</v>
      </c>
    </row>
    <row r="928">
      <c r="B928" s="2031">
        <v>926.0</v>
      </c>
      <c r="C928" s="2031">
        <v>111.0</v>
      </c>
      <c r="D928" s="2031">
        <v>223.0</v>
      </c>
      <c r="E928" s="2031">
        <v>148.0</v>
      </c>
      <c r="F928" s="2031">
        <v>148.0</v>
      </c>
      <c r="G928" s="2031">
        <v>148.0</v>
      </c>
      <c r="H928" s="2031">
        <v>148.0</v>
      </c>
    </row>
    <row r="929">
      <c r="B929" s="2031">
        <v>927.0</v>
      </c>
      <c r="C929" s="2031">
        <v>112.0</v>
      </c>
      <c r="D929" s="2031">
        <v>223.0</v>
      </c>
      <c r="E929" s="2031">
        <v>148.0</v>
      </c>
      <c r="F929" s="2031">
        <v>148.0</v>
      </c>
      <c r="G929" s="2031">
        <v>148.0</v>
      </c>
      <c r="H929" s="2031">
        <v>148.0</v>
      </c>
    </row>
    <row r="930">
      <c r="B930" s="2031">
        <v>928.0</v>
      </c>
      <c r="C930" s="2031">
        <v>111.0</v>
      </c>
      <c r="D930" s="2031">
        <v>223.0</v>
      </c>
      <c r="E930" s="2031">
        <v>148.0</v>
      </c>
      <c r="F930" s="2031">
        <v>148.0</v>
      </c>
      <c r="G930" s="2031">
        <v>149.0</v>
      </c>
      <c r="H930" s="2031">
        <v>149.0</v>
      </c>
    </row>
    <row r="931">
      <c r="B931" s="2031">
        <v>929.0</v>
      </c>
      <c r="C931" s="2031">
        <v>112.0</v>
      </c>
      <c r="D931" s="2031">
        <v>223.0</v>
      </c>
      <c r="E931" s="2031">
        <v>148.0</v>
      </c>
      <c r="F931" s="2031">
        <v>148.0</v>
      </c>
      <c r="G931" s="2031">
        <v>149.0</v>
      </c>
      <c r="H931" s="2031">
        <v>149.0</v>
      </c>
    </row>
    <row r="932">
      <c r="B932" s="2031">
        <v>930.0</v>
      </c>
      <c r="C932" s="2031">
        <v>111.0</v>
      </c>
      <c r="D932" s="2031">
        <v>223.0</v>
      </c>
      <c r="E932" s="2031">
        <v>149.0</v>
      </c>
      <c r="F932" s="2031">
        <v>149.0</v>
      </c>
      <c r="G932" s="2031">
        <v>149.0</v>
      </c>
      <c r="H932" s="2031">
        <v>149.0</v>
      </c>
    </row>
    <row r="933">
      <c r="B933" s="2031">
        <v>931.0</v>
      </c>
      <c r="C933" s="2031">
        <v>112.0</v>
      </c>
      <c r="D933" s="2031">
        <v>223.0</v>
      </c>
      <c r="E933" s="2031">
        <v>149.0</v>
      </c>
      <c r="F933" s="2031">
        <v>149.0</v>
      </c>
      <c r="G933" s="2031">
        <v>149.0</v>
      </c>
      <c r="H933" s="2031">
        <v>149.0</v>
      </c>
    </row>
    <row r="934">
      <c r="B934" s="2031">
        <v>932.0</v>
      </c>
      <c r="C934" s="2031">
        <v>112.0</v>
      </c>
      <c r="D934" s="2031">
        <v>224.0</v>
      </c>
      <c r="E934" s="2031">
        <v>149.0</v>
      </c>
      <c r="F934" s="2031">
        <v>149.0</v>
      </c>
      <c r="G934" s="2031">
        <v>149.0</v>
      </c>
      <c r="H934" s="2031">
        <v>149.0</v>
      </c>
    </row>
    <row r="935">
      <c r="B935" s="2031">
        <v>933.0</v>
      </c>
      <c r="C935" s="2031">
        <v>112.0</v>
      </c>
      <c r="D935" s="2031">
        <v>223.0</v>
      </c>
      <c r="E935" s="2031">
        <v>149.0</v>
      </c>
      <c r="F935" s="2031">
        <v>149.0</v>
      </c>
      <c r="G935" s="2031">
        <v>150.0</v>
      </c>
      <c r="H935" s="2031">
        <v>150.0</v>
      </c>
    </row>
    <row r="936">
      <c r="B936" s="2031">
        <v>934.0</v>
      </c>
      <c r="C936" s="2031">
        <v>112.0</v>
      </c>
      <c r="D936" s="2031">
        <v>224.0</v>
      </c>
      <c r="E936" s="2031">
        <v>149.0</v>
      </c>
      <c r="F936" s="2031">
        <v>149.0</v>
      </c>
      <c r="G936" s="2031">
        <v>150.0</v>
      </c>
      <c r="H936" s="2031">
        <v>150.0</v>
      </c>
    </row>
    <row r="937">
      <c r="B937" s="2031">
        <v>935.0</v>
      </c>
      <c r="C937" s="2031">
        <v>112.0</v>
      </c>
      <c r="D937" s="2031">
        <v>225.0</v>
      </c>
      <c r="E937" s="2031">
        <v>149.0</v>
      </c>
      <c r="F937" s="2031">
        <v>149.0</v>
      </c>
      <c r="G937" s="2031">
        <v>150.0</v>
      </c>
      <c r="H937" s="2031">
        <v>150.0</v>
      </c>
    </row>
    <row r="938">
      <c r="B938" s="2031">
        <v>936.0</v>
      </c>
      <c r="C938" s="2031">
        <v>112.0</v>
      </c>
      <c r="D938" s="2031">
        <v>224.0</v>
      </c>
      <c r="E938" s="2031">
        <v>150.0</v>
      </c>
      <c r="F938" s="2031">
        <v>150.0</v>
      </c>
      <c r="G938" s="2031">
        <v>150.0</v>
      </c>
      <c r="H938" s="2031">
        <v>150.0</v>
      </c>
    </row>
    <row r="939">
      <c r="B939" s="2031">
        <v>937.0</v>
      </c>
      <c r="C939" s="2031">
        <v>112.0</v>
      </c>
      <c r="D939" s="2031">
        <v>225.0</v>
      </c>
      <c r="E939" s="2031">
        <v>150.0</v>
      </c>
      <c r="F939" s="2031">
        <v>150.0</v>
      </c>
      <c r="G939" s="2031">
        <v>150.0</v>
      </c>
      <c r="H939" s="2031">
        <v>150.0</v>
      </c>
    </row>
    <row r="940">
      <c r="B940" s="2031">
        <v>938.0</v>
      </c>
      <c r="C940" s="2031">
        <v>113.0</v>
      </c>
      <c r="D940" s="2031">
        <v>225.0</v>
      </c>
      <c r="E940" s="2031">
        <v>150.0</v>
      </c>
      <c r="F940" s="2031">
        <v>150.0</v>
      </c>
      <c r="G940" s="2031">
        <v>150.0</v>
      </c>
      <c r="H940" s="2031">
        <v>150.0</v>
      </c>
    </row>
    <row r="941">
      <c r="B941" s="2031">
        <v>939.0</v>
      </c>
      <c r="C941" s="2031">
        <v>113.0</v>
      </c>
      <c r="D941" s="2031">
        <v>226.0</v>
      </c>
      <c r="E941" s="2031">
        <v>150.0</v>
      </c>
      <c r="F941" s="2031">
        <v>150.0</v>
      </c>
      <c r="G941" s="2031">
        <v>150.0</v>
      </c>
      <c r="H941" s="2031">
        <v>150.0</v>
      </c>
    </row>
    <row r="942">
      <c r="B942" s="2031">
        <v>940.0</v>
      </c>
      <c r="C942" s="2031">
        <v>113.0</v>
      </c>
      <c r="D942" s="2031">
        <v>225.0</v>
      </c>
      <c r="E942" s="2031">
        <v>150.0</v>
      </c>
      <c r="F942" s="2031">
        <v>150.0</v>
      </c>
      <c r="G942" s="2031">
        <v>151.0</v>
      </c>
      <c r="H942" s="2031">
        <v>151.0</v>
      </c>
    </row>
    <row r="943">
      <c r="B943" s="2031">
        <v>941.0</v>
      </c>
      <c r="C943" s="2031">
        <v>113.0</v>
      </c>
      <c r="D943" s="2031">
        <v>226.0</v>
      </c>
      <c r="E943" s="2031">
        <v>150.0</v>
      </c>
      <c r="F943" s="2031">
        <v>150.0</v>
      </c>
      <c r="G943" s="2031">
        <v>151.0</v>
      </c>
      <c r="H943" s="2031">
        <v>151.0</v>
      </c>
    </row>
    <row r="944">
      <c r="B944" s="2031">
        <v>942.0</v>
      </c>
      <c r="C944" s="2031">
        <v>113.0</v>
      </c>
      <c r="D944" s="2031">
        <v>227.0</v>
      </c>
      <c r="E944" s="2031">
        <v>150.0</v>
      </c>
      <c r="F944" s="2031">
        <v>150.0</v>
      </c>
      <c r="G944" s="2031">
        <v>151.0</v>
      </c>
      <c r="H944" s="2031">
        <v>151.0</v>
      </c>
    </row>
    <row r="945">
      <c r="B945" s="2031">
        <v>943.0</v>
      </c>
      <c r="C945" s="2031">
        <v>113.0</v>
      </c>
      <c r="D945" s="2031">
        <v>226.0</v>
      </c>
      <c r="E945" s="2031">
        <v>151.0</v>
      </c>
      <c r="F945" s="2031">
        <v>151.0</v>
      </c>
      <c r="G945" s="2031">
        <v>151.0</v>
      </c>
      <c r="H945" s="2031">
        <v>151.0</v>
      </c>
    </row>
    <row r="946">
      <c r="B946" s="2031">
        <v>944.0</v>
      </c>
      <c r="C946" s="2031">
        <v>113.0</v>
      </c>
      <c r="D946" s="2031">
        <v>227.0</v>
      </c>
      <c r="E946" s="2031">
        <v>151.0</v>
      </c>
      <c r="F946" s="2031">
        <v>151.0</v>
      </c>
      <c r="G946" s="2031">
        <v>151.0</v>
      </c>
      <c r="H946" s="2031">
        <v>151.0</v>
      </c>
    </row>
    <row r="947">
      <c r="B947" s="2031">
        <v>945.0</v>
      </c>
      <c r="C947" s="2031">
        <v>114.0</v>
      </c>
      <c r="D947" s="2031">
        <v>227.0</v>
      </c>
      <c r="E947" s="2031">
        <v>151.0</v>
      </c>
      <c r="F947" s="2031">
        <v>151.0</v>
      </c>
      <c r="G947" s="2031">
        <v>151.0</v>
      </c>
      <c r="H947" s="2031">
        <v>151.0</v>
      </c>
    </row>
    <row r="948">
      <c r="B948" s="2031">
        <v>946.0</v>
      </c>
      <c r="C948" s="2031">
        <v>113.0</v>
      </c>
      <c r="D948" s="2031">
        <v>227.0</v>
      </c>
      <c r="E948" s="2031">
        <v>151.0</v>
      </c>
      <c r="F948" s="2031">
        <v>151.0</v>
      </c>
      <c r="G948" s="2031">
        <v>152.0</v>
      </c>
      <c r="H948" s="2031">
        <v>152.0</v>
      </c>
    </row>
    <row r="949">
      <c r="B949" s="2031">
        <v>947.0</v>
      </c>
      <c r="C949" s="2031">
        <v>114.0</v>
      </c>
      <c r="D949" s="2031">
        <v>227.0</v>
      </c>
      <c r="E949" s="2031">
        <v>151.0</v>
      </c>
      <c r="F949" s="2031">
        <v>151.0</v>
      </c>
      <c r="G949" s="2031">
        <v>152.0</v>
      </c>
      <c r="H949" s="2031">
        <v>152.0</v>
      </c>
    </row>
    <row r="950">
      <c r="B950" s="2031">
        <v>948.0</v>
      </c>
      <c r="C950" s="2031">
        <v>113.0</v>
      </c>
      <c r="D950" s="2031">
        <v>227.0</v>
      </c>
      <c r="E950" s="2031">
        <v>152.0</v>
      </c>
      <c r="F950" s="2031">
        <v>152.0</v>
      </c>
      <c r="G950" s="2031">
        <v>152.0</v>
      </c>
      <c r="H950" s="2031">
        <v>152.0</v>
      </c>
    </row>
    <row r="951">
      <c r="B951" s="2031">
        <v>949.0</v>
      </c>
      <c r="C951" s="2031">
        <v>114.0</v>
      </c>
      <c r="D951" s="2031">
        <v>227.0</v>
      </c>
      <c r="E951" s="2031">
        <v>152.0</v>
      </c>
      <c r="F951" s="2031">
        <v>152.0</v>
      </c>
      <c r="G951" s="2031">
        <v>152.0</v>
      </c>
      <c r="H951" s="2031">
        <v>152.0</v>
      </c>
    </row>
    <row r="952">
      <c r="B952" s="2031">
        <v>950.0</v>
      </c>
      <c r="C952" s="2031">
        <v>114.0</v>
      </c>
      <c r="D952" s="2031">
        <v>228.0</v>
      </c>
      <c r="E952" s="2031">
        <v>152.0</v>
      </c>
      <c r="F952" s="2031">
        <v>152.0</v>
      </c>
      <c r="G952" s="2031">
        <v>152.0</v>
      </c>
      <c r="H952" s="2031">
        <v>152.0</v>
      </c>
    </row>
    <row r="953">
      <c r="B953" s="2031">
        <v>951.0</v>
      </c>
      <c r="C953" s="2031">
        <v>114.0</v>
      </c>
      <c r="D953" s="2031">
        <v>229.0</v>
      </c>
      <c r="E953" s="2031">
        <v>152.0</v>
      </c>
      <c r="F953" s="2031">
        <v>152.0</v>
      </c>
      <c r="G953" s="2031">
        <v>152.0</v>
      </c>
      <c r="H953" s="2031">
        <v>152.0</v>
      </c>
    </row>
    <row r="954">
      <c r="B954" s="2031">
        <v>952.0</v>
      </c>
      <c r="C954" s="2031">
        <v>115.0</v>
      </c>
      <c r="D954" s="2031">
        <v>229.0</v>
      </c>
      <c r="E954" s="2031">
        <v>152.0</v>
      </c>
      <c r="F954" s="2031">
        <v>152.0</v>
      </c>
      <c r="G954" s="2031">
        <v>152.0</v>
      </c>
      <c r="H954" s="2031">
        <v>152.0</v>
      </c>
    </row>
    <row r="955">
      <c r="B955" s="2031">
        <v>953.0</v>
      </c>
      <c r="C955" s="2031">
        <v>114.0</v>
      </c>
      <c r="D955" s="2031">
        <v>229.0</v>
      </c>
      <c r="E955" s="2031">
        <v>152.0</v>
      </c>
      <c r="F955" s="2031">
        <v>152.0</v>
      </c>
      <c r="G955" s="2031">
        <v>153.0</v>
      </c>
      <c r="H955" s="2031">
        <v>153.0</v>
      </c>
    </row>
    <row r="956">
      <c r="B956" s="2031">
        <v>954.0</v>
      </c>
      <c r="C956" s="2031">
        <v>115.0</v>
      </c>
      <c r="D956" s="2031">
        <v>229.0</v>
      </c>
      <c r="E956" s="2031">
        <v>152.0</v>
      </c>
      <c r="F956" s="2031">
        <v>152.0</v>
      </c>
      <c r="G956" s="2031">
        <v>153.0</v>
      </c>
      <c r="H956" s="2031">
        <v>153.0</v>
      </c>
    </row>
    <row r="957">
      <c r="B957" s="2031">
        <v>955.0</v>
      </c>
      <c r="C957" s="2031">
        <v>114.0</v>
      </c>
      <c r="D957" s="2031">
        <v>229.0</v>
      </c>
      <c r="E957" s="2031">
        <v>153.0</v>
      </c>
      <c r="F957" s="2031">
        <v>153.0</v>
      </c>
      <c r="G957" s="2031">
        <v>153.0</v>
      </c>
      <c r="H957" s="2031">
        <v>153.0</v>
      </c>
    </row>
    <row r="958">
      <c r="B958" s="2031">
        <v>956.0</v>
      </c>
      <c r="C958" s="2031">
        <v>115.0</v>
      </c>
      <c r="D958" s="2031">
        <v>229.0</v>
      </c>
      <c r="E958" s="2031">
        <v>153.0</v>
      </c>
      <c r="F958" s="2031">
        <v>153.0</v>
      </c>
      <c r="G958" s="2031">
        <v>153.0</v>
      </c>
      <c r="H958" s="2031">
        <v>153.0</v>
      </c>
    </row>
    <row r="959">
      <c r="B959" s="2031">
        <v>957.0</v>
      </c>
      <c r="C959" s="2031">
        <v>115.0</v>
      </c>
      <c r="D959" s="2031">
        <v>230.0</v>
      </c>
      <c r="E959" s="2031">
        <v>153.0</v>
      </c>
      <c r="F959" s="2031">
        <v>153.0</v>
      </c>
      <c r="G959" s="2031">
        <v>153.0</v>
      </c>
      <c r="H959" s="2031">
        <v>153.0</v>
      </c>
    </row>
    <row r="960">
      <c r="B960" s="2031">
        <v>958.0</v>
      </c>
      <c r="C960" s="2031">
        <v>115.0</v>
      </c>
      <c r="D960" s="2031">
        <v>229.0</v>
      </c>
      <c r="E960" s="2031">
        <v>153.0</v>
      </c>
      <c r="F960" s="2031">
        <v>153.0</v>
      </c>
      <c r="G960" s="2031">
        <v>154.0</v>
      </c>
      <c r="H960" s="2031">
        <v>154.0</v>
      </c>
    </row>
    <row r="961">
      <c r="B961" s="2031">
        <v>959.0</v>
      </c>
      <c r="C961" s="2031">
        <v>115.0</v>
      </c>
      <c r="D961" s="2031">
        <v>230.0</v>
      </c>
      <c r="E961" s="2031">
        <v>153.0</v>
      </c>
      <c r="F961" s="2031">
        <v>153.0</v>
      </c>
      <c r="G961" s="2031">
        <v>154.0</v>
      </c>
      <c r="H961" s="2031">
        <v>154.0</v>
      </c>
    </row>
    <row r="962">
      <c r="B962" s="2031">
        <v>960.0</v>
      </c>
      <c r="C962" s="2031">
        <v>115.0</v>
      </c>
      <c r="D962" s="2031">
        <v>231.0</v>
      </c>
      <c r="E962" s="2031">
        <v>153.0</v>
      </c>
      <c r="F962" s="2031">
        <v>153.0</v>
      </c>
      <c r="G962" s="2031">
        <v>154.0</v>
      </c>
      <c r="H962" s="2031">
        <v>154.0</v>
      </c>
    </row>
    <row r="963">
      <c r="B963" s="2031">
        <v>961.0</v>
      </c>
      <c r="C963" s="2031">
        <v>115.0</v>
      </c>
      <c r="D963" s="2031">
        <v>230.0</v>
      </c>
      <c r="E963" s="2031">
        <v>154.0</v>
      </c>
      <c r="F963" s="2031">
        <v>154.0</v>
      </c>
      <c r="G963" s="2031">
        <v>154.0</v>
      </c>
      <c r="H963" s="2031">
        <v>154.0</v>
      </c>
    </row>
    <row r="964">
      <c r="B964" s="2031">
        <v>962.0</v>
      </c>
      <c r="C964" s="2031">
        <v>115.0</v>
      </c>
      <c r="D964" s="2031">
        <v>231.0</v>
      </c>
      <c r="E964" s="2031">
        <v>154.0</v>
      </c>
      <c r="F964" s="2031">
        <v>154.0</v>
      </c>
      <c r="G964" s="2031">
        <v>154.0</v>
      </c>
      <c r="H964" s="2031">
        <v>154.0</v>
      </c>
    </row>
    <row r="965">
      <c r="B965" s="2031">
        <v>963.0</v>
      </c>
      <c r="C965" s="2031">
        <v>116.0</v>
      </c>
      <c r="D965" s="2031">
        <v>231.0</v>
      </c>
      <c r="E965" s="2031">
        <v>154.0</v>
      </c>
      <c r="F965" s="2031">
        <v>154.0</v>
      </c>
      <c r="G965" s="2031">
        <v>154.0</v>
      </c>
      <c r="H965" s="2031">
        <v>154.0</v>
      </c>
    </row>
    <row r="966">
      <c r="B966" s="2031">
        <v>964.0</v>
      </c>
      <c r="C966" s="2031">
        <v>116.0</v>
      </c>
      <c r="D966" s="2031">
        <v>232.0</v>
      </c>
      <c r="E966" s="2031">
        <v>154.0</v>
      </c>
      <c r="F966" s="2031">
        <v>154.0</v>
      </c>
      <c r="G966" s="2031">
        <v>154.0</v>
      </c>
      <c r="H966" s="2031">
        <v>154.0</v>
      </c>
    </row>
    <row r="967">
      <c r="B967" s="2031">
        <v>965.0</v>
      </c>
      <c r="C967" s="2031">
        <v>116.0</v>
      </c>
      <c r="D967" s="2031">
        <v>231.0</v>
      </c>
      <c r="E967" s="2031">
        <v>154.0</v>
      </c>
      <c r="F967" s="2031">
        <v>154.0</v>
      </c>
      <c r="G967" s="2031">
        <v>155.0</v>
      </c>
      <c r="H967" s="2031">
        <v>155.0</v>
      </c>
    </row>
    <row r="968">
      <c r="B968" s="2031">
        <v>966.0</v>
      </c>
      <c r="C968" s="2031">
        <v>116.0</v>
      </c>
      <c r="D968" s="2031">
        <v>232.0</v>
      </c>
      <c r="E968" s="2031">
        <v>154.0</v>
      </c>
      <c r="F968" s="2031">
        <v>154.0</v>
      </c>
      <c r="G968" s="2031">
        <v>155.0</v>
      </c>
      <c r="H968" s="2031">
        <v>155.0</v>
      </c>
    </row>
    <row r="969">
      <c r="B969" s="2031">
        <v>967.0</v>
      </c>
      <c r="C969" s="2031">
        <v>116.0</v>
      </c>
      <c r="D969" s="2031">
        <v>233.0</v>
      </c>
      <c r="E969" s="2031">
        <v>154.0</v>
      </c>
      <c r="F969" s="2031">
        <v>154.0</v>
      </c>
      <c r="G969" s="2031">
        <v>155.0</v>
      </c>
      <c r="H969" s="2031">
        <v>155.0</v>
      </c>
    </row>
    <row r="970">
      <c r="B970" s="2031">
        <v>968.0</v>
      </c>
      <c r="C970" s="2031">
        <v>116.0</v>
      </c>
      <c r="D970" s="2031">
        <v>232.0</v>
      </c>
      <c r="E970" s="2031">
        <v>155.0</v>
      </c>
      <c r="F970" s="2031">
        <v>155.0</v>
      </c>
      <c r="G970" s="2031">
        <v>155.0</v>
      </c>
      <c r="H970" s="2031">
        <v>155.0</v>
      </c>
    </row>
    <row r="971">
      <c r="B971" s="2031">
        <v>969.0</v>
      </c>
      <c r="C971" s="2031">
        <v>116.0</v>
      </c>
      <c r="D971" s="2031">
        <v>233.0</v>
      </c>
      <c r="E971" s="2031">
        <v>155.0</v>
      </c>
      <c r="F971" s="2031">
        <v>155.0</v>
      </c>
      <c r="G971" s="2031">
        <v>155.0</v>
      </c>
      <c r="H971" s="2031">
        <v>155.0</v>
      </c>
    </row>
    <row r="972">
      <c r="B972" s="2031">
        <v>970.0</v>
      </c>
      <c r="C972" s="2031">
        <v>117.0</v>
      </c>
      <c r="D972" s="2031">
        <v>233.0</v>
      </c>
      <c r="E972" s="2031">
        <v>155.0</v>
      </c>
      <c r="F972" s="2031">
        <v>155.0</v>
      </c>
      <c r="G972" s="2031">
        <v>155.0</v>
      </c>
      <c r="H972" s="2031">
        <v>155.0</v>
      </c>
    </row>
    <row r="973">
      <c r="B973" s="2031">
        <v>971.0</v>
      </c>
      <c r="C973" s="2031">
        <v>116.0</v>
      </c>
      <c r="D973" s="2031">
        <v>233.0</v>
      </c>
      <c r="E973" s="2031">
        <v>155.0</v>
      </c>
      <c r="F973" s="2031">
        <v>155.0</v>
      </c>
      <c r="G973" s="2031">
        <v>156.0</v>
      </c>
      <c r="H973" s="2031">
        <v>156.0</v>
      </c>
    </row>
    <row r="974">
      <c r="B974" s="2031">
        <v>972.0</v>
      </c>
      <c r="C974" s="2031">
        <v>117.0</v>
      </c>
      <c r="D974" s="2031">
        <v>233.0</v>
      </c>
      <c r="E974" s="2031">
        <v>155.0</v>
      </c>
      <c r="F974" s="2031">
        <v>155.0</v>
      </c>
      <c r="G974" s="2031">
        <v>156.0</v>
      </c>
      <c r="H974" s="2031">
        <v>156.0</v>
      </c>
    </row>
    <row r="975">
      <c r="B975" s="2031">
        <v>973.0</v>
      </c>
      <c r="C975" s="2031">
        <v>116.0</v>
      </c>
      <c r="D975" s="2031">
        <v>233.0</v>
      </c>
      <c r="E975" s="2031">
        <v>156.0</v>
      </c>
      <c r="F975" s="2031">
        <v>156.0</v>
      </c>
      <c r="G975" s="2031">
        <v>156.0</v>
      </c>
      <c r="H975" s="2031">
        <v>156.0</v>
      </c>
    </row>
    <row r="976">
      <c r="B976" s="2031">
        <v>974.0</v>
      </c>
      <c r="C976" s="2031">
        <v>117.0</v>
      </c>
      <c r="D976" s="2031">
        <v>233.0</v>
      </c>
      <c r="E976" s="2031">
        <v>156.0</v>
      </c>
      <c r="F976" s="2031">
        <v>156.0</v>
      </c>
      <c r="G976" s="2031">
        <v>156.0</v>
      </c>
      <c r="H976" s="2031">
        <v>156.0</v>
      </c>
    </row>
    <row r="977">
      <c r="B977" s="2031">
        <v>975.0</v>
      </c>
      <c r="C977" s="2031">
        <v>117.0</v>
      </c>
      <c r="D977" s="2031">
        <v>234.0</v>
      </c>
      <c r="E977" s="2031">
        <v>156.0</v>
      </c>
      <c r="F977" s="2031">
        <v>156.0</v>
      </c>
      <c r="G977" s="2031">
        <v>156.0</v>
      </c>
      <c r="H977" s="2031">
        <v>156.0</v>
      </c>
    </row>
    <row r="978">
      <c r="B978" s="2031">
        <v>976.0</v>
      </c>
      <c r="C978" s="2031">
        <v>117.0</v>
      </c>
      <c r="D978" s="2031">
        <v>235.0</v>
      </c>
      <c r="E978" s="2031">
        <v>156.0</v>
      </c>
      <c r="F978" s="2031">
        <v>156.0</v>
      </c>
      <c r="G978" s="2031">
        <v>156.0</v>
      </c>
      <c r="H978" s="2031">
        <v>156.0</v>
      </c>
    </row>
    <row r="979">
      <c r="B979" s="2031">
        <v>977.0</v>
      </c>
      <c r="C979" s="2031">
        <v>118.0</v>
      </c>
      <c r="D979" s="2031">
        <v>235.0</v>
      </c>
      <c r="E979" s="2031">
        <v>156.0</v>
      </c>
      <c r="F979" s="2031">
        <v>156.0</v>
      </c>
      <c r="G979" s="2031">
        <v>156.0</v>
      </c>
      <c r="H979" s="2031">
        <v>156.0</v>
      </c>
    </row>
    <row r="980">
      <c r="B980" s="2031">
        <v>978.0</v>
      </c>
      <c r="C980" s="2031">
        <v>117.0</v>
      </c>
      <c r="D980" s="2031">
        <v>235.0</v>
      </c>
      <c r="E980" s="2031">
        <v>156.0</v>
      </c>
      <c r="F980" s="2031">
        <v>156.0</v>
      </c>
      <c r="G980" s="2031">
        <v>157.0</v>
      </c>
      <c r="H980" s="2031">
        <v>157.0</v>
      </c>
    </row>
    <row r="981">
      <c r="B981" s="2031">
        <v>979.0</v>
      </c>
      <c r="C981" s="2031">
        <v>118.0</v>
      </c>
      <c r="D981" s="2031">
        <v>235.0</v>
      </c>
      <c r="E981" s="2031">
        <v>156.0</v>
      </c>
      <c r="F981" s="2031">
        <v>156.0</v>
      </c>
      <c r="G981" s="2031">
        <v>157.0</v>
      </c>
      <c r="H981" s="2031">
        <v>157.0</v>
      </c>
    </row>
    <row r="982">
      <c r="B982" s="2031">
        <v>980.0</v>
      </c>
      <c r="C982" s="2031">
        <v>117.0</v>
      </c>
      <c r="D982" s="2031">
        <v>235.0</v>
      </c>
      <c r="E982" s="2031">
        <v>157.0</v>
      </c>
      <c r="F982" s="2031">
        <v>157.0</v>
      </c>
      <c r="G982" s="2031">
        <v>157.0</v>
      </c>
      <c r="H982" s="2031">
        <v>157.0</v>
      </c>
    </row>
    <row r="983">
      <c r="B983" s="2031">
        <v>981.0</v>
      </c>
      <c r="C983" s="2031">
        <v>118.0</v>
      </c>
      <c r="D983" s="2031">
        <v>235.0</v>
      </c>
      <c r="E983" s="2031">
        <v>157.0</v>
      </c>
      <c r="F983" s="2031">
        <v>157.0</v>
      </c>
      <c r="G983" s="2031">
        <v>157.0</v>
      </c>
      <c r="H983" s="2031">
        <v>157.0</v>
      </c>
    </row>
    <row r="984">
      <c r="B984" s="2031">
        <v>982.0</v>
      </c>
      <c r="C984" s="2031">
        <v>118.0</v>
      </c>
      <c r="D984" s="2031">
        <v>236.0</v>
      </c>
      <c r="E984" s="2031">
        <v>157.0</v>
      </c>
      <c r="F984" s="2031">
        <v>157.0</v>
      </c>
      <c r="G984" s="2031">
        <v>157.0</v>
      </c>
      <c r="H984" s="2031">
        <v>157.0</v>
      </c>
    </row>
    <row r="985">
      <c r="B985" s="2031">
        <v>983.0</v>
      </c>
      <c r="C985" s="2031">
        <v>118.0</v>
      </c>
      <c r="D985" s="2031">
        <v>235.0</v>
      </c>
      <c r="E985" s="2031">
        <v>157.0</v>
      </c>
      <c r="F985" s="2031">
        <v>157.0</v>
      </c>
      <c r="G985" s="2031">
        <v>158.0</v>
      </c>
      <c r="H985" s="2031">
        <v>158.0</v>
      </c>
    </row>
    <row r="986">
      <c r="B986" s="2031">
        <v>984.0</v>
      </c>
      <c r="C986" s="2031">
        <v>118.0</v>
      </c>
      <c r="D986" s="2031">
        <v>236.0</v>
      </c>
      <c r="E986" s="2031">
        <v>157.0</v>
      </c>
      <c r="F986" s="2031">
        <v>157.0</v>
      </c>
      <c r="G986" s="2031">
        <v>158.0</v>
      </c>
      <c r="H986" s="2031">
        <v>158.0</v>
      </c>
    </row>
    <row r="987">
      <c r="B987" s="2031">
        <v>985.0</v>
      </c>
      <c r="C987" s="2031">
        <v>118.0</v>
      </c>
      <c r="D987" s="2031">
        <v>237.0</v>
      </c>
      <c r="E987" s="2031">
        <v>157.0</v>
      </c>
      <c r="F987" s="2031">
        <v>157.0</v>
      </c>
      <c r="G987" s="2031">
        <v>158.0</v>
      </c>
      <c r="H987" s="2031">
        <v>158.0</v>
      </c>
    </row>
    <row r="988">
      <c r="B988" s="2031">
        <v>986.0</v>
      </c>
      <c r="C988" s="2031">
        <v>118.0</v>
      </c>
      <c r="D988" s="2031">
        <v>236.0</v>
      </c>
      <c r="E988" s="2031">
        <v>158.0</v>
      </c>
      <c r="F988" s="2031">
        <v>158.0</v>
      </c>
      <c r="G988" s="2031">
        <v>158.0</v>
      </c>
      <c r="H988" s="2031">
        <v>158.0</v>
      </c>
    </row>
    <row r="989">
      <c r="B989" s="2031">
        <v>987.0</v>
      </c>
      <c r="C989" s="2031">
        <v>118.0</v>
      </c>
      <c r="D989" s="2031">
        <v>237.0</v>
      </c>
      <c r="E989" s="2031">
        <v>158.0</v>
      </c>
      <c r="F989" s="2031">
        <v>158.0</v>
      </c>
      <c r="G989" s="2031">
        <v>158.0</v>
      </c>
      <c r="H989" s="2031">
        <v>158.0</v>
      </c>
    </row>
    <row r="990">
      <c r="B990" s="2031">
        <v>988.0</v>
      </c>
      <c r="C990" s="2031">
        <v>119.0</v>
      </c>
      <c r="D990" s="2031">
        <v>237.0</v>
      </c>
      <c r="E990" s="2031">
        <v>158.0</v>
      </c>
      <c r="F990" s="2031">
        <v>158.0</v>
      </c>
      <c r="G990" s="2031">
        <v>158.0</v>
      </c>
      <c r="H990" s="2031">
        <v>158.0</v>
      </c>
    </row>
    <row r="991">
      <c r="B991" s="2031">
        <v>989.0</v>
      </c>
      <c r="C991" s="2031">
        <v>119.0</v>
      </c>
      <c r="D991" s="2031">
        <v>238.0</v>
      </c>
      <c r="E991" s="2031">
        <v>158.0</v>
      </c>
      <c r="F991" s="2031">
        <v>158.0</v>
      </c>
      <c r="G991" s="2031">
        <v>158.0</v>
      </c>
      <c r="H991" s="2031">
        <v>158.0</v>
      </c>
    </row>
    <row r="992">
      <c r="B992" s="2031">
        <v>990.0</v>
      </c>
      <c r="C992" s="2031">
        <v>119.0</v>
      </c>
      <c r="D992" s="2031">
        <v>237.0</v>
      </c>
      <c r="E992" s="2031">
        <v>158.0</v>
      </c>
      <c r="F992" s="2031">
        <v>158.0</v>
      </c>
      <c r="G992" s="2031">
        <v>159.0</v>
      </c>
      <c r="H992" s="2031">
        <v>159.0</v>
      </c>
    </row>
    <row r="993">
      <c r="B993" s="2031">
        <v>991.0</v>
      </c>
      <c r="C993" s="2031">
        <v>119.0</v>
      </c>
      <c r="D993" s="2031">
        <v>238.0</v>
      </c>
      <c r="E993" s="2031">
        <v>158.0</v>
      </c>
      <c r="F993" s="2031">
        <v>158.0</v>
      </c>
      <c r="G993" s="2031">
        <v>159.0</v>
      </c>
      <c r="H993" s="2031">
        <v>159.0</v>
      </c>
    </row>
    <row r="994">
      <c r="B994" s="2031">
        <v>992.0</v>
      </c>
      <c r="C994" s="2031">
        <v>119.0</v>
      </c>
      <c r="D994" s="2031">
        <v>239.0</v>
      </c>
      <c r="E994" s="2031">
        <v>158.0</v>
      </c>
      <c r="F994" s="2031">
        <v>158.0</v>
      </c>
      <c r="G994" s="2031">
        <v>159.0</v>
      </c>
      <c r="H994" s="2031">
        <v>159.0</v>
      </c>
    </row>
    <row r="995">
      <c r="B995" s="2031">
        <v>993.0</v>
      </c>
      <c r="C995" s="2031">
        <v>119.0</v>
      </c>
      <c r="D995" s="2031">
        <v>238.0</v>
      </c>
      <c r="E995" s="2031">
        <v>159.0</v>
      </c>
      <c r="F995" s="2031">
        <v>159.0</v>
      </c>
      <c r="G995" s="2031">
        <v>159.0</v>
      </c>
      <c r="H995" s="2031">
        <v>159.0</v>
      </c>
    </row>
    <row r="996">
      <c r="B996" s="2031">
        <v>994.0</v>
      </c>
      <c r="C996" s="2031">
        <v>119.0</v>
      </c>
      <c r="D996" s="2031">
        <v>239.0</v>
      </c>
      <c r="E996" s="2031">
        <v>159.0</v>
      </c>
      <c r="F996" s="2031">
        <v>159.0</v>
      </c>
      <c r="G996" s="2031">
        <v>159.0</v>
      </c>
      <c r="H996" s="2031">
        <v>159.0</v>
      </c>
    </row>
    <row r="997">
      <c r="B997" s="2031">
        <v>995.0</v>
      </c>
      <c r="C997" s="2031">
        <v>120.0</v>
      </c>
      <c r="D997" s="2031">
        <v>239.0</v>
      </c>
      <c r="E997" s="2031">
        <v>159.0</v>
      </c>
      <c r="F997" s="2031">
        <v>159.0</v>
      </c>
      <c r="G997" s="2031">
        <v>159.0</v>
      </c>
      <c r="H997" s="2031">
        <v>159.0</v>
      </c>
    </row>
    <row r="998">
      <c r="B998" s="2031">
        <v>996.0</v>
      </c>
      <c r="C998" s="2031">
        <v>119.0</v>
      </c>
      <c r="D998" s="2031">
        <v>239.0</v>
      </c>
      <c r="E998" s="2031">
        <v>159.0</v>
      </c>
      <c r="F998" s="2031">
        <v>159.0</v>
      </c>
      <c r="G998" s="2031">
        <v>160.0</v>
      </c>
      <c r="H998" s="2031">
        <v>160.0</v>
      </c>
    </row>
    <row r="999">
      <c r="B999" s="2031">
        <v>997.0</v>
      </c>
      <c r="C999" s="2031">
        <v>120.0</v>
      </c>
      <c r="D999" s="2031">
        <v>239.0</v>
      </c>
      <c r="E999" s="2031">
        <v>159.0</v>
      </c>
      <c r="F999" s="2031">
        <v>159.0</v>
      </c>
      <c r="G999" s="2031">
        <v>160.0</v>
      </c>
      <c r="H999" s="2031">
        <v>160.0</v>
      </c>
    </row>
    <row r="1000">
      <c r="B1000" s="2031">
        <v>998.0</v>
      </c>
      <c r="C1000" s="2031">
        <v>119.0</v>
      </c>
      <c r="D1000" s="2031">
        <v>239.0</v>
      </c>
      <c r="E1000" s="2031">
        <v>160.0</v>
      </c>
      <c r="F1000" s="2031">
        <v>160.0</v>
      </c>
      <c r="G1000" s="2031">
        <v>160.0</v>
      </c>
      <c r="H1000" s="2031">
        <v>160.0</v>
      </c>
    </row>
    <row r="1001">
      <c r="B1001" s="2031">
        <v>999.0</v>
      </c>
      <c r="C1001" s="2031">
        <v>120.0</v>
      </c>
      <c r="D1001" s="2031">
        <v>239.0</v>
      </c>
      <c r="E1001" s="2031">
        <v>160.0</v>
      </c>
      <c r="F1001" s="2031">
        <v>160.0</v>
      </c>
      <c r="G1001" s="2031">
        <v>160.0</v>
      </c>
      <c r="H1001" s="2031">
        <v>160.0</v>
      </c>
    </row>
    <row r="1002">
      <c r="B1002" s="2031">
        <v>1000.0</v>
      </c>
      <c r="C1002" s="2031">
        <v>120.0</v>
      </c>
      <c r="D1002" s="2031">
        <v>240.0</v>
      </c>
      <c r="E1002" s="2031">
        <v>160.0</v>
      </c>
      <c r="F1002" s="2031">
        <v>160.0</v>
      </c>
      <c r="G1002" s="2031">
        <v>160.0</v>
      </c>
      <c r="H1002" s="2031">
        <v>160.0</v>
      </c>
    </row>
    <row r="1003">
      <c r="B1003" s="2031">
        <v>1001.0</v>
      </c>
      <c r="C1003" s="2031">
        <v>120.0</v>
      </c>
      <c r="D1003" s="2031">
        <v>241.0</v>
      </c>
      <c r="E1003" s="2031">
        <v>160.0</v>
      </c>
      <c r="F1003" s="2031">
        <v>160.0</v>
      </c>
      <c r="G1003" s="2031">
        <v>160.0</v>
      </c>
      <c r="H1003" s="2031">
        <v>160.0</v>
      </c>
    </row>
    <row r="1004">
      <c r="B1004" s="2031">
        <v>1002.0</v>
      </c>
      <c r="C1004" s="2031">
        <v>121.0</v>
      </c>
      <c r="D1004" s="2031">
        <v>241.0</v>
      </c>
      <c r="E1004" s="2031">
        <v>160.0</v>
      </c>
      <c r="F1004" s="2031">
        <v>160.0</v>
      </c>
      <c r="G1004" s="2031">
        <v>160.0</v>
      </c>
      <c r="H1004" s="2031">
        <v>160.0</v>
      </c>
    </row>
    <row r="1005">
      <c r="B1005" s="2031">
        <v>1003.0</v>
      </c>
      <c r="C1005" s="2031">
        <v>120.0</v>
      </c>
      <c r="D1005" s="2031">
        <v>241.0</v>
      </c>
      <c r="E1005" s="2031">
        <v>160.0</v>
      </c>
      <c r="F1005" s="2031">
        <v>160.0</v>
      </c>
      <c r="G1005" s="2031">
        <v>161.0</v>
      </c>
      <c r="H1005" s="2031">
        <v>161.0</v>
      </c>
    </row>
    <row r="1006">
      <c r="B1006" s="2031">
        <v>1004.0</v>
      </c>
      <c r="C1006" s="2031">
        <v>121.0</v>
      </c>
      <c r="D1006" s="2031">
        <v>241.0</v>
      </c>
      <c r="E1006" s="2031">
        <v>160.0</v>
      </c>
      <c r="F1006" s="2031">
        <v>160.0</v>
      </c>
      <c r="G1006" s="2031">
        <v>161.0</v>
      </c>
      <c r="H1006" s="2031">
        <v>161.0</v>
      </c>
    </row>
    <row r="1007">
      <c r="B1007" s="2031">
        <v>1005.0</v>
      </c>
      <c r="C1007" s="2031">
        <v>120.0</v>
      </c>
      <c r="D1007" s="2031">
        <v>241.0</v>
      </c>
      <c r="E1007" s="2031">
        <v>161.0</v>
      </c>
      <c r="F1007" s="2031">
        <v>161.0</v>
      </c>
      <c r="G1007" s="2031">
        <v>161.0</v>
      </c>
      <c r="H1007" s="2031">
        <v>161.0</v>
      </c>
    </row>
    <row r="1008">
      <c r="B1008" s="2031">
        <v>1006.0</v>
      </c>
      <c r="C1008" s="2031">
        <v>121.0</v>
      </c>
      <c r="D1008" s="2031">
        <v>241.0</v>
      </c>
      <c r="E1008" s="2031">
        <v>161.0</v>
      </c>
      <c r="F1008" s="2031">
        <v>161.0</v>
      </c>
      <c r="G1008" s="2031">
        <v>161.0</v>
      </c>
      <c r="H1008" s="2031">
        <v>161.0</v>
      </c>
    </row>
    <row r="1009">
      <c r="B1009" s="2031">
        <v>1007.0</v>
      </c>
      <c r="C1009" s="2031">
        <v>121.0</v>
      </c>
      <c r="D1009" s="2031">
        <v>242.0</v>
      </c>
      <c r="E1009" s="2031">
        <v>161.0</v>
      </c>
      <c r="F1009" s="2031">
        <v>161.0</v>
      </c>
      <c r="G1009" s="2031">
        <v>161.0</v>
      </c>
      <c r="H1009" s="2031">
        <v>161.0</v>
      </c>
    </row>
    <row r="1010">
      <c r="B1010" s="2031">
        <v>1008.0</v>
      </c>
      <c r="C1010" s="2031">
        <v>121.0</v>
      </c>
      <c r="D1010" s="2031">
        <v>241.0</v>
      </c>
      <c r="E1010" s="2031">
        <v>161.0</v>
      </c>
      <c r="F1010" s="2031">
        <v>161.0</v>
      </c>
      <c r="G1010" s="2031">
        <v>162.0</v>
      </c>
      <c r="H1010" s="2031">
        <v>162.0</v>
      </c>
    </row>
    <row r="1011">
      <c r="B1011" s="2031">
        <v>1009.0</v>
      </c>
      <c r="C1011" s="2031">
        <v>121.0</v>
      </c>
      <c r="D1011" s="2031">
        <v>242.0</v>
      </c>
      <c r="E1011" s="2031">
        <v>161.0</v>
      </c>
      <c r="F1011" s="2031">
        <v>161.0</v>
      </c>
      <c r="G1011" s="2031">
        <v>162.0</v>
      </c>
      <c r="H1011" s="2031">
        <v>162.0</v>
      </c>
    </row>
    <row r="1012">
      <c r="B1012" s="2031">
        <v>1010.0</v>
      </c>
      <c r="C1012" s="2031">
        <v>121.0</v>
      </c>
      <c r="D1012" s="2031">
        <v>243.0</v>
      </c>
      <c r="E1012" s="2031">
        <v>161.0</v>
      </c>
      <c r="F1012" s="2031">
        <v>161.0</v>
      </c>
      <c r="G1012" s="2031">
        <v>162.0</v>
      </c>
      <c r="H1012" s="2031">
        <v>162.0</v>
      </c>
    </row>
    <row r="1013">
      <c r="B1013" s="2031">
        <v>1011.0</v>
      </c>
      <c r="C1013" s="2031">
        <v>121.0</v>
      </c>
      <c r="D1013" s="2031">
        <v>242.0</v>
      </c>
      <c r="E1013" s="2031">
        <v>162.0</v>
      </c>
      <c r="F1013" s="2031">
        <v>162.0</v>
      </c>
      <c r="G1013" s="2031">
        <v>162.0</v>
      </c>
      <c r="H1013" s="2031">
        <v>162.0</v>
      </c>
    </row>
    <row r="1014">
      <c r="B1014" s="2031">
        <v>1012.0</v>
      </c>
      <c r="C1014" s="2031">
        <v>121.0</v>
      </c>
      <c r="D1014" s="2031">
        <v>243.0</v>
      </c>
      <c r="E1014" s="2031">
        <v>162.0</v>
      </c>
      <c r="F1014" s="2031">
        <v>162.0</v>
      </c>
      <c r="G1014" s="2031">
        <v>162.0</v>
      </c>
      <c r="H1014" s="2031">
        <v>162.0</v>
      </c>
    </row>
    <row r="1015">
      <c r="B1015" s="2031">
        <v>1013.0</v>
      </c>
      <c r="C1015" s="2031">
        <v>122.0</v>
      </c>
      <c r="D1015" s="2031">
        <v>243.0</v>
      </c>
      <c r="E1015" s="2031">
        <v>162.0</v>
      </c>
      <c r="F1015" s="2031">
        <v>162.0</v>
      </c>
      <c r="G1015" s="2031">
        <v>162.0</v>
      </c>
      <c r="H1015" s="2031">
        <v>162.0</v>
      </c>
    </row>
    <row r="1016">
      <c r="B1016" s="2031">
        <v>1014.0</v>
      </c>
      <c r="C1016" s="2031">
        <v>122.0</v>
      </c>
      <c r="D1016" s="2031">
        <v>244.0</v>
      </c>
      <c r="E1016" s="2031">
        <v>162.0</v>
      </c>
      <c r="F1016" s="2031">
        <v>162.0</v>
      </c>
      <c r="G1016" s="2031">
        <v>162.0</v>
      </c>
      <c r="H1016" s="2031">
        <v>162.0</v>
      </c>
    </row>
    <row r="1017">
      <c r="B1017" s="2031">
        <v>1015.0</v>
      </c>
      <c r="C1017" s="2031">
        <v>122.0</v>
      </c>
      <c r="D1017" s="2031">
        <v>243.0</v>
      </c>
      <c r="E1017" s="2031">
        <v>162.0</v>
      </c>
      <c r="F1017" s="2031">
        <v>162.0</v>
      </c>
      <c r="G1017" s="2031">
        <v>163.0</v>
      </c>
      <c r="H1017" s="2031">
        <v>163.0</v>
      </c>
    </row>
    <row r="1018">
      <c r="B1018" s="2031">
        <v>1016.0</v>
      </c>
      <c r="C1018" s="2031">
        <v>122.0</v>
      </c>
      <c r="D1018" s="2031">
        <v>244.0</v>
      </c>
      <c r="E1018" s="2031">
        <v>162.0</v>
      </c>
      <c r="F1018" s="2031">
        <v>162.0</v>
      </c>
      <c r="G1018" s="2031">
        <v>163.0</v>
      </c>
      <c r="H1018" s="2031">
        <v>163.0</v>
      </c>
    </row>
    <row r="1019">
      <c r="B1019" s="2031">
        <v>1017.0</v>
      </c>
      <c r="C1019" s="2031">
        <v>122.0</v>
      </c>
      <c r="D1019" s="2031">
        <v>245.0</v>
      </c>
      <c r="E1019" s="2031">
        <v>162.0</v>
      </c>
      <c r="F1019" s="2031">
        <v>162.0</v>
      </c>
      <c r="G1019" s="2031">
        <v>163.0</v>
      </c>
      <c r="H1019" s="2031">
        <v>163.0</v>
      </c>
    </row>
    <row r="1020">
      <c r="B1020" s="2031">
        <v>1018.0</v>
      </c>
      <c r="C1020" s="2031">
        <v>122.0</v>
      </c>
      <c r="D1020" s="2031">
        <v>244.0</v>
      </c>
      <c r="E1020" s="2031">
        <v>163.0</v>
      </c>
      <c r="F1020" s="2031">
        <v>163.0</v>
      </c>
      <c r="G1020" s="2031">
        <v>163.0</v>
      </c>
      <c r="H1020" s="2031">
        <v>163.0</v>
      </c>
    </row>
    <row r="1021">
      <c r="B1021" s="2031">
        <v>1019.0</v>
      </c>
      <c r="C1021" s="2031">
        <v>122.0</v>
      </c>
      <c r="D1021" s="2031">
        <v>245.0</v>
      </c>
      <c r="E1021" s="2031">
        <v>163.0</v>
      </c>
      <c r="F1021" s="2031">
        <v>163.0</v>
      </c>
      <c r="G1021" s="2031">
        <v>163.0</v>
      </c>
      <c r="H1021" s="2031">
        <v>163.0</v>
      </c>
    </row>
    <row r="1022">
      <c r="B1022" s="2031">
        <v>1020.0</v>
      </c>
      <c r="C1022" s="2031">
        <v>123.0</v>
      </c>
      <c r="D1022" s="2031">
        <v>245.0</v>
      </c>
      <c r="E1022" s="2031">
        <v>163.0</v>
      </c>
      <c r="F1022" s="2031">
        <v>163.0</v>
      </c>
      <c r="G1022" s="2031">
        <v>163.0</v>
      </c>
      <c r="H1022" s="2031">
        <v>163.0</v>
      </c>
    </row>
    <row r="1023">
      <c r="B1023" s="2031">
        <v>1021.0</v>
      </c>
      <c r="C1023" s="2031">
        <v>122.0</v>
      </c>
      <c r="D1023" s="2031">
        <v>245.0</v>
      </c>
      <c r="E1023" s="2031">
        <v>163.0</v>
      </c>
      <c r="F1023" s="2031">
        <v>163.0</v>
      </c>
      <c r="G1023" s="2031">
        <v>164.0</v>
      </c>
      <c r="H1023" s="2031">
        <v>164.0</v>
      </c>
    </row>
    <row r="1024">
      <c r="B1024" s="2031">
        <v>1022.0</v>
      </c>
      <c r="C1024" s="2031">
        <v>123.0</v>
      </c>
      <c r="D1024" s="2031">
        <v>245.0</v>
      </c>
      <c r="E1024" s="2031">
        <v>163.0</v>
      </c>
      <c r="F1024" s="2031">
        <v>163.0</v>
      </c>
      <c r="G1024" s="2031">
        <v>164.0</v>
      </c>
      <c r="H1024" s="2031">
        <v>164.0</v>
      </c>
    </row>
    <row r="1025">
      <c r="B1025" s="2031">
        <v>1023.0</v>
      </c>
      <c r="C1025" s="2031">
        <v>122.0</v>
      </c>
      <c r="D1025" s="2031">
        <v>245.0</v>
      </c>
      <c r="E1025" s="2031">
        <v>164.0</v>
      </c>
      <c r="F1025" s="2031">
        <v>164.0</v>
      </c>
      <c r="G1025" s="2031">
        <v>164.0</v>
      </c>
      <c r="H1025" s="2031">
        <v>164.0</v>
      </c>
    </row>
    <row r="1026">
      <c r="B1026" s="2031">
        <v>1024.0</v>
      </c>
      <c r="C1026" s="2031">
        <v>123.0</v>
      </c>
      <c r="D1026" s="2031">
        <v>245.0</v>
      </c>
      <c r="E1026" s="2031">
        <v>164.0</v>
      </c>
      <c r="F1026" s="2031">
        <v>164.0</v>
      </c>
      <c r="G1026" s="2031">
        <v>164.0</v>
      </c>
      <c r="H1026" s="2031">
        <v>164.0</v>
      </c>
    </row>
    <row r="1027">
      <c r="B1027" s="2031">
        <v>1025.0</v>
      </c>
      <c r="C1027" s="2031">
        <v>123.0</v>
      </c>
      <c r="D1027" s="2031">
        <v>246.0</v>
      </c>
      <c r="E1027" s="2031">
        <v>164.0</v>
      </c>
      <c r="F1027" s="2031">
        <v>164.0</v>
      </c>
      <c r="G1027" s="2031">
        <v>164.0</v>
      </c>
      <c r="H1027" s="2031">
        <v>164.0</v>
      </c>
    </row>
    <row r="1028">
      <c r="B1028" s="2031">
        <v>1026.0</v>
      </c>
      <c r="C1028" s="2031">
        <v>123.0</v>
      </c>
      <c r="D1028" s="2031">
        <v>247.0</v>
      </c>
      <c r="E1028" s="2031">
        <v>164.0</v>
      </c>
      <c r="F1028" s="2031">
        <v>164.0</v>
      </c>
      <c r="G1028" s="2031">
        <v>164.0</v>
      </c>
      <c r="H1028" s="2031">
        <v>164.0</v>
      </c>
    </row>
    <row r="1029">
      <c r="B1029" s="2031">
        <v>1027.0</v>
      </c>
      <c r="C1029" s="2031">
        <v>124.0</v>
      </c>
      <c r="D1029" s="2031">
        <v>247.0</v>
      </c>
      <c r="E1029" s="2031">
        <v>164.0</v>
      </c>
      <c r="F1029" s="2031">
        <v>164.0</v>
      </c>
      <c r="G1029" s="2031">
        <v>164.0</v>
      </c>
      <c r="H1029" s="2031">
        <v>164.0</v>
      </c>
    </row>
    <row r="1030">
      <c r="B1030" s="2031">
        <v>1028.0</v>
      </c>
      <c r="C1030" s="2031">
        <v>123.0</v>
      </c>
      <c r="D1030" s="2031">
        <v>247.0</v>
      </c>
      <c r="E1030" s="2031">
        <v>164.0</v>
      </c>
      <c r="F1030" s="2031">
        <v>164.0</v>
      </c>
      <c r="G1030" s="2031">
        <v>165.0</v>
      </c>
      <c r="H1030" s="2031">
        <v>165.0</v>
      </c>
    </row>
    <row r="1031">
      <c r="B1031" s="2031">
        <v>1029.0</v>
      </c>
      <c r="C1031" s="2031">
        <v>124.0</v>
      </c>
      <c r="D1031" s="2031">
        <v>247.0</v>
      </c>
      <c r="E1031" s="2031">
        <v>164.0</v>
      </c>
      <c r="F1031" s="2031">
        <v>164.0</v>
      </c>
      <c r="G1031" s="2031">
        <v>165.0</v>
      </c>
      <c r="H1031" s="2031">
        <v>165.0</v>
      </c>
    </row>
    <row r="1032">
      <c r="B1032" s="2031">
        <v>1030.0</v>
      </c>
      <c r="C1032" s="2031">
        <v>123.0</v>
      </c>
      <c r="D1032" s="2031">
        <v>247.0</v>
      </c>
      <c r="E1032" s="2031">
        <v>165.0</v>
      </c>
      <c r="F1032" s="2031">
        <v>165.0</v>
      </c>
      <c r="G1032" s="2031">
        <v>165.0</v>
      </c>
      <c r="H1032" s="2031">
        <v>165.0</v>
      </c>
    </row>
    <row r="1033">
      <c r="B1033" s="2031">
        <v>1031.0</v>
      </c>
      <c r="C1033" s="2031">
        <v>124.0</v>
      </c>
      <c r="D1033" s="2031">
        <v>247.0</v>
      </c>
      <c r="E1033" s="2031">
        <v>165.0</v>
      </c>
      <c r="F1033" s="2031">
        <v>165.0</v>
      </c>
      <c r="G1033" s="2031">
        <v>165.0</v>
      </c>
      <c r="H1033" s="2031">
        <v>165.0</v>
      </c>
    </row>
    <row r="1034">
      <c r="B1034" s="2031">
        <v>1032.0</v>
      </c>
      <c r="C1034" s="2031">
        <v>124.0</v>
      </c>
      <c r="D1034" s="2031">
        <v>248.0</v>
      </c>
      <c r="E1034" s="2031">
        <v>165.0</v>
      </c>
      <c r="F1034" s="2031">
        <v>165.0</v>
      </c>
      <c r="G1034" s="2031">
        <v>165.0</v>
      </c>
      <c r="H1034" s="2031">
        <v>165.0</v>
      </c>
    </row>
    <row r="1035">
      <c r="B1035" s="2031">
        <v>1033.0</v>
      </c>
      <c r="C1035" s="2031">
        <v>124.0</v>
      </c>
      <c r="D1035" s="2031">
        <v>247.0</v>
      </c>
      <c r="E1035" s="2031">
        <v>165.0</v>
      </c>
      <c r="F1035" s="2031">
        <v>165.0</v>
      </c>
      <c r="G1035" s="2031">
        <v>166.0</v>
      </c>
      <c r="H1035" s="2031">
        <v>166.0</v>
      </c>
    </row>
    <row r="1036">
      <c r="B1036" s="2031">
        <v>1034.0</v>
      </c>
      <c r="C1036" s="2031">
        <v>124.0</v>
      </c>
      <c r="D1036" s="2031">
        <v>248.0</v>
      </c>
      <c r="E1036" s="2031">
        <v>165.0</v>
      </c>
      <c r="F1036" s="2031">
        <v>165.0</v>
      </c>
      <c r="G1036" s="2031">
        <v>166.0</v>
      </c>
      <c r="H1036" s="2031">
        <v>166.0</v>
      </c>
    </row>
    <row r="1037">
      <c r="B1037" s="2031">
        <v>1035.0</v>
      </c>
      <c r="C1037" s="2031">
        <v>124.0</v>
      </c>
      <c r="D1037" s="2031">
        <v>249.0</v>
      </c>
      <c r="E1037" s="2031">
        <v>165.0</v>
      </c>
      <c r="F1037" s="2031">
        <v>165.0</v>
      </c>
      <c r="G1037" s="2031">
        <v>166.0</v>
      </c>
      <c r="H1037" s="2031">
        <v>166.0</v>
      </c>
    </row>
    <row r="1038">
      <c r="B1038" s="2031">
        <v>1036.0</v>
      </c>
      <c r="C1038" s="2031">
        <v>124.0</v>
      </c>
      <c r="D1038" s="2031">
        <v>248.0</v>
      </c>
      <c r="E1038" s="2031">
        <v>166.0</v>
      </c>
      <c r="F1038" s="2031">
        <v>166.0</v>
      </c>
      <c r="G1038" s="2031">
        <v>166.0</v>
      </c>
      <c r="H1038" s="2031">
        <v>166.0</v>
      </c>
    </row>
    <row r="1039">
      <c r="B1039" s="2031">
        <v>1037.0</v>
      </c>
      <c r="C1039" s="2031">
        <v>124.0</v>
      </c>
      <c r="D1039" s="2031">
        <v>249.0</v>
      </c>
      <c r="E1039" s="2031">
        <v>166.0</v>
      </c>
      <c r="F1039" s="2031">
        <v>166.0</v>
      </c>
      <c r="G1039" s="2031">
        <v>166.0</v>
      </c>
      <c r="H1039" s="2031">
        <v>166.0</v>
      </c>
    </row>
    <row r="1040">
      <c r="B1040" s="2031">
        <v>1038.0</v>
      </c>
      <c r="C1040" s="2031">
        <v>125.0</v>
      </c>
      <c r="D1040" s="2031">
        <v>249.0</v>
      </c>
      <c r="E1040" s="2031">
        <v>166.0</v>
      </c>
      <c r="F1040" s="2031">
        <v>166.0</v>
      </c>
      <c r="G1040" s="2031">
        <v>166.0</v>
      </c>
      <c r="H1040" s="2031">
        <v>166.0</v>
      </c>
    </row>
    <row r="1041">
      <c r="B1041" s="2031">
        <v>1039.0</v>
      </c>
      <c r="C1041" s="2031">
        <v>125.0</v>
      </c>
      <c r="D1041" s="2031">
        <v>250.0</v>
      </c>
      <c r="E1041" s="2031">
        <v>166.0</v>
      </c>
      <c r="F1041" s="2031">
        <v>166.0</v>
      </c>
      <c r="G1041" s="2031">
        <v>166.0</v>
      </c>
      <c r="H1041" s="2031">
        <v>166.0</v>
      </c>
    </row>
    <row r="1042">
      <c r="B1042" s="2031">
        <v>1040.0</v>
      </c>
      <c r="C1042" s="2031">
        <v>125.0</v>
      </c>
      <c r="D1042" s="2031">
        <v>249.0</v>
      </c>
      <c r="E1042" s="2031">
        <v>166.0</v>
      </c>
      <c r="F1042" s="2031">
        <v>166.0</v>
      </c>
      <c r="G1042" s="2031">
        <v>167.0</v>
      </c>
      <c r="H1042" s="2031">
        <v>167.0</v>
      </c>
    </row>
    <row r="1043">
      <c r="B1043" s="2031">
        <v>1041.0</v>
      </c>
      <c r="C1043" s="2031">
        <v>125.0</v>
      </c>
      <c r="D1043" s="2031">
        <v>250.0</v>
      </c>
      <c r="E1043" s="2031">
        <v>166.0</v>
      </c>
      <c r="F1043" s="2031">
        <v>166.0</v>
      </c>
      <c r="G1043" s="2031">
        <v>167.0</v>
      </c>
      <c r="H1043" s="2031">
        <v>167.0</v>
      </c>
    </row>
    <row r="1044">
      <c r="B1044" s="2031">
        <v>1042.0</v>
      </c>
      <c r="C1044" s="2031">
        <v>125.0</v>
      </c>
      <c r="D1044" s="2031">
        <v>251.0</v>
      </c>
      <c r="E1044" s="2031">
        <v>166.0</v>
      </c>
      <c r="F1044" s="2031">
        <v>166.0</v>
      </c>
      <c r="G1044" s="2031">
        <v>167.0</v>
      </c>
      <c r="H1044" s="2031">
        <v>167.0</v>
      </c>
    </row>
    <row r="1045">
      <c r="B1045" s="2031">
        <v>1043.0</v>
      </c>
      <c r="C1045" s="2031">
        <v>125.0</v>
      </c>
      <c r="D1045" s="2031">
        <v>250.0</v>
      </c>
      <c r="E1045" s="2031">
        <v>167.0</v>
      </c>
      <c r="F1045" s="2031">
        <v>167.0</v>
      </c>
      <c r="G1045" s="2031">
        <v>167.0</v>
      </c>
      <c r="H1045" s="2031">
        <v>167.0</v>
      </c>
    </row>
    <row r="1046">
      <c r="B1046" s="2031">
        <v>1044.0</v>
      </c>
      <c r="C1046" s="2031">
        <v>125.0</v>
      </c>
      <c r="D1046" s="2031">
        <v>251.0</v>
      </c>
      <c r="E1046" s="2031">
        <v>167.0</v>
      </c>
      <c r="F1046" s="2031">
        <v>167.0</v>
      </c>
      <c r="G1046" s="2031">
        <v>167.0</v>
      </c>
      <c r="H1046" s="2031">
        <v>167.0</v>
      </c>
    </row>
    <row r="1047">
      <c r="B1047" s="2031">
        <v>1045.0</v>
      </c>
      <c r="C1047" s="2031">
        <v>126.0</v>
      </c>
      <c r="D1047" s="2031">
        <v>251.0</v>
      </c>
      <c r="E1047" s="2031">
        <v>167.0</v>
      </c>
      <c r="F1047" s="2031">
        <v>167.0</v>
      </c>
      <c r="G1047" s="2031">
        <v>167.0</v>
      </c>
      <c r="H1047" s="2031">
        <v>167.0</v>
      </c>
    </row>
    <row r="1048">
      <c r="B1048" s="2031">
        <v>1046.0</v>
      </c>
      <c r="C1048" s="2031">
        <v>125.0</v>
      </c>
      <c r="D1048" s="2031">
        <v>251.0</v>
      </c>
      <c r="E1048" s="2031">
        <v>167.0</v>
      </c>
      <c r="F1048" s="2031">
        <v>167.0</v>
      </c>
      <c r="G1048" s="2031">
        <v>168.0</v>
      </c>
      <c r="H1048" s="2031">
        <v>168.0</v>
      </c>
    </row>
    <row r="1049">
      <c r="B1049" s="2031">
        <v>1047.0</v>
      </c>
      <c r="C1049" s="2031">
        <v>126.0</v>
      </c>
      <c r="D1049" s="2031">
        <v>251.0</v>
      </c>
      <c r="E1049" s="2031">
        <v>167.0</v>
      </c>
      <c r="F1049" s="2031">
        <v>167.0</v>
      </c>
      <c r="G1049" s="2031">
        <v>168.0</v>
      </c>
      <c r="H1049" s="2031">
        <v>168.0</v>
      </c>
    </row>
    <row r="1050">
      <c r="B1050" s="2031">
        <v>1048.0</v>
      </c>
      <c r="C1050" s="2031">
        <v>125.0</v>
      </c>
      <c r="D1050" s="2031">
        <v>251.0</v>
      </c>
      <c r="E1050" s="2031">
        <v>168.0</v>
      </c>
      <c r="F1050" s="2031">
        <v>168.0</v>
      </c>
      <c r="G1050" s="2031">
        <v>168.0</v>
      </c>
      <c r="H1050" s="2031">
        <v>168.0</v>
      </c>
    </row>
    <row r="1051">
      <c r="B1051" s="2031">
        <v>1049.0</v>
      </c>
      <c r="C1051" s="2031">
        <v>126.0</v>
      </c>
      <c r="D1051" s="2031">
        <v>251.0</v>
      </c>
      <c r="E1051" s="2031">
        <v>168.0</v>
      </c>
      <c r="F1051" s="2031">
        <v>168.0</v>
      </c>
      <c r="G1051" s="2031">
        <v>168.0</v>
      </c>
      <c r="H1051" s="2031">
        <v>168.0</v>
      </c>
    </row>
    <row r="1052">
      <c r="B1052" s="2031">
        <v>1050.0</v>
      </c>
      <c r="C1052" s="2031">
        <v>126.0</v>
      </c>
      <c r="D1052" s="2031">
        <v>252.0</v>
      </c>
      <c r="E1052" s="2031">
        <v>168.0</v>
      </c>
      <c r="F1052" s="2031">
        <v>168.0</v>
      </c>
      <c r="G1052" s="2031">
        <v>168.0</v>
      </c>
      <c r="H1052" s="2031">
        <v>168.0</v>
      </c>
    </row>
    <row r="1053">
      <c r="B1053" s="2031">
        <v>1051.0</v>
      </c>
      <c r="C1053" s="2031">
        <v>126.0</v>
      </c>
      <c r="D1053" s="2031">
        <v>253.0</v>
      </c>
      <c r="E1053" s="2031">
        <v>168.0</v>
      </c>
      <c r="F1053" s="2031">
        <v>168.0</v>
      </c>
      <c r="G1053" s="2031">
        <v>168.0</v>
      </c>
      <c r="H1053" s="2031">
        <v>168.0</v>
      </c>
    </row>
    <row r="1054">
      <c r="B1054" s="2031">
        <v>1052.0</v>
      </c>
      <c r="C1054" s="2031">
        <v>127.0</v>
      </c>
      <c r="D1054" s="2031">
        <v>253.0</v>
      </c>
      <c r="E1054" s="2031">
        <v>168.0</v>
      </c>
      <c r="F1054" s="2031">
        <v>168.0</v>
      </c>
      <c r="G1054" s="2031">
        <v>168.0</v>
      </c>
      <c r="H1054" s="2031">
        <v>168.0</v>
      </c>
    </row>
    <row r="1055">
      <c r="B1055" s="2031">
        <v>1053.0</v>
      </c>
      <c r="C1055" s="2031">
        <v>126.0</v>
      </c>
      <c r="D1055" s="2031">
        <v>253.0</v>
      </c>
      <c r="E1055" s="2031">
        <v>168.0</v>
      </c>
      <c r="F1055" s="2031">
        <v>168.0</v>
      </c>
      <c r="G1055" s="2031">
        <v>169.0</v>
      </c>
      <c r="H1055" s="2031">
        <v>169.0</v>
      </c>
    </row>
    <row r="1056">
      <c r="B1056" s="2031">
        <v>1054.0</v>
      </c>
      <c r="C1056" s="2031">
        <v>127.0</v>
      </c>
      <c r="D1056" s="2031">
        <v>253.0</v>
      </c>
      <c r="E1056" s="2031">
        <v>168.0</v>
      </c>
      <c r="F1056" s="2031">
        <v>168.0</v>
      </c>
      <c r="G1056" s="2031">
        <v>169.0</v>
      </c>
      <c r="H1056" s="2031">
        <v>169.0</v>
      </c>
    </row>
    <row r="1057">
      <c r="B1057" s="2031">
        <v>1055.0</v>
      </c>
      <c r="C1057" s="2031">
        <v>126.0</v>
      </c>
      <c r="D1057" s="2031">
        <v>253.0</v>
      </c>
      <c r="E1057" s="2031">
        <v>169.0</v>
      </c>
      <c r="F1057" s="2031">
        <v>169.0</v>
      </c>
      <c r="G1057" s="2031">
        <v>169.0</v>
      </c>
      <c r="H1057" s="2031">
        <v>169.0</v>
      </c>
    </row>
    <row r="1058">
      <c r="B1058" s="2031">
        <v>1056.0</v>
      </c>
      <c r="C1058" s="2031">
        <v>127.0</v>
      </c>
      <c r="D1058" s="2031">
        <v>253.0</v>
      </c>
      <c r="E1058" s="2031">
        <v>169.0</v>
      </c>
      <c r="F1058" s="2031">
        <v>169.0</v>
      </c>
      <c r="G1058" s="2031">
        <v>169.0</v>
      </c>
      <c r="H1058" s="2031">
        <v>169.0</v>
      </c>
    </row>
    <row r="1059">
      <c r="B1059" s="2031">
        <v>1057.0</v>
      </c>
      <c r="C1059" s="2031">
        <v>127.0</v>
      </c>
      <c r="D1059" s="2031">
        <v>254.0</v>
      </c>
      <c r="E1059" s="2031">
        <v>169.0</v>
      </c>
      <c r="F1059" s="2031">
        <v>169.0</v>
      </c>
      <c r="G1059" s="2031">
        <v>169.0</v>
      </c>
      <c r="H1059" s="2031">
        <v>169.0</v>
      </c>
    </row>
    <row r="1060">
      <c r="B1060" s="2031">
        <v>1058.0</v>
      </c>
      <c r="C1060" s="2031">
        <v>127.0</v>
      </c>
      <c r="D1060" s="2031">
        <v>253.0</v>
      </c>
      <c r="E1060" s="2031">
        <v>169.0</v>
      </c>
      <c r="F1060" s="2031">
        <v>169.0</v>
      </c>
      <c r="G1060" s="2031">
        <v>170.0</v>
      </c>
      <c r="H1060" s="2031">
        <v>170.0</v>
      </c>
    </row>
    <row r="1061">
      <c r="B1061" s="2031">
        <v>1059.0</v>
      </c>
      <c r="C1061" s="2031">
        <v>127.0</v>
      </c>
      <c r="D1061" s="2031">
        <v>254.0</v>
      </c>
      <c r="E1061" s="2031">
        <v>169.0</v>
      </c>
      <c r="F1061" s="2031">
        <v>169.0</v>
      </c>
      <c r="G1061" s="2031">
        <v>170.0</v>
      </c>
      <c r="H1061" s="2031">
        <v>170.0</v>
      </c>
    </row>
    <row r="1062">
      <c r="B1062" s="2031">
        <v>1060.0</v>
      </c>
      <c r="C1062" s="2031">
        <v>127.0</v>
      </c>
      <c r="D1062" s="2031">
        <v>255.0</v>
      </c>
      <c r="E1062" s="2031">
        <v>169.0</v>
      </c>
      <c r="F1062" s="2031">
        <v>169.0</v>
      </c>
      <c r="G1062" s="2031">
        <v>170.0</v>
      </c>
      <c r="H1062" s="2031">
        <v>170.0</v>
      </c>
    </row>
    <row r="1063">
      <c r="B1063" s="2031">
        <v>1061.0</v>
      </c>
      <c r="C1063" s="2031">
        <v>127.0</v>
      </c>
      <c r="D1063" s="2031">
        <v>254.0</v>
      </c>
      <c r="E1063" s="2031">
        <v>170.0</v>
      </c>
      <c r="F1063" s="2031">
        <v>170.0</v>
      </c>
      <c r="G1063" s="2031">
        <v>170.0</v>
      </c>
      <c r="H1063" s="2031">
        <v>170.0</v>
      </c>
    </row>
    <row r="1064">
      <c r="B1064" s="2031">
        <v>1062.0</v>
      </c>
      <c r="C1064" s="2031">
        <v>127.0</v>
      </c>
      <c r="D1064" s="2031">
        <v>255.0</v>
      </c>
      <c r="E1064" s="2031">
        <v>170.0</v>
      </c>
      <c r="F1064" s="2031">
        <v>170.0</v>
      </c>
      <c r="G1064" s="2031">
        <v>170.0</v>
      </c>
      <c r="H1064" s="2031">
        <v>170.0</v>
      </c>
    </row>
    <row r="1065">
      <c r="B1065" s="2031">
        <v>1063.0</v>
      </c>
      <c r="C1065" s="2031">
        <v>128.0</v>
      </c>
      <c r="D1065" s="2031">
        <v>255.0</v>
      </c>
      <c r="E1065" s="2031">
        <v>170.0</v>
      </c>
      <c r="F1065" s="2031">
        <v>170.0</v>
      </c>
      <c r="G1065" s="2031">
        <v>170.0</v>
      </c>
      <c r="H1065" s="2031">
        <v>170.0</v>
      </c>
    </row>
    <row r="1066">
      <c r="B1066" s="2031">
        <v>1064.0</v>
      </c>
      <c r="C1066" s="2031">
        <v>128.0</v>
      </c>
      <c r="D1066" s="2031">
        <v>256.0</v>
      </c>
      <c r="E1066" s="2031">
        <v>170.0</v>
      </c>
      <c r="F1066" s="2031">
        <v>170.0</v>
      </c>
      <c r="G1066" s="2031">
        <v>170.0</v>
      </c>
      <c r="H1066" s="2031">
        <v>170.0</v>
      </c>
    </row>
    <row r="1067">
      <c r="B1067" s="2031">
        <v>1065.0</v>
      </c>
      <c r="C1067" s="2031">
        <v>128.0</v>
      </c>
      <c r="D1067" s="2031">
        <v>255.0</v>
      </c>
      <c r="E1067" s="2031">
        <v>170.0</v>
      </c>
      <c r="F1067" s="2031">
        <v>170.0</v>
      </c>
      <c r="G1067" s="2031">
        <v>171.0</v>
      </c>
      <c r="H1067" s="2031">
        <v>171.0</v>
      </c>
    </row>
    <row r="1068">
      <c r="B1068" s="2031">
        <v>1066.0</v>
      </c>
      <c r="C1068" s="2031">
        <v>128.0</v>
      </c>
      <c r="D1068" s="2031">
        <v>256.0</v>
      </c>
      <c r="E1068" s="2031">
        <v>170.0</v>
      </c>
      <c r="F1068" s="2031">
        <v>170.0</v>
      </c>
      <c r="G1068" s="2031">
        <v>171.0</v>
      </c>
      <c r="H1068" s="2031">
        <v>171.0</v>
      </c>
    </row>
    <row r="1069">
      <c r="B1069" s="2031">
        <v>1067.0</v>
      </c>
      <c r="C1069" s="2031">
        <v>128.0</v>
      </c>
      <c r="D1069" s="2031">
        <v>257.0</v>
      </c>
      <c r="E1069" s="2031">
        <v>170.0</v>
      </c>
      <c r="F1069" s="2031">
        <v>170.0</v>
      </c>
      <c r="G1069" s="2031">
        <v>171.0</v>
      </c>
      <c r="H1069" s="2031">
        <v>171.0</v>
      </c>
    </row>
    <row r="1070">
      <c r="B1070" s="2031">
        <v>1068.0</v>
      </c>
      <c r="C1070" s="2031">
        <v>128.0</v>
      </c>
      <c r="D1070" s="2031">
        <v>256.0</v>
      </c>
      <c r="E1070" s="2031">
        <v>171.0</v>
      </c>
      <c r="F1070" s="2031">
        <v>171.0</v>
      </c>
      <c r="G1070" s="2031">
        <v>171.0</v>
      </c>
      <c r="H1070" s="2031">
        <v>171.0</v>
      </c>
    </row>
    <row r="1071">
      <c r="B1071" s="2031">
        <v>1069.0</v>
      </c>
      <c r="C1071" s="2031">
        <v>128.0</v>
      </c>
      <c r="D1071" s="2031">
        <v>257.0</v>
      </c>
      <c r="E1071" s="2031">
        <v>171.0</v>
      </c>
      <c r="F1071" s="2031">
        <v>171.0</v>
      </c>
      <c r="G1071" s="2031">
        <v>171.0</v>
      </c>
      <c r="H1071" s="2031">
        <v>171.0</v>
      </c>
    </row>
    <row r="1072">
      <c r="B1072" s="2031">
        <v>1070.0</v>
      </c>
      <c r="C1072" s="2031">
        <v>129.0</v>
      </c>
      <c r="D1072" s="2031">
        <v>257.0</v>
      </c>
      <c r="E1072" s="2031">
        <v>171.0</v>
      </c>
      <c r="F1072" s="2031">
        <v>171.0</v>
      </c>
      <c r="G1072" s="2031">
        <v>171.0</v>
      </c>
      <c r="H1072" s="2031">
        <v>171.0</v>
      </c>
    </row>
    <row r="1073">
      <c r="B1073" s="2031">
        <v>1071.0</v>
      </c>
      <c r="C1073" s="2031">
        <v>128.0</v>
      </c>
      <c r="D1073" s="2031">
        <v>257.0</v>
      </c>
      <c r="E1073" s="2031">
        <v>171.0</v>
      </c>
      <c r="F1073" s="2031">
        <v>171.0</v>
      </c>
      <c r="G1073" s="2031">
        <v>172.0</v>
      </c>
      <c r="H1073" s="2031">
        <v>172.0</v>
      </c>
    </row>
    <row r="1074">
      <c r="B1074" s="2031">
        <v>1072.0</v>
      </c>
      <c r="C1074" s="2031">
        <v>129.0</v>
      </c>
      <c r="D1074" s="2031">
        <v>257.0</v>
      </c>
      <c r="E1074" s="2031">
        <v>171.0</v>
      </c>
      <c r="F1074" s="2031">
        <v>171.0</v>
      </c>
      <c r="G1074" s="2031">
        <v>172.0</v>
      </c>
      <c r="H1074" s="2031">
        <v>172.0</v>
      </c>
    </row>
    <row r="1075">
      <c r="B1075" s="2031">
        <v>1073.0</v>
      </c>
      <c r="C1075" s="2031">
        <v>128.0</v>
      </c>
      <c r="D1075" s="2031">
        <v>257.0</v>
      </c>
      <c r="E1075" s="2031">
        <v>172.0</v>
      </c>
      <c r="F1075" s="2031">
        <v>172.0</v>
      </c>
      <c r="G1075" s="2031">
        <v>172.0</v>
      </c>
      <c r="H1075" s="2031">
        <v>172.0</v>
      </c>
    </row>
    <row r="1076">
      <c r="B1076" s="2031">
        <v>1074.0</v>
      </c>
      <c r="C1076" s="2031">
        <v>129.0</v>
      </c>
      <c r="D1076" s="2031">
        <v>257.0</v>
      </c>
      <c r="E1076" s="2031">
        <v>172.0</v>
      </c>
      <c r="F1076" s="2031">
        <v>172.0</v>
      </c>
      <c r="G1076" s="2031">
        <v>172.0</v>
      </c>
      <c r="H1076" s="2031">
        <v>172.0</v>
      </c>
    </row>
    <row r="1077">
      <c r="B1077" s="2031">
        <v>1075.0</v>
      </c>
      <c r="C1077" s="2031">
        <v>129.0</v>
      </c>
      <c r="D1077" s="2031">
        <v>258.0</v>
      </c>
      <c r="E1077" s="2031">
        <v>172.0</v>
      </c>
      <c r="F1077" s="2031">
        <v>172.0</v>
      </c>
      <c r="G1077" s="2031">
        <v>172.0</v>
      </c>
      <c r="H1077" s="2031">
        <v>172.0</v>
      </c>
    </row>
    <row r="1078">
      <c r="B1078" s="2031">
        <v>1076.0</v>
      </c>
      <c r="C1078" s="2031">
        <v>129.0</v>
      </c>
      <c r="D1078" s="2031">
        <v>259.0</v>
      </c>
      <c r="E1078" s="2031">
        <v>172.0</v>
      </c>
      <c r="F1078" s="2031">
        <v>172.0</v>
      </c>
      <c r="G1078" s="2031">
        <v>172.0</v>
      </c>
      <c r="H1078" s="2031">
        <v>172.0</v>
      </c>
    </row>
    <row r="1079">
      <c r="B1079" s="2031">
        <v>1077.0</v>
      </c>
      <c r="C1079" s="2031">
        <v>130.0</v>
      </c>
      <c r="D1079" s="2031">
        <v>259.0</v>
      </c>
      <c r="E1079" s="2031">
        <v>172.0</v>
      </c>
      <c r="F1079" s="2031">
        <v>172.0</v>
      </c>
      <c r="G1079" s="2031">
        <v>172.0</v>
      </c>
      <c r="H1079" s="2031">
        <v>172.0</v>
      </c>
    </row>
    <row r="1080">
      <c r="B1080" s="2031">
        <v>1078.0</v>
      </c>
      <c r="C1080" s="2031">
        <v>129.0</v>
      </c>
      <c r="D1080" s="2031">
        <v>259.0</v>
      </c>
      <c r="E1080" s="2031">
        <v>172.0</v>
      </c>
      <c r="F1080" s="2031">
        <v>172.0</v>
      </c>
      <c r="G1080" s="2031">
        <v>173.0</v>
      </c>
      <c r="H1080" s="2031">
        <v>173.0</v>
      </c>
    </row>
    <row r="1081">
      <c r="B1081" s="2031">
        <v>1079.0</v>
      </c>
      <c r="C1081" s="2031">
        <v>130.0</v>
      </c>
      <c r="D1081" s="2031">
        <v>259.0</v>
      </c>
      <c r="E1081" s="2031">
        <v>172.0</v>
      </c>
      <c r="F1081" s="2031">
        <v>172.0</v>
      </c>
      <c r="G1081" s="2031">
        <v>173.0</v>
      </c>
      <c r="H1081" s="2031">
        <v>173.0</v>
      </c>
    </row>
    <row r="1082">
      <c r="B1082" s="2031">
        <v>1080.0</v>
      </c>
      <c r="C1082" s="2031">
        <v>129.0</v>
      </c>
      <c r="D1082" s="2031">
        <v>259.0</v>
      </c>
      <c r="E1082" s="2031">
        <v>173.0</v>
      </c>
      <c r="F1082" s="2031">
        <v>173.0</v>
      </c>
      <c r="G1082" s="2031">
        <v>173.0</v>
      </c>
      <c r="H1082" s="2031">
        <v>173.0</v>
      </c>
    </row>
    <row r="1083">
      <c r="B1083" s="2031">
        <v>1081.0</v>
      </c>
      <c r="C1083" s="2031">
        <v>130.0</v>
      </c>
      <c r="D1083" s="2031">
        <v>259.0</v>
      </c>
      <c r="E1083" s="2031">
        <v>173.0</v>
      </c>
      <c r="F1083" s="2031">
        <v>173.0</v>
      </c>
      <c r="G1083" s="2031">
        <v>173.0</v>
      </c>
      <c r="H1083" s="2031">
        <v>173.0</v>
      </c>
    </row>
    <row r="1084">
      <c r="B1084" s="2031">
        <v>1082.0</v>
      </c>
      <c r="C1084" s="2031">
        <v>130.0</v>
      </c>
      <c r="D1084" s="2031">
        <v>260.0</v>
      </c>
      <c r="E1084" s="2031">
        <v>173.0</v>
      </c>
      <c r="F1084" s="2031">
        <v>173.0</v>
      </c>
      <c r="G1084" s="2031">
        <v>173.0</v>
      </c>
      <c r="H1084" s="2031">
        <v>173.0</v>
      </c>
    </row>
    <row r="1085">
      <c r="B1085" s="2031">
        <v>1083.0</v>
      </c>
      <c r="C1085" s="2031">
        <v>130.0</v>
      </c>
      <c r="D1085" s="2031">
        <v>259.0</v>
      </c>
      <c r="E1085" s="2031">
        <v>173.0</v>
      </c>
      <c r="F1085" s="2031">
        <v>173.0</v>
      </c>
      <c r="G1085" s="2031">
        <v>174.0</v>
      </c>
      <c r="H1085" s="2031">
        <v>174.0</v>
      </c>
    </row>
    <row r="1086">
      <c r="B1086" s="2031">
        <v>1084.0</v>
      </c>
      <c r="C1086" s="2031">
        <v>130.0</v>
      </c>
      <c r="D1086" s="2031">
        <v>260.0</v>
      </c>
      <c r="E1086" s="2031">
        <v>173.0</v>
      </c>
      <c r="F1086" s="2031">
        <v>173.0</v>
      </c>
      <c r="G1086" s="2031">
        <v>174.0</v>
      </c>
      <c r="H1086" s="2031">
        <v>174.0</v>
      </c>
    </row>
    <row r="1087">
      <c r="B1087" s="2031">
        <v>1085.0</v>
      </c>
      <c r="C1087" s="2031">
        <v>130.0</v>
      </c>
      <c r="D1087" s="2031">
        <v>261.0</v>
      </c>
      <c r="E1087" s="2031">
        <v>173.0</v>
      </c>
      <c r="F1087" s="2031">
        <v>173.0</v>
      </c>
      <c r="G1087" s="2031">
        <v>174.0</v>
      </c>
      <c r="H1087" s="2031">
        <v>174.0</v>
      </c>
    </row>
    <row r="1088">
      <c r="B1088" s="2031">
        <v>1086.0</v>
      </c>
      <c r="C1088" s="2031">
        <v>130.0</v>
      </c>
      <c r="D1088" s="2031">
        <v>260.0</v>
      </c>
      <c r="E1088" s="2031">
        <v>174.0</v>
      </c>
      <c r="F1088" s="2031">
        <v>174.0</v>
      </c>
      <c r="G1088" s="2031">
        <v>174.0</v>
      </c>
      <c r="H1088" s="2031">
        <v>174.0</v>
      </c>
    </row>
    <row r="1089">
      <c r="B1089" s="2031">
        <v>1087.0</v>
      </c>
      <c r="C1089" s="2031">
        <v>130.0</v>
      </c>
      <c r="D1089" s="2031">
        <v>261.0</v>
      </c>
      <c r="E1089" s="2031">
        <v>174.0</v>
      </c>
      <c r="F1089" s="2031">
        <v>174.0</v>
      </c>
      <c r="G1089" s="2031">
        <v>174.0</v>
      </c>
      <c r="H1089" s="2031">
        <v>174.0</v>
      </c>
    </row>
    <row r="1090">
      <c r="B1090" s="2031">
        <v>1088.0</v>
      </c>
      <c r="C1090" s="2031">
        <v>131.0</v>
      </c>
      <c r="D1090" s="2031">
        <v>261.0</v>
      </c>
      <c r="E1090" s="2031">
        <v>174.0</v>
      </c>
      <c r="F1090" s="2031">
        <v>174.0</v>
      </c>
      <c r="G1090" s="2031">
        <v>174.0</v>
      </c>
      <c r="H1090" s="2031">
        <v>174.0</v>
      </c>
    </row>
    <row r="1091">
      <c r="B1091" s="2031">
        <v>1089.0</v>
      </c>
      <c r="C1091" s="2031">
        <v>131.0</v>
      </c>
      <c r="D1091" s="2031">
        <v>262.0</v>
      </c>
      <c r="E1091" s="2031">
        <v>174.0</v>
      </c>
      <c r="F1091" s="2031">
        <v>174.0</v>
      </c>
      <c r="G1091" s="2031">
        <v>174.0</v>
      </c>
      <c r="H1091" s="2031">
        <v>174.0</v>
      </c>
    </row>
    <row r="1092">
      <c r="B1092" s="2031">
        <v>1090.0</v>
      </c>
      <c r="C1092" s="2031">
        <v>131.0</v>
      </c>
      <c r="D1092" s="2031">
        <v>261.0</v>
      </c>
      <c r="E1092" s="2031">
        <v>174.0</v>
      </c>
      <c r="F1092" s="2031">
        <v>174.0</v>
      </c>
      <c r="G1092" s="2031">
        <v>175.0</v>
      </c>
      <c r="H1092" s="2031">
        <v>175.0</v>
      </c>
    </row>
    <row r="1093">
      <c r="B1093" s="2031">
        <v>1091.0</v>
      </c>
      <c r="C1093" s="2031">
        <v>131.0</v>
      </c>
      <c r="D1093" s="2031">
        <v>262.0</v>
      </c>
      <c r="E1093" s="2031">
        <v>174.0</v>
      </c>
      <c r="F1093" s="2031">
        <v>174.0</v>
      </c>
      <c r="G1093" s="2031">
        <v>175.0</v>
      </c>
      <c r="H1093" s="2031">
        <v>175.0</v>
      </c>
    </row>
    <row r="1094">
      <c r="B1094" s="2031">
        <v>1092.0</v>
      </c>
      <c r="C1094" s="2031">
        <v>131.0</v>
      </c>
      <c r="D1094" s="2031">
        <v>263.0</v>
      </c>
      <c r="E1094" s="2031">
        <v>174.0</v>
      </c>
      <c r="F1094" s="2031">
        <v>174.0</v>
      </c>
      <c r="G1094" s="2031">
        <v>175.0</v>
      </c>
      <c r="H1094" s="2031">
        <v>175.0</v>
      </c>
    </row>
    <row r="1095">
      <c r="B1095" s="2031">
        <v>1093.0</v>
      </c>
      <c r="C1095" s="2031">
        <v>131.0</v>
      </c>
      <c r="D1095" s="2031">
        <v>262.0</v>
      </c>
      <c r="E1095" s="2031">
        <v>175.0</v>
      </c>
      <c r="F1095" s="2031">
        <v>175.0</v>
      </c>
      <c r="G1095" s="2031">
        <v>175.0</v>
      </c>
      <c r="H1095" s="2031">
        <v>175.0</v>
      </c>
    </row>
    <row r="1096">
      <c r="B1096" s="2031">
        <v>1094.0</v>
      </c>
      <c r="C1096" s="2031">
        <v>131.0</v>
      </c>
      <c r="D1096" s="2031">
        <v>263.0</v>
      </c>
      <c r="E1096" s="2031">
        <v>175.0</v>
      </c>
      <c r="F1096" s="2031">
        <v>175.0</v>
      </c>
      <c r="G1096" s="2031">
        <v>175.0</v>
      </c>
      <c r="H1096" s="2031">
        <v>175.0</v>
      </c>
    </row>
    <row r="1097">
      <c r="B1097" s="2031">
        <v>1095.0</v>
      </c>
      <c r="C1097" s="2031">
        <v>132.0</v>
      </c>
      <c r="D1097" s="2031">
        <v>263.0</v>
      </c>
      <c r="E1097" s="2031">
        <v>175.0</v>
      </c>
      <c r="F1097" s="2031">
        <v>175.0</v>
      </c>
      <c r="G1097" s="2031">
        <v>175.0</v>
      </c>
      <c r="H1097" s="2031">
        <v>175.0</v>
      </c>
    </row>
    <row r="1098">
      <c r="B1098" s="2031">
        <v>1096.0</v>
      </c>
      <c r="C1098" s="2031">
        <v>131.0</v>
      </c>
      <c r="D1098" s="2031">
        <v>263.0</v>
      </c>
      <c r="E1098" s="2031">
        <v>175.0</v>
      </c>
      <c r="F1098" s="2031">
        <v>175.0</v>
      </c>
      <c r="G1098" s="2031">
        <v>176.0</v>
      </c>
      <c r="H1098" s="2031">
        <v>176.0</v>
      </c>
    </row>
    <row r="1099">
      <c r="B1099" s="2031">
        <v>1097.0</v>
      </c>
      <c r="C1099" s="2031">
        <v>132.0</v>
      </c>
      <c r="D1099" s="2031">
        <v>263.0</v>
      </c>
      <c r="E1099" s="2031">
        <v>175.0</v>
      </c>
      <c r="F1099" s="2031">
        <v>175.0</v>
      </c>
      <c r="G1099" s="2031">
        <v>176.0</v>
      </c>
      <c r="H1099" s="2031">
        <v>176.0</v>
      </c>
    </row>
    <row r="1100">
      <c r="B1100" s="2031">
        <v>1098.0</v>
      </c>
      <c r="C1100" s="2031">
        <v>131.0</v>
      </c>
      <c r="D1100" s="2031">
        <v>263.0</v>
      </c>
      <c r="E1100" s="2031">
        <v>176.0</v>
      </c>
      <c r="F1100" s="2031">
        <v>176.0</v>
      </c>
      <c r="G1100" s="2031">
        <v>176.0</v>
      </c>
      <c r="H1100" s="2031">
        <v>176.0</v>
      </c>
    </row>
    <row r="1101">
      <c r="B1101" s="2031">
        <v>1099.0</v>
      </c>
      <c r="C1101" s="2031">
        <v>132.0</v>
      </c>
      <c r="D1101" s="2031">
        <v>263.0</v>
      </c>
      <c r="E1101" s="2031">
        <v>176.0</v>
      </c>
      <c r="F1101" s="2031">
        <v>176.0</v>
      </c>
      <c r="G1101" s="2031">
        <v>176.0</v>
      </c>
      <c r="H1101" s="2031">
        <v>176.0</v>
      </c>
    </row>
    <row r="1102">
      <c r="B1102" s="2031">
        <v>1100.0</v>
      </c>
      <c r="C1102" s="2031">
        <v>132.0</v>
      </c>
      <c r="D1102" s="2031">
        <v>264.0</v>
      </c>
      <c r="E1102" s="2031">
        <v>176.0</v>
      </c>
      <c r="F1102" s="2031">
        <v>176.0</v>
      </c>
      <c r="G1102" s="2031">
        <v>176.0</v>
      </c>
      <c r="H1102" s="2031">
        <v>176.0</v>
      </c>
    </row>
    <row r="1103">
      <c r="B1103" s="2031">
        <v>1101.0</v>
      </c>
      <c r="C1103" s="2031">
        <v>132.0</v>
      </c>
      <c r="D1103" s="2031">
        <v>265.0</v>
      </c>
      <c r="E1103" s="2031">
        <v>176.0</v>
      </c>
      <c r="F1103" s="2031">
        <v>176.0</v>
      </c>
      <c r="G1103" s="2031">
        <v>176.0</v>
      </c>
      <c r="H1103" s="2031">
        <v>176.0</v>
      </c>
    </row>
    <row r="1104">
      <c r="B1104" s="2031">
        <v>1102.0</v>
      </c>
      <c r="C1104" s="2031">
        <v>133.0</v>
      </c>
      <c r="D1104" s="2031">
        <v>265.0</v>
      </c>
      <c r="E1104" s="2031">
        <v>176.0</v>
      </c>
      <c r="F1104" s="2031">
        <v>176.0</v>
      </c>
      <c r="G1104" s="2031">
        <v>176.0</v>
      </c>
      <c r="H1104" s="2031">
        <v>176.0</v>
      </c>
    </row>
    <row r="1105">
      <c r="B1105" s="2031">
        <v>1103.0</v>
      </c>
      <c r="C1105" s="2031">
        <v>132.0</v>
      </c>
      <c r="D1105" s="2031">
        <v>265.0</v>
      </c>
      <c r="E1105" s="2031">
        <v>176.0</v>
      </c>
      <c r="F1105" s="2031">
        <v>176.0</v>
      </c>
      <c r="G1105" s="2031">
        <v>177.0</v>
      </c>
      <c r="H1105" s="2031">
        <v>177.0</v>
      </c>
    </row>
    <row r="1106">
      <c r="B1106" s="2031">
        <v>1104.0</v>
      </c>
      <c r="C1106" s="2031">
        <v>133.0</v>
      </c>
      <c r="D1106" s="2031">
        <v>265.0</v>
      </c>
      <c r="E1106" s="2031">
        <v>176.0</v>
      </c>
      <c r="F1106" s="2031">
        <v>176.0</v>
      </c>
      <c r="G1106" s="2031">
        <v>177.0</v>
      </c>
      <c r="H1106" s="2031">
        <v>177.0</v>
      </c>
    </row>
    <row r="1107">
      <c r="B1107" s="2031">
        <v>1105.0</v>
      </c>
      <c r="C1107" s="2031">
        <v>132.0</v>
      </c>
      <c r="D1107" s="2031">
        <v>265.0</v>
      </c>
      <c r="E1107" s="2031">
        <v>177.0</v>
      </c>
      <c r="F1107" s="2031">
        <v>177.0</v>
      </c>
      <c r="G1107" s="2031">
        <v>177.0</v>
      </c>
      <c r="H1107" s="2031">
        <v>177.0</v>
      </c>
    </row>
    <row r="1108">
      <c r="B1108" s="2031">
        <v>1106.0</v>
      </c>
      <c r="C1108" s="2031">
        <v>133.0</v>
      </c>
      <c r="D1108" s="2031">
        <v>265.0</v>
      </c>
      <c r="E1108" s="2031">
        <v>177.0</v>
      </c>
      <c r="F1108" s="2031">
        <v>177.0</v>
      </c>
      <c r="G1108" s="2031">
        <v>177.0</v>
      </c>
      <c r="H1108" s="2031">
        <v>177.0</v>
      </c>
    </row>
    <row r="1109">
      <c r="B1109" s="2031">
        <v>1107.0</v>
      </c>
      <c r="C1109" s="2031">
        <v>133.0</v>
      </c>
      <c r="D1109" s="2031">
        <v>266.0</v>
      </c>
      <c r="E1109" s="2031">
        <v>177.0</v>
      </c>
      <c r="F1109" s="2031">
        <v>177.0</v>
      </c>
      <c r="G1109" s="2031">
        <v>177.0</v>
      </c>
      <c r="H1109" s="2031">
        <v>177.0</v>
      </c>
    </row>
    <row r="1110">
      <c r="B1110" s="2031">
        <v>1108.0</v>
      </c>
      <c r="C1110" s="2031">
        <v>133.0</v>
      </c>
      <c r="D1110" s="2031">
        <v>265.0</v>
      </c>
      <c r="E1110" s="2031">
        <v>177.0</v>
      </c>
      <c r="F1110" s="2031">
        <v>177.0</v>
      </c>
      <c r="G1110" s="2031">
        <v>178.0</v>
      </c>
      <c r="H1110" s="2031">
        <v>178.0</v>
      </c>
    </row>
    <row r="1111">
      <c r="B1111" s="2031">
        <v>1109.0</v>
      </c>
      <c r="C1111" s="2031">
        <v>133.0</v>
      </c>
      <c r="D1111" s="2031">
        <v>266.0</v>
      </c>
      <c r="E1111" s="2031">
        <v>177.0</v>
      </c>
      <c r="F1111" s="2031">
        <v>177.0</v>
      </c>
      <c r="G1111" s="2031">
        <v>178.0</v>
      </c>
      <c r="H1111" s="2031">
        <v>178.0</v>
      </c>
    </row>
    <row r="1112">
      <c r="B1112" s="2031">
        <v>1110.0</v>
      </c>
      <c r="C1112" s="2031">
        <v>133.0</v>
      </c>
      <c r="D1112" s="2031">
        <v>267.0</v>
      </c>
      <c r="E1112" s="2031">
        <v>177.0</v>
      </c>
      <c r="F1112" s="2031">
        <v>177.0</v>
      </c>
      <c r="G1112" s="2031">
        <v>178.0</v>
      </c>
      <c r="H1112" s="2031">
        <v>178.0</v>
      </c>
    </row>
    <row r="1113">
      <c r="B1113" s="2031">
        <v>1111.0</v>
      </c>
      <c r="C1113" s="2031">
        <v>133.0</v>
      </c>
      <c r="D1113" s="2031">
        <v>266.0</v>
      </c>
      <c r="E1113" s="2031">
        <v>178.0</v>
      </c>
      <c r="F1113" s="2031">
        <v>178.0</v>
      </c>
      <c r="G1113" s="2031">
        <v>178.0</v>
      </c>
      <c r="H1113" s="2031">
        <v>178.0</v>
      </c>
    </row>
    <row r="1114">
      <c r="B1114" s="2031">
        <v>1112.0</v>
      </c>
      <c r="C1114" s="2031">
        <v>133.0</v>
      </c>
      <c r="D1114" s="2031">
        <v>267.0</v>
      </c>
      <c r="E1114" s="2031">
        <v>178.0</v>
      </c>
      <c r="F1114" s="2031">
        <v>178.0</v>
      </c>
      <c r="G1114" s="2031">
        <v>178.0</v>
      </c>
      <c r="H1114" s="2031">
        <v>178.0</v>
      </c>
    </row>
    <row r="1115">
      <c r="B1115" s="2031">
        <v>1113.0</v>
      </c>
      <c r="C1115" s="2031">
        <v>134.0</v>
      </c>
      <c r="D1115" s="2031">
        <v>267.0</v>
      </c>
      <c r="E1115" s="2031">
        <v>178.0</v>
      </c>
      <c r="F1115" s="2031">
        <v>178.0</v>
      </c>
      <c r="G1115" s="2031">
        <v>178.0</v>
      </c>
      <c r="H1115" s="2031">
        <v>178.0</v>
      </c>
    </row>
    <row r="1116">
      <c r="B1116" s="2031">
        <v>1114.0</v>
      </c>
      <c r="C1116" s="2031">
        <v>134.0</v>
      </c>
      <c r="D1116" s="2031">
        <v>268.0</v>
      </c>
      <c r="E1116" s="2031">
        <v>178.0</v>
      </c>
      <c r="F1116" s="2031">
        <v>178.0</v>
      </c>
      <c r="G1116" s="2031">
        <v>178.0</v>
      </c>
      <c r="H1116" s="2031">
        <v>178.0</v>
      </c>
    </row>
    <row r="1117">
      <c r="B1117" s="2031">
        <v>1115.0</v>
      </c>
      <c r="C1117" s="2031">
        <v>134.0</v>
      </c>
      <c r="D1117" s="2031">
        <v>267.0</v>
      </c>
      <c r="E1117" s="2031">
        <v>178.0</v>
      </c>
      <c r="F1117" s="2031">
        <v>178.0</v>
      </c>
      <c r="G1117" s="2031">
        <v>179.0</v>
      </c>
      <c r="H1117" s="2031">
        <v>179.0</v>
      </c>
    </row>
    <row r="1118">
      <c r="B1118" s="2031">
        <v>1116.0</v>
      </c>
      <c r="C1118" s="2031">
        <v>134.0</v>
      </c>
      <c r="D1118" s="2031">
        <v>268.0</v>
      </c>
      <c r="E1118" s="2031">
        <v>178.0</v>
      </c>
      <c r="F1118" s="2031">
        <v>178.0</v>
      </c>
      <c r="G1118" s="2031">
        <v>179.0</v>
      </c>
      <c r="H1118" s="2031">
        <v>179.0</v>
      </c>
    </row>
    <row r="1119">
      <c r="B1119" s="2031">
        <v>1117.0</v>
      </c>
      <c r="C1119" s="2031">
        <v>134.0</v>
      </c>
      <c r="D1119" s="2031">
        <v>269.0</v>
      </c>
      <c r="E1119" s="2031">
        <v>178.0</v>
      </c>
      <c r="F1119" s="2031">
        <v>178.0</v>
      </c>
      <c r="G1119" s="2031">
        <v>179.0</v>
      </c>
      <c r="H1119" s="2031">
        <v>179.0</v>
      </c>
    </row>
    <row r="1120">
      <c r="B1120" s="2031">
        <v>1118.0</v>
      </c>
      <c r="C1120" s="2031">
        <v>134.0</v>
      </c>
      <c r="D1120" s="2031">
        <v>268.0</v>
      </c>
      <c r="E1120" s="2031">
        <v>179.0</v>
      </c>
      <c r="F1120" s="2031">
        <v>179.0</v>
      </c>
      <c r="G1120" s="2031">
        <v>179.0</v>
      </c>
      <c r="H1120" s="2031">
        <v>179.0</v>
      </c>
    </row>
    <row r="1121">
      <c r="B1121" s="2031">
        <v>1119.0</v>
      </c>
      <c r="C1121" s="2031">
        <v>134.0</v>
      </c>
      <c r="D1121" s="2031">
        <v>269.0</v>
      </c>
      <c r="E1121" s="2031">
        <v>179.0</v>
      </c>
      <c r="F1121" s="2031">
        <v>179.0</v>
      </c>
      <c r="G1121" s="2031">
        <v>179.0</v>
      </c>
      <c r="H1121" s="2031">
        <v>179.0</v>
      </c>
    </row>
    <row r="1122">
      <c r="B1122" s="2031">
        <v>1120.0</v>
      </c>
      <c r="C1122" s="2031">
        <v>135.0</v>
      </c>
      <c r="D1122" s="2031">
        <v>269.0</v>
      </c>
      <c r="E1122" s="2031">
        <v>179.0</v>
      </c>
      <c r="F1122" s="2031">
        <v>179.0</v>
      </c>
      <c r="G1122" s="2031">
        <v>179.0</v>
      </c>
      <c r="H1122" s="2031">
        <v>179.0</v>
      </c>
    </row>
    <row r="1123">
      <c r="B1123" s="2031">
        <v>1121.0</v>
      </c>
      <c r="C1123" s="2031">
        <v>134.0</v>
      </c>
      <c r="D1123" s="2031">
        <v>269.0</v>
      </c>
      <c r="E1123" s="2031">
        <v>179.0</v>
      </c>
      <c r="F1123" s="2031">
        <v>179.0</v>
      </c>
      <c r="G1123" s="2031">
        <v>180.0</v>
      </c>
      <c r="H1123" s="2031">
        <v>180.0</v>
      </c>
    </row>
    <row r="1124">
      <c r="B1124" s="2031">
        <v>1122.0</v>
      </c>
      <c r="C1124" s="2031">
        <v>135.0</v>
      </c>
      <c r="D1124" s="2031">
        <v>269.0</v>
      </c>
      <c r="E1124" s="2031">
        <v>179.0</v>
      </c>
      <c r="F1124" s="2031">
        <v>179.0</v>
      </c>
      <c r="G1124" s="2031">
        <v>180.0</v>
      </c>
      <c r="H1124" s="2031">
        <v>180.0</v>
      </c>
    </row>
    <row r="1125">
      <c r="B1125" s="2031">
        <v>1123.0</v>
      </c>
      <c r="C1125" s="2031">
        <v>134.0</v>
      </c>
      <c r="D1125" s="2031">
        <v>269.0</v>
      </c>
      <c r="E1125" s="2031">
        <v>180.0</v>
      </c>
      <c r="F1125" s="2031">
        <v>180.0</v>
      </c>
      <c r="G1125" s="2031">
        <v>180.0</v>
      </c>
      <c r="H1125" s="2031">
        <v>180.0</v>
      </c>
    </row>
    <row r="1126">
      <c r="B1126" s="2031">
        <v>1124.0</v>
      </c>
      <c r="C1126" s="2031">
        <v>135.0</v>
      </c>
      <c r="D1126" s="2031">
        <v>269.0</v>
      </c>
      <c r="E1126" s="2031">
        <v>180.0</v>
      </c>
      <c r="F1126" s="2031">
        <v>180.0</v>
      </c>
      <c r="G1126" s="2031">
        <v>180.0</v>
      </c>
      <c r="H1126" s="2031">
        <v>180.0</v>
      </c>
    </row>
    <row r="1127">
      <c r="B1127" s="2031">
        <v>1125.0</v>
      </c>
      <c r="C1127" s="2031">
        <v>135.0</v>
      </c>
      <c r="D1127" s="2031">
        <v>270.0</v>
      </c>
      <c r="E1127" s="2031">
        <v>180.0</v>
      </c>
      <c r="F1127" s="2031">
        <v>180.0</v>
      </c>
      <c r="G1127" s="2031">
        <v>180.0</v>
      </c>
      <c r="H1127" s="2031">
        <v>180.0</v>
      </c>
    </row>
    <row r="1128">
      <c r="B1128" s="2031">
        <v>1126.0</v>
      </c>
      <c r="C1128" s="2031">
        <v>135.0</v>
      </c>
      <c r="D1128" s="2031">
        <v>271.0</v>
      </c>
      <c r="E1128" s="2031">
        <v>180.0</v>
      </c>
      <c r="F1128" s="2031">
        <v>180.0</v>
      </c>
      <c r="G1128" s="2031">
        <v>180.0</v>
      </c>
      <c r="H1128" s="2031">
        <v>180.0</v>
      </c>
    </row>
    <row r="1129">
      <c r="B1129" s="2031">
        <v>1127.0</v>
      </c>
      <c r="C1129" s="2031">
        <v>136.0</v>
      </c>
      <c r="D1129" s="2031">
        <v>271.0</v>
      </c>
      <c r="E1129" s="2031">
        <v>180.0</v>
      </c>
      <c r="F1129" s="2031">
        <v>180.0</v>
      </c>
      <c r="G1129" s="2031">
        <v>180.0</v>
      </c>
      <c r="H1129" s="2031">
        <v>180.0</v>
      </c>
    </row>
    <row r="1130">
      <c r="B1130" s="2031">
        <v>1128.0</v>
      </c>
      <c r="C1130" s="2031">
        <v>135.0</v>
      </c>
      <c r="D1130" s="2031">
        <v>271.0</v>
      </c>
      <c r="E1130" s="2031">
        <v>180.0</v>
      </c>
      <c r="F1130" s="2031">
        <v>180.0</v>
      </c>
      <c r="G1130" s="2031">
        <v>181.0</v>
      </c>
      <c r="H1130" s="2031">
        <v>181.0</v>
      </c>
    </row>
    <row r="1131">
      <c r="B1131" s="2031">
        <v>1129.0</v>
      </c>
      <c r="C1131" s="2031">
        <v>136.0</v>
      </c>
      <c r="D1131" s="2031">
        <v>271.0</v>
      </c>
      <c r="E1131" s="2031">
        <v>180.0</v>
      </c>
      <c r="F1131" s="2031">
        <v>180.0</v>
      </c>
      <c r="G1131" s="2031">
        <v>181.0</v>
      </c>
      <c r="H1131" s="2031">
        <v>181.0</v>
      </c>
    </row>
    <row r="1132">
      <c r="B1132" s="2031">
        <v>1130.0</v>
      </c>
      <c r="C1132" s="2031">
        <v>135.0</v>
      </c>
      <c r="D1132" s="2031">
        <v>271.0</v>
      </c>
      <c r="E1132" s="2031">
        <v>181.0</v>
      </c>
      <c r="F1132" s="2031">
        <v>181.0</v>
      </c>
      <c r="G1132" s="2031">
        <v>181.0</v>
      </c>
      <c r="H1132" s="2031">
        <v>181.0</v>
      </c>
    </row>
    <row r="1133">
      <c r="B1133" s="2031">
        <v>1131.0</v>
      </c>
      <c r="C1133" s="2031">
        <v>136.0</v>
      </c>
      <c r="D1133" s="2031">
        <v>271.0</v>
      </c>
      <c r="E1133" s="2031">
        <v>181.0</v>
      </c>
      <c r="F1133" s="2031">
        <v>181.0</v>
      </c>
      <c r="G1133" s="2031">
        <v>181.0</v>
      </c>
      <c r="H1133" s="2031">
        <v>181.0</v>
      </c>
    </row>
    <row r="1134">
      <c r="B1134" s="2031">
        <v>1132.0</v>
      </c>
      <c r="C1134" s="2031">
        <v>136.0</v>
      </c>
      <c r="D1134" s="2031">
        <v>272.0</v>
      </c>
      <c r="E1134" s="2031">
        <v>181.0</v>
      </c>
      <c r="F1134" s="2031">
        <v>181.0</v>
      </c>
      <c r="G1134" s="2031">
        <v>181.0</v>
      </c>
      <c r="H1134" s="2031">
        <v>181.0</v>
      </c>
    </row>
    <row r="1135">
      <c r="B1135" s="2031">
        <v>1133.0</v>
      </c>
      <c r="C1135" s="2031">
        <v>136.0</v>
      </c>
      <c r="D1135" s="2031">
        <v>271.0</v>
      </c>
      <c r="E1135" s="2031">
        <v>181.0</v>
      </c>
      <c r="F1135" s="2031">
        <v>181.0</v>
      </c>
      <c r="G1135" s="2031">
        <v>182.0</v>
      </c>
      <c r="H1135" s="2031">
        <v>182.0</v>
      </c>
    </row>
    <row r="1136">
      <c r="B1136" s="2031">
        <v>1134.0</v>
      </c>
      <c r="C1136" s="2031">
        <v>136.0</v>
      </c>
      <c r="D1136" s="2031">
        <v>272.0</v>
      </c>
      <c r="E1136" s="2031">
        <v>181.0</v>
      </c>
      <c r="F1136" s="2031">
        <v>181.0</v>
      </c>
      <c r="G1136" s="2031">
        <v>182.0</v>
      </c>
      <c r="H1136" s="2031">
        <v>182.0</v>
      </c>
    </row>
    <row r="1137">
      <c r="B1137" s="2031">
        <v>1135.0</v>
      </c>
      <c r="C1137" s="2031">
        <v>136.0</v>
      </c>
      <c r="D1137" s="2031">
        <v>273.0</v>
      </c>
      <c r="E1137" s="2031">
        <v>181.0</v>
      </c>
      <c r="F1137" s="2031">
        <v>181.0</v>
      </c>
      <c r="G1137" s="2031">
        <v>182.0</v>
      </c>
      <c r="H1137" s="2031">
        <v>182.0</v>
      </c>
    </row>
    <row r="1138">
      <c r="B1138" s="2031">
        <v>1136.0</v>
      </c>
      <c r="C1138" s="2031">
        <v>136.0</v>
      </c>
      <c r="D1138" s="2031">
        <v>272.0</v>
      </c>
      <c r="E1138" s="2031">
        <v>182.0</v>
      </c>
      <c r="F1138" s="2031">
        <v>182.0</v>
      </c>
      <c r="G1138" s="2031">
        <v>182.0</v>
      </c>
      <c r="H1138" s="2031">
        <v>182.0</v>
      </c>
    </row>
    <row r="1139">
      <c r="B1139" s="2031">
        <v>1137.0</v>
      </c>
      <c r="C1139" s="2031">
        <v>136.0</v>
      </c>
      <c r="D1139" s="2031">
        <v>273.0</v>
      </c>
      <c r="E1139" s="2031">
        <v>182.0</v>
      </c>
      <c r="F1139" s="2031">
        <v>182.0</v>
      </c>
      <c r="G1139" s="2031">
        <v>182.0</v>
      </c>
      <c r="H1139" s="2031">
        <v>182.0</v>
      </c>
    </row>
    <row r="1140">
      <c r="B1140" s="2031">
        <v>1138.0</v>
      </c>
      <c r="C1140" s="2031">
        <v>137.0</v>
      </c>
      <c r="D1140" s="2031">
        <v>273.0</v>
      </c>
      <c r="E1140" s="2031">
        <v>182.0</v>
      </c>
      <c r="F1140" s="2031">
        <v>182.0</v>
      </c>
      <c r="G1140" s="2031">
        <v>182.0</v>
      </c>
      <c r="H1140" s="2031">
        <v>182.0</v>
      </c>
    </row>
    <row r="1141">
      <c r="B1141" s="2031">
        <v>1139.0</v>
      </c>
      <c r="C1141" s="2031">
        <v>137.0</v>
      </c>
      <c r="D1141" s="2031">
        <v>274.0</v>
      </c>
      <c r="E1141" s="2031">
        <v>182.0</v>
      </c>
      <c r="F1141" s="2031">
        <v>182.0</v>
      </c>
      <c r="G1141" s="2031">
        <v>182.0</v>
      </c>
      <c r="H1141" s="2031">
        <v>182.0</v>
      </c>
    </row>
    <row r="1142">
      <c r="B1142" s="2031">
        <v>1140.0</v>
      </c>
      <c r="C1142" s="2031">
        <v>137.0</v>
      </c>
      <c r="D1142" s="2031">
        <v>273.0</v>
      </c>
      <c r="E1142" s="2031">
        <v>182.0</v>
      </c>
      <c r="F1142" s="2031">
        <v>182.0</v>
      </c>
      <c r="G1142" s="2031">
        <v>183.0</v>
      </c>
      <c r="H1142" s="2031">
        <v>183.0</v>
      </c>
    </row>
    <row r="1143">
      <c r="B1143" s="2031">
        <v>1141.0</v>
      </c>
      <c r="C1143" s="2031">
        <v>137.0</v>
      </c>
      <c r="D1143" s="2031">
        <v>274.0</v>
      </c>
      <c r="E1143" s="2031">
        <v>182.0</v>
      </c>
      <c r="F1143" s="2031">
        <v>182.0</v>
      </c>
      <c r="G1143" s="2031">
        <v>183.0</v>
      </c>
      <c r="H1143" s="2031">
        <v>183.0</v>
      </c>
    </row>
    <row r="1144">
      <c r="B1144" s="2031">
        <v>1142.0</v>
      </c>
      <c r="C1144" s="2031">
        <v>137.0</v>
      </c>
      <c r="D1144" s="2031">
        <v>275.0</v>
      </c>
      <c r="E1144" s="2031">
        <v>182.0</v>
      </c>
      <c r="F1144" s="2031">
        <v>182.0</v>
      </c>
      <c r="G1144" s="2031">
        <v>183.0</v>
      </c>
      <c r="H1144" s="2031">
        <v>183.0</v>
      </c>
    </row>
    <row r="1145">
      <c r="B1145" s="2031">
        <v>1143.0</v>
      </c>
      <c r="C1145" s="2031">
        <v>137.0</v>
      </c>
      <c r="D1145" s="2031">
        <v>274.0</v>
      </c>
      <c r="E1145" s="2031">
        <v>183.0</v>
      </c>
      <c r="F1145" s="2031">
        <v>183.0</v>
      </c>
      <c r="G1145" s="2031">
        <v>183.0</v>
      </c>
      <c r="H1145" s="2031">
        <v>183.0</v>
      </c>
    </row>
    <row r="1146">
      <c r="B1146" s="2031">
        <v>1144.0</v>
      </c>
      <c r="C1146" s="2031">
        <v>137.0</v>
      </c>
      <c r="D1146" s="2031">
        <v>275.0</v>
      </c>
      <c r="E1146" s="2031">
        <v>183.0</v>
      </c>
      <c r="F1146" s="2031">
        <v>183.0</v>
      </c>
      <c r="G1146" s="2031">
        <v>183.0</v>
      </c>
      <c r="H1146" s="2031">
        <v>183.0</v>
      </c>
    </row>
    <row r="1147">
      <c r="B1147" s="2031">
        <v>1145.0</v>
      </c>
      <c r="C1147" s="2031">
        <v>138.0</v>
      </c>
      <c r="D1147" s="2031">
        <v>275.0</v>
      </c>
      <c r="E1147" s="2031">
        <v>183.0</v>
      </c>
      <c r="F1147" s="2031">
        <v>183.0</v>
      </c>
      <c r="G1147" s="2031">
        <v>183.0</v>
      </c>
      <c r="H1147" s="2031">
        <v>183.0</v>
      </c>
    </row>
    <row r="1148">
      <c r="B1148" s="2031">
        <v>1146.0</v>
      </c>
      <c r="C1148" s="2031">
        <v>137.0</v>
      </c>
      <c r="D1148" s="2031">
        <v>275.0</v>
      </c>
      <c r="E1148" s="2031">
        <v>183.0</v>
      </c>
      <c r="F1148" s="2031">
        <v>183.0</v>
      </c>
      <c r="G1148" s="2031">
        <v>184.0</v>
      </c>
      <c r="H1148" s="2031">
        <v>184.0</v>
      </c>
    </row>
    <row r="1149">
      <c r="B1149" s="2031">
        <v>1147.0</v>
      </c>
      <c r="C1149" s="2031">
        <v>138.0</v>
      </c>
      <c r="D1149" s="2031">
        <v>275.0</v>
      </c>
      <c r="E1149" s="2031">
        <v>183.0</v>
      </c>
      <c r="F1149" s="2031">
        <v>183.0</v>
      </c>
      <c r="G1149" s="2031">
        <v>184.0</v>
      </c>
      <c r="H1149" s="2031">
        <v>184.0</v>
      </c>
    </row>
    <row r="1150">
      <c r="B1150" s="2031">
        <v>1148.0</v>
      </c>
      <c r="C1150" s="2031">
        <v>137.0</v>
      </c>
      <c r="D1150" s="2031">
        <v>275.0</v>
      </c>
      <c r="E1150" s="2031">
        <v>184.0</v>
      </c>
      <c r="F1150" s="2031">
        <v>184.0</v>
      </c>
      <c r="G1150" s="2031">
        <v>184.0</v>
      </c>
      <c r="H1150" s="2031">
        <v>184.0</v>
      </c>
    </row>
    <row r="1151">
      <c r="B1151" s="2031">
        <v>1149.0</v>
      </c>
      <c r="C1151" s="2031">
        <v>138.0</v>
      </c>
      <c r="D1151" s="2031">
        <v>275.0</v>
      </c>
      <c r="E1151" s="2031">
        <v>184.0</v>
      </c>
      <c r="F1151" s="2031">
        <v>184.0</v>
      </c>
      <c r="G1151" s="2031">
        <v>184.0</v>
      </c>
      <c r="H1151" s="2031">
        <v>184.0</v>
      </c>
    </row>
    <row r="1152">
      <c r="B1152" s="2031">
        <v>1150.0</v>
      </c>
      <c r="C1152" s="2031">
        <v>138.0</v>
      </c>
      <c r="D1152" s="2031">
        <v>276.0</v>
      </c>
      <c r="E1152" s="2031">
        <v>184.0</v>
      </c>
      <c r="F1152" s="2031">
        <v>184.0</v>
      </c>
      <c r="G1152" s="2031">
        <v>184.0</v>
      </c>
      <c r="H1152" s="2031">
        <v>184.0</v>
      </c>
    </row>
    <row r="1153">
      <c r="B1153" s="2031">
        <v>1151.0</v>
      </c>
      <c r="C1153" s="2031">
        <v>138.0</v>
      </c>
      <c r="D1153" s="2031">
        <v>277.0</v>
      </c>
      <c r="E1153" s="2031">
        <v>184.0</v>
      </c>
      <c r="F1153" s="2031">
        <v>184.0</v>
      </c>
      <c r="G1153" s="2031">
        <v>184.0</v>
      </c>
      <c r="H1153" s="2031">
        <v>184.0</v>
      </c>
    </row>
    <row r="1154">
      <c r="B1154" s="2031">
        <v>1152.0</v>
      </c>
      <c r="C1154" s="2031">
        <v>139.0</v>
      </c>
      <c r="D1154" s="2031">
        <v>277.0</v>
      </c>
      <c r="E1154" s="2031">
        <v>184.0</v>
      </c>
      <c r="F1154" s="2031">
        <v>184.0</v>
      </c>
      <c r="G1154" s="2031">
        <v>184.0</v>
      </c>
      <c r="H1154" s="2031">
        <v>184.0</v>
      </c>
    </row>
    <row r="1155">
      <c r="B1155" s="2031">
        <v>1153.0</v>
      </c>
      <c r="C1155" s="2031">
        <v>138.0</v>
      </c>
      <c r="D1155" s="2031">
        <v>277.0</v>
      </c>
      <c r="E1155" s="2031">
        <v>184.0</v>
      </c>
      <c r="F1155" s="2031">
        <v>184.0</v>
      </c>
      <c r="G1155" s="2031">
        <v>185.0</v>
      </c>
      <c r="H1155" s="2031">
        <v>185.0</v>
      </c>
    </row>
    <row r="1156">
      <c r="B1156" s="2031">
        <v>1154.0</v>
      </c>
      <c r="C1156" s="2031">
        <v>139.0</v>
      </c>
      <c r="D1156" s="2031">
        <v>277.0</v>
      </c>
      <c r="E1156" s="2031">
        <v>184.0</v>
      </c>
      <c r="F1156" s="2031">
        <v>184.0</v>
      </c>
      <c r="G1156" s="2031">
        <v>185.0</v>
      </c>
      <c r="H1156" s="2031">
        <v>185.0</v>
      </c>
    </row>
    <row r="1157">
      <c r="B1157" s="2031">
        <v>1155.0</v>
      </c>
      <c r="C1157" s="2031">
        <v>138.0</v>
      </c>
      <c r="D1157" s="2031">
        <v>277.0</v>
      </c>
      <c r="E1157" s="2031">
        <v>185.0</v>
      </c>
      <c r="F1157" s="2031">
        <v>185.0</v>
      </c>
      <c r="G1157" s="2031">
        <v>185.0</v>
      </c>
      <c r="H1157" s="2031">
        <v>185.0</v>
      </c>
    </row>
    <row r="1158">
      <c r="B1158" s="2031">
        <v>1156.0</v>
      </c>
      <c r="C1158" s="2031">
        <v>139.0</v>
      </c>
      <c r="D1158" s="2031">
        <v>277.0</v>
      </c>
      <c r="E1158" s="2031">
        <v>185.0</v>
      </c>
      <c r="F1158" s="2031">
        <v>185.0</v>
      </c>
      <c r="G1158" s="2031">
        <v>185.0</v>
      </c>
      <c r="H1158" s="2031">
        <v>185.0</v>
      </c>
    </row>
    <row r="1159">
      <c r="B1159" s="2031">
        <v>1157.0</v>
      </c>
      <c r="C1159" s="2031">
        <v>139.0</v>
      </c>
      <c r="D1159" s="2031">
        <v>278.0</v>
      </c>
      <c r="E1159" s="2031">
        <v>185.0</v>
      </c>
      <c r="F1159" s="2031">
        <v>185.0</v>
      </c>
      <c r="G1159" s="2031">
        <v>185.0</v>
      </c>
      <c r="H1159" s="2031">
        <v>185.0</v>
      </c>
    </row>
    <row r="1160">
      <c r="B1160" s="2031">
        <v>1158.0</v>
      </c>
      <c r="C1160" s="2031">
        <v>139.0</v>
      </c>
      <c r="D1160" s="2031">
        <v>277.0</v>
      </c>
      <c r="E1160" s="2031">
        <v>185.0</v>
      </c>
      <c r="F1160" s="2031">
        <v>185.0</v>
      </c>
      <c r="G1160" s="2031">
        <v>186.0</v>
      </c>
      <c r="H1160" s="2031">
        <v>186.0</v>
      </c>
    </row>
    <row r="1161">
      <c r="B1161" s="2031">
        <v>1159.0</v>
      </c>
      <c r="C1161" s="2031">
        <v>139.0</v>
      </c>
      <c r="D1161" s="2031">
        <v>278.0</v>
      </c>
      <c r="E1161" s="2031">
        <v>185.0</v>
      </c>
      <c r="F1161" s="2031">
        <v>185.0</v>
      </c>
      <c r="G1161" s="2031">
        <v>186.0</v>
      </c>
      <c r="H1161" s="2031">
        <v>186.0</v>
      </c>
    </row>
    <row r="1162">
      <c r="B1162" s="2031">
        <v>1160.0</v>
      </c>
      <c r="C1162" s="2031">
        <v>139.0</v>
      </c>
      <c r="D1162" s="2031">
        <v>279.0</v>
      </c>
      <c r="E1162" s="2031">
        <v>185.0</v>
      </c>
      <c r="F1162" s="2031">
        <v>185.0</v>
      </c>
      <c r="G1162" s="2031">
        <v>186.0</v>
      </c>
      <c r="H1162" s="2031">
        <v>186.0</v>
      </c>
    </row>
    <row r="1163">
      <c r="B1163" s="2031">
        <v>1161.0</v>
      </c>
      <c r="C1163" s="2031">
        <v>139.0</v>
      </c>
      <c r="D1163" s="2031">
        <v>278.0</v>
      </c>
      <c r="E1163" s="2031">
        <v>186.0</v>
      </c>
      <c r="F1163" s="2031">
        <v>186.0</v>
      </c>
      <c r="G1163" s="2031">
        <v>186.0</v>
      </c>
      <c r="H1163" s="2031">
        <v>186.0</v>
      </c>
    </row>
    <row r="1164">
      <c r="B1164" s="2031">
        <v>1162.0</v>
      </c>
      <c r="C1164" s="2031">
        <v>139.0</v>
      </c>
      <c r="D1164" s="2031">
        <v>279.0</v>
      </c>
      <c r="E1164" s="2031">
        <v>186.0</v>
      </c>
      <c r="F1164" s="2031">
        <v>186.0</v>
      </c>
      <c r="G1164" s="2031">
        <v>186.0</v>
      </c>
      <c r="H1164" s="2031">
        <v>186.0</v>
      </c>
    </row>
    <row r="1165">
      <c r="B1165" s="2031">
        <v>1163.0</v>
      </c>
      <c r="C1165" s="2031">
        <v>140.0</v>
      </c>
      <c r="D1165" s="2031">
        <v>279.0</v>
      </c>
      <c r="E1165" s="2031">
        <v>186.0</v>
      </c>
      <c r="F1165" s="2031">
        <v>186.0</v>
      </c>
      <c r="G1165" s="2031">
        <v>186.0</v>
      </c>
      <c r="H1165" s="2031">
        <v>186.0</v>
      </c>
    </row>
    <row r="1166">
      <c r="B1166" s="2031">
        <v>1164.0</v>
      </c>
      <c r="C1166" s="2031">
        <v>140.0</v>
      </c>
      <c r="D1166" s="2031">
        <v>280.0</v>
      </c>
      <c r="E1166" s="2031">
        <v>186.0</v>
      </c>
      <c r="F1166" s="2031">
        <v>186.0</v>
      </c>
      <c r="G1166" s="2031">
        <v>186.0</v>
      </c>
      <c r="H1166" s="2031">
        <v>186.0</v>
      </c>
    </row>
    <row r="1167">
      <c r="B1167" s="2031">
        <v>1165.0</v>
      </c>
      <c r="C1167" s="2031">
        <v>140.0</v>
      </c>
      <c r="D1167" s="2031">
        <v>279.0</v>
      </c>
      <c r="E1167" s="2031">
        <v>186.0</v>
      </c>
      <c r="F1167" s="2031">
        <v>186.0</v>
      </c>
      <c r="G1167" s="2031">
        <v>187.0</v>
      </c>
      <c r="H1167" s="2031">
        <v>187.0</v>
      </c>
    </row>
    <row r="1168">
      <c r="B1168" s="2031">
        <v>1166.0</v>
      </c>
      <c r="C1168" s="2031">
        <v>140.0</v>
      </c>
      <c r="D1168" s="2031">
        <v>280.0</v>
      </c>
      <c r="E1168" s="2031">
        <v>186.0</v>
      </c>
      <c r="F1168" s="2031">
        <v>186.0</v>
      </c>
      <c r="G1168" s="2031">
        <v>187.0</v>
      </c>
      <c r="H1168" s="2031">
        <v>187.0</v>
      </c>
    </row>
    <row r="1169">
      <c r="B1169" s="2031">
        <v>1167.0</v>
      </c>
      <c r="C1169" s="2031">
        <v>140.0</v>
      </c>
      <c r="D1169" s="2031">
        <v>281.0</v>
      </c>
      <c r="E1169" s="2031">
        <v>186.0</v>
      </c>
      <c r="F1169" s="2031">
        <v>186.0</v>
      </c>
      <c r="G1169" s="2031">
        <v>187.0</v>
      </c>
      <c r="H1169" s="2031">
        <v>187.0</v>
      </c>
    </row>
    <row r="1170">
      <c r="B1170" s="2031">
        <v>1168.0</v>
      </c>
      <c r="C1170" s="2031">
        <v>140.0</v>
      </c>
      <c r="D1170" s="2031">
        <v>280.0</v>
      </c>
      <c r="E1170" s="2031">
        <v>187.0</v>
      </c>
      <c r="F1170" s="2031">
        <v>187.0</v>
      </c>
      <c r="G1170" s="2031">
        <v>187.0</v>
      </c>
      <c r="H1170" s="2031">
        <v>187.0</v>
      </c>
    </row>
    <row r="1171">
      <c r="B1171" s="2031">
        <v>1169.0</v>
      </c>
      <c r="C1171" s="2031">
        <v>140.0</v>
      </c>
      <c r="D1171" s="2031">
        <v>281.0</v>
      </c>
      <c r="E1171" s="2031">
        <v>187.0</v>
      </c>
      <c r="F1171" s="2031">
        <v>187.0</v>
      </c>
      <c r="G1171" s="2031">
        <v>187.0</v>
      </c>
      <c r="H1171" s="2031">
        <v>187.0</v>
      </c>
    </row>
    <row r="1172">
      <c r="B1172" s="2031">
        <v>1170.0</v>
      </c>
      <c r="C1172" s="2031">
        <v>141.0</v>
      </c>
      <c r="D1172" s="2031">
        <v>281.0</v>
      </c>
      <c r="E1172" s="2031">
        <v>187.0</v>
      </c>
      <c r="F1172" s="2031">
        <v>187.0</v>
      </c>
      <c r="G1172" s="2031">
        <v>187.0</v>
      </c>
      <c r="H1172" s="2031">
        <v>187.0</v>
      </c>
    </row>
    <row r="1173">
      <c r="B1173" s="2031">
        <v>1171.0</v>
      </c>
      <c r="C1173" s="2031">
        <v>140.0</v>
      </c>
      <c r="D1173" s="2031">
        <v>281.0</v>
      </c>
      <c r="E1173" s="2031">
        <v>187.0</v>
      </c>
      <c r="F1173" s="2031">
        <v>187.0</v>
      </c>
      <c r="G1173" s="2031">
        <v>188.0</v>
      </c>
      <c r="H1173" s="2031">
        <v>188.0</v>
      </c>
    </row>
    <row r="1174">
      <c r="B1174" s="2031">
        <v>1172.0</v>
      </c>
      <c r="C1174" s="2031">
        <v>141.0</v>
      </c>
      <c r="D1174" s="2031">
        <v>281.0</v>
      </c>
      <c r="E1174" s="2031">
        <v>187.0</v>
      </c>
      <c r="F1174" s="2031">
        <v>187.0</v>
      </c>
      <c r="G1174" s="2031">
        <v>188.0</v>
      </c>
      <c r="H1174" s="2031">
        <v>188.0</v>
      </c>
    </row>
    <row r="1175">
      <c r="B1175" s="2031">
        <v>1173.0</v>
      </c>
      <c r="C1175" s="2031">
        <v>140.0</v>
      </c>
      <c r="D1175" s="2031">
        <v>281.0</v>
      </c>
      <c r="E1175" s="2031">
        <v>188.0</v>
      </c>
      <c r="F1175" s="2031">
        <v>188.0</v>
      </c>
      <c r="G1175" s="2031">
        <v>188.0</v>
      </c>
      <c r="H1175" s="2031">
        <v>188.0</v>
      </c>
    </row>
    <row r="1176">
      <c r="B1176" s="2031">
        <v>1174.0</v>
      </c>
      <c r="C1176" s="2031">
        <v>141.0</v>
      </c>
      <c r="D1176" s="2031">
        <v>281.0</v>
      </c>
      <c r="E1176" s="2031">
        <v>188.0</v>
      </c>
      <c r="F1176" s="2031">
        <v>188.0</v>
      </c>
      <c r="G1176" s="2031">
        <v>188.0</v>
      </c>
      <c r="H1176" s="2031">
        <v>188.0</v>
      </c>
    </row>
    <row r="1177">
      <c r="B1177" s="2031">
        <v>1175.0</v>
      </c>
      <c r="C1177" s="2031">
        <v>141.0</v>
      </c>
      <c r="D1177" s="2031">
        <v>282.0</v>
      </c>
      <c r="E1177" s="2031">
        <v>188.0</v>
      </c>
      <c r="F1177" s="2031">
        <v>188.0</v>
      </c>
      <c r="G1177" s="2031">
        <v>188.0</v>
      </c>
      <c r="H1177" s="2031">
        <v>188.0</v>
      </c>
    </row>
    <row r="1178">
      <c r="B1178" s="2031">
        <v>1176.0</v>
      </c>
      <c r="C1178" s="2031">
        <v>141.0</v>
      </c>
      <c r="D1178" s="2031">
        <v>283.0</v>
      </c>
      <c r="E1178" s="2031">
        <v>188.0</v>
      </c>
      <c r="F1178" s="2031">
        <v>188.0</v>
      </c>
      <c r="G1178" s="2031">
        <v>188.0</v>
      </c>
      <c r="H1178" s="2031">
        <v>188.0</v>
      </c>
    </row>
    <row r="1179">
      <c r="B1179" s="2031">
        <v>1177.0</v>
      </c>
      <c r="C1179" s="2031">
        <v>142.0</v>
      </c>
      <c r="D1179" s="2031">
        <v>283.0</v>
      </c>
      <c r="E1179" s="2031">
        <v>188.0</v>
      </c>
      <c r="F1179" s="2031">
        <v>188.0</v>
      </c>
      <c r="G1179" s="2031">
        <v>188.0</v>
      </c>
      <c r="H1179" s="2031">
        <v>188.0</v>
      </c>
    </row>
    <row r="1180">
      <c r="B1180" s="2031">
        <v>1178.0</v>
      </c>
      <c r="C1180" s="2031">
        <v>141.0</v>
      </c>
      <c r="D1180" s="2031">
        <v>283.0</v>
      </c>
      <c r="E1180" s="2031">
        <v>188.0</v>
      </c>
      <c r="F1180" s="2031">
        <v>188.0</v>
      </c>
      <c r="G1180" s="2031">
        <v>189.0</v>
      </c>
      <c r="H1180" s="2031">
        <v>189.0</v>
      </c>
    </row>
    <row r="1181">
      <c r="B1181" s="2031">
        <v>1179.0</v>
      </c>
      <c r="C1181" s="2031">
        <v>142.0</v>
      </c>
      <c r="D1181" s="2031">
        <v>283.0</v>
      </c>
      <c r="E1181" s="2031">
        <v>188.0</v>
      </c>
      <c r="F1181" s="2031">
        <v>188.0</v>
      </c>
      <c r="G1181" s="2031">
        <v>189.0</v>
      </c>
      <c r="H1181" s="2031">
        <v>189.0</v>
      </c>
    </row>
    <row r="1182">
      <c r="B1182" s="2031">
        <v>1180.0</v>
      </c>
      <c r="C1182" s="2031">
        <v>141.0</v>
      </c>
      <c r="D1182" s="2031">
        <v>283.0</v>
      </c>
      <c r="E1182" s="2031">
        <v>189.0</v>
      </c>
      <c r="F1182" s="2031">
        <v>189.0</v>
      </c>
      <c r="G1182" s="2031">
        <v>189.0</v>
      </c>
      <c r="H1182" s="2031">
        <v>189.0</v>
      </c>
    </row>
    <row r="1183">
      <c r="B1183" s="2031">
        <v>1181.0</v>
      </c>
      <c r="C1183" s="2031">
        <v>142.0</v>
      </c>
      <c r="D1183" s="2031">
        <v>283.0</v>
      </c>
      <c r="E1183" s="2031">
        <v>189.0</v>
      </c>
      <c r="F1183" s="2031">
        <v>189.0</v>
      </c>
      <c r="G1183" s="2031">
        <v>189.0</v>
      </c>
      <c r="H1183" s="2031">
        <v>189.0</v>
      </c>
    </row>
    <row r="1184">
      <c r="B1184" s="2031">
        <v>1182.0</v>
      </c>
      <c r="C1184" s="2031">
        <v>142.0</v>
      </c>
      <c r="D1184" s="2031">
        <v>284.0</v>
      </c>
      <c r="E1184" s="2031">
        <v>189.0</v>
      </c>
      <c r="F1184" s="2031">
        <v>189.0</v>
      </c>
      <c r="G1184" s="2031">
        <v>189.0</v>
      </c>
      <c r="H1184" s="2031">
        <v>189.0</v>
      </c>
    </row>
    <row r="1185">
      <c r="B1185" s="2031">
        <v>1183.0</v>
      </c>
      <c r="C1185" s="2031">
        <v>142.0</v>
      </c>
      <c r="D1185" s="2031">
        <v>283.0</v>
      </c>
      <c r="E1185" s="2031">
        <v>189.0</v>
      </c>
      <c r="F1185" s="2031">
        <v>189.0</v>
      </c>
      <c r="G1185" s="2031">
        <v>190.0</v>
      </c>
      <c r="H1185" s="2031">
        <v>190.0</v>
      </c>
    </row>
    <row r="1186">
      <c r="B1186" s="2031">
        <v>1184.0</v>
      </c>
      <c r="C1186" s="2031">
        <v>142.0</v>
      </c>
      <c r="D1186" s="2031">
        <v>284.0</v>
      </c>
      <c r="E1186" s="2031">
        <v>189.0</v>
      </c>
      <c r="F1186" s="2031">
        <v>189.0</v>
      </c>
      <c r="G1186" s="2031">
        <v>190.0</v>
      </c>
      <c r="H1186" s="2031">
        <v>190.0</v>
      </c>
    </row>
    <row r="1187">
      <c r="B1187" s="2031">
        <v>1185.0</v>
      </c>
      <c r="C1187" s="2031">
        <v>142.0</v>
      </c>
      <c r="D1187" s="2031">
        <v>285.0</v>
      </c>
      <c r="E1187" s="2031">
        <v>189.0</v>
      </c>
      <c r="F1187" s="2031">
        <v>189.0</v>
      </c>
      <c r="G1187" s="2031">
        <v>190.0</v>
      </c>
      <c r="H1187" s="2031">
        <v>190.0</v>
      </c>
    </row>
    <row r="1188">
      <c r="B1188" s="2031">
        <v>1186.0</v>
      </c>
      <c r="C1188" s="2031">
        <v>142.0</v>
      </c>
      <c r="D1188" s="2031">
        <v>284.0</v>
      </c>
      <c r="E1188" s="2031">
        <v>190.0</v>
      </c>
      <c r="F1188" s="2031">
        <v>190.0</v>
      </c>
      <c r="G1188" s="2031">
        <v>190.0</v>
      </c>
      <c r="H1188" s="2031">
        <v>190.0</v>
      </c>
    </row>
    <row r="1189">
      <c r="B1189" s="2031">
        <v>1187.0</v>
      </c>
      <c r="C1189" s="2031">
        <v>142.0</v>
      </c>
      <c r="D1189" s="2031">
        <v>285.0</v>
      </c>
      <c r="E1189" s="2031">
        <v>190.0</v>
      </c>
      <c r="F1189" s="2031">
        <v>190.0</v>
      </c>
      <c r="G1189" s="2031">
        <v>190.0</v>
      </c>
      <c r="H1189" s="2031">
        <v>190.0</v>
      </c>
    </row>
    <row r="1190">
      <c r="B1190" s="2031">
        <v>1188.0</v>
      </c>
      <c r="C1190" s="2031">
        <v>143.0</v>
      </c>
      <c r="D1190" s="2031">
        <v>285.0</v>
      </c>
      <c r="E1190" s="2031">
        <v>190.0</v>
      </c>
      <c r="F1190" s="2031">
        <v>190.0</v>
      </c>
      <c r="G1190" s="2031">
        <v>190.0</v>
      </c>
      <c r="H1190" s="2031">
        <v>190.0</v>
      </c>
    </row>
    <row r="1191">
      <c r="B1191" s="2031">
        <v>1189.0</v>
      </c>
      <c r="C1191" s="2031">
        <v>143.0</v>
      </c>
      <c r="D1191" s="2031">
        <v>286.0</v>
      </c>
      <c r="E1191" s="2031">
        <v>190.0</v>
      </c>
      <c r="F1191" s="2031">
        <v>190.0</v>
      </c>
      <c r="G1191" s="2031">
        <v>190.0</v>
      </c>
      <c r="H1191" s="2031">
        <v>190.0</v>
      </c>
    </row>
    <row r="1192">
      <c r="B1192" s="2031">
        <v>1190.0</v>
      </c>
      <c r="C1192" s="2031">
        <v>143.0</v>
      </c>
      <c r="D1192" s="2031">
        <v>285.0</v>
      </c>
      <c r="E1192" s="2031">
        <v>190.0</v>
      </c>
      <c r="F1192" s="2031">
        <v>190.0</v>
      </c>
      <c r="G1192" s="2031">
        <v>191.0</v>
      </c>
      <c r="H1192" s="2031">
        <v>191.0</v>
      </c>
    </row>
    <row r="1193">
      <c r="B1193" s="2031">
        <v>1191.0</v>
      </c>
      <c r="C1193" s="2031">
        <v>143.0</v>
      </c>
      <c r="D1193" s="2031">
        <v>286.0</v>
      </c>
      <c r="E1193" s="2031">
        <v>190.0</v>
      </c>
      <c r="F1193" s="2031">
        <v>190.0</v>
      </c>
      <c r="G1193" s="2031">
        <v>191.0</v>
      </c>
      <c r="H1193" s="2031">
        <v>191.0</v>
      </c>
    </row>
    <row r="1194">
      <c r="B1194" s="2031">
        <v>1192.0</v>
      </c>
      <c r="C1194" s="2031">
        <v>143.0</v>
      </c>
      <c r="D1194" s="2031">
        <v>287.0</v>
      </c>
      <c r="E1194" s="2031">
        <v>190.0</v>
      </c>
      <c r="F1194" s="2031">
        <v>190.0</v>
      </c>
      <c r="G1194" s="2031">
        <v>191.0</v>
      </c>
      <c r="H1194" s="2031">
        <v>191.0</v>
      </c>
    </row>
    <row r="1195">
      <c r="B1195" s="2031">
        <v>1193.0</v>
      </c>
      <c r="C1195" s="2031">
        <v>143.0</v>
      </c>
      <c r="D1195" s="2031">
        <v>286.0</v>
      </c>
      <c r="E1195" s="2031">
        <v>191.0</v>
      </c>
      <c r="F1195" s="2031">
        <v>191.0</v>
      </c>
      <c r="G1195" s="2031">
        <v>191.0</v>
      </c>
      <c r="H1195" s="2031">
        <v>191.0</v>
      </c>
    </row>
    <row r="1196">
      <c r="B1196" s="2031">
        <v>1194.0</v>
      </c>
      <c r="C1196" s="2031">
        <v>143.0</v>
      </c>
      <c r="D1196" s="2031">
        <v>287.0</v>
      </c>
      <c r="E1196" s="2031">
        <v>191.0</v>
      </c>
      <c r="F1196" s="2031">
        <v>191.0</v>
      </c>
      <c r="G1196" s="2031">
        <v>191.0</v>
      </c>
      <c r="H1196" s="2031">
        <v>191.0</v>
      </c>
    </row>
    <row r="1197">
      <c r="B1197" s="2031">
        <v>1195.0</v>
      </c>
      <c r="C1197" s="2031">
        <v>144.0</v>
      </c>
      <c r="D1197" s="2031">
        <v>287.0</v>
      </c>
      <c r="E1197" s="2031">
        <v>191.0</v>
      </c>
      <c r="F1197" s="2031">
        <v>191.0</v>
      </c>
      <c r="G1197" s="2031">
        <v>191.0</v>
      </c>
      <c r="H1197" s="2031">
        <v>191.0</v>
      </c>
    </row>
    <row r="1198">
      <c r="B1198" s="2031">
        <v>1196.0</v>
      </c>
      <c r="C1198" s="2031">
        <v>143.0</v>
      </c>
      <c r="D1198" s="2031">
        <v>287.0</v>
      </c>
      <c r="E1198" s="2031">
        <v>191.0</v>
      </c>
      <c r="F1198" s="2031">
        <v>191.0</v>
      </c>
      <c r="G1198" s="2031">
        <v>192.0</v>
      </c>
      <c r="H1198" s="2031">
        <v>192.0</v>
      </c>
    </row>
    <row r="1199">
      <c r="B1199" s="2031">
        <v>1197.0</v>
      </c>
      <c r="C1199" s="2031">
        <v>144.0</v>
      </c>
      <c r="D1199" s="2031">
        <v>287.0</v>
      </c>
      <c r="E1199" s="2031">
        <v>191.0</v>
      </c>
      <c r="F1199" s="2031">
        <v>191.0</v>
      </c>
      <c r="G1199" s="2031">
        <v>192.0</v>
      </c>
      <c r="H1199" s="2031">
        <v>192.0</v>
      </c>
    </row>
    <row r="1200">
      <c r="B1200" s="2031">
        <v>1198.0</v>
      </c>
      <c r="C1200" s="2031">
        <v>143.0</v>
      </c>
      <c r="D1200" s="2031">
        <v>287.0</v>
      </c>
      <c r="E1200" s="2031">
        <v>192.0</v>
      </c>
      <c r="F1200" s="2031">
        <v>192.0</v>
      </c>
      <c r="G1200" s="2031">
        <v>192.0</v>
      </c>
      <c r="H1200" s="2031">
        <v>192.0</v>
      </c>
    </row>
    <row r="1201">
      <c r="B1201" s="2031">
        <v>1199.0</v>
      </c>
      <c r="C1201" s="2031">
        <v>144.0</v>
      </c>
      <c r="D1201" s="2031">
        <v>287.0</v>
      </c>
      <c r="E1201" s="2031">
        <v>192.0</v>
      </c>
      <c r="F1201" s="2031">
        <v>192.0</v>
      </c>
      <c r="G1201" s="2031">
        <v>192.0</v>
      </c>
      <c r="H1201" s="2031">
        <v>192.0</v>
      </c>
    </row>
    <row r="1202">
      <c r="B1202" s="2031">
        <v>1200.0</v>
      </c>
      <c r="C1202" s="2031">
        <v>144.0</v>
      </c>
      <c r="D1202" s="2031">
        <v>288.0</v>
      </c>
      <c r="E1202" s="2031">
        <v>192.0</v>
      </c>
      <c r="F1202" s="2031">
        <v>192.0</v>
      </c>
      <c r="G1202" s="2031">
        <v>192.0</v>
      </c>
      <c r="H1202" s="2031">
        <v>192.0</v>
      </c>
    </row>
    <row r="1203">
      <c r="B1203" s="2031">
        <v>1201.0</v>
      </c>
      <c r="C1203" s="2031">
        <v>144.0</v>
      </c>
      <c r="D1203" s="2031">
        <v>289.0</v>
      </c>
      <c r="E1203" s="2031">
        <v>192.0</v>
      </c>
      <c r="F1203" s="2031">
        <v>192.0</v>
      </c>
      <c r="G1203" s="2031">
        <v>192.0</v>
      </c>
      <c r="H1203" s="2031">
        <v>192.0</v>
      </c>
    </row>
    <row r="1204">
      <c r="B1204" s="2031">
        <v>1202.0</v>
      </c>
      <c r="C1204" s="2031">
        <v>145.0</v>
      </c>
      <c r="D1204" s="2031">
        <v>289.0</v>
      </c>
      <c r="E1204" s="2031">
        <v>192.0</v>
      </c>
      <c r="F1204" s="2031">
        <v>192.0</v>
      </c>
      <c r="G1204" s="2031">
        <v>192.0</v>
      </c>
      <c r="H1204" s="2031">
        <v>192.0</v>
      </c>
    </row>
    <row r="1205">
      <c r="B1205" s="2031">
        <v>1203.0</v>
      </c>
      <c r="C1205" s="2031">
        <v>144.0</v>
      </c>
      <c r="D1205" s="2031">
        <v>289.0</v>
      </c>
      <c r="E1205" s="2031">
        <v>192.0</v>
      </c>
      <c r="F1205" s="2031">
        <v>192.0</v>
      </c>
      <c r="G1205" s="2031">
        <v>193.0</v>
      </c>
      <c r="H1205" s="2031">
        <v>193.0</v>
      </c>
    </row>
    <row r="1206">
      <c r="B1206" s="2031">
        <v>1204.0</v>
      </c>
      <c r="C1206" s="2031">
        <v>145.0</v>
      </c>
      <c r="D1206" s="2031">
        <v>289.0</v>
      </c>
      <c r="E1206" s="2031">
        <v>192.0</v>
      </c>
      <c r="F1206" s="2031">
        <v>192.0</v>
      </c>
      <c r="G1206" s="2031">
        <v>193.0</v>
      </c>
      <c r="H1206" s="2031">
        <v>193.0</v>
      </c>
    </row>
    <row r="1207">
      <c r="B1207" s="2031">
        <v>1205.0</v>
      </c>
      <c r="C1207" s="2031">
        <v>144.0</v>
      </c>
      <c r="D1207" s="2031">
        <v>289.0</v>
      </c>
      <c r="E1207" s="2031">
        <v>193.0</v>
      </c>
      <c r="F1207" s="2031">
        <v>193.0</v>
      </c>
      <c r="G1207" s="2031">
        <v>193.0</v>
      </c>
      <c r="H1207" s="2031">
        <v>193.0</v>
      </c>
    </row>
    <row r="1208">
      <c r="B1208" s="2031">
        <v>1206.0</v>
      </c>
      <c r="C1208" s="2031">
        <v>145.0</v>
      </c>
      <c r="D1208" s="2031">
        <v>289.0</v>
      </c>
      <c r="E1208" s="2031">
        <v>193.0</v>
      </c>
      <c r="F1208" s="2031">
        <v>193.0</v>
      </c>
      <c r="G1208" s="2031">
        <v>193.0</v>
      </c>
      <c r="H1208" s="2031">
        <v>193.0</v>
      </c>
    </row>
    <row r="1209">
      <c r="B1209" s="2031">
        <v>1207.0</v>
      </c>
      <c r="C1209" s="2031">
        <v>145.0</v>
      </c>
      <c r="D1209" s="2031">
        <v>290.0</v>
      </c>
      <c r="E1209" s="2031">
        <v>193.0</v>
      </c>
      <c r="F1209" s="2031">
        <v>193.0</v>
      </c>
      <c r="G1209" s="2031">
        <v>193.0</v>
      </c>
      <c r="H1209" s="2031">
        <v>193.0</v>
      </c>
    </row>
    <row r="1210">
      <c r="B1210" s="2031">
        <v>1208.0</v>
      </c>
      <c r="C1210" s="2031">
        <v>145.0</v>
      </c>
      <c r="D1210" s="2031">
        <v>289.0</v>
      </c>
      <c r="E1210" s="2031">
        <v>193.0</v>
      </c>
      <c r="F1210" s="2031">
        <v>193.0</v>
      </c>
      <c r="G1210" s="2031">
        <v>194.0</v>
      </c>
      <c r="H1210" s="2031">
        <v>194.0</v>
      </c>
    </row>
    <row r="1211">
      <c r="B1211" s="2031">
        <v>1209.0</v>
      </c>
      <c r="C1211" s="2031">
        <v>145.0</v>
      </c>
      <c r="D1211" s="2031">
        <v>290.0</v>
      </c>
      <c r="E1211" s="2031">
        <v>193.0</v>
      </c>
      <c r="F1211" s="2031">
        <v>193.0</v>
      </c>
      <c r="G1211" s="2031">
        <v>194.0</v>
      </c>
      <c r="H1211" s="2031">
        <v>194.0</v>
      </c>
    </row>
    <row r="1212">
      <c r="B1212" s="2031">
        <v>1210.0</v>
      </c>
      <c r="C1212" s="2031">
        <v>145.0</v>
      </c>
      <c r="D1212" s="2031">
        <v>291.0</v>
      </c>
      <c r="E1212" s="2031">
        <v>193.0</v>
      </c>
      <c r="F1212" s="2031">
        <v>193.0</v>
      </c>
      <c r="G1212" s="2031">
        <v>194.0</v>
      </c>
      <c r="H1212" s="2031">
        <v>194.0</v>
      </c>
    </row>
    <row r="1213">
      <c r="B1213" s="2031">
        <v>1211.0</v>
      </c>
      <c r="C1213" s="2031">
        <v>145.0</v>
      </c>
      <c r="D1213" s="2031">
        <v>290.0</v>
      </c>
      <c r="E1213" s="2031">
        <v>194.0</v>
      </c>
      <c r="F1213" s="2031">
        <v>194.0</v>
      </c>
      <c r="G1213" s="2031">
        <v>194.0</v>
      </c>
      <c r="H1213" s="2031">
        <v>194.0</v>
      </c>
    </row>
    <row r="1214">
      <c r="B1214" s="2031">
        <v>1212.0</v>
      </c>
      <c r="C1214" s="2031">
        <v>145.0</v>
      </c>
      <c r="D1214" s="2031">
        <v>291.0</v>
      </c>
      <c r="E1214" s="2031">
        <v>194.0</v>
      </c>
      <c r="F1214" s="2031">
        <v>194.0</v>
      </c>
      <c r="G1214" s="2031">
        <v>194.0</v>
      </c>
      <c r="H1214" s="2031">
        <v>194.0</v>
      </c>
    </row>
    <row r="1215">
      <c r="B1215" s="2031">
        <v>1213.0</v>
      </c>
      <c r="C1215" s="2031">
        <v>146.0</v>
      </c>
      <c r="D1215" s="2031">
        <v>291.0</v>
      </c>
      <c r="E1215" s="2031">
        <v>194.0</v>
      </c>
      <c r="F1215" s="2031">
        <v>194.0</v>
      </c>
      <c r="G1215" s="2031">
        <v>194.0</v>
      </c>
      <c r="H1215" s="2031">
        <v>194.0</v>
      </c>
    </row>
    <row r="1216">
      <c r="B1216" s="2031">
        <v>1214.0</v>
      </c>
      <c r="C1216" s="2031">
        <v>146.0</v>
      </c>
      <c r="D1216" s="2031">
        <v>292.0</v>
      </c>
      <c r="E1216" s="2031">
        <v>194.0</v>
      </c>
      <c r="F1216" s="2031">
        <v>194.0</v>
      </c>
      <c r="G1216" s="2031">
        <v>194.0</v>
      </c>
      <c r="H1216" s="2031">
        <v>194.0</v>
      </c>
    </row>
    <row r="1217">
      <c r="B1217" s="2031">
        <v>1215.0</v>
      </c>
      <c r="C1217" s="2031">
        <v>146.0</v>
      </c>
      <c r="D1217" s="2031">
        <v>291.0</v>
      </c>
      <c r="E1217" s="2031">
        <v>194.0</v>
      </c>
      <c r="F1217" s="2031">
        <v>194.0</v>
      </c>
      <c r="G1217" s="2031">
        <v>195.0</v>
      </c>
      <c r="H1217" s="2031">
        <v>195.0</v>
      </c>
    </row>
    <row r="1218">
      <c r="B1218" s="2031">
        <v>1216.0</v>
      </c>
      <c r="C1218" s="2031">
        <v>146.0</v>
      </c>
      <c r="D1218" s="2031">
        <v>292.0</v>
      </c>
      <c r="E1218" s="2031">
        <v>194.0</v>
      </c>
      <c r="F1218" s="2031">
        <v>194.0</v>
      </c>
      <c r="G1218" s="2031">
        <v>195.0</v>
      </c>
      <c r="H1218" s="2031">
        <v>195.0</v>
      </c>
    </row>
    <row r="1219">
      <c r="B1219" s="2031">
        <v>1217.0</v>
      </c>
      <c r="C1219" s="2031">
        <v>146.0</v>
      </c>
      <c r="D1219" s="2031">
        <v>293.0</v>
      </c>
      <c r="E1219" s="2031">
        <v>194.0</v>
      </c>
      <c r="F1219" s="2031">
        <v>194.0</v>
      </c>
      <c r="G1219" s="2031">
        <v>195.0</v>
      </c>
      <c r="H1219" s="2031">
        <v>195.0</v>
      </c>
    </row>
    <row r="1220">
      <c r="B1220" s="2031">
        <v>1218.0</v>
      </c>
      <c r="C1220" s="2031">
        <v>146.0</v>
      </c>
      <c r="D1220" s="2031">
        <v>292.0</v>
      </c>
      <c r="E1220" s="2031">
        <v>195.0</v>
      </c>
      <c r="F1220" s="2031">
        <v>195.0</v>
      </c>
      <c r="G1220" s="2031">
        <v>195.0</v>
      </c>
      <c r="H1220" s="2031">
        <v>195.0</v>
      </c>
    </row>
    <row r="1221">
      <c r="B1221" s="2031">
        <v>1219.0</v>
      </c>
      <c r="C1221" s="2031">
        <v>146.0</v>
      </c>
      <c r="D1221" s="2031">
        <v>293.0</v>
      </c>
      <c r="E1221" s="2031">
        <v>195.0</v>
      </c>
      <c r="F1221" s="2031">
        <v>195.0</v>
      </c>
      <c r="G1221" s="2031">
        <v>195.0</v>
      </c>
      <c r="H1221" s="2031">
        <v>195.0</v>
      </c>
    </row>
    <row r="1222">
      <c r="B1222" s="2031">
        <v>1220.0</v>
      </c>
      <c r="C1222" s="2031">
        <v>147.0</v>
      </c>
      <c r="D1222" s="2031">
        <v>293.0</v>
      </c>
      <c r="E1222" s="2031">
        <v>195.0</v>
      </c>
      <c r="F1222" s="2031">
        <v>195.0</v>
      </c>
      <c r="G1222" s="2031">
        <v>195.0</v>
      </c>
      <c r="H1222" s="2031">
        <v>195.0</v>
      </c>
    </row>
    <row r="1223">
      <c r="B1223" s="2031">
        <v>1221.0</v>
      </c>
      <c r="C1223" s="2031">
        <v>146.0</v>
      </c>
      <c r="D1223" s="2031">
        <v>293.0</v>
      </c>
      <c r="E1223" s="2031">
        <v>195.0</v>
      </c>
      <c r="F1223" s="2031">
        <v>195.0</v>
      </c>
      <c r="G1223" s="2031">
        <v>196.0</v>
      </c>
      <c r="H1223" s="2031">
        <v>196.0</v>
      </c>
    </row>
    <row r="1224">
      <c r="B1224" s="2031">
        <v>1222.0</v>
      </c>
      <c r="C1224" s="2031">
        <v>147.0</v>
      </c>
      <c r="D1224" s="2031">
        <v>293.0</v>
      </c>
      <c r="E1224" s="2031">
        <v>195.0</v>
      </c>
      <c r="F1224" s="2031">
        <v>195.0</v>
      </c>
      <c r="G1224" s="2031">
        <v>196.0</v>
      </c>
      <c r="H1224" s="2031">
        <v>196.0</v>
      </c>
    </row>
    <row r="1225">
      <c r="B1225" s="2031">
        <v>1223.0</v>
      </c>
      <c r="C1225" s="2031">
        <v>146.0</v>
      </c>
      <c r="D1225" s="2031">
        <v>293.0</v>
      </c>
      <c r="E1225" s="2031">
        <v>196.0</v>
      </c>
      <c r="F1225" s="2031">
        <v>196.0</v>
      </c>
      <c r="G1225" s="2031">
        <v>196.0</v>
      </c>
      <c r="H1225" s="2031">
        <v>196.0</v>
      </c>
    </row>
    <row r="1226">
      <c r="B1226" s="2031">
        <v>1224.0</v>
      </c>
      <c r="C1226" s="2031">
        <v>147.0</v>
      </c>
      <c r="D1226" s="2031">
        <v>293.0</v>
      </c>
      <c r="E1226" s="2031">
        <v>196.0</v>
      </c>
      <c r="F1226" s="2031">
        <v>196.0</v>
      </c>
      <c r="G1226" s="2031">
        <v>196.0</v>
      </c>
      <c r="H1226" s="2031">
        <v>196.0</v>
      </c>
    </row>
    <row r="1227">
      <c r="B1227" s="2031">
        <v>1225.0</v>
      </c>
      <c r="C1227" s="2031">
        <v>147.0</v>
      </c>
      <c r="D1227" s="2031">
        <v>294.0</v>
      </c>
      <c r="E1227" s="2031">
        <v>196.0</v>
      </c>
      <c r="F1227" s="2031">
        <v>196.0</v>
      </c>
      <c r="G1227" s="2031">
        <v>196.0</v>
      </c>
      <c r="H1227" s="2031">
        <v>196.0</v>
      </c>
    </row>
    <row r="1228">
      <c r="B1228" s="2031">
        <v>1226.0</v>
      </c>
      <c r="C1228" s="2031">
        <v>147.0</v>
      </c>
      <c r="D1228" s="2031">
        <v>295.0</v>
      </c>
      <c r="E1228" s="2031">
        <v>196.0</v>
      </c>
      <c r="F1228" s="2031">
        <v>196.0</v>
      </c>
      <c r="G1228" s="2031">
        <v>196.0</v>
      </c>
      <c r="H1228" s="2031">
        <v>196.0</v>
      </c>
    </row>
    <row r="1229">
      <c r="B1229" s="2031">
        <v>1227.0</v>
      </c>
      <c r="C1229" s="2031">
        <v>148.0</v>
      </c>
      <c r="D1229" s="2031">
        <v>295.0</v>
      </c>
      <c r="E1229" s="2031">
        <v>196.0</v>
      </c>
      <c r="F1229" s="2031">
        <v>196.0</v>
      </c>
      <c r="G1229" s="2031">
        <v>196.0</v>
      </c>
      <c r="H1229" s="2031">
        <v>196.0</v>
      </c>
    </row>
    <row r="1230">
      <c r="B1230" s="2031">
        <v>1228.0</v>
      </c>
      <c r="C1230" s="2031">
        <v>147.0</v>
      </c>
      <c r="D1230" s="2031">
        <v>295.0</v>
      </c>
      <c r="E1230" s="2031">
        <v>196.0</v>
      </c>
      <c r="F1230" s="2031">
        <v>196.0</v>
      </c>
      <c r="G1230" s="2031">
        <v>197.0</v>
      </c>
      <c r="H1230" s="2031">
        <v>197.0</v>
      </c>
    </row>
    <row r="1231">
      <c r="B1231" s="2031">
        <v>1229.0</v>
      </c>
      <c r="C1231" s="2031">
        <v>148.0</v>
      </c>
      <c r="D1231" s="2031">
        <v>295.0</v>
      </c>
      <c r="E1231" s="2031">
        <v>196.0</v>
      </c>
      <c r="F1231" s="2031">
        <v>196.0</v>
      </c>
      <c r="G1231" s="2031">
        <v>197.0</v>
      </c>
      <c r="H1231" s="2031">
        <v>197.0</v>
      </c>
    </row>
    <row r="1232">
      <c r="B1232" s="2031">
        <v>1230.0</v>
      </c>
      <c r="C1232" s="2031">
        <v>147.0</v>
      </c>
      <c r="D1232" s="2031">
        <v>295.0</v>
      </c>
      <c r="E1232" s="2031">
        <v>197.0</v>
      </c>
      <c r="F1232" s="2031">
        <v>197.0</v>
      </c>
      <c r="G1232" s="2031">
        <v>197.0</v>
      </c>
      <c r="H1232" s="2031">
        <v>197.0</v>
      </c>
    </row>
    <row r="1233">
      <c r="B1233" s="2031">
        <v>1231.0</v>
      </c>
      <c r="C1233" s="2031">
        <v>148.0</v>
      </c>
      <c r="D1233" s="2031">
        <v>295.0</v>
      </c>
      <c r="E1233" s="2031">
        <v>197.0</v>
      </c>
      <c r="F1233" s="2031">
        <v>197.0</v>
      </c>
      <c r="G1233" s="2031">
        <v>197.0</v>
      </c>
      <c r="H1233" s="2031">
        <v>197.0</v>
      </c>
    </row>
    <row r="1234">
      <c r="B1234" s="2031">
        <v>1232.0</v>
      </c>
      <c r="C1234" s="2031">
        <v>148.0</v>
      </c>
      <c r="D1234" s="2031">
        <v>296.0</v>
      </c>
      <c r="E1234" s="2031">
        <v>197.0</v>
      </c>
      <c r="F1234" s="2031">
        <v>197.0</v>
      </c>
      <c r="G1234" s="2031">
        <v>197.0</v>
      </c>
      <c r="H1234" s="2031">
        <v>197.0</v>
      </c>
    </row>
    <row r="1235">
      <c r="B1235" s="2031">
        <v>1233.0</v>
      </c>
      <c r="C1235" s="2031">
        <v>148.0</v>
      </c>
      <c r="D1235" s="2031">
        <v>295.0</v>
      </c>
      <c r="E1235" s="2031">
        <v>197.0</v>
      </c>
      <c r="F1235" s="2031">
        <v>197.0</v>
      </c>
      <c r="G1235" s="2031">
        <v>198.0</v>
      </c>
      <c r="H1235" s="2031">
        <v>198.0</v>
      </c>
    </row>
    <row r="1236">
      <c r="B1236" s="2031">
        <v>1234.0</v>
      </c>
      <c r="C1236" s="2031">
        <v>148.0</v>
      </c>
      <c r="D1236" s="2031">
        <v>296.0</v>
      </c>
      <c r="E1236" s="2031">
        <v>197.0</v>
      </c>
      <c r="F1236" s="2031">
        <v>197.0</v>
      </c>
      <c r="G1236" s="2031">
        <v>198.0</v>
      </c>
      <c r="H1236" s="2031">
        <v>198.0</v>
      </c>
    </row>
    <row r="1237">
      <c r="B1237" s="2031">
        <v>1235.0</v>
      </c>
      <c r="C1237" s="2031">
        <v>148.0</v>
      </c>
      <c r="D1237" s="2031">
        <v>297.0</v>
      </c>
      <c r="E1237" s="2031">
        <v>197.0</v>
      </c>
      <c r="F1237" s="2031">
        <v>197.0</v>
      </c>
      <c r="G1237" s="2031">
        <v>198.0</v>
      </c>
      <c r="H1237" s="2031">
        <v>198.0</v>
      </c>
    </row>
    <row r="1238">
      <c r="B1238" s="2031">
        <v>1236.0</v>
      </c>
      <c r="C1238" s="2031">
        <v>148.0</v>
      </c>
      <c r="D1238" s="2031">
        <v>296.0</v>
      </c>
      <c r="E1238" s="2031">
        <v>198.0</v>
      </c>
      <c r="F1238" s="2031">
        <v>198.0</v>
      </c>
      <c r="G1238" s="2031">
        <v>198.0</v>
      </c>
      <c r="H1238" s="2031">
        <v>198.0</v>
      </c>
    </row>
    <row r="1239">
      <c r="B1239" s="2031">
        <v>1237.0</v>
      </c>
      <c r="C1239" s="2031">
        <v>148.0</v>
      </c>
      <c r="D1239" s="2031">
        <v>297.0</v>
      </c>
      <c r="E1239" s="2031">
        <v>198.0</v>
      </c>
      <c r="F1239" s="2031">
        <v>198.0</v>
      </c>
      <c r="G1239" s="2031">
        <v>198.0</v>
      </c>
      <c r="H1239" s="2031">
        <v>198.0</v>
      </c>
    </row>
    <row r="1240">
      <c r="B1240" s="2031">
        <v>1238.0</v>
      </c>
      <c r="C1240" s="2031">
        <v>149.0</v>
      </c>
      <c r="D1240" s="2031">
        <v>297.0</v>
      </c>
      <c r="E1240" s="2031">
        <v>198.0</v>
      </c>
      <c r="F1240" s="2031">
        <v>198.0</v>
      </c>
      <c r="G1240" s="2031">
        <v>198.0</v>
      </c>
      <c r="H1240" s="2031">
        <v>198.0</v>
      </c>
    </row>
    <row r="1241">
      <c r="B1241" s="2031">
        <v>1239.0</v>
      </c>
      <c r="C1241" s="2031">
        <v>149.0</v>
      </c>
      <c r="D1241" s="2031">
        <v>298.0</v>
      </c>
      <c r="E1241" s="2031">
        <v>198.0</v>
      </c>
      <c r="F1241" s="2031">
        <v>198.0</v>
      </c>
      <c r="G1241" s="2031">
        <v>198.0</v>
      </c>
      <c r="H1241" s="2031">
        <v>198.0</v>
      </c>
    </row>
    <row r="1242">
      <c r="B1242" s="2031">
        <v>1240.0</v>
      </c>
      <c r="C1242" s="2031">
        <v>149.0</v>
      </c>
      <c r="D1242" s="2031">
        <v>297.0</v>
      </c>
      <c r="E1242" s="2031">
        <v>198.0</v>
      </c>
      <c r="F1242" s="2031">
        <v>198.0</v>
      </c>
      <c r="G1242" s="2031">
        <v>199.0</v>
      </c>
      <c r="H1242" s="2031">
        <v>199.0</v>
      </c>
    </row>
    <row r="1243">
      <c r="B1243" s="2031">
        <v>1241.0</v>
      </c>
      <c r="C1243" s="2031">
        <v>149.0</v>
      </c>
      <c r="D1243" s="2031">
        <v>298.0</v>
      </c>
      <c r="E1243" s="2031">
        <v>198.0</v>
      </c>
      <c r="F1243" s="2031">
        <v>198.0</v>
      </c>
      <c r="G1243" s="2031">
        <v>199.0</v>
      </c>
      <c r="H1243" s="2031">
        <v>199.0</v>
      </c>
    </row>
    <row r="1244">
      <c r="B1244" s="2031">
        <v>1242.0</v>
      </c>
      <c r="C1244" s="2031">
        <v>149.0</v>
      </c>
      <c r="D1244" s="2031">
        <v>299.0</v>
      </c>
      <c r="E1244" s="2031">
        <v>198.0</v>
      </c>
      <c r="F1244" s="2031">
        <v>198.0</v>
      </c>
      <c r="G1244" s="2031">
        <v>199.0</v>
      </c>
      <c r="H1244" s="2031">
        <v>199.0</v>
      </c>
    </row>
    <row r="1245">
      <c r="B1245" s="2031">
        <v>1243.0</v>
      </c>
      <c r="C1245" s="2031">
        <v>149.0</v>
      </c>
      <c r="D1245" s="2031">
        <v>298.0</v>
      </c>
      <c r="E1245" s="2031">
        <v>199.0</v>
      </c>
      <c r="F1245" s="2031">
        <v>199.0</v>
      </c>
      <c r="G1245" s="2031">
        <v>199.0</v>
      </c>
      <c r="H1245" s="2031">
        <v>199.0</v>
      </c>
    </row>
    <row r="1246">
      <c r="B1246" s="2031">
        <v>1244.0</v>
      </c>
      <c r="C1246" s="2031">
        <v>149.0</v>
      </c>
      <c r="D1246" s="2031">
        <v>299.0</v>
      </c>
      <c r="E1246" s="2031">
        <v>199.0</v>
      </c>
      <c r="F1246" s="2031">
        <v>199.0</v>
      </c>
      <c r="G1246" s="2031">
        <v>199.0</v>
      </c>
      <c r="H1246" s="2031">
        <v>199.0</v>
      </c>
    </row>
    <row r="1247">
      <c r="B1247" s="2031">
        <v>1245.0</v>
      </c>
      <c r="C1247" s="2031">
        <v>150.0</v>
      </c>
      <c r="D1247" s="2031">
        <v>299.0</v>
      </c>
      <c r="E1247" s="2031">
        <v>199.0</v>
      </c>
      <c r="F1247" s="2031">
        <v>199.0</v>
      </c>
      <c r="G1247" s="2031">
        <v>199.0</v>
      </c>
      <c r="H1247" s="2031">
        <v>199.0</v>
      </c>
    </row>
    <row r="1248">
      <c r="B1248" s="2031">
        <v>1246.0</v>
      </c>
      <c r="C1248" s="2031">
        <v>149.0</v>
      </c>
      <c r="D1248" s="2031">
        <v>299.0</v>
      </c>
      <c r="E1248" s="2031">
        <v>199.0</v>
      </c>
      <c r="F1248" s="2031">
        <v>199.0</v>
      </c>
      <c r="G1248" s="2031">
        <v>200.0</v>
      </c>
      <c r="H1248" s="2031">
        <v>200.0</v>
      </c>
    </row>
    <row r="1249">
      <c r="B1249" s="2031">
        <v>1247.0</v>
      </c>
      <c r="C1249" s="2031">
        <v>150.0</v>
      </c>
      <c r="D1249" s="2031">
        <v>299.0</v>
      </c>
      <c r="E1249" s="2031">
        <v>199.0</v>
      </c>
      <c r="F1249" s="2031">
        <v>199.0</v>
      </c>
      <c r="G1249" s="2031">
        <v>200.0</v>
      </c>
      <c r="H1249" s="2031">
        <v>200.0</v>
      </c>
    </row>
    <row r="1250">
      <c r="B1250" s="2031">
        <v>1248.0</v>
      </c>
      <c r="C1250" s="2031">
        <v>149.0</v>
      </c>
      <c r="D1250" s="2031">
        <v>299.0</v>
      </c>
      <c r="E1250" s="2031">
        <v>200.0</v>
      </c>
      <c r="F1250" s="2031">
        <v>200.0</v>
      </c>
      <c r="G1250" s="2031">
        <v>200.0</v>
      </c>
      <c r="H1250" s="2031">
        <v>200.0</v>
      </c>
    </row>
    <row r="1251">
      <c r="B1251" s="2031">
        <v>1249.0</v>
      </c>
      <c r="C1251" s="2031">
        <v>150.0</v>
      </c>
      <c r="D1251" s="2031">
        <v>299.0</v>
      </c>
      <c r="E1251" s="2031">
        <v>200.0</v>
      </c>
      <c r="F1251" s="2031">
        <v>200.0</v>
      </c>
      <c r="G1251" s="2031">
        <v>200.0</v>
      </c>
      <c r="H1251" s="2031">
        <v>200.0</v>
      </c>
    </row>
    <row r="1252">
      <c r="B1252" s="2031">
        <v>1250.0</v>
      </c>
      <c r="C1252" s="2031">
        <v>150.0</v>
      </c>
      <c r="D1252" s="2031">
        <v>300.0</v>
      </c>
      <c r="E1252" s="2031">
        <v>200.0</v>
      </c>
      <c r="F1252" s="2031">
        <v>200.0</v>
      </c>
      <c r="G1252" s="2031">
        <v>200.0</v>
      </c>
      <c r="H1252" s="2031">
        <v>200.0</v>
      </c>
    </row>
    <row r="1253">
      <c r="B1253" s="2031">
        <v>1251.0</v>
      </c>
      <c r="C1253" s="2031">
        <v>150.0</v>
      </c>
      <c r="D1253" s="2031">
        <v>301.0</v>
      </c>
      <c r="E1253" s="2031">
        <v>200.0</v>
      </c>
      <c r="F1253" s="2031">
        <v>200.0</v>
      </c>
      <c r="G1253" s="2031">
        <v>200.0</v>
      </c>
      <c r="H1253" s="2031">
        <v>200.0</v>
      </c>
    </row>
    <row r="1254">
      <c r="B1254" s="2031">
        <v>1252.0</v>
      </c>
      <c r="C1254" s="2031">
        <v>151.0</v>
      </c>
      <c r="D1254" s="2031">
        <v>301.0</v>
      </c>
      <c r="E1254" s="2031">
        <v>200.0</v>
      </c>
      <c r="F1254" s="2031">
        <v>200.0</v>
      </c>
      <c r="G1254" s="2031">
        <v>200.0</v>
      </c>
      <c r="H1254" s="2031">
        <v>200.0</v>
      </c>
    </row>
    <row r="1255">
      <c r="B1255" s="2031">
        <v>1253.0</v>
      </c>
      <c r="C1255" s="2031">
        <v>150.0</v>
      </c>
      <c r="D1255" s="2031">
        <v>301.0</v>
      </c>
      <c r="E1255" s="2031">
        <v>200.0</v>
      </c>
      <c r="F1255" s="2031">
        <v>200.0</v>
      </c>
      <c r="G1255" s="2031">
        <v>201.0</v>
      </c>
      <c r="H1255" s="2031">
        <v>201.0</v>
      </c>
    </row>
    <row r="1256">
      <c r="B1256" s="2031">
        <v>1254.0</v>
      </c>
      <c r="C1256" s="2031">
        <v>151.0</v>
      </c>
      <c r="D1256" s="2031">
        <v>301.0</v>
      </c>
      <c r="E1256" s="2031">
        <v>200.0</v>
      </c>
      <c r="F1256" s="2031">
        <v>200.0</v>
      </c>
      <c r="G1256" s="2031">
        <v>201.0</v>
      </c>
      <c r="H1256" s="2031">
        <v>201.0</v>
      </c>
    </row>
    <row r="1257">
      <c r="B1257" s="2031">
        <v>1255.0</v>
      </c>
      <c r="C1257" s="2031">
        <v>150.0</v>
      </c>
      <c r="D1257" s="2031">
        <v>301.0</v>
      </c>
      <c r="E1257" s="2031">
        <v>201.0</v>
      </c>
      <c r="F1257" s="2031">
        <v>201.0</v>
      </c>
      <c r="G1257" s="2031">
        <v>201.0</v>
      </c>
      <c r="H1257" s="2031">
        <v>201.0</v>
      </c>
    </row>
    <row r="1258">
      <c r="B1258" s="2031">
        <v>1256.0</v>
      </c>
      <c r="C1258" s="2031">
        <v>151.0</v>
      </c>
      <c r="D1258" s="2031">
        <v>301.0</v>
      </c>
      <c r="E1258" s="2031">
        <v>201.0</v>
      </c>
      <c r="F1258" s="2031">
        <v>201.0</v>
      </c>
      <c r="G1258" s="2031">
        <v>201.0</v>
      </c>
      <c r="H1258" s="2031">
        <v>201.0</v>
      </c>
    </row>
    <row r="1259">
      <c r="B1259" s="2031">
        <v>1257.0</v>
      </c>
      <c r="C1259" s="2031">
        <v>151.0</v>
      </c>
      <c r="D1259" s="2031">
        <v>302.0</v>
      </c>
      <c r="E1259" s="2031">
        <v>201.0</v>
      </c>
      <c r="F1259" s="2031">
        <v>201.0</v>
      </c>
      <c r="G1259" s="2031">
        <v>201.0</v>
      </c>
      <c r="H1259" s="2031">
        <v>201.0</v>
      </c>
    </row>
    <row r="1260">
      <c r="B1260" s="2031">
        <v>1258.0</v>
      </c>
      <c r="C1260" s="2031">
        <v>151.0</v>
      </c>
      <c r="D1260" s="2031">
        <v>301.0</v>
      </c>
      <c r="E1260" s="2031">
        <v>201.0</v>
      </c>
      <c r="F1260" s="2031">
        <v>201.0</v>
      </c>
      <c r="G1260" s="2031">
        <v>202.0</v>
      </c>
      <c r="H1260" s="2031">
        <v>202.0</v>
      </c>
    </row>
    <row r="1261">
      <c r="B1261" s="2031">
        <v>1259.0</v>
      </c>
      <c r="C1261" s="2031">
        <v>151.0</v>
      </c>
      <c r="D1261" s="2031">
        <v>302.0</v>
      </c>
      <c r="E1261" s="2031">
        <v>201.0</v>
      </c>
      <c r="F1261" s="2031">
        <v>201.0</v>
      </c>
      <c r="G1261" s="2031">
        <v>202.0</v>
      </c>
      <c r="H1261" s="2031">
        <v>202.0</v>
      </c>
    </row>
    <row r="1262">
      <c r="B1262" s="2031">
        <v>1260.0</v>
      </c>
      <c r="C1262" s="2031">
        <v>151.0</v>
      </c>
      <c r="D1262" s="2031">
        <v>303.0</v>
      </c>
      <c r="E1262" s="2031">
        <v>201.0</v>
      </c>
      <c r="F1262" s="2031">
        <v>201.0</v>
      </c>
      <c r="G1262" s="2031">
        <v>202.0</v>
      </c>
      <c r="H1262" s="2031">
        <v>202.0</v>
      </c>
    </row>
    <row r="1263">
      <c r="B1263" s="2031">
        <v>1261.0</v>
      </c>
      <c r="C1263" s="2031">
        <v>151.0</v>
      </c>
      <c r="D1263" s="2031">
        <v>302.0</v>
      </c>
      <c r="E1263" s="2031">
        <v>202.0</v>
      </c>
      <c r="F1263" s="2031">
        <v>202.0</v>
      </c>
      <c r="G1263" s="2031">
        <v>202.0</v>
      </c>
      <c r="H1263" s="2031">
        <v>202.0</v>
      </c>
    </row>
    <row r="1264">
      <c r="B1264" s="2031">
        <v>1262.0</v>
      </c>
      <c r="C1264" s="2031">
        <v>151.0</v>
      </c>
      <c r="D1264" s="2031">
        <v>303.0</v>
      </c>
      <c r="E1264" s="2031">
        <v>202.0</v>
      </c>
      <c r="F1264" s="2031">
        <v>202.0</v>
      </c>
      <c r="G1264" s="2031">
        <v>202.0</v>
      </c>
      <c r="H1264" s="2031">
        <v>202.0</v>
      </c>
    </row>
    <row r="1265">
      <c r="B1265" s="2031">
        <v>1263.0</v>
      </c>
      <c r="C1265" s="2031">
        <v>152.0</v>
      </c>
      <c r="D1265" s="2031">
        <v>303.0</v>
      </c>
      <c r="E1265" s="2031">
        <v>202.0</v>
      </c>
      <c r="F1265" s="2031">
        <v>202.0</v>
      </c>
      <c r="G1265" s="2031">
        <v>202.0</v>
      </c>
      <c r="H1265" s="2031">
        <v>202.0</v>
      </c>
    </row>
    <row r="1266">
      <c r="B1266" s="2031">
        <v>1264.0</v>
      </c>
      <c r="C1266" s="2031">
        <v>152.0</v>
      </c>
      <c r="D1266" s="2031">
        <v>304.0</v>
      </c>
      <c r="E1266" s="2031">
        <v>202.0</v>
      </c>
      <c r="F1266" s="2031">
        <v>202.0</v>
      </c>
      <c r="G1266" s="2031">
        <v>202.0</v>
      </c>
      <c r="H1266" s="2031">
        <v>202.0</v>
      </c>
    </row>
    <row r="1267">
      <c r="B1267" s="2031">
        <v>1265.0</v>
      </c>
      <c r="C1267" s="2031">
        <v>152.0</v>
      </c>
      <c r="D1267" s="2031">
        <v>303.0</v>
      </c>
      <c r="E1267" s="2031">
        <v>202.0</v>
      </c>
      <c r="F1267" s="2031">
        <v>202.0</v>
      </c>
      <c r="G1267" s="2031">
        <v>203.0</v>
      </c>
      <c r="H1267" s="2031">
        <v>203.0</v>
      </c>
    </row>
    <row r="1268">
      <c r="B1268" s="2031">
        <v>1266.0</v>
      </c>
      <c r="C1268" s="2031">
        <v>152.0</v>
      </c>
      <c r="D1268" s="2031">
        <v>304.0</v>
      </c>
      <c r="E1268" s="2031">
        <v>202.0</v>
      </c>
      <c r="F1268" s="2031">
        <v>202.0</v>
      </c>
      <c r="G1268" s="2031">
        <v>203.0</v>
      </c>
      <c r="H1268" s="2031">
        <v>203.0</v>
      </c>
    </row>
    <row r="1269">
      <c r="B1269" s="2031">
        <v>1267.0</v>
      </c>
      <c r="C1269" s="2031">
        <v>152.0</v>
      </c>
      <c r="D1269" s="2031">
        <v>305.0</v>
      </c>
      <c r="E1269" s="2031">
        <v>202.0</v>
      </c>
      <c r="F1269" s="2031">
        <v>202.0</v>
      </c>
      <c r="G1269" s="2031">
        <v>203.0</v>
      </c>
      <c r="H1269" s="2031">
        <v>203.0</v>
      </c>
    </row>
    <row r="1270">
      <c r="B1270" s="2031">
        <v>1268.0</v>
      </c>
      <c r="C1270" s="2031">
        <v>152.0</v>
      </c>
      <c r="D1270" s="2031">
        <v>304.0</v>
      </c>
      <c r="E1270" s="2031">
        <v>203.0</v>
      </c>
      <c r="F1270" s="2031">
        <v>203.0</v>
      </c>
      <c r="G1270" s="2031">
        <v>203.0</v>
      </c>
      <c r="H1270" s="2031">
        <v>203.0</v>
      </c>
    </row>
    <row r="1271">
      <c r="B1271" s="2031">
        <v>1269.0</v>
      </c>
      <c r="C1271" s="2031">
        <v>152.0</v>
      </c>
      <c r="D1271" s="2031">
        <v>305.0</v>
      </c>
      <c r="E1271" s="2031">
        <v>203.0</v>
      </c>
      <c r="F1271" s="2031">
        <v>203.0</v>
      </c>
      <c r="G1271" s="2031">
        <v>203.0</v>
      </c>
      <c r="H1271" s="2031">
        <v>203.0</v>
      </c>
    </row>
    <row r="1272">
      <c r="B1272" s="2031">
        <v>1270.0</v>
      </c>
      <c r="C1272" s="2031">
        <v>153.0</v>
      </c>
      <c r="D1272" s="2031">
        <v>305.0</v>
      </c>
      <c r="E1272" s="2031">
        <v>203.0</v>
      </c>
      <c r="F1272" s="2031">
        <v>203.0</v>
      </c>
      <c r="G1272" s="2031">
        <v>203.0</v>
      </c>
      <c r="H1272" s="2031">
        <v>203.0</v>
      </c>
    </row>
    <row r="1273">
      <c r="B1273" s="2031">
        <v>1271.0</v>
      </c>
      <c r="C1273" s="2031">
        <v>152.0</v>
      </c>
      <c r="D1273" s="2031">
        <v>305.0</v>
      </c>
      <c r="E1273" s="2031">
        <v>203.0</v>
      </c>
      <c r="F1273" s="2031">
        <v>203.0</v>
      </c>
      <c r="G1273" s="2031">
        <v>204.0</v>
      </c>
      <c r="H1273" s="2031">
        <v>204.0</v>
      </c>
    </row>
    <row r="1274">
      <c r="B1274" s="2031">
        <v>1272.0</v>
      </c>
      <c r="C1274" s="2031">
        <v>153.0</v>
      </c>
      <c r="D1274" s="2031">
        <v>305.0</v>
      </c>
      <c r="E1274" s="2031">
        <v>203.0</v>
      </c>
      <c r="F1274" s="2031">
        <v>203.0</v>
      </c>
      <c r="G1274" s="2031">
        <v>204.0</v>
      </c>
      <c r="H1274" s="2031">
        <v>204.0</v>
      </c>
    </row>
    <row r="1275">
      <c r="B1275" s="2031">
        <v>1273.0</v>
      </c>
      <c r="C1275" s="2031">
        <v>152.0</v>
      </c>
      <c r="D1275" s="2031">
        <v>305.0</v>
      </c>
      <c r="E1275" s="2031">
        <v>204.0</v>
      </c>
      <c r="F1275" s="2031">
        <v>204.0</v>
      </c>
      <c r="G1275" s="2031">
        <v>204.0</v>
      </c>
      <c r="H1275" s="2031">
        <v>204.0</v>
      </c>
    </row>
    <row r="1276">
      <c r="B1276" s="2031">
        <v>1274.0</v>
      </c>
      <c r="C1276" s="2031">
        <v>153.0</v>
      </c>
      <c r="D1276" s="2031">
        <v>305.0</v>
      </c>
      <c r="E1276" s="2031">
        <v>204.0</v>
      </c>
      <c r="F1276" s="2031">
        <v>204.0</v>
      </c>
      <c r="G1276" s="2031">
        <v>204.0</v>
      </c>
      <c r="H1276" s="2031">
        <v>204.0</v>
      </c>
    </row>
    <row r="1277">
      <c r="B1277" s="2031">
        <v>1275.0</v>
      </c>
      <c r="C1277" s="2031">
        <v>153.0</v>
      </c>
      <c r="D1277" s="2031">
        <v>306.0</v>
      </c>
      <c r="E1277" s="2031">
        <v>204.0</v>
      </c>
      <c r="F1277" s="2031">
        <v>204.0</v>
      </c>
      <c r="G1277" s="2031">
        <v>204.0</v>
      </c>
      <c r="H1277" s="2031">
        <v>204.0</v>
      </c>
    </row>
    <row r="1278">
      <c r="B1278" s="2031">
        <v>1276.0</v>
      </c>
      <c r="C1278" s="2031">
        <v>153.0</v>
      </c>
      <c r="D1278" s="2031">
        <v>307.0</v>
      </c>
      <c r="E1278" s="2031">
        <v>204.0</v>
      </c>
      <c r="F1278" s="2031">
        <v>204.0</v>
      </c>
      <c r="G1278" s="2031">
        <v>204.0</v>
      </c>
      <c r="H1278" s="2031">
        <v>204.0</v>
      </c>
    </row>
    <row r="1279">
      <c r="B1279" s="2031">
        <v>1277.0</v>
      </c>
      <c r="C1279" s="2031">
        <v>154.0</v>
      </c>
      <c r="D1279" s="2031">
        <v>307.0</v>
      </c>
      <c r="E1279" s="2031">
        <v>204.0</v>
      </c>
      <c r="F1279" s="2031">
        <v>204.0</v>
      </c>
      <c r="G1279" s="2031">
        <v>204.0</v>
      </c>
      <c r="H1279" s="2031">
        <v>204.0</v>
      </c>
    </row>
    <row r="1280">
      <c r="B1280" s="2031">
        <v>1278.0</v>
      </c>
      <c r="C1280" s="2031">
        <v>153.0</v>
      </c>
      <c r="D1280" s="2031">
        <v>307.0</v>
      </c>
      <c r="E1280" s="2031">
        <v>204.0</v>
      </c>
      <c r="F1280" s="2031">
        <v>204.0</v>
      </c>
      <c r="G1280" s="2031">
        <v>205.0</v>
      </c>
      <c r="H1280" s="2031">
        <v>205.0</v>
      </c>
    </row>
    <row r="1281">
      <c r="B1281" s="2031">
        <v>1279.0</v>
      </c>
      <c r="C1281" s="2031">
        <v>154.0</v>
      </c>
      <c r="D1281" s="2031">
        <v>307.0</v>
      </c>
      <c r="E1281" s="2031">
        <v>204.0</v>
      </c>
      <c r="F1281" s="2031">
        <v>204.0</v>
      </c>
      <c r="G1281" s="2031">
        <v>205.0</v>
      </c>
      <c r="H1281" s="2031">
        <v>205.0</v>
      </c>
    </row>
    <row r="1282">
      <c r="B1282" s="2031">
        <v>1280.0</v>
      </c>
      <c r="C1282" s="2031">
        <v>153.0</v>
      </c>
      <c r="D1282" s="2031">
        <v>307.0</v>
      </c>
      <c r="E1282" s="2031">
        <v>205.0</v>
      </c>
      <c r="F1282" s="2031">
        <v>205.0</v>
      </c>
      <c r="G1282" s="2031">
        <v>205.0</v>
      </c>
      <c r="H1282" s="2031">
        <v>205.0</v>
      </c>
    </row>
    <row r="1283">
      <c r="B1283" s="2031">
        <v>1281.0</v>
      </c>
      <c r="C1283" s="2031">
        <v>154.0</v>
      </c>
      <c r="D1283" s="2031">
        <v>307.0</v>
      </c>
      <c r="E1283" s="2031">
        <v>205.0</v>
      </c>
      <c r="F1283" s="2031">
        <v>205.0</v>
      </c>
      <c r="G1283" s="2031">
        <v>205.0</v>
      </c>
      <c r="H1283" s="2031">
        <v>205.0</v>
      </c>
    </row>
    <row r="1284">
      <c r="B1284" s="2031">
        <v>1282.0</v>
      </c>
      <c r="C1284" s="2031">
        <v>154.0</v>
      </c>
      <c r="D1284" s="2031">
        <v>308.0</v>
      </c>
      <c r="E1284" s="2031">
        <v>205.0</v>
      </c>
      <c r="F1284" s="2031">
        <v>205.0</v>
      </c>
      <c r="G1284" s="2031">
        <v>205.0</v>
      </c>
      <c r="H1284" s="2031">
        <v>205.0</v>
      </c>
    </row>
    <row r="1285">
      <c r="B1285" s="2031">
        <v>1283.0</v>
      </c>
      <c r="C1285" s="2031">
        <v>154.0</v>
      </c>
      <c r="D1285" s="2031">
        <v>307.0</v>
      </c>
      <c r="E1285" s="2031">
        <v>205.0</v>
      </c>
      <c r="F1285" s="2031">
        <v>205.0</v>
      </c>
      <c r="G1285" s="2031">
        <v>206.0</v>
      </c>
      <c r="H1285" s="2031">
        <v>206.0</v>
      </c>
    </row>
    <row r="1286">
      <c r="B1286" s="2031">
        <v>1284.0</v>
      </c>
      <c r="C1286" s="2031">
        <v>154.0</v>
      </c>
      <c r="D1286" s="2031">
        <v>308.0</v>
      </c>
      <c r="E1286" s="2031">
        <v>205.0</v>
      </c>
      <c r="F1286" s="2031">
        <v>205.0</v>
      </c>
      <c r="G1286" s="2031">
        <v>206.0</v>
      </c>
      <c r="H1286" s="2031">
        <v>206.0</v>
      </c>
    </row>
    <row r="1287">
      <c r="B1287" s="2031">
        <v>1285.0</v>
      </c>
      <c r="C1287" s="2031">
        <v>154.0</v>
      </c>
      <c r="D1287" s="2031">
        <v>309.0</v>
      </c>
      <c r="E1287" s="2031">
        <v>205.0</v>
      </c>
      <c r="F1287" s="2031">
        <v>205.0</v>
      </c>
      <c r="G1287" s="2031">
        <v>206.0</v>
      </c>
      <c r="H1287" s="2031">
        <v>206.0</v>
      </c>
    </row>
    <row r="1288">
      <c r="B1288" s="2031">
        <v>1286.0</v>
      </c>
      <c r="C1288" s="2031">
        <v>154.0</v>
      </c>
      <c r="D1288" s="2031">
        <v>308.0</v>
      </c>
      <c r="E1288" s="2031">
        <v>206.0</v>
      </c>
      <c r="F1288" s="2031">
        <v>206.0</v>
      </c>
      <c r="G1288" s="2031">
        <v>206.0</v>
      </c>
      <c r="H1288" s="2031">
        <v>206.0</v>
      </c>
    </row>
    <row r="1289">
      <c r="B1289" s="2031">
        <v>1287.0</v>
      </c>
      <c r="C1289" s="2031">
        <v>154.0</v>
      </c>
      <c r="D1289" s="2031">
        <v>309.0</v>
      </c>
      <c r="E1289" s="2031">
        <v>206.0</v>
      </c>
      <c r="F1289" s="2031">
        <v>206.0</v>
      </c>
      <c r="G1289" s="2031">
        <v>206.0</v>
      </c>
      <c r="H1289" s="2031">
        <v>206.0</v>
      </c>
    </row>
    <row r="1290">
      <c r="B1290" s="2031">
        <v>1288.0</v>
      </c>
      <c r="C1290" s="2031">
        <v>155.0</v>
      </c>
      <c r="D1290" s="2031">
        <v>309.0</v>
      </c>
      <c r="E1290" s="2031">
        <v>206.0</v>
      </c>
      <c r="F1290" s="2031">
        <v>206.0</v>
      </c>
      <c r="G1290" s="2031">
        <v>206.0</v>
      </c>
      <c r="H1290" s="2031">
        <v>206.0</v>
      </c>
    </row>
    <row r="1291">
      <c r="B1291" s="2031">
        <v>1289.0</v>
      </c>
      <c r="C1291" s="2031">
        <v>155.0</v>
      </c>
      <c r="D1291" s="2031">
        <v>310.0</v>
      </c>
      <c r="E1291" s="2031">
        <v>206.0</v>
      </c>
      <c r="F1291" s="2031">
        <v>206.0</v>
      </c>
      <c r="G1291" s="2031">
        <v>206.0</v>
      </c>
      <c r="H1291" s="2031">
        <v>206.0</v>
      </c>
    </row>
    <row r="1292">
      <c r="B1292" s="2031">
        <v>1290.0</v>
      </c>
      <c r="C1292" s="2031">
        <v>155.0</v>
      </c>
      <c r="D1292" s="2031">
        <v>309.0</v>
      </c>
      <c r="E1292" s="2031">
        <v>206.0</v>
      </c>
      <c r="F1292" s="2031">
        <v>206.0</v>
      </c>
      <c r="G1292" s="2031">
        <v>207.0</v>
      </c>
      <c r="H1292" s="2031">
        <v>207.0</v>
      </c>
    </row>
    <row r="1293">
      <c r="B1293" s="2031">
        <v>1291.0</v>
      </c>
      <c r="C1293" s="2031">
        <v>155.0</v>
      </c>
      <c r="D1293" s="2031">
        <v>310.0</v>
      </c>
      <c r="E1293" s="2031">
        <v>206.0</v>
      </c>
      <c r="F1293" s="2031">
        <v>206.0</v>
      </c>
      <c r="G1293" s="2031">
        <v>207.0</v>
      </c>
      <c r="H1293" s="2031">
        <v>207.0</v>
      </c>
    </row>
    <row r="1294">
      <c r="B1294" s="2031">
        <v>1292.0</v>
      </c>
      <c r="C1294" s="2031">
        <v>155.0</v>
      </c>
      <c r="D1294" s="2031">
        <v>311.0</v>
      </c>
      <c r="E1294" s="2031">
        <v>206.0</v>
      </c>
      <c r="F1294" s="2031">
        <v>206.0</v>
      </c>
      <c r="G1294" s="2031">
        <v>207.0</v>
      </c>
      <c r="H1294" s="2031">
        <v>207.0</v>
      </c>
    </row>
    <row r="1295">
      <c r="B1295" s="2031">
        <v>1293.0</v>
      </c>
      <c r="C1295" s="2031">
        <v>155.0</v>
      </c>
      <c r="D1295" s="2031">
        <v>310.0</v>
      </c>
      <c r="E1295" s="2031">
        <v>207.0</v>
      </c>
      <c r="F1295" s="2031">
        <v>207.0</v>
      </c>
      <c r="G1295" s="2031">
        <v>207.0</v>
      </c>
      <c r="H1295" s="2031">
        <v>207.0</v>
      </c>
    </row>
    <row r="1296">
      <c r="B1296" s="2031">
        <v>1294.0</v>
      </c>
      <c r="C1296" s="2031">
        <v>155.0</v>
      </c>
      <c r="D1296" s="2031">
        <v>311.0</v>
      </c>
      <c r="E1296" s="2031">
        <v>207.0</v>
      </c>
      <c r="F1296" s="2031">
        <v>207.0</v>
      </c>
      <c r="G1296" s="2031">
        <v>207.0</v>
      </c>
      <c r="H1296" s="2031">
        <v>207.0</v>
      </c>
    </row>
    <row r="1297">
      <c r="B1297" s="2031">
        <v>1295.0</v>
      </c>
      <c r="C1297" s="2031">
        <v>156.0</v>
      </c>
      <c r="D1297" s="2031">
        <v>311.0</v>
      </c>
      <c r="E1297" s="2031">
        <v>207.0</v>
      </c>
      <c r="F1297" s="2031">
        <v>207.0</v>
      </c>
      <c r="G1297" s="2031">
        <v>207.0</v>
      </c>
      <c r="H1297" s="2031">
        <v>207.0</v>
      </c>
    </row>
    <row r="1298">
      <c r="B1298" s="2031">
        <v>1296.0</v>
      </c>
      <c r="C1298" s="2031">
        <v>155.0</v>
      </c>
      <c r="D1298" s="2031">
        <v>311.0</v>
      </c>
      <c r="E1298" s="2031">
        <v>207.0</v>
      </c>
      <c r="F1298" s="2031">
        <v>207.0</v>
      </c>
      <c r="G1298" s="2031">
        <v>208.0</v>
      </c>
      <c r="H1298" s="2031">
        <v>208.0</v>
      </c>
    </row>
    <row r="1299">
      <c r="B1299" s="2031">
        <v>1297.0</v>
      </c>
      <c r="C1299" s="2031">
        <v>156.0</v>
      </c>
      <c r="D1299" s="2031">
        <v>311.0</v>
      </c>
      <c r="E1299" s="2031">
        <v>207.0</v>
      </c>
      <c r="F1299" s="2031">
        <v>207.0</v>
      </c>
      <c r="G1299" s="2031">
        <v>208.0</v>
      </c>
      <c r="H1299" s="2031">
        <v>208.0</v>
      </c>
    </row>
    <row r="1300">
      <c r="B1300" s="2031">
        <v>1298.0</v>
      </c>
      <c r="C1300" s="2031">
        <v>155.0</v>
      </c>
      <c r="D1300" s="2031">
        <v>311.0</v>
      </c>
      <c r="E1300" s="2031">
        <v>208.0</v>
      </c>
      <c r="F1300" s="2031">
        <v>208.0</v>
      </c>
      <c r="G1300" s="2031">
        <v>208.0</v>
      </c>
      <c r="H1300" s="2031">
        <v>208.0</v>
      </c>
    </row>
    <row r="1301">
      <c r="B1301" s="2031">
        <v>1299.0</v>
      </c>
      <c r="C1301" s="2031">
        <v>156.0</v>
      </c>
      <c r="D1301" s="2031">
        <v>311.0</v>
      </c>
      <c r="E1301" s="2031">
        <v>208.0</v>
      </c>
      <c r="F1301" s="2031">
        <v>208.0</v>
      </c>
      <c r="G1301" s="2031">
        <v>208.0</v>
      </c>
      <c r="H1301" s="2031">
        <v>208.0</v>
      </c>
    </row>
    <row r="1302">
      <c r="B1302" s="2031">
        <v>1300.0</v>
      </c>
      <c r="C1302" s="2031">
        <v>156.0</v>
      </c>
      <c r="D1302" s="2031">
        <v>312.0</v>
      </c>
      <c r="E1302" s="2031">
        <v>208.0</v>
      </c>
      <c r="F1302" s="2031">
        <v>208.0</v>
      </c>
      <c r="G1302" s="2031">
        <v>208.0</v>
      </c>
      <c r="H1302" s="2031">
        <v>208.0</v>
      </c>
    </row>
    <row r="1303">
      <c r="B1303" s="2031">
        <v>1301.0</v>
      </c>
      <c r="C1303" s="2031">
        <v>156.0</v>
      </c>
      <c r="D1303" s="2031">
        <v>313.0</v>
      </c>
      <c r="E1303" s="2031">
        <v>208.0</v>
      </c>
      <c r="F1303" s="2031">
        <v>208.0</v>
      </c>
      <c r="G1303" s="2031">
        <v>208.0</v>
      </c>
      <c r="H1303" s="2031">
        <v>208.0</v>
      </c>
    </row>
    <row r="1304">
      <c r="B1304" s="2031">
        <v>1302.0</v>
      </c>
      <c r="C1304" s="2031">
        <v>157.0</v>
      </c>
      <c r="D1304" s="2031">
        <v>313.0</v>
      </c>
      <c r="E1304" s="2031">
        <v>208.0</v>
      </c>
      <c r="F1304" s="2031">
        <v>208.0</v>
      </c>
      <c r="G1304" s="2031">
        <v>208.0</v>
      </c>
      <c r="H1304" s="2031">
        <v>208.0</v>
      </c>
    </row>
    <row r="1305">
      <c r="B1305" s="2031">
        <v>1303.0</v>
      </c>
      <c r="C1305" s="2031">
        <v>156.0</v>
      </c>
      <c r="D1305" s="2031">
        <v>313.0</v>
      </c>
      <c r="E1305" s="2031">
        <v>208.0</v>
      </c>
      <c r="F1305" s="2031">
        <v>208.0</v>
      </c>
      <c r="G1305" s="2031">
        <v>209.0</v>
      </c>
      <c r="H1305" s="2031">
        <v>209.0</v>
      </c>
    </row>
    <row r="1306">
      <c r="B1306" s="2031">
        <v>1304.0</v>
      </c>
      <c r="C1306" s="2031">
        <v>157.0</v>
      </c>
      <c r="D1306" s="2031">
        <v>313.0</v>
      </c>
      <c r="E1306" s="2031">
        <v>208.0</v>
      </c>
      <c r="F1306" s="2031">
        <v>208.0</v>
      </c>
      <c r="G1306" s="2031">
        <v>209.0</v>
      </c>
      <c r="H1306" s="2031">
        <v>209.0</v>
      </c>
    </row>
    <row r="1307">
      <c r="B1307" s="2031">
        <v>1305.0</v>
      </c>
      <c r="C1307" s="2031">
        <v>156.0</v>
      </c>
      <c r="D1307" s="2031">
        <v>313.0</v>
      </c>
      <c r="E1307" s="2031">
        <v>209.0</v>
      </c>
      <c r="F1307" s="2031">
        <v>209.0</v>
      </c>
      <c r="G1307" s="2031">
        <v>209.0</v>
      </c>
      <c r="H1307" s="2031">
        <v>209.0</v>
      </c>
    </row>
    <row r="1308">
      <c r="B1308" s="2031">
        <v>1306.0</v>
      </c>
      <c r="C1308" s="2031">
        <v>157.0</v>
      </c>
      <c r="D1308" s="2031">
        <v>313.0</v>
      </c>
      <c r="E1308" s="2031">
        <v>209.0</v>
      </c>
      <c r="F1308" s="2031">
        <v>209.0</v>
      </c>
      <c r="G1308" s="2031">
        <v>209.0</v>
      </c>
      <c r="H1308" s="2031">
        <v>209.0</v>
      </c>
    </row>
    <row r="1309">
      <c r="B1309" s="2031">
        <v>1307.0</v>
      </c>
      <c r="C1309" s="2031">
        <v>157.0</v>
      </c>
      <c r="D1309" s="2031">
        <v>314.0</v>
      </c>
      <c r="E1309" s="2031">
        <v>209.0</v>
      </c>
      <c r="F1309" s="2031">
        <v>209.0</v>
      </c>
      <c r="G1309" s="2031">
        <v>209.0</v>
      </c>
      <c r="H1309" s="2031">
        <v>209.0</v>
      </c>
    </row>
    <row r="1310">
      <c r="B1310" s="2031">
        <v>1308.0</v>
      </c>
      <c r="C1310" s="2031">
        <v>157.0</v>
      </c>
      <c r="D1310" s="2031">
        <v>313.0</v>
      </c>
      <c r="E1310" s="2031">
        <v>209.0</v>
      </c>
      <c r="F1310" s="2031">
        <v>209.0</v>
      </c>
      <c r="G1310" s="2031">
        <v>210.0</v>
      </c>
      <c r="H1310" s="2031">
        <v>210.0</v>
      </c>
    </row>
    <row r="1311">
      <c r="B1311" s="2031">
        <v>1309.0</v>
      </c>
      <c r="C1311" s="2031">
        <v>157.0</v>
      </c>
      <c r="D1311" s="2031">
        <v>314.0</v>
      </c>
      <c r="E1311" s="2031">
        <v>209.0</v>
      </c>
      <c r="F1311" s="2031">
        <v>209.0</v>
      </c>
      <c r="G1311" s="2031">
        <v>210.0</v>
      </c>
      <c r="H1311" s="2031">
        <v>210.0</v>
      </c>
    </row>
    <row r="1312">
      <c r="B1312" s="2031">
        <v>1310.0</v>
      </c>
      <c r="C1312" s="2031">
        <v>157.0</v>
      </c>
      <c r="D1312" s="2031">
        <v>315.0</v>
      </c>
      <c r="E1312" s="2031">
        <v>209.0</v>
      </c>
      <c r="F1312" s="2031">
        <v>209.0</v>
      </c>
      <c r="G1312" s="2031">
        <v>210.0</v>
      </c>
      <c r="H1312" s="2031">
        <v>210.0</v>
      </c>
    </row>
    <row r="1313">
      <c r="B1313" s="2031">
        <v>1311.0</v>
      </c>
      <c r="C1313" s="2031">
        <v>157.0</v>
      </c>
      <c r="D1313" s="2031">
        <v>314.0</v>
      </c>
      <c r="E1313" s="2031">
        <v>210.0</v>
      </c>
      <c r="F1313" s="2031">
        <v>210.0</v>
      </c>
      <c r="G1313" s="2031">
        <v>210.0</v>
      </c>
      <c r="H1313" s="2031">
        <v>210.0</v>
      </c>
    </row>
    <row r="1314">
      <c r="B1314" s="2031">
        <v>1312.0</v>
      </c>
      <c r="C1314" s="2031">
        <v>157.0</v>
      </c>
      <c r="D1314" s="2031">
        <v>315.0</v>
      </c>
      <c r="E1314" s="2031">
        <v>210.0</v>
      </c>
      <c r="F1314" s="2031">
        <v>210.0</v>
      </c>
      <c r="G1314" s="2031">
        <v>210.0</v>
      </c>
      <c r="H1314" s="2031">
        <v>210.0</v>
      </c>
    </row>
    <row r="1315">
      <c r="B1315" s="2031">
        <v>1313.0</v>
      </c>
      <c r="C1315" s="2031">
        <v>158.0</v>
      </c>
      <c r="D1315" s="2031">
        <v>315.0</v>
      </c>
      <c r="E1315" s="2031">
        <v>210.0</v>
      </c>
      <c r="F1315" s="2031">
        <v>210.0</v>
      </c>
      <c r="G1315" s="2031">
        <v>210.0</v>
      </c>
      <c r="H1315" s="2031">
        <v>210.0</v>
      </c>
    </row>
    <row r="1316">
      <c r="B1316" s="2031">
        <v>1314.0</v>
      </c>
      <c r="C1316" s="2031">
        <v>158.0</v>
      </c>
      <c r="D1316" s="2031">
        <v>316.0</v>
      </c>
      <c r="E1316" s="2031">
        <v>210.0</v>
      </c>
      <c r="F1316" s="2031">
        <v>210.0</v>
      </c>
      <c r="G1316" s="2031">
        <v>210.0</v>
      </c>
      <c r="H1316" s="2031">
        <v>210.0</v>
      </c>
    </row>
    <row r="1317">
      <c r="B1317" s="2031">
        <v>1315.0</v>
      </c>
      <c r="C1317" s="2031">
        <v>158.0</v>
      </c>
      <c r="D1317" s="2031">
        <v>315.0</v>
      </c>
      <c r="E1317" s="2031">
        <v>210.0</v>
      </c>
      <c r="F1317" s="2031">
        <v>210.0</v>
      </c>
      <c r="G1317" s="2031">
        <v>211.0</v>
      </c>
      <c r="H1317" s="2031">
        <v>211.0</v>
      </c>
    </row>
    <row r="1318">
      <c r="B1318" s="2031">
        <v>1316.0</v>
      </c>
      <c r="C1318" s="2031">
        <v>158.0</v>
      </c>
      <c r="D1318" s="2031">
        <v>316.0</v>
      </c>
      <c r="E1318" s="2031">
        <v>210.0</v>
      </c>
      <c r="F1318" s="2031">
        <v>210.0</v>
      </c>
      <c r="G1318" s="2031">
        <v>211.0</v>
      </c>
      <c r="H1318" s="2031">
        <v>211.0</v>
      </c>
    </row>
    <row r="1319">
      <c r="B1319" s="2031">
        <v>1317.0</v>
      </c>
      <c r="C1319" s="2031">
        <v>158.0</v>
      </c>
      <c r="D1319" s="2031">
        <v>317.0</v>
      </c>
      <c r="E1319" s="2031">
        <v>210.0</v>
      </c>
      <c r="F1319" s="2031">
        <v>210.0</v>
      </c>
      <c r="G1319" s="2031">
        <v>211.0</v>
      </c>
      <c r="H1319" s="2031">
        <v>211.0</v>
      </c>
    </row>
    <row r="1320">
      <c r="B1320" s="2031">
        <v>1318.0</v>
      </c>
      <c r="C1320" s="2031">
        <v>158.0</v>
      </c>
      <c r="D1320" s="2031">
        <v>316.0</v>
      </c>
      <c r="E1320" s="2031">
        <v>211.0</v>
      </c>
      <c r="F1320" s="2031">
        <v>211.0</v>
      </c>
      <c r="G1320" s="2031">
        <v>211.0</v>
      </c>
      <c r="H1320" s="2031">
        <v>211.0</v>
      </c>
    </row>
    <row r="1321">
      <c r="B1321" s="2031">
        <v>1319.0</v>
      </c>
      <c r="C1321" s="2031">
        <v>158.0</v>
      </c>
      <c r="D1321" s="2031">
        <v>317.0</v>
      </c>
      <c r="E1321" s="2031">
        <v>211.0</v>
      </c>
      <c r="F1321" s="2031">
        <v>211.0</v>
      </c>
      <c r="G1321" s="2031">
        <v>211.0</v>
      </c>
      <c r="H1321" s="2031">
        <v>211.0</v>
      </c>
    </row>
    <row r="1322">
      <c r="B1322" s="2031">
        <v>1320.0</v>
      </c>
      <c r="C1322" s="2031">
        <v>159.0</v>
      </c>
      <c r="D1322" s="2031">
        <v>317.0</v>
      </c>
      <c r="E1322" s="2031">
        <v>211.0</v>
      </c>
      <c r="F1322" s="2031">
        <v>211.0</v>
      </c>
      <c r="G1322" s="2031">
        <v>211.0</v>
      </c>
      <c r="H1322" s="2031">
        <v>211.0</v>
      </c>
    </row>
    <row r="1323">
      <c r="B1323" s="2031">
        <v>1321.0</v>
      </c>
      <c r="C1323" s="2031">
        <v>158.0</v>
      </c>
      <c r="D1323" s="2031">
        <v>317.0</v>
      </c>
      <c r="E1323" s="2031">
        <v>211.0</v>
      </c>
      <c r="F1323" s="2031">
        <v>211.0</v>
      </c>
      <c r="G1323" s="2031">
        <v>212.0</v>
      </c>
      <c r="H1323" s="2031">
        <v>212.0</v>
      </c>
    </row>
    <row r="1324">
      <c r="B1324" s="2031">
        <v>1322.0</v>
      </c>
      <c r="C1324" s="2031">
        <v>159.0</v>
      </c>
      <c r="D1324" s="2031">
        <v>317.0</v>
      </c>
      <c r="E1324" s="2031">
        <v>211.0</v>
      </c>
      <c r="F1324" s="2031">
        <v>211.0</v>
      </c>
      <c r="G1324" s="2031">
        <v>212.0</v>
      </c>
      <c r="H1324" s="2031">
        <v>212.0</v>
      </c>
    </row>
    <row r="1325">
      <c r="B1325" s="2031">
        <v>1323.0</v>
      </c>
      <c r="C1325" s="2031">
        <v>158.0</v>
      </c>
      <c r="D1325" s="2031">
        <v>317.0</v>
      </c>
      <c r="E1325" s="2031">
        <v>212.0</v>
      </c>
      <c r="F1325" s="2031">
        <v>212.0</v>
      </c>
      <c r="G1325" s="2031">
        <v>212.0</v>
      </c>
      <c r="H1325" s="2031">
        <v>212.0</v>
      </c>
    </row>
    <row r="1326">
      <c r="B1326" s="2031">
        <v>1324.0</v>
      </c>
      <c r="C1326" s="2031">
        <v>159.0</v>
      </c>
      <c r="D1326" s="2031">
        <v>317.0</v>
      </c>
      <c r="E1326" s="2031">
        <v>212.0</v>
      </c>
      <c r="F1326" s="2031">
        <v>212.0</v>
      </c>
      <c r="G1326" s="2031">
        <v>212.0</v>
      </c>
      <c r="H1326" s="2031">
        <v>212.0</v>
      </c>
    </row>
    <row r="1327">
      <c r="B1327" s="2031">
        <v>1325.0</v>
      </c>
      <c r="C1327" s="2031">
        <v>159.0</v>
      </c>
      <c r="D1327" s="2031">
        <v>318.0</v>
      </c>
      <c r="E1327" s="2031">
        <v>212.0</v>
      </c>
      <c r="F1327" s="2031">
        <v>212.0</v>
      </c>
      <c r="G1327" s="2031">
        <v>212.0</v>
      </c>
      <c r="H1327" s="2031">
        <v>212.0</v>
      </c>
    </row>
    <row r="1328">
      <c r="B1328" s="2031">
        <v>1326.0</v>
      </c>
      <c r="C1328" s="2031">
        <v>159.0</v>
      </c>
      <c r="D1328" s="2031">
        <v>319.0</v>
      </c>
      <c r="E1328" s="2031">
        <v>212.0</v>
      </c>
      <c r="F1328" s="2031">
        <v>212.0</v>
      </c>
      <c r="G1328" s="2031">
        <v>212.0</v>
      </c>
      <c r="H1328" s="2031">
        <v>212.0</v>
      </c>
    </row>
    <row r="1329">
      <c r="B1329" s="2031">
        <v>1327.0</v>
      </c>
      <c r="C1329" s="2031">
        <v>160.0</v>
      </c>
      <c r="D1329" s="2031">
        <v>319.0</v>
      </c>
      <c r="E1329" s="2031">
        <v>212.0</v>
      </c>
      <c r="F1329" s="2031">
        <v>212.0</v>
      </c>
      <c r="G1329" s="2031">
        <v>212.0</v>
      </c>
      <c r="H1329" s="2031">
        <v>212.0</v>
      </c>
    </row>
    <row r="1330">
      <c r="B1330" s="2031">
        <v>1328.0</v>
      </c>
      <c r="C1330" s="2031">
        <v>159.0</v>
      </c>
      <c r="D1330" s="2031">
        <v>319.0</v>
      </c>
      <c r="E1330" s="2031">
        <v>212.0</v>
      </c>
      <c r="F1330" s="2031">
        <v>212.0</v>
      </c>
      <c r="G1330" s="2031">
        <v>213.0</v>
      </c>
      <c r="H1330" s="2031">
        <v>213.0</v>
      </c>
    </row>
    <row r="1331">
      <c r="B1331" s="2031">
        <v>1329.0</v>
      </c>
      <c r="C1331" s="2031">
        <v>160.0</v>
      </c>
      <c r="D1331" s="2031">
        <v>319.0</v>
      </c>
      <c r="E1331" s="2031">
        <v>212.0</v>
      </c>
      <c r="F1331" s="2031">
        <v>212.0</v>
      </c>
      <c r="G1331" s="2031">
        <v>213.0</v>
      </c>
      <c r="H1331" s="2031">
        <v>213.0</v>
      </c>
    </row>
    <row r="1332">
      <c r="B1332" s="2031">
        <v>1330.0</v>
      </c>
      <c r="C1332" s="2031">
        <v>159.0</v>
      </c>
      <c r="D1332" s="2031">
        <v>319.0</v>
      </c>
      <c r="E1332" s="2031">
        <v>213.0</v>
      </c>
      <c r="F1332" s="2031">
        <v>213.0</v>
      </c>
      <c r="G1332" s="2031">
        <v>213.0</v>
      </c>
      <c r="H1332" s="2031">
        <v>213.0</v>
      </c>
    </row>
    <row r="1333">
      <c r="B1333" s="2031">
        <v>1331.0</v>
      </c>
      <c r="C1333" s="2031">
        <v>160.0</v>
      </c>
      <c r="D1333" s="2031">
        <v>319.0</v>
      </c>
      <c r="E1333" s="2031">
        <v>213.0</v>
      </c>
      <c r="F1333" s="2031">
        <v>213.0</v>
      </c>
      <c r="G1333" s="2031">
        <v>213.0</v>
      </c>
      <c r="H1333" s="2031">
        <v>213.0</v>
      </c>
    </row>
    <row r="1334">
      <c r="B1334" s="2031">
        <v>1332.0</v>
      </c>
      <c r="C1334" s="2031">
        <v>160.0</v>
      </c>
      <c r="D1334" s="2031">
        <v>320.0</v>
      </c>
      <c r="E1334" s="2031">
        <v>213.0</v>
      </c>
      <c r="F1334" s="2031">
        <v>213.0</v>
      </c>
      <c r="G1334" s="2031">
        <v>213.0</v>
      </c>
      <c r="H1334" s="2031">
        <v>213.0</v>
      </c>
    </row>
    <row r="1335">
      <c r="B1335" s="2031">
        <v>1333.0</v>
      </c>
      <c r="C1335" s="2031">
        <v>160.0</v>
      </c>
      <c r="D1335" s="2031">
        <v>319.0</v>
      </c>
      <c r="E1335" s="2031">
        <v>213.0</v>
      </c>
      <c r="F1335" s="2031">
        <v>213.0</v>
      </c>
      <c r="G1335" s="2031">
        <v>214.0</v>
      </c>
      <c r="H1335" s="2031">
        <v>214.0</v>
      </c>
    </row>
    <row r="1336">
      <c r="B1336" s="2031">
        <v>1334.0</v>
      </c>
      <c r="C1336" s="2031">
        <v>160.0</v>
      </c>
      <c r="D1336" s="2031">
        <v>320.0</v>
      </c>
      <c r="E1336" s="2031">
        <v>213.0</v>
      </c>
      <c r="F1336" s="2031">
        <v>213.0</v>
      </c>
      <c r="G1336" s="2031">
        <v>214.0</v>
      </c>
      <c r="H1336" s="2031">
        <v>214.0</v>
      </c>
    </row>
    <row r="1337">
      <c r="B1337" s="2031">
        <v>1335.0</v>
      </c>
      <c r="C1337" s="2031">
        <v>160.0</v>
      </c>
      <c r="D1337" s="2031">
        <v>321.0</v>
      </c>
      <c r="E1337" s="2031">
        <v>213.0</v>
      </c>
      <c r="F1337" s="2031">
        <v>213.0</v>
      </c>
      <c r="G1337" s="2031">
        <v>214.0</v>
      </c>
      <c r="H1337" s="2031">
        <v>214.0</v>
      </c>
    </row>
    <row r="1338">
      <c r="B1338" s="2031">
        <v>1336.0</v>
      </c>
      <c r="C1338" s="2031">
        <v>160.0</v>
      </c>
      <c r="D1338" s="2031">
        <v>320.0</v>
      </c>
      <c r="E1338" s="2031">
        <v>214.0</v>
      </c>
      <c r="F1338" s="2031">
        <v>214.0</v>
      </c>
      <c r="G1338" s="2031">
        <v>214.0</v>
      </c>
      <c r="H1338" s="2031">
        <v>214.0</v>
      </c>
    </row>
    <row r="1339">
      <c r="B1339" s="2031">
        <v>1337.0</v>
      </c>
      <c r="C1339" s="2031">
        <v>160.0</v>
      </c>
      <c r="D1339" s="2031">
        <v>321.0</v>
      </c>
      <c r="E1339" s="2031">
        <v>214.0</v>
      </c>
      <c r="F1339" s="2031">
        <v>214.0</v>
      </c>
      <c r="G1339" s="2031">
        <v>214.0</v>
      </c>
      <c r="H1339" s="2031">
        <v>214.0</v>
      </c>
    </row>
    <row r="1340">
      <c r="B1340" s="2031">
        <v>1338.0</v>
      </c>
      <c r="C1340" s="2031">
        <v>161.0</v>
      </c>
      <c r="D1340" s="2031">
        <v>321.0</v>
      </c>
      <c r="E1340" s="2031">
        <v>214.0</v>
      </c>
      <c r="F1340" s="2031">
        <v>214.0</v>
      </c>
      <c r="G1340" s="2031">
        <v>214.0</v>
      </c>
      <c r="H1340" s="2031">
        <v>214.0</v>
      </c>
    </row>
    <row r="1341">
      <c r="B1341" s="2031">
        <v>1339.0</v>
      </c>
      <c r="C1341" s="2031">
        <v>161.0</v>
      </c>
      <c r="D1341" s="2031">
        <v>322.0</v>
      </c>
      <c r="E1341" s="2031">
        <v>214.0</v>
      </c>
      <c r="F1341" s="2031">
        <v>214.0</v>
      </c>
      <c r="G1341" s="2031">
        <v>214.0</v>
      </c>
      <c r="H1341" s="2031">
        <v>214.0</v>
      </c>
    </row>
    <row r="1342">
      <c r="B1342" s="2031">
        <v>1340.0</v>
      </c>
      <c r="C1342" s="2031">
        <v>161.0</v>
      </c>
      <c r="D1342" s="2031">
        <v>321.0</v>
      </c>
      <c r="E1342" s="2031">
        <v>214.0</v>
      </c>
      <c r="F1342" s="2031">
        <v>214.0</v>
      </c>
      <c r="G1342" s="2031">
        <v>215.0</v>
      </c>
      <c r="H1342" s="2031">
        <v>215.0</v>
      </c>
    </row>
    <row r="1343">
      <c r="B1343" s="2031">
        <v>1341.0</v>
      </c>
      <c r="C1343" s="2031">
        <v>161.0</v>
      </c>
      <c r="D1343" s="2031">
        <v>322.0</v>
      </c>
      <c r="E1343" s="2031">
        <v>214.0</v>
      </c>
      <c r="F1343" s="2031">
        <v>214.0</v>
      </c>
      <c r="G1343" s="2031">
        <v>215.0</v>
      </c>
      <c r="H1343" s="2031">
        <v>215.0</v>
      </c>
    </row>
    <row r="1344">
      <c r="B1344" s="2031">
        <v>1342.0</v>
      </c>
      <c r="C1344" s="2031">
        <v>161.0</v>
      </c>
      <c r="D1344" s="2031">
        <v>323.0</v>
      </c>
      <c r="E1344" s="2031">
        <v>214.0</v>
      </c>
      <c r="F1344" s="2031">
        <v>214.0</v>
      </c>
      <c r="G1344" s="2031">
        <v>215.0</v>
      </c>
      <c r="H1344" s="2031">
        <v>215.0</v>
      </c>
    </row>
    <row r="1345">
      <c r="B1345" s="2031">
        <v>1343.0</v>
      </c>
      <c r="C1345" s="2031">
        <v>161.0</v>
      </c>
      <c r="D1345" s="2031">
        <v>322.0</v>
      </c>
      <c r="E1345" s="2031">
        <v>215.0</v>
      </c>
      <c r="F1345" s="2031">
        <v>215.0</v>
      </c>
      <c r="G1345" s="2031">
        <v>215.0</v>
      </c>
      <c r="H1345" s="2031">
        <v>215.0</v>
      </c>
    </row>
    <row r="1346">
      <c r="B1346" s="2031">
        <v>1344.0</v>
      </c>
      <c r="C1346" s="2031">
        <v>161.0</v>
      </c>
      <c r="D1346" s="2031">
        <v>323.0</v>
      </c>
      <c r="E1346" s="2031">
        <v>215.0</v>
      </c>
      <c r="F1346" s="2031">
        <v>215.0</v>
      </c>
      <c r="G1346" s="2031">
        <v>215.0</v>
      </c>
      <c r="H1346" s="2031">
        <v>215.0</v>
      </c>
    </row>
    <row r="1347">
      <c r="B1347" s="2031">
        <v>1345.0</v>
      </c>
      <c r="C1347" s="2031">
        <v>162.0</v>
      </c>
      <c r="D1347" s="2031">
        <v>323.0</v>
      </c>
      <c r="E1347" s="2031">
        <v>215.0</v>
      </c>
      <c r="F1347" s="2031">
        <v>215.0</v>
      </c>
      <c r="G1347" s="2031">
        <v>215.0</v>
      </c>
      <c r="H1347" s="2031">
        <v>215.0</v>
      </c>
    </row>
    <row r="1348">
      <c r="B1348" s="2031">
        <v>1346.0</v>
      </c>
      <c r="C1348" s="2031">
        <v>161.0</v>
      </c>
      <c r="D1348" s="2031">
        <v>323.0</v>
      </c>
      <c r="E1348" s="2031">
        <v>215.0</v>
      </c>
      <c r="F1348" s="2031">
        <v>215.0</v>
      </c>
      <c r="G1348" s="2031">
        <v>216.0</v>
      </c>
      <c r="H1348" s="2031">
        <v>216.0</v>
      </c>
    </row>
    <row r="1349">
      <c r="B1349" s="2031">
        <v>1347.0</v>
      </c>
      <c r="C1349" s="2031">
        <v>162.0</v>
      </c>
      <c r="D1349" s="2031">
        <v>323.0</v>
      </c>
      <c r="E1349" s="2031">
        <v>215.0</v>
      </c>
      <c r="F1349" s="2031">
        <v>215.0</v>
      </c>
      <c r="G1349" s="2031">
        <v>216.0</v>
      </c>
      <c r="H1349" s="2031">
        <v>216.0</v>
      </c>
    </row>
    <row r="1350">
      <c r="B1350" s="2031">
        <v>1348.0</v>
      </c>
      <c r="C1350" s="2031">
        <v>161.0</v>
      </c>
      <c r="D1350" s="2031">
        <v>323.0</v>
      </c>
      <c r="E1350" s="2031">
        <v>216.0</v>
      </c>
      <c r="F1350" s="2031">
        <v>216.0</v>
      </c>
      <c r="G1350" s="2031">
        <v>216.0</v>
      </c>
      <c r="H1350" s="2031">
        <v>216.0</v>
      </c>
    </row>
    <row r="1351">
      <c r="B1351" s="2031">
        <v>1349.0</v>
      </c>
      <c r="C1351" s="2031">
        <v>162.0</v>
      </c>
      <c r="D1351" s="2031">
        <v>323.0</v>
      </c>
      <c r="E1351" s="2031">
        <v>216.0</v>
      </c>
      <c r="F1351" s="2031">
        <v>216.0</v>
      </c>
      <c r="G1351" s="2031">
        <v>216.0</v>
      </c>
      <c r="H1351" s="2031">
        <v>216.0</v>
      </c>
    </row>
    <row r="1352">
      <c r="B1352" s="2031">
        <v>1350.0</v>
      </c>
      <c r="C1352" s="2031">
        <v>162.0</v>
      </c>
      <c r="D1352" s="2031">
        <v>324.0</v>
      </c>
      <c r="E1352" s="2031">
        <v>216.0</v>
      </c>
      <c r="F1352" s="2031">
        <v>216.0</v>
      </c>
      <c r="G1352" s="2031">
        <v>216.0</v>
      </c>
      <c r="H1352" s="2031">
        <v>216.0</v>
      </c>
    </row>
    <row r="1353">
      <c r="B1353" s="2031">
        <v>1351.0</v>
      </c>
      <c r="C1353" s="2031">
        <v>162.0</v>
      </c>
      <c r="D1353" s="2031">
        <v>325.0</v>
      </c>
      <c r="E1353" s="2031">
        <v>216.0</v>
      </c>
      <c r="F1353" s="2031">
        <v>216.0</v>
      </c>
      <c r="G1353" s="2031">
        <v>216.0</v>
      </c>
      <c r="H1353" s="2031">
        <v>216.0</v>
      </c>
    </row>
    <row r="1354">
      <c r="B1354" s="2031">
        <v>1352.0</v>
      </c>
      <c r="C1354" s="2031">
        <v>163.0</v>
      </c>
      <c r="D1354" s="2031">
        <v>325.0</v>
      </c>
      <c r="E1354" s="2031">
        <v>216.0</v>
      </c>
      <c r="F1354" s="2031">
        <v>216.0</v>
      </c>
      <c r="G1354" s="2031">
        <v>216.0</v>
      </c>
      <c r="H1354" s="2031">
        <v>216.0</v>
      </c>
    </row>
    <row r="1355">
      <c r="B1355" s="2031">
        <v>1353.0</v>
      </c>
      <c r="C1355" s="2031">
        <v>162.0</v>
      </c>
      <c r="D1355" s="2031">
        <v>325.0</v>
      </c>
      <c r="E1355" s="2031">
        <v>216.0</v>
      </c>
      <c r="F1355" s="2031">
        <v>216.0</v>
      </c>
      <c r="G1355" s="2031">
        <v>217.0</v>
      </c>
      <c r="H1355" s="2031">
        <v>217.0</v>
      </c>
    </row>
    <row r="1356">
      <c r="B1356" s="2031">
        <v>1354.0</v>
      </c>
      <c r="C1356" s="2031">
        <v>163.0</v>
      </c>
      <c r="D1356" s="2031">
        <v>325.0</v>
      </c>
      <c r="E1356" s="2031">
        <v>216.0</v>
      </c>
      <c r="F1356" s="2031">
        <v>216.0</v>
      </c>
      <c r="G1356" s="2031">
        <v>217.0</v>
      </c>
      <c r="H1356" s="2031">
        <v>217.0</v>
      </c>
    </row>
    <row r="1357">
      <c r="B1357" s="2031">
        <v>1355.0</v>
      </c>
      <c r="C1357" s="2031">
        <v>162.0</v>
      </c>
      <c r="D1357" s="2031">
        <v>325.0</v>
      </c>
      <c r="E1357" s="2031">
        <v>217.0</v>
      </c>
      <c r="F1357" s="2031">
        <v>217.0</v>
      </c>
      <c r="G1357" s="2031">
        <v>217.0</v>
      </c>
      <c r="H1357" s="2031">
        <v>217.0</v>
      </c>
    </row>
    <row r="1358">
      <c r="B1358" s="2031">
        <v>1356.0</v>
      </c>
      <c r="C1358" s="2031">
        <v>163.0</v>
      </c>
      <c r="D1358" s="2031">
        <v>325.0</v>
      </c>
      <c r="E1358" s="2031">
        <v>217.0</v>
      </c>
      <c r="F1358" s="2031">
        <v>217.0</v>
      </c>
      <c r="G1358" s="2031">
        <v>217.0</v>
      </c>
      <c r="H1358" s="2031">
        <v>217.0</v>
      </c>
    </row>
    <row r="1359">
      <c r="B1359" s="2031">
        <v>1357.0</v>
      </c>
      <c r="C1359" s="2031">
        <v>163.0</v>
      </c>
      <c r="D1359" s="2031">
        <v>326.0</v>
      </c>
      <c r="E1359" s="2031">
        <v>217.0</v>
      </c>
      <c r="F1359" s="2031">
        <v>217.0</v>
      </c>
      <c r="G1359" s="2031">
        <v>217.0</v>
      </c>
      <c r="H1359" s="2031">
        <v>217.0</v>
      </c>
    </row>
    <row r="1360">
      <c r="B1360" s="2031">
        <v>1358.0</v>
      </c>
      <c r="C1360" s="2031">
        <v>163.0</v>
      </c>
      <c r="D1360" s="2031">
        <v>325.0</v>
      </c>
      <c r="E1360" s="2031">
        <v>217.0</v>
      </c>
      <c r="F1360" s="2031">
        <v>217.0</v>
      </c>
      <c r="G1360" s="2031">
        <v>218.0</v>
      </c>
      <c r="H1360" s="2031">
        <v>218.0</v>
      </c>
    </row>
    <row r="1361">
      <c r="B1361" s="2031">
        <v>1359.0</v>
      </c>
      <c r="C1361" s="2031">
        <v>163.0</v>
      </c>
      <c r="D1361" s="2031">
        <v>326.0</v>
      </c>
      <c r="E1361" s="2031">
        <v>217.0</v>
      </c>
      <c r="F1361" s="2031">
        <v>217.0</v>
      </c>
      <c r="G1361" s="2031">
        <v>218.0</v>
      </c>
      <c r="H1361" s="2031">
        <v>218.0</v>
      </c>
    </row>
    <row r="1362">
      <c r="B1362" s="2031">
        <v>1360.0</v>
      </c>
      <c r="C1362" s="2031">
        <v>163.0</v>
      </c>
      <c r="D1362" s="2031">
        <v>327.0</v>
      </c>
      <c r="E1362" s="2031">
        <v>217.0</v>
      </c>
      <c r="F1362" s="2031">
        <v>217.0</v>
      </c>
      <c r="G1362" s="2031">
        <v>218.0</v>
      </c>
      <c r="H1362" s="2031">
        <v>218.0</v>
      </c>
    </row>
    <row r="1363">
      <c r="B1363" s="2031">
        <v>1361.0</v>
      </c>
      <c r="C1363" s="2031">
        <v>163.0</v>
      </c>
      <c r="D1363" s="2031">
        <v>326.0</v>
      </c>
      <c r="E1363" s="2031">
        <v>218.0</v>
      </c>
      <c r="F1363" s="2031">
        <v>218.0</v>
      </c>
      <c r="G1363" s="2031">
        <v>218.0</v>
      </c>
      <c r="H1363" s="2031">
        <v>218.0</v>
      </c>
    </row>
    <row r="1364">
      <c r="B1364" s="2031">
        <v>1362.0</v>
      </c>
      <c r="C1364" s="2031">
        <v>163.0</v>
      </c>
      <c r="D1364" s="2031">
        <v>327.0</v>
      </c>
      <c r="E1364" s="2031">
        <v>218.0</v>
      </c>
      <c r="F1364" s="2031">
        <v>218.0</v>
      </c>
      <c r="G1364" s="2031">
        <v>218.0</v>
      </c>
      <c r="H1364" s="2031">
        <v>218.0</v>
      </c>
    </row>
    <row r="1365">
      <c r="B1365" s="2031">
        <v>1363.0</v>
      </c>
      <c r="C1365" s="2031">
        <v>164.0</v>
      </c>
      <c r="D1365" s="2031">
        <v>327.0</v>
      </c>
      <c r="E1365" s="2031">
        <v>218.0</v>
      </c>
      <c r="F1365" s="2031">
        <v>218.0</v>
      </c>
      <c r="G1365" s="2031">
        <v>218.0</v>
      </c>
      <c r="H1365" s="2031">
        <v>218.0</v>
      </c>
    </row>
    <row r="1366">
      <c r="B1366" s="2031">
        <v>1364.0</v>
      </c>
      <c r="C1366" s="2031">
        <v>164.0</v>
      </c>
      <c r="D1366" s="2031">
        <v>328.0</v>
      </c>
      <c r="E1366" s="2031">
        <v>218.0</v>
      </c>
      <c r="F1366" s="2031">
        <v>218.0</v>
      </c>
      <c r="G1366" s="2031">
        <v>218.0</v>
      </c>
      <c r="H1366" s="2031">
        <v>218.0</v>
      </c>
    </row>
    <row r="1367">
      <c r="B1367" s="2031">
        <v>1365.0</v>
      </c>
      <c r="C1367" s="2031">
        <v>164.0</v>
      </c>
      <c r="D1367" s="2031">
        <v>327.0</v>
      </c>
      <c r="E1367" s="2031">
        <v>218.0</v>
      </c>
      <c r="F1367" s="2031">
        <v>218.0</v>
      </c>
      <c r="G1367" s="2031">
        <v>219.0</v>
      </c>
      <c r="H1367" s="2031">
        <v>219.0</v>
      </c>
    </row>
    <row r="1368">
      <c r="B1368" s="2031">
        <v>1366.0</v>
      </c>
      <c r="C1368" s="2031">
        <v>164.0</v>
      </c>
      <c r="D1368" s="2031">
        <v>328.0</v>
      </c>
      <c r="E1368" s="2031">
        <v>218.0</v>
      </c>
      <c r="F1368" s="2031">
        <v>218.0</v>
      </c>
      <c r="G1368" s="2031">
        <v>219.0</v>
      </c>
      <c r="H1368" s="2031">
        <v>219.0</v>
      </c>
    </row>
    <row r="1369">
      <c r="B1369" s="2031">
        <v>1367.0</v>
      </c>
      <c r="C1369" s="2031">
        <v>164.0</v>
      </c>
      <c r="D1369" s="2031">
        <v>329.0</v>
      </c>
      <c r="E1369" s="2031">
        <v>218.0</v>
      </c>
      <c r="F1369" s="2031">
        <v>218.0</v>
      </c>
      <c r="G1369" s="2031">
        <v>219.0</v>
      </c>
      <c r="H1369" s="2031">
        <v>219.0</v>
      </c>
    </row>
    <row r="1370">
      <c r="B1370" s="2031">
        <v>1368.0</v>
      </c>
      <c r="C1370" s="2031">
        <v>164.0</v>
      </c>
      <c r="D1370" s="2031">
        <v>328.0</v>
      </c>
      <c r="E1370" s="2031">
        <v>219.0</v>
      </c>
      <c r="F1370" s="2031">
        <v>219.0</v>
      </c>
      <c r="G1370" s="2031">
        <v>219.0</v>
      </c>
      <c r="H1370" s="2031">
        <v>219.0</v>
      </c>
    </row>
    <row r="1371">
      <c r="B1371" s="2031">
        <v>1369.0</v>
      </c>
      <c r="C1371" s="2031">
        <v>164.0</v>
      </c>
      <c r="D1371" s="2031">
        <v>329.0</v>
      </c>
      <c r="E1371" s="2031">
        <v>219.0</v>
      </c>
      <c r="F1371" s="2031">
        <v>219.0</v>
      </c>
      <c r="G1371" s="2031">
        <v>219.0</v>
      </c>
      <c r="H1371" s="2031">
        <v>219.0</v>
      </c>
    </row>
    <row r="1372">
      <c r="B1372" s="2031">
        <v>1370.0</v>
      </c>
      <c r="C1372" s="2031">
        <v>165.0</v>
      </c>
      <c r="D1372" s="2031">
        <v>329.0</v>
      </c>
      <c r="E1372" s="2031">
        <v>219.0</v>
      </c>
      <c r="F1372" s="2031">
        <v>219.0</v>
      </c>
      <c r="G1372" s="2031">
        <v>219.0</v>
      </c>
      <c r="H1372" s="2031">
        <v>219.0</v>
      </c>
    </row>
    <row r="1373">
      <c r="B1373" s="2031">
        <v>1371.0</v>
      </c>
      <c r="C1373" s="2031">
        <v>164.0</v>
      </c>
      <c r="D1373" s="2031">
        <v>329.0</v>
      </c>
      <c r="E1373" s="2031">
        <v>219.0</v>
      </c>
      <c r="F1373" s="2031">
        <v>219.0</v>
      </c>
      <c r="G1373" s="2031">
        <v>220.0</v>
      </c>
      <c r="H1373" s="2031">
        <v>220.0</v>
      </c>
    </row>
    <row r="1374">
      <c r="B1374" s="2031">
        <v>1372.0</v>
      </c>
      <c r="C1374" s="2031">
        <v>165.0</v>
      </c>
      <c r="D1374" s="2031">
        <v>329.0</v>
      </c>
      <c r="E1374" s="2031">
        <v>219.0</v>
      </c>
      <c r="F1374" s="2031">
        <v>219.0</v>
      </c>
      <c r="G1374" s="2031">
        <v>220.0</v>
      </c>
      <c r="H1374" s="2031">
        <v>220.0</v>
      </c>
    </row>
    <row r="1375">
      <c r="B1375" s="2031">
        <v>1373.0</v>
      </c>
      <c r="C1375" s="2031">
        <v>164.0</v>
      </c>
      <c r="D1375" s="2031">
        <v>329.0</v>
      </c>
      <c r="E1375" s="2031">
        <v>220.0</v>
      </c>
      <c r="F1375" s="2031">
        <v>220.0</v>
      </c>
      <c r="G1375" s="2031">
        <v>220.0</v>
      </c>
      <c r="H1375" s="2031">
        <v>220.0</v>
      </c>
    </row>
    <row r="1376">
      <c r="B1376" s="2031">
        <v>1374.0</v>
      </c>
      <c r="C1376" s="2031">
        <v>165.0</v>
      </c>
      <c r="D1376" s="2031">
        <v>329.0</v>
      </c>
      <c r="E1376" s="2031">
        <v>220.0</v>
      </c>
      <c r="F1376" s="2031">
        <v>220.0</v>
      </c>
      <c r="G1376" s="2031">
        <v>220.0</v>
      </c>
      <c r="H1376" s="2031">
        <v>220.0</v>
      </c>
    </row>
    <row r="1377">
      <c r="B1377" s="2031">
        <v>1375.0</v>
      </c>
      <c r="C1377" s="2031">
        <v>165.0</v>
      </c>
      <c r="D1377" s="2031">
        <v>330.0</v>
      </c>
      <c r="E1377" s="2031">
        <v>220.0</v>
      </c>
      <c r="F1377" s="2031">
        <v>220.0</v>
      </c>
      <c r="G1377" s="2031">
        <v>220.0</v>
      </c>
      <c r="H1377" s="2031">
        <v>220.0</v>
      </c>
    </row>
    <row r="1378">
      <c r="B1378" s="2031">
        <v>1376.0</v>
      </c>
      <c r="C1378" s="2031">
        <v>165.0</v>
      </c>
      <c r="D1378" s="2031">
        <v>331.0</v>
      </c>
      <c r="E1378" s="2031">
        <v>220.0</v>
      </c>
      <c r="F1378" s="2031">
        <v>220.0</v>
      </c>
      <c r="G1378" s="2031">
        <v>220.0</v>
      </c>
      <c r="H1378" s="2031">
        <v>220.0</v>
      </c>
    </row>
    <row r="1379">
      <c r="B1379" s="2031">
        <v>1377.0</v>
      </c>
      <c r="C1379" s="2031">
        <v>166.0</v>
      </c>
      <c r="D1379" s="2031">
        <v>331.0</v>
      </c>
      <c r="E1379" s="2031">
        <v>220.0</v>
      </c>
      <c r="F1379" s="2031">
        <v>220.0</v>
      </c>
      <c r="G1379" s="2031">
        <v>220.0</v>
      </c>
      <c r="H1379" s="2031">
        <v>220.0</v>
      </c>
    </row>
    <row r="1380">
      <c r="B1380" s="2031">
        <v>1378.0</v>
      </c>
      <c r="C1380" s="2031">
        <v>165.0</v>
      </c>
      <c r="D1380" s="2031">
        <v>331.0</v>
      </c>
      <c r="E1380" s="2031">
        <v>220.0</v>
      </c>
      <c r="F1380" s="2031">
        <v>220.0</v>
      </c>
      <c r="G1380" s="2031">
        <v>221.0</v>
      </c>
      <c r="H1380" s="2031">
        <v>221.0</v>
      </c>
    </row>
    <row r="1381">
      <c r="B1381" s="2031">
        <v>1379.0</v>
      </c>
      <c r="C1381" s="2031">
        <v>166.0</v>
      </c>
      <c r="D1381" s="2031">
        <v>331.0</v>
      </c>
      <c r="E1381" s="2031">
        <v>220.0</v>
      </c>
      <c r="F1381" s="2031">
        <v>220.0</v>
      </c>
      <c r="G1381" s="2031">
        <v>221.0</v>
      </c>
      <c r="H1381" s="2031">
        <v>221.0</v>
      </c>
    </row>
    <row r="1382">
      <c r="B1382" s="2031">
        <v>1380.0</v>
      </c>
      <c r="C1382" s="2031">
        <v>165.0</v>
      </c>
      <c r="D1382" s="2031">
        <v>331.0</v>
      </c>
      <c r="E1382" s="2031">
        <v>221.0</v>
      </c>
      <c r="F1382" s="2031">
        <v>221.0</v>
      </c>
      <c r="G1382" s="2031">
        <v>221.0</v>
      </c>
      <c r="H1382" s="2031">
        <v>221.0</v>
      </c>
    </row>
    <row r="1383">
      <c r="B1383" s="2031">
        <v>1381.0</v>
      </c>
      <c r="C1383" s="2031">
        <v>166.0</v>
      </c>
      <c r="D1383" s="2031">
        <v>331.0</v>
      </c>
      <c r="E1383" s="2031">
        <v>221.0</v>
      </c>
      <c r="F1383" s="2031">
        <v>221.0</v>
      </c>
      <c r="G1383" s="2031">
        <v>221.0</v>
      </c>
      <c r="H1383" s="2031">
        <v>221.0</v>
      </c>
    </row>
    <row r="1384">
      <c r="B1384" s="2031">
        <v>1382.0</v>
      </c>
      <c r="C1384" s="2031">
        <v>166.0</v>
      </c>
      <c r="D1384" s="2031">
        <v>332.0</v>
      </c>
      <c r="E1384" s="2031">
        <v>221.0</v>
      </c>
      <c r="F1384" s="2031">
        <v>221.0</v>
      </c>
      <c r="G1384" s="2031">
        <v>221.0</v>
      </c>
      <c r="H1384" s="2031">
        <v>221.0</v>
      </c>
    </row>
    <row r="1385">
      <c r="B1385" s="2031">
        <v>1383.0</v>
      </c>
      <c r="C1385" s="2031">
        <v>166.0</v>
      </c>
      <c r="D1385" s="2031">
        <v>331.0</v>
      </c>
      <c r="E1385" s="2031">
        <v>221.0</v>
      </c>
      <c r="F1385" s="2031">
        <v>221.0</v>
      </c>
      <c r="G1385" s="2031">
        <v>222.0</v>
      </c>
      <c r="H1385" s="2031">
        <v>222.0</v>
      </c>
    </row>
    <row r="1386">
      <c r="B1386" s="2031">
        <v>1384.0</v>
      </c>
      <c r="C1386" s="2031">
        <v>166.0</v>
      </c>
      <c r="D1386" s="2031">
        <v>332.0</v>
      </c>
      <c r="E1386" s="2031">
        <v>221.0</v>
      </c>
      <c r="F1386" s="2031">
        <v>221.0</v>
      </c>
      <c r="G1386" s="2031">
        <v>222.0</v>
      </c>
      <c r="H1386" s="2031">
        <v>222.0</v>
      </c>
    </row>
    <row r="1387">
      <c r="B1387" s="2031">
        <v>1385.0</v>
      </c>
      <c r="C1387" s="2031">
        <v>166.0</v>
      </c>
      <c r="D1387" s="2031">
        <v>333.0</v>
      </c>
      <c r="E1387" s="2031">
        <v>221.0</v>
      </c>
      <c r="F1387" s="2031">
        <v>221.0</v>
      </c>
      <c r="G1387" s="2031">
        <v>222.0</v>
      </c>
      <c r="H1387" s="2031">
        <v>222.0</v>
      </c>
    </row>
    <row r="1388">
      <c r="B1388" s="2031">
        <v>1386.0</v>
      </c>
      <c r="C1388" s="2031">
        <v>166.0</v>
      </c>
      <c r="D1388" s="2031">
        <v>332.0</v>
      </c>
      <c r="E1388" s="2031">
        <v>222.0</v>
      </c>
      <c r="F1388" s="2031">
        <v>222.0</v>
      </c>
      <c r="G1388" s="2031">
        <v>222.0</v>
      </c>
      <c r="H1388" s="2031">
        <v>222.0</v>
      </c>
    </row>
    <row r="1389">
      <c r="B1389" s="2031">
        <v>1387.0</v>
      </c>
      <c r="C1389" s="2031">
        <v>166.0</v>
      </c>
      <c r="D1389" s="2031">
        <v>333.0</v>
      </c>
      <c r="E1389" s="2031">
        <v>222.0</v>
      </c>
      <c r="F1389" s="2031">
        <v>222.0</v>
      </c>
      <c r="G1389" s="2031">
        <v>222.0</v>
      </c>
      <c r="H1389" s="2031">
        <v>222.0</v>
      </c>
    </row>
    <row r="1390">
      <c r="B1390" s="2031">
        <v>1388.0</v>
      </c>
      <c r="C1390" s="2031">
        <v>167.0</v>
      </c>
      <c r="D1390" s="2031">
        <v>333.0</v>
      </c>
      <c r="E1390" s="2031">
        <v>222.0</v>
      </c>
      <c r="F1390" s="2031">
        <v>222.0</v>
      </c>
      <c r="G1390" s="2031">
        <v>222.0</v>
      </c>
      <c r="H1390" s="2031">
        <v>222.0</v>
      </c>
    </row>
    <row r="1391">
      <c r="B1391" s="2031">
        <v>1389.0</v>
      </c>
      <c r="C1391" s="2031">
        <v>167.0</v>
      </c>
      <c r="D1391" s="2031">
        <v>334.0</v>
      </c>
      <c r="E1391" s="2031">
        <v>222.0</v>
      </c>
      <c r="F1391" s="2031">
        <v>222.0</v>
      </c>
      <c r="G1391" s="2031">
        <v>222.0</v>
      </c>
      <c r="H1391" s="2031">
        <v>222.0</v>
      </c>
    </row>
    <row r="1392">
      <c r="B1392" s="2031">
        <v>1390.0</v>
      </c>
      <c r="C1392" s="2031">
        <v>167.0</v>
      </c>
      <c r="D1392" s="2031">
        <v>333.0</v>
      </c>
      <c r="E1392" s="2031">
        <v>222.0</v>
      </c>
      <c r="F1392" s="2031">
        <v>222.0</v>
      </c>
      <c r="G1392" s="2031">
        <v>223.0</v>
      </c>
      <c r="H1392" s="2031">
        <v>223.0</v>
      </c>
    </row>
    <row r="1393">
      <c r="B1393" s="2031">
        <v>1391.0</v>
      </c>
      <c r="C1393" s="2031">
        <v>167.0</v>
      </c>
      <c r="D1393" s="2031">
        <v>334.0</v>
      </c>
      <c r="E1393" s="2031">
        <v>222.0</v>
      </c>
      <c r="F1393" s="2031">
        <v>222.0</v>
      </c>
      <c r="G1393" s="2031">
        <v>223.0</v>
      </c>
      <c r="H1393" s="2031">
        <v>223.0</v>
      </c>
    </row>
    <row r="1394">
      <c r="B1394" s="2031">
        <v>1392.0</v>
      </c>
      <c r="C1394" s="2031">
        <v>167.0</v>
      </c>
      <c r="D1394" s="2031">
        <v>335.0</v>
      </c>
      <c r="E1394" s="2031">
        <v>222.0</v>
      </c>
      <c r="F1394" s="2031">
        <v>222.0</v>
      </c>
      <c r="G1394" s="2031">
        <v>223.0</v>
      </c>
      <c r="H1394" s="2031">
        <v>223.0</v>
      </c>
    </row>
    <row r="1395">
      <c r="B1395" s="2031">
        <v>1393.0</v>
      </c>
      <c r="C1395" s="2031">
        <v>167.0</v>
      </c>
      <c r="D1395" s="2031">
        <v>334.0</v>
      </c>
      <c r="E1395" s="2031">
        <v>223.0</v>
      </c>
      <c r="F1395" s="2031">
        <v>223.0</v>
      </c>
      <c r="G1395" s="2031">
        <v>223.0</v>
      </c>
      <c r="H1395" s="2031">
        <v>223.0</v>
      </c>
    </row>
    <row r="1396">
      <c r="B1396" s="2031">
        <v>1394.0</v>
      </c>
      <c r="C1396" s="2031">
        <v>167.0</v>
      </c>
      <c r="D1396" s="2031">
        <v>335.0</v>
      </c>
      <c r="E1396" s="2031">
        <v>223.0</v>
      </c>
      <c r="F1396" s="2031">
        <v>223.0</v>
      </c>
      <c r="G1396" s="2031">
        <v>223.0</v>
      </c>
      <c r="H1396" s="2031">
        <v>223.0</v>
      </c>
    </row>
    <row r="1397">
      <c r="B1397" s="2031">
        <v>1395.0</v>
      </c>
      <c r="C1397" s="2031">
        <v>168.0</v>
      </c>
      <c r="D1397" s="2031">
        <v>335.0</v>
      </c>
      <c r="E1397" s="2031">
        <v>223.0</v>
      </c>
      <c r="F1397" s="2031">
        <v>223.0</v>
      </c>
      <c r="G1397" s="2031">
        <v>223.0</v>
      </c>
      <c r="H1397" s="2031">
        <v>223.0</v>
      </c>
    </row>
    <row r="1398">
      <c r="B1398" s="2031">
        <v>1396.0</v>
      </c>
      <c r="C1398" s="2031">
        <v>167.0</v>
      </c>
      <c r="D1398" s="2031">
        <v>335.0</v>
      </c>
      <c r="E1398" s="2031">
        <v>223.0</v>
      </c>
      <c r="F1398" s="2031">
        <v>223.0</v>
      </c>
      <c r="G1398" s="2031">
        <v>224.0</v>
      </c>
      <c r="H1398" s="2031">
        <v>224.0</v>
      </c>
    </row>
    <row r="1399">
      <c r="B1399" s="2031">
        <v>1397.0</v>
      </c>
      <c r="C1399" s="2031">
        <v>168.0</v>
      </c>
      <c r="D1399" s="2031">
        <v>335.0</v>
      </c>
      <c r="E1399" s="2031">
        <v>223.0</v>
      </c>
      <c r="F1399" s="2031">
        <v>223.0</v>
      </c>
      <c r="G1399" s="2031">
        <v>224.0</v>
      </c>
      <c r="H1399" s="2031">
        <v>224.0</v>
      </c>
    </row>
    <row r="1400">
      <c r="B1400" s="2031">
        <v>1398.0</v>
      </c>
      <c r="C1400" s="2031">
        <v>167.0</v>
      </c>
      <c r="D1400" s="2031">
        <v>335.0</v>
      </c>
      <c r="E1400" s="2031">
        <v>224.0</v>
      </c>
      <c r="F1400" s="2031">
        <v>224.0</v>
      </c>
      <c r="G1400" s="2031">
        <v>224.0</v>
      </c>
      <c r="H1400" s="2031">
        <v>224.0</v>
      </c>
    </row>
    <row r="1401">
      <c r="B1401" s="2031">
        <v>1399.0</v>
      </c>
      <c r="C1401" s="2031">
        <v>168.0</v>
      </c>
      <c r="D1401" s="2031">
        <v>335.0</v>
      </c>
      <c r="E1401" s="2031">
        <v>224.0</v>
      </c>
      <c r="F1401" s="2031">
        <v>224.0</v>
      </c>
      <c r="G1401" s="2031">
        <v>224.0</v>
      </c>
      <c r="H1401" s="2031">
        <v>224.0</v>
      </c>
    </row>
    <row r="1402">
      <c r="B1402" s="2031">
        <v>1400.0</v>
      </c>
      <c r="C1402" s="2031">
        <v>168.0</v>
      </c>
      <c r="D1402" s="2031">
        <v>336.0</v>
      </c>
      <c r="E1402" s="2031">
        <v>224.0</v>
      </c>
      <c r="F1402" s="2031">
        <v>224.0</v>
      </c>
      <c r="G1402" s="2031">
        <v>224.0</v>
      </c>
      <c r="H1402" s="2031">
        <v>224.0</v>
      </c>
    </row>
    <row r="1403">
      <c r="B1403" s="2031">
        <v>1401.0</v>
      </c>
      <c r="C1403" s="2031">
        <v>168.0</v>
      </c>
      <c r="D1403" s="2031">
        <v>337.0</v>
      </c>
      <c r="E1403" s="2031">
        <v>224.0</v>
      </c>
      <c r="F1403" s="2031">
        <v>224.0</v>
      </c>
      <c r="G1403" s="2031">
        <v>224.0</v>
      </c>
      <c r="H1403" s="2031">
        <v>224.0</v>
      </c>
    </row>
    <row r="1404">
      <c r="B1404" s="2031">
        <v>1402.0</v>
      </c>
      <c r="C1404" s="2031">
        <v>169.0</v>
      </c>
      <c r="D1404" s="2031">
        <v>337.0</v>
      </c>
      <c r="E1404" s="2031">
        <v>224.0</v>
      </c>
      <c r="F1404" s="2031">
        <v>224.0</v>
      </c>
      <c r="G1404" s="2031">
        <v>224.0</v>
      </c>
      <c r="H1404" s="2031">
        <v>224.0</v>
      </c>
    </row>
    <row r="1405">
      <c r="B1405" s="2031">
        <v>1403.0</v>
      </c>
      <c r="C1405" s="2031">
        <v>168.0</v>
      </c>
      <c r="D1405" s="2031">
        <v>337.0</v>
      </c>
      <c r="E1405" s="2031">
        <v>224.0</v>
      </c>
      <c r="F1405" s="2031">
        <v>224.0</v>
      </c>
      <c r="G1405" s="2031">
        <v>225.0</v>
      </c>
      <c r="H1405" s="2031">
        <v>225.0</v>
      </c>
    </row>
    <row r="1406">
      <c r="B1406" s="2031">
        <v>1404.0</v>
      </c>
      <c r="C1406" s="2031">
        <v>169.0</v>
      </c>
      <c r="D1406" s="2031">
        <v>337.0</v>
      </c>
      <c r="E1406" s="2031">
        <v>224.0</v>
      </c>
      <c r="F1406" s="2031">
        <v>224.0</v>
      </c>
      <c r="G1406" s="2031">
        <v>225.0</v>
      </c>
      <c r="H1406" s="2031">
        <v>225.0</v>
      </c>
    </row>
    <row r="1407">
      <c r="B1407" s="2031">
        <v>1405.0</v>
      </c>
      <c r="C1407" s="2031">
        <v>168.0</v>
      </c>
      <c r="D1407" s="2031">
        <v>337.0</v>
      </c>
      <c r="E1407" s="2031">
        <v>225.0</v>
      </c>
      <c r="F1407" s="2031">
        <v>225.0</v>
      </c>
      <c r="G1407" s="2031">
        <v>225.0</v>
      </c>
      <c r="H1407" s="2031">
        <v>225.0</v>
      </c>
    </row>
    <row r="1408">
      <c r="B1408" s="2031">
        <v>1406.0</v>
      </c>
      <c r="C1408" s="2031">
        <v>169.0</v>
      </c>
      <c r="D1408" s="2031">
        <v>337.0</v>
      </c>
      <c r="E1408" s="2031">
        <v>225.0</v>
      </c>
      <c r="F1408" s="2031">
        <v>225.0</v>
      </c>
      <c r="G1408" s="2031">
        <v>225.0</v>
      </c>
      <c r="H1408" s="2031">
        <v>225.0</v>
      </c>
    </row>
    <row r="1409">
      <c r="B1409" s="2031">
        <v>1407.0</v>
      </c>
      <c r="C1409" s="2031">
        <v>169.0</v>
      </c>
      <c r="D1409" s="2031">
        <v>338.0</v>
      </c>
      <c r="E1409" s="2031">
        <v>225.0</v>
      </c>
      <c r="F1409" s="2031">
        <v>225.0</v>
      </c>
      <c r="G1409" s="2031">
        <v>225.0</v>
      </c>
      <c r="H1409" s="2031">
        <v>225.0</v>
      </c>
    </row>
    <row r="1410">
      <c r="B1410" s="2031">
        <v>1408.0</v>
      </c>
      <c r="C1410" s="2031">
        <v>169.0</v>
      </c>
      <c r="D1410" s="2031">
        <v>337.0</v>
      </c>
      <c r="E1410" s="2031">
        <v>225.0</v>
      </c>
      <c r="F1410" s="2031">
        <v>225.0</v>
      </c>
      <c r="G1410" s="2031">
        <v>226.0</v>
      </c>
      <c r="H1410" s="2031">
        <v>226.0</v>
      </c>
    </row>
    <row r="1411">
      <c r="B1411" s="2031">
        <v>1409.0</v>
      </c>
      <c r="C1411" s="2031">
        <v>169.0</v>
      </c>
      <c r="D1411" s="2031">
        <v>338.0</v>
      </c>
      <c r="E1411" s="2031">
        <v>225.0</v>
      </c>
      <c r="F1411" s="2031">
        <v>225.0</v>
      </c>
      <c r="G1411" s="2031">
        <v>226.0</v>
      </c>
      <c r="H1411" s="2031">
        <v>226.0</v>
      </c>
    </row>
    <row r="1412">
      <c r="B1412" s="2031">
        <v>1410.0</v>
      </c>
      <c r="C1412" s="2031">
        <v>169.0</v>
      </c>
      <c r="D1412" s="2031">
        <v>339.0</v>
      </c>
      <c r="E1412" s="2031">
        <v>225.0</v>
      </c>
      <c r="F1412" s="2031">
        <v>225.0</v>
      </c>
      <c r="G1412" s="2031">
        <v>226.0</v>
      </c>
      <c r="H1412" s="2031">
        <v>226.0</v>
      </c>
    </row>
    <row r="1413">
      <c r="B1413" s="2031">
        <v>1411.0</v>
      </c>
      <c r="C1413" s="2031">
        <v>169.0</v>
      </c>
      <c r="D1413" s="2031">
        <v>338.0</v>
      </c>
      <c r="E1413" s="2031">
        <v>226.0</v>
      </c>
      <c r="F1413" s="2031">
        <v>226.0</v>
      </c>
      <c r="G1413" s="2031">
        <v>226.0</v>
      </c>
      <c r="H1413" s="2031">
        <v>226.0</v>
      </c>
    </row>
    <row r="1414">
      <c r="B1414" s="2031">
        <v>1412.0</v>
      </c>
      <c r="C1414" s="2031">
        <v>169.0</v>
      </c>
      <c r="D1414" s="2031">
        <v>339.0</v>
      </c>
      <c r="E1414" s="2031">
        <v>226.0</v>
      </c>
      <c r="F1414" s="2031">
        <v>226.0</v>
      </c>
      <c r="G1414" s="2031">
        <v>226.0</v>
      </c>
      <c r="H1414" s="2031">
        <v>226.0</v>
      </c>
    </row>
    <row r="1415">
      <c r="B1415" s="2031">
        <v>1413.0</v>
      </c>
      <c r="C1415" s="2031">
        <v>170.0</v>
      </c>
      <c r="D1415" s="2031">
        <v>339.0</v>
      </c>
      <c r="E1415" s="2031">
        <v>226.0</v>
      </c>
      <c r="F1415" s="2031">
        <v>226.0</v>
      </c>
      <c r="G1415" s="2031">
        <v>226.0</v>
      </c>
      <c r="H1415" s="2031">
        <v>226.0</v>
      </c>
    </row>
    <row r="1416">
      <c r="B1416" s="2031">
        <v>1414.0</v>
      </c>
      <c r="C1416" s="2031">
        <v>170.0</v>
      </c>
      <c r="D1416" s="2031">
        <v>340.0</v>
      </c>
      <c r="E1416" s="2031">
        <v>226.0</v>
      </c>
      <c r="F1416" s="2031">
        <v>226.0</v>
      </c>
      <c r="G1416" s="2031">
        <v>226.0</v>
      </c>
      <c r="H1416" s="2031">
        <v>226.0</v>
      </c>
    </row>
    <row r="1417">
      <c r="B1417" s="2031">
        <v>1415.0</v>
      </c>
      <c r="C1417" s="2031">
        <v>170.0</v>
      </c>
      <c r="D1417" s="2031">
        <v>339.0</v>
      </c>
      <c r="E1417" s="2031">
        <v>226.0</v>
      </c>
      <c r="F1417" s="2031">
        <v>226.0</v>
      </c>
      <c r="G1417" s="2031">
        <v>227.0</v>
      </c>
      <c r="H1417" s="2031">
        <v>227.0</v>
      </c>
    </row>
    <row r="1418">
      <c r="B1418" s="2031">
        <v>1416.0</v>
      </c>
      <c r="C1418" s="2031">
        <v>170.0</v>
      </c>
      <c r="D1418" s="2031">
        <v>340.0</v>
      </c>
      <c r="E1418" s="2031">
        <v>226.0</v>
      </c>
      <c r="F1418" s="2031">
        <v>226.0</v>
      </c>
      <c r="G1418" s="2031">
        <v>227.0</v>
      </c>
      <c r="H1418" s="2031">
        <v>227.0</v>
      </c>
    </row>
    <row r="1419">
      <c r="B1419" s="2031">
        <v>1417.0</v>
      </c>
      <c r="C1419" s="2031">
        <v>170.0</v>
      </c>
      <c r="D1419" s="2031">
        <v>341.0</v>
      </c>
      <c r="E1419" s="2031">
        <v>226.0</v>
      </c>
      <c r="F1419" s="2031">
        <v>226.0</v>
      </c>
      <c r="G1419" s="2031">
        <v>227.0</v>
      </c>
      <c r="H1419" s="2031">
        <v>227.0</v>
      </c>
    </row>
    <row r="1420">
      <c r="B1420" s="2031">
        <v>1418.0</v>
      </c>
      <c r="C1420" s="2031">
        <v>170.0</v>
      </c>
      <c r="D1420" s="2031">
        <v>340.0</v>
      </c>
      <c r="E1420" s="2031">
        <v>227.0</v>
      </c>
      <c r="F1420" s="2031">
        <v>227.0</v>
      </c>
      <c r="G1420" s="2031">
        <v>227.0</v>
      </c>
      <c r="H1420" s="2031">
        <v>227.0</v>
      </c>
    </row>
    <row r="1421">
      <c r="B1421" s="2031">
        <v>1419.0</v>
      </c>
      <c r="C1421" s="2031">
        <v>170.0</v>
      </c>
      <c r="D1421" s="2031">
        <v>341.0</v>
      </c>
      <c r="E1421" s="2031">
        <v>227.0</v>
      </c>
      <c r="F1421" s="2031">
        <v>227.0</v>
      </c>
      <c r="G1421" s="2031">
        <v>227.0</v>
      </c>
      <c r="H1421" s="2031">
        <v>227.0</v>
      </c>
    </row>
    <row r="1422">
      <c r="B1422" s="2031">
        <v>1420.0</v>
      </c>
      <c r="C1422" s="2031">
        <v>171.0</v>
      </c>
      <c r="D1422" s="2031">
        <v>341.0</v>
      </c>
      <c r="E1422" s="2031">
        <v>227.0</v>
      </c>
      <c r="F1422" s="2031">
        <v>227.0</v>
      </c>
      <c r="G1422" s="2031">
        <v>227.0</v>
      </c>
      <c r="H1422" s="2031">
        <v>227.0</v>
      </c>
    </row>
    <row r="1423">
      <c r="B1423" s="2031">
        <v>1421.0</v>
      </c>
      <c r="C1423" s="2031">
        <v>170.0</v>
      </c>
      <c r="D1423" s="2031">
        <v>341.0</v>
      </c>
      <c r="E1423" s="2031">
        <v>227.0</v>
      </c>
      <c r="F1423" s="2031">
        <v>227.0</v>
      </c>
      <c r="G1423" s="2031">
        <v>228.0</v>
      </c>
      <c r="H1423" s="2031">
        <v>228.0</v>
      </c>
    </row>
    <row r="1424">
      <c r="B1424" s="2031">
        <v>1422.0</v>
      </c>
      <c r="C1424" s="2031">
        <v>171.0</v>
      </c>
      <c r="D1424" s="2031">
        <v>341.0</v>
      </c>
      <c r="E1424" s="2031">
        <v>227.0</v>
      </c>
      <c r="F1424" s="2031">
        <v>227.0</v>
      </c>
      <c r="G1424" s="2031">
        <v>228.0</v>
      </c>
      <c r="H1424" s="2031">
        <v>228.0</v>
      </c>
    </row>
    <row r="1425">
      <c r="B1425" s="2031">
        <v>1423.0</v>
      </c>
      <c r="C1425" s="2031">
        <v>170.0</v>
      </c>
      <c r="D1425" s="2031">
        <v>341.0</v>
      </c>
      <c r="E1425" s="2031">
        <v>228.0</v>
      </c>
      <c r="F1425" s="2031">
        <v>228.0</v>
      </c>
      <c r="G1425" s="2031">
        <v>228.0</v>
      </c>
      <c r="H1425" s="2031">
        <v>228.0</v>
      </c>
    </row>
    <row r="1426">
      <c r="B1426" s="2031">
        <v>1424.0</v>
      </c>
      <c r="C1426" s="2031">
        <v>171.0</v>
      </c>
      <c r="D1426" s="2031">
        <v>341.0</v>
      </c>
      <c r="E1426" s="2031">
        <v>228.0</v>
      </c>
      <c r="F1426" s="2031">
        <v>228.0</v>
      </c>
      <c r="G1426" s="2031">
        <v>228.0</v>
      </c>
      <c r="H1426" s="2031">
        <v>228.0</v>
      </c>
    </row>
    <row r="1427">
      <c r="B1427" s="2031">
        <v>1425.0</v>
      </c>
      <c r="C1427" s="2031">
        <v>171.0</v>
      </c>
      <c r="D1427" s="2031">
        <v>342.0</v>
      </c>
      <c r="E1427" s="2031">
        <v>228.0</v>
      </c>
      <c r="F1427" s="2031">
        <v>228.0</v>
      </c>
      <c r="G1427" s="2031">
        <v>228.0</v>
      </c>
      <c r="H1427" s="2031">
        <v>228.0</v>
      </c>
    </row>
    <row r="1428">
      <c r="B1428" s="2031">
        <v>1426.0</v>
      </c>
      <c r="C1428" s="2031">
        <v>171.0</v>
      </c>
      <c r="D1428" s="2031">
        <v>343.0</v>
      </c>
      <c r="E1428" s="2031">
        <v>228.0</v>
      </c>
      <c r="F1428" s="2031">
        <v>228.0</v>
      </c>
      <c r="G1428" s="2031">
        <v>228.0</v>
      </c>
      <c r="H1428" s="2031">
        <v>228.0</v>
      </c>
    </row>
    <row r="1429">
      <c r="B1429" s="2031">
        <v>1427.0</v>
      </c>
      <c r="C1429" s="2031">
        <v>172.0</v>
      </c>
      <c r="D1429" s="2031">
        <v>343.0</v>
      </c>
      <c r="E1429" s="2031">
        <v>228.0</v>
      </c>
      <c r="F1429" s="2031">
        <v>228.0</v>
      </c>
      <c r="G1429" s="2031">
        <v>228.0</v>
      </c>
      <c r="H1429" s="2031">
        <v>228.0</v>
      </c>
    </row>
    <row r="1430">
      <c r="B1430" s="2031">
        <v>1428.0</v>
      </c>
      <c r="C1430" s="2031">
        <v>171.0</v>
      </c>
      <c r="D1430" s="2031">
        <v>343.0</v>
      </c>
      <c r="E1430" s="2031">
        <v>228.0</v>
      </c>
      <c r="F1430" s="2031">
        <v>228.0</v>
      </c>
      <c r="G1430" s="2031">
        <v>229.0</v>
      </c>
      <c r="H1430" s="2031">
        <v>229.0</v>
      </c>
    </row>
    <row r="1431">
      <c r="B1431" s="2031">
        <v>1429.0</v>
      </c>
      <c r="C1431" s="2031">
        <v>172.0</v>
      </c>
      <c r="D1431" s="2031">
        <v>343.0</v>
      </c>
      <c r="E1431" s="2031">
        <v>228.0</v>
      </c>
      <c r="F1431" s="2031">
        <v>228.0</v>
      </c>
      <c r="G1431" s="2031">
        <v>229.0</v>
      </c>
      <c r="H1431" s="2031">
        <v>229.0</v>
      </c>
    </row>
    <row r="1432">
      <c r="B1432" s="2031">
        <v>1430.0</v>
      </c>
      <c r="C1432" s="2031">
        <v>171.0</v>
      </c>
      <c r="D1432" s="2031">
        <v>343.0</v>
      </c>
      <c r="E1432" s="2031">
        <v>229.0</v>
      </c>
      <c r="F1432" s="2031">
        <v>229.0</v>
      </c>
      <c r="G1432" s="2031">
        <v>229.0</v>
      </c>
      <c r="H1432" s="2031">
        <v>229.0</v>
      </c>
    </row>
    <row r="1433">
      <c r="B1433" s="2031">
        <v>1431.0</v>
      </c>
      <c r="C1433" s="2031">
        <v>172.0</v>
      </c>
      <c r="D1433" s="2031">
        <v>343.0</v>
      </c>
      <c r="E1433" s="2031">
        <v>229.0</v>
      </c>
      <c r="F1433" s="2031">
        <v>229.0</v>
      </c>
      <c r="G1433" s="2031">
        <v>229.0</v>
      </c>
      <c r="H1433" s="2031">
        <v>229.0</v>
      </c>
    </row>
    <row r="1434">
      <c r="B1434" s="2031">
        <v>1432.0</v>
      </c>
      <c r="C1434" s="2031">
        <v>172.0</v>
      </c>
      <c r="D1434" s="2031">
        <v>344.0</v>
      </c>
      <c r="E1434" s="2031">
        <v>229.0</v>
      </c>
      <c r="F1434" s="2031">
        <v>229.0</v>
      </c>
      <c r="G1434" s="2031">
        <v>229.0</v>
      </c>
      <c r="H1434" s="2031">
        <v>229.0</v>
      </c>
    </row>
    <row r="1435">
      <c r="B1435" s="2031">
        <v>1433.0</v>
      </c>
      <c r="C1435" s="2031">
        <v>172.0</v>
      </c>
      <c r="D1435" s="2031">
        <v>343.0</v>
      </c>
      <c r="E1435" s="2031">
        <v>229.0</v>
      </c>
      <c r="F1435" s="2031">
        <v>229.0</v>
      </c>
      <c r="G1435" s="2031">
        <v>230.0</v>
      </c>
      <c r="H1435" s="2031">
        <v>230.0</v>
      </c>
    </row>
    <row r="1436">
      <c r="B1436" s="2031">
        <v>1434.0</v>
      </c>
      <c r="C1436" s="2031">
        <v>172.0</v>
      </c>
      <c r="D1436" s="2031">
        <v>344.0</v>
      </c>
      <c r="E1436" s="2031">
        <v>229.0</v>
      </c>
      <c r="F1436" s="2031">
        <v>229.0</v>
      </c>
      <c r="G1436" s="2031">
        <v>230.0</v>
      </c>
      <c r="H1436" s="2031">
        <v>230.0</v>
      </c>
    </row>
    <row r="1437">
      <c r="B1437" s="2031">
        <v>1435.0</v>
      </c>
      <c r="C1437" s="2031">
        <v>172.0</v>
      </c>
      <c r="D1437" s="2031">
        <v>345.0</v>
      </c>
      <c r="E1437" s="2031">
        <v>229.0</v>
      </c>
      <c r="F1437" s="2031">
        <v>229.0</v>
      </c>
      <c r="G1437" s="2031">
        <v>230.0</v>
      </c>
      <c r="H1437" s="2031">
        <v>230.0</v>
      </c>
    </row>
    <row r="1438">
      <c r="B1438" s="2031">
        <v>1436.0</v>
      </c>
      <c r="C1438" s="2031">
        <v>172.0</v>
      </c>
      <c r="D1438" s="2031">
        <v>344.0</v>
      </c>
      <c r="E1438" s="2031">
        <v>230.0</v>
      </c>
      <c r="F1438" s="2031">
        <v>230.0</v>
      </c>
      <c r="G1438" s="2031">
        <v>230.0</v>
      </c>
      <c r="H1438" s="2031">
        <v>230.0</v>
      </c>
    </row>
    <row r="1439">
      <c r="B1439" s="2031">
        <v>1437.0</v>
      </c>
      <c r="C1439" s="2031">
        <v>172.0</v>
      </c>
      <c r="D1439" s="2031">
        <v>345.0</v>
      </c>
      <c r="E1439" s="2031">
        <v>230.0</v>
      </c>
      <c r="F1439" s="2031">
        <v>230.0</v>
      </c>
      <c r="G1439" s="2031">
        <v>230.0</v>
      </c>
      <c r="H1439" s="2031">
        <v>230.0</v>
      </c>
    </row>
    <row r="1440">
      <c r="B1440" s="2031">
        <v>1438.0</v>
      </c>
      <c r="C1440" s="2031">
        <v>173.0</v>
      </c>
      <c r="D1440" s="2031">
        <v>345.0</v>
      </c>
      <c r="E1440" s="2031">
        <v>230.0</v>
      </c>
      <c r="F1440" s="2031">
        <v>230.0</v>
      </c>
      <c r="G1440" s="2031">
        <v>230.0</v>
      </c>
      <c r="H1440" s="2031">
        <v>230.0</v>
      </c>
    </row>
    <row r="1441">
      <c r="B1441" s="2031">
        <v>1439.0</v>
      </c>
      <c r="C1441" s="2031">
        <v>173.0</v>
      </c>
      <c r="D1441" s="2031">
        <v>346.0</v>
      </c>
      <c r="E1441" s="2031">
        <v>230.0</v>
      </c>
      <c r="F1441" s="2031">
        <v>230.0</v>
      </c>
      <c r="G1441" s="2031">
        <v>230.0</v>
      </c>
      <c r="H1441" s="2031">
        <v>230.0</v>
      </c>
    </row>
    <row r="1442">
      <c r="B1442" s="2031">
        <v>1440.0</v>
      </c>
      <c r="C1442" s="2031">
        <v>173.0</v>
      </c>
      <c r="D1442" s="2031">
        <v>345.0</v>
      </c>
      <c r="E1442" s="2031">
        <v>230.0</v>
      </c>
      <c r="F1442" s="2031">
        <v>230.0</v>
      </c>
      <c r="G1442" s="2031">
        <v>231.0</v>
      </c>
      <c r="H1442" s="2031">
        <v>231.0</v>
      </c>
    </row>
    <row r="1443">
      <c r="B1443" s="2031">
        <v>1441.0</v>
      </c>
      <c r="C1443" s="2031">
        <v>173.0</v>
      </c>
      <c r="D1443" s="2031">
        <v>346.0</v>
      </c>
      <c r="E1443" s="2031">
        <v>230.0</v>
      </c>
      <c r="F1443" s="2031">
        <v>230.0</v>
      </c>
      <c r="G1443" s="2031">
        <v>231.0</v>
      </c>
      <c r="H1443" s="2031">
        <v>231.0</v>
      </c>
    </row>
    <row r="1444">
      <c r="B1444" s="2031">
        <v>1442.0</v>
      </c>
      <c r="C1444" s="2031">
        <v>173.0</v>
      </c>
      <c r="D1444" s="2031">
        <v>347.0</v>
      </c>
      <c r="E1444" s="2031">
        <v>230.0</v>
      </c>
      <c r="F1444" s="2031">
        <v>230.0</v>
      </c>
      <c r="G1444" s="2031">
        <v>231.0</v>
      </c>
      <c r="H1444" s="2031">
        <v>231.0</v>
      </c>
    </row>
    <row r="1445">
      <c r="B1445" s="2031">
        <v>1443.0</v>
      </c>
      <c r="C1445" s="2031">
        <v>173.0</v>
      </c>
      <c r="D1445" s="2031">
        <v>346.0</v>
      </c>
      <c r="E1445" s="2031">
        <v>231.0</v>
      </c>
      <c r="F1445" s="2031">
        <v>231.0</v>
      </c>
      <c r="G1445" s="2031">
        <v>231.0</v>
      </c>
      <c r="H1445" s="2031">
        <v>231.0</v>
      </c>
    </row>
    <row r="1446">
      <c r="B1446" s="2031">
        <v>1444.0</v>
      </c>
      <c r="C1446" s="2031">
        <v>173.0</v>
      </c>
      <c r="D1446" s="2031">
        <v>347.0</v>
      </c>
      <c r="E1446" s="2031">
        <v>231.0</v>
      </c>
      <c r="F1446" s="2031">
        <v>231.0</v>
      </c>
      <c r="G1446" s="2031">
        <v>231.0</v>
      </c>
      <c r="H1446" s="2031">
        <v>231.0</v>
      </c>
    </row>
    <row r="1447">
      <c r="B1447" s="2031">
        <v>1445.0</v>
      </c>
      <c r="C1447" s="2031">
        <v>174.0</v>
      </c>
      <c r="D1447" s="2031">
        <v>347.0</v>
      </c>
      <c r="E1447" s="2031">
        <v>231.0</v>
      </c>
      <c r="F1447" s="2031">
        <v>231.0</v>
      </c>
      <c r="G1447" s="2031">
        <v>231.0</v>
      </c>
      <c r="H1447" s="2031">
        <v>231.0</v>
      </c>
    </row>
    <row r="1448">
      <c r="B1448" s="2031">
        <v>1446.0</v>
      </c>
      <c r="C1448" s="2031">
        <v>173.0</v>
      </c>
      <c r="D1448" s="2031">
        <v>347.0</v>
      </c>
      <c r="E1448" s="2031">
        <v>231.0</v>
      </c>
      <c r="F1448" s="2031">
        <v>231.0</v>
      </c>
      <c r="G1448" s="2031">
        <v>232.0</v>
      </c>
      <c r="H1448" s="2031">
        <v>232.0</v>
      </c>
    </row>
    <row r="1449">
      <c r="B1449" s="2031">
        <v>1447.0</v>
      </c>
      <c r="C1449" s="2031">
        <v>174.0</v>
      </c>
      <c r="D1449" s="2031">
        <v>347.0</v>
      </c>
      <c r="E1449" s="2031">
        <v>231.0</v>
      </c>
      <c r="F1449" s="2031">
        <v>231.0</v>
      </c>
      <c r="G1449" s="2031">
        <v>232.0</v>
      </c>
      <c r="H1449" s="2031">
        <v>232.0</v>
      </c>
    </row>
    <row r="1450">
      <c r="B1450" s="2031">
        <v>1448.0</v>
      </c>
      <c r="C1450" s="2031">
        <v>173.0</v>
      </c>
      <c r="D1450" s="2031">
        <v>347.0</v>
      </c>
      <c r="E1450" s="2031">
        <v>232.0</v>
      </c>
      <c r="F1450" s="2031">
        <v>232.0</v>
      </c>
      <c r="G1450" s="2031">
        <v>232.0</v>
      </c>
      <c r="H1450" s="2031">
        <v>232.0</v>
      </c>
    </row>
    <row r="1451">
      <c r="B1451" s="2031">
        <v>1449.0</v>
      </c>
      <c r="C1451" s="2031">
        <v>174.0</v>
      </c>
      <c r="D1451" s="2031">
        <v>347.0</v>
      </c>
      <c r="E1451" s="2031">
        <v>232.0</v>
      </c>
      <c r="F1451" s="2031">
        <v>232.0</v>
      </c>
      <c r="G1451" s="2031">
        <v>232.0</v>
      </c>
      <c r="H1451" s="2031">
        <v>232.0</v>
      </c>
    </row>
    <row r="1452">
      <c r="B1452" s="2031">
        <v>1450.0</v>
      </c>
      <c r="C1452" s="2031">
        <v>174.0</v>
      </c>
      <c r="D1452" s="2031">
        <v>348.0</v>
      </c>
      <c r="E1452" s="2031">
        <v>232.0</v>
      </c>
      <c r="F1452" s="2031">
        <v>232.0</v>
      </c>
      <c r="G1452" s="2031">
        <v>232.0</v>
      </c>
      <c r="H1452" s="2031">
        <v>232.0</v>
      </c>
    </row>
    <row r="1453">
      <c r="B1453" s="2031">
        <v>1451.0</v>
      </c>
      <c r="C1453" s="2031">
        <v>174.0</v>
      </c>
      <c r="D1453" s="2031">
        <v>349.0</v>
      </c>
      <c r="E1453" s="2031">
        <v>232.0</v>
      </c>
      <c r="F1453" s="2031">
        <v>232.0</v>
      </c>
      <c r="G1453" s="2031">
        <v>232.0</v>
      </c>
      <c r="H1453" s="2031">
        <v>232.0</v>
      </c>
    </row>
    <row r="1454">
      <c r="B1454" s="2031">
        <v>1452.0</v>
      </c>
      <c r="C1454" s="2031">
        <v>175.0</v>
      </c>
      <c r="D1454" s="2031">
        <v>349.0</v>
      </c>
      <c r="E1454" s="2031">
        <v>232.0</v>
      </c>
      <c r="F1454" s="2031">
        <v>232.0</v>
      </c>
      <c r="G1454" s="2031">
        <v>232.0</v>
      </c>
      <c r="H1454" s="2031">
        <v>232.0</v>
      </c>
    </row>
    <row r="1455">
      <c r="B1455" s="2031">
        <v>1453.0</v>
      </c>
      <c r="C1455" s="2031">
        <v>174.0</v>
      </c>
      <c r="D1455" s="2031">
        <v>349.0</v>
      </c>
      <c r="E1455" s="2031">
        <v>232.0</v>
      </c>
      <c r="F1455" s="2031">
        <v>232.0</v>
      </c>
      <c r="G1455" s="2031">
        <v>233.0</v>
      </c>
      <c r="H1455" s="2031">
        <v>233.0</v>
      </c>
    </row>
    <row r="1456">
      <c r="B1456" s="2031">
        <v>1454.0</v>
      </c>
      <c r="C1456" s="2031">
        <v>175.0</v>
      </c>
      <c r="D1456" s="2031">
        <v>349.0</v>
      </c>
      <c r="E1456" s="2031">
        <v>232.0</v>
      </c>
      <c r="F1456" s="2031">
        <v>232.0</v>
      </c>
      <c r="G1456" s="2031">
        <v>233.0</v>
      </c>
      <c r="H1456" s="2031">
        <v>233.0</v>
      </c>
    </row>
    <row r="1457">
      <c r="B1457" s="2031">
        <v>1455.0</v>
      </c>
      <c r="C1457" s="2031">
        <v>174.0</v>
      </c>
      <c r="D1457" s="2031">
        <v>349.0</v>
      </c>
      <c r="E1457" s="2031">
        <v>233.0</v>
      </c>
      <c r="F1457" s="2031">
        <v>233.0</v>
      </c>
      <c r="G1457" s="2031">
        <v>233.0</v>
      </c>
      <c r="H1457" s="2031">
        <v>233.0</v>
      </c>
    </row>
    <row r="1458">
      <c r="B1458" s="2031">
        <v>1456.0</v>
      </c>
      <c r="C1458" s="2031">
        <v>175.0</v>
      </c>
      <c r="D1458" s="2031">
        <v>349.0</v>
      </c>
      <c r="E1458" s="2031">
        <v>233.0</v>
      </c>
      <c r="F1458" s="2031">
        <v>233.0</v>
      </c>
      <c r="G1458" s="2031">
        <v>233.0</v>
      </c>
      <c r="H1458" s="2031">
        <v>233.0</v>
      </c>
    </row>
    <row r="1459">
      <c r="B1459" s="2031">
        <v>1457.0</v>
      </c>
      <c r="C1459" s="2031">
        <v>175.0</v>
      </c>
      <c r="D1459" s="2031">
        <v>350.0</v>
      </c>
      <c r="E1459" s="2031">
        <v>233.0</v>
      </c>
      <c r="F1459" s="2031">
        <v>233.0</v>
      </c>
      <c r="G1459" s="2031">
        <v>233.0</v>
      </c>
      <c r="H1459" s="2031">
        <v>233.0</v>
      </c>
    </row>
    <row r="1460">
      <c r="B1460" s="2031">
        <v>1458.0</v>
      </c>
      <c r="C1460" s="2031">
        <v>175.0</v>
      </c>
      <c r="D1460" s="2031">
        <v>349.0</v>
      </c>
      <c r="E1460" s="2031">
        <v>233.0</v>
      </c>
      <c r="F1460" s="2031">
        <v>233.0</v>
      </c>
      <c r="G1460" s="2031">
        <v>234.0</v>
      </c>
      <c r="H1460" s="2031">
        <v>234.0</v>
      </c>
    </row>
    <row r="1461">
      <c r="B1461" s="2031">
        <v>1459.0</v>
      </c>
      <c r="C1461" s="2031">
        <v>175.0</v>
      </c>
      <c r="D1461" s="2031">
        <v>350.0</v>
      </c>
      <c r="E1461" s="2031">
        <v>233.0</v>
      </c>
      <c r="F1461" s="2031">
        <v>233.0</v>
      </c>
      <c r="G1461" s="2031">
        <v>234.0</v>
      </c>
      <c r="H1461" s="2031">
        <v>234.0</v>
      </c>
    </row>
    <row r="1462">
      <c r="B1462" s="2031">
        <v>1460.0</v>
      </c>
      <c r="C1462" s="2031">
        <v>175.0</v>
      </c>
      <c r="D1462" s="2031">
        <v>351.0</v>
      </c>
      <c r="E1462" s="2031">
        <v>233.0</v>
      </c>
      <c r="F1462" s="2031">
        <v>233.0</v>
      </c>
      <c r="G1462" s="2031">
        <v>234.0</v>
      </c>
      <c r="H1462" s="2031">
        <v>234.0</v>
      </c>
    </row>
    <row r="1463">
      <c r="B1463" s="2031">
        <v>1461.0</v>
      </c>
      <c r="C1463" s="2031">
        <v>175.0</v>
      </c>
      <c r="D1463" s="2031">
        <v>350.0</v>
      </c>
      <c r="E1463" s="2031">
        <v>234.0</v>
      </c>
      <c r="F1463" s="2031">
        <v>234.0</v>
      </c>
      <c r="G1463" s="2031">
        <v>234.0</v>
      </c>
      <c r="H1463" s="2031">
        <v>234.0</v>
      </c>
    </row>
    <row r="1464">
      <c r="B1464" s="2031">
        <v>1462.0</v>
      </c>
      <c r="C1464" s="2031">
        <v>175.0</v>
      </c>
      <c r="D1464" s="2031">
        <v>351.0</v>
      </c>
      <c r="E1464" s="2031">
        <v>234.0</v>
      </c>
      <c r="F1464" s="2031">
        <v>234.0</v>
      </c>
      <c r="G1464" s="2031">
        <v>234.0</v>
      </c>
      <c r="H1464" s="2031">
        <v>234.0</v>
      </c>
    </row>
    <row r="1465">
      <c r="B1465" s="2031">
        <v>1463.0</v>
      </c>
      <c r="C1465" s="2031">
        <v>176.0</v>
      </c>
      <c r="D1465" s="2031">
        <v>351.0</v>
      </c>
      <c r="E1465" s="2031">
        <v>234.0</v>
      </c>
      <c r="F1465" s="2031">
        <v>234.0</v>
      </c>
      <c r="G1465" s="2031">
        <v>234.0</v>
      </c>
      <c r="H1465" s="2031">
        <v>234.0</v>
      </c>
    </row>
    <row r="1466">
      <c r="B1466" s="2031">
        <v>1464.0</v>
      </c>
      <c r="C1466" s="2031">
        <v>176.0</v>
      </c>
      <c r="D1466" s="2031">
        <v>352.0</v>
      </c>
      <c r="E1466" s="2031">
        <v>234.0</v>
      </c>
      <c r="F1466" s="2031">
        <v>234.0</v>
      </c>
      <c r="G1466" s="2031">
        <v>234.0</v>
      </c>
      <c r="H1466" s="2031">
        <v>234.0</v>
      </c>
    </row>
    <row r="1467">
      <c r="B1467" s="2031">
        <v>1465.0</v>
      </c>
      <c r="C1467" s="2031">
        <v>176.0</v>
      </c>
      <c r="D1467" s="2031">
        <v>351.0</v>
      </c>
      <c r="E1467" s="2031">
        <v>234.0</v>
      </c>
      <c r="F1467" s="2031">
        <v>234.0</v>
      </c>
      <c r="G1467" s="2031">
        <v>235.0</v>
      </c>
      <c r="H1467" s="2031">
        <v>235.0</v>
      </c>
    </row>
    <row r="1468">
      <c r="B1468" s="2031">
        <v>1466.0</v>
      </c>
      <c r="C1468" s="2031">
        <v>176.0</v>
      </c>
      <c r="D1468" s="2031">
        <v>352.0</v>
      </c>
      <c r="E1468" s="2031">
        <v>234.0</v>
      </c>
      <c r="F1468" s="2031">
        <v>234.0</v>
      </c>
      <c r="G1468" s="2031">
        <v>235.0</v>
      </c>
      <c r="H1468" s="2031">
        <v>235.0</v>
      </c>
    </row>
    <row r="1469">
      <c r="B1469" s="2031">
        <v>1467.0</v>
      </c>
      <c r="C1469" s="2031">
        <v>176.0</v>
      </c>
      <c r="D1469" s="2031">
        <v>353.0</v>
      </c>
      <c r="E1469" s="2031">
        <v>234.0</v>
      </c>
      <c r="F1469" s="2031">
        <v>234.0</v>
      </c>
      <c r="G1469" s="2031">
        <v>235.0</v>
      </c>
      <c r="H1469" s="2031">
        <v>235.0</v>
      </c>
    </row>
    <row r="1470">
      <c r="B1470" s="2031">
        <v>1468.0</v>
      </c>
      <c r="C1470" s="2031">
        <v>176.0</v>
      </c>
      <c r="D1470" s="2031">
        <v>352.0</v>
      </c>
      <c r="E1470" s="2031">
        <v>235.0</v>
      </c>
      <c r="F1470" s="2031">
        <v>235.0</v>
      </c>
      <c r="G1470" s="2031">
        <v>235.0</v>
      </c>
      <c r="H1470" s="2031">
        <v>235.0</v>
      </c>
    </row>
    <row r="1471">
      <c r="B1471" s="2031">
        <v>1469.0</v>
      </c>
      <c r="C1471" s="2031">
        <v>176.0</v>
      </c>
      <c r="D1471" s="2031">
        <v>353.0</v>
      </c>
      <c r="E1471" s="2031">
        <v>235.0</v>
      </c>
      <c r="F1471" s="2031">
        <v>235.0</v>
      </c>
      <c r="G1471" s="2031">
        <v>235.0</v>
      </c>
      <c r="H1471" s="2031">
        <v>235.0</v>
      </c>
    </row>
    <row r="1472">
      <c r="B1472" s="2031">
        <v>1470.0</v>
      </c>
      <c r="C1472" s="2031">
        <v>177.0</v>
      </c>
      <c r="D1472" s="2031">
        <v>353.0</v>
      </c>
      <c r="E1472" s="2031">
        <v>235.0</v>
      </c>
      <c r="F1472" s="2031">
        <v>235.0</v>
      </c>
      <c r="G1472" s="2031">
        <v>235.0</v>
      </c>
      <c r="H1472" s="2031">
        <v>235.0</v>
      </c>
    </row>
    <row r="1473">
      <c r="B1473" s="2031">
        <v>1471.0</v>
      </c>
      <c r="C1473" s="2031">
        <v>176.0</v>
      </c>
      <c r="D1473" s="2031">
        <v>353.0</v>
      </c>
      <c r="E1473" s="2031">
        <v>235.0</v>
      </c>
      <c r="F1473" s="2031">
        <v>235.0</v>
      </c>
      <c r="G1473" s="2031">
        <v>236.0</v>
      </c>
      <c r="H1473" s="2031">
        <v>236.0</v>
      </c>
    </row>
    <row r="1474">
      <c r="B1474" s="2031">
        <v>1472.0</v>
      </c>
      <c r="C1474" s="2031">
        <v>177.0</v>
      </c>
      <c r="D1474" s="2031">
        <v>353.0</v>
      </c>
      <c r="E1474" s="2031">
        <v>235.0</v>
      </c>
      <c r="F1474" s="2031">
        <v>235.0</v>
      </c>
      <c r="G1474" s="2031">
        <v>236.0</v>
      </c>
      <c r="H1474" s="2031">
        <v>236.0</v>
      </c>
    </row>
    <row r="1475">
      <c r="B1475" s="2031">
        <v>1473.0</v>
      </c>
      <c r="C1475" s="2031">
        <v>176.0</v>
      </c>
      <c r="D1475" s="2031">
        <v>353.0</v>
      </c>
      <c r="E1475" s="2031">
        <v>236.0</v>
      </c>
      <c r="F1475" s="2031">
        <v>236.0</v>
      </c>
      <c r="G1475" s="2031">
        <v>236.0</v>
      </c>
      <c r="H1475" s="2031">
        <v>236.0</v>
      </c>
    </row>
    <row r="1476">
      <c r="B1476" s="2031">
        <v>1474.0</v>
      </c>
      <c r="C1476" s="2031">
        <v>177.0</v>
      </c>
      <c r="D1476" s="2031">
        <v>353.0</v>
      </c>
      <c r="E1476" s="2031">
        <v>236.0</v>
      </c>
      <c r="F1476" s="2031">
        <v>236.0</v>
      </c>
      <c r="G1476" s="2031">
        <v>236.0</v>
      </c>
      <c r="H1476" s="2031">
        <v>236.0</v>
      </c>
    </row>
    <row r="1477">
      <c r="B1477" s="2031">
        <v>1475.0</v>
      </c>
      <c r="C1477" s="2031">
        <v>177.0</v>
      </c>
      <c r="D1477" s="2031">
        <v>354.0</v>
      </c>
      <c r="E1477" s="2031">
        <v>236.0</v>
      </c>
      <c r="F1477" s="2031">
        <v>236.0</v>
      </c>
      <c r="G1477" s="2031">
        <v>236.0</v>
      </c>
      <c r="H1477" s="2031">
        <v>236.0</v>
      </c>
    </row>
    <row r="1478">
      <c r="B1478" s="2031">
        <v>1476.0</v>
      </c>
      <c r="C1478" s="2031">
        <v>177.0</v>
      </c>
      <c r="D1478" s="2031">
        <v>355.0</v>
      </c>
      <c r="E1478" s="2031">
        <v>236.0</v>
      </c>
      <c r="F1478" s="2031">
        <v>236.0</v>
      </c>
      <c r="G1478" s="2031">
        <v>236.0</v>
      </c>
      <c r="H1478" s="2031">
        <v>236.0</v>
      </c>
    </row>
    <row r="1479">
      <c r="B1479" s="2031">
        <v>1477.0</v>
      </c>
      <c r="C1479" s="2031">
        <v>178.0</v>
      </c>
      <c r="D1479" s="2031">
        <v>355.0</v>
      </c>
      <c r="E1479" s="2031">
        <v>236.0</v>
      </c>
      <c r="F1479" s="2031">
        <v>236.0</v>
      </c>
      <c r="G1479" s="2031">
        <v>236.0</v>
      </c>
      <c r="H1479" s="2031">
        <v>236.0</v>
      </c>
    </row>
    <row r="1480">
      <c r="B1480" s="2031">
        <v>1478.0</v>
      </c>
      <c r="C1480" s="2031">
        <v>177.0</v>
      </c>
      <c r="D1480" s="2031">
        <v>355.0</v>
      </c>
      <c r="E1480" s="2031">
        <v>236.0</v>
      </c>
      <c r="F1480" s="2031">
        <v>236.0</v>
      </c>
      <c r="G1480" s="2031">
        <v>237.0</v>
      </c>
      <c r="H1480" s="2031">
        <v>237.0</v>
      </c>
    </row>
    <row r="1481">
      <c r="B1481" s="2031">
        <v>1479.0</v>
      </c>
      <c r="C1481" s="2031">
        <v>178.0</v>
      </c>
      <c r="D1481" s="2031">
        <v>355.0</v>
      </c>
      <c r="E1481" s="2031">
        <v>236.0</v>
      </c>
      <c r="F1481" s="2031">
        <v>236.0</v>
      </c>
      <c r="G1481" s="2031">
        <v>237.0</v>
      </c>
      <c r="H1481" s="2031">
        <v>237.0</v>
      </c>
    </row>
    <row r="1482">
      <c r="B1482" s="2031">
        <v>1480.0</v>
      </c>
      <c r="C1482" s="2031">
        <v>177.0</v>
      </c>
      <c r="D1482" s="2031">
        <v>355.0</v>
      </c>
      <c r="E1482" s="2031">
        <v>237.0</v>
      </c>
      <c r="F1482" s="2031">
        <v>237.0</v>
      </c>
      <c r="G1482" s="2031">
        <v>237.0</v>
      </c>
      <c r="H1482" s="2031">
        <v>237.0</v>
      </c>
    </row>
    <row r="1483">
      <c r="B1483" s="2031">
        <v>1481.0</v>
      </c>
      <c r="C1483" s="2031">
        <v>178.0</v>
      </c>
      <c r="D1483" s="2031">
        <v>355.0</v>
      </c>
      <c r="E1483" s="2031">
        <v>237.0</v>
      </c>
      <c r="F1483" s="2031">
        <v>237.0</v>
      </c>
      <c r="G1483" s="2031">
        <v>237.0</v>
      </c>
      <c r="H1483" s="2031">
        <v>237.0</v>
      </c>
    </row>
    <row r="1484">
      <c r="B1484" s="2031">
        <v>1482.0</v>
      </c>
      <c r="C1484" s="2031">
        <v>178.0</v>
      </c>
      <c r="D1484" s="2031">
        <v>356.0</v>
      </c>
      <c r="E1484" s="2031">
        <v>237.0</v>
      </c>
      <c r="F1484" s="2031">
        <v>237.0</v>
      </c>
      <c r="G1484" s="2031">
        <v>237.0</v>
      </c>
      <c r="H1484" s="2031">
        <v>237.0</v>
      </c>
    </row>
    <row r="1485">
      <c r="B1485" s="2031">
        <v>1483.0</v>
      </c>
      <c r="C1485" s="2031">
        <v>178.0</v>
      </c>
      <c r="D1485" s="2031">
        <v>355.0</v>
      </c>
      <c r="E1485" s="2031">
        <v>237.0</v>
      </c>
      <c r="F1485" s="2031">
        <v>237.0</v>
      </c>
      <c r="G1485" s="2031">
        <v>238.0</v>
      </c>
      <c r="H1485" s="2031">
        <v>238.0</v>
      </c>
    </row>
    <row r="1486">
      <c r="B1486" s="2031">
        <v>1484.0</v>
      </c>
      <c r="C1486" s="2031">
        <v>178.0</v>
      </c>
      <c r="D1486" s="2031">
        <v>356.0</v>
      </c>
      <c r="E1486" s="2031">
        <v>237.0</v>
      </c>
      <c r="F1486" s="2031">
        <v>237.0</v>
      </c>
      <c r="G1486" s="2031">
        <v>238.0</v>
      </c>
      <c r="H1486" s="2031">
        <v>238.0</v>
      </c>
    </row>
    <row r="1487">
      <c r="B1487" s="2031">
        <v>1485.0</v>
      </c>
      <c r="C1487" s="2031">
        <v>178.0</v>
      </c>
      <c r="D1487" s="2031">
        <v>357.0</v>
      </c>
      <c r="E1487" s="2031">
        <v>237.0</v>
      </c>
      <c r="F1487" s="2031">
        <v>237.0</v>
      </c>
      <c r="G1487" s="2031">
        <v>238.0</v>
      </c>
      <c r="H1487" s="2031">
        <v>238.0</v>
      </c>
    </row>
    <row r="1488">
      <c r="B1488" s="2031">
        <v>1486.0</v>
      </c>
      <c r="C1488" s="2031">
        <v>178.0</v>
      </c>
      <c r="D1488" s="2031">
        <v>356.0</v>
      </c>
      <c r="E1488" s="2031">
        <v>238.0</v>
      </c>
      <c r="F1488" s="2031">
        <v>238.0</v>
      </c>
      <c r="G1488" s="2031">
        <v>238.0</v>
      </c>
      <c r="H1488" s="2031">
        <v>238.0</v>
      </c>
    </row>
    <row r="1489">
      <c r="B1489" s="2031">
        <v>1487.0</v>
      </c>
      <c r="C1489" s="2031">
        <v>178.0</v>
      </c>
      <c r="D1489" s="2031">
        <v>357.0</v>
      </c>
      <c r="E1489" s="2031">
        <v>238.0</v>
      </c>
      <c r="F1489" s="2031">
        <v>238.0</v>
      </c>
      <c r="G1489" s="2031">
        <v>238.0</v>
      </c>
      <c r="H1489" s="2031">
        <v>238.0</v>
      </c>
    </row>
    <row r="1490">
      <c r="B1490" s="2031">
        <v>1488.0</v>
      </c>
      <c r="C1490" s="2031">
        <v>179.0</v>
      </c>
      <c r="D1490" s="2031">
        <v>357.0</v>
      </c>
      <c r="E1490" s="2031">
        <v>238.0</v>
      </c>
      <c r="F1490" s="2031">
        <v>238.0</v>
      </c>
      <c r="G1490" s="2031">
        <v>238.0</v>
      </c>
      <c r="H1490" s="2031">
        <v>238.0</v>
      </c>
    </row>
    <row r="1491">
      <c r="B1491" s="2031">
        <v>1489.0</v>
      </c>
      <c r="C1491" s="2031">
        <v>179.0</v>
      </c>
      <c r="D1491" s="2031">
        <v>358.0</v>
      </c>
      <c r="E1491" s="2031">
        <v>238.0</v>
      </c>
      <c r="F1491" s="2031">
        <v>238.0</v>
      </c>
      <c r="G1491" s="2031">
        <v>238.0</v>
      </c>
      <c r="H1491" s="2031">
        <v>238.0</v>
      </c>
    </row>
    <row r="1492">
      <c r="B1492" s="2031">
        <v>1490.0</v>
      </c>
      <c r="C1492" s="2031">
        <v>179.0</v>
      </c>
      <c r="D1492" s="2031">
        <v>357.0</v>
      </c>
      <c r="E1492" s="2031">
        <v>238.0</v>
      </c>
      <c r="F1492" s="2031">
        <v>238.0</v>
      </c>
      <c r="G1492" s="2031">
        <v>239.0</v>
      </c>
      <c r="H1492" s="2031">
        <v>239.0</v>
      </c>
    </row>
    <row r="1493">
      <c r="B1493" s="2031">
        <v>1491.0</v>
      </c>
      <c r="C1493" s="2031">
        <v>179.0</v>
      </c>
      <c r="D1493" s="2031">
        <v>358.0</v>
      </c>
      <c r="E1493" s="2031">
        <v>238.0</v>
      </c>
      <c r="F1493" s="2031">
        <v>238.0</v>
      </c>
      <c r="G1493" s="2031">
        <v>239.0</v>
      </c>
      <c r="H1493" s="2031">
        <v>239.0</v>
      </c>
    </row>
    <row r="1494">
      <c r="B1494" s="2031">
        <v>1492.0</v>
      </c>
      <c r="C1494" s="2031">
        <v>179.0</v>
      </c>
      <c r="D1494" s="2031">
        <v>359.0</v>
      </c>
      <c r="E1494" s="2031">
        <v>238.0</v>
      </c>
      <c r="F1494" s="2031">
        <v>238.0</v>
      </c>
      <c r="G1494" s="2031">
        <v>239.0</v>
      </c>
      <c r="H1494" s="2031">
        <v>239.0</v>
      </c>
    </row>
    <row r="1495">
      <c r="B1495" s="2031">
        <v>1493.0</v>
      </c>
      <c r="C1495" s="2031">
        <v>179.0</v>
      </c>
      <c r="D1495" s="2031">
        <v>358.0</v>
      </c>
      <c r="E1495" s="2031">
        <v>239.0</v>
      </c>
      <c r="F1495" s="2031">
        <v>239.0</v>
      </c>
      <c r="G1495" s="2031">
        <v>239.0</v>
      </c>
      <c r="H1495" s="2031">
        <v>239.0</v>
      </c>
    </row>
    <row r="1496">
      <c r="B1496" s="2031">
        <v>1494.0</v>
      </c>
      <c r="C1496" s="2031">
        <v>179.0</v>
      </c>
      <c r="D1496" s="2031">
        <v>359.0</v>
      </c>
      <c r="E1496" s="2031">
        <v>239.0</v>
      </c>
      <c r="F1496" s="2031">
        <v>239.0</v>
      </c>
      <c r="G1496" s="2031">
        <v>239.0</v>
      </c>
      <c r="H1496" s="2031">
        <v>239.0</v>
      </c>
    </row>
    <row r="1497">
      <c r="B1497" s="2031">
        <v>1495.0</v>
      </c>
      <c r="C1497" s="2031">
        <v>180.0</v>
      </c>
      <c r="D1497" s="2031">
        <v>359.0</v>
      </c>
      <c r="E1497" s="2031">
        <v>239.0</v>
      </c>
      <c r="F1497" s="2031">
        <v>239.0</v>
      </c>
      <c r="G1497" s="2031">
        <v>239.0</v>
      </c>
      <c r="H1497" s="2031">
        <v>239.0</v>
      </c>
    </row>
    <row r="1498">
      <c r="B1498" s="2031">
        <v>1496.0</v>
      </c>
      <c r="C1498" s="2031">
        <v>179.0</v>
      </c>
      <c r="D1498" s="2031">
        <v>359.0</v>
      </c>
      <c r="E1498" s="2031">
        <v>239.0</v>
      </c>
      <c r="F1498" s="2031">
        <v>239.0</v>
      </c>
      <c r="G1498" s="2031">
        <v>240.0</v>
      </c>
      <c r="H1498" s="2031">
        <v>240.0</v>
      </c>
    </row>
    <row r="1499">
      <c r="B1499" s="2031">
        <v>1497.0</v>
      </c>
      <c r="C1499" s="2031">
        <v>180.0</v>
      </c>
      <c r="D1499" s="2031">
        <v>359.0</v>
      </c>
      <c r="E1499" s="2031">
        <v>239.0</v>
      </c>
      <c r="F1499" s="2031">
        <v>239.0</v>
      </c>
      <c r="G1499" s="2031">
        <v>240.0</v>
      </c>
      <c r="H1499" s="2031">
        <v>240.0</v>
      </c>
    </row>
    <row r="1500">
      <c r="B1500" s="2031">
        <v>1498.0</v>
      </c>
      <c r="C1500" s="2031">
        <v>179.0</v>
      </c>
      <c r="D1500" s="2031">
        <v>359.0</v>
      </c>
      <c r="E1500" s="2031">
        <v>240.0</v>
      </c>
      <c r="F1500" s="2031">
        <v>240.0</v>
      </c>
      <c r="G1500" s="2031">
        <v>240.0</v>
      </c>
      <c r="H1500" s="2031">
        <v>240.0</v>
      </c>
    </row>
    <row r="1501">
      <c r="B1501" s="2031">
        <v>1499.0</v>
      </c>
      <c r="C1501" s="2031">
        <v>180.0</v>
      </c>
      <c r="D1501" s="2031">
        <v>359.0</v>
      </c>
      <c r="E1501" s="2031">
        <v>240.0</v>
      </c>
      <c r="F1501" s="2031">
        <v>240.0</v>
      </c>
      <c r="G1501" s="2031">
        <v>240.0</v>
      </c>
      <c r="H1501" s="2031">
        <v>240.0</v>
      </c>
    </row>
    <row r="1502">
      <c r="B1502" s="2031">
        <v>1500.0</v>
      </c>
      <c r="C1502" s="2031">
        <v>180.0</v>
      </c>
      <c r="D1502" s="2031">
        <v>360.0</v>
      </c>
      <c r="E1502" s="2031">
        <v>240.0</v>
      </c>
      <c r="F1502" s="2031">
        <v>240.0</v>
      </c>
      <c r="G1502" s="2031">
        <v>240.0</v>
      </c>
      <c r="H1502" s="2031">
        <v>240.0</v>
      </c>
    </row>
    <row r="1503">
      <c r="B1503" s="2031">
        <v>1501.0</v>
      </c>
      <c r="C1503" s="2031">
        <v>180.0</v>
      </c>
      <c r="D1503" s="2031">
        <v>361.0</v>
      </c>
      <c r="E1503" s="2031">
        <v>240.0</v>
      </c>
      <c r="F1503" s="2031">
        <v>240.0</v>
      </c>
      <c r="G1503" s="2031">
        <v>240.0</v>
      </c>
      <c r="H1503" s="2031">
        <v>240.0</v>
      </c>
    </row>
    <row r="1504">
      <c r="B1504" s="2031">
        <v>1502.0</v>
      </c>
      <c r="C1504" s="2031">
        <v>181.0</v>
      </c>
      <c r="D1504" s="2031">
        <v>361.0</v>
      </c>
      <c r="E1504" s="2031">
        <v>240.0</v>
      </c>
      <c r="F1504" s="2031">
        <v>240.0</v>
      </c>
      <c r="G1504" s="2031">
        <v>240.0</v>
      </c>
      <c r="H1504" s="2031">
        <v>240.0</v>
      </c>
    </row>
    <row r="1505">
      <c r="B1505" s="2031">
        <v>1503.0</v>
      </c>
      <c r="C1505" s="2031">
        <v>180.0</v>
      </c>
      <c r="D1505" s="2031">
        <v>361.0</v>
      </c>
      <c r="E1505" s="2031">
        <v>240.0</v>
      </c>
      <c r="F1505" s="2031">
        <v>240.0</v>
      </c>
      <c r="G1505" s="2031">
        <v>241.0</v>
      </c>
      <c r="H1505" s="2031">
        <v>241.0</v>
      </c>
    </row>
    <row r="1506">
      <c r="B1506" s="2031">
        <v>1504.0</v>
      </c>
      <c r="C1506" s="2031">
        <v>181.0</v>
      </c>
      <c r="D1506" s="2031">
        <v>361.0</v>
      </c>
      <c r="E1506" s="2031">
        <v>240.0</v>
      </c>
      <c r="F1506" s="2031">
        <v>240.0</v>
      </c>
      <c r="G1506" s="2031">
        <v>241.0</v>
      </c>
      <c r="H1506" s="2031">
        <v>241.0</v>
      </c>
    </row>
    <row r="1507">
      <c r="B1507" s="2031">
        <v>1505.0</v>
      </c>
      <c r="C1507" s="2031">
        <v>180.0</v>
      </c>
      <c r="D1507" s="2031">
        <v>361.0</v>
      </c>
      <c r="E1507" s="2031">
        <v>241.0</v>
      </c>
      <c r="F1507" s="2031">
        <v>241.0</v>
      </c>
      <c r="G1507" s="2031">
        <v>241.0</v>
      </c>
      <c r="H1507" s="2031">
        <v>241.0</v>
      </c>
    </row>
    <row r="1508">
      <c r="B1508" s="2031">
        <v>1506.0</v>
      </c>
      <c r="C1508" s="2031">
        <v>181.0</v>
      </c>
      <c r="D1508" s="2031">
        <v>361.0</v>
      </c>
      <c r="E1508" s="2031">
        <v>241.0</v>
      </c>
      <c r="F1508" s="2031">
        <v>241.0</v>
      </c>
      <c r="G1508" s="2031">
        <v>241.0</v>
      </c>
      <c r="H1508" s="2031">
        <v>241.0</v>
      </c>
    </row>
    <row r="1509">
      <c r="B1509" s="2031">
        <v>1507.0</v>
      </c>
      <c r="C1509" s="2031">
        <v>181.0</v>
      </c>
      <c r="D1509" s="2031">
        <v>362.0</v>
      </c>
      <c r="E1509" s="2031">
        <v>241.0</v>
      </c>
      <c r="F1509" s="2031">
        <v>241.0</v>
      </c>
      <c r="G1509" s="2031">
        <v>241.0</v>
      </c>
      <c r="H1509" s="2031">
        <v>241.0</v>
      </c>
    </row>
    <row r="1510">
      <c r="B1510" s="2031">
        <v>1508.0</v>
      </c>
      <c r="C1510" s="2031">
        <v>181.0</v>
      </c>
      <c r="D1510" s="2031">
        <v>361.0</v>
      </c>
      <c r="E1510" s="2031">
        <v>241.0</v>
      </c>
      <c r="F1510" s="2031">
        <v>241.0</v>
      </c>
      <c r="G1510" s="2031">
        <v>242.0</v>
      </c>
      <c r="H1510" s="2031">
        <v>242.0</v>
      </c>
    </row>
    <row r="1511">
      <c r="B1511" s="2031">
        <v>1509.0</v>
      </c>
      <c r="C1511" s="2031">
        <v>181.0</v>
      </c>
      <c r="D1511" s="2031">
        <v>362.0</v>
      </c>
      <c r="E1511" s="2031">
        <v>241.0</v>
      </c>
      <c r="F1511" s="2031">
        <v>241.0</v>
      </c>
      <c r="G1511" s="2031">
        <v>242.0</v>
      </c>
      <c r="H1511" s="2031">
        <v>242.0</v>
      </c>
    </row>
    <row r="1512">
      <c r="B1512" s="2031">
        <v>1510.0</v>
      </c>
      <c r="C1512" s="2031">
        <v>181.0</v>
      </c>
      <c r="D1512" s="2031">
        <v>363.0</v>
      </c>
      <c r="E1512" s="2031">
        <v>241.0</v>
      </c>
      <c r="F1512" s="2031">
        <v>241.0</v>
      </c>
      <c r="G1512" s="2031">
        <v>242.0</v>
      </c>
      <c r="H1512" s="2031">
        <v>242.0</v>
      </c>
    </row>
    <row r="1513">
      <c r="B1513" s="2031">
        <v>1511.0</v>
      </c>
      <c r="C1513" s="2031">
        <v>181.0</v>
      </c>
      <c r="D1513" s="2031">
        <v>362.0</v>
      </c>
      <c r="E1513" s="2031">
        <v>242.0</v>
      </c>
      <c r="F1513" s="2031">
        <v>242.0</v>
      </c>
      <c r="G1513" s="2031">
        <v>242.0</v>
      </c>
      <c r="H1513" s="2031">
        <v>242.0</v>
      </c>
    </row>
    <row r="1514">
      <c r="B1514" s="2031">
        <v>1512.0</v>
      </c>
      <c r="C1514" s="2031">
        <v>181.0</v>
      </c>
      <c r="D1514" s="2031">
        <v>363.0</v>
      </c>
      <c r="E1514" s="2031">
        <v>242.0</v>
      </c>
      <c r="F1514" s="2031">
        <v>242.0</v>
      </c>
      <c r="G1514" s="2031">
        <v>242.0</v>
      </c>
      <c r="H1514" s="2031">
        <v>242.0</v>
      </c>
    </row>
    <row r="1515">
      <c r="B1515" s="2031">
        <v>1513.0</v>
      </c>
      <c r="C1515" s="2031">
        <v>182.0</v>
      </c>
      <c r="D1515" s="2031">
        <v>363.0</v>
      </c>
      <c r="E1515" s="2031">
        <v>242.0</v>
      </c>
      <c r="F1515" s="2031">
        <v>242.0</v>
      </c>
      <c r="G1515" s="2031">
        <v>242.0</v>
      </c>
      <c r="H1515" s="2031">
        <v>242.0</v>
      </c>
    </row>
    <row r="1516">
      <c r="B1516" s="2031">
        <v>1514.0</v>
      </c>
      <c r="C1516" s="2031">
        <v>182.0</v>
      </c>
      <c r="D1516" s="2031">
        <v>364.0</v>
      </c>
      <c r="E1516" s="2031">
        <v>242.0</v>
      </c>
      <c r="F1516" s="2031">
        <v>242.0</v>
      </c>
      <c r="G1516" s="2031">
        <v>242.0</v>
      </c>
      <c r="H1516" s="2031">
        <v>242.0</v>
      </c>
    </row>
    <row r="1517">
      <c r="B1517" s="2031">
        <v>1515.0</v>
      </c>
      <c r="C1517" s="2031">
        <v>182.0</v>
      </c>
      <c r="D1517" s="2031">
        <v>363.0</v>
      </c>
      <c r="E1517" s="2031">
        <v>242.0</v>
      </c>
      <c r="F1517" s="2031">
        <v>242.0</v>
      </c>
      <c r="G1517" s="2031">
        <v>243.0</v>
      </c>
      <c r="H1517" s="2031">
        <v>243.0</v>
      </c>
    </row>
    <row r="1518">
      <c r="B1518" s="2031">
        <v>1516.0</v>
      </c>
      <c r="C1518" s="2031">
        <v>182.0</v>
      </c>
      <c r="D1518" s="2031">
        <v>364.0</v>
      </c>
      <c r="E1518" s="2031">
        <v>242.0</v>
      </c>
      <c r="F1518" s="2031">
        <v>242.0</v>
      </c>
      <c r="G1518" s="2031">
        <v>243.0</v>
      </c>
      <c r="H1518" s="2031">
        <v>243.0</v>
      </c>
    </row>
    <row r="1519">
      <c r="B1519" s="2031">
        <v>1517.0</v>
      </c>
      <c r="C1519" s="2031">
        <v>182.0</v>
      </c>
      <c r="D1519" s="2031">
        <v>365.0</v>
      </c>
      <c r="E1519" s="2031">
        <v>242.0</v>
      </c>
      <c r="F1519" s="2031">
        <v>242.0</v>
      </c>
      <c r="G1519" s="2031">
        <v>243.0</v>
      </c>
      <c r="H1519" s="2031">
        <v>243.0</v>
      </c>
    </row>
    <row r="1520">
      <c r="B1520" s="2031">
        <v>1518.0</v>
      </c>
      <c r="C1520" s="2031">
        <v>182.0</v>
      </c>
      <c r="D1520" s="2031">
        <v>364.0</v>
      </c>
      <c r="E1520" s="2031">
        <v>243.0</v>
      </c>
      <c r="F1520" s="2031">
        <v>243.0</v>
      </c>
      <c r="G1520" s="2031">
        <v>243.0</v>
      </c>
      <c r="H1520" s="2031">
        <v>243.0</v>
      </c>
    </row>
    <row r="1521">
      <c r="B1521" s="2031">
        <v>1519.0</v>
      </c>
      <c r="C1521" s="2031">
        <v>182.0</v>
      </c>
      <c r="D1521" s="2031">
        <v>365.0</v>
      </c>
      <c r="E1521" s="2031">
        <v>243.0</v>
      </c>
      <c r="F1521" s="2031">
        <v>243.0</v>
      </c>
      <c r="G1521" s="2031">
        <v>243.0</v>
      </c>
      <c r="H1521" s="2031">
        <v>243.0</v>
      </c>
    </row>
    <row r="1522">
      <c r="B1522" s="2031">
        <v>1520.0</v>
      </c>
      <c r="C1522" s="2031">
        <v>183.0</v>
      </c>
      <c r="D1522" s="2031">
        <v>365.0</v>
      </c>
      <c r="E1522" s="2031">
        <v>243.0</v>
      </c>
      <c r="F1522" s="2031">
        <v>243.0</v>
      </c>
      <c r="G1522" s="2031">
        <v>243.0</v>
      </c>
      <c r="H1522" s="2031">
        <v>243.0</v>
      </c>
    </row>
    <row r="1523">
      <c r="B1523" s="2031">
        <v>1521.0</v>
      </c>
      <c r="C1523" s="2031">
        <v>182.0</v>
      </c>
      <c r="D1523" s="2031">
        <v>365.0</v>
      </c>
      <c r="E1523" s="2031">
        <v>243.0</v>
      </c>
      <c r="F1523" s="2031">
        <v>243.0</v>
      </c>
      <c r="G1523" s="2031">
        <v>244.0</v>
      </c>
      <c r="H1523" s="2031">
        <v>244.0</v>
      </c>
    </row>
    <row r="1524">
      <c r="B1524" s="2031">
        <v>1522.0</v>
      </c>
      <c r="C1524" s="2031">
        <v>183.0</v>
      </c>
      <c r="D1524" s="2031">
        <v>365.0</v>
      </c>
      <c r="E1524" s="2031">
        <v>243.0</v>
      </c>
      <c r="F1524" s="2031">
        <v>243.0</v>
      </c>
      <c r="G1524" s="2031">
        <v>244.0</v>
      </c>
      <c r="H1524" s="2031">
        <v>244.0</v>
      </c>
    </row>
    <row r="1525">
      <c r="B1525" s="2031">
        <v>1523.0</v>
      </c>
      <c r="C1525" s="2031">
        <v>182.0</v>
      </c>
      <c r="D1525" s="2031">
        <v>365.0</v>
      </c>
      <c r="E1525" s="2031">
        <v>244.0</v>
      </c>
      <c r="F1525" s="2031">
        <v>244.0</v>
      </c>
      <c r="G1525" s="2031">
        <v>244.0</v>
      </c>
      <c r="H1525" s="2031">
        <v>244.0</v>
      </c>
    </row>
    <row r="1526">
      <c r="B1526" s="2031">
        <v>1524.0</v>
      </c>
      <c r="C1526" s="2031">
        <v>183.0</v>
      </c>
      <c r="D1526" s="2031">
        <v>365.0</v>
      </c>
      <c r="E1526" s="2031">
        <v>244.0</v>
      </c>
      <c r="F1526" s="2031">
        <v>244.0</v>
      </c>
      <c r="G1526" s="2031">
        <v>244.0</v>
      </c>
      <c r="H1526" s="2031">
        <v>244.0</v>
      </c>
    </row>
    <row r="1527">
      <c r="B1527" s="2031">
        <v>1525.0</v>
      </c>
      <c r="C1527" s="2031">
        <v>183.0</v>
      </c>
      <c r="D1527" s="2031">
        <v>366.0</v>
      </c>
      <c r="E1527" s="2031">
        <v>244.0</v>
      </c>
      <c r="F1527" s="2031">
        <v>244.0</v>
      </c>
      <c r="G1527" s="2031">
        <v>244.0</v>
      </c>
      <c r="H1527" s="2031">
        <v>244.0</v>
      </c>
    </row>
    <row r="1528">
      <c r="B1528" s="2031">
        <v>1526.0</v>
      </c>
      <c r="C1528" s="2031">
        <v>183.0</v>
      </c>
      <c r="D1528" s="2031">
        <v>367.0</v>
      </c>
      <c r="E1528" s="2031">
        <v>244.0</v>
      </c>
      <c r="F1528" s="2031">
        <v>244.0</v>
      </c>
      <c r="G1528" s="2031">
        <v>244.0</v>
      </c>
      <c r="H1528" s="2031">
        <v>244.0</v>
      </c>
    </row>
    <row r="1529">
      <c r="B1529" s="2031">
        <v>1527.0</v>
      </c>
      <c r="C1529" s="2031">
        <v>184.0</v>
      </c>
      <c r="D1529" s="2031">
        <v>367.0</v>
      </c>
      <c r="E1529" s="2031">
        <v>244.0</v>
      </c>
      <c r="F1529" s="2031">
        <v>244.0</v>
      </c>
      <c r="G1529" s="2031">
        <v>244.0</v>
      </c>
      <c r="H1529" s="2031">
        <v>244.0</v>
      </c>
    </row>
    <row r="1530">
      <c r="B1530" s="2031">
        <v>1528.0</v>
      </c>
      <c r="C1530" s="2031">
        <v>183.0</v>
      </c>
      <c r="D1530" s="2031">
        <v>367.0</v>
      </c>
      <c r="E1530" s="2031">
        <v>244.0</v>
      </c>
      <c r="F1530" s="2031">
        <v>244.0</v>
      </c>
      <c r="G1530" s="2031">
        <v>245.0</v>
      </c>
      <c r="H1530" s="2031">
        <v>245.0</v>
      </c>
    </row>
    <row r="1531">
      <c r="B1531" s="2031">
        <v>1529.0</v>
      </c>
      <c r="C1531" s="2031">
        <v>184.0</v>
      </c>
      <c r="D1531" s="2031">
        <v>367.0</v>
      </c>
      <c r="E1531" s="2031">
        <v>244.0</v>
      </c>
      <c r="F1531" s="2031">
        <v>244.0</v>
      </c>
      <c r="G1531" s="2031">
        <v>245.0</v>
      </c>
      <c r="H1531" s="2031">
        <v>245.0</v>
      </c>
    </row>
    <row r="1532">
      <c r="B1532" s="2031">
        <v>1530.0</v>
      </c>
      <c r="C1532" s="2031">
        <v>183.0</v>
      </c>
      <c r="D1532" s="2031">
        <v>367.0</v>
      </c>
      <c r="E1532" s="2031">
        <v>245.0</v>
      </c>
      <c r="F1532" s="2031">
        <v>245.0</v>
      </c>
      <c r="G1532" s="2031">
        <v>245.0</v>
      </c>
      <c r="H1532" s="2031">
        <v>245.0</v>
      </c>
    </row>
    <row r="1533">
      <c r="B1533" s="2031">
        <v>1531.0</v>
      </c>
      <c r="C1533" s="2031">
        <v>184.0</v>
      </c>
      <c r="D1533" s="2031">
        <v>367.0</v>
      </c>
      <c r="E1533" s="2031">
        <v>245.0</v>
      </c>
      <c r="F1533" s="2031">
        <v>245.0</v>
      </c>
      <c r="G1533" s="2031">
        <v>245.0</v>
      </c>
      <c r="H1533" s="2031">
        <v>245.0</v>
      </c>
    </row>
    <row r="1534">
      <c r="B1534" s="2031">
        <v>1532.0</v>
      </c>
      <c r="C1534" s="2031">
        <v>184.0</v>
      </c>
      <c r="D1534" s="2031">
        <v>368.0</v>
      </c>
      <c r="E1534" s="2031">
        <v>245.0</v>
      </c>
      <c r="F1534" s="2031">
        <v>245.0</v>
      </c>
      <c r="G1534" s="2031">
        <v>245.0</v>
      </c>
      <c r="H1534" s="2031">
        <v>245.0</v>
      </c>
    </row>
    <row r="1535">
      <c r="B1535" s="2031">
        <v>1533.0</v>
      </c>
      <c r="C1535" s="2031">
        <v>184.0</v>
      </c>
      <c r="D1535" s="2031">
        <v>367.0</v>
      </c>
      <c r="E1535" s="2031">
        <v>245.0</v>
      </c>
      <c r="F1535" s="2031">
        <v>245.0</v>
      </c>
      <c r="G1535" s="2031">
        <v>246.0</v>
      </c>
      <c r="H1535" s="2031">
        <v>246.0</v>
      </c>
    </row>
    <row r="1536">
      <c r="B1536" s="2031">
        <v>1534.0</v>
      </c>
      <c r="C1536" s="2031">
        <v>184.0</v>
      </c>
      <c r="D1536" s="2031">
        <v>368.0</v>
      </c>
      <c r="E1536" s="2031">
        <v>245.0</v>
      </c>
      <c r="F1536" s="2031">
        <v>245.0</v>
      </c>
      <c r="G1536" s="2031">
        <v>246.0</v>
      </c>
      <c r="H1536" s="2031">
        <v>246.0</v>
      </c>
    </row>
    <row r="1537">
      <c r="B1537" s="2031">
        <v>1535.0</v>
      </c>
      <c r="C1537" s="2031">
        <v>184.0</v>
      </c>
      <c r="D1537" s="2031">
        <v>369.0</v>
      </c>
      <c r="E1537" s="2031">
        <v>245.0</v>
      </c>
      <c r="F1537" s="2031">
        <v>245.0</v>
      </c>
      <c r="G1537" s="2031">
        <v>246.0</v>
      </c>
      <c r="H1537" s="2031">
        <v>246.0</v>
      </c>
    </row>
    <row r="1538">
      <c r="B1538" s="2031">
        <v>1536.0</v>
      </c>
      <c r="C1538" s="2031">
        <v>184.0</v>
      </c>
      <c r="D1538" s="2031">
        <v>368.0</v>
      </c>
      <c r="E1538" s="2031">
        <v>246.0</v>
      </c>
      <c r="F1538" s="2031">
        <v>246.0</v>
      </c>
      <c r="G1538" s="2031">
        <v>246.0</v>
      </c>
      <c r="H1538" s="2031">
        <v>246.0</v>
      </c>
    </row>
    <row r="1539">
      <c r="B1539" s="2031">
        <v>1537.0</v>
      </c>
      <c r="C1539" s="2031">
        <v>184.0</v>
      </c>
      <c r="D1539" s="2031">
        <v>369.0</v>
      </c>
      <c r="E1539" s="2031">
        <v>246.0</v>
      </c>
      <c r="F1539" s="2031">
        <v>246.0</v>
      </c>
      <c r="G1539" s="2031">
        <v>246.0</v>
      </c>
      <c r="H1539" s="2031">
        <v>246.0</v>
      </c>
    </row>
    <row r="1540">
      <c r="B1540" s="2031">
        <v>1538.0</v>
      </c>
      <c r="C1540" s="2031">
        <v>185.0</v>
      </c>
      <c r="D1540" s="2031">
        <v>369.0</v>
      </c>
      <c r="E1540" s="2031">
        <v>246.0</v>
      </c>
      <c r="F1540" s="2031">
        <v>246.0</v>
      </c>
      <c r="G1540" s="2031">
        <v>246.0</v>
      </c>
      <c r="H1540" s="2031">
        <v>246.0</v>
      </c>
    </row>
    <row r="1541">
      <c r="B1541" s="2031">
        <v>1539.0</v>
      </c>
      <c r="C1541" s="2031">
        <v>185.0</v>
      </c>
      <c r="D1541" s="2031">
        <v>370.0</v>
      </c>
      <c r="E1541" s="2031">
        <v>246.0</v>
      </c>
      <c r="F1541" s="2031">
        <v>246.0</v>
      </c>
      <c r="G1541" s="2031">
        <v>246.0</v>
      </c>
      <c r="H1541" s="2031">
        <v>246.0</v>
      </c>
    </row>
    <row r="1542">
      <c r="B1542" s="2031">
        <v>1540.0</v>
      </c>
      <c r="C1542" s="2031">
        <v>185.0</v>
      </c>
      <c r="D1542" s="2031">
        <v>369.0</v>
      </c>
      <c r="E1542" s="2031">
        <v>246.0</v>
      </c>
      <c r="F1542" s="2031">
        <v>246.0</v>
      </c>
      <c r="G1542" s="2031">
        <v>247.0</v>
      </c>
      <c r="H1542" s="2031">
        <v>247.0</v>
      </c>
    </row>
    <row r="1543">
      <c r="B1543" s="2031">
        <v>1541.0</v>
      </c>
      <c r="C1543" s="2031">
        <v>185.0</v>
      </c>
      <c r="D1543" s="2031">
        <v>370.0</v>
      </c>
      <c r="E1543" s="2031">
        <v>246.0</v>
      </c>
      <c r="F1543" s="2031">
        <v>246.0</v>
      </c>
      <c r="G1543" s="2031">
        <v>247.0</v>
      </c>
      <c r="H1543" s="2031">
        <v>247.0</v>
      </c>
    </row>
    <row r="1544">
      <c r="B1544" s="2031">
        <v>1542.0</v>
      </c>
      <c r="C1544" s="2031">
        <v>185.0</v>
      </c>
      <c r="D1544" s="2031">
        <v>371.0</v>
      </c>
      <c r="E1544" s="2031">
        <v>246.0</v>
      </c>
      <c r="F1544" s="2031">
        <v>246.0</v>
      </c>
      <c r="G1544" s="2031">
        <v>247.0</v>
      </c>
      <c r="H1544" s="2031">
        <v>247.0</v>
      </c>
    </row>
    <row r="1545">
      <c r="B1545" s="2031">
        <v>1543.0</v>
      </c>
      <c r="C1545" s="2031">
        <v>185.0</v>
      </c>
      <c r="D1545" s="2031">
        <v>370.0</v>
      </c>
      <c r="E1545" s="2031">
        <v>247.0</v>
      </c>
      <c r="F1545" s="2031">
        <v>247.0</v>
      </c>
      <c r="G1545" s="2031">
        <v>247.0</v>
      </c>
      <c r="H1545" s="2031">
        <v>247.0</v>
      </c>
    </row>
    <row r="1546">
      <c r="B1546" s="2031">
        <v>1544.0</v>
      </c>
      <c r="C1546" s="2031">
        <v>185.0</v>
      </c>
      <c r="D1546" s="2031">
        <v>371.0</v>
      </c>
      <c r="E1546" s="2031">
        <v>247.0</v>
      </c>
      <c r="F1546" s="2031">
        <v>247.0</v>
      </c>
      <c r="G1546" s="2031">
        <v>247.0</v>
      </c>
      <c r="H1546" s="2031">
        <v>247.0</v>
      </c>
    </row>
    <row r="1547">
      <c r="B1547" s="2031">
        <v>1545.0</v>
      </c>
      <c r="C1547" s="2031">
        <v>186.0</v>
      </c>
      <c r="D1547" s="2031">
        <v>371.0</v>
      </c>
      <c r="E1547" s="2031">
        <v>247.0</v>
      </c>
      <c r="F1547" s="2031">
        <v>247.0</v>
      </c>
      <c r="G1547" s="2031">
        <v>247.0</v>
      </c>
      <c r="H1547" s="2031">
        <v>247.0</v>
      </c>
    </row>
    <row r="1548">
      <c r="B1548" s="2031">
        <v>1546.0</v>
      </c>
      <c r="C1548" s="2031">
        <v>185.0</v>
      </c>
      <c r="D1548" s="2031">
        <v>371.0</v>
      </c>
      <c r="E1548" s="2031">
        <v>247.0</v>
      </c>
      <c r="F1548" s="2031">
        <v>247.0</v>
      </c>
      <c r="G1548" s="2031">
        <v>248.0</v>
      </c>
      <c r="H1548" s="2031">
        <v>248.0</v>
      </c>
    </row>
    <row r="1549">
      <c r="B1549" s="2031">
        <v>1547.0</v>
      </c>
      <c r="C1549" s="2031">
        <v>186.0</v>
      </c>
      <c r="D1549" s="2031">
        <v>371.0</v>
      </c>
      <c r="E1549" s="2031">
        <v>247.0</v>
      </c>
      <c r="F1549" s="2031">
        <v>247.0</v>
      </c>
      <c r="G1549" s="2031">
        <v>248.0</v>
      </c>
      <c r="H1549" s="2031">
        <v>248.0</v>
      </c>
    </row>
    <row r="1550">
      <c r="B1550" s="2031">
        <v>1548.0</v>
      </c>
      <c r="C1550" s="2031">
        <v>185.0</v>
      </c>
      <c r="D1550" s="2031">
        <v>371.0</v>
      </c>
      <c r="E1550" s="2031">
        <v>248.0</v>
      </c>
      <c r="F1550" s="2031">
        <v>248.0</v>
      </c>
      <c r="G1550" s="2031">
        <v>248.0</v>
      </c>
      <c r="H1550" s="2031">
        <v>248.0</v>
      </c>
    </row>
    <row r="1551">
      <c r="B1551" s="2031">
        <v>1549.0</v>
      </c>
      <c r="C1551" s="2031">
        <v>186.0</v>
      </c>
      <c r="D1551" s="2031">
        <v>371.0</v>
      </c>
      <c r="E1551" s="2031">
        <v>248.0</v>
      </c>
      <c r="F1551" s="2031">
        <v>248.0</v>
      </c>
      <c r="G1551" s="2031">
        <v>248.0</v>
      </c>
      <c r="H1551" s="2031">
        <v>248.0</v>
      </c>
    </row>
    <row r="1552">
      <c r="B1552" s="2031">
        <v>1550.0</v>
      </c>
      <c r="C1552" s="2031">
        <v>186.0</v>
      </c>
      <c r="D1552" s="2031">
        <v>372.0</v>
      </c>
      <c r="E1552" s="2031">
        <v>248.0</v>
      </c>
      <c r="F1552" s="2031">
        <v>248.0</v>
      </c>
      <c r="G1552" s="2031">
        <v>248.0</v>
      </c>
      <c r="H1552" s="2031">
        <v>248.0</v>
      </c>
    </row>
    <row r="1553">
      <c r="B1553" s="2031">
        <v>1551.0</v>
      </c>
      <c r="C1553" s="2031">
        <v>186.0</v>
      </c>
      <c r="D1553" s="2031">
        <v>373.0</v>
      </c>
      <c r="E1553" s="2031">
        <v>248.0</v>
      </c>
      <c r="F1553" s="2031">
        <v>248.0</v>
      </c>
      <c r="G1553" s="2031">
        <v>248.0</v>
      </c>
      <c r="H1553" s="2031">
        <v>248.0</v>
      </c>
    </row>
    <row r="1554">
      <c r="B1554" s="2031">
        <v>1552.0</v>
      </c>
      <c r="C1554" s="2031">
        <v>187.0</v>
      </c>
      <c r="D1554" s="2031">
        <v>373.0</v>
      </c>
      <c r="E1554" s="2031">
        <v>248.0</v>
      </c>
      <c r="F1554" s="2031">
        <v>248.0</v>
      </c>
      <c r="G1554" s="2031">
        <v>248.0</v>
      </c>
      <c r="H1554" s="2031">
        <v>248.0</v>
      </c>
    </row>
    <row r="1555">
      <c r="B1555" s="2031">
        <v>1553.0</v>
      </c>
      <c r="C1555" s="2031">
        <v>186.0</v>
      </c>
      <c r="D1555" s="2031">
        <v>373.0</v>
      </c>
      <c r="E1555" s="2031">
        <v>248.0</v>
      </c>
      <c r="F1555" s="2031">
        <v>248.0</v>
      </c>
      <c r="G1555" s="2031">
        <v>249.0</v>
      </c>
      <c r="H1555" s="2031">
        <v>249.0</v>
      </c>
    </row>
    <row r="1556">
      <c r="B1556" s="2031">
        <v>1554.0</v>
      </c>
      <c r="C1556" s="2031">
        <v>187.0</v>
      </c>
      <c r="D1556" s="2031">
        <v>373.0</v>
      </c>
      <c r="E1556" s="2031">
        <v>248.0</v>
      </c>
      <c r="F1556" s="2031">
        <v>248.0</v>
      </c>
      <c r="G1556" s="2031">
        <v>249.0</v>
      </c>
      <c r="H1556" s="2031">
        <v>249.0</v>
      </c>
    </row>
    <row r="1557">
      <c r="B1557" s="2031">
        <v>1555.0</v>
      </c>
      <c r="C1557" s="2031">
        <v>186.0</v>
      </c>
      <c r="D1557" s="2031">
        <v>373.0</v>
      </c>
      <c r="E1557" s="2031">
        <v>249.0</v>
      </c>
      <c r="F1557" s="2031">
        <v>249.0</v>
      </c>
      <c r="G1557" s="2031">
        <v>249.0</v>
      </c>
      <c r="H1557" s="2031">
        <v>249.0</v>
      </c>
    </row>
    <row r="1558">
      <c r="B1558" s="2031">
        <v>1556.0</v>
      </c>
      <c r="C1558" s="2031">
        <v>187.0</v>
      </c>
      <c r="D1558" s="2031">
        <v>373.0</v>
      </c>
      <c r="E1558" s="2031">
        <v>249.0</v>
      </c>
      <c r="F1558" s="2031">
        <v>249.0</v>
      </c>
      <c r="G1558" s="2031">
        <v>249.0</v>
      </c>
      <c r="H1558" s="2031">
        <v>249.0</v>
      </c>
    </row>
    <row r="1559">
      <c r="B1559" s="2031">
        <v>1557.0</v>
      </c>
      <c r="C1559" s="2031">
        <v>187.0</v>
      </c>
      <c r="D1559" s="2031">
        <v>374.0</v>
      </c>
      <c r="E1559" s="2031">
        <v>249.0</v>
      </c>
      <c r="F1559" s="2031">
        <v>249.0</v>
      </c>
      <c r="G1559" s="2031">
        <v>249.0</v>
      </c>
      <c r="H1559" s="2031">
        <v>249.0</v>
      </c>
    </row>
    <row r="1560">
      <c r="B1560" s="2031">
        <v>1558.0</v>
      </c>
      <c r="C1560" s="2031">
        <v>187.0</v>
      </c>
      <c r="D1560" s="2031">
        <v>373.0</v>
      </c>
      <c r="E1560" s="2031">
        <v>249.0</v>
      </c>
      <c r="F1560" s="2031">
        <v>249.0</v>
      </c>
      <c r="G1560" s="2031">
        <v>250.0</v>
      </c>
      <c r="H1560" s="2031">
        <v>250.0</v>
      </c>
    </row>
    <row r="1561">
      <c r="B1561" s="2031">
        <v>1559.0</v>
      </c>
      <c r="C1561" s="2031">
        <v>187.0</v>
      </c>
      <c r="D1561" s="2031">
        <v>374.0</v>
      </c>
      <c r="E1561" s="2031">
        <v>249.0</v>
      </c>
      <c r="F1561" s="2031">
        <v>249.0</v>
      </c>
      <c r="G1561" s="2031">
        <v>250.0</v>
      </c>
      <c r="H1561" s="2031">
        <v>250.0</v>
      </c>
    </row>
    <row r="1562">
      <c r="B1562" s="2031">
        <v>1560.0</v>
      </c>
      <c r="C1562" s="2031">
        <v>187.0</v>
      </c>
      <c r="D1562" s="2031">
        <v>375.0</v>
      </c>
      <c r="E1562" s="2031">
        <v>249.0</v>
      </c>
      <c r="F1562" s="2031">
        <v>249.0</v>
      </c>
      <c r="G1562" s="2031">
        <v>250.0</v>
      </c>
      <c r="H1562" s="2031">
        <v>250.0</v>
      </c>
    </row>
    <row r="1563">
      <c r="B1563" s="2031">
        <v>1561.0</v>
      </c>
      <c r="C1563" s="2031">
        <v>187.0</v>
      </c>
      <c r="D1563" s="2031">
        <v>374.0</v>
      </c>
      <c r="E1563" s="2031">
        <v>250.0</v>
      </c>
      <c r="F1563" s="2031">
        <v>250.0</v>
      </c>
      <c r="G1563" s="2031">
        <v>250.0</v>
      </c>
      <c r="H1563" s="2031">
        <v>250.0</v>
      </c>
    </row>
    <row r="1564">
      <c r="B1564" s="2031">
        <v>1562.0</v>
      </c>
      <c r="C1564" s="2031">
        <v>187.0</v>
      </c>
      <c r="D1564" s="2031">
        <v>375.0</v>
      </c>
      <c r="E1564" s="2031">
        <v>250.0</v>
      </c>
      <c r="F1564" s="2031">
        <v>250.0</v>
      </c>
      <c r="G1564" s="2031">
        <v>250.0</v>
      </c>
      <c r="H1564" s="2031">
        <v>250.0</v>
      </c>
    </row>
    <row r="1565">
      <c r="B1565" s="2031">
        <v>1563.0</v>
      </c>
      <c r="C1565" s="2031">
        <v>188.0</v>
      </c>
      <c r="D1565" s="2031">
        <v>375.0</v>
      </c>
      <c r="E1565" s="2031">
        <v>250.0</v>
      </c>
      <c r="F1565" s="2031">
        <v>250.0</v>
      </c>
      <c r="G1565" s="2031">
        <v>250.0</v>
      </c>
      <c r="H1565" s="2031">
        <v>250.0</v>
      </c>
    </row>
    <row r="1566">
      <c r="B1566" s="2031">
        <v>1564.0</v>
      </c>
      <c r="C1566" s="2031">
        <v>188.0</v>
      </c>
      <c r="D1566" s="2031">
        <v>376.0</v>
      </c>
      <c r="E1566" s="2031">
        <v>250.0</v>
      </c>
      <c r="F1566" s="2031">
        <v>250.0</v>
      </c>
      <c r="G1566" s="2031">
        <v>250.0</v>
      </c>
      <c r="H1566" s="2031">
        <v>250.0</v>
      </c>
    </row>
    <row r="1567">
      <c r="B1567" s="2031">
        <v>1565.0</v>
      </c>
      <c r="C1567" s="2031">
        <v>188.0</v>
      </c>
      <c r="D1567" s="2031">
        <v>375.0</v>
      </c>
      <c r="E1567" s="2031">
        <v>250.0</v>
      </c>
      <c r="F1567" s="2031">
        <v>250.0</v>
      </c>
      <c r="G1567" s="2031">
        <v>251.0</v>
      </c>
      <c r="H1567" s="2031">
        <v>251.0</v>
      </c>
    </row>
    <row r="1568">
      <c r="B1568" s="2031">
        <v>1566.0</v>
      </c>
      <c r="C1568" s="2031">
        <v>188.0</v>
      </c>
      <c r="D1568" s="2031">
        <v>376.0</v>
      </c>
      <c r="E1568" s="2031">
        <v>250.0</v>
      </c>
      <c r="F1568" s="2031">
        <v>250.0</v>
      </c>
      <c r="G1568" s="2031">
        <v>251.0</v>
      </c>
      <c r="H1568" s="2031">
        <v>251.0</v>
      </c>
    </row>
    <row r="1569">
      <c r="B1569" s="2031">
        <v>1567.0</v>
      </c>
      <c r="C1569" s="2031">
        <v>188.0</v>
      </c>
      <c r="D1569" s="2031">
        <v>377.0</v>
      </c>
      <c r="E1569" s="2031">
        <v>250.0</v>
      </c>
      <c r="F1569" s="2031">
        <v>250.0</v>
      </c>
      <c r="G1569" s="2031">
        <v>251.0</v>
      </c>
      <c r="H1569" s="2031">
        <v>251.0</v>
      </c>
    </row>
    <row r="1570">
      <c r="B1570" s="2031">
        <v>1568.0</v>
      </c>
      <c r="C1570" s="2031">
        <v>188.0</v>
      </c>
      <c r="D1570" s="2031">
        <v>376.0</v>
      </c>
      <c r="E1570" s="2031">
        <v>251.0</v>
      </c>
      <c r="F1570" s="2031">
        <v>251.0</v>
      </c>
      <c r="G1570" s="2031">
        <v>251.0</v>
      </c>
      <c r="H1570" s="2031">
        <v>251.0</v>
      </c>
    </row>
    <row r="1571">
      <c r="B1571" s="2031">
        <v>1569.0</v>
      </c>
      <c r="C1571" s="2031">
        <v>188.0</v>
      </c>
      <c r="D1571" s="2031">
        <v>377.0</v>
      </c>
      <c r="E1571" s="2031">
        <v>251.0</v>
      </c>
      <c r="F1571" s="2031">
        <v>251.0</v>
      </c>
      <c r="G1571" s="2031">
        <v>251.0</v>
      </c>
      <c r="H1571" s="2031">
        <v>251.0</v>
      </c>
    </row>
    <row r="1572">
      <c r="B1572" s="2031">
        <v>1570.0</v>
      </c>
      <c r="C1572" s="2031">
        <v>189.0</v>
      </c>
      <c r="D1572" s="2031">
        <v>377.0</v>
      </c>
      <c r="E1572" s="2031">
        <v>251.0</v>
      </c>
      <c r="F1572" s="2031">
        <v>251.0</v>
      </c>
      <c r="G1572" s="2031">
        <v>251.0</v>
      </c>
      <c r="H1572" s="2031">
        <v>251.0</v>
      </c>
    </row>
    <row r="1573">
      <c r="B1573" s="2031">
        <v>1571.0</v>
      </c>
      <c r="C1573" s="2031">
        <v>188.0</v>
      </c>
      <c r="D1573" s="2031">
        <v>377.0</v>
      </c>
      <c r="E1573" s="2031">
        <v>251.0</v>
      </c>
      <c r="F1573" s="2031">
        <v>251.0</v>
      </c>
      <c r="G1573" s="2031">
        <v>252.0</v>
      </c>
      <c r="H1573" s="2031">
        <v>252.0</v>
      </c>
    </row>
    <row r="1574">
      <c r="B1574" s="2031">
        <v>1572.0</v>
      </c>
      <c r="C1574" s="2031">
        <v>189.0</v>
      </c>
      <c r="D1574" s="2031">
        <v>377.0</v>
      </c>
      <c r="E1574" s="2031">
        <v>251.0</v>
      </c>
      <c r="F1574" s="2031">
        <v>251.0</v>
      </c>
      <c r="G1574" s="2031">
        <v>252.0</v>
      </c>
      <c r="H1574" s="2031">
        <v>252.0</v>
      </c>
    </row>
    <row r="1575">
      <c r="B1575" s="2031">
        <v>1573.0</v>
      </c>
      <c r="C1575" s="2031">
        <v>188.0</v>
      </c>
      <c r="D1575" s="2031">
        <v>377.0</v>
      </c>
      <c r="E1575" s="2031">
        <v>252.0</v>
      </c>
      <c r="F1575" s="2031">
        <v>252.0</v>
      </c>
      <c r="G1575" s="2031">
        <v>252.0</v>
      </c>
      <c r="H1575" s="2031">
        <v>252.0</v>
      </c>
    </row>
    <row r="1576">
      <c r="B1576" s="2031">
        <v>1574.0</v>
      </c>
      <c r="C1576" s="2031">
        <v>189.0</v>
      </c>
      <c r="D1576" s="2031">
        <v>377.0</v>
      </c>
      <c r="E1576" s="2031">
        <v>252.0</v>
      </c>
      <c r="F1576" s="2031">
        <v>252.0</v>
      </c>
      <c r="G1576" s="2031">
        <v>252.0</v>
      </c>
      <c r="H1576" s="2031">
        <v>252.0</v>
      </c>
    </row>
    <row r="1577">
      <c r="B1577" s="2031">
        <v>1575.0</v>
      </c>
      <c r="C1577" s="2031">
        <v>189.0</v>
      </c>
      <c r="D1577" s="2031">
        <v>378.0</v>
      </c>
      <c r="E1577" s="2031">
        <v>252.0</v>
      </c>
      <c r="F1577" s="2031">
        <v>252.0</v>
      </c>
      <c r="G1577" s="2031">
        <v>252.0</v>
      </c>
      <c r="H1577" s="2031">
        <v>252.0</v>
      </c>
    </row>
    <row r="1578">
      <c r="B1578" s="2031">
        <v>1576.0</v>
      </c>
      <c r="C1578" s="2031">
        <v>189.0</v>
      </c>
      <c r="D1578" s="2031">
        <v>379.0</v>
      </c>
      <c r="E1578" s="2031">
        <v>252.0</v>
      </c>
      <c r="F1578" s="2031">
        <v>252.0</v>
      </c>
      <c r="G1578" s="2031">
        <v>252.0</v>
      </c>
      <c r="H1578" s="2031">
        <v>252.0</v>
      </c>
    </row>
    <row r="1579">
      <c r="B1579" s="2031">
        <v>1577.0</v>
      </c>
      <c r="C1579" s="2031">
        <v>190.0</v>
      </c>
      <c r="D1579" s="2031">
        <v>379.0</v>
      </c>
      <c r="E1579" s="2031">
        <v>252.0</v>
      </c>
      <c r="F1579" s="2031">
        <v>252.0</v>
      </c>
      <c r="G1579" s="2031">
        <v>252.0</v>
      </c>
      <c r="H1579" s="2031">
        <v>252.0</v>
      </c>
    </row>
    <row r="1580">
      <c r="B1580" s="2031">
        <v>1578.0</v>
      </c>
      <c r="C1580" s="2031">
        <v>189.0</v>
      </c>
      <c r="D1580" s="2031">
        <v>379.0</v>
      </c>
      <c r="E1580" s="2031">
        <v>252.0</v>
      </c>
      <c r="F1580" s="2031">
        <v>252.0</v>
      </c>
      <c r="G1580" s="2031">
        <v>253.0</v>
      </c>
      <c r="H1580" s="2031">
        <v>253.0</v>
      </c>
    </row>
    <row r="1581">
      <c r="B1581" s="2031">
        <v>1579.0</v>
      </c>
      <c r="C1581" s="2031">
        <v>190.0</v>
      </c>
      <c r="D1581" s="2031">
        <v>379.0</v>
      </c>
      <c r="E1581" s="2031">
        <v>252.0</v>
      </c>
      <c r="F1581" s="2031">
        <v>252.0</v>
      </c>
      <c r="G1581" s="2031">
        <v>253.0</v>
      </c>
      <c r="H1581" s="2031">
        <v>253.0</v>
      </c>
    </row>
    <row r="1582">
      <c r="B1582" s="2031">
        <v>1580.0</v>
      </c>
      <c r="C1582" s="2031">
        <v>189.0</v>
      </c>
      <c r="D1582" s="2031">
        <v>379.0</v>
      </c>
      <c r="E1582" s="2031">
        <v>253.0</v>
      </c>
      <c r="F1582" s="2031">
        <v>253.0</v>
      </c>
      <c r="G1582" s="2031">
        <v>253.0</v>
      </c>
      <c r="H1582" s="2031">
        <v>253.0</v>
      </c>
    </row>
    <row r="1583">
      <c r="B1583" s="2031">
        <v>1581.0</v>
      </c>
      <c r="C1583" s="2031">
        <v>190.0</v>
      </c>
      <c r="D1583" s="2031">
        <v>379.0</v>
      </c>
      <c r="E1583" s="2031">
        <v>253.0</v>
      </c>
      <c r="F1583" s="2031">
        <v>253.0</v>
      </c>
      <c r="G1583" s="2031">
        <v>253.0</v>
      </c>
      <c r="H1583" s="2031">
        <v>253.0</v>
      </c>
    </row>
    <row r="1584">
      <c r="B1584" s="2031">
        <v>1582.0</v>
      </c>
      <c r="C1584" s="2031">
        <v>190.0</v>
      </c>
      <c r="D1584" s="2031">
        <v>380.0</v>
      </c>
      <c r="E1584" s="2031">
        <v>253.0</v>
      </c>
      <c r="F1584" s="2031">
        <v>253.0</v>
      </c>
      <c r="G1584" s="2031">
        <v>253.0</v>
      </c>
      <c r="H1584" s="2031">
        <v>253.0</v>
      </c>
    </row>
    <row r="1585">
      <c r="B1585" s="2031">
        <v>1583.0</v>
      </c>
      <c r="C1585" s="2031">
        <v>190.0</v>
      </c>
      <c r="D1585" s="2031">
        <v>379.0</v>
      </c>
      <c r="E1585" s="2031">
        <v>253.0</v>
      </c>
      <c r="F1585" s="2031">
        <v>253.0</v>
      </c>
      <c r="G1585" s="2031">
        <v>254.0</v>
      </c>
      <c r="H1585" s="2031">
        <v>254.0</v>
      </c>
    </row>
    <row r="1586">
      <c r="B1586" s="2031">
        <v>1584.0</v>
      </c>
      <c r="C1586" s="2031">
        <v>190.0</v>
      </c>
      <c r="D1586" s="2031">
        <v>380.0</v>
      </c>
      <c r="E1586" s="2031">
        <v>253.0</v>
      </c>
      <c r="F1586" s="2031">
        <v>253.0</v>
      </c>
      <c r="G1586" s="2031">
        <v>254.0</v>
      </c>
      <c r="H1586" s="2031">
        <v>254.0</v>
      </c>
    </row>
    <row r="1587">
      <c r="B1587" s="2031">
        <v>1585.0</v>
      </c>
      <c r="C1587" s="2031">
        <v>190.0</v>
      </c>
      <c r="D1587" s="2031">
        <v>381.0</v>
      </c>
      <c r="E1587" s="2031">
        <v>253.0</v>
      </c>
      <c r="F1587" s="2031">
        <v>253.0</v>
      </c>
      <c r="G1587" s="2031">
        <v>254.0</v>
      </c>
      <c r="H1587" s="2031">
        <v>254.0</v>
      </c>
    </row>
    <row r="1588">
      <c r="B1588" s="2031">
        <v>1586.0</v>
      </c>
      <c r="C1588" s="2031">
        <v>190.0</v>
      </c>
      <c r="D1588" s="2031">
        <v>380.0</v>
      </c>
      <c r="E1588" s="2031">
        <v>254.0</v>
      </c>
      <c r="F1588" s="2031">
        <v>254.0</v>
      </c>
      <c r="G1588" s="2031">
        <v>254.0</v>
      </c>
      <c r="H1588" s="2031">
        <v>254.0</v>
      </c>
    </row>
    <row r="1589">
      <c r="B1589" s="2031">
        <v>1587.0</v>
      </c>
      <c r="C1589" s="2031">
        <v>190.0</v>
      </c>
      <c r="D1589" s="2031">
        <v>381.0</v>
      </c>
      <c r="E1589" s="2031">
        <v>254.0</v>
      </c>
      <c r="F1589" s="2031">
        <v>254.0</v>
      </c>
      <c r="G1589" s="2031">
        <v>254.0</v>
      </c>
      <c r="H1589" s="2031">
        <v>254.0</v>
      </c>
    </row>
    <row r="1590">
      <c r="B1590" s="2031">
        <v>1588.0</v>
      </c>
      <c r="C1590" s="2031">
        <v>191.0</v>
      </c>
      <c r="D1590" s="2031">
        <v>381.0</v>
      </c>
      <c r="E1590" s="2031">
        <v>254.0</v>
      </c>
      <c r="F1590" s="2031">
        <v>254.0</v>
      </c>
      <c r="G1590" s="2031">
        <v>254.0</v>
      </c>
      <c r="H1590" s="2031">
        <v>254.0</v>
      </c>
    </row>
    <row r="1591">
      <c r="B1591" s="2031">
        <v>1589.0</v>
      </c>
      <c r="C1591" s="2031">
        <v>191.0</v>
      </c>
      <c r="D1591" s="2031">
        <v>382.0</v>
      </c>
      <c r="E1591" s="2031">
        <v>254.0</v>
      </c>
      <c r="F1591" s="2031">
        <v>254.0</v>
      </c>
      <c r="G1591" s="2031">
        <v>254.0</v>
      </c>
      <c r="H1591" s="2031">
        <v>254.0</v>
      </c>
    </row>
    <row r="1592">
      <c r="B1592" s="2031">
        <v>1590.0</v>
      </c>
      <c r="C1592" s="2031">
        <v>191.0</v>
      </c>
      <c r="D1592" s="2031">
        <v>381.0</v>
      </c>
      <c r="E1592" s="2031">
        <v>254.0</v>
      </c>
      <c r="F1592" s="2031">
        <v>254.0</v>
      </c>
      <c r="G1592" s="2031">
        <v>255.0</v>
      </c>
      <c r="H1592" s="2031">
        <v>255.0</v>
      </c>
    </row>
    <row r="1593">
      <c r="B1593" s="2031">
        <v>1591.0</v>
      </c>
      <c r="C1593" s="2031">
        <v>191.0</v>
      </c>
      <c r="D1593" s="2031">
        <v>382.0</v>
      </c>
      <c r="E1593" s="2031">
        <v>254.0</v>
      </c>
      <c r="F1593" s="2031">
        <v>254.0</v>
      </c>
      <c r="G1593" s="2031">
        <v>255.0</v>
      </c>
      <c r="H1593" s="2031">
        <v>255.0</v>
      </c>
    </row>
    <row r="1594">
      <c r="B1594" s="2031">
        <v>1592.0</v>
      </c>
      <c r="C1594" s="2031">
        <v>191.0</v>
      </c>
      <c r="D1594" s="2031">
        <v>383.0</v>
      </c>
      <c r="E1594" s="2031">
        <v>254.0</v>
      </c>
      <c r="F1594" s="2031">
        <v>254.0</v>
      </c>
      <c r="G1594" s="2031">
        <v>255.0</v>
      </c>
      <c r="H1594" s="2031">
        <v>255.0</v>
      </c>
    </row>
    <row r="1595">
      <c r="B1595" s="2031">
        <v>1593.0</v>
      </c>
      <c r="C1595" s="2031">
        <v>191.0</v>
      </c>
      <c r="D1595" s="2031">
        <v>382.0</v>
      </c>
      <c r="E1595" s="2031">
        <v>255.0</v>
      </c>
      <c r="F1595" s="2031">
        <v>255.0</v>
      </c>
      <c r="G1595" s="2031">
        <v>255.0</v>
      </c>
      <c r="H1595" s="2031">
        <v>255.0</v>
      </c>
    </row>
    <row r="1596">
      <c r="B1596" s="2031">
        <v>1594.0</v>
      </c>
      <c r="C1596" s="2031">
        <v>191.0</v>
      </c>
      <c r="D1596" s="2031">
        <v>383.0</v>
      </c>
      <c r="E1596" s="2031">
        <v>255.0</v>
      </c>
      <c r="F1596" s="2031">
        <v>255.0</v>
      </c>
      <c r="G1596" s="2031">
        <v>255.0</v>
      </c>
      <c r="H1596" s="2031">
        <v>255.0</v>
      </c>
    </row>
    <row r="1597">
      <c r="B1597" s="2031">
        <v>1595.0</v>
      </c>
      <c r="C1597" s="2031">
        <v>192.0</v>
      </c>
      <c r="D1597" s="2031">
        <v>383.0</v>
      </c>
      <c r="E1597" s="2031">
        <v>255.0</v>
      </c>
      <c r="F1597" s="2031">
        <v>255.0</v>
      </c>
      <c r="G1597" s="2031">
        <v>255.0</v>
      </c>
      <c r="H1597" s="2031">
        <v>255.0</v>
      </c>
    </row>
    <row r="1598">
      <c r="B1598" s="2031">
        <v>1596.0</v>
      </c>
      <c r="C1598" s="2031">
        <v>191.0</v>
      </c>
      <c r="D1598" s="2031">
        <v>383.0</v>
      </c>
      <c r="E1598" s="2031">
        <v>255.0</v>
      </c>
      <c r="F1598" s="2031">
        <v>255.0</v>
      </c>
      <c r="G1598" s="2031">
        <v>256.0</v>
      </c>
      <c r="H1598" s="2031">
        <v>256.0</v>
      </c>
    </row>
    <row r="1599">
      <c r="B1599" s="2031">
        <v>1597.0</v>
      </c>
      <c r="C1599" s="2031">
        <v>192.0</v>
      </c>
      <c r="D1599" s="2031">
        <v>383.0</v>
      </c>
      <c r="E1599" s="2031">
        <v>255.0</v>
      </c>
      <c r="F1599" s="2031">
        <v>255.0</v>
      </c>
      <c r="G1599" s="2031">
        <v>256.0</v>
      </c>
      <c r="H1599" s="2031">
        <v>256.0</v>
      </c>
    </row>
    <row r="1600">
      <c r="B1600" s="2031">
        <v>1598.0</v>
      </c>
      <c r="C1600" s="2031">
        <v>191.0</v>
      </c>
      <c r="D1600" s="2031">
        <v>383.0</v>
      </c>
      <c r="E1600" s="2031">
        <v>256.0</v>
      </c>
      <c r="F1600" s="2031">
        <v>256.0</v>
      </c>
      <c r="G1600" s="2031">
        <v>256.0</v>
      </c>
      <c r="H1600" s="2031">
        <v>256.0</v>
      </c>
    </row>
    <row r="1601">
      <c r="B1601" s="2031">
        <v>1599.0</v>
      </c>
      <c r="C1601" s="2031">
        <v>192.0</v>
      </c>
      <c r="D1601" s="2031">
        <v>383.0</v>
      </c>
      <c r="E1601" s="2031">
        <v>256.0</v>
      </c>
      <c r="F1601" s="2031">
        <v>256.0</v>
      </c>
      <c r="G1601" s="2031">
        <v>256.0</v>
      </c>
      <c r="H1601" s="2031">
        <v>256.0</v>
      </c>
    </row>
    <row r="1602">
      <c r="B1602" s="2031">
        <v>1600.0</v>
      </c>
      <c r="C1602" s="2031">
        <v>192.0</v>
      </c>
      <c r="D1602" s="2031">
        <v>384.0</v>
      </c>
      <c r="E1602" s="2031">
        <v>256.0</v>
      </c>
      <c r="F1602" s="2031">
        <v>256.0</v>
      </c>
      <c r="G1602" s="2031">
        <v>256.0</v>
      </c>
      <c r="H1602" s="2031">
        <v>256.0</v>
      </c>
    </row>
    <row r="1603">
      <c r="B1603" s="2031">
        <v>1601.0</v>
      </c>
      <c r="C1603" s="2031">
        <v>192.0</v>
      </c>
      <c r="D1603" s="2031">
        <v>385.0</v>
      </c>
      <c r="E1603" s="2031">
        <v>256.0</v>
      </c>
      <c r="F1603" s="2031">
        <v>256.0</v>
      </c>
      <c r="G1603" s="2031">
        <v>256.0</v>
      </c>
      <c r="H1603" s="2031">
        <v>256.0</v>
      </c>
    </row>
    <row r="1604">
      <c r="B1604" s="2031">
        <v>1602.0</v>
      </c>
      <c r="C1604" s="2031">
        <v>193.0</v>
      </c>
      <c r="D1604" s="2031">
        <v>385.0</v>
      </c>
      <c r="E1604" s="2031">
        <v>256.0</v>
      </c>
      <c r="F1604" s="2031">
        <v>256.0</v>
      </c>
      <c r="G1604" s="2031">
        <v>256.0</v>
      </c>
      <c r="H1604" s="2031">
        <v>256.0</v>
      </c>
    </row>
    <row r="1605">
      <c r="B1605" s="2031">
        <v>1603.0</v>
      </c>
      <c r="C1605" s="2031">
        <v>192.0</v>
      </c>
      <c r="D1605" s="2031">
        <v>385.0</v>
      </c>
      <c r="E1605" s="2031">
        <v>256.0</v>
      </c>
      <c r="F1605" s="2031">
        <v>256.0</v>
      </c>
      <c r="G1605" s="2031">
        <v>257.0</v>
      </c>
      <c r="H1605" s="2031">
        <v>257.0</v>
      </c>
    </row>
    <row r="1606">
      <c r="B1606" s="2031">
        <v>1604.0</v>
      </c>
      <c r="C1606" s="2031">
        <v>193.0</v>
      </c>
      <c r="D1606" s="2031">
        <v>385.0</v>
      </c>
      <c r="E1606" s="2031">
        <v>256.0</v>
      </c>
      <c r="F1606" s="2031">
        <v>256.0</v>
      </c>
      <c r="G1606" s="2031">
        <v>257.0</v>
      </c>
      <c r="H1606" s="2031">
        <v>257.0</v>
      </c>
    </row>
    <row r="1607">
      <c r="B1607" s="2031">
        <v>1605.0</v>
      </c>
      <c r="C1607" s="2031">
        <v>192.0</v>
      </c>
      <c r="D1607" s="2031">
        <v>385.0</v>
      </c>
      <c r="E1607" s="2031">
        <v>257.0</v>
      </c>
      <c r="F1607" s="2031">
        <v>257.0</v>
      </c>
      <c r="G1607" s="2031">
        <v>257.0</v>
      </c>
      <c r="H1607" s="2031">
        <v>257.0</v>
      </c>
    </row>
    <row r="1608">
      <c r="B1608" s="2031">
        <v>1606.0</v>
      </c>
      <c r="C1608" s="2031">
        <v>193.0</v>
      </c>
      <c r="D1608" s="2031">
        <v>385.0</v>
      </c>
      <c r="E1608" s="2031">
        <v>257.0</v>
      </c>
      <c r="F1608" s="2031">
        <v>257.0</v>
      </c>
      <c r="G1608" s="2031">
        <v>257.0</v>
      </c>
      <c r="H1608" s="2031">
        <v>257.0</v>
      </c>
    </row>
    <row r="1609">
      <c r="B1609" s="2031">
        <v>1607.0</v>
      </c>
      <c r="C1609" s="2031">
        <v>193.0</v>
      </c>
      <c r="D1609" s="2031">
        <v>386.0</v>
      </c>
      <c r="E1609" s="2031">
        <v>257.0</v>
      </c>
      <c r="F1609" s="2031">
        <v>257.0</v>
      </c>
      <c r="G1609" s="2031">
        <v>257.0</v>
      </c>
      <c r="H1609" s="2031">
        <v>257.0</v>
      </c>
    </row>
    <row r="1610">
      <c r="B1610" s="2031">
        <v>1608.0</v>
      </c>
      <c r="C1610" s="2031">
        <v>193.0</v>
      </c>
      <c r="D1610" s="2031">
        <v>385.0</v>
      </c>
      <c r="E1610" s="2031">
        <v>257.0</v>
      </c>
      <c r="F1610" s="2031">
        <v>257.0</v>
      </c>
      <c r="G1610" s="2031">
        <v>258.0</v>
      </c>
      <c r="H1610" s="2031">
        <v>258.0</v>
      </c>
    </row>
    <row r="1611">
      <c r="B1611" s="2031">
        <v>1609.0</v>
      </c>
      <c r="C1611" s="2031">
        <v>193.0</v>
      </c>
      <c r="D1611" s="2031">
        <v>386.0</v>
      </c>
      <c r="E1611" s="2031">
        <v>257.0</v>
      </c>
      <c r="F1611" s="2031">
        <v>257.0</v>
      </c>
      <c r="G1611" s="2031">
        <v>258.0</v>
      </c>
      <c r="H1611" s="2031">
        <v>258.0</v>
      </c>
    </row>
    <row r="1612">
      <c r="B1612" s="2031">
        <v>1610.0</v>
      </c>
      <c r="C1612" s="2031">
        <v>193.0</v>
      </c>
      <c r="D1612" s="2031">
        <v>387.0</v>
      </c>
      <c r="E1612" s="2031">
        <v>257.0</v>
      </c>
      <c r="F1612" s="2031">
        <v>257.0</v>
      </c>
      <c r="G1612" s="2031">
        <v>258.0</v>
      </c>
      <c r="H1612" s="2031">
        <v>258.0</v>
      </c>
    </row>
    <row r="1613">
      <c r="B1613" s="2031">
        <v>1611.0</v>
      </c>
      <c r="C1613" s="2031">
        <v>193.0</v>
      </c>
      <c r="D1613" s="2031">
        <v>386.0</v>
      </c>
      <c r="E1613" s="2031">
        <v>258.0</v>
      </c>
      <c r="F1613" s="2031">
        <v>258.0</v>
      </c>
      <c r="G1613" s="2031">
        <v>258.0</v>
      </c>
      <c r="H1613" s="2031">
        <v>258.0</v>
      </c>
    </row>
    <row r="1614">
      <c r="B1614" s="2031">
        <v>1612.0</v>
      </c>
      <c r="C1614" s="2031">
        <v>193.0</v>
      </c>
      <c r="D1614" s="2031">
        <v>387.0</v>
      </c>
      <c r="E1614" s="2031">
        <v>258.0</v>
      </c>
      <c r="F1614" s="2031">
        <v>258.0</v>
      </c>
      <c r="G1614" s="2031">
        <v>258.0</v>
      </c>
      <c r="H1614" s="2031">
        <v>258.0</v>
      </c>
    </row>
    <row r="1615">
      <c r="B1615" s="2031">
        <v>1613.0</v>
      </c>
      <c r="C1615" s="2031">
        <v>194.0</v>
      </c>
      <c r="D1615" s="2031">
        <v>387.0</v>
      </c>
      <c r="E1615" s="2031">
        <v>258.0</v>
      </c>
      <c r="F1615" s="2031">
        <v>258.0</v>
      </c>
      <c r="G1615" s="2031">
        <v>258.0</v>
      </c>
      <c r="H1615" s="2031">
        <v>258.0</v>
      </c>
    </row>
    <row r="1616">
      <c r="B1616" s="2031">
        <v>1614.0</v>
      </c>
      <c r="C1616" s="2031">
        <v>194.0</v>
      </c>
      <c r="D1616" s="2031">
        <v>388.0</v>
      </c>
      <c r="E1616" s="2031">
        <v>258.0</v>
      </c>
      <c r="F1616" s="2031">
        <v>258.0</v>
      </c>
      <c r="G1616" s="2031">
        <v>258.0</v>
      </c>
      <c r="H1616" s="2031">
        <v>258.0</v>
      </c>
    </row>
    <row r="1617">
      <c r="B1617" s="2031">
        <v>1615.0</v>
      </c>
      <c r="C1617" s="2031">
        <v>194.0</v>
      </c>
      <c r="D1617" s="2031">
        <v>387.0</v>
      </c>
      <c r="E1617" s="2031">
        <v>258.0</v>
      </c>
      <c r="F1617" s="2031">
        <v>258.0</v>
      </c>
      <c r="G1617" s="2031">
        <v>259.0</v>
      </c>
      <c r="H1617" s="2031">
        <v>259.0</v>
      </c>
    </row>
    <row r="1618">
      <c r="B1618" s="2031">
        <v>1616.0</v>
      </c>
      <c r="C1618" s="2031">
        <v>194.0</v>
      </c>
      <c r="D1618" s="2031">
        <v>388.0</v>
      </c>
      <c r="E1618" s="2031">
        <v>258.0</v>
      </c>
      <c r="F1618" s="2031">
        <v>258.0</v>
      </c>
      <c r="G1618" s="2031">
        <v>259.0</v>
      </c>
      <c r="H1618" s="2031">
        <v>259.0</v>
      </c>
    </row>
    <row r="1619">
      <c r="B1619" s="2031">
        <v>1617.0</v>
      </c>
      <c r="C1619" s="2031">
        <v>194.0</v>
      </c>
      <c r="D1619" s="2031">
        <v>389.0</v>
      </c>
      <c r="E1619" s="2031">
        <v>258.0</v>
      </c>
      <c r="F1619" s="2031">
        <v>258.0</v>
      </c>
      <c r="G1619" s="2031">
        <v>259.0</v>
      </c>
      <c r="H1619" s="2031">
        <v>259.0</v>
      </c>
    </row>
    <row r="1620">
      <c r="B1620" s="2031">
        <v>1618.0</v>
      </c>
      <c r="C1620" s="2031">
        <v>194.0</v>
      </c>
      <c r="D1620" s="2031">
        <v>388.0</v>
      </c>
      <c r="E1620" s="2031">
        <v>259.0</v>
      </c>
      <c r="F1620" s="2031">
        <v>259.0</v>
      </c>
      <c r="G1620" s="2031">
        <v>259.0</v>
      </c>
      <c r="H1620" s="2031">
        <v>259.0</v>
      </c>
    </row>
    <row r="1621">
      <c r="B1621" s="2031">
        <v>1619.0</v>
      </c>
      <c r="C1621" s="2031">
        <v>194.0</v>
      </c>
      <c r="D1621" s="2031">
        <v>389.0</v>
      </c>
      <c r="E1621" s="2031">
        <v>259.0</v>
      </c>
      <c r="F1621" s="2031">
        <v>259.0</v>
      </c>
      <c r="G1621" s="2031">
        <v>259.0</v>
      </c>
      <c r="H1621" s="2031">
        <v>259.0</v>
      </c>
    </row>
    <row r="1622">
      <c r="B1622" s="2031">
        <v>1620.0</v>
      </c>
      <c r="C1622" s="2031">
        <v>195.0</v>
      </c>
      <c r="D1622" s="2031">
        <v>389.0</v>
      </c>
      <c r="E1622" s="2031">
        <v>259.0</v>
      </c>
      <c r="F1622" s="2031">
        <v>259.0</v>
      </c>
      <c r="G1622" s="2031">
        <v>259.0</v>
      </c>
      <c r="H1622" s="2031">
        <v>259.0</v>
      </c>
    </row>
    <row r="1623">
      <c r="B1623" s="2031">
        <v>1621.0</v>
      </c>
      <c r="C1623" s="2031">
        <v>194.0</v>
      </c>
      <c r="D1623" s="2031">
        <v>389.0</v>
      </c>
      <c r="E1623" s="2031">
        <v>259.0</v>
      </c>
      <c r="F1623" s="2031">
        <v>259.0</v>
      </c>
      <c r="G1623" s="2031">
        <v>260.0</v>
      </c>
      <c r="H1623" s="2031">
        <v>260.0</v>
      </c>
    </row>
    <row r="1624">
      <c r="B1624" s="2031">
        <v>1622.0</v>
      </c>
      <c r="C1624" s="2031">
        <v>195.0</v>
      </c>
      <c r="D1624" s="2031">
        <v>389.0</v>
      </c>
      <c r="E1624" s="2031">
        <v>259.0</v>
      </c>
      <c r="F1624" s="2031">
        <v>259.0</v>
      </c>
      <c r="G1624" s="2031">
        <v>260.0</v>
      </c>
      <c r="H1624" s="2031">
        <v>260.0</v>
      </c>
    </row>
    <row r="1625">
      <c r="B1625" s="2031">
        <v>1623.0</v>
      </c>
      <c r="C1625" s="2031">
        <v>194.0</v>
      </c>
      <c r="D1625" s="2031">
        <v>389.0</v>
      </c>
      <c r="E1625" s="2031">
        <v>260.0</v>
      </c>
      <c r="F1625" s="2031">
        <v>260.0</v>
      </c>
      <c r="G1625" s="2031">
        <v>260.0</v>
      </c>
      <c r="H1625" s="2031">
        <v>260.0</v>
      </c>
    </row>
    <row r="1626">
      <c r="B1626" s="2031">
        <v>1624.0</v>
      </c>
      <c r="C1626" s="2031">
        <v>195.0</v>
      </c>
      <c r="D1626" s="2031">
        <v>389.0</v>
      </c>
      <c r="E1626" s="2031">
        <v>260.0</v>
      </c>
      <c r="F1626" s="2031">
        <v>260.0</v>
      </c>
      <c r="G1626" s="2031">
        <v>260.0</v>
      </c>
      <c r="H1626" s="2031">
        <v>260.0</v>
      </c>
    </row>
    <row r="1627">
      <c r="B1627" s="2031">
        <v>1625.0</v>
      </c>
      <c r="C1627" s="2031">
        <v>195.0</v>
      </c>
      <c r="D1627" s="2031">
        <v>390.0</v>
      </c>
      <c r="E1627" s="2031">
        <v>260.0</v>
      </c>
      <c r="F1627" s="2031">
        <v>260.0</v>
      </c>
      <c r="G1627" s="2031">
        <v>260.0</v>
      </c>
      <c r="H1627" s="2031">
        <v>260.0</v>
      </c>
    </row>
    <row r="1628">
      <c r="B1628" s="2031">
        <v>1626.0</v>
      </c>
      <c r="C1628" s="2031">
        <v>195.0</v>
      </c>
      <c r="D1628" s="2031">
        <v>391.0</v>
      </c>
      <c r="E1628" s="2031">
        <v>260.0</v>
      </c>
      <c r="F1628" s="2031">
        <v>260.0</v>
      </c>
      <c r="G1628" s="2031">
        <v>260.0</v>
      </c>
      <c r="H1628" s="2031">
        <v>260.0</v>
      </c>
    </row>
    <row r="1629">
      <c r="B1629" s="2031">
        <v>1627.0</v>
      </c>
      <c r="C1629" s="2031">
        <v>196.0</v>
      </c>
      <c r="D1629" s="2031">
        <v>391.0</v>
      </c>
      <c r="E1629" s="2031">
        <v>260.0</v>
      </c>
      <c r="F1629" s="2031">
        <v>260.0</v>
      </c>
      <c r="G1629" s="2031">
        <v>260.0</v>
      </c>
      <c r="H1629" s="2031">
        <v>260.0</v>
      </c>
    </row>
    <row r="1630">
      <c r="B1630" s="2031">
        <v>1628.0</v>
      </c>
      <c r="C1630" s="2031">
        <v>195.0</v>
      </c>
      <c r="D1630" s="2031">
        <v>391.0</v>
      </c>
      <c r="E1630" s="2031">
        <v>260.0</v>
      </c>
      <c r="F1630" s="2031">
        <v>260.0</v>
      </c>
      <c r="G1630" s="2031">
        <v>261.0</v>
      </c>
      <c r="H1630" s="2031">
        <v>261.0</v>
      </c>
    </row>
    <row r="1631">
      <c r="B1631" s="2031">
        <v>1629.0</v>
      </c>
      <c r="C1631" s="2031">
        <v>196.0</v>
      </c>
      <c r="D1631" s="2031">
        <v>391.0</v>
      </c>
      <c r="E1631" s="2031">
        <v>260.0</v>
      </c>
      <c r="F1631" s="2031">
        <v>260.0</v>
      </c>
      <c r="G1631" s="2031">
        <v>261.0</v>
      </c>
      <c r="H1631" s="2031">
        <v>261.0</v>
      </c>
    </row>
    <row r="1632">
      <c r="B1632" s="2031">
        <v>1630.0</v>
      </c>
      <c r="C1632" s="2031">
        <v>195.0</v>
      </c>
      <c r="D1632" s="2031">
        <v>391.0</v>
      </c>
      <c r="E1632" s="2031">
        <v>261.0</v>
      </c>
      <c r="F1632" s="2031">
        <v>261.0</v>
      </c>
      <c r="G1632" s="2031">
        <v>261.0</v>
      </c>
      <c r="H1632" s="2031">
        <v>261.0</v>
      </c>
    </row>
    <row r="1633">
      <c r="B1633" s="2031">
        <v>1631.0</v>
      </c>
      <c r="C1633" s="2031">
        <v>196.0</v>
      </c>
      <c r="D1633" s="2031">
        <v>391.0</v>
      </c>
      <c r="E1633" s="2031">
        <v>261.0</v>
      </c>
      <c r="F1633" s="2031">
        <v>261.0</v>
      </c>
      <c r="G1633" s="2031">
        <v>261.0</v>
      </c>
      <c r="H1633" s="2031">
        <v>261.0</v>
      </c>
    </row>
    <row r="1634">
      <c r="B1634" s="2031">
        <v>1632.0</v>
      </c>
      <c r="C1634" s="2031">
        <v>196.0</v>
      </c>
      <c r="D1634" s="2031">
        <v>392.0</v>
      </c>
      <c r="E1634" s="2031">
        <v>261.0</v>
      </c>
      <c r="F1634" s="2031">
        <v>261.0</v>
      </c>
      <c r="G1634" s="2031">
        <v>261.0</v>
      </c>
      <c r="H1634" s="2031">
        <v>261.0</v>
      </c>
    </row>
    <row r="1635">
      <c r="B1635" s="2031">
        <v>1633.0</v>
      </c>
      <c r="C1635" s="2031">
        <v>196.0</v>
      </c>
      <c r="D1635" s="2031">
        <v>391.0</v>
      </c>
      <c r="E1635" s="2031">
        <v>261.0</v>
      </c>
      <c r="F1635" s="2031">
        <v>261.0</v>
      </c>
      <c r="G1635" s="2031">
        <v>262.0</v>
      </c>
      <c r="H1635" s="2031">
        <v>262.0</v>
      </c>
    </row>
    <row r="1636">
      <c r="B1636" s="2031">
        <v>1634.0</v>
      </c>
      <c r="C1636" s="2031">
        <v>196.0</v>
      </c>
      <c r="D1636" s="2031">
        <v>392.0</v>
      </c>
      <c r="E1636" s="2031">
        <v>261.0</v>
      </c>
      <c r="F1636" s="2031">
        <v>261.0</v>
      </c>
      <c r="G1636" s="2031">
        <v>262.0</v>
      </c>
      <c r="H1636" s="2031">
        <v>262.0</v>
      </c>
    </row>
    <row r="1637">
      <c r="B1637" s="2031">
        <v>1635.0</v>
      </c>
      <c r="C1637" s="2031">
        <v>196.0</v>
      </c>
      <c r="D1637" s="2031">
        <v>393.0</v>
      </c>
      <c r="E1637" s="2031">
        <v>261.0</v>
      </c>
      <c r="F1637" s="2031">
        <v>261.0</v>
      </c>
      <c r="G1637" s="2031">
        <v>262.0</v>
      </c>
      <c r="H1637" s="2031">
        <v>262.0</v>
      </c>
    </row>
    <row r="1638">
      <c r="B1638" s="2031">
        <v>1636.0</v>
      </c>
      <c r="C1638" s="2031">
        <v>196.0</v>
      </c>
      <c r="D1638" s="2031">
        <v>392.0</v>
      </c>
      <c r="E1638" s="2031">
        <v>262.0</v>
      </c>
      <c r="F1638" s="2031">
        <v>262.0</v>
      </c>
      <c r="G1638" s="2031">
        <v>262.0</v>
      </c>
      <c r="H1638" s="2031">
        <v>262.0</v>
      </c>
    </row>
    <row r="1639">
      <c r="B1639" s="2031">
        <v>1637.0</v>
      </c>
      <c r="C1639" s="2031">
        <v>196.0</v>
      </c>
      <c r="D1639" s="2031">
        <v>393.0</v>
      </c>
      <c r="E1639" s="2031">
        <v>262.0</v>
      </c>
      <c r="F1639" s="2031">
        <v>262.0</v>
      </c>
      <c r="G1639" s="2031">
        <v>262.0</v>
      </c>
      <c r="H1639" s="2031">
        <v>262.0</v>
      </c>
    </row>
    <row r="1640">
      <c r="B1640" s="2031">
        <v>1638.0</v>
      </c>
      <c r="C1640" s="2031">
        <v>197.0</v>
      </c>
      <c r="D1640" s="2031">
        <v>393.0</v>
      </c>
      <c r="E1640" s="2031">
        <v>262.0</v>
      </c>
      <c r="F1640" s="2031">
        <v>262.0</v>
      </c>
      <c r="G1640" s="2031">
        <v>262.0</v>
      </c>
      <c r="H1640" s="2031">
        <v>262.0</v>
      </c>
    </row>
    <row r="1641">
      <c r="B1641" s="2031">
        <v>1639.0</v>
      </c>
      <c r="C1641" s="2031">
        <v>197.0</v>
      </c>
      <c r="D1641" s="2031">
        <v>394.0</v>
      </c>
      <c r="E1641" s="2031">
        <v>262.0</v>
      </c>
      <c r="F1641" s="2031">
        <v>262.0</v>
      </c>
      <c r="G1641" s="2031">
        <v>262.0</v>
      </c>
      <c r="H1641" s="2031">
        <v>262.0</v>
      </c>
    </row>
    <row r="1642">
      <c r="B1642" s="2031">
        <v>1640.0</v>
      </c>
      <c r="C1642" s="2031">
        <v>197.0</v>
      </c>
      <c r="D1642" s="2031">
        <v>393.0</v>
      </c>
      <c r="E1642" s="2031">
        <v>262.0</v>
      </c>
      <c r="F1642" s="2031">
        <v>262.0</v>
      </c>
      <c r="G1642" s="2031">
        <v>263.0</v>
      </c>
      <c r="H1642" s="2031">
        <v>263.0</v>
      </c>
    </row>
    <row r="1643">
      <c r="B1643" s="2031">
        <v>1641.0</v>
      </c>
      <c r="C1643" s="2031">
        <v>197.0</v>
      </c>
      <c r="D1643" s="2031">
        <v>394.0</v>
      </c>
      <c r="E1643" s="2031">
        <v>262.0</v>
      </c>
      <c r="F1643" s="2031">
        <v>262.0</v>
      </c>
      <c r="G1643" s="2031">
        <v>263.0</v>
      </c>
      <c r="H1643" s="2031">
        <v>263.0</v>
      </c>
    </row>
    <row r="1644">
      <c r="B1644" s="2031">
        <v>1642.0</v>
      </c>
      <c r="C1644" s="2031">
        <v>197.0</v>
      </c>
      <c r="D1644" s="2031">
        <v>395.0</v>
      </c>
      <c r="E1644" s="2031">
        <v>262.0</v>
      </c>
      <c r="F1644" s="2031">
        <v>262.0</v>
      </c>
      <c r="G1644" s="2031">
        <v>263.0</v>
      </c>
      <c r="H1644" s="2031">
        <v>263.0</v>
      </c>
    </row>
    <row r="1645">
      <c r="B1645" s="2031">
        <v>1643.0</v>
      </c>
      <c r="C1645" s="2031">
        <v>197.0</v>
      </c>
      <c r="D1645" s="2031">
        <v>394.0</v>
      </c>
      <c r="E1645" s="2031">
        <v>263.0</v>
      </c>
      <c r="F1645" s="2031">
        <v>263.0</v>
      </c>
      <c r="G1645" s="2031">
        <v>263.0</v>
      </c>
      <c r="H1645" s="2031">
        <v>263.0</v>
      </c>
    </row>
    <row r="1646">
      <c r="B1646" s="2031">
        <v>1644.0</v>
      </c>
      <c r="C1646" s="2031">
        <v>197.0</v>
      </c>
      <c r="D1646" s="2031">
        <v>395.0</v>
      </c>
      <c r="E1646" s="2031">
        <v>263.0</v>
      </c>
      <c r="F1646" s="2031">
        <v>263.0</v>
      </c>
      <c r="G1646" s="2031">
        <v>263.0</v>
      </c>
      <c r="H1646" s="2031">
        <v>263.0</v>
      </c>
    </row>
    <row r="1647">
      <c r="B1647" s="2031">
        <v>1645.0</v>
      </c>
      <c r="C1647" s="2031">
        <v>198.0</v>
      </c>
      <c r="D1647" s="2031">
        <v>395.0</v>
      </c>
      <c r="E1647" s="2031">
        <v>263.0</v>
      </c>
      <c r="F1647" s="2031">
        <v>263.0</v>
      </c>
      <c r="G1647" s="2031">
        <v>263.0</v>
      </c>
      <c r="H1647" s="2031">
        <v>263.0</v>
      </c>
    </row>
    <row r="1648">
      <c r="B1648" s="2031">
        <v>1646.0</v>
      </c>
      <c r="C1648" s="2031">
        <v>197.0</v>
      </c>
      <c r="D1648" s="2031">
        <v>395.0</v>
      </c>
      <c r="E1648" s="2031">
        <v>263.0</v>
      </c>
      <c r="F1648" s="2031">
        <v>263.0</v>
      </c>
      <c r="G1648" s="2031">
        <v>264.0</v>
      </c>
      <c r="H1648" s="2031">
        <v>264.0</v>
      </c>
    </row>
    <row r="1649">
      <c r="B1649" s="2031">
        <v>1647.0</v>
      </c>
      <c r="C1649" s="2031">
        <v>198.0</v>
      </c>
      <c r="D1649" s="2031">
        <v>395.0</v>
      </c>
      <c r="E1649" s="2031">
        <v>263.0</v>
      </c>
      <c r="F1649" s="2031">
        <v>263.0</v>
      </c>
      <c r="G1649" s="2031">
        <v>264.0</v>
      </c>
      <c r="H1649" s="2031">
        <v>264.0</v>
      </c>
    </row>
    <row r="1650">
      <c r="B1650" s="2031">
        <v>1648.0</v>
      </c>
      <c r="C1650" s="2031">
        <v>197.0</v>
      </c>
      <c r="D1650" s="2031">
        <v>395.0</v>
      </c>
      <c r="E1650" s="2031">
        <v>264.0</v>
      </c>
      <c r="F1650" s="2031">
        <v>264.0</v>
      </c>
      <c r="G1650" s="2031">
        <v>264.0</v>
      </c>
      <c r="H1650" s="2031">
        <v>264.0</v>
      </c>
    </row>
    <row r="1651">
      <c r="B1651" s="2031">
        <v>1649.0</v>
      </c>
      <c r="C1651" s="2031">
        <v>198.0</v>
      </c>
      <c r="D1651" s="2031">
        <v>395.0</v>
      </c>
      <c r="E1651" s="2031">
        <v>264.0</v>
      </c>
      <c r="F1651" s="2031">
        <v>264.0</v>
      </c>
      <c r="G1651" s="2031">
        <v>264.0</v>
      </c>
      <c r="H1651" s="2031">
        <v>264.0</v>
      </c>
    </row>
    <row r="1652">
      <c r="B1652" s="2031">
        <v>1650.0</v>
      </c>
      <c r="C1652" s="2031">
        <v>198.0</v>
      </c>
      <c r="D1652" s="2031">
        <v>396.0</v>
      </c>
      <c r="E1652" s="2031">
        <v>264.0</v>
      </c>
      <c r="F1652" s="2031">
        <v>264.0</v>
      </c>
      <c r="G1652" s="2031">
        <v>264.0</v>
      </c>
      <c r="H1652" s="2031">
        <v>264.0</v>
      </c>
    </row>
    <row r="1653">
      <c r="B1653" s="2031">
        <v>1651.0</v>
      </c>
      <c r="C1653" s="2031">
        <v>198.0</v>
      </c>
      <c r="D1653" s="2031">
        <v>397.0</v>
      </c>
      <c r="E1653" s="2031">
        <v>264.0</v>
      </c>
      <c r="F1653" s="2031">
        <v>264.0</v>
      </c>
      <c r="G1653" s="2031">
        <v>264.0</v>
      </c>
      <c r="H1653" s="2031">
        <v>264.0</v>
      </c>
    </row>
    <row r="1654">
      <c r="B1654" s="2031">
        <v>1652.0</v>
      </c>
      <c r="C1654" s="2031">
        <v>199.0</v>
      </c>
      <c r="D1654" s="2031">
        <v>397.0</v>
      </c>
      <c r="E1654" s="2031">
        <v>264.0</v>
      </c>
      <c r="F1654" s="2031">
        <v>264.0</v>
      </c>
      <c r="G1654" s="2031">
        <v>264.0</v>
      </c>
      <c r="H1654" s="2031">
        <v>264.0</v>
      </c>
    </row>
    <row r="1655">
      <c r="B1655" s="2031">
        <v>1653.0</v>
      </c>
      <c r="C1655" s="2031">
        <v>198.0</v>
      </c>
      <c r="D1655" s="2031">
        <v>397.0</v>
      </c>
      <c r="E1655" s="2031">
        <v>264.0</v>
      </c>
      <c r="F1655" s="2031">
        <v>264.0</v>
      </c>
      <c r="G1655" s="2031">
        <v>265.0</v>
      </c>
      <c r="H1655" s="2031">
        <v>265.0</v>
      </c>
    </row>
    <row r="1656">
      <c r="B1656" s="2031">
        <v>1654.0</v>
      </c>
      <c r="C1656" s="2031">
        <v>199.0</v>
      </c>
      <c r="D1656" s="2031">
        <v>397.0</v>
      </c>
      <c r="E1656" s="2031">
        <v>264.0</v>
      </c>
      <c r="F1656" s="2031">
        <v>264.0</v>
      </c>
      <c r="G1656" s="2031">
        <v>265.0</v>
      </c>
      <c r="H1656" s="2031">
        <v>265.0</v>
      </c>
    </row>
    <row r="1657">
      <c r="B1657" s="2031">
        <v>1655.0</v>
      </c>
      <c r="C1657" s="2031">
        <v>198.0</v>
      </c>
      <c r="D1657" s="2031">
        <v>397.0</v>
      </c>
      <c r="E1657" s="2031">
        <v>265.0</v>
      </c>
      <c r="F1657" s="2031">
        <v>265.0</v>
      </c>
      <c r="G1657" s="2031">
        <v>265.0</v>
      </c>
      <c r="H1657" s="2031">
        <v>265.0</v>
      </c>
    </row>
    <row r="1658">
      <c r="B1658" s="2031">
        <v>1656.0</v>
      </c>
      <c r="C1658" s="2031">
        <v>199.0</v>
      </c>
      <c r="D1658" s="2031">
        <v>397.0</v>
      </c>
      <c r="E1658" s="2031">
        <v>265.0</v>
      </c>
      <c r="F1658" s="2031">
        <v>265.0</v>
      </c>
      <c r="G1658" s="2031">
        <v>265.0</v>
      </c>
      <c r="H1658" s="2031">
        <v>265.0</v>
      </c>
    </row>
    <row r="1659">
      <c r="B1659" s="2031">
        <v>1657.0</v>
      </c>
      <c r="C1659" s="2031">
        <v>199.0</v>
      </c>
      <c r="D1659" s="2031">
        <v>398.0</v>
      </c>
      <c r="E1659" s="2031">
        <v>265.0</v>
      </c>
      <c r="F1659" s="2031">
        <v>265.0</v>
      </c>
      <c r="G1659" s="2031">
        <v>265.0</v>
      </c>
      <c r="H1659" s="2031">
        <v>265.0</v>
      </c>
    </row>
    <row r="1660">
      <c r="B1660" s="2031">
        <v>1658.0</v>
      </c>
      <c r="C1660" s="2031">
        <v>199.0</v>
      </c>
      <c r="D1660" s="2031">
        <v>397.0</v>
      </c>
      <c r="E1660" s="2031">
        <v>265.0</v>
      </c>
      <c r="F1660" s="2031">
        <v>265.0</v>
      </c>
      <c r="G1660" s="2031">
        <v>266.0</v>
      </c>
      <c r="H1660" s="2031">
        <v>266.0</v>
      </c>
    </row>
    <row r="1661">
      <c r="B1661" s="2031">
        <v>1659.0</v>
      </c>
      <c r="C1661" s="2031">
        <v>199.0</v>
      </c>
      <c r="D1661" s="2031">
        <v>398.0</v>
      </c>
      <c r="E1661" s="2031">
        <v>265.0</v>
      </c>
      <c r="F1661" s="2031">
        <v>265.0</v>
      </c>
      <c r="G1661" s="2031">
        <v>266.0</v>
      </c>
      <c r="H1661" s="2031">
        <v>266.0</v>
      </c>
    </row>
    <row r="1662">
      <c r="B1662" s="2031">
        <v>1660.0</v>
      </c>
      <c r="C1662" s="2031">
        <v>199.0</v>
      </c>
      <c r="D1662" s="2031">
        <v>399.0</v>
      </c>
      <c r="E1662" s="2031">
        <v>265.0</v>
      </c>
      <c r="F1662" s="2031">
        <v>265.0</v>
      </c>
      <c r="G1662" s="2031">
        <v>266.0</v>
      </c>
      <c r="H1662" s="2031">
        <v>266.0</v>
      </c>
    </row>
    <row r="1663">
      <c r="B1663" s="2031">
        <v>1661.0</v>
      </c>
      <c r="C1663" s="2031">
        <v>199.0</v>
      </c>
      <c r="D1663" s="2031">
        <v>398.0</v>
      </c>
      <c r="E1663" s="2031">
        <v>266.0</v>
      </c>
      <c r="F1663" s="2031">
        <v>266.0</v>
      </c>
      <c r="G1663" s="2031">
        <v>266.0</v>
      </c>
      <c r="H1663" s="2031">
        <v>266.0</v>
      </c>
    </row>
    <row r="1664">
      <c r="B1664" s="2031">
        <v>1662.0</v>
      </c>
      <c r="C1664" s="2031">
        <v>199.0</v>
      </c>
      <c r="D1664" s="2031">
        <v>399.0</v>
      </c>
      <c r="E1664" s="2031">
        <v>266.0</v>
      </c>
      <c r="F1664" s="2031">
        <v>266.0</v>
      </c>
      <c r="G1664" s="2031">
        <v>266.0</v>
      </c>
      <c r="H1664" s="2031">
        <v>266.0</v>
      </c>
    </row>
    <row r="1665">
      <c r="B1665" s="2031">
        <v>1663.0</v>
      </c>
      <c r="C1665" s="2031">
        <v>200.0</v>
      </c>
      <c r="D1665" s="2031">
        <v>399.0</v>
      </c>
      <c r="E1665" s="2031">
        <v>266.0</v>
      </c>
      <c r="F1665" s="2031">
        <v>266.0</v>
      </c>
      <c r="G1665" s="2031">
        <v>266.0</v>
      </c>
      <c r="H1665" s="2031">
        <v>266.0</v>
      </c>
    </row>
    <row r="1666">
      <c r="B1666" s="2031">
        <v>1664.0</v>
      </c>
      <c r="C1666" s="2031">
        <v>200.0</v>
      </c>
      <c r="D1666" s="2031">
        <v>400.0</v>
      </c>
      <c r="E1666" s="2031">
        <v>266.0</v>
      </c>
      <c r="F1666" s="2031">
        <v>266.0</v>
      </c>
      <c r="G1666" s="2031">
        <v>266.0</v>
      </c>
      <c r="H1666" s="2031">
        <v>266.0</v>
      </c>
    </row>
    <row r="1667">
      <c r="B1667" s="2031">
        <v>1665.0</v>
      </c>
      <c r="C1667" s="2031">
        <v>200.0</v>
      </c>
      <c r="D1667" s="2031">
        <v>399.0</v>
      </c>
      <c r="E1667" s="2031">
        <v>266.0</v>
      </c>
      <c r="F1667" s="2031">
        <v>266.0</v>
      </c>
      <c r="G1667" s="2031">
        <v>267.0</v>
      </c>
      <c r="H1667" s="2031">
        <v>267.0</v>
      </c>
    </row>
    <row r="1668">
      <c r="B1668" s="2031">
        <v>1666.0</v>
      </c>
      <c r="C1668" s="2031">
        <v>200.0</v>
      </c>
      <c r="D1668" s="2031">
        <v>400.0</v>
      </c>
      <c r="E1668" s="2031">
        <v>266.0</v>
      </c>
      <c r="F1668" s="2031">
        <v>266.0</v>
      </c>
      <c r="G1668" s="2031">
        <v>267.0</v>
      </c>
      <c r="H1668" s="2031">
        <v>267.0</v>
      </c>
    </row>
    <row r="1669">
      <c r="B1669" s="2031">
        <v>1667.0</v>
      </c>
      <c r="C1669" s="2031">
        <v>200.0</v>
      </c>
      <c r="D1669" s="2031">
        <v>401.0</v>
      </c>
      <c r="E1669" s="2031">
        <v>266.0</v>
      </c>
      <c r="F1669" s="2031">
        <v>266.0</v>
      </c>
      <c r="G1669" s="2031">
        <v>267.0</v>
      </c>
      <c r="H1669" s="2031">
        <v>267.0</v>
      </c>
    </row>
    <row r="1670">
      <c r="B1670" s="2031">
        <v>1668.0</v>
      </c>
      <c r="C1670" s="2031">
        <v>200.0</v>
      </c>
      <c r="D1670" s="2031">
        <v>400.0</v>
      </c>
      <c r="E1670" s="2031">
        <v>267.0</v>
      </c>
      <c r="F1670" s="2031">
        <v>267.0</v>
      </c>
      <c r="G1670" s="2031">
        <v>267.0</v>
      </c>
      <c r="H1670" s="2031">
        <v>267.0</v>
      </c>
    </row>
    <row r="1671">
      <c r="B1671" s="2031">
        <v>1669.0</v>
      </c>
      <c r="C1671" s="2031">
        <v>200.0</v>
      </c>
      <c r="D1671" s="2031">
        <v>401.0</v>
      </c>
      <c r="E1671" s="2031">
        <v>267.0</v>
      </c>
      <c r="F1671" s="2031">
        <v>267.0</v>
      </c>
      <c r="G1671" s="2031">
        <v>267.0</v>
      </c>
      <c r="H1671" s="2031">
        <v>267.0</v>
      </c>
    </row>
    <row r="1672">
      <c r="B1672" s="2031">
        <v>1670.0</v>
      </c>
      <c r="C1672" s="2031">
        <v>201.0</v>
      </c>
      <c r="D1672" s="2031">
        <v>401.0</v>
      </c>
      <c r="E1672" s="2031">
        <v>267.0</v>
      </c>
      <c r="F1672" s="2031">
        <v>267.0</v>
      </c>
      <c r="G1672" s="2031">
        <v>267.0</v>
      </c>
      <c r="H1672" s="2031">
        <v>267.0</v>
      </c>
    </row>
    <row r="1673">
      <c r="B1673" s="2031">
        <v>1671.0</v>
      </c>
      <c r="C1673" s="2031">
        <v>200.0</v>
      </c>
      <c r="D1673" s="2031">
        <v>401.0</v>
      </c>
      <c r="E1673" s="2031">
        <v>267.0</v>
      </c>
      <c r="F1673" s="2031">
        <v>267.0</v>
      </c>
      <c r="G1673" s="2031">
        <v>268.0</v>
      </c>
      <c r="H1673" s="2031">
        <v>268.0</v>
      </c>
    </row>
    <row r="1674">
      <c r="B1674" s="2031">
        <v>1672.0</v>
      </c>
      <c r="C1674" s="2031">
        <v>201.0</v>
      </c>
      <c r="D1674" s="2031">
        <v>401.0</v>
      </c>
      <c r="E1674" s="2031">
        <v>267.0</v>
      </c>
      <c r="F1674" s="2031">
        <v>267.0</v>
      </c>
      <c r="G1674" s="2031">
        <v>268.0</v>
      </c>
      <c r="H1674" s="2031">
        <v>268.0</v>
      </c>
    </row>
    <row r="1675">
      <c r="B1675" s="2031">
        <v>1673.0</v>
      </c>
      <c r="C1675" s="2031">
        <v>200.0</v>
      </c>
      <c r="D1675" s="2031">
        <v>401.0</v>
      </c>
      <c r="E1675" s="2031">
        <v>268.0</v>
      </c>
      <c r="F1675" s="2031">
        <v>268.0</v>
      </c>
      <c r="G1675" s="2031">
        <v>268.0</v>
      </c>
      <c r="H1675" s="2031">
        <v>268.0</v>
      </c>
    </row>
    <row r="1676">
      <c r="B1676" s="2031">
        <v>1674.0</v>
      </c>
      <c r="C1676" s="2031">
        <v>201.0</v>
      </c>
      <c r="D1676" s="2031">
        <v>401.0</v>
      </c>
      <c r="E1676" s="2031">
        <v>268.0</v>
      </c>
      <c r="F1676" s="2031">
        <v>268.0</v>
      </c>
      <c r="G1676" s="2031">
        <v>268.0</v>
      </c>
      <c r="H1676" s="2031">
        <v>268.0</v>
      </c>
    </row>
    <row r="1677">
      <c r="B1677" s="2031">
        <v>1675.0</v>
      </c>
      <c r="C1677" s="2031">
        <v>201.0</v>
      </c>
      <c r="D1677" s="2031">
        <v>402.0</v>
      </c>
      <c r="E1677" s="2031">
        <v>268.0</v>
      </c>
      <c r="F1677" s="2031">
        <v>268.0</v>
      </c>
      <c r="G1677" s="2031">
        <v>268.0</v>
      </c>
      <c r="H1677" s="2031">
        <v>268.0</v>
      </c>
    </row>
    <row r="1678">
      <c r="B1678" s="2031">
        <v>1676.0</v>
      </c>
      <c r="C1678" s="2031">
        <v>201.0</v>
      </c>
      <c r="D1678" s="2031">
        <v>403.0</v>
      </c>
      <c r="E1678" s="2031">
        <v>268.0</v>
      </c>
      <c r="F1678" s="2031">
        <v>268.0</v>
      </c>
      <c r="G1678" s="2031">
        <v>268.0</v>
      </c>
      <c r="H1678" s="2031">
        <v>268.0</v>
      </c>
    </row>
    <row r="1679">
      <c r="B1679" s="2031">
        <v>1677.0</v>
      </c>
      <c r="C1679" s="2031">
        <v>202.0</v>
      </c>
      <c r="D1679" s="2031">
        <v>403.0</v>
      </c>
      <c r="E1679" s="2031">
        <v>268.0</v>
      </c>
      <c r="F1679" s="2031">
        <v>268.0</v>
      </c>
      <c r="G1679" s="2031">
        <v>268.0</v>
      </c>
      <c r="H1679" s="2031">
        <v>268.0</v>
      </c>
    </row>
    <row r="1680">
      <c r="B1680" s="2031">
        <v>1678.0</v>
      </c>
      <c r="C1680" s="2031">
        <v>201.0</v>
      </c>
      <c r="D1680" s="2031">
        <v>403.0</v>
      </c>
      <c r="E1680" s="2031">
        <v>268.0</v>
      </c>
      <c r="F1680" s="2031">
        <v>268.0</v>
      </c>
      <c r="G1680" s="2031">
        <v>269.0</v>
      </c>
      <c r="H1680" s="2031">
        <v>269.0</v>
      </c>
    </row>
    <row r="1681">
      <c r="B1681" s="2031">
        <v>1679.0</v>
      </c>
      <c r="C1681" s="2031">
        <v>202.0</v>
      </c>
      <c r="D1681" s="2031">
        <v>403.0</v>
      </c>
      <c r="E1681" s="2031">
        <v>268.0</v>
      </c>
      <c r="F1681" s="2031">
        <v>268.0</v>
      </c>
      <c r="G1681" s="2031">
        <v>269.0</v>
      </c>
      <c r="H1681" s="2031">
        <v>269.0</v>
      </c>
    </row>
    <row r="1682">
      <c r="B1682" s="2031">
        <v>1680.0</v>
      </c>
      <c r="C1682" s="2031">
        <v>201.0</v>
      </c>
      <c r="D1682" s="2031">
        <v>403.0</v>
      </c>
      <c r="E1682" s="2031">
        <v>269.0</v>
      </c>
      <c r="F1682" s="2031">
        <v>269.0</v>
      </c>
      <c r="G1682" s="2031">
        <v>269.0</v>
      </c>
      <c r="H1682" s="2031">
        <v>269.0</v>
      </c>
    </row>
    <row r="1683">
      <c r="B1683" s="2031">
        <v>1681.0</v>
      </c>
      <c r="C1683" s="2031">
        <v>202.0</v>
      </c>
      <c r="D1683" s="2031">
        <v>403.0</v>
      </c>
      <c r="E1683" s="2031">
        <v>269.0</v>
      </c>
      <c r="F1683" s="2031">
        <v>269.0</v>
      </c>
      <c r="G1683" s="2031">
        <v>269.0</v>
      </c>
      <c r="H1683" s="2031">
        <v>269.0</v>
      </c>
    </row>
    <row r="1684">
      <c r="B1684" s="2031">
        <v>1682.0</v>
      </c>
      <c r="C1684" s="2031">
        <v>202.0</v>
      </c>
      <c r="D1684" s="2031">
        <v>404.0</v>
      </c>
      <c r="E1684" s="2031">
        <v>269.0</v>
      </c>
      <c r="F1684" s="2031">
        <v>269.0</v>
      </c>
      <c r="G1684" s="2031">
        <v>269.0</v>
      </c>
      <c r="H1684" s="2031">
        <v>269.0</v>
      </c>
    </row>
    <row r="1685">
      <c r="B1685" s="2031">
        <v>1683.0</v>
      </c>
      <c r="C1685" s="2031">
        <v>202.0</v>
      </c>
      <c r="D1685" s="2031">
        <v>403.0</v>
      </c>
      <c r="E1685" s="2031">
        <v>269.0</v>
      </c>
      <c r="F1685" s="2031">
        <v>269.0</v>
      </c>
      <c r="G1685" s="2031">
        <v>270.0</v>
      </c>
      <c r="H1685" s="2031">
        <v>270.0</v>
      </c>
    </row>
    <row r="1686">
      <c r="B1686" s="2031">
        <v>1684.0</v>
      </c>
      <c r="C1686" s="2031">
        <v>202.0</v>
      </c>
      <c r="D1686" s="2031">
        <v>404.0</v>
      </c>
      <c r="E1686" s="2031">
        <v>269.0</v>
      </c>
      <c r="F1686" s="2031">
        <v>269.0</v>
      </c>
      <c r="G1686" s="2031">
        <v>270.0</v>
      </c>
      <c r="H1686" s="2031">
        <v>270.0</v>
      </c>
    </row>
    <row r="1687">
      <c r="B1687" s="2031">
        <v>1685.0</v>
      </c>
      <c r="C1687" s="2031">
        <v>202.0</v>
      </c>
      <c r="D1687" s="2031">
        <v>405.0</v>
      </c>
      <c r="E1687" s="2031">
        <v>269.0</v>
      </c>
      <c r="F1687" s="2031">
        <v>269.0</v>
      </c>
      <c r="G1687" s="2031">
        <v>270.0</v>
      </c>
      <c r="H1687" s="2031">
        <v>270.0</v>
      </c>
    </row>
    <row r="1688">
      <c r="B1688" s="2031">
        <v>1686.0</v>
      </c>
      <c r="C1688" s="2031">
        <v>202.0</v>
      </c>
      <c r="D1688" s="2031">
        <v>404.0</v>
      </c>
      <c r="E1688" s="2031">
        <v>270.0</v>
      </c>
      <c r="F1688" s="2031">
        <v>270.0</v>
      </c>
      <c r="G1688" s="2031">
        <v>270.0</v>
      </c>
      <c r="H1688" s="2031">
        <v>270.0</v>
      </c>
    </row>
    <row r="1689">
      <c r="B1689" s="2031">
        <v>1687.0</v>
      </c>
      <c r="C1689" s="2031">
        <v>202.0</v>
      </c>
      <c r="D1689" s="2031">
        <v>405.0</v>
      </c>
      <c r="E1689" s="2031">
        <v>270.0</v>
      </c>
      <c r="F1689" s="2031">
        <v>270.0</v>
      </c>
      <c r="G1689" s="2031">
        <v>270.0</v>
      </c>
      <c r="H1689" s="2031">
        <v>270.0</v>
      </c>
    </row>
    <row r="1690">
      <c r="B1690" s="2031">
        <v>1688.0</v>
      </c>
      <c r="C1690" s="2031">
        <v>203.0</v>
      </c>
      <c r="D1690" s="2031">
        <v>405.0</v>
      </c>
      <c r="E1690" s="2031">
        <v>270.0</v>
      </c>
      <c r="F1690" s="2031">
        <v>270.0</v>
      </c>
      <c r="G1690" s="2031">
        <v>270.0</v>
      </c>
      <c r="H1690" s="2031">
        <v>270.0</v>
      </c>
    </row>
    <row r="1691">
      <c r="B1691" s="2031">
        <v>1689.0</v>
      </c>
      <c r="C1691" s="2031">
        <v>203.0</v>
      </c>
      <c r="D1691" s="2031">
        <v>406.0</v>
      </c>
      <c r="E1691" s="2031">
        <v>270.0</v>
      </c>
      <c r="F1691" s="2031">
        <v>270.0</v>
      </c>
      <c r="G1691" s="2031">
        <v>270.0</v>
      </c>
      <c r="H1691" s="2031">
        <v>270.0</v>
      </c>
    </row>
    <row r="1692">
      <c r="B1692" s="2031">
        <v>1690.0</v>
      </c>
      <c r="C1692" s="2031">
        <v>203.0</v>
      </c>
      <c r="D1692" s="2031">
        <v>405.0</v>
      </c>
      <c r="E1692" s="2031">
        <v>270.0</v>
      </c>
      <c r="F1692" s="2031">
        <v>270.0</v>
      </c>
      <c r="G1692" s="2031">
        <v>271.0</v>
      </c>
      <c r="H1692" s="2031">
        <v>271.0</v>
      </c>
    </row>
    <row r="1693">
      <c r="B1693" s="2031">
        <v>1691.0</v>
      </c>
      <c r="C1693" s="2031">
        <v>203.0</v>
      </c>
      <c r="D1693" s="2031">
        <v>406.0</v>
      </c>
      <c r="E1693" s="2031">
        <v>270.0</v>
      </c>
      <c r="F1693" s="2031">
        <v>270.0</v>
      </c>
      <c r="G1693" s="2031">
        <v>271.0</v>
      </c>
      <c r="H1693" s="2031">
        <v>271.0</v>
      </c>
    </row>
    <row r="1694">
      <c r="B1694" s="2031">
        <v>1692.0</v>
      </c>
      <c r="C1694" s="2031">
        <v>203.0</v>
      </c>
      <c r="D1694" s="2031">
        <v>407.0</v>
      </c>
      <c r="E1694" s="2031">
        <v>270.0</v>
      </c>
      <c r="F1694" s="2031">
        <v>270.0</v>
      </c>
      <c r="G1694" s="2031">
        <v>271.0</v>
      </c>
      <c r="H1694" s="2031">
        <v>271.0</v>
      </c>
    </row>
    <row r="1695">
      <c r="B1695" s="2031">
        <v>1693.0</v>
      </c>
      <c r="C1695" s="2031">
        <v>203.0</v>
      </c>
      <c r="D1695" s="2031">
        <v>406.0</v>
      </c>
      <c r="E1695" s="2031">
        <v>271.0</v>
      </c>
      <c r="F1695" s="2031">
        <v>271.0</v>
      </c>
      <c r="G1695" s="2031">
        <v>271.0</v>
      </c>
      <c r="H1695" s="2031">
        <v>271.0</v>
      </c>
    </row>
    <row r="1696">
      <c r="B1696" s="2031">
        <v>1694.0</v>
      </c>
      <c r="C1696" s="2031">
        <v>203.0</v>
      </c>
      <c r="D1696" s="2031">
        <v>407.0</v>
      </c>
      <c r="E1696" s="2031">
        <v>271.0</v>
      </c>
      <c r="F1696" s="2031">
        <v>271.0</v>
      </c>
      <c r="G1696" s="2031">
        <v>271.0</v>
      </c>
      <c r="H1696" s="2031">
        <v>271.0</v>
      </c>
    </row>
    <row r="1697">
      <c r="B1697" s="2031">
        <v>1695.0</v>
      </c>
      <c r="C1697" s="2031">
        <v>204.0</v>
      </c>
      <c r="D1697" s="2031">
        <v>407.0</v>
      </c>
      <c r="E1697" s="2031">
        <v>271.0</v>
      </c>
      <c r="F1697" s="2031">
        <v>271.0</v>
      </c>
      <c r="G1697" s="2031">
        <v>271.0</v>
      </c>
      <c r="H1697" s="2031">
        <v>271.0</v>
      </c>
    </row>
    <row r="1698">
      <c r="B1698" s="2031">
        <v>1696.0</v>
      </c>
      <c r="C1698" s="2031">
        <v>203.0</v>
      </c>
      <c r="D1698" s="2031">
        <v>407.0</v>
      </c>
      <c r="E1698" s="2031">
        <v>271.0</v>
      </c>
      <c r="F1698" s="2031">
        <v>271.0</v>
      </c>
      <c r="G1698" s="2031">
        <v>272.0</v>
      </c>
      <c r="H1698" s="2031">
        <v>272.0</v>
      </c>
    </row>
    <row r="1699">
      <c r="B1699" s="2031">
        <v>1697.0</v>
      </c>
      <c r="C1699" s="2031">
        <v>204.0</v>
      </c>
      <c r="D1699" s="2031">
        <v>407.0</v>
      </c>
      <c r="E1699" s="2031">
        <v>271.0</v>
      </c>
      <c r="F1699" s="2031">
        <v>271.0</v>
      </c>
      <c r="G1699" s="2031">
        <v>272.0</v>
      </c>
      <c r="H1699" s="2031">
        <v>272.0</v>
      </c>
    </row>
    <row r="1700">
      <c r="B1700" s="2031">
        <v>1698.0</v>
      </c>
      <c r="C1700" s="2031">
        <v>203.0</v>
      </c>
      <c r="D1700" s="2031">
        <v>407.0</v>
      </c>
      <c r="E1700" s="2031">
        <v>272.0</v>
      </c>
      <c r="F1700" s="2031">
        <v>272.0</v>
      </c>
      <c r="G1700" s="2031">
        <v>272.0</v>
      </c>
      <c r="H1700" s="2031">
        <v>272.0</v>
      </c>
    </row>
    <row r="1701">
      <c r="B1701" s="2031">
        <v>1699.0</v>
      </c>
      <c r="C1701" s="2031">
        <v>204.0</v>
      </c>
      <c r="D1701" s="2031">
        <v>407.0</v>
      </c>
      <c r="E1701" s="2031">
        <v>272.0</v>
      </c>
      <c r="F1701" s="2031">
        <v>272.0</v>
      </c>
      <c r="G1701" s="2031">
        <v>272.0</v>
      </c>
      <c r="H1701" s="2031">
        <v>272.0</v>
      </c>
    </row>
    <row r="1702">
      <c r="B1702" s="2031">
        <v>1700.0</v>
      </c>
      <c r="C1702" s="2031">
        <v>204.0</v>
      </c>
      <c r="D1702" s="2031">
        <v>408.0</v>
      </c>
      <c r="E1702" s="2031">
        <v>272.0</v>
      </c>
      <c r="F1702" s="2031">
        <v>272.0</v>
      </c>
      <c r="G1702" s="2031">
        <v>272.0</v>
      </c>
      <c r="H1702" s="2031">
        <v>272.0</v>
      </c>
    </row>
    <row r="1703">
      <c r="B1703" s="2031">
        <v>1701.0</v>
      </c>
      <c r="C1703" s="2031">
        <v>204.0</v>
      </c>
      <c r="D1703" s="2031">
        <v>409.0</v>
      </c>
      <c r="E1703" s="2031">
        <v>272.0</v>
      </c>
      <c r="F1703" s="2031">
        <v>272.0</v>
      </c>
      <c r="G1703" s="2031">
        <v>272.0</v>
      </c>
      <c r="H1703" s="2031">
        <v>272.0</v>
      </c>
    </row>
    <row r="1704">
      <c r="B1704" s="2031">
        <v>1702.0</v>
      </c>
      <c r="C1704" s="2031">
        <v>205.0</v>
      </c>
      <c r="D1704" s="2031">
        <v>409.0</v>
      </c>
      <c r="E1704" s="2031">
        <v>272.0</v>
      </c>
      <c r="F1704" s="2031">
        <v>272.0</v>
      </c>
      <c r="G1704" s="2031">
        <v>272.0</v>
      </c>
      <c r="H1704" s="2031">
        <v>272.0</v>
      </c>
    </row>
    <row r="1705">
      <c r="B1705" s="2031">
        <v>1703.0</v>
      </c>
      <c r="C1705" s="2031">
        <v>204.0</v>
      </c>
      <c r="D1705" s="2031">
        <v>409.0</v>
      </c>
      <c r="E1705" s="2031">
        <v>272.0</v>
      </c>
      <c r="F1705" s="2031">
        <v>272.0</v>
      </c>
      <c r="G1705" s="2031">
        <v>273.0</v>
      </c>
      <c r="H1705" s="2031">
        <v>273.0</v>
      </c>
    </row>
    <row r="1706">
      <c r="B1706" s="2031">
        <v>1704.0</v>
      </c>
      <c r="C1706" s="2031">
        <v>205.0</v>
      </c>
      <c r="D1706" s="2031">
        <v>409.0</v>
      </c>
      <c r="E1706" s="2031">
        <v>272.0</v>
      </c>
      <c r="F1706" s="2031">
        <v>272.0</v>
      </c>
      <c r="G1706" s="2031">
        <v>273.0</v>
      </c>
      <c r="H1706" s="2031">
        <v>273.0</v>
      </c>
    </row>
    <row r="1707">
      <c r="B1707" s="2031">
        <v>1705.0</v>
      </c>
      <c r="C1707" s="2031">
        <v>204.0</v>
      </c>
      <c r="D1707" s="2031">
        <v>409.0</v>
      </c>
      <c r="E1707" s="2031">
        <v>273.0</v>
      </c>
      <c r="F1707" s="2031">
        <v>273.0</v>
      </c>
      <c r="G1707" s="2031">
        <v>273.0</v>
      </c>
      <c r="H1707" s="2031">
        <v>273.0</v>
      </c>
    </row>
    <row r="1708">
      <c r="B1708" s="2031">
        <v>1706.0</v>
      </c>
      <c r="C1708" s="2031">
        <v>205.0</v>
      </c>
      <c r="D1708" s="2031">
        <v>409.0</v>
      </c>
      <c r="E1708" s="2031">
        <v>273.0</v>
      </c>
      <c r="F1708" s="2031">
        <v>273.0</v>
      </c>
      <c r="G1708" s="2031">
        <v>273.0</v>
      </c>
      <c r="H1708" s="2031">
        <v>273.0</v>
      </c>
    </row>
    <row r="1709">
      <c r="B1709" s="2031">
        <v>1707.0</v>
      </c>
      <c r="C1709" s="2031">
        <v>205.0</v>
      </c>
      <c r="D1709" s="2031">
        <v>410.0</v>
      </c>
      <c r="E1709" s="2031">
        <v>273.0</v>
      </c>
      <c r="F1709" s="2031">
        <v>273.0</v>
      </c>
      <c r="G1709" s="2031">
        <v>273.0</v>
      </c>
      <c r="H1709" s="2031">
        <v>273.0</v>
      </c>
    </row>
    <row r="1710">
      <c r="B1710" s="2031">
        <v>1708.0</v>
      </c>
      <c r="C1710" s="2031">
        <v>205.0</v>
      </c>
      <c r="D1710" s="2031">
        <v>409.0</v>
      </c>
      <c r="E1710" s="2031">
        <v>273.0</v>
      </c>
      <c r="F1710" s="2031">
        <v>273.0</v>
      </c>
      <c r="G1710" s="2031">
        <v>274.0</v>
      </c>
      <c r="H1710" s="2031">
        <v>274.0</v>
      </c>
    </row>
    <row r="1711">
      <c r="B1711" s="2031">
        <v>1709.0</v>
      </c>
      <c r="C1711" s="2031">
        <v>205.0</v>
      </c>
      <c r="D1711" s="2031">
        <v>410.0</v>
      </c>
      <c r="E1711" s="2031">
        <v>273.0</v>
      </c>
      <c r="F1711" s="2031">
        <v>273.0</v>
      </c>
      <c r="G1711" s="2031">
        <v>274.0</v>
      </c>
      <c r="H1711" s="2031">
        <v>274.0</v>
      </c>
    </row>
    <row r="1712">
      <c r="B1712" s="2031">
        <v>1710.0</v>
      </c>
      <c r="C1712" s="2031">
        <v>205.0</v>
      </c>
      <c r="D1712" s="2031">
        <v>411.0</v>
      </c>
      <c r="E1712" s="2031">
        <v>273.0</v>
      </c>
      <c r="F1712" s="2031">
        <v>273.0</v>
      </c>
      <c r="G1712" s="2031">
        <v>274.0</v>
      </c>
      <c r="H1712" s="2031">
        <v>274.0</v>
      </c>
    </row>
    <row r="1713">
      <c r="B1713" s="2031">
        <v>1711.0</v>
      </c>
      <c r="C1713" s="2031">
        <v>205.0</v>
      </c>
      <c r="D1713" s="2031">
        <v>410.0</v>
      </c>
      <c r="E1713" s="2031">
        <v>274.0</v>
      </c>
      <c r="F1713" s="2031">
        <v>274.0</v>
      </c>
      <c r="G1713" s="2031">
        <v>274.0</v>
      </c>
      <c r="H1713" s="2031">
        <v>274.0</v>
      </c>
    </row>
    <row r="1714">
      <c r="B1714" s="2031">
        <v>1712.0</v>
      </c>
      <c r="C1714" s="2031">
        <v>205.0</v>
      </c>
      <c r="D1714" s="2031">
        <v>411.0</v>
      </c>
      <c r="E1714" s="2031">
        <v>274.0</v>
      </c>
      <c r="F1714" s="2031">
        <v>274.0</v>
      </c>
      <c r="G1714" s="2031">
        <v>274.0</v>
      </c>
      <c r="H1714" s="2031">
        <v>274.0</v>
      </c>
    </row>
    <row r="1715">
      <c r="B1715" s="2031">
        <v>1713.0</v>
      </c>
      <c r="C1715" s="2031">
        <v>206.0</v>
      </c>
      <c r="D1715" s="2031">
        <v>411.0</v>
      </c>
      <c r="E1715" s="2031">
        <v>274.0</v>
      </c>
      <c r="F1715" s="2031">
        <v>274.0</v>
      </c>
      <c r="G1715" s="2031">
        <v>274.0</v>
      </c>
      <c r="H1715" s="2031">
        <v>274.0</v>
      </c>
    </row>
    <row r="1716">
      <c r="B1716" s="2031">
        <v>1714.0</v>
      </c>
      <c r="C1716" s="2031">
        <v>206.0</v>
      </c>
      <c r="D1716" s="2031">
        <v>412.0</v>
      </c>
      <c r="E1716" s="2031">
        <v>274.0</v>
      </c>
      <c r="F1716" s="2031">
        <v>274.0</v>
      </c>
      <c r="G1716" s="2031">
        <v>274.0</v>
      </c>
      <c r="H1716" s="2031">
        <v>274.0</v>
      </c>
    </row>
    <row r="1717">
      <c r="B1717" s="2031">
        <v>1715.0</v>
      </c>
      <c r="C1717" s="2031">
        <v>206.0</v>
      </c>
      <c r="D1717" s="2031">
        <v>411.0</v>
      </c>
      <c r="E1717" s="2031">
        <v>274.0</v>
      </c>
      <c r="F1717" s="2031">
        <v>274.0</v>
      </c>
      <c r="G1717" s="2031">
        <v>275.0</v>
      </c>
      <c r="H1717" s="2031">
        <v>275.0</v>
      </c>
    </row>
    <row r="1718">
      <c r="B1718" s="2031">
        <v>1716.0</v>
      </c>
      <c r="C1718" s="2031">
        <v>206.0</v>
      </c>
      <c r="D1718" s="2031">
        <v>412.0</v>
      </c>
      <c r="E1718" s="2031">
        <v>274.0</v>
      </c>
      <c r="F1718" s="2031">
        <v>274.0</v>
      </c>
      <c r="G1718" s="2031">
        <v>275.0</v>
      </c>
      <c r="H1718" s="2031">
        <v>275.0</v>
      </c>
    </row>
    <row r="1719">
      <c r="B1719" s="2031">
        <v>1717.0</v>
      </c>
      <c r="C1719" s="2031">
        <v>206.0</v>
      </c>
      <c r="D1719" s="2031">
        <v>413.0</v>
      </c>
      <c r="E1719" s="2031">
        <v>274.0</v>
      </c>
      <c r="F1719" s="2031">
        <v>274.0</v>
      </c>
      <c r="G1719" s="2031">
        <v>275.0</v>
      </c>
      <c r="H1719" s="2031">
        <v>275.0</v>
      </c>
    </row>
    <row r="1720">
      <c r="B1720" s="2031">
        <v>1718.0</v>
      </c>
      <c r="C1720" s="2031">
        <v>206.0</v>
      </c>
      <c r="D1720" s="2031">
        <v>412.0</v>
      </c>
      <c r="E1720" s="2031">
        <v>275.0</v>
      </c>
      <c r="F1720" s="2031">
        <v>275.0</v>
      </c>
      <c r="G1720" s="2031">
        <v>275.0</v>
      </c>
      <c r="H1720" s="2031">
        <v>275.0</v>
      </c>
    </row>
    <row r="1721">
      <c r="B1721" s="2031">
        <v>1719.0</v>
      </c>
      <c r="C1721" s="2031">
        <v>206.0</v>
      </c>
      <c r="D1721" s="2031">
        <v>413.0</v>
      </c>
      <c r="E1721" s="2031">
        <v>275.0</v>
      </c>
      <c r="F1721" s="2031">
        <v>275.0</v>
      </c>
      <c r="G1721" s="2031">
        <v>275.0</v>
      </c>
      <c r="H1721" s="2031">
        <v>275.0</v>
      </c>
    </row>
    <row r="1722">
      <c r="B1722" s="2031">
        <v>1720.0</v>
      </c>
      <c r="C1722" s="2031">
        <v>207.0</v>
      </c>
      <c r="D1722" s="2031">
        <v>413.0</v>
      </c>
      <c r="E1722" s="2031">
        <v>275.0</v>
      </c>
      <c r="F1722" s="2031">
        <v>275.0</v>
      </c>
      <c r="G1722" s="2031">
        <v>275.0</v>
      </c>
      <c r="H1722" s="2031">
        <v>275.0</v>
      </c>
    </row>
    <row r="1723">
      <c r="B1723" s="2031">
        <v>1721.0</v>
      </c>
      <c r="C1723" s="2031">
        <v>206.0</v>
      </c>
      <c r="D1723" s="2031">
        <v>413.0</v>
      </c>
      <c r="E1723" s="2031">
        <v>275.0</v>
      </c>
      <c r="F1723" s="2031">
        <v>275.0</v>
      </c>
      <c r="G1723" s="2031">
        <v>276.0</v>
      </c>
      <c r="H1723" s="2031">
        <v>276.0</v>
      </c>
    </row>
    <row r="1724">
      <c r="B1724" s="2031">
        <v>1722.0</v>
      </c>
      <c r="C1724" s="2031">
        <v>207.0</v>
      </c>
      <c r="D1724" s="2031">
        <v>413.0</v>
      </c>
      <c r="E1724" s="2031">
        <v>275.0</v>
      </c>
      <c r="F1724" s="2031">
        <v>275.0</v>
      </c>
      <c r="G1724" s="2031">
        <v>276.0</v>
      </c>
      <c r="H1724" s="2031">
        <v>276.0</v>
      </c>
    </row>
    <row r="1725">
      <c r="B1725" s="2031">
        <v>1723.0</v>
      </c>
      <c r="C1725" s="2031">
        <v>206.0</v>
      </c>
      <c r="D1725" s="2031">
        <v>413.0</v>
      </c>
      <c r="E1725" s="2031">
        <v>276.0</v>
      </c>
      <c r="F1725" s="2031">
        <v>276.0</v>
      </c>
      <c r="G1725" s="2031">
        <v>276.0</v>
      </c>
      <c r="H1725" s="2031">
        <v>276.0</v>
      </c>
    </row>
    <row r="1726">
      <c r="B1726" s="2031">
        <v>1724.0</v>
      </c>
      <c r="C1726" s="2031">
        <v>207.0</v>
      </c>
      <c r="D1726" s="2031">
        <v>413.0</v>
      </c>
      <c r="E1726" s="2031">
        <v>276.0</v>
      </c>
      <c r="F1726" s="2031">
        <v>276.0</v>
      </c>
      <c r="G1726" s="2031">
        <v>276.0</v>
      </c>
      <c r="H1726" s="2031">
        <v>276.0</v>
      </c>
    </row>
    <row r="1727">
      <c r="B1727" s="2031">
        <v>1725.0</v>
      </c>
      <c r="C1727" s="2031">
        <v>207.0</v>
      </c>
      <c r="D1727" s="2031">
        <v>414.0</v>
      </c>
      <c r="E1727" s="2031">
        <v>276.0</v>
      </c>
      <c r="F1727" s="2031">
        <v>276.0</v>
      </c>
      <c r="G1727" s="2031">
        <v>276.0</v>
      </c>
      <c r="H1727" s="2031">
        <v>276.0</v>
      </c>
    </row>
    <row r="1728">
      <c r="B1728" s="2031">
        <v>1726.0</v>
      </c>
      <c r="C1728" s="2031">
        <v>207.0</v>
      </c>
      <c r="D1728" s="2031">
        <v>415.0</v>
      </c>
      <c r="E1728" s="2031">
        <v>276.0</v>
      </c>
      <c r="F1728" s="2031">
        <v>276.0</v>
      </c>
      <c r="G1728" s="2031">
        <v>276.0</v>
      </c>
      <c r="H1728" s="2031">
        <v>276.0</v>
      </c>
    </row>
    <row r="1729">
      <c r="B1729" s="2031">
        <v>1727.0</v>
      </c>
      <c r="C1729" s="2031">
        <v>208.0</v>
      </c>
      <c r="D1729" s="2031">
        <v>415.0</v>
      </c>
      <c r="E1729" s="2031">
        <v>276.0</v>
      </c>
      <c r="F1729" s="2031">
        <v>276.0</v>
      </c>
      <c r="G1729" s="2031">
        <v>276.0</v>
      </c>
      <c r="H1729" s="2031">
        <v>276.0</v>
      </c>
    </row>
    <row r="1730">
      <c r="B1730" s="2031">
        <v>1728.0</v>
      </c>
      <c r="C1730" s="2031">
        <v>207.0</v>
      </c>
      <c r="D1730" s="2031">
        <v>415.0</v>
      </c>
      <c r="E1730" s="2031">
        <v>276.0</v>
      </c>
      <c r="F1730" s="2031">
        <v>276.0</v>
      </c>
      <c r="G1730" s="2031">
        <v>277.0</v>
      </c>
      <c r="H1730" s="2031">
        <v>277.0</v>
      </c>
    </row>
    <row r="1731">
      <c r="B1731" s="2031">
        <v>1729.0</v>
      </c>
      <c r="C1731" s="2031">
        <v>208.0</v>
      </c>
      <c r="D1731" s="2031">
        <v>415.0</v>
      </c>
      <c r="E1731" s="2031">
        <v>276.0</v>
      </c>
      <c r="F1731" s="2031">
        <v>276.0</v>
      </c>
      <c r="G1731" s="2031">
        <v>277.0</v>
      </c>
      <c r="H1731" s="2031">
        <v>277.0</v>
      </c>
    </row>
    <row r="1732">
      <c r="B1732" s="2031">
        <v>1730.0</v>
      </c>
      <c r="C1732" s="2031">
        <v>207.0</v>
      </c>
      <c r="D1732" s="2031">
        <v>415.0</v>
      </c>
      <c r="E1732" s="2031">
        <v>277.0</v>
      </c>
      <c r="F1732" s="2031">
        <v>277.0</v>
      </c>
      <c r="G1732" s="2031">
        <v>277.0</v>
      </c>
      <c r="H1732" s="2031">
        <v>277.0</v>
      </c>
    </row>
    <row r="1733">
      <c r="B1733" s="2031">
        <v>1731.0</v>
      </c>
      <c r="C1733" s="2031">
        <v>208.0</v>
      </c>
      <c r="D1733" s="2031">
        <v>415.0</v>
      </c>
      <c r="E1733" s="2031">
        <v>277.0</v>
      </c>
      <c r="F1733" s="2031">
        <v>277.0</v>
      </c>
      <c r="G1733" s="2031">
        <v>277.0</v>
      </c>
      <c r="H1733" s="2031">
        <v>277.0</v>
      </c>
    </row>
    <row r="1734">
      <c r="B1734" s="2031">
        <v>1732.0</v>
      </c>
      <c r="C1734" s="2031">
        <v>208.0</v>
      </c>
      <c r="D1734" s="2031">
        <v>416.0</v>
      </c>
      <c r="E1734" s="2031">
        <v>277.0</v>
      </c>
      <c r="F1734" s="2031">
        <v>277.0</v>
      </c>
      <c r="G1734" s="2031">
        <v>277.0</v>
      </c>
      <c r="H1734" s="2031">
        <v>277.0</v>
      </c>
    </row>
    <row r="1735">
      <c r="B1735" s="2031">
        <v>1733.0</v>
      </c>
      <c r="C1735" s="2031">
        <v>208.0</v>
      </c>
      <c r="D1735" s="2031">
        <v>415.0</v>
      </c>
      <c r="E1735" s="2031">
        <v>277.0</v>
      </c>
      <c r="F1735" s="2031">
        <v>277.0</v>
      </c>
      <c r="G1735" s="2031">
        <v>278.0</v>
      </c>
      <c r="H1735" s="2031">
        <v>278.0</v>
      </c>
    </row>
    <row r="1736">
      <c r="B1736" s="2031">
        <v>1734.0</v>
      </c>
      <c r="C1736" s="2031">
        <v>208.0</v>
      </c>
      <c r="D1736" s="2031">
        <v>416.0</v>
      </c>
      <c r="E1736" s="2031">
        <v>277.0</v>
      </c>
      <c r="F1736" s="2031">
        <v>277.0</v>
      </c>
      <c r="G1736" s="2031">
        <v>278.0</v>
      </c>
      <c r="H1736" s="2031">
        <v>278.0</v>
      </c>
    </row>
    <row r="1737">
      <c r="B1737" s="2031">
        <v>1735.0</v>
      </c>
      <c r="C1737" s="2031">
        <v>208.0</v>
      </c>
      <c r="D1737" s="2031">
        <v>417.0</v>
      </c>
      <c r="E1737" s="2031">
        <v>277.0</v>
      </c>
      <c r="F1737" s="2031">
        <v>277.0</v>
      </c>
      <c r="G1737" s="2031">
        <v>278.0</v>
      </c>
      <c r="H1737" s="2031">
        <v>278.0</v>
      </c>
    </row>
    <row r="1738">
      <c r="B1738" s="2031">
        <v>1736.0</v>
      </c>
      <c r="C1738" s="2031">
        <v>208.0</v>
      </c>
      <c r="D1738" s="2031">
        <v>416.0</v>
      </c>
      <c r="E1738" s="2031">
        <v>278.0</v>
      </c>
      <c r="F1738" s="2031">
        <v>278.0</v>
      </c>
      <c r="G1738" s="2031">
        <v>278.0</v>
      </c>
      <c r="H1738" s="2031">
        <v>278.0</v>
      </c>
    </row>
    <row r="1739">
      <c r="B1739" s="2031">
        <v>1737.0</v>
      </c>
      <c r="C1739" s="2031">
        <v>208.0</v>
      </c>
      <c r="D1739" s="2031">
        <v>417.0</v>
      </c>
      <c r="E1739" s="2031">
        <v>278.0</v>
      </c>
      <c r="F1739" s="2031">
        <v>278.0</v>
      </c>
      <c r="G1739" s="2031">
        <v>278.0</v>
      </c>
      <c r="H1739" s="2031">
        <v>278.0</v>
      </c>
    </row>
    <row r="1740">
      <c r="B1740" s="2031">
        <v>1738.0</v>
      </c>
      <c r="C1740" s="2031">
        <v>209.0</v>
      </c>
      <c r="D1740" s="2031">
        <v>417.0</v>
      </c>
      <c r="E1740" s="2031">
        <v>278.0</v>
      </c>
      <c r="F1740" s="2031">
        <v>278.0</v>
      </c>
      <c r="G1740" s="2031">
        <v>278.0</v>
      </c>
      <c r="H1740" s="2031">
        <v>278.0</v>
      </c>
    </row>
    <row r="1741">
      <c r="B1741" s="2031">
        <v>1739.0</v>
      </c>
      <c r="C1741" s="2031">
        <v>209.0</v>
      </c>
      <c r="D1741" s="2031">
        <v>418.0</v>
      </c>
      <c r="E1741" s="2031">
        <v>278.0</v>
      </c>
      <c r="F1741" s="2031">
        <v>278.0</v>
      </c>
      <c r="G1741" s="2031">
        <v>278.0</v>
      </c>
      <c r="H1741" s="2031">
        <v>278.0</v>
      </c>
    </row>
    <row r="1742">
      <c r="B1742" s="2031">
        <v>1740.0</v>
      </c>
      <c r="C1742" s="2031">
        <v>209.0</v>
      </c>
      <c r="D1742" s="2031">
        <v>417.0</v>
      </c>
      <c r="E1742" s="2031">
        <v>278.0</v>
      </c>
      <c r="F1742" s="2031">
        <v>278.0</v>
      </c>
      <c r="G1742" s="2031">
        <v>279.0</v>
      </c>
      <c r="H1742" s="2031">
        <v>279.0</v>
      </c>
    </row>
    <row r="1743">
      <c r="B1743" s="2031">
        <v>1741.0</v>
      </c>
      <c r="C1743" s="2031">
        <v>209.0</v>
      </c>
      <c r="D1743" s="2031">
        <v>418.0</v>
      </c>
      <c r="E1743" s="2031">
        <v>278.0</v>
      </c>
      <c r="F1743" s="2031">
        <v>278.0</v>
      </c>
      <c r="G1743" s="2031">
        <v>279.0</v>
      </c>
      <c r="H1743" s="2031">
        <v>279.0</v>
      </c>
    </row>
    <row r="1744">
      <c r="B1744" s="2031">
        <v>1742.0</v>
      </c>
      <c r="C1744" s="2031">
        <v>209.0</v>
      </c>
      <c r="D1744" s="2031">
        <v>419.0</v>
      </c>
      <c r="E1744" s="2031">
        <v>278.0</v>
      </c>
      <c r="F1744" s="2031">
        <v>278.0</v>
      </c>
      <c r="G1744" s="2031">
        <v>279.0</v>
      </c>
      <c r="H1744" s="2031">
        <v>279.0</v>
      </c>
    </row>
    <row r="1745">
      <c r="B1745" s="2031">
        <v>1743.0</v>
      </c>
      <c r="C1745" s="2031">
        <v>209.0</v>
      </c>
      <c r="D1745" s="2031">
        <v>418.0</v>
      </c>
      <c r="E1745" s="2031">
        <v>279.0</v>
      </c>
      <c r="F1745" s="2031">
        <v>279.0</v>
      </c>
      <c r="G1745" s="2031">
        <v>279.0</v>
      </c>
      <c r="H1745" s="2031">
        <v>279.0</v>
      </c>
    </row>
    <row r="1746">
      <c r="B1746" s="2031">
        <v>1744.0</v>
      </c>
      <c r="C1746" s="2031">
        <v>209.0</v>
      </c>
      <c r="D1746" s="2031">
        <v>419.0</v>
      </c>
      <c r="E1746" s="2031">
        <v>279.0</v>
      </c>
      <c r="F1746" s="2031">
        <v>279.0</v>
      </c>
      <c r="G1746" s="2031">
        <v>279.0</v>
      </c>
      <c r="H1746" s="2031">
        <v>279.0</v>
      </c>
    </row>
    <row r="1747">
      <c r="B1747" s="2031">
        <v>1745.0</v>
      </c>
      <c r="C1747" s="2031">
        <v>210.0</v>
      </c>
      <c r="D1747" s="2031">
        <v>419.0</v>
      </c>
      <c r="E1747" s="2031">
        <v>279.0</v>
      </c>
      <c r="F1747" s="2031">
        <v>279.0</v>
      </c>
      <c r="G1747" s="2031">
        <v>279.0</v>
      </c>
      <c r="H1747" s="2031">
        <v>279.0</v>
      </c>
    </row>
    <row r="1748">
      <c r="B1748" s="2031">
        <v>1746.0</v>
      </c>
      <c r="C1748" s="2031">
        <v>209.0</v>
      </c>
      <c r="D1748" s="2031">
        <v>419.0</v>
      </c>
      <c r="E1748" s="2031">
        <v>279.0</v>
      </c>
      <c r="F1748" s="2031">
        <v>279.0</v>
      </c>
      <c r="G1748" s="2031">
        <v>280.0</v>
      </c>
      <c r="H1748" s="2031">
        <v>280.0</v>
      </c>
    </row>
    <row r="1749">
      <c r="B1749" s="2031">
        <v>1747.0</v>
      </c>
      <c r="C1749" s="2031">
        <v>210.0</v>
      </c>
      <c r="D1749" s="2031">
        <v>419.0</v>
      </c>
      <c r="E1749" s="2031">
        <v>279.0</v>
      </c>
      <c r="F1749" s="2031">
        <v>279.0</v>
      </c>
      <c r="G1749" s="2031">
        <v>280.0</v>
      </c>
      <c r="H1749" s="2031">
        <v>280.0</v>
      </c>
    </row>
    <row r="1750">
      <c r="B1750" s="2031">
        <v>1748.0</v>
      </c>
      <c r="C1750" s="2031">
        <v>209.0</v>
      </c>
      <c r="D1750" s="2031">
        <v>419.0</v>
      </c>
      <c r="E1750" s="2031">
        <v>280.0</v>
      </c>
      <c r="F1750" s="2031">
        <v>280.0</v>
      </c>
      <c r="G1750" s="2031">
        <v>280.0</v>
      </c>
      <c r="H1750" s="2031">
        <v>280.0</v>
      </c>
    </row>
    <row r="1751">
      <c r="B1751" s="2031">
        <v>1749.0</v>
      </c>
      <c r="C1751" s="2031">
        <v>210.0</v>
      </c>
      <c r="D1751" s="2031">
        <v>419.0</v>
      </c>
      <c r="E1751" s="2031">
        <v>280.0</v>
      </c>
      <c r="F1751" s="2031">
        <v>280.0</v>
      </c>
      <c r="G1751" s="2031">
        <v>280.0</v>
      </c>
      <c r="H1751" s="2031">
        <v>280.0</v>
      </c>
    </row>
    <row r="1752">
      <c r="B1752" s="2031">
        <v>1750.0</v>
      </c>
      <c r="C1752" s="2031">
        <v>210.0</v>
      </c>
      <c r="D1752" s="2031">
        <v>420.0</v>
      </c>
      <c r="E1752" s="2031">
        <v>280.0</v>
      </c>
      <c r="F1752" s="2031">
        <v>280.0</v>
      </c>
      <c r="G1752" s="2031">
        <v>280.0</v>
      </c>
      <c r="H1752" s="2031">
        <v>280.0</v>
      </c>
    </row>
    <row r="1753">
      <c r="B1753" s="2031">
        <v>1751.0</v>
      </c>
      <c r="C1753" s="2031">
        <v>210.0</v>
      </c>
      <c r="D1753" s="2031">
        <v>421.0</v>
      </c>
      <c r="E1753" s="2031">
        <v>280.0</v>
      </c>
      <c r="F1753" s="2031">
        <v>280.0</v>
      </c>
      <c r="G1753" s="2031">
        <v>280.0</v>
      </c>
      <c r="H1753" s="2031">
        <v>280.0</v>
      </c>
    </row>
    <row r="1754">
      <c r="B1754" s="2031">
        <v>1752.0</v>
      </c>
      <c r="C1754" s="2031">
        <v>211.0</v>
      </c>
      <c r="D1754" s="2031">
        <v>421.0</v>
      </c>
      <c r="E1754" s="2031">
        <v>280.0</v>
      </c>
      <c r="F1754" s="2031">
        <v>280.0</v>
      </c>
      <c r="G1754" s="2031">
        <v>280.0</v>
      </c>
      <c r="H1754" s="2031">
        <v>280.0</v>
      </c>
    </row>
    <row r="1755">
      <c r="B1755" s="2031">
        <v>1753.0</v>
      </c>
      <c r="C1755" s="2031">
        <v>210.0</v>
      </c>
      <c r="D1755" s="2031">
        <v>421.0</v>
      </c>
      <c r="E1755" s="2031">
        <v>280.0</v>
      </c>
      <c r="F1755" s="2031">
        <v>280.0</v>
      </c>
      <c r="G1755" s="2031">
        <v>281.0</v>
      </c>
      <c r="H1755" s="2031">
        <v>281.0</v>
      </c>
    </row>
    <row r="1756">
      <c r="B1756" s="2031">
        <v>1754.0</v>
      </c>
      <c r="C1756" s="2031">
        <v>211.0</v>
      </c>
      <c r="D1756" s="2031">
        <v>421.0</v>
      </c>
      <c r="E1756" s="2031">
        <v>280.0</v>
      </c>
      <c r="F1756" s="2031">
        <v>280.0</v>
      </c>
      <c r="G1756" s="2031">
        <v>281.0</v>
      </c>
      <c r="H1756" s="2031">
        <v>281.0</v>
      </c>
    </row>
    <row r="1757">
      <c r="B1757" s="2031">
        <v>1755.0</v>
      </c>
      <c r="C1757" s="2031">
        <v>210.0</v>
      </c>
      <c r="D1757" s="2031">
        <v>421.0</v>
      </c>
      <c r="E1757" s="2031">
        <v>281.0</v>
      </c>
      <c r="F1757" s="2031">
        <v>281.0</v>
      </c>
      <c r="G1757" s="2031">
        <v>281.0</v>
      </c>
      <c r="H1757" s="2031">
        <v>281.0</v>
      </c>
    </row>
    <row r="1758">
      <c r="B1758" s="2031">
        <v>1756.0</v>
      </c>
      <c r="C1758" s="2031">
        <v>211.0</v>
      </c>
      <c r="D1758" s="2031">
        <v>421.0</v>
      </c>
      <c r="E1758" s="2031">
        <v>281.0</v>
      </c>
      <c r="F1758" s="2031">
        <v>281.0</v>
      </c>
      <c r="G1758" s="2031">
        <v>281.0</v>
      </c>
      <c r="H1758" s="2031">
        <v>281.0</v>
      </c>
    </row>
    <row r="1759">
      <c r="B1759" s="2031">
        <v>1757.0</v>
      </c>
      <c r="C1759" s="2031">
        <v>211.0</v>
      </c>
      <c r="D1759" s="2031">
        <v>422.0</v>
      </c>
      <c r="E1759" s="2031">
        <v>281.0</v>
      </c>
      <c r="F1759" s="2031">
        <v>281.0</v>
      </c>
      <c r="G1759" s="2031">
        <v>281.0</v>
      </c>
      <c r="H1759" s="2031">
        <v>281.0</v>
      </c>
    </row>
    <row r="1760">
      <c r="B1760" s="2031">
        <v>1758.0</v>
      </c>
      <c r="C1760" s="2031">
        <v>211.0</v>
      </c>
      <c r="D1760" s="2031">
        <v>421.0</v>
      </c>
      <c r="E1760" s="2031">
        <v>281.0</v>
      </c>
      <c r="F1760" s="2031">
        <v>281.0</v>
      </c>
      <c r="G1760" s="2031">
        <v>282.0</v>
      </c>
      <c r="H1760" s="2031">
        <v>282.0</v>
      </c>
    </row>
    <row r="1761">
      <c r="B1761" s="2031">
        <v>1759.0</v>
      </c>
      <c r="C1761" s="2031">
        <v>211.0</v>
      </c>
      <c r="D1761" s="2031">
        <v>422.0</v>
      </c>
      <c r="E1761" s="2031">
        <v>281.0</v>
      </c>
      <c r="F1761" s="2031">
        <v>281.0</v>
      </c>
      <c r="G1761" s="2031">
        <v>282.0</v>
      </c>
      <c r="H1761" s="2031">
        <v>282.0</v>
      </c>
    </row>
    <row r="1762">
      <c r="B1762" s="2031">
        <v>1760.0</v>
      </c>
      <c r="C1762" s="2031">
        <v>211.0</v>
      </c>
      <c r="D1762" s="2031">
        <v>423.0</v>
      </c>
      <c r="E1762" s="2031">
        <v>281.0</v>
      </c>
      <c r="F1762" s="2031">
        <v>281.0</v>
      </c>
      <c r="G1762" s="2031">
        <v>282.0</v>
      </c>
      <c r="H1762" s="2031">
        <v>282.0</v>
      </c>
    </row>
    <row r="1763">
      <c r="B1763" s="2031">
        <v>1761.0</v>
      </c>
      <c r="C1763" s="2031">
        <v>211.0</v>
      </c>
      <c r="D1763" s="2031">
        <v>422.0</v>
      </c>
      <c r="E1763" s="2031">
        <v>282.0</v>
      </c>
      <c r="F1763" s="2031">
        <v>282.0</v>
      </c>
      <c r="G1763" s="2031">
        <v>282.0</v>
      </c>
      <c r="H1763" s="2031">
        <v>282.0</v>
      </c>
    </row>
    <row r="1764">
      <c r="B1764" s="2031">
        <v>1762.0</v>
      </c>
      <c r="C1764" s="2031">
        <v>211.0</v>
      </c>
      <c r="D1764" s="2031">
        <v>423.0</v>
      </c>
      <c r="E1764" s="2031">
        <v>282.0</v>
      </c>
      <c r="F1764" s="2031">
        <v>282.0</v>
      </c>
      <c r="G1764" s="2031">
        <v>282.0</v>
      </c>
      <c r="H1764" s="2031">
        <v>282.0</v>
      </c>
    </row>
    <row r="1765">
      <c r="B1765" s="2031">
        <v>1763.0</v>
      </c>
      <c r="C1765" s="2031">
        <v>212.0</v>
      </c>
      <c r="D1765" s="2031">
        <v>423.0</v>
      </c>
      <c r="E1765" s="2031">
        <v>282.0</v>
      </c>
      <c r="F1765" s="2031">
        <v>282.0</v>
      </c>
      <c r="G1765" s="2031">
        <v>282.0</v>
      </c>
      <c r="H1765" s="2031">
        <v>282.0</v>
      </c>
    </row>
    <row r="1766">
      <c r="B1766" s="2031">
        <v>1764.0</v>
      </c>
      <c r="C1766" s="2031">
        <v>212.0</v>
      </c>
      <c r="D1766" s="2031">
        <v>424.0</v>
      </c>
      <c r="E1766" s="2031">
        <v>282.0</v>
      </c>
      <c r="F1766" s="2031">
        <v>282.0</v>
      </c>
      <c r="G1766" s="2031">
        <v>282.0</v>
      </c>
      <c r="H1766" s="2031">
        <v>282.0</v>
      </c>
    </row>
    <row r="1767">
      <c r="B1767" s="2031">
        <v>1765.0</v>
      </c>
      <c r="C1767" s="2031">
        <v>212.0</v>
      </c>
      <c r="D1767" s="2031">
        <v>423.0</v>
      </c>
      <c r="E1767" s="2031">
        <v>282.0</v>
      </c>
      <c r="F1767" s="2031">
        <v>282.0</v>
      </c>
      <c r="G1767" s="2031">
        <v>283.0</v>
      </c>
      <c r="H1767" s="2031">
        <v>283.0</v>
      </c>
    </row>
    <row r="1768">
      <c r="B1768" s="2031">
        <v>1766.0</v>
      </c>
      <c r="C1768" s="2031">
        <v>212.0</v>
      </c>
      <c r="D1768" s="2031">
        <v>424.0</v>
      </c>
      <c r="E1768" s="2031">
        <v>282.0</v>
      </c>
      <c r="F1768" s="2031">
        <v>282.0</v>
      </c>
      <c r="G1768" s="2031">
        <v>283.0</v>
      </c>
      <c r="H1768" s="2031">
        <v>283.0</v>
      </c>
    </row>
    <row r="1769">
      <c r="B1769" s="2031">
        <v>1767.0</v>
      </c>
      <c r="C1769" s="2031">
        <v>212.0</v>
      </c>
      <c r="D1769" s="2031">
        <v>425.0</v>
      </c>
      <c r="E1769" s="2031">
        <v>282.0</v>
      </c>
      <c r="F1769" s="2031">
        <v>282.0</v>
      </c>
      <c r="G1769" s="2031">
        <v>283.0</v>
      </c>
      <c r="H1769" s="2031">
        <v>283.0</v>
      </c>
    </row>
    <row r="1770">
      <c r="B1770" s="2031">
        <v>1768.0</v>
      </c>
      <c r="C1770" s="2031">
        <v>212.0</v>
      </c>
      <c r="D1770" s="2031">
        <v>424.0</v>
      </c>
      <c r="E1770" s="2031">
        <v>283.0</v>
      </c>
      <c r="F1770" s="2031">
        <v>283.0</v>
      </c>
      <c r="G1770" s="2031">
        <v>283.0</v>
      </c>
      <c r="H1770" s="2031">
        <v>283.0</v>
      </c>
    </row>
    <row r="1771">
      <c r="B1771" s="2031">
        <v>1769.0</v>
      </c>
      <c r="C1771" s="2031">
        <v>212.0</v>
      </c>
      <c r="D1771" s="2031">
        <v>425.0</v>
      </c>
      <c r="E1771" s="2031">
        <v>283.0</v>
      </c>
      <c r="F1771" s="2031">
        <v>283.0</v>
      </c>
      <c r="G1771" s="2031">
        <v>283.0</v>
      </c>
      <c r="H1771" s="2031">
        <v>283.0</v>
      </c>
    </row>
    <row r="1772">
      <c r="B1772" s="2031">
        <v>1770.0</v>
      </c>
      <c r="C1772" s="2031">
        <v>213.0</v>
      </c>
      <c r="D1772" s="2031">
        <v>425.0</v>
      </c>
      <c r="E1772" s="2031">
        <v>283.0</v>
      </c>
      <c r="F1772" s="2031">
        <v>283.0</v>
      </c>
      <c r="G1772" s="2031">
        <v>283.0</v>
      </c>
      <c r="H1772" s="2031">
        <v>283.0</v>
      </c>
    </row>
    <row r="1773">
      <c r="B1773" s="2031">
        <v>1771.0</v>
      </c>
      <c r="C1773" s="2031">
        <v>212.0</v>
      </c>
      <c r="D1773" s="2031">
        <v>425.0</v>
      </c>
      <c r="E1773" s="2031">
        <v>283.0</v>
      </c>
      <c r="F1773" s="2031">
        <v>283.0</v>
      </c>
      <c r="G1773" s="2031">
        <v>284.0</v>
      </c>
      <c r="H1773" s="2031">
        <v>284.0</v>
      </c>
    </row>
    <row r="1774">
      <c r="B1774" s="2031">
        <v>1772.0</v>
      </c>
      <c r="C1774" s="2031">
        <v>213.0</v>
      </c>
      <c r="D1774" s="2031">
        <v>425.0</v>
      </c>
      <c r="E1774" s="2031">
        <v>283.0</v>
      </c>
      <c r="F1774" s="2031">
        <v>283.0</v>
      </c>
      <c r="G1774" s="2031">
        <v>284.0</v>
      </c>
      <c r="H1774" s="2031">
        <v>284.0</v>
      </c>
    </row>
    <row r="1775">
      <c r="B1775" s="2031">
        <v>1773.0</v>
      </c>
      <c r="C1775" s="2031">
        <v>212.0</v>
      </c>
      <c r="D1775" s="2031">
        <v>425.0</v>
      </c>
      <c r="E1775" s="2031">
        <v>284.0</v>
      </c>
      <c r="F1775" s="2031">
        <v>284.0</v>
      </c>
      <c r="G1775" s="2031">
        <v>284.0</v>
      </c>
      <c r="H1775" s="2031">
        <v>284.0</v>
      </c>
    </row>
    <row r="1776">
      <c r="B1776" s="2031">
        <v>1774.0</v>
      </c>
      <c r="C1776" s="2031">
        <v>213.0</v>
      </c>
      <c r="D1776" s="2031">
        <v>425.0</v>
      </c>
      <c r="E1776" s="2031">
        <v>284.0</v>
      </c>
      <c r="F1776" s="2031">
        <v>284.0</v>
      </c>
      <c r="G1776" s="2031">
        <v>284.0</v>
      </c>
      <c r="H1776" s="2031">
        <v>284.0</v>
      </c>
    </row>
    <row r="1777">
      <c r="B1777" s="2031">
        <v>1775.0</v>
      </c>
      <c r="C1777" s="2031">
        <v>213.0</v>
      </c>
      <c r="D1777" s="2031">
        <v>426.0</v>
      </c>
      <c r="E1777" s="2031">
        <v>284.0</v>
      </c>
      <c r="F1777" s="2031">
        <v>284.0</v>
      </c>
      <c r="G1777" s="2031">
        <v>284.0</v>
      </c>
      <c r="H1777" s="2031">
        <v>284.0</v>
      </c>
    </row>
    <row r="1778">
      <c r="B1778" s="2031">
        <v>1776.0</v>
      </c>
      <c r="C1778" s="2031">
        <v>213.0</v>
      </c>
      <c r="D1778" s="2031">
        <v>427.0</v>
      </c>
      <c r="E1778" s="2031">
        <v>284.0</v>
      </c>
      <c r="F1778" s="2031">
        <v>284.0</v>
      </c>
      <c r="G1778" s="2031">
        <v>284.0</v>
      </c>
      <c r="H1778" s="2031">
        <v>284.0</v>
      </c>
    </row>
    <row r="1779">
      <c r="B1779" s="2031">
        <v>1777.0</v>
      </c>
      <c r="C1779" s="2031">
        <v>214.0</v>
      </c>
      <c r="D1779" s="2031">
        <v>427.0</v>
      </c>
      <c r="E1779" s="2031">
        <v>284.0</v>
      </c>
      <c r="F1779" s="2031">
        <v>284.0</v>
      </c>
      <c r="G1779" s="2031">
        <v>284.0</v>
      </c>
      <c r="H1779" s="2031">
        <v>284.0</v>
      </c>
    </row>
    <row r="1780">
      <c r="B1780" s="2031">
        <v>1778.0</v>
      </c>
      <c r="C1780" s="2031">
        <v>213.0</v>
      </c>
      <c r="D1780" s="2031">
        <v>427.0</v>
      </c>
      <c r="E1780" s="2031">
        <v>284.0</v>
      </c>
      <c r="F1780" s="2031">
        <v>284.0</v>
      </c>
      <c r="G1780" s="2031">
        <v>285.0</v>
      </c>
      <c r="H1780" s="2031">
        <v>285.0</v>
      </c>
    </row>
    <row r="1781">
      <c r="B1781" s="2031">
        <v>1779.0</v>
      </c>
      <c r="C1781" s="2031">
        <v>214.0</v>
      </c>
      <c r="D1781" s="2031">
        <v>427.0</v>
      </c>
      <c r="E1781" s="2031">
        <v>284.0</v>
      </c>
      <c r="F1781" s="2031">
        <v>284.0</v>
      </c>
      <c r="G1781" s="2031">
        <v>285.0</v>
      </c>
      <c r="H1781" s="2031">
        <v>285.0</v>
      </c>
    </row>
    <row r="1782">
      <c r="B1782" s="2031">
        <v>1780.0</v>
      </c>
      <c r="C1782" s="2031">
        <v>213.0</v>
      </c>
      <c r="D1782" s="2031">
        <v>427.0</v>
      </c>
      <c r="E1782" s="2031">
        <v>285.0</v>
      </c>
      <c r="F1782" s="2031">
        <v>285.0</v>
      </c>
      <c r="G1782" s="2031">
        <v>285.0</v>
      </c>
      <c r="H1782" s="2031">
        <v>285.0</v>
      </c>
    </row>
    <row r="1783">
      <c r="B1783" s="2031">
        <v>1781.0</v>
      </c>
      <c r="C1783" s="2031">
        <v>214.0</v>
      </c>
      <c r="D1783" s="2031">
        <v>427.0</v>
      </c>
      <c r="E1783" s="2031">
        <v>285.0</v>
      </c>
      <c r="F1783" s="2031">
        <v>285.0</v>
      </c>
      <c r="G1783" s="2031">
        <v>285.0</v>
      </c>
      <c r="H1783" s="2031">
        <v>285.0</v>
      </c>
    </row>
    <row r="1784">
      <c r="B1784" s="2031">
        <v>1782.0</v>
      </c>
      <c r="C1784" s="2031">
        <v>214.0</v>
      </c>
      <c r="D1784" s="2031">
        <v>428.0</v>
      </c>
      <c r="E1784" s="2031">
        <v>285.0</v>
      </c>
      <c r="F1784" s="2031">
        <v>285.0</v>
      </c>
      <c r="G1784" s="2031">
        <v>285.0</v>
      </c>
      <c r="H1784" s="2031">
        <v>285.0</v>
      </c>
    </row>
    <row r="1785">
      <c r="B1785" s="2031">
        <v>1783.0</v>
      </c>
      <c r="C1785" s="2031">
        <v>214.0</v>
      </c>
      <c r="D1785" s="2031">
        <v>427.0</v>
      </c>
      <c r="E1785" s="2031">
        <v>285.0</v>
      </c>
      <c r="F1785" s="2031">
        <v>285.0</v>
      </c>
      <c r="G1785" s="2031">
        <v>286.0</v>
      </c>
      <c r="H1785" s="2031">
        <v>286.0</v>
      </c>
    </row>
    <row r="1786">
      <c r="B1786" s="2031">
        <v>1784.0</v>
      </c>
      <c r="C1786" s="2031">
        <v>214.0</v>
      </c>
      <c r="D1786" s="2031">
        <v>428.0</v>
      </c>
      <c r="E1786" s="2031">
        <v>285.0</v>
      </c>
      <c r="F1786" s="2031">
        <v>285.0</v>
      </c>
      <c r="G1786" s="2031">
        <v>286.0</v>
      </c>
      <c r="H1786" s="2031">
        <v>286.0</v>
      </c>
    </row>
    <row r="1787">
      <c r="B1787" s="2031">
        <v>1785.0</v>
      </c>
      <c r="C1787" s="2031">
        <v>214.0</v>
      </c>
      <c r="D1787" s="2031">
        <v>429.0</v>
      </c>
      <c r="E1787" s="2031">
        <v>285.0</v>
      </c>
      <c r="F1787" s="2031">
        <v>285.0</v>
      </c>
      <c r="G1787" s="2031">
        <v>286.0</v>
      </c>
      <c r="H1787" s="2031">
        <v>286.0</v>
      </c>
    </row>
    <row r="1788">
      <c r="B1788" s="2031">
        <v>1786.0</v>
      </c>
      <c r="C1788" s="2031">
        <v>214.0</v>
      </c>
      <c r="D1788" s="2031">
        <v>428.0</v>
      </c>
      <c r="E1788" s="2031">
        <v>286.0</v>
      </c>
      <c r="F1788" s="2031">
        <v>286.0</v>
      </c>
      <c r="G1788" s="2031">
        <v>286.0</v>
      </c>
      <c r="H1788" s="2031">
        <v>286.0</v>
      </c>
    </row>
    <row r="1789">
      <c r="B1789" s="2031">
        <v>1787.0</v>
      </c>
      <c r="C1789" s="2031">
        <v>214.0</v>
      </c>
      <c r="D1789" s="2031">
        <v>429.0</v>
      </c>
      <c r="E1789" s="2031">
        <v>286.0</v>
      </c>
      <c r="F1789" s="2031">
        <v>286.0</v>
      </c>
      <c r="G1789" s="2031">
        <v>286.0</v>
      </c>
      <c r="H1789" s="2031">
        <v>286.0</v>
      </c>
    </row>
    <row r="1790">
      <c r="B1790" s="2031">
        <v>1788.0</v>
      </c>
      <c r="C1790" s="2031">
        <v>215.0</v>
      </c>
      <c r="D1790" s="2031">
        <v>429.0</v>
      </c>
      <c r="E1790" s="2031">
        <v>286.0</v>
      </c>
      <c r="F1790" s="2031">
        <v>286.0</v>
      </c>
      <c r="G1790" s="2031">
        <v>286.0</v>
      </c>
      <c r="H1790" s="2031">
        <v>286.0</v>
      </c>
    </row>
    <row r="1791">
      <c r="B1791" s="2031">
        <v>1789.0</v>
      </c>
      <c r="C1791" s="2031">
        <v>215.0</v>
      </c>
      <c r="D1791" s="2031">
        <v>430.0</v>
      </c>
      <c r="E1791" s="2031">
        <v>286.0</v>
      </c>
      <c r="F1791" s="2031">
        <v>286.0</v>
      </c>
      <c r="G1791" s="2031">
        <v>286.0</v>
      </c>
      <c r="H1791" s="2031">
        <v>286.0</v>
      </c>
    </row>
    <row r="1792">
      <c r="B1792" s="2031">
        <v>1790.0</v>
      </c>
      <c r="C1792" s="2031">
        <v>215.0</v>
      </c>
      <c r="D1792" s="2031">
        <v>429.0</v>
      </c>
      <c r="E1792" s="2031">
        <v>286.0</v>
      </c>
      <c r="F1792" s="2031">
        <v>286.0</v>
      </c>
      <c r="G1792" s="2031">
        <v>287.0</v>
      </c>
      <c r="H1792" s="2031">
        <v>287.0</v>
      </c>
    </row>
    <row r="1793">
      <c r="B1793" s="2031">
        <v>1791.0</v>
      </c>
      <c r="C1793" s="2031">
        <v>215.0</v>
      </c>
      <c r="D1793" s="2031">
        <v>430.0</v>
      </c>
      <c r="E1793" s="2031">
        <v>286.0</v>
      </c>
      <c r="F1793" s="2031">
        <v>286.0</v>
      </c>
      <c r="G1793" s="2031">
        <v>287.0</v>
      </c>
      <c r="H1793" s="2031">
        <v>287.0</v>
      </c>
    </row>
    <row r="1794">
      <c r="B1794" s="2031">
        <v>1792.0</v>
      </c>
      <c r="C1794" s="2031">
        <v>215.0</v>
      </c>
      <c r="D1794" s="2031">
        <v>431.0</v>
      </c>
      <c r="E1794" s="2031">
        <v>286.0</v>
      </c>
      <c r="F1794" s="2031">
        <v>286.0</v>
      </c>
      <c r="G1794" s="2031">
        <v>287.0</v>
      </c>
      <c r="H1794" s="2031">
        <v>287.0</v>
      </c>
    </row>
    <row r="1795">
      <c r="B1795" s="2031">
        <v>1793.0</v>
      </c>
      <c r="C1795" s="2031">
        <v>215.0</v>
      </c>
      <c r="D1795" s="2031">
        <v>430.0</v>
      </c>
      <c r="E1795" s="2031">
        <v>287.0</v>
      </c>
      <c r="F1795" s="2031">
        <v>287.0</v>
      </c>
      <c r="G1795" s="2031">
        <v>287.0</v>
      </c>
      <c r="H1795" s="2031">
        <v>287.0</v>
      </c>
    </row>
    <row r="1796">
      <c r="B1796" s="2031">
        <v>1794.0</v>
      </c>
      <c r="C1796" s="2031">
        <v>215.0</v>
      </c>
      <c r="D1796" s="2031">
        <v>431.0</v>
      </c>
      <c r="E1796" s="2031">
        <v>287.0</v>
      </c>
      <c r="F1796" s="2031">
        <v>287.0</v>
      </c>
      <c r="G1796" s="2031">
        <v>287.0</v>
      </c>
      <c r="H1796" s="2031">
        <v>287.0</v>
      </c>
    </row>
    <row r="1797">
      <c r="B1797" s="2031">
        <v>1795.0</v>
      </c>
      <c r="C1797" s="2031">
        <v>216.0</v>
      </c>
      <c r="D1797" s="2031">
        <v>431.0</v>
      </c>
      <c r="E1797" s="2031">
        <v>287.0</v>
      </c>
      <c r="F1797" s="2031">
        <v>287.0</v>
      </c>
      <c r="G1797" s="2031">
        <v>287.0</v>
      </c>
      <c r="H1797" s="2031">
        <v>287.0</v>
      </c>
    </row>
    <row r="1798">
      <c r="B1798" s="2031">
        <v>1796.0</v>
      </c>
      <c r="C1798" s="2031">
        <v>215.0</v>
      </c>
      <c r="D1798" s="2031">
        <v>431.0</v>
      </c>
      <c r="E1798" s="2031">
        <v>287.0</v>
      </c>
      <c r="F1798" s="2031">
        <v>287.0</v>
      </c>
      <c r="G1798" s="2031">
        <v>288.0</v>
      </c>
      <c r="H1798" s="2031">
        <v>288.0</v>
      </c>
    </row>
    <row r="1799">
      <c r="B1799" s="2031">
        <v>1797.0</v>
      </c>
      <c r="C1799" s="2031">
        <v>216.0</v>
      </c>
      <c r="D1799" s="2031">
        <v>431.0</v>
      </c>
      <c r="E1799" s="2031">
        <v>287.0</v>
      </c>
      <c r="F1799" s="2031">
        <v>287.0</v>
      </c>
      <c r="G1799" s="2031">
        <v>288.0</v>
      </c>
      <c r="H1799" s="2031">
        <v>288.0</v>
      </c>
    </row>
    <row r="1800">
      <c r="B1800" s="2031">
        <v>1798.0</v>
      </c>
      <c r="C1800" s="2031">
        <v>215.0</v>
      </c>
      <c r="D1800" s="2031">
        <v>431.0</v>
      </c>
      <c r="E1800" s="2031">
        <v>288.0</v>
      </c>
      <c r="F1800" s="2031">
        <v>288.0</v>
      </c>
      <c r="G1800" s="2031">
        <v>288.0</v>
      </c>
      <c r="H1800" s="2031">
        <v>288.0</v>
      </c>
    </row>
    <row r="1801">
      <c r="B1801" s="2031">
        <v>1799.0</v>
      </c>
      <c r="C1801" s="2031">
        <v>216.0</v>
      </c>
      <c r="D1801" s="2031">
        <v>431.0</v>
      </c>
      <c r="E1801" s="2031">
        <v>288.0</v>
      </c>
      <c r="F1801" s="2031">
        <v>288.0</v>
      </c>
      <c r="G1801" s="2031">
        <v>288.0</v>
      </c>
      <c r="H1801" s="2031">
        <v>288.0</v>
      </c>
    </row>
    <row r="1802">
      <c r="B1802" s="2031">
        <v>1800.0</v>
      </c>
      <c r="C1802" s="2031">
        <v>216.0</v>
      </c>
      <c r="D1802" s="2031">
        <v>432.0</v>
      </c>
      <c r="E1802" s="2031">
        <v>288.0</v>
      </c>
      <c r="F1802" s="2031">
        <v>288.0</v>
      </c>
      <c r="G1802" s="2031">
        <v>288.0</v>
      </c>
      <c r="H1802" s="2031">
        <v>288.0</v>
      </c>
    </row>
    <row r="1803">
      <c r="B1803" s="2031">
        <v>1801.0</v>
      </c>
      <c r="C1803" s="2031">
        <v>216.0</v>
      </c>
      <c r="D1803" s="2031">
        <v>433.0</v>
      </c>
      <c r="E1803" s="2031">
        <v>288.0</v>
      </c>
      <c r="F1803" s="2031">
        <v>288.0</v>
      </c>
      <c r="G1803" s="2031">
        <v>288.0</v>
      </c>
      <c r="H1803" s="2031">
        <v>288.0</v>
      </c>
    </row>
    <row r="1804">
      <c r="B1804" s="2031">
        <v>1802.0</v>
      </c>
      <c r="C1804" s="2031">
        <v>217.0</v>
      </c>
      <c r="D1804" s="2031">
        <v>433.0</v>
      </c>
      <c r="E1804" s="2031">
        <v>288.0</v>
      </c>
      <c r="F1804" s="2031">
        <v>288.0</v>
      </c>
      <c r="G1804" s="2031">
        <v>288.0</v>
      </c>
      <c r="H1804" s="2031">
        <v>288.0</v>
      </c>
    </row>
    <row r="1805">
      <c r="B1805" s="2031">
        <v>1803.0</v>
      </c>
      <c r="C1805" s="2031">
        <v>216.0</v>
      </c>
      <c r="D1805" s="2031">
        <v>433.0</v>
      </c>
      <c r="E1805" s="2031">
        <v>288.0</v>
      </c>
      <c r="F1805" s="2031">
        <v>288.0</v>
      </c>
      <c r="G1805" s="2031">
        <v>289.0</v>
      </c>
      <c r="H1805" s="2031">
        <v>289.0</v>
      </c>
    </row>
    <row r="1806">
      <c r="B1806" s="2031">
        <v>1804.0</v>
      </c>
      <c r="C1806" s="2031">
        <v>217.0</v>
      </c>
      <c r="D1806" s="2031">
        <v>433.0</v>
      </c>
      <c r="E1806" s="2031">
        <v>288.0</v>
      </c>
      <c r="F1806" s="2031">
        <v>288.0</v>
      </c>
      <c r="G1806" s="2031">
        <v>289.0</v>
      </c>
      <c r="H1806" s="2031">
        <v>289.0</v>
      </c>
    </row>
    <row r="1807">
      <c r="B1807" s="2031">
        <v>1805.0</v>
      </c>
      <c r="C1807" s="2031">
        <v>216.0</v>
      </c>
      <c r="D1807" s="2031">
        <v>433.0</v>
      </c>
      <c r="E1807" s="2031">
        <v>289.0</v>
      </c>
      <c r="F1807" s="2031">
        <v>289.0</v>
      </c>
      <c r="G1807" s="2031">
        <v>289.0</v>
      </c>
      <c r="H1807" s="2031">
        <v>289.0</v>
      </c>
    </row>
    <row r="1808">
      <c r="B1808" s="2031">
        <v>1806.0</v>
      </c>
      <c r="C1808" s="2031">
        <v>217.0</v>
      </c>
      <c r="D1808" s="2031">
        <v>433.0</v>
      </c>
      <c r="E1808" s="2031">
        <v>289.0</v>
      </c>
      <c r="F1808" s="2031">
        <v>289.0</v>
      </c>
      <c r="G1808" s="2031">
        <v>289.0</v>
      </c>
      <c r="H1808" s="2031">
        <v>289.0</v>
      </c>
    </row>
    <row r="1809">
      <c r="B1809" s="2031">
        <v>1807.0</v>
      </c>
      <c r="C1809" s="2031">
        <v>217.0</v>
      </c>
      <c r="D1809" s="2031">
        <v>434.0</v>
      </c>
      <c r="E1809" s="2031">
        <v>289.0</v>
      </c>
      <c r="F1809" s="2031">
        <v>289.0</v>
      </c>
      <c r="G1809" s="2031">
        <v>289.0</v>
      </c>
      <c r="H1809" s="2031">
        <v>289.0</v>
      </c>
    </row>
    <row r="1810">
      <c r="B1810" s="2031">
        <v>1808.0</v>
      </c>
      <c r="C1810" s="2031">
        <v>217.0</v>
      </c>
      <c r="D1810" s="2031">
        <v>433.0</v>
      </c>
      <c r="E1810" s="2031">
        <v>289.0</v>
      </c>
      <c r="F1810" s="2031">
        <v>289.0</v>
      </c>
      <c r="G1810" s="2031">
        <v>290.0</v>
      </c>
      <c r="H1810" s="2031">
        <v>290.0</v>
      </c>
    </row>
    <row r="1811">
      <c r="B1811" s="2031">
        <v>1809.0</v>
      </c>
      <c r="C1811" s="2031">
        <v>217.0</v>
      </c>
      <c r="D1811" s="2031">
        <v>434.0</v>
      </c>
      <c r="E1811" s="2031">
        <v>289.0</v>
      </c>
      <c r="F1811" s="2031">
        <v>289.0</v>
      </c>
      <c r="G1811" s="2031">
        <v>290.0</v>
      </c>
      <c r="H1811" s="2031">
        <v>290.0</v>
      </c>
    </row>
    <row r="1812">
      <c r="B1812" s="2031">
        <v>1810.0</v>
      </c>
      <c r="C1812" s="2031">
        <v>217.0</v>
      </c>
      <c r="D1812" s="2031">
        <v>435.0</v>
      </c>
      <c r="E1812" s="2031">
        <v>289.0</v>
      </c>
      <c r="F1812" s="2031">
        <v>289.0</v>
      </c>
      <c r="G1812" s="2031">
        <v>290.0</v>
      </c>
      <c r="H1812" s="2031">
        <v>290.0</v>
      </c>
    </row>
    <row r="1813">
      <c r="B1813" s="2031">
        <v>1811.0</v>
      </c>
      <c r="C1813" s="2031">
        <v>217.0</v>
      </c>
      <c r="D1813" s="2031">
        <v>434.0</v>
      </c>
      <c r="E1813" s="2031">
        <v>290.0</v>
      </c>
      <c r="F1813" s="2031">
        <v>290.0</v>
      </c>
      <c r="G1813" s="2031">
        <v>290.0</v>
      </c>
      <c r="H1813" s="2031">
        <v>290.0</v>
      </c>
    </row>
    <row r="1814">
      <c r="B1814" s="2031">
        <v>1812.0</v>
      </c>
      <c r="C1814" s="2031">
        <v>217.0</v>
      </c>
      <c r="D1814" s="2031">
        <v>435.0</v>
      </c>
      <c r="E1814" s="2031">
        <v>290.0</v>
      </c>
      <c r="F1814" s="2031">
        <v>290.0</v>
      </c>
      <c r="G1814" s="2031">
        <v>290.0</v>
      </c>
      <c r="H1814" s="2031">
        <v>290.0</v>
      </c>
    </row>
    <row r="1815">
      <c r="B1815" s="2031">
        <v>1813.0</v>
      </c>
      <c r="C1815" s="2031">
        <v>218.0</v>
      </c>
      <c r="D1815" s="2031">
        <v>435.0</v>
      </c>
      <c r="E1815" s="2031">
        <v>290.0</v>
      </c>
      <c r="F1815" s="2031">
        <v>290.0</v>
      </c>
      <c r="G1815" s="2031">
        <v>290.0</v>
      </c>
      <c r="H1815" s="2031">
        <v>290.0</v>
      </c>
    </row>
    <row r="1816">
      <c r="B1816" s="2031">
        <v>1814.0</v>
      </c>
      <c r="C1816" s="2031">
        <v>218.0</v>
      </c>
      <c r="D1816" s="2031">
        <v>436.0</v>
      </c>
      <c r="E1816" s="2031">
        <v>290.0</v>
      </c>
      <c r="F1816" s="2031">
        <v>290.0</v>
      </c>
      <c r="G1816" s="2031">
        <v>290.0</v>
      </c>
      <c r="H1816" s="2031">
        <v>290.0</v>
      </c>
    </row>
    <row r="1817">
      <c r="B1817" s="2031">
        <v>1815.0</v>
      </c>
      <c r="C1817" s="2031">
        <v>218.0</v>
      </c>
      <c r="D1817" s="2031">
        <v>435.0</v>
      </c>
      <c r="E1817" s="2031">
        <v>290.0</v>
      </c>
      <c r="F1817" s="2031">
        <v>290.0</v>
      </c>
      <c r="G1817" s="2031">
        <v>291.0</v>
      </c>
      <c r="H1817" s="2031">
        <v>291.0</v>
      </c>
    </row>
    <row r="1818">
      <c r="B1818" s="2031">
        <v>1816.0</v>
      </c>
      <c r="C1818" s="2031">
        <v>218.0</v>
      </c>
      <c r="D1818" s="2031">
        <v>436.0</v>
      </c>
      <c r="E1818" s="2031">
        <v>290.0</v>
      </c>
      <c r="F1818" s="2031">
        <v>290.0</v>
      </c>
      <c r="G1818" s="2031">
        <v>291.0</v>
      </c>
      <c r="H1818" s="2031">
        <v>291.0</v>
      </c>
    </row>
    <row r="1819">
      <c r="B1819" s="2031">
        <v>1817.0</v>
      </c>
      <c r="C1819" s="2031">
        <v>218.0</v>
      </c>
      <c r="D1819" s="2031">
        <v>437.0</v>
      </c>
      <c r="E1819" s="2031">
        <v>290.0</v>
      </c>
      <c r="F1819" s="2031">
        <v>290.0</v>
      </c>
      <c r="G1819" s="2031">
        <v>291.0</v>
      </c>
      <c r="H1819" s="2031">
        <v>291.0</v>
      </c>
    </row>
    <row r="1820">
      <c r="B1820" s="2031">
        <v>1818.0</v>
      </c>
      <c r="C1820" s="2031">
        <v>218.0</v>
      </c>
      <c r="D1820" s="2031">
        <v>436.0</v>
      </c>
      <c r="E1820" s="2031">
        <v>291.0</v>
      </c>
      <c r="F1820" s="2031">
        <v>291.0</v>
      </c>
      <c r="G1820" s="2031">
        <v>291.0</v>
      </c>
      <c r="H1820" s="2031">
        <v>291.0</v>
      </c>
    </row>
    <row r="1821">
      <c r="B1821" s="2031">
        <v>1819.0</v>
      </c>
      <c r="C1821" s="2031">
        <v>218.0</v>
      </c>
      <c r="D1821" s="2031">
        <v>437.0</v>
      </c>
      <c r="E1821" s="2031">
        <v>291.0</v>
      </c>
      <c r="F1821" s="2031">
        <v>291.0</v>
      </c>
      <c r="G1821" s="2031">
        <v>291.0</v>
      </c>
      <c r="H1821" s="2031">
        <v>291.0</v>
      </c>
    </row>
    <row r="1822">
      <c r="B1822" s="2031">
        <v>1820.0</v>
      </c>
      <c r="C1822" s="2031">
        <v>219.0</v>
      </c>
      <c r="D1822" s="2031">
        <v>437.0</v>
      </c>
      <c r="E1822" s="2031">
        <v>291.0</v>
      </c>
      <c r="F1822" s="2031">
        <v>291.0</v>
      </c>
      <c r="G1822" s="2031">
        <v>291.0</v>
      </c>
      <c r="H1822" s="2031">
        <v>291.0</v>
      </c>
    </row>
    <row r="1823">
      <c r="B1823" s="2031">
        <v>1821.0</v>
      </c>
      <c r="C1823" s="2031">
        <v>218.0</v>
      </c>
      <c r="D1823" s="2031">
        <v>437.0</v>
      </c>
      <c r="E1823" s="2031">
        <v>291.0</v>
      </c>
      <c r="F1823" s="2031">
        <v>291.0</v>
      </c>
      <c r="G1823" s="2031">
        <v>292.0</v>
      </c>
      <c r="H1823" s="2031">
        <v>292.0</v>
      </c>
    </row>
    <row r="1824">
      <c r="B1824" s="2031">
        <v>1822.0</v>
      </c>
      <c r="C1824" s="2031">
        <v>219.0</v>
      </c>
      <c r="D1824" s="2031">
        <v>437.0</v>
      </c>
      <c r="E1824" s="2031">
        <v>291.0</v>
      </c>
      <c r="F1824" s="2031">
        <v>291.0</v>
      </c>
      <c r="G1824" s="2031">
        <v>292.0</v>
      </c>
      <c r="H1824" s="2031">
        <v>292.0</v>
      </c>
    </row>
    <row r="1825">
      <c r="B1825" s="2031">
        <v>1823.0</v>
      </c>
      <c r="C1825" s="2031">
        <v>218.0</v>
      </c>
      <c r="D1825" s="2031">
        <v>437.0</v>
      </c>
      <c r="E1825" s="2031">
        <v>292.0</v>
      </c>
      <c r="F1825" s="2031">
        <v>292.0</v>
      </c>
      <c r="G1825" s="2031">
        <v>292.0</v>
      </c>
      <c r="H1825" s="2031">
        <v>292.0</v>
      </c>
    </row>
    <row r="1826">
      <c r="B1826" s="2031">
        <v>1824.0</v>
      </c>
      <c r="C1826" s="2031">
        <v>219.0</v>
      </c>
      <c r="D1826" s="2031">
        <v>437.0</v>
      </c>
      <c r="E1826" s="2031">
        <v>292.0</v>
      </c>
      <c r="F1826" s="2031">
        <v>292.0</v>
      </c>
      <c r="G1826" s="2031">
        <v>292.0</v>
      </c>
      <c r="H1826" s="2031">
        <v>292.0</v>
      </c>
    </row>
    <row r="1827">
      <c r="B1827" s="2031">
        <v>1825.0</v>
      </c>
      <c r="C1827" s="2031">
        <v>219.0</v>
      </c>
      <c r="D1827" s="2031">
        <v>438.0</v>
      </c>
      <c r="E1827" s="2031">
        <v>292.0</v>
      </c>
      <c r="F1827" s="2031">
        <v>292.0</v>
      </c>
      <c r="G1827" s="2031">
        <v>292.0</v>
      </c>
      <c r="H1827" s="2031">
        <v>292.0</v>
      </c>
    </row>
    <row r="1828">
      <c r="B1828" s="2031">
        <v>1826.0</v>
      </c>
      <c r="C1828" s="2031">
        <v>219.0</v>
      </c>
      <c r="D1828" s="2031">
        <v>439.0</v>
      </c>
      <c r="E1828" s="2031">
        <v>292.0</v>
      </c>
      <c r="F1828" s="2031">
        <v>292.0</v>
      </c>
      <c r="G1828" s="2031">
        <v>292.0</v>
      </c>
      <c r="H1828" s="2031">
        <v>292.0</v>
      </c>
    </row>
    <row r="1829">
      <c r="B1829" s="2031">
        <v>1827.0</v>
      </c>
      <c r="C1829" s="2031">
        <v>220.0</v>
      </c>
      <c r="D1829" s="2031">
        <v>439.0</v>
      </c>
      <c r="E1829" s="2031">
        <v>292.0</v>
      </c>
      <c r="F1829" s="2031">
        <v>292.0</v>
      </c>
      <c r="G1829" s="2031">
        <v>292.0</v>
      </c>
      <c r="H1829" s="2031">
        <v>292.0</v>
      </c>
    </row>
    <row r="1830">
      <c r="B1830" s="2031">
        <v>1828.0</v>
      </c>
      <c r="C1830" s="2031">
        <v>219.0</v>
      </c>
      <c r="D1830" s="2031">
        <v>439.0</v>
      </c>
      <c r="E1830" s="2031">
        <v>292.0</v>
      </c>
      <c r="F1830" s="2031">
        <v>292.0</v>
      </c>
      <c r="G1830" s="2031">
        <v>293.0</v>
      </c>
      <c r="H1830" s="2031">
        <v>293.0</v>
      </c>
    </row>
    <row r="1831">
      <c r="B1831" s="2031">
        <v>1829.0</v>
      </c>
      <c r="C1831" s="2031">
        <v>220.0</v>
      </c>
      <c r="D1831" s="2031">
        <v>439.0</v>
      </c>
      <c r="E1831" s="2031">
        <v>292.0</v>
      </c>
      <c r="F1831" s="2031">
        <v>292.0</v>
      </c>
      <c r="G1831" s="2031">
        <v>293.0</v>
      </c>
      <c r="H1831" s="2031">
        <v>293.0</v>
      </c>
    </row>
    <row r="1832">
      <c r="B1832" s="2031">
        <v>1830.0</v>
      </c>
      <c r="C1832" s="2031">
        <v>219.0</v>
      </c>
      <c r="D1832" s="2031">
        <v>439.0</v>
      </c>
      <c r="E1832" s="2031">
        <v>293.0</v>
      </c>
      <c r="F1832" s="2031">
        <v>293.0</v>
      </c>
      <c r="G1832" s="2031">
        <v>293.0</v>
      </c>
      <c r="H1832" s="2031">
        <v>293.0</v>
      </c>
    </row>
    <row r="1833">
      <c r="B1833" s="2031">
        <v>1831.0</v>
      </c>
      <c r="C1833" s="2031">
        <v>220.0</v>
      </c>
      <c r="D1833" s="2031">
        <v>439.0</v>
      </c>
      <c r="E1833" s="2031">
        <v>293.0</v>
      </c>
      <c r="F1833" s="2031">
        <v>293.0</v>
      </c>
      <c r="G1833" s="2031">
        <v>293.0</v>
      </c>
      <c r="H1833" s="2031">
        <v>293.0</v>
      </c>
    </row>
    <row r="1834">
      <c r="B1834" s="2031">
        <v>1832.0</v>
      </c>
      <c r="C1834" s="2031">
        <v>220.0</v>
      </c>
      <c r="D1834" s="2031">
        <v>440.0</v>
      </c>
      <c r="E1834" s="2031">
        <v>293.0</v>
      </c>
      <c r="F1834" s="2031">
        <v>293.0</v>
      </c>
      <c r="G1834" s="2031">
        <v>293.0</v>
      </c>
      <c r="H1834" s="2031">
        <v>293.0</v>
      </c>
    </row>
    <row r="1835">
      <c r="B1835" s="2031">
        <v>1833.0</v>
      </c>
      <c r="C1835" s="2031">
        <v>220.0</v>
      </c>
      <c r="D1835" s="2031">
        <v>439.0</v>
      </c>
      <c r="E1835" s="2031">
        <v>293.0</v>
      </c>
      <c r="F1835" s="2031">
        <v>293.0</v>
      </c>
      <c r="G1835" s="2031">
        <v>294.0</v>
      </c>
      <c r="H1835" s="2031">
        <v>294.0</v>
      </c>
    </row>
    <row r="1836">
      <c r="B1836" s="2031">
        <v>1834.0</v>
      </c>
      <c r="C1836" s="2031">
        <v>220.0</v>
      </c>
      <c r="D1836" s="2031">
        <v>440.0</v>
      </c>
      <c r="E1836" s="2031">
        <v>293.0</v>
      </c>
      <c r="F1836" s="2031">
        <v>293.0</v>
      </c>
      <c r="G1836" s="2031">
        <v>294.0</v>
      </c>
      <c r="H1836" s="2031">
        <v>294.0</v>
      </c>
    </row>
    <row r="1837">
      <c r="B1837" s="2031">
        <v>1835.0</v>
      </c>
      <c r="C1837" s="2031">
        <v>220.0</v>
      </c>
      <c r="D1837" s="2031">
        <v>441.0</v>
      </c>
      <c r="E1837" s="2031">
        <v>293.0</v>
      </c>
      <c r="F1837" s="2031">
        <v>293.0</v>
      </c>
      <c r="G1837" s="2031">
        <v>294.0</v>
      </c>
      <c r="H1837" s="2031">
        <v>294.0</v>
      </c>
    </row>
    <row r="1838">
      <c r="B1838" s="2031">
        <v>1836.0</v>
      </c>
      <c r="C1838" s="2031">
        <v>220.0</v>
      </c>
      <c r="D1838" s="2031">
        <v>440.0</v>
      </c>
      <c r="E1838" s="2031">
        <v>294.0</v>
      </c>
      <c r="F1838" s="2031">
        <v>294.0</v>
      </c>
      <c r="G1838" s="2031">
        <v>294.0</v>
      </c>
      <c r="H1838" s="2031">
        <v>294.0</v>
      </c>
    </row>
    <row r="1839">
      <c r="B1839" s="2031">
        <v>1837.0</v>
      </c>
      <c r="C1839" s="2031">
        <v>220.0</v>
      </c>
      <c r="D1839" s="2031">
        <v>441.0</v>
      </c>
      <c r="E1839" s="2031">
        <v>294.0</v>
      </c>
      <c r="F1839" s="2031">
        <v>294.0</v>
      </c>
      <c r="G1839" s="2031">
        <v>294.0</v>
      </c>
      <c r="H1839" s="2031">
        <v>294.0</v>
      </c>
    </row>
    <row r="1840">
      <c r="B1840" s="2031">
        <v>1838.0</v>
      </c>
      <c r="C1840" s="2031">
        <v>221.0</v>
      </c>
      <c r="D1840" s="2031">
        <v>441.0</v>
      </c>
      <c r="E1840" s="2031">
        <v>294.0</v>
      </c>
      <c r="F1840" s="2031">
        <v>294.0</v>
      </c>
      <c r="G1840" s="2031">
        <v>294.0</v>
      </c>
      <c r="H1840" s="2031">
        <v>294.0</v>
      </c>
    </row>
    <row r="1841">
      <c r="B1841" s="2031">
        <v>1839.0</v>
      </c>
      <c r="C1841" s="2031">
        <v>221.0</v>
      </c>
      <c r="D1841" s="2031">
        <v>442.0</v>
      </c>
      <c r="E1841" s="2031">
        <v>294.0</v>
      </c>
      <c r="F1841" s="2031">
        <v>294.0</v>
      </c>
      <c r="G1841" s="2031">
        <v>294.0</v>
      </c>
      <c r="H1841" s="2031">
        <v>294.0</v>
      </c>
    </row>
    <row r="1842">
      <c r="B1842" s="2031">
        <v>1840.0</v>
      </c>
      <c r="C1842" s="2031">
        <v>221.0</v>
      </c>
      <c r="D1842" s="2031">
        <v>441.0</v>
      </c>
      <c r="E1842" s="2031">
        <v>294.0</v>
      </c>
      <c r="F1842" s="2031">
        <v>294.0</v>
      </c>
      <c r="G1842" s="2031">
        <v>295.0</v>
      </c>
      <c r="H1842" s="2031">
        <v>295.0</v>
      </c>
    </row>
    <row r="1843">
      <c r="B1843" s="2031">
        <v>1841.0</v>
      </c>
      <c r="C1843" s="2031">
        <v>221.0</v>
      </c>
      <c r="D1843" s="2031">
        <v>442.0</v>
      </c>
      <c r="E1843" s="2031">
        <v>294.0</v>
      </c>
      <c r="F1843" s="2031">
        <v>294.0</v>
      </c>
      <c r="G1843" s="2031">
        <v>295.0</v>
      </c>
      <c r="H1843" s="2031">
        <v>295.0</v>
      </c>
    </row>
    <row r="1844">
      <c r="B1844" s="2031">
        <v>1842.0</v>
      </c>
      <c r="C1844" s="2031">
        <v>221.0</v>
      </c>
      <c r="D1844" s="2031">
        <v>443.0</v>
      </c>
      <c r="E1844" s="2031">
        <v>294.0</v>
      </c>
      <c r="F1844" s="2031">
        <v>294.0</v>
      </c>
      <c r="G1844" s="2031">
        <v>295.0</v>
      </c>
      <c r="H1844" s="2031">
        <v>295.0</v>
      </c>
    </row>
    <row r="1845">
      <c r="B1845" s="2031">
        <v>1843.0</v>
      </c>
      <c r="C1845" s="2031">
        <v>221.0</v>
      </c>
      <c r="D1845" s="2031">
        <v>442.0</v>
      </c>
      <c r="E1845" s="2031">
        <v>295.0</v>
      </c>
      <c r="F1845" s="2031">
        <v>295.0</v>
      </c>
      <c r="G1845" s="2031">
        <v>295.0</v>
      </c>
      <c r="H1845" s="2031">
        <v>295.0</v>
      </c>
    </row>
    <row r="1846">
      <c r="B1846" s="2031">
        <v>1844.0</v>
      </c>
      <c r="C1846" s="2031">
        <v>221.0</v>
      </c>
      <c r="D1846" s="2031">
        <v>443.0</v>
      </c>
      <c r="E1846" s="2031">
        <v>295.0</v>
      </c>
      <c r="F1846" s="2031">
        <v>295.0</v>
      </c>
      <c r="G1846" s="2031">
        <v>295.0</v>
      </c>
      <c r="H1846" s="2031">
        <v>295.0</v>
      </c>
    </row>
    <row r="1847">
      <c r="B1847" s="2031">
        <v>1845.0</v>
      </c>
      <c r="C1847" s="2031">
        <v>222.0</v>
      </c>
      <c r="D1847" s="2031">
        <v>443.0</v>
      </c>
      <c r="E1847" s="2031">
        <v>295.0</v>
      </c>
      <c r="F1847" s="2031">
        <v>295.0</v>
      </c>
      <c r="G1847" s="2031">
        <v>295.0</v>
      </c>
      <c r="H1847" s="2031">
        <v>295.0</v>
      </c>
    </row>
    <row r="1848">
      <c r="B1848" s="2031">
        <v>1846.0</v>
      </c>
      <c r="C1848" s="2031">
        <v>221.0</v>
      </c>
      <c r="D1848" s="2031">
        <v>443.0</v>
      </c>
      <c r="E1848" s="2031">
        <v>295.0</v>
      </c>
      <c r="F1848" s="2031">
        <v>295.0</v>
      </c>
      <c r="G1848" s="2031">
        <v>296.0</v>
      </c>
      <c r="H1848" s="2031">
        <v>296.0</v>
      </c>
    </row>
    <row r="1849">
      <c r="B1849" s="2031">
        <v>1847.0</v>
      </c>
      <c r="C1849" s="2031">
        <v>222.0</v>
      </c>
      <c r="D1849" s="2031">
        <v>443.0</v>
      </c>
      <c r="E1849" s="2031">
        <v>295.0</v>
      </c>
      <c r="F1849" s="2031">
        <v>295.0</v>
      </c>
      <c r="G1849" s="2031">
        <v>296.0</v>
      </c>
      <c r="H1849" s="2031">
        <v>296.0</v>
      </c>
    </row>
    <row r="1850">
      <c r="B1850" s="2031">
        <v>1848.0</v>
      </c>
      <c r="C1850" s="2031">
        <v>221.0</v>
      </c>
      <c r="D1850" s="2031">
        <v>443.0</v>
      </c>
      <c r="E1850" s="2031">
        <v>296.0</v>
      </c>
      <c r="F1850" s="2031">
        <v>296.0</v>
      </c>
      <c r="G1850" s="2031">
        <v>296.0</v>
      </c>
      <c r="H1850" s="2031">
        <v>296.0</v>
      </c>
    </row>
    <row r="1851">
      <c r="B1851" s="2031">
        <v>1849.0</v>
      </c>
      <c r="C1851" s="2031">
        <v>222.0</v>
      </c>
      <c r="D1851" s="2031">
        <v>443.0</v>
      </c>
      <c r="E1851" s="2031">
        <v>296.0</v>
      </c>
      <c r="F1851" s="2031">
        <v>296.0</v>
      </c>
      <c r="G1851" s="2031">
        <v>296.0</v>
      </c>
      <c r="H1851" s="2031">
        <v>296.0</v>
      </c>
    </row>
    <row r="1852">
      <c r="B1852" s="2031">
        <v>1850.0</v>
      </c>
      <c r="C1852" s="2031">
        <v>222.0</v>
      </c>
      <c r="D1852" s="2031">
        <v>444.0</v>
      </c>
      <c r="E1852" s="2031">
        <v>296.0</v>
      </c>
      <c r="F1852" s="2031">
        <v>296.0</v>
      </c>
      <c r="G1852" s="2031">
        <v>296.0</v>
      </c>
      <c r="H1852" s="2031">
        <v>296.0</v>
      </c>
    </row>
    <row r="1853">
      <c r="B1853" s="2031">
        <v>1851.0</v>
      </c>
      <c r="C1853" s="2031">
        <v>222.0</v>
      </c>
      <c r="D1853" s="2031">
        <v>445.0</v>
      </c>
      <c r="E1853" s="2031">
        <v>296.0</v>
      </c>
      <c r="F1853" s="2031">
        <v>296.0</v>
      </c>
      <c r="G1853" s="2031">
        <v>296.0</v>
      </c>
      <c r="H1853" s="2031">
        <v>296.0</v>
      </c>
    </row>
    <row r="1854">
      <c r="B1854" s="2031">
        <v>1852.0</v>
      </c>
      <c r="C1854" s="2031">
        <v>223.0</v>
      </c>
      <c r="D1854" s="2031">
        <v>445.0</v>
      </c>
      <c r="E1854" s="2031">
        <v>296.0</v>
      </c>
      <c r="F1854" s="2031">
        <v>296.0</v>
      </c>
      <c r="G1854" s="2031">
        <v>296.0</v>
      </c>
      <c r="H1854" s="2031">
        <v>296.0</v>
      </c>
    </row>
    <row r="1855">
      <c r="B1855" s="2031">
        <v>1853.0</v>
      </c>
      <c r="C1855" s="2031">
        <v>222.0</v>
      </c>
      <c r="D1855" s="2031">
        <v>445.0</v>
      </c>
      <c r="E1855" s="2031">
        <v>296.0</v>
      </c>
      <c r="F1855" s="2031">
        <v>296.0</v>
      </c>
      <c r="G1855" s="2031">
        <v>297.0</v>
      </c>
      <c r="H1855" s="2031">
        <v>297.0</v>
      </c>
    </row>
    <row r="1856">
      <c r="B1856" s="2031">
        <v>1854.0</v>
      </c>
      <c r="C1856" s="2031">
        <v>223.0</v>
      </c>
      <c r="D1856" s="2031">
        <v>445.0</v>
      </c>
      <c r="E1856" s="2031">
        <v>296.0</v>
      </c>
      <c r="F1856" s="2031">
        <v>296.0</v>
      </c>
      <c r="G1856" s="2031">
        <v>297.0</v>
      </c>
      <c r="H1856" s="2031">
        <v>297.0</v>
      </c>
    </row>
    <row r="1857">
      <c r="B1857" s="2031">
        <v>1855.0</v>
      </c>
      <c r="C1857" s="2031">
        <v>222.0</v>
      </c>
      <c r="D1857" s="2031">
        <v>445.0</v>
      </c>
      <c r="E1857" s="2031">
        <v>297.0</v>
      </c>
      <c r="F1857" s="2031">
        <v>297.0</v>
      </c>
      <c r="G1857" s="2031">
        <v>297.0</v>
      </c>
      <c r="H1857" s="2031">
        <v>297.0</v>
      </c>
    </row>
    <row r="1858">
      <c r="B1858" s="2031">
        <v>1856.0</v>
      </c>
      <c r="C1858" s="2031">
        <v>223.0</v>
      </c>
      <c r="D1858" s="2031">
        <v>445.0</v>
      </c>
      <c r="E1858" s="2031">
        <v>297.0</v>
      </c>
      <c r="F1858" s="2031">
        <v>297.0</v>
      </c>
      <c r="G1858" s="2031">
        <v>297.0</v>
      </c>
      <c r="H1858" s="2031">
        <v>297.0</v>
      </c>
    </row>
    <row r="1859">
      <c r="B1859" s="2031">
        <v>1857.0</v>
      </c>
      <c r="C1859" s="2031">
        <v>223.0</v>
      </c>
      <c r="D1859" s="2031">
        <v>446.0</v>
      </c>
      <c r="E1859" s="2031">
        <v>297.0</v>
      </c>
      <c r="F1859" s="2031">
        <v>297.0</v>
      </c>
      <c r="G1859" s="2031">
        <v>297.0</v>
      </c>
      <c r="H1859" s="2031">
        <v>297.0</v>
      </c>
    </row>
    <row r="1860">
      <c r="B1860" s="2031">
        <v>1858.0</v>
      </c>
      <c r="C1860" s="2031">
        <v>223.0</v>
      </c>
      <c r="D1860" s="2031">
        <v>445.0</v>
      </c>
      <c r="E1860" s="2031">
        <v>297.0</v>
      </c>
      <c r="F1860" s="2031">
        <v>297.0</v>
      </c>
      <c r="G1860" s="2031">
        <v>298.0</v>
      </c>
      <c r="H1860" s="2031">
        <v>298.0</v>
      </c>
    </row>
    <row r="1861">
      <c r="B1861" s="2031">
        <v>1859.0</v>
      </c>
      <c r="C1861" s="2031">
        <v>223.0</v>
      </c>
      <c r="D1861" s="2031">
        <v>446.0</v>
      </c>
      <c r="E1861" s="2031">
        <v>297.0</v>
      </c>
      <c r="F1861" s="2031">
        <v>297.0</v>
      </c>
      <c r="G1861" s="2031">
        <v>298.0</v>
      </c>
      <c r="H1861" s="2031">
        <v>298.0</v>
      </c>
    </row>
    <row r="1862">
      <c r="B1862" s="2031">
        <v>1860.0</v>
      </c>
      <c r="C1862" s="2031">
        <v>223.0</v>
      </c>
      <c r="D1862" s="2031">
        <v>447.0</v>
      </c>
      <c r="E1862" s="2031">
        <v>297.0</v>
      </c>
      <c r="F1862" s="2031">
        <v>297.0</v>
      </c>
      <c r="G1862" s="2031">
        <v>298.0</v>
      </c>
      <c r="H1862" s="2031">
        <v>298.0</v>
      </c>
    </row>
    <row r="1863">
      <c r="B1863" s="2031">
        <v>1861.0</v>
      </c>
      <c r="C1863" s="2031">
        <v>223.0</v>
      </c>
      <c r="D1863" s="2031">
        <v>446.0</v>
      </c>
      <c r="E1863" s="2031">
        <v>298.0</v>
      </c>
      <c r="F1863" s="2031">
        <v>298.0</v>
      </c>
      <c r="G1863" s="2031">
        <v>298.0</v>
      </c>
      <c r="H1863" s="2031">
        <v>298.0</v>
      </c>
    </row>
    <row r="1864">
      <c r="B1864" s="2031">
        <v>1862.0</v>
      </c>
      <c r="C1864" s="2031">
        <v>223.0</v>
      </c>
      <c r="D1864" s="2031">
        <v>447.0</v>
      </c>
      <c r="E1864" s="2031">
        <v>298.0</v>
      </c>
      <c r="F1864" s="2031">
        <v>298.0</v>
      </c>
      <c r="G1864" s="2031">
        <v>298.0</v>
      </c>
      <c r="H1864" s="2031">
        <v>298.0</v>
      </c>
    </row>
    <row r="1865">
      <c r="B1865" s="2031">
        <v>1863.0</v>
      </c>
      <c r="C1865" s="2031">
        <v>224.0</v>
      </c>
      <c r="D1865" s="2031">
        <v>447.0</v>
      </c>
      <c r="E1865" s="2031">
        <v>298.0</v>
      </c>
      <c r="F1865" s="2031">
        <v>298.0</v>
      </c>
      <c r="G1865" s="2031">
        <v>298.0</v>
      </c>
      <c r="H1865" s="2031">
        <v>298.0</v>
      </c>
    </row>
    <row r="1866">
      <c r="B1866" s="2031">
        <v>1864.0</v>
      </c>
      <c r="C1866" s="2031">
        <v>224.0</v>
      </c>
      <c r="D1866" s="2031">
        <v>448.0</v>
      </c>
      <c r="E1866" s="2031">
        <v>298.0</v>
      </c>
      <c r="F1866" s="2031">
        <v>298.0</v>
      </c>
      <c r="G1866" s="2031">
        <v>298.0</v>
      </c>
      <c r="H1866" s="2031">
        <v>298.0</v>
      </c>
    </row>
    <row r="1867">
      <c r="B1867" s="2031">
        <v>1865.0</v>
      </c>
      <c r="C1867" s="2031">
        <v>224.0</v>
      </c>
      <c r="D1867" s="2031">
        <v>447.0</v>
      </c>
      <c r="E1867" s="2031">
        <v>298.0</v>
      </c>
      <c r="F1867" s="2031">
        <v>298.0</v>
      </c>
      <c r="G1867" s="2031">
        <v>299.0</v>
      </c>
      <c r="H1867" s="2031">
        <v>299.0</v>
      </c>
    </row>
    <row r="1868">
      <c r="B1868" s="2031">
        <v>1866.0</v>
      </c>
      <c r="C1868" s="2031">
        <v>224.0</v>
      </c>
      <c r="D1868" s="2031">
        <v>448.0</v>
      </c>
      <c r="E1868" s="2031">
        <v>298.0</v>
      </c>
      <c r="F1868" s="2031">
        <v>298.0</v>
      </c>
      <c r="G1868" s="2031">
        <v>299.0</v>
      </c>
      <c r="H1868" s="2031">
        <v>299.0</v>
      </c>
    </row>
    <row r="1869">
      <c r="B1869" s="2031">
        <v>1867.0</v>
      </c>
      <c r="C1869" s="2031">
        <v>224.0</v>
      </c>
      <c r="D1869" s="2031">
        <v>449.0</v>
      </c>
      <c r="E1869" s="2031">
        <v>298.0</v>
      </c>
      <c r="F1869" s="2031">
        <v>298.0</v>
      </c>
      <c r="G1869" s="2031">
        <v>299.0</v>
      </c>
      <c r="H1869" s="2031">
        <v>299.0</v>
      </c>
    </row>
    <row r="1870">
      <c r="B1870" s="2031">
        <v>1868.0</v>
      </c>
      <c r="C1870" s="2031">
        <v>224.0</v>
      </c>
      <c r="D1870" s="2031">
        <v>448.0</v>
      </c>
      <c r="E1870" s="2031">
        <v>299.0</v>
      </c>
      <c r="F1870" s="2031">
        <v>299.0</v>
      </c>
      <c r="G1870" s="2031">
        <v>299.0</v>
      </c>
      <c r="H1870" s="2031">
        <v>299.0</v>
      </c>
    </row>
    <row r="1871">
      <c r="B1871" s="2031">
        <v>1869.0</v>
      </c>
      <c r="C1871" s="2031">
        <v>224.0</v>
      </c>
      <c r="D1871" s="2031">
        <v>449.0</v>
      </c>
      <c r="E1871" s="2031">
        <v>299.0</v>
      </c>
      <c r="F1871" s="2031">
        <v>299.0</v>
      </c>
      <c r="G1871" s="2031">
        <v>299.0</v>
      </c>
      <c r="H1871" s="2031">
        <v>299.0</v>
      </c>
    </row>
    <row r="1872">
      <c r="B1872" s="2031">
        <v>1870.0</v>
      </c>
      <c r="C1872" s="2031">
        <v>225.0</v>
      </c>
      <c r="D1872" s="2031">
        <v>449.0</v>
      </c>
      <c r="E1872" s="2031">
        <v>299.0</v>
      </c>
      <c r="F1872" s="2031">
        <v>299.0</v>
      </c>
      <c r="G1872" s="2031">
        <v>299.0</v>
      </c>
      <c r="H1872" s="2031">
        <v>299.0</v>
      </c>
    </row>
    <row r="1873">
      <c r="B1873" s="2031">
        <v>1871.0</v>
      </c>
      <c r="C1873" s="2031">
        <v>224.0</v>
      </c>
      <c r="D1873" s="2031">
        <v>449.0</v>
      </c>
      <c r="E1873" s="2031">
        <v>299.0</v>
      </c>
      <c r="F1873" s="2031">
        <v>299.0</v>
      </c>
      <c r="G1873" s="2031">
        <v>300.0</v>
      </c>
      <c r="H1873" s="2031">
        <v>300.0</v>
      </c>
    </row>
    <row r="1874">
      <c r="B1874" s="2031">
        <v>1872.0</v>
      </c>
      <c r="C1874" s="2031">
        <v>225.0</v>
      </c>
      <c r="D1874" s="2031">
        <v>449.0</v>
      </c>
      <c r="E1874" s="2031">
        <v>299.0</v>
      </c>
      <c r="F1874" s="2031">
        <v>299.0</v>
      </c>
      <c r="G1874" s="2031">
        <v>300.0</v>
      </c>
      <c r="H1874" s="2031">
        <v>300.0</v>
      </c>
    </row>
    <row r="1875">
      <c r="B1875" s="2031">
        <v>1873.0</v>
      </c>
      <c r="C1875" s="2031">
        <v>224.0</v>
      </c>
      <c r="D1875" s="2031">
        <v>449.0</v>
      </c>
      <c r="E1875" s="2031">
        <v>300.0</v>
      </c>
      <c r="F1875" s="2031">
        <v>300.0</v>
      </c>
      <c r="G1875" s="2031">
        <v>300.0</v>
      </c>
      <c r="H1875" s="2031">
        <v>300.0</v>
      </c>
    </row>
    <row r="1876">
      <c r="B1876" s="2031">
        <v>1874.0</v>
      </c>
      <c r="C1876" s="2031">
        <v>225.0</v>
      </c>
      <c r="D1876" s="2031">
        <v>449.0</v>
      </c>
      <c r="E1876" s="2031">
        <v>300.0</v>
      </c>
      <c r="F1876" s="2031">
        <v>300.0</v>
      </c>
      <c r="G1876" s="2031">
        <v>300.0</v>
      </c>
      <c r="H1876" s="2031">
        <v>300.0</v>
      </c>
    </row>
    <row r="1877">
      <c r="B1877" s="2031">
        <v>1875.0</v>
      </c>
      <c r="C1877" s="2031">
        <v>225.0</v>
      </c>
      <c r="D1877" s="2031">
        <v>450.0</v>
      </c>
      <c r="E1877" s="2031">
        <v>300.0</v>
      </c>
      <c r="F1877" s="2031">
        <v>300.0</v>
      </c>
      <c r="G1877" s="2031">
        <v>300.0</v>
      </c>
      <c r="H1877" s="2031">
        <v>300.0</v>
      </c>
    </row>
    <row r="1878">
      <c r="B1878" s="2031">
        <v>1876.0</v>
      </c>
      <c r="C1878" s="2031">
        <v>225.0</v>
      </c>
      <c r="D1878" s="2031">
        <v>451.0</v>
      </c>
      <c r="E1878" s="2031">
        <v>300.0</v>
      </c>
      <c r="F1878" s="2031">
        <v>300.0</v>
      </c>
      <c r="G1878" s="2031">
        <v>300.0</v>
      </c>
      <c r="H1878" s="2031">
        <v>300.0</v>
      </c>
    </row>
    <row r="1879">
      <c r="B1879" s="2031">
        <v>1877.0</v>
      </c>
      <c r="C1879" s="2031">
        <v>226.0</v>
      </c>
      <c r="D1879" s="2031">
        <v>451.0</v>
      </c>
      <c r="E1879" s="2031">
        <v>300.0</v>
      </c>
      <c r="F1879" s="2031">
        <v>300.0</v>
      </c>
      <c r="G1879" s="2031">
        <v>300.0</v>
      </c>
      <c r="H1879" s="2031">
        <v>300.0</v>
      </c>
    </row>
    <row r="1880">
      <c r="B1880" s="2031">
        <v>1878.0</v>
      </c>
      <c r="C1880" s="2031">
        <v>225.0</v>
      </c>
      <c r="D1880" s="2031">
        <v>451.0</v>
      </c>
      <c r="E1880" s="2031">
        <v>300.0</v>
      </c>
      <c r="F1880" s="2031">
        <v>300.0</v>
      </c>
      <c r="G1880" s="2031">
        <v>301.0</v>
      </c>
      <c r="H1880" s="2031">
        <v>301.0</v>
      </c>
    </row>
    <row r="1881">
      <c r="B1881" s="2031">
        <v>1879.0</v>
      </c>
      <c r="C1881" s="2031">
        <v>226.0</v>
      </c>
      <c r="D1881" s="2031">
        <v>451.0</v>
      </c>
      <c r="E1881" s="2031">
        <v>300.0</v>
      </c>
      <c r="F1881" s="2031">
        <v>300.0</v>
      </c>
      <c r="G1881" s="2031">
        <v>301.0</v>
      </c>
      <c r="H1881" s="2031">
        <v>301.0</v>
      </c>
    </row>
    <row r="1882">
      <c r="B1882" s="2031">
        <v>1880.0</v>
      </c>
      <c r="C1882" s="2031">
        <v>225.0</v>
      </c>
      <c r="D1882" s="2031">
        <v>451.0</v>
      </c>
      <c r="E1882" s="2031">
        <v>301.0</v>
      </c>
      <c r="F1882" s="2031">
        <v>301.0</v>
      </c>
      <c r="G1882" s="2031">
        <v>301.0</v>
      </c>
      <c r="H1882" s="2031">
        <v>301.0</v>
      </c>
    </row>
    <row r="1883">
      <c r="B1883" s="2031">
        <v>1881.0</v>
      </c>
      <c r="C1883" s="2031">
        <v>226.0</v>
      </c>
      <c r="D1883" s="2031">
        <v>451.0</v>
      </c>
      <c r="E1883" s="2031">
        <v>301.0</v>
      </c>
      <c r="F1883" s="2031">
        <v>301.0</v>
      </c>
      <c r="G1883" s="2031">
        <v>301.0</v>
      </c>
      <c r="H1883" s="2031">
        <v>301.0</v>
      </c>
    </row>
    <row r="1884">
      <c r="B1884" s="2031">
        <v>1882.0</v>
      </c>
      <c r="C1884" s="2031">
        <v>226.0</v>
      </c>
      <c r="D1884" s="2031">
        <v>452.0</v>
      </c>
      <c r="E1884" s="2031">
        <v>301.0</v>
      </c>
      <c r="F1884" s="2031">
        <v>301.0</v>
      </c>
      <c r="G1884" s="2031">
        <v>301.0</v>
      </c>
      <c r="H1884" s="2031">
        <v>301.0</v>
      </c>
    </row>
    <row r="1885">
      <c r="B1885" s="2031">
        <v>1883.0</v>
      </c>
      <c r="C1885" s="2031">
        <v>226.0</v>
      </c>
      <c r="D1885" s="2031">
        <v>451.0</v>
      </c>
      <c r="E1885" s="2031">
        <v>301.0</v>
      </c>
      <c r="F1885" s="2031">
        <v>301.0</v>
      </c>
      <c r="G1885" s="2031">
        <v>302.0</v>
      </c>
      <c r="H1885" s="2031">
        <v>302.0</v>
      </c>
    </row>
    <row r="1886">
      <c r="B1886" s="2031">
        <v>1884.0</v>
      </c>
      <c r="C1886" s="2031">
        <v>226.0</v>
      </c>
      <c r="D1886" s="2031">
        <v>452.0</v>
      </c>
      <c r="E1886" s="2031">
        <v>301.0</v>
      </c>
      <c r="F1886" s="2031">
        <v>301.0</v>
      </c>
      <c r="G1886" s="2031">
        <v>302.0</v>
      </c>
      <c r="H1886" s="2031">
        <v>302.0</v>
      </c>
    </row>
    <row r="1887">
      <c r="B1887" s="2031">
        <v>1885.0</v>
      </c>
      <c r="C1887" s="2031">
        <v>226.0</v>
      </c>
      <c r="D1887" s="2031">
        <v>453.0</v>
      </c>
      <c r="E1887" s="2031">
        <v>301.0</v>
      </c>
      <c r="F1887" s="2031">
        <v>301.0</v>
      </c>
      <c r="G1887" s="2031">
        <v>302.0</v>
      </c>
      <c r="H1887" s="2031">
        <v>302.0</v>
      </c>
    </row>
    <row r="1888">
      <c r="B1888" s="2031">
        <v>1886.0</v>
      </c>
      <c r="C1888" s="2031">
        <v>226.0</v>
      </c>
      <c r="D1888" s="2031">
        <v>452.0</v>
      </c>
      <c r="E1888" s="2031">
        <v>302.0</v>
      </c>
      <c r="F1888" s="2031">
        <v>302.0</v>
      </c>
      <c r="G1888" s="2031">
        <v>302.0</v>
      </c>
      <c r="H1888" s="2031">
        <v>302.0</v>
      </c>
    </row>
    <row r="1889">
      <c r="B1889" s="2031">
        <v>1887.0</v>
      </c>
      <c r="C1889" s="2031">
        <v>226.0</v>
      </c>
      <c r="D1889" s="2031">
        <v>453.0</v>
      </c>
      <c r="E1889" s="2031">
        <v>302.0</v>
      </c>
      <c r="F1889" s="2031">
        <v>302.0</v>
      </c>
      <c r="G1889" s="2031">
        <v>302.0</v>
      </c>
      <c r="H1889" s="2031">
        <v>302.0</v>
      </c>
    </row>
    <row r="1890">
      <c r="B1890" s="2031">
        <v>1888.0</v>
      </c>
      <c r="C1890" s="2031">
        <v>227.0</v>
      </c>
      <c r="D1890" s="2031">
        <v>453.0</v>
      </c>
      <c r="E1890" s="2031">
        <v>302.0</v>
      </c>
      <c r="F1890" s="2031">
        <v>302.0</v>
      </c>
      <c r="G1890" s="2031">
        <v>302.0</v>
      </c>
      <c r="H1890" s="2031">
        <v>302.0</v>
      </c>
    </row>
    <row r="1891">
      <c r="B1891" s="2031">
        <v>1889.0</v>
      </c>
      <c r="C1891" s="2031">
        <v>227.0</v>
      </c>
      <c r="D1891" s="2031">
        <v>454.0</v>
      </c>
      <c r="E1891" s="2031">
        <v>302.0</v>
      </c>
      <c r="F1891" s="2031">
        <v>302.0</v>
      </c>
      <c r="G1891" s="2031">
        <v>302.0</v>
      </c>
      <c r="H1891" s="2031">
        <v>302.0</v>
      </c>
    </row>
    <row r="1892">
      <c r="B1892" s="2031">
        <v>1890.0</v>
      </c>
      <c r="C1892" s="2031">
        <v>227.0</v>
      </c>
      <c r="D1892" s="2031">
        <v>453.0</v>
      </c>
      <c r="E1892" s="2031">
        <v>302.0</v>
      </c>
      <c r="F1892" s="2031">
        <v>302.0</v>
      </c>
      <c r="G1892" s="2031">
        <v>303.0</v>
      </c>
      <c r="H1892" s="2031">
        <v>303.0</v>
      </c>
    </row>
    <row r="1893">
      <c r="B1893" s="2031">
        <v>1891.0</v>
      </c>
      <c r="C1893" s="2031">
        <v>227.0</v>
      </c>
      <c r="D1893" s="2031">
        <v>454.0</v>
      </c>
      <c r="E1893" s="2031">
        <v>302.0</v>
      </c>
      <c r="F1893" s="2031">
        <v>302.0</v>
      </c>
      <c r="G1893" s="2031">
        <v>303.0</v>
      </c>
      <c r="H1893" s="2031">
        <v>303.0</v>
      </c>
    </row>
    <row r="1894">
      <c r="B1894" s="2031">
        <v>1892.0</v>
      </c>
      <c r="C1894" s="2031">
        <v>227.0</v>
      </c>
      <c r="D1894" s="2031">
        <v>455.0</v>
      </c>
      <c r="E1894" s="2031">
        <v>302.0</v>
      </c>
      <c r="F1894" s="2031">
        <v>302.0</v>
      </c>
      <c r="G1894" s="2031">
        <v>303.0</v>
      </c>
      <c r="H1894" s="2031">
        <v>303.0</v>
      </c>
    </row>
    <row r="1895">
      <c r="B1895" s="2031">
        <v>1893.0</v>
      </c>
      <c r="C1895" s="2031">
        <v>227.0</v>
      </c>
      <c r="D1895" s="2031">
        <v>454.0</v>
      </c>
      <c r="E1895" s="2031">
        <v>303.0</v>
      </c>
      <c r="F1895" s="2031">
        <v>303.0</v>
      </c>
      <c r="G1895" s="2031">
        <v>303.0</v>
      </c>
      <c r="H1895" s="2031">
        <v>303.0</v>
      </c>
    </row>
    <row r="1896">
      <c r="B1896" s="2031">
        <v>1894.0</v>
      </c>
      <c r="C1896" s="2031">
        <v>227.0</v>
      </c>
      <c r="D1896" s="2031">
        <v>455.0</v>
      </c>
      <c r="E1896" s="2031">
        <v>303.0</v>
      </c>
      <c r="F1896" s="2031">
        <v>303.0</v>
      </c>
      <c r="G1896" s="2031">
        <v>303.0</v>
      </c>
      <c r="H1896" s="2031">
        <v>303.0</v>
      </c>
    </row>
    <row r="1897">
      <c r="B1897" s="2031">
        <v>1895.0</v>
      </c>
      <c r="C1897" s="2031">
        <v>228.0</v>
      </c>
      <c r="D1897" s="2031">
        <v>455.0</v>
      </c>
      <c r="E1897" s="2031">
        <v>303.0</v>
      </c>
      <c r="F1897" s="2031">
        <v>303.0</v>
      </c>
      <c r="G1897" s="2031">
        <v>303.0</v>
      </c>
      <c r="H1897" s="2031">
        <v>303.0</v>
      </c>
    </row>
    <row r="1898">
      <c r="B1898" s="2031">
        <v>1896.0</v>
      </c>
      <c r="C1898" s="2031">
        <v>227.0</v>
      </c>
      <c r="D1898" s="2031">
        <v>455.0</v>
      </c>
      <c r="E1898" s="2031">
        <v>303.0</v>
      </c>
      <c r="F1898" s="2031">
        <v>303.0</v>
      </c>
      <c r="G1898" s="2031">
        <v>304.0</v>
      </c>
      <c r="H1898" s="2031">
        <v>304.0</v>
      </c>
    </row>
    <row r="1899">
      <c r="B1899" s="2031">
        <v>1897.0</v>
      </c>
      <c r="C1899" s="2031">
        <v>228.0</v>
      </c>
      <c r="D1899" s="2031">
        <v>455.0</v>
      </c>
      <c r="E1899" s="2031">
        <v>303.0</v>
      </c>
      <c r="F1899" s="2031">
        <v>303.0</v>
      </c>
      <c r="G1899" s="2031">
        <v>304.0</v>
      </c>
      <c r="H1899" s="2031">
        <v>304.0</v>
      </c>
    </row>
    <row r="1900">
      <c r="B1900" s="2031">
        <v>1898.0</v>
      </c>
      <c r="C1900" s="2031">
        <v>227.0</v>
      </c>
      <c r="D1900" s="2031">
        <v>455.0</v>
      </c>
      <c r="E1900" s="2031">
        <v>304.0</v>
      </c>
      <c r="F1900" s="2031">
        <v>304.0</v>
      </c>
      <c r="G1900" s="2031">
        <v>304.0</v>
      </c>
      <c r="H1900" s="2031">
        <v>304.0</v>
      </c>
    </row>
    <row r="1901">
      <c r="B1901" s="2031">
        <v>1899.0</v>
      </c>
      <c r="C1901" s="2031">
        <v>228.0</v>
      </c>
      <c r="D1901" s="2031">
        <v>455.0</v>
      </c>
      <c r="E1901" s="2031">
        <v>304.0</v>
      </c>
      <c r="F1901" s="2031">
        <v>304.0</v>
      </c>
      <c r="G1901" s="2031">
        <v>304.0</v>
      </c>
      <c r="H1901" s="2031">
        <v>304.0</v>
      </c>
    </row>
    <row r="1902">
      <c r="B1902" s="2031">
        <v>1900.0</v>
      </c>
      <c r="C1902" s="2031">
        <v>228.0</v>
      </c>
      <c r="D1902" s="2031">
        <v>456.0</v>
      </c>
      <c r="E1902" s="2031">
        <v>304.0</v>
      </c>
      <c r="F1902" s="2031">
        <v>304.0</v>
      </c>
      <c r="G1902" s="2031">
        <v>304.0</v>
      </c>
      <c r="H1902" s="2031">
        <v>304.0</v>
      </c>
    </row>
    <row r="1903">
      <c r="B1903" s="2031">
        <v>1901.0</v>
      </c>
      <c r="C1903" s="2031">
        <v>228.0</v>
      </c>
      <c r="D1903" s="2031">
        <v>457.0</v>
      </c>
      <c r="E1903" s="2031">
        <v>304.0</v>
      </c>
      <c r="F1903" s="2031">
        <v>304.0</v>
      </c>
      <c r="G1903" s="2031">
        <v>304.0</v>
      </c>
      <c r="H1903" s="2031">
        <v>304.0</v>
      </c>
    </row>
    <row r="1904">
      <c r="B1904" s="2031">
        <v>1902.0</v>
      </c>
      <c r="C1904" s="2031">
        <v>229.0</v>
      </c>
      <c r="D1904" s="2031">
        <v>457.0</v>
      </c>
      <c r="E1904" s="2031">
        <v>304.0</v>
      </c>
      <c r="F1904" s="2031">
        <v>304.0</v>
      </c>
      <c r="G1904" s="2031">
        <v>304.0</v>
      </c>
      <c r="H1904" s="2031">
        <v>304.0</v>
      </c>
    </row>
    <row r="1905">
      <c r="B1905" s="2031">
        <v>1903.0</v>
      </c>
      <c r="C1905" s="2031">
        <v>228.0</v>
      </c>
      <c r="D1905" s="2031">
        <v>457.0</v>
      </c>
      <c r="E1905" s="2031">
        <v>304.0</v>
      </c>
      <c r="F1905" s="2031">
        <v>304.0</v>
      </c>
      <c r="G1905" s="2031">
        <v>305.0</v>
      </c>
      <c r="H1905" s="2031">
        <v>305.0</v>
      </c>
    </row>
    <row r="1906">
      <c r="B1906" s="2031">
        <v>1904.0</v>
      </c>
      <c r="C1906" s="2031">
        <v>229.0</v>
      </c>
      <c r="D1906" s="2031">
        <v>457.0</v>
      </c>
      <c r="E1906" s="2031">
        <v>304.0</v>
      </c>
      <c r="F1906" s="2031">
        <v>304.0</v>
      </c>
      <c r="G1906" s="2031">
        <v>305.0</v>
      </c>
      <c r="H1906" s="2031">
        <v>305.0</v>
      </c>
    </row>
    <row r="1907">
      <c r="B1907" s="2031">
        <v>1905.0</v>
      </c>
      <c r="C1907" s="2031">
        <v>228.0</v>
      </c>
      <c r="D1907" s="2031">
        <v>457.0</v>
      </c>
      <c r="E1907" s="2031">
        <v>305.0</v>
      </c>
      <c r="F1907" s="2031">
        <v>305.0</v>
      </c>
      <c r="G1907" s="2031">
        <v>305.0</v>
      </c>
      <c r="H1907" s="2031">
        <v>305.0</v>
      </c>
    </row>
    <row r="1908">
      <c r="B1908" s="2031">
        <v>1906.0</v>
      </c>
      <c r="C1908" s="2031">
        <v>229.0</v>
      </c>
      <c r="D1908" s="2031">
        <v>457.0</v>
      </c>
      <c r="E1908" s="2031">
        <v>305.0</v>
      </c>
      <c r="F1908" s="2031">
        <v>305.0</v>
      </c>
      <c r="G1908" s="2031">
        <v>305.0</v>
      </c>
      <c r="H1908" s="2031">
        <v>305.0</v>
      </c>
    </row>
    <row r="1909">
      <c r="B1909" s="2031">
        <v>1907.0</v>
      </c>
      <c r="C1909" s="2031">
        <v>229.0</v>
      </c>
      <c r="D1909" s="2031">
        <v>458.0</v>
      </c>
      <c r="E1909" s="2031">
        <v>305.0</v>
      </c>
      <c r="F1909" s="2031">
        <v>305.0</v>
      </c>
      <c r="G1909" s="2031">
        <v>305.0</v>
      </c>
      <c r="H1909" s="2031">
        <v>305.0</v>
      </c>
    </row>
    <row r="1910">
      <c r="B1910" s="2031">
        <v>1908.0</v>
      </c>
      <c r="C1910" s="2031">
        <v>229.0</v>
      </c>
      <c r="D1910" s="2031">
        <v>457.0</v>
      </c>
      <c r="E1910" s="2031">
        <v>305.0</v>
      </c>
      <c r="F1910" s="2031">
        <v>305.0</v>
      </c>
      <c r="G1910" s="2031">
        <v>306.0</v>
      </c>
      <c r="H1910" s="2031">
        <v>306.0</v>
      </c>
    </row>
    <row r="1911">
      <c r="B1911" s="2031">
        <v>1909.0</v>
      </c>
      <c r="C1911" s="2031">
        <v>229.0</v>
      </c>
      <c r="D1911" s="2031">
        <v>458.0</v>
      </c>
      <c r="E1911" s="2031">
        <v>305.0</v>
      </c>
      <c r="F1911" s="2031">
        <v>305.0</v>
      </c>
      <c r="G1911" s="2031">
        <v>306.0</v>
      </c>
      <c r="H1911" s="2031">
        <v>306.0</v>
      </c>
    </row>
    <row r="1912">
      <c r="B1912" s="2031">
        <v>1910.0</v>
      </c>
      <c r="C1912" s="2031">
        <v>229.0</v>
      </c>
      <c r="D1912" s="2031">
        <v>459.0</v>
      </c>
      <c r="E1912" s="2031">
        <v>305.0</v>
      </c>
      <c r="F1912" s="2031">
        <v>305.0</v>
      </c>
      <c r="G1912" s="2031">
        <v>306.0</v>
      </c>
      <c r="H1912" s="2031">
        <v>306.0</v>
      </c>
    </row>
    <row r="1913">
      <c r="B1913" s="2031">
        <v>1911.0</v>
      </c>
      <c r="C1913" s="2031">
        <v>229.0</v>
      </c>
      <c r="D1913" s="2031">
        <v>458.0</v>
      </c>
      <c r="E1913" s="2031">
        <v>306.0</v>
      </c>
      <c r="F1913" s="2031">
        <v>306.0</v>
      </c>
      <c r="G1913" s="2031">
        <v>306.0</v>
      </c>
      <c r="H1913" s="2031">
        <v>306.0</v>
      </c>
    </row>
    <row r="1914">
      <c r="B1914" s="2031">
        <v>1912.0</v>
      </c>
      <c r="C1914" s="2031">
        <v>229.0</v>
      </c>
      <c r="D1914" s="2031">
        <v>459.0</v>
      </c>
      <c r="E1914" s="2031">
        <v>306.0</v>
      </c>
      <c r="F1914" s="2031">
        <v>306.0</v>
      </c>
      <c r="G1914" s="2031">
        <v>306.0</v>
      </c>
      <c r="H1914" s="2031">
        <v>306.0</v>
      </c>
    </row>
    <row r="1915">
      <c r="B1915" s="2031">
        <v>1913.0</v>
      </c>
      <c r="C1915" s="2031">
        <v>230.0</v>
      </c>
      <c r="D1915" s="2031">
        <v>459.0</v>
      </c>
      <c r="E1915" s="2031">
        <v>306.0</v>
      </c>
      <c r="F1915" s="2031">
        <v>306.0</v>
      </c>
      <c r="G1915" s="2031">
        <v>306.0</v>
      </c>
      <c r="H1915" s="2031">
        <v>306.0</v>
      </c>
    </row>
    <row r="1916">
      <c r="B1916" s="2031">
        <v>1914.0</v>
      </c>
      <c r="C1916" s="2031">
        <v>230.0</v>
      </c>
      <c r="D1916" s="2031">
        <v>460.0</v>
      </c>
      <c r="E1916" s="2031">
        <v>306.0</v>
      </c>
      <c r="F1916" s="2031">
        <v>306.0</v>
      </c>
      <c r="G1916" s="2031">
        <v>306.0</v>
      </c>
      <c r="H1916" s="2031">
        <v>306.0</v>
      </c>
    </row>
    <row r="1917">
      <c r="B1917" s="2031">
        <v>1915.0</v>
      </c>
      <c r="C1917" s="2031">
        <v>230.0</v>
      </c>
      <c r="D1917" s="2031">
        <v>459.0</v>
      </c>
      <c r="E1917" s="2031">
        <v>306.0</v>
      </c>
      <c r="F1917" s="2031">
        <v>306.0</v>
      </c>
      <c r="G1917" s="2031">
        <v>307.0</v>
      </c>
      <c r="H1917" s="2031">
        <v>307.0</v>
      </c>
    </row>
    <row r="1918">
      <c r="B1918" s="2031">
        <v>1916.0</v>
      </c>
      <c r="C1918" s="2031">
        <v>230.0</v>
      </c>
      <c r="D1918" s="2031">
        <v>460.0</v>
      </c>
      <c r="E1918" s="2031">
        <v>306.0</v>
      </c>
      <c r="F1918" s="2031">
        <v>306.0</v>
      </c>
      <c r="G1918" s="2031">
        <v>307.0</v>
      </c>
      <c r="H1918" s="2031">
        <v>307.0</v>
      </c>
    </row>
    <row r="1919">
      <c r="B1919" s="2031">
        <v>1917.0</v>
      </c>
      <c r="C1919" s="2031">
        <v>230.0</v>
      </c>
      <c r="D1919" s="2031">
        <v>461.0</v>
      </c>
      <c r="E1919" s="2031">
        <v>306.0</v>
      </c>
      <c r="F1919" s="2031">
        <v>306.0</v>
      </c>
      <c r="G1919" s="2031">
        <v>307.0</v>
      </c>
      <c r="H1919" s="2031">
        <v>307.0</v>
      </c>
    </row>
    <row r="1920">
      <c r="B1920" s="2031">
        <v>1918.0</v>
      </c>
      <c r="C1920" s="2031">
        <v>230.0</v>
      </c>
      <c r="D1920" s="2031">
        <v>460.0</v>
      </c>
      <c r="E1920" s="2031">
        <v>307.0</v>
      </c>
      <c r="F1920" s="2031">
        <v>307.0</v>
      </c>
      <c r="G1920" s="2031">
        <v>307.0</v>
      </c>
      <c r="H1920" s="2031">
        <v>307.0</v>
      </c>
    </row>
    <row r="1921">
      <c r="B1921" s="2031">
        <v>1919.0</v>
      </c>
      <c r="C1921" s="2031">
        <v>230.0</v>
      </c>
      <c r="D1921" s="2031">
        <v>461.0</v>
      </c>
      <c r="E1921" s="2031">
        <v>307.0</v>
      </c>
      <c r="F1921" s="2031">
        <v>307.0</v>
      </c>
      <c r="G1921" s="2031">
        <v>307.0</v>
      </c>
      <c r="H1921" s="2031">
        <v>307.0</v>
      </c>
    </row>
    <row r="1922">
      <c r="B1922" s="2031">
        <v>1920.0</v>
      </c>
      <c r="C1922" s="2031">
        <v>231.0</v>
      </c>
      <c r="D1922" s="2031">
        <v>461.0</v>
      </c>
      <c r="E1922" s="2031">
        <v>307.0</v>
      </c>
      <c r="F1922" s="2031">
        <v>307.0</v>
      </c>
      <c r="G1922" s="2031">
        <v>307.0</v>
      </c>
      <c r="H1922" s="2031">
        <v>307.0</v>
      </c>
    </row>
    <row r="1923">
      <c r="B1923" s="2031">
        <v>1921.0</v>
      </c>
      <c r="C1923" s="2031">
        <v>230.0</v>
      </c>
      <c r="D1923" s="2031">
        <v>461.0</v>
      </c>
      <c r="E1923" s="2031">
        <v>307.0</v>
      </c>
      <c r="F1923" s="2031">
        <v>307.0</v>
      </c>
      <c r="G1923" s="2031">
        <v>308.0</v>
      </c>
      <c r="H1923" s="2031">
        <v>308.0</v>
      </c>
    </row>
    <row r="1924">
      <c r="B1924" s="2031">
        <v>1922.0</v>
      </c>
      <c r="C1924" s="2031">
        <v>231.0</v>
      </c>
      <c r="D1924" s="2031">
        <v>461.0</v>
      </c>
      <c r="E1924" s="2031">
        <v>307.0</v>
      </c>
      <c r="F1924" s="2031">
        <v>307.0</v>
      </c>
      <c r="G1924" s="2031">
        <v>308.0</v>
      </c>
      <c r="H1924" s="2031">
        <v>308.0</v>
      </c>
    </row>
    <row r="1925">
      <c r="B1925" s="2031">
        <v>1923.0</v>
      </c>
      <c r="C1925" s="2031">
        <v>230.0</v>
      </c>
      <c r="D1925" s="2031">
        <v>461.0</v>
      </c>
      <c r="E1925" s="2031">
        <v>308.0</v>
      </c>
      <c r="F1925" s="2031">
        <v>308.0</v>
      </c>
      <c r="G1925" s="2031">
        <v>308.0</v>
      </c>
      <c r="H1925" s="2031">
        <v>308.0</v>
      </c>
    </row>
    <row r="1926">
      <c r="B1926" s="2031">
        <v>1924.0</v>
      </c>
      <c r="C1926" s="2031">
        <v>231.0</v>
      </c>
      <c r="D1926" s="2031">
        <v>461.0</v>
      </c>
      <c r="E1926" s="2031">
        <v>308.0</v>
      </c>
      <c r="F1926" s="2031">
        <v>308.0</v>
      </c>
      <c r="G1926" s="2031">
        <v>308.0</v>
      </c>
      <c r="H1926" s="2031">
        <v>308.0</v>
      </c>
    </row>
    <row r="1927">
      <c r="B1927" s="2031">
        <v>1925.0</v>
      </c>
      <c r="C1927" s="2031">
        <v>231.0</v>
      </c>
      <c r="D1927" s="2031">
        <v>462.0</v>
      </c>
      <c r="E1927" s="2031">
        <v>308.0</v>
      </c>
      <c r="F1927" s="2031">
        <v>308.0</v>
      </c>
      <c r="G1927" s="2031">
        <v>308.0</v>
      </c>
      <c r="H1927" s="2031">
        <v>308.0</v>
      </c>
    </row>
    <row r="1928">
      <c r="B1928" s="2031">
        <v>1926.0</v>
      </c>
      <c r="C1928" s="2031">
        <v>231.0</v>
      </c>
      <c r="D1928" s="2031">
        <v>463.0</v>
      </c>
      <c r="E1928" s="2031">
        <v>308.0</v>
      </c>
      <c r="F1928" s="2031">
        <v>308.0</v>
      </c>
      <c r="G1928" s="2031">
        <v>308.0</v>
      </c>
      <c r="H1928" s="2031">
        <v>308.0</v>
      </c>
    </row>
    <row r="1929">
      <c r="B1929" s="2031">
        <v>1927.0</v>
      </c>
      <c r="C1929" s="2031">
        <v>232.0</v>
      </c>
      <c r="D1929" s="2031">
        <v>463.0</v>
      </c>
      <c r="E1929" s="2031">
        <v>308.0</v>
      </c>
      <c r="F1929" s="2031">
        <v>308.0</v>
      </c>
      <c r="G1929" s="2031">
        <v>308.0</v>
      </c>
      <c r="H1929" s="2031">
        <v>308.0</v>
      </c>
    </row>
    <row r="1930">
      <c r="B1930" s="2031">
        <v>1928.0</v>
      </c>
      <c r="C1930" s="2031">
        <v>231.0</v>
      </c>
      <c r="D1930" s="2031">
        <v>463.0</v>
      </c>
      <c r="E1930" s="2031">
        <v>308.0</v>
      </c>
      <c r="F1930" s="2031">
        <v>308.0</v>
      </c>
      <c r="G1930" s="2031">
        <v>309.0</v>
      </c>
      <c r="H1930" s="2031">
        <v>309.0</v>
      </c>
    </row>
    <row r="1931">
      <c r="B1931" s="2031">
        <v>1929.0</v>
      </c>
      <c r="C1931" s="2031">
        <v>232.0</v>
      </c>
      <c r="D1931" s="2031">
        <v>463.0</v>
      </c>
      <c r="E1931" s="2031">
        <v>308.0</v>
      </c>
      <c r="F1931" s="2031">
        <v>308.0</v>
      </c>
      <c r="G1931" s="2031">
        <v>309.0</v>
      </c>
      <c r="H1931" s="2031">
        <v>309.0</v>
      </c>
    </row>
    <row r="1932">
      <c r="B1932" s="2031">
        <v>1930.0</v>
      </c>
      <c r="C1932" s="2031">
        <v>231.0</v>
      </c>
      <c r="D1932" s="2031">
        <v>463.0</v>
      </c>
      <c r="E1932" s="2031">
        <v>309.0</v>
      </c>
      <c r="F1932" s="2031">
        <v>309.0</v>
      </c>
      <c r="G1932" s="2031">
        <v>309.0</v>
      </c>
      <c r="H1932" s="2031">
        <v>309.0</v>
      </c>
    </row>
    <row r="1933">
      <c r="B1933" s="2031">
        <v>1931.0</v>
      </c>
      <c r="C1933" s="2031">
        <v>232.0</v>
      </c>
      <c r="D1933" s="2031">
        <v>463.0</v>
      </c>
      <c r="E1933" s="2031">
        <v>309.0</v>
      </c>
      <c r="F1933" s="2031">
        <v>309.0</v>
      </c>
      <c r="G1933" s="2031">
        <v>309.0</v>
      </c>
      <c r="H1933" s="2031">
        <v>309.0</v>
      </c>
    </row>
    <row r="1934">
      <c r="B1934" s="2031">
        <v>1932.0</v>
      </c>
      <c r="C1934" s="2031">
        <v>232.0</v>
      </c>
      <c r="D1934" s="2031">
        <v>464.0</v>
      </c>
      <c r="E1934" s="2031">
        <v>309.0</v>
      </c>
      <c r="F1934" s="2031">
        <v>309.0</v>
      </c>
      <c r="G1934" s="2031">
        <v>309.0</v>
      </c>
      <c r="H1934" s="2031">
        <v>309.0</v>
      </c>
    </row>
    <row r="1935">
      <c r="B1935" s="2031">
        <v>1933.0</v>
      </c>
      <c r="C1935" s="2031">
        <v>232.0</v>
      </c>
      <c r="D1935" s="2031">
        <v>463.0</v>
      </c>
      <c r="E1935" s="2031">
        <v>309.0</v>
      </c>
      <c r="F1935" s="2031">
        <v>309.0</v>
      </c>
      <c r="G1935" s="2031">
        <v>310.0</v>
      </c>
      <c r="H1935" s="2031">
        <v>310.0</v>
      </c>
    </row>
    <row r="1936">
      <c r="B1936" s="2031">
        <v>1934.0</v>
      </c>
      <c r="C1936" s="2031">
        <v>232.0</v>
      </c>
      <c r="D1936" s="2031">
        <v>464.0</v>
      </c>
      <c r="E1936" s="2031">
        <v>309.0</v>
      </c>
      <c r="F1936" s="2031">
        <v>309.0</v>
      </c>
      <c r="G1936" s="2031">
        <v>310.0</v>
      </c>
      <c r="H1936" s="2031">
        <v>310.0</v>
      </c>
    </row>
    <row r="1937">
      <c r="B1937" s="2031">
        <v>1935.0</v>
      </c>
      <c r="C1937" s="2031">
        <v>232.0</v>
      </c>
      <c r="D1937" s="2031">
        <v>465.0</v>
      </c>
      <c r="E1937" s="2031">
        <v>309.0</v>
      </c>
      <c r="F1937" s="2031">
        <v>309.0</v>
      </c>
      <c r="G1937" s="2031">
        <v>310.0</v>
      </c>
      <c r="H1937" s="2031">
        <v>310.0</v>
      </c>
    </row>
    <row r="1938">
      <c r="B1938" s="2031">
        <v>1936.0</v>
      </c>
      <c r="C1938" s="2031">
        <v>232.0</v>
      </c>
      <c r="D1938" s="2031">
        <v>464.0</v>
      </c>
      <c r="E1938" s="2031">
        <v>310.0</v>
      </c>
      <c r="F1938" s="2031">
        <v>310.0</v>
      </c>
      <c r="G1938" s="2031">
        <v>310.0</v>
      </c>
      <c r="H1938" s="2031">
        <v>310.0</v>
      </c>
    </row>
    <row r="1939">
      <c r="B1939" s="2031">
        <v>1937.0</v>
      </c>
      <c r="C1939" s="2031">
        <v>232.0</v>
      </c>
      <c r="D1939" s="2031">
        <v>465.0</v>
      </c>
      <c r="E1939" s="2031">
        <v>310.0</v>
      </c>
      <c r="F1939" s="2031">
        <v>310.0</v>
      </c>
      <c r="G1939" s="2031">
        <v>310.0</v>
      </c>
      <c r="H1939" s="2031">
        <v>310.0</v>
      </c>
    </row>
    <row r="1940">
      <c r="B1940" s="2031">
        <v>1938.0</v>
      </c>
      <c r="C1940" s="2031">
        <v>233.0</v>
      </c>
      <c r="D1940" s="2031">
        <v>465.0</v>
      </c>
      <c r="E1940" s="2031">
        <v>310.0</v>
      </c>
      <c r="F1940" s="2031">
        <v>310.0</v>
      </c>
      <c r="G1940" s="2031">
        <v>310.0</v>
      </c>
      <c r="H1940" s="2031">
        <v>310.0</v>
      </c>
    </row>
    <row r="1941">
      <c r="B1941" s="2031">
        <v>1939.0</v>
      </c>
      <c r="C1941" s="2031">
        <v>233.0</v>
      </c>
      <c r="D1941" s="2031">
        <v>466.0</v>
      </c>
      <c r="E1941" s="2031">
        <v>310.0</v>
      </c>
      <c r="F1941" s="2031">
        <v>310.0</v>
      </c>
      <c r="G1941" s="2031">
        <v>310.0</v>
      </c>
      <c r="H1941" s="2031">
        <v>310.0</v>
      </c>
    </row>
    <row r="1942">
      <c r="B1942" s="2031">
        <v>1940.0</v>
      </c>
      <c r="C1942" s="2031">
        <v>233.0</v>
      </c>
      <c r="D1942" s="2031">
        <v>465.0</v>
      </c>
      <c r="E1942" s="2031">
        <v>310.0</v>
      </c>
      <c r="F1942" s="2031">
        <v>310.0</v>
      </c>
      <c r="G1942" s="2031">
        <v>311.0</v>
      </c>
      <c r="H1942" s="2031">
        <v>311.0</v>
      </c>
    </row>
    <row r="1943">
      <c r="B1943" s="2031">
        <v>1941.0</v>
      </c>
      <c r="C1943" s="2031">
        <v>233.0</v>
      </c>
      <c r="D1943" s="2031">
        <v>466.0</v>
      </c>
      <c r="E1943" s="2031">
        <v>310.0</v>
      </c>
      <c r="F1943" s="2031">
        <v>310.0</v>
      </c>
      <c r="G1943" s="2031">
        <v>311.0</v>
      </c>
      <c r="H1943" s="2031">
        <v>311.0</v>
      </c>
    </row>
    <row r="1944">
      <c r="B1944" s="2031">
        <v>1942.0</v>
      </c>
      <c r="C1944" s="2031">
        <v>233.0</v>
      </c>
      <c r="D1944" s="2031">
        <v>467.0</v>
      </c>
      <c r="E1944" s="2031">
        <v>310.0</v>
      </c>
      <c r="F1944" s="2031">
        <v>310.0</v>
      </c>
      <c r="G1944" s="2031">
        <v>311.0</v>
      </c>
      <c r="H1944" s="2031">
        <v>311.0</v>
      </c>
    </row>
    <row r="1945">
      <c r="B1945" s="2031">
        <v>1943.0</v>
      </c>
      <c r="C1945" s="2031">
        <v>233.0</v>
      </c>
      <c r="D1945" s="2031">
        <v>466.0</v>
      </c>
      <c r="E1945" s="2031">
        <v>311.0</v>
      </c>
      <c r="F1945" s="2031">
        <v>311.0</v>
      </c>
      <c r="G1945" s="2031">
        <v>311.0</v>
      </c>
      <c r="H1945" s="2031">
        <v>311.0</v>
      </c>
    </row>
    <row r="1946">
      <c r="B1946" s="2031">
        <v>1944.0</v>
      </c>
      <c r="C1946" s="2031">
        <v>233.0</v>
      </c>
      <c r="D1946" s="2031">
        <v>467.0</v>
      </c>
      <c r="E1946" s="2031">
        <v>311.0</v>
      </c>
      <c r="F1946" s="2031">
        <v>311.0</v>
      </c>
      <c r="G1946" s="2031">
        <v>311.0</v>
      </c>
      <c r="H1946" s="2031">
        <v>311.0</v>
      </c>
    </row>
    <row r="1947">
      <c r="B1947" s="2031">
        <v>1945.0</v>
      </c>
      <c r="C1947" s="2031">
        <v>234.0</v>
      </c>
      <c r="D1947" s="2031">
        <v>467.0</v>
      </c>
      <c r="E1947" s="2031">
        <v>311.0</v>
      </c>
      <c r="F1947" s="2031">
        <v>311.0</v>
      </c>
      <c r="G1947" s="2031">
        <v>311.0</v>
      </c>
      <c r="H1947" s="2031">
        <v>311.0</v>
      </c>
    </row>
    <row r="1948">
      <c r="B1948" s="2031">
        <v>1946.0</v>
      </c>
      <c r="C1948" s="2031">
        <v>233.0</v>
      </c>
      <c r="D1948" s="2031">
        <v>467.0</v>
      </c>
      <c r="E1948" s="2031">
        <v>311.0</v>
      </c>
      <c r="F1948" s="2031">
        <v>311.0</v>
      </c>
      <c r="G1948" s="2031">
        <v>312.0</v>
      </c>
      <c r="H1948" s="2031">
        <v>312.0</v>
      </c>
    </row>
    <row r="1949">
      <c r="B1949" s="2031">
        <v>1947.0</v>
      </c>
      <c r="C1949" s="2031">
        <v>234.0</v>
      </c>
      <c r="D1949" s="2031">
        <v>467.0</v>
      </c>
      <c r="E1949" s="2031">
        <v>311.0</v>
      </c>
      <c r="F1949" s="2031">
        <v>311.0</v>
      </c>
      <c r="G1949" s="2031">
        <v>312.0</v>
      </c>
      <c r="H1949" s="2031">
        <v>312.0</v>
      </c>
    </row>
    <row r="1950">
      <c r="B1950" s="2031">
        <v>1948.0</v>
      </c>
      <c r="C1950" s="2031">
        <v>233.0</v>
      </c>
      <c r="D1950" s="2031">
        <v>467.0</v>
      </c>
      <c r="E1950" s="2031">
        <v>312.0</v>
      </c>
      <c r="F1950" s="2031">
        <v>312.0</v>
      </c>
      <c r="G1950" s="2031">
        <v>312.0</v>
      </c>
      <c r="H1950" s="2031">
        <v>312.0</v>
      </c>
    </row>
    <row r="1951">
      <c r="B1951" s="2031">
        <v>1949.0</v>
      </c>
      <c r="C1951" s="2031">
        <v>234.0</v>
      </c>
      <c r="D1951" s="2031">
        <v>467.0</v>
      </c>
      <c r="E1951" s="2031">
        <v>312.0</v>
      </c>
      <c r="F1951" s="2031">
        <v>312.0</v>
      </c>
      <c r="G1951" s="2031">
        <v>312.0</v>
      </c>
      <c r="H1951" s="2031">
        <v>312.0</v>
      </c>
    </row>
    <row r="1952">
      <c r="B1952" s="2031">
        <v>1950.0</v>
      </c>
      <c r="C1952" s="2031">
        <v>234.0</v>
      </c>
      <c r="D1952" s="2031">
        <v>468.0</v>
      </c>
      <c r="E1952" s="2031">
        <v>312.0</v>
      </c>
      <c r="F1952" s="2031">
        <v>312.0</v>
      </c>
      <c r="G1952" s="2031">
        <v>312.0</v>
      </c>
      <c r="H1952" s="2031">
        <v>312.0</v>
      </c>
    </row>
    <row r="1953">
      <c r="B1953" s="2031">
        <v>1951.0</v>
      </c>
      <c r="C1953" s="2031">
        <v>234.0</v>
      </c>
      <c r="D1953" s="2031">
        <v>469.0</v>
      </c>
      <c r="E1953" s="2031">
        <v>312.0</v>
      </c>
      <c r="F1953" s="2031">
        <v>312.0</v>
      </c>
      <c r="G1953" s="2031">
        <v>312.0</v>
      </c>
      <c r="H1953" s="2031">
        <v>312.0</v>
      </c>
    </row>
    <row r="1954">
      <c r="B1954" s="2031">
        <v>1952.0</v>
      </c>
      <c r="C1954" s="2031">
        <v>235.0</v>
      </c>
      <c r="D1954" s="2031">
        <v>469.0</v>
      </c>
      <c r="E1954" s="2031">
        <v>312.0</v>
      </c>
      <c r="F1954" s="2031">
        <v>312.0</v>
      </c>
      <c r="G1954" s="2031">
        <v>312.0</v>
      </c>
      <c r="H1954" s="2031">
        <v>312.0</v>
      </c>
    </row>
    <row r="1955">
      <c r="B1955" s="2031">
        <v>1953.0</v>
      </c>
      <c r="C1955" s="2031">
        <v>234.0</v>
      </c>
      <c r="D1955" s="2031">
        <v>469.0</v>
      </c>
      <c r="E1955" s="2031">
        <v>312.0</v>
      </c>
      <c r="F1955" s="2031">
        <v>312.0</v>
      </c>
      <c r="G1955" s="2031">
        <v>313.0</v>
      </c>
      <c r="H1955" s="2031">
        <v>313.0</v>
      </c>
    </row>
    <row r="1956">
      <c r="B1956" s="2031">
        <v>1954.0</v>
      </c>
      <c r="C1956" s="2031">
        <v>235.0</v>
      </c>
      <c r="D1956" s="2031">
        <v>469.0</v>
      </c>
      <c r="E1956" s="2031">
        <v>312.0</v>
      </c>
      <c r="F1956" s="2031">
        <v>312.0</v>
      </c>
      <c r="G1956" s="2031">
        <v>313.0</v>
      </c>
      <c r="H1956" s="2031">
        <v>313.0</v>
      </c>
    </row>
    <row r="1957">
      <c r="B1957" s="2031">
        <v>1955.0</v>
      </c>
      <c r="C1957" s="2031">
        <v>234.0</v>
      </c>
      <c r="D1957" s="2031">
        <v>469.0</v>
      </c>
      <c r="E1957" s="2031">
        <v>313.0</v>
      </c>
      <c r="F1957" s="2031">
        <v>313.0</v>
      </c>
      <c r="G1957" s="2031">
        <v>313.0</v>
      </c>
      <c r="H1957" s="2031">
        <v>313.0</v>
      </c>
    </row>
    <row r="1958">
      <c r="B1958" s="2031">
        <v>1956.0</v>
      </c>
      <c r="C1958" s="2031">
        <v>235.0</v>
      </c>
      <c r="D1958" s="2031">
        <v>469.0</v>
      </c>
      <c r="E1958" s="2031">
        <v>313.0</v>
      </c>
      <c r="F1958" s="2031">
        <v>313.0</v>
      </c>
      <c r="G1958" s="2031">
        <v>313.0</v>
      </c>
      <c r="H1958" s="2031">
        <v>313.0</v>
      </c>
    </row>
    <row r="1959">
      <c r="B1959" s="2031">
        <v>1957.0</v>
      </c>
      <c r="C1959" s="2031">
        <v>235.0</v>
      </c>
      <c r="D1959" s="2031">
        <v>470.0</v>
      </c>
      <c r="E1959" s="2031">
        <v>313.0</v>
      </c>
      <c r="F1959" s="2031">
        <v>313.0</v>
      </c>
      <c r="G1959" s="2031">
        <v>313.0</v>
      </c>
      <c r="H1959" s="2031">
        <v>313.0</v>
      </c>
    </row>
    <row r="1960">
      <c r="B1960" s="2031">
        <v>1958.0</v>
      </c>
      <c r="C1960" s="2031">
        <v>235.0</v>
      </c>
      <c r="D1960" s="2031">
        <v>469.0</v>
      </c>
      <c r="E1960" s="2031">
        <v>313.0</v>
      </c>
      <c r="F1960" s="2031">
        <v>313.0</v>
      </c>
      <c r="G1960" s="2031">
        <v>314.0</v>
      </c>
      <c r="H1960" s="2031">
        <v>314.0</v>
      </c>
    </row>
    <row r="1961">
      <c r="B1961" s="2031">
        <v>1959.0</v>
      </c>
      <c r="C1961" s="2031">
        <v>235.0</v>
      </c>
      <c r="D1961" s="2031">
        <v>470.0</v>
      </c>
      <c r="E1961" s="2031">
        <v>313.0</v>
      </c>
      <c r="F1961" s="2031">
        <v>313.0</v>
      </c>
      <c r="G1961" s="2031">
        <v>314.0</v>
      </c>
      <c r="H1961" s="2031">
        <v>314.0</v>
      </c>
    </row>
    <row r="1962">
      <c r="B1962" s="2031">
        <v>1960.0</v>
      </c>
      <c r="C1962" s="2031">
        <v>235.0</v>
      </c>
      <c r="D1962" s="2031">
        <v>471.0</v>
      </c>
      <c r="E1962" s="2031">
        <v>313.0</v>
      </c>
      <c r="F1962" s="2031">
        <v>313.0</v>
      </c>
      <c r="G1962" s="2031">
        <v>314.0</v>
      </c>
      <c r="H1962" s="2031">
        <v>314.0</v>
      </c>
    </row>
    <row r="1963">
      <c r="B1963" s="2031">
        <v>1961.0</v>
      </c>
      <c r="C1963" s="2031">
        <v>235.0</v>
      </c>
      <c r="D1963" s="2031">
        <v>470.0</v>
      </c>
      <c r="E1963" s="2031">
        <v>314.0</v>
      </c>
      <c r="F1963" s="2031">
        <v>314.0</v>
      </c>
      <c r="G1963" s="2031">
        <v>314.0</v>
      </c>
      <c r="H1963" s="2031">
        <v>314.0</v>
      </c>
    </row>
    <row r="1964">
      <c r="B1964" s="2031">
        <v>1962.0</v>
      </c>
      <c r="C1964" s="2031">
        <v>235.0</v>
      </c>
      <c r="D1964" s="2031">
        <v>471.0</v>
      </c>
      <c r="E1964" s="2031">
        <v>314.0</v>
      </c>
      <c r="F1964" s="2031">
        <v>314.0</v>
      </c>
      <c r="G1964" s="2031">
        <v>314.0</v>
      </c>
      <c r="H1964" s="2031">
        <v>314.0</v>
      </c>
    </row>
    <row r="1965">
      <c r="B1965" s="2031">
        <v>1963.0</v>
      </c>
      <c r="C1965" s="2031">
        <v>236.0</v>
      </c>
      <c r="D1965" s="2031">
        <v>471.0</v>
      </c>
      <c r="E1965" s="2031">
        <v>314.0</v>
      </c>
      <c r="F1965" s="2031">
        <v>314.0</v>
      </c>
      <c r="G1965" s="2031">
        <v>314.0</v>
      </c>
      <c r="H1965" s="2031">
        <v>314.0</v>
      </c>
    </row>
    <row r="1966">
      <c r="B1966" s="2031">
        <v>1964.0</v>
      </c>
      <c r="C1966" s="2031">
        <v>236.0</v>
      </c>
      <c r="D1966" s="2031">
        <v>472.0</v>
      </c>
      <c r="E1966" s="2031">
        <v>314.0</v>
      </c>
      <c r="F1966" s="2031">
        <v>314.0</v>
      </c>
      <c r="G1966" s="2031">
        <v>314.0</v>
      </c>
      <c r="H1966" s="2031">
        <v>314.0</v>
      </c>
    </row>
    <row r="1967">
      <c r="B1967" s="2031">
        <v>1965.0</v>
      </c>
      <c r="C1967" s="2031">
        <v>236.0</v>
      </c>
      <c r="D1967" s="2031">
        <v>471.0</v>
      </c>
      <c r="E1967" s="2031">
        <v>314.0</v>
      </c>
      <c r="F1967" s="2031">
        <v>314.0</v>
      </c>
      <c r="G1967" s="2031">
        <v>315.0</v>
      </c>
      <c r="H1967" s="2031">
        <v>315.0</v>
      </c>
    </row>
    <row r="1968">
      <c r="B1968" s="2031">
        <v>1966.0</v>
      </c>
      <c r="C1968" s="2031">
        <v>236.0</v>
      </c>
      <c r="D1968" s="2031">
        <v>472.0</v>
      </c>
      <c r="E1968" s="2031">
        <v>314.0</v>
      </c>
      <c r="F1968" s="2031">
        <v>314.0</v>
      </c>
      <c r="G1968" s="2031">
        <v>315.0</v>
      </c>
      <c r="H1968" s="2031">
        <v>315.0</v>
      </c>
    </row>
    <row r="1969">
      <c r="B1969" s="2031">
        <v>1967.0</v>
      </c>
      <c r="C1969" s="2031">
        <v>236.0</v>
      </c>
      <c r="D1969" s="2031">
        <v>473.0</v>
      </c>
      <c r="E1969" s="2031">
        <v>314.0</v>
      </c>
      <c r="F1969" s="2031">
        <v>314.0</v>
      </c>
      <c r="G1969" s="2031">
        <v>315.0</v>
      </c>
      <c r="H1969" s="2031">
        <v>315.0</v>
      </c>
    </row>
    <row r="1970">
      <c r="B1970" s="2031">
        <v>1968.0</v>
      </c>
      <c r="C1970" s="2031">
        <v>236.0</v>
      </c>
      <c r="D1970" s="2031">
        <v>472.0</v>
      </c>
      <c r="E1970" s="2031">
        <v>315.0</v>
      </c>
      <c r="F1970" s="2031">
        <v>315.0</v>
      </c>
      <c r="G1970" s="2031">
        <v>315.0</v>
      </c>
      <c r="H1970" s="2031">
        <v>315.0</v>
      </c>
    </row>
    <row r="1971">
      <c r="B1971" s="2031">
        <v>1969.0</v>
      </c>
      <c r="C1971" s="2031">
        <v>236.0</v>
      </c>
      <c r="D1971" s="2031">
        <v>473.0</v>
      </c>
      <c r="E1971" s="2031">
        <v>315.0</v>
      </c>
      <c r="F1971" s="2031">
        <v>315.0</v>
      </c>
      <c r="G1971" s="2031">
        <v>315.0</v>
      </c>
      <c r="H1971" s="2031">
        <v>315.0</v>
      </c>
    </row>
    <row r="1972">
      <c r="B1972" s="2031">
        <v>1970.0</v>
      </c>
      <c r="C1972" s="2031">
        <v>237.0</v>
      </c>
      <c r="D1972" s="2031">
        <v>473.0</v>
      </c>
      <c r="E1972" s="2031">
        <v>315.0</v>
      </c>
      <c r="F1972" s="2031">
        <v>315.0</v>
      </c>
      <c r="G1972" s="2031">
        <v>315.0</v>
      </c>
      <c r="H1972" s="2031">
        <v>315.0</v>
      </c>
    </row>
    <row r="1973">
      <c r="B1973" s="2031">
        <v>1971.0</v>
      </c>
      <c r="C1973" s="2031">
        <v>236.0</v>
      </c>
      <c r="D1973" s="2031">
        <v>473.0</v>
      </c>
      <c r="E1973" s="2031">
        <v>315.0</v>
      </c>
      <c r="F1973" s="2031">
        <v>315.0</v>
      </c>
      <c r="G1973" s="2031">
        <v>316.0</v>
      </c>
      <c r="H1973" s="2031">
        <v>316.0</v>
      </c>
    </row>
    <row r="1974">
      <c r="B1974" s="2031">
        <v>1972.0</v>
      </c>
      <c r="C1974" s="2031">
        <v>237.0</v>
      </c>
      <c r="D1974" s="2031">
        <v>473.0</v>
      </c>
      <c r="E1974" s="2031">
        <v>315.0</v>
      </c>
      <c r="F1974" s="2031">
        <v>315.0</v>
      </c>
      <c r="G1974" s="2031">
        <v>316.0</v>
      </c>
      <c r="H1974" s="2031">
        <v>316.0</v>
      </c>
    </row>
    <row r="1975">
      <c r="B1975" s="2031">
        <v>1973.0</v>
      </c>
      <c r="C1975" s="2031">
        <v>236.0</v>
      </c>
      <c r="D1975" s="2031">
        <v>473.0</v>
      </c>
      <c r="E1975" s="2031">
        <v>316.0</v>
      </c>
      <c r="F1975" s="2031">
        <v>316.0</v>
      </c>
      <c r="G1975" s="2031">
        <v>316.0</v>
      </c>
      <c r="H1975" s="2031">
        <v>316.0</v>
      </c>
    </row>
    <row r="1976">
      <c r="B1976" s="2031">
        <v>1974.0</v>
      </c>
      <c r="C1976" s="2031">
        <v>237.0</v>
      </c>
      <c r="D1976" s="2031">
        <v>473.0</v>
      </c>
      <c r="E1976" s="2031">
        <v>316.0</v>
      </c>
      <c r="F1976" s="2031">
        <v>316.0</v>
      </c>
      <c r="G1976" s="2031">
        <v>316.0</v>
      </c>
      <c r="H1976" s="2031">
        <v>316.0</v>
      </c>
    </row>
    <row r="1977">
      <c r="B1977" s="2031">
        <v>1975.0</v>
      </c>
      <c r="C1977" s="2031">
        <v>237.0</v>
      </c>
      <c r="D1977" s="2031">
        <v>474.0</v>
      </c>
      <c r="E1977" s="2031">
        <v>316.0</v>
      </c>
      <c r="F1977" s="2031">
        <v>316.0</v>
      </c>
      <c r="G1977" s="2031">
        <v>316.0</v>
      </c>
      <c r="H1977" s="2031">
        <v>316.0</v>
      </c>
    </row>
    <row r="1978">
      <c r="B1978" s="2031">
        <v>1976.0</v>
      </c>
      <c r="C1978" s="2031">
        <v>237.0</v>
      </c>
      <c r="D1978" s="2031">
        <v>475.0</v>
      </c>
      <c r="E1978" s="2031">
        <v>316.0</v>
      </c>
      <c r="F1978" s="2031">
        <v>316.0</v>
      </c>
      <c r="G1978" s="2031">
        <v>316.0</v>
      </c>
      <c r="H1978" s="2031">
        <v>316.0</v>
      </c>
    </row>
    <row r="1979">
      <c r="B1979" s="2031">
        <v>1977.0</v>
      </c>
      <c r="C1979" s="2031">
        <v>238.0</v>
      </c>
      <c r="D1979" s="2031">
        <v>475.0</v>
      </c>
      <c r="E1979" s="2031">
        <v>316.0</v>
      </c>
      <c r="F1979" s="2031">
        <v>316.0</v>
      </c>
      <c r="G1979" s="2031">
        <v>316.0</v>
      </c>
      <c r="H1979" s="2031">
        <v>316.0</v>
      </c>
    </row>
    <row r="1980">
      <c r="B1980" s="2031">
        <v>1978.0</v>
      </c>
      <c r="C1980" s="2031">
        <v>237.0</v>
      </c>
      <c r="D1980" s="2031">
        <v>475.0</v>
      </c>
      <c r="E1980" s="2031">
        <v>316.0</v>
      </c>
      <c r="F1980" s="2031">
        <v>316.0</v>
      </c>
      <c r="G1980" s="2031">
        <v>317.0</v>
      </c>
      <c r="H1980" s="2031">
        <v>317.0</v>
      </c>
    </row>
    <row r="1981">
      <c r="B1981" s="2031">
        <v>1979.0</v>
      </c>
      <c r="C1981" s="2031">
        <v>238.0</v>
      </c>
      <c r="D1981" s="2031">
        <v>475.0</v>
      </c>
      <c r="E1981" s="2031">
        <v>316.0</v>
      </c>
      <c r="F1981" s="2031">
        <v>316.0</v>
      </c>
      <c r="G1981" s="2031">
        <v>317.0</v>
      </c>
      <c r="H1981" s="2031">
        <v>317.0</v>
      </c>
    </row>
    <row r="1982">
      <c r="B1982" s="2031">
        <v>1980.0</v>
      </c>
      <c r="C1982" s="2031">
        <v>237.0</v>
      </c>
      <c r="D1982" s="2031">
        <v>475.0</v>
      </c>
      <c r="E1982" s="2031">
        <v>317.0</v>
      </c>
      <c r="F1982" s="2031">
        <v>317.0</v>
      </c>
      <c r="G1982" s="2031">
        <v>317.0</v>
      </c>
      <c r="H1982" s="2031">
        <v>317.0</v>
      </c>
    </row>
    <row r="1983">
      <c r="B1983" s="2031">
        <v>1981.0</v>
      </c>
      <c r="C1983" s="2031">
        <v>238.0</v>
      </c>
      <c r="D1983" s="2031">
        <v>475.0</v>
      </c>
      <c r="E1983" s="2031">
        <v>317.0</v>
      </c>
      <c r="F1983" s="2031">
        <v>317.0</v>
      </c>
      <c r="G1983" s="2031">
        <v>317.0</v>
      </c>
      <c r="H1983" s="2031">
        <v>317.0</v>
      </c>
    </row>
    <row r="1984">
      <c r="B1984" s="2031">
        <v>1982.0</v>
      </c>
      <c r="C1984" s="2031">
        <v>238.0</v>
      </c>
      <c r="D1984" s="2031">
        <v>476.0</v>
      </c>
      <c r="E1984" s="2031">
        <v>317.0</v>
      </c>
      <c r="F1984" s="2031">
        <v>317.0</v>
      </c>
      <c r="G1984" s="2031">
        <v>317.0</v>
      </c>
      <c r="H1984" s="2031">
        <v>317.0</v>
      </c>
    </row>
    <row r="1985">
      <c r="B1985" s="2031">
        <v>1983.0</v>
      </c>
      <c r="C1985" s="2031">
        <v>238.0</v>
      </c>
      <c r="D1985" s="2031">
        <v>475.0</v>
      </c>
      <c r="E1985" s="2031">
        <v>317.0</v>
      </c>
      <c r="F1985" s="2031">
        <v>317.0</v>
      </c>
      <c r="G1985" s="2031">
        <v>318.0</v>
      </c>
      <c r="H1985" s="2031">
        <v>318.0</v>
      </c>
    </row>
    <row r="1986">
      <c r="B1986" s="2031">
        <v>1984.0</v>
      </c>
      <c r="C1986" s="2031">
        <v>238.0</v>
      </c>
      <c r="D1986" s="2031">
        <v>476.0</v>
      </c>
      <c r="E1986" s="2031">
        <v>317.0</v>
      </c>
      <c r="F1986" s="2031">
        <v>317.0</v>
      </c>
      <c r="G1986" s="2031">
        <v>318.0</v>
      </c>
      <c r="H1986" s="2031">
        <v>318.0</v>
      </c>
    </row>
    <row r="1987">
      <c r="B1987" s="2031">
        <v>1985.0</v>
      </c>
      <c r="C1987" s="2031">
        <v>238.0</v>
      </c>
      <c r="D1987" s="2031">
        <v>477.0</v>
      </c>
      <c r="E1987" s="2031">
        <v>317.0</v>
      </c>
      <c r="F1987" s="2031">
        <v>317.0</v>
      </c>
      <c r="G1987" s="2031">
        <v>318.0</v>
      </c>
      <c r="H1987" s="2031">
        <v>318.0</v>
      </c>
    </row>
    <row r="1988">
      <c r="B1988" s="2031">
        <v>1986.0</v>
      </c>
      <c r="C1988" s="2031">
        <v>238.0</v>
      </c>
      <c r="D1988" s="2031">
        <v>476.0</v>
      </c>
      <c r="E1988" s="2031">
        <v>318.0</v>
      </c>
      <c r="F1988" s="2031">
        <v>318.0</v>
      </c>
      <c r="G1988" s="2031">
        <v>318.0</v>
      </c>
      <c r="H1988" s="2031">
        <v>318.0</v>
      </c>
    </row>
    <row r="1989">
      <c r="B1989" s="2031">
        <v>1987.0</v>
      </c>
      <c r="C1989" s="2031">
        <v>238.0</v>
      </c>
      <c r="D1989" s="2031">
        <v>477.0</v>
      </c>
      <c r="E1989" s="2031">
        <v>318.0</v>
      </c>
      <c r="F1989" s="2031">
        <v>318.0</v>
      </c>
      <c r="G1989" s="2031">
        <v>318.0</v>
      </c>
      <c r="H1989" s="2031">
        <v>318.0</v>
      </c>
    </row>
    <row r="1990">
      <c r="B1990" s="2031">
        <v>1988.0</v>
      </c>
      <c r="C1990" s="2031">
        <v>239.0</v>
      </c>
      <c r="D1990" s="2031">
        <v>477.0</v>
      </c>
      <c r="E1990" s="2031">
        <v>318.0</v>
      </c>
      <c r="F1990" s="2031">
        <v>318.0</v>
      </c>
      <c r="G1990" s="2031">
        <v>318.0</v>
      </c>
      <c r="H1990" s="2031">
        <v>318.0</v>
      </c>
    </row>
    <row r="1991">
      <c r="B1991" s="2031">
        <v>1989.0</v>
      </c>
      <c r="C1991" s="2031">
        <v>239.0</v>
      </c>
      <c r="D1991" s="2031">
        <v>478.0</v>
      </c>
      <c r="E1991" s="2031">
        <v>318.0</v>
      </c>
      <c r="F1991" s="2031">
        <v>318.0</v>
      </c>
      <c r="G1991" s="2031">
        <v>318.0</v>
      </c>
      <c r="H1991" s="2031">
        <v>318.0</v>
      </c>
    </row>
    <row r="1992">
      <c r="B1992" s="2031">
        <v>1990.0</v>
      </c>
      <c r="C1992" s="2031">
        <v>239.0</v>
      </c>
      <c r="D1992" s="2031">
        <v>477.0</v>
      </c>
      <c r="E1992" s="2031">
        <v>318.0</v>
      </c>
      <c r="F1992" s="2031">
        <v>318.0</v>
      </c>
      <c r="G1992" s="2031">
        <v>319.0</v>
      </c>
      <c r="H1992" s="2031">
        <v>319.0</v>
      </c>
    </row>
    <row r="1993">
      <c r="B1993" s="2031">
        <v>1991.0</v>
      </c>
      <c r="C1993" s="2031">
        <v>239.0</v>
      </c>
      <c r="D1993" s="2031">
        <v>478.0</v>
      </c>
      <c r="E1993" s="2031">
        <v>318.0</v>
      </c>
      <c r="F1993" s="2031">
        <v>318.0</v>
      </c>
      <c r="G1993" s="2031">
        <v>319.0</v>
      </c>
      <c r="H1993" s="2031">
        <v>319.0</v>
      </c>
    </row>
    <row r="1994">
      <c r="B1994" s="2031">
        <v>1992.0</v>
      </c>
      <c r="C1994" s="2031">
        <v>239.0</v>
      </c>
      <c r="D1994" s="2031">
        <v>479.0</v>
      </c>
      <c r="E1994" s="2031">
        <v>318.0</v>
      </c>
      <c r="F1994" s="2031">
        <v>318.0</v>
      </c>
      <c r="G1994" s="2031">
        <v>319.0</v>
      </c>
      <c r="H1994" s="2031">
        <v>319.0</v>
      </c>
    </row>
    <row r="1995">
      <c r="B1995" s="2031">
        <v>1993.0</v>
      </c>
      <c r="C1995" s="2031">
        <v>239.0</v>
      </c>
      <c r="D1995" s="2031">
        <v>478.0</v>
      </c>
      <c r="E1995" s="2031">
        <v>319.0</v>
      </c>
      <c r="F1995" s="2031">
        <v>319.0</v>
      </c>
      <c r="G1995" s="2031">
        <v>319.0</v>
      </c>
      <c r="H1995" s="2031">
        <v>319.0</v>
      </c>
    </row>
    <row r="1996">
      <c r="B1996" s="2031">
        <v>1994.0</v>
      </c>
      <c r="C1996" s="2031">
        <v>239.0</v>
      </c>
      <c r="D1996" s="2031">
        <v>479.0</v>
      </c>
      <c r="E1996" s="2031">
        <v>319.0</v>
      </c>
      <c r="F1996" s="2031">
        <v>319.0</v>
      </c>
      <c r="G1996" s="2031">
        <v>319.0</v>
      </c>
      <c r="H1996" s="2031">
        <v>319.0</v>
      </c>
    </row>
    <row r="1997">
      <c r="B1997" s="2031">
        <v>1995.0</v>
      </c>
      <c r="C1997" s="2031">
        <v>240.0</v>
      </c>
      <c r="D1997" s="2031">
        <v>479.0</v>
      </c>
      <c r="E1997" s="2031">
        <v>319.0</v>
      </c>
      <c r="F1997" s="2031">
        <v>319.0</v>
      </c>
      <c r="G1997" s="2031">
        <v>319.0</v>
      </c>
      <c r="H1997" s="2031">
        <v>319.0</v>
      </c>
    </row>
    <row r="1998">
      <c r="B1998" s="2031">
        <v>1996.0</v>
      </c>
      <c r="C1998" s="2031">
        <v>239.0</v>
      </c>
      <c r="D1998" s="2031">
        <v>479.0</v>
      </c>
      <c r="E1998" s="2031">
        <v>319.0</v>
      </c>
      <c r="F1998" s="2031">
        <v>319.0</v>
      </c>
      <c r="G1998" s="2031">
        <v>320.0</v>
      </c>
      <c r="H1998" s="2031">
        <v>320.0</v>
      </c>
    </row>
    <row r="1999">
      <c r="B1999" s="2031">
        <v>1997.0</v>
      </c>
      <c r="C1999" s="2031">
        <v>240.0</v>
      </c>
      <c r="D1999" s="2031">
        <v>479.0</v>
      </c>
      <c r="E1999" s="2031">
        <v>319.0</v>
      </c>
      <c r="F1999" s="2031">
        <v>319.0</v>
      </c>
      <c r="G1999" s="2031">
        <v>320.0</v>
      </c>
      <c r="H1999" s="2031">
        <v>320.0</v>
      </c>
    </row>
    <row r="2000">
      <c r="B2000" s="2031">
        <v>1998.0</v>
      </c>
      <c r="C2000" s="2031">
        <v>239.0</v>
      </c>
      <c r="D2000" s="2031">
        <v>479.0</v>
      </c>
      <c r="E2000" s="2031">
        <v>320.0</v>
      </c>
      <c r="F2000" s="2031">
        <v>320.0</v>
      </c>
      <c r="G2000" s="2031">
        <v>320.0</v>
      </c>
      <c r="H2000" s="2031">
        <v>320.0</v>
      </c>
    </row>
    <row r="2001">
      <c r="B2001" s="2031">
        <v>1999.0</v>
      </c>
      <c r="C2001" s="2031">
        <v>240.0</v>
      </c>
      <c r="D2001" s="2031">
        <v>479.0</v>
      </c>
      <c r="E2001" s="2031">
        <v>320.0</v>
      </c>
      <c r="F2001" s="2031">
        <v>320.0</v>
      </c>
      <c r="G2001" s="2031">
        <v>320.0</v>
      </c>
      <c r="H2001" s="2031">
        <v>320.0</v>
      </c>
    </row>
    <row r="2002">
      <c r="B2002" s="2031">
        <v>2000.0</v>
      </c>
      <c r="C2002" s="2031">
        <v>240.0</v>
      </c>
      <c r="D2002" s="2031">
        <v>480.0</v>
      </c>
      <c r="E2002" s="2031">
        <v>320.0</v>
      </c>
      <c r="F2002" s="2031">
        <v>320.0</v>
      </c>
      <c r="G2002" s="2031">
        <v>320.0</v>
      </c>
      <c r="H2002" s="2031">
        <v>320.0</v>
      </c>
    </row>
    <row r="2003">
      <c r="B2003" s="2031">
        <v>2001.0</v>
      </c>
      <c r="C2003" s="2031">
        <v>240.0</v>
      </c>
      <c r="D2003" s="2031">
        <v>481.0</v>
      </c>
      <c r="E2003" s="2031">
        <v>320.0</v>
      </c>
      <c r="F2003" s="2031">
        <v>320.0</v>
      </c>
      <c r="G2003" s="2031">
        <v>320.0</v>
      </c>
      <c r="H2003" s="2031">
        <v>320.0</v>
      </c>
    </row>
    <row r="2004">
      <c r="B2004" s="2031">
        <v>2002.0</v>
      </c>
      <c r="C2004" s="2031">
        <v>241.0</v>
      </c>
      <c r="D2004" s="2031">
        <v>481.0</v>
      </c>
      <c r="E2004" s="2031">
        <v>320.0</v>
      </c>
      <c r="F2004" s="2031">
        <v>320.0</v>
      </c>
      <c r="G2004" s="2031">
        <v>320.0</v>
      </c>
      <c r="H2004" s="2031">
        <v>320.0</v>
      </c>
    </row>
    <row r="2005">
      <c r="B2005" s="2031">
        <v>2003.0</v>
      </c>
      <c r="C2005" s="2031">
        <v>240.0</v>
      </c>
      <c r="D2005" s="2031">
        <v>481.0</v>
      </c>
      <c r="E2005" s="2031">
        <v>320.0</v>
      </c>
      <c r="F2005" s="2031">
        <v>320.0</v>
      </c>
      <c r="G2005" s="2031">
        <v>321.0</v>
      </c>
      <c r="H2005" s="2031">
        <v>321.0</v>
      </c>
    </row>
    <row r="2006">
      <c r="B2006" s="2031">
        <v>2004.0</v>
      </c>
      <c r="C2006" s="2031">
        <v>241.0</v>
      </c>
      <c r="D2006" s="2031">
        <v>481.0</v>
      </c>
      <c r="E2006" s="2031">
        <v>320.0</v>
      </c>
      <c r="F2006" s="2031">
        <v>320.0</v>
      </c>
      <c r="G2006" s="2031">
        <v>321.0</v>
      </c>
      <c r="H2006" s="2031">
        <v>321.0</v>
      </c>
    </row>
    <row r="2007">
      <c r="B2007" s="2031">
        <v>2005.0</v>
      </c>
      <c r="C2007" s="2031">
        <v>240.0</v>
      </c>
      <c r="D2007" s="2031">
        <v>481.0</v>
      </c>
      <c r="E2007" s="2031">
        <v>321.0</v>
      </c>
      <c r="F2007" s="2031">
        <v>321.0</v>
      </c>
      <c r="G2007" s="2031">
        <v>321.0</v>
      </c>
      <c r="H2007" s="2031">
        <v>321.0</v>
      </c>
    </row>
    <row r="2008">
      <c r="B2008" s="2031">
        <v>2006.0</v>
      </c>
      <c r="C2008" s="2031">
        <v>241.0</v>
      </c>
      <c r="D2008" s="2031">
        <v>481.0</v>
      </c>
      <c r="E2008" s="2031">
        <v>321.0</v>
      </c>
      <c r="F2008" s="2031">
        <v>321.0</v>
      </c>
      <c r="G2008" s="2031">
        <v>321.0</v>
      </c>
      <c r="H2008" s="2031">
        <v>321.0</v>
      </c>
    </row>
    <row r="2009">
      <c r="B2009" s="2031">
        <v>2007.0</v>
      </c>
      <c r="C2009" s="2031">
        <v>241.0</v>
      </c>
      <c r="D2009" s="2031">
        <v>482.0</v>
      </c>
      <c r="E2009" s="2031">
        <v>321.0</v>
      </c>
      <c r="F2009" s="2031">
        <v>321.0</v>
      </c>
      <c r="G2009" s="2031">
        <v>321.0</v>
      </c>
      <c r="H2009" s="2031">
        <v>321.0</v>
      </c>
    </row>
    <row r="2010">
      <c r="B2010" s="2031">
        <v>2008.0</v>
      </c>
      <c r="C2010" s="2031">
        <v>241.0</v>
      </c>
      <c r="D2010" s="2031">
        <v>481.0</v>
      </c>
      <c r="E2010" s="2031">
        <v>321.0</v>
      </c>
      <c r="F2010" s="2031">
        <v>321.0</v>
      </c>
      <c r="G2010" s="2031">
        <v>322.0</v>
      </c>
      <c r="H2010" s="2031">
        <v>322.0</v>
      </c>
    </row>
    <row r="2011">
      <c r="B2011" s="2031">
        <v>2009.0</v>
      </c>
      <c r="C2011" s="2031">
        <v>241.0</v>
      </c>
      <c r="D2011" s="2031">
        <v>482.0</v>
      </c>
      <c r="E2011" s="2031">
        <v>321.0</v>
      </c>
      <c r="F2011" s="2031">
        <v>321.0</v>
      </c>
      <c r="G2011" s="2031">
        <v>322.0</v>
      </c>
      <c r="H2011" s="2031">
        <v>322.0</v>
      </c>
    </row>
    <row r="2012">
      <c r="B2012" s="2031">
        <v>2010.0</v>
      </c>
      <c r="C2012" s="2031">
        <v>241.0</v>
      </c>
      <c r="D2012" s="2031">
        <v>483.0</v>
      </c>
      <c r="E2012" s="2031">
        <v>321.0</v>
      </c>
      <c r="F2012" s="2031">
        <v>321.0</v>
      </c>
      <c r="G2012" s="2031">
        <v>322.0</v>
      </c>
      <c r="H2012" s="2031">
        <v>322.0</v>
      </c>
    </row>
    <row r="2013">
      <c r="B2013" s="2031">
        <v>2011.0</v>
      </c>
      <c r="C2013" s="2031">
        <v>241.0</v>
      </c>
      <c r="D2013" s="2031">
        <v>482.0</v>
      </c>
      <c r="E2013" s="2031">
        <v>322.0</v>
      </c>
      <c r="F2013" s="2031">
        <v>322.0</v>
      </c>
      <c r="G2013" s="2031">
        <v>322.0</v>
      </c>
      <c r="H2013" s="2031">
        <v>322.0</v>
      </c>
    </row>
    <row r="2014">
      <c r="B2014" s="2031">
        <v>2012.0</v>
      </c>
      <c r="C2014" s="2031">
        <v>241.0</v>
      </c>
      <c r="D2014" s="2031">
        <v>483.0</v>
      </c>
      <c r="E2014" s="2031">
        <v>322.0</v>
      </c>
      <c r="F2014" s="2031">
        <v>322.0</v>
      </c>
      <c r="G2014" s="2031">
        <v>322.0</v>
      </c>
      <c r="H2014" s="2031">
        <v>322.0</v>
      </c>
    </row>
    <row r="2015">
      <c r="B2015" s="2031">
        <v>2013.0</v>
      </c>
      <c r="C2015" s="2031">
        <v>242.0</v>
      </c>
      <c r="D2015" s="2031">
        <v>483.0</v>
      </c>
      <c r="E2015" s="2031">
        <v>322.0</v>
      </c>
      <c r="F2015" s="2031">
        <v>322.0</v>
      </c>
      <c r="G2015" s="2031">
        <v>322.0</v>
      </c>
      <c r="H2015" s="2031">
        <v>322.0</v>
      </c>
    </row>
    <row r="2016">
      <c r="B2016" s="2031">
        <v>2014.0</v>
      </c>
      <c r="C2016" s="2031">
        <v>242.0</v>
      </c>
      <c r="D2016" s="2031">
        <v>484.0</v>
      </c>
      <c r="E2016" s="2031">
        <v>322.0</v>
      </c>
      <c r="F2016" s="2031">
        <v>322.0</v>
      </c>
      <c r="G2016" s="2031">
        <v>322.0</v>
      </c>
      <c r="H2016" s="2031">
        <v>322.0</v>
      </c>
    </row>
    <row r="2017">
      <c r="B2017" s="2031">
        <v>2015.0</v>
      </c>
      <c r="C2017" s="2031">
        <v>242.0</v>
      </c>
      <c r="D2017" s="2031">
        <v>483.0</v>
      </c>
      <c r="E2017" s="2031">
        <v>322.0</v>
      </c>
      <c r="F2017" s="2031">
        <v>322.0</v>
      </c>
      <c r="G2017" s="2031">
        <v>323.0</v>
      </c>
      <c r="H2017" s="2031">
        <v>323.0</v>
      </c>
    </row>
    <row r="2018">
      <c r="B2018" s="2031">
        <v>2016.0</v>
      </c>
      <c r="C2018" s="2031">
        <v>242.0</v>
      </c>
      <c r="D2018" s="2031">
        <v>484.0</v>
      </c>
      <c r="E2018" s="2031">
        <v>322.0</v>
      </c>
      <c r="F2018" s="2031">
        <v>322.0</v>
      </c>
      <c r="G2018" s="2031">
        <v>323.0</v>
      </c>
      <c r="H2018" s="2031">
        <v>323.0</v>
      </c>
    </row>
    <row r="2019">
      <c r="B2019" s="2031">
        <v>2017.0</v>
      </c>
      <c r="C2019" s="2031">
        <v>242.0</v>
      </c>
      <c r="D2019" s="2031">
        <v>485.0</v>
      </c>
      <c r="E2019" s="2031">
        <v>322.0</v>
      </c>
      <c r="F2019" s="2031">
        <v>322.0</v>
      </c>
      <c r="G2019" s="2031">
        <v>323.0</v>
      </c>
      <c r="H2019" s="2031">
        <v>323.0</v>
      </c>
    </row>
    <row r="2020">
      <c r="B2020" s="2031">
        <v>2018.0</v>
      </c>
      <c r="C2020" s="2031">
        <v>242.0</v>
      </c>
      <c r="D2020" s="2031">
        <v>484.0</v>
      </c>
      <c r="E2020" s="2031">
        <v>323.0</v>
      </c>
      <c r="F2020" s="2031">
        <v>323.0</v>
      </c>
      <c r="G2020" s="2031">
        <v>323.0</v>
      </c>
      <c r="H2020" s="2031">
        <v>323.0</v>
      </c>
    </row>
    <row r="2021">
      <c r="B2021" s="2031">
        <v>2019.0</v>
      </c>
      <c r="C2021" s="2031">
        <v>242.0</v>
      </c>
      <c r="D2021" s="2031">
        <v>485.0</v>
      </c>
      <c r="E2021" s="2031">
        <v>323.0</v>
      </c>
      <c r="F2021" s="2031">
        <v>323.0</v>
      </c>
      <c r="G2021" s="2031">
        <v>323.0</v>
      </c>
      <c r="H2021" s="2031">
        <v>323.0</v>
      </c>
    </row>
    <row r="2022">
      <c r="B2022" s="2031">
        <v>2020.0</v>
      </c>
      <c r="C2022" s="2031">
        <v>243.0</v>
      </c>
      <c r="D2022" s="2031">
        <v>485.0</v>
      </c>
      <c r="E2022" s="2031">
        <v>323.0</v>
      </c>
      <c r="F2022" s="2031">
        <v>323.0</v>
      </c>
      <c r="G2022" s="2031">
        <v>323.0</v>
      </c>
      <c r="H2022" s="2031">
        <v>323.0</v>
      </c>
    </row>
    <row r="2023">
      <c r="B2023" s="2031">
        <v>2021.0</v>
      </c>
      <c r="C2023" s="2031">
        <v>242.0</v>
      </c>
      <c r="D2023" s="2031">
        <v>485.0</v>
      </c>
      <c r="E2023" s="2031">
        <v>323.0</v>
      </c>
      <c r="F2023" s="2031">
        <v>323.0</v>
      </c>
      <c r="G2023" s="2031">
        <v>324.0</v>
      </c>
      <c r="H2023" s="2031">
        <v>324.0</v>
      </c>
    </row>
    <row r="2024">
      <c r="B2024" s="2031">
        <v>2022.0</v>
      </c>
      <c r="C2024" s="2031">
        <v>243.0</v>
      </c>
      <c r="D2024" s="2031">
        <v>485.0</v>
      </c>
      <c r="E2024" s="2031">
        <v>323.0</v>
      </c>
      <c r="F2024" s="2031">
        <v>323.0</v>
      </c>
      <c r="G2024" s="2031">
        <v>324.0</v>
      </c>
      <c r="H2024" s="2031">
        <v>324.0</v>
      </c>
    </row>
    <row r="2025">
      <c r="B2025" s="2031">
        <v>2023.0</v>
      </c>
      <c r="C2025" s="2031">
        <v>242.0</v>
      </c>
      <c r="D2025" s="2031">
        <v>485.0</v>
      </c>
      <c r="E2025" s="2031">
        <v>324.0</v>
      </c>
      <c r="F2025" s="2031">
        <v>324.0</v>
      </c>
      <c r="G2025" s="2031">
        <v>324.0</v>
      </c>
      <c r="H2025" s="2031">
        <v>324.0</v>
      </c>
    </row>
    <row r="2026">
      <c r="B2026" s="2031">
        <v>2024.0</v>
      </c>
      <c r="C2026" s="2031">
        <v>243.0</v>
      </c>
      <c r="D2026" s="2031">
        <v>485.0</v>
      </c>
      <c r="E2026" s="2031">
        <v>324.0</v>
      </c>
      <c r="F2026" s="2031">
        <v>324.0</v>
      </c>
      <c r="G2026" s="2031">
        <v>324.0</v>
      </c>
      <c r="H2026" s="2031">
        <v>324.0</v>
      </c>
    </row>
    <row r="2027">
      <c r="B2027" s="2031">
        <v>2025.0</v>
      </c>
      <c r="C2027" s="2031">
        <v>243.0</v>
      </c>
      <c r="D2027" s="2031">
        <v>486.0</v>
      </c>
      <c r="E2027" s="2031">
        <v>324.0</v>
      </c>
      <c r="F2027" s="2031">
        <v>324.0</v>
      </c>
      <c r="G2027" s="2031">
        <v>324.0</v>
      </c>
      <c r="H2027" s="2031">
        <v>324.0</v>
      </c>
    </row>
    <row r="2028">
      <c r="B2028" s="2031">
        <v>2026.0</v>
      </c>
      <c r="C2028" s="2031">
        <v>243.0</v>
      </c>
      <c r="D2028" s="2031">
        <v>487.0</v>
      </c>
      <c r="E2028" s="2031">
        <v>324.0</v>
      </c>
      <c r="F2028" s="2031">
        <v>324.0</v>
      </c>
      <c r="G2028" s="2031">
        <v>324.0</v>
      </c>
      <c r="H2028" s="2031">
        <v>324.0</v>
      </c>
    </row>
    <row r="2029">
      <c r="B2029" s="2031">
        <v>2027.0</v>
      </c>
      <c r="C2029" s="2031">
        <v>244.0</v>
      </c>
      <c r="D2029" s="2031">
        <v>487.0</v>
      </c>
      <c r="E2029" s="2031">
        <v>324.0</v>
      </c>
      <c r="F2029" s="2031">
        <v>324.0</v>
      </c>
      <c r="G2029" s="2031">
        <v>324.0</v>
      </c>
      <c r="H2029" s="2031">
        <v>324.0</v>
      </c>
    </row>
    <row r="2030">
      <c r="B2030" s="2031">
        <v>2028.0</v>
      </c>
      <c r="C2030" s="2031">
        <v>243.0</v>
      </c>
      <c r="D2030" s="2031">
        <v>487.0</v>
      </c>
      <c r="E2030" s="2031">
        <v>324.0</v>
      </c>
      <c r="F2030" s="2031">
        <v>324.0</v>
      </c>
      <c r="G2030" s="2031">
        <v>325.0</v>
      </c>
      <c r="H2030" s="2031">
        <v>325.0</v>
      </c>
    </row>
    <row r="2031">
      <c r="B2031" s="2031">
        <v>2029.0</v>
      </c>
      <c r="C2031" s="2031">
        <v>244.0</v>
      </c>
      <c r="D2031" s="2031">
        <v>487.0</v>
      </c>
      <c r="E2031" s="2031">
        <v>324.0</v>
      </c>
      <c r="F2031" s="2031">
        <v>324.0</v>
      </c>
      <c r="G2031" s="2031">
        <v>325.0</v>
      </c>
      <c r="H2031" s="2031">
        <v>325.0</v>
      </c>
    </row>
    <row r="2032">
      <c r="B2032" s="2031">
        <v>2030.0</v>
      </c>
      <c r="C2032" s="2031">
        <v>243.0</v>
      </c>
      <c r="D2032" s="2031">
        <v>487.0</v>
      </c>
      <c r="E2032" s="2031">
        <v>325.0</v>
      </c>
      <c r="F2032" s="2031">
        <v>325.0</v>
      </c>
      <c r="G2032" s="2031">
        <v>325.0</v>
      </c>
      <c r="H2032" s="2031">
        <v>325.0</v>
      </c>
    </row>
    <row r="2033">
      <c r="B2033" s="2031">
        <v>2031.0</v>
      </c>
      <c r="C2033" s="2031">
        <v>244.0</v>
      </c>
      <c r="D2033" s="2031">
        <v>487.0</v>
      </c>
      <c r="E2033" s="2031">
        <v>325.0</v>
      </c>
      <c r="F2033" s="2031">
        <v>325.0</v>
      </c>
      <c r="G2033" s="2031">
        <v>325.0</v>
      </c>
      <c r="H2033" s="2031">
        <v>325.0</v>
      </c>
    </row>
    <row r="2034">
      <c r="B2034" s="2031">
        <v>2032.0</v>
      </c>
      <c r="C2034" s="2031">
        <v>244.0</v>
      </c>
      <c r="D2034" s="2031">
        <v>488.0</v>
      </c>
      <c r="E2034" s="2031">
        <v>325.0</v>
      </c>
      <c r="F2034" s="2031">
        <v>325.0</v>
      </c>
      <c r="G2034" s="2031">
        <v>325.0</v>
      </c>
      <c r="H2034" s="2031">
        <v>325.0</v>
      </c>
    </row>
    <row r="2035">
      <c r="B2035" s="2031">
        <v>2033.0</v>
      </c>
      <c r="C2035" s="2031">
        <v>244.0</v>
      </c>
      <c r="D2035" s="2031">
        <v>487.0</v>
      </c>
      <c r="E2035" s="2031">
        <v>325.0</v>
      </c>
      <c r="F2035" s="2031">
        <v>325.0</v>
      </c>
      <c r="G2035" s="2031">
        <v>326.0</v>
      </c>
      <c r="H2035" s="2031">
        <v>326.0</v>
      </c>
    </row>
    <row r="2036">
      <c r="B2036" s="2031">
        <v>2034.0</v>
      </c>
      <c r="C2036" s="2031">
        <v>244.0</v>
      </c>
      <c r="D2036" s="2031">
        <v>488.0</v>
      </c>
      <c r="E2036" s="2031">
        <v>325.0</v>
      </c>
      <c r="F2036" s="2031">
        <v>325.0</v>
      </c>
      <c r="G2036" s="2031">
        <v>326.0</v>
      </c>
      <c r="H2036" s="2031">
        <v>326.0</v>
      </c>
    </row>
    <row r="2037">
      <c r="B2037" s="2031">
        <v>2035.0</v>
      </c>
      <c r="C2037" s="2031">
        <v>244.0</v>
      </c>
      <c r="D2037" s="2031">
        <v>489.0</v>
      </c>
      <c r="E2037" s="2031">
        <v>325.0</v>
      </c>
      <c r="F2037" s="2031">
        <v>325.0</v>
      </c>
      <c r="G2037" s="2031">
        <v>326.0</v>
      </c>
      <c r="H2037" s="2031">
        <v>326.0</v>
      </c>
    </row>
    <row r="2038">
      <c r="B2038" s="2031">
        <v>2036.0</v>
      </c>
      <c r="C2038" s="2031">
        <v>244.0</v>
      </c>
      <c r="D2038" s="2031">
        <v>488.0</v>
      </c>
      <c r="E2038" s="2031">
        <v>326.0</v>
      </c>
      <c r="F2038" s="2031">
        <v>326.0</v>
      </c>
      <c r="G2038" s="2031">
        <v>326.0</v>
      </c>
      <c r="H2038" s="2031">
        <v>326.0</v>
      </c>
    </row>
    <row r="2039">
      <c r="B2039" s="2031">
        <v>2037.0</v>
      </c>
      <c r="C2039" s="2031">
        <v>244.0</v>
      </c>
      <c r="D2039" s="2031">
        <v>489.0</v>
      </c>
      <c r="E2039" s="2031">
        <v>326.0</v>
      </c>
      <c r="F2039" s="2031">
        <v>326.0</v>
      </c>
      <c r="G2039" s="2031">
        <v>326.0</v>
      </c>
      <c r="H2039" s="2031">
        <v>326.0</v>
      </c>
    </row>
    <row r="2040">
      <c r="B2040" s="2031">
        <v>2038.0</v>
      </c>
      <c r="C2040" s="2031">
        <v>245.0</v>
      </c>
      <c r="D2040" s="2031">
        <v>489.0</v>
      </c>
      <c r="E2040" s="2031">
        <v>326.0</v>
      </c>
      <c r="F2040" s="2031">
        <v>326.0</v>
      </c>
      <c r="G2040" s="2031">
        <v>326.0</v>
      </c>
      <c r="H2040" s="2031">
        <v>326.0</v>
      </c>
    </row>
    <row r="2041">
      <c r="B2041" s="2031">
        <v>2039.0</v>
      </c>
      <c r="C2041" s="2031">
        <v>245.0</v>
      </c>
      <c r="D2041" s="2031">
        <v>490.0</v>
      </c>
      <c r="E2041" s="2031">
        <v>326.0</v>
      </c>
      <c r="F2041" s="2031">
        <v>326.0</v>
      </c>
      <c r="G2041" s="2031">
        <v>326.0</v>
      </c>
      <c r="H2041" s="2031">
        <v>326.0</v>
      </c>
    </row>
    <row r="2042">
      <c r="B2042" s="2031">
        <v>2040.0</v>
      </c>
      <c r="C2042" s="2031">
        <v>245.0</v>
      </c>
      <c r="D2042" s="2031">
        <v>489.0</v>
      </c>
      <c r="E2042" s="2031">
        <v>326.0</v>
      </c>
      <c r="F2042" s="2031">
        <v>326.0</v>
      </c>
      <c r="G2042" s="2031">
        <v>327.0</v>
      </c>
      <c r="H2042" s="2031">
        <v>327.0</v>
      </c>
    </row>
    <row r="2043">
      <c r="B2043" s="2031">
        <v>2041.0</v>
      </c>
      <c r="C2043" s="2031">
        <v>245.0</v>
      </c>
      <c r="D2043" s="2031">
        <v>490.0</v>
      </c>
      <c r="E2043" s="2031">
        <v>326.0</v>
      </c>
      <c r="F2043" s="2031">
        <v>326.0</v>
      </c>
      <c r="G2043" s="2031">
        <v>327.0</v>
      </c>
      <c r="H2043" s="2031">
        <v>327.0</v>
      </c>
    </row>
    <row r="2044">
      <c r="B2044" s="2031">
        <v>2042.0</v>
      </c>
      <c r="C2044" s="2031">
        <v>245.0</v>
      </c>
      <c r="D2044" s="2031">
        <v>491.0</v>
      </c>
      <c r="E2044" s="2031">
        <v>326.0</v>
      </c>
      <c r="F2044" s="2031">
        <v>326.0</v>
      </c>
      <c r="G2044" s="2031">
        <v>327.0</v>
      </c>
      <c r="H2044" s="2031">
        <v>327.0</v>
      </c>
    </row>
    <row r="2045">
      <c r="B2045" s="2031">
        <v>2043.0</v>
      </c>
      <c r="C2045" s="2031">
        <v>245.0</v>
      </c>
      <c r="D2045" s="2031">
        <v>490.0</v>
      </c>
      <c r="E2045" s="2031">
        <v>327.0</v>
      </c>
      <c r="F2045" s="2031">
        <v>327.0</v>
      </c>
      <c r="G2045" s="2031">
        <v>327.0</v>
      </c>
      <c r="H2045" s="2031">
        <v>327.0</v>
      </c>
    </row>
    <row r="2046">
      <c r="B2046" s="2031">
        <v>2044.0</v>
      </c>
      <c r="C2046" s="2031">
        <v>245.0</v>
      </c>
      <c r="D2046" s="2031">
        <v>491.0</v>
      </c>
      <c r="E2046" s="2031">
        <v>327.0</v>
      </c>
      <c r="F2046" s="2031">
        <v>327.0</v>
      </c>
      <c r="G2046" s="2031">
        <v>327.0</v>
      </c>
      <c r="H2046" s="2031">
        <v>327.0</v>
      </c>
    </row>
    <row r="2047">
      <c r="B2047" s="2031">
        <v>2045.0</v>
      </c>
      <c r="C2047" s="2031">
        <v>246.0</v>
      </c>
      <c r="D2047" s="2031">
        <v>491.0</v>
      </c>
      <c r="E2047" s="2031">
        <v>327.0</v>
      </c>
      <c r="F2047" s="2031">
        <v>327.0</v>
      </c>
      <c r="G2047" s="2031">
        <v>327.0</v>
      </c>
      <c r="H2047" s="2031">
        <v>327.0</v>
      </c>
    </row>
    <row r="2048">
      <c r="B2048" s="2031">
        <v>2046.0</v>
      </c>
      <c r="C2048" s="2031">
        <v>245.0</v>
      </c>
      <c r="D2048" s="2031">
        <v>491.0</v>
      </c>
      <c r="E2048" s="2031">
        <v>327.0</v>
      </c>
      <c r="F2048" s="2031">
        <v>327.0</v>
      </c>
      <c r="G2048" s="2031">
        <v>328.0</v>
      </c>
      <c r="H2048" s="2031">
        <v>328.0</v>
      </c>
    </row>
    <row r="2049">
      <c r="B2049" s="2031">
        <v>2047.0</v>
      </c>
      <c r="C2049" s="2031">
        <v>246.0</v>
      </c>
      <c r="D2049" s="2031">
        <v>491.0</v>
      </c>
      <c r="E2049" s="2031">
        <v>327.0</v>
      </c>
      <c r="F2049" s="2031">
        <v>327.0</v>
      </c>
      <c r="G2049" s="2031">
        <v>328.0</v>
      </c>
      <c r="H2049" s="2031">
        <v>328.0</v>
      </c>
    </row>
    <row r="2050">
      <c r="B2050" s="2031">
        <v>2048.0</v>
      </c>
      <c r="C2050" s="2031">
        <v>245.0</v>
      </c>
      <c r="D2050" s="2031">
        <v>491.0</v>
      </c>
      <c r="E2050" s="2031">
        <v>328.0</v>
      </c>
      <c r="F2050" s="2031">
        <v>328.0</v>
      </c>
      <c r="G2050" s="2031">
        <v>328.0</v>
      </c>
      <c r="H2050" s="2031">
        <v>328.0</v>
      </c>
    </row>
    <row r="2051">
      <c r="B2051" s="2031">
        <v>2049.0</v>
      </c>
      <c r="C2051" s="2031">
        <v>246.0</v>
      </c>
      <c r="D2051" s="2031">
        <v>491.0</v>
      </c>
      <c r="E2051" s="2031">
        <v>328.0</v>
      </c>
      <c r="F2051" s="2031">
        <v>328.0</v>
      </c>
      <c r="G2051" s="2031">
        <v>328.0</v>
      </c>
      <c r="H2051" s="2031">
        <v>328.0</v>
      </c>
    </row>
    <row r="2052">
      <c r="B2052" s="2031">
        <v>2050.0</v>
      </c>
      <c r="C2052" s="2031">
        <v>246.0</v>
      </c>
      <c r="D2052" s="2031">
        <v>492.0</v>
      </c>
      <c r="E2052" s="2031">
        <v>328.0</v>
      </c>
      <c r="F2052" s="2031">
        <v>328.0</v>
      </c>
      <c r="G2052" s="2031">
        <v>328.0</v>
      </c>
      <c r="H2052" s="2031">
        <v>328.0</v>
      </c>
    </row>
    <row r="2053">
      <c r="B2053" s="2031">
        <v>2051.0</v>
      </c>
      <c r="C2053" s="2031">
        <v>246.0</v>
      </c>
      <c r="D2053" s="2031">
        <v>493.0</v>
      </c>
      <c r="E2053" s="2031">
        <v>328.0</v>
      </c>
      <c r="F2053" s="2031">
        <v>328.0</v>
      </c>
      <c r="G2053" s="2031">
        <v>328.0</v>
      </c>
      <c r="H2053" s="2031">
        <v>328.0</v>
      </c>
    </row>
    <row r="2054">
      <c r="B2054" s="2031">
        <v>2052.0</v>
      </c>
      <c r="C2054" s="2031">
        <v>247.0</v>
      </c>
      <c r="D2054" s="2031">
        <v>493.0</v>
      </c>
      <c r="E2054" s="2031">
        <v>328.0</v>
      </c>
      <c r="F2054" s="2031">
        <v>328.0</v>
      </c>
      <c r="G2054" s="2031">
        <v>328.0</v>
      </c>
      <c r="H2054" s="2031">
        <v>328.0</v>
      </c>
    </row>
    <row r="2055">
      <c r="B2055" s="2031">
        <v>2053.0</v>
      </c>
      <c r="C2055" s="2031">
        <v>246.0</v>
      </c>
      <c r="D2055" s="2031">
        <v>493.0</v>
      </c>
      <c r="E2055" s="2031">
        <v>328.0</v>
      </c>
      <c r="F2055" s="2031">
        <v>328.0</v>
      </c>
      <c r="G2055" s="2031">
        <v>329.0</v>
      </c>
      <c r="H2055" s="2031">
        <v>329.0</v>
      </c>
    </row>
    <row r="2056">
      <c r="B2056" s="2031">
        <v>2054.0</v>
      </c>
      <c r="C2056" s="2031">
        <v>247.0</v>
      </c>
      <c r="D2056" s="2031">
        <v>493.0</v>
      </c>
      <c r="E2056" s="2031">
        <v>328.0</v>
      </c>
      <c r="F2056" s="2031">
        <v>328.0</v>
      </c>
      <c r="G2056" s="2031">
        <v>329.0</v>
      </c>
      <c r="H2056" s="2031">
        <v>329.0</v>
      </c>
    </row>
    <row r="2057">
      <c r="B2057" s="2031">
        <v>2055.0</v>
      </c>
      <c r="C2057" s="2031">
        <v>246.0</v>
      </c>
      <c r="D2057" s="2031">
        <v>493.0</v>
      </c>
      <c r="E2057" s="2031">
        <v>329.0</v>
      </c>
      <c r="F2057" s="2031">
        <v>329.0</v>
      </c>
      <c r="G2057" s="2031">
        <v>329.0</v>
      </c>
      <c r="H2057" s="2031">
        <v>329.0</v>
      </c>
    </row>
    <row r="2058">
      <c r="B2058" s="2031">
        <v>2056.0</v>
      </c>
      <c r="C2058" s="2031">
        <v>247.0</v>
      </c>
      <c r="D2058" s="2031">
        <v>493.0</v>
      </c>
      <c r="E2058" s="2031">
        <v>329.0</v>
      </c>
      <c r="F2058" s="2031">
        <v>329.0</v>
      </c>
      <c r="G2058" s="2031">
        <v>329.0</v>
      </c>
      <c r="H2058" s="2031">
        <v>329.0</v>
      </c>
    </row>
    <row r="2059">
      <c r="B2059" s="2031">
        <v>2057.0</v>
      </c>
      <c r="C2059" s="2031">
        <v>247.0</v>
      </c>
      <c r="D2059" s="2031">
        <v>494.0</v>
      </c>
      <c r="E2059" s="2031">
        <v>329.0</v>
      </c>
      <c r="F2059" s="2031">
        <v>329.0</v>
      </c>
      <c r="G2059" s="2031">
        <v>329.0</v>
      </c>
      <c r="H2059" s="2031">
        <v>329.0</v>
      </c>
    </row>
    <row r="2060">
      <c r="B2060" s="2031">
        <v>2058.0</v>
      </c>
      <c r="C2060" s="2031">
        <v>247.0</v>
      </c>
      <c r="D2060" s="2031">
        <v>493.0</v>
      </c>
      <c r="E2060" s="2031">
        <v>329.0</v>
      </c>
      <c r="F2060" s="2031">
        <v>329.0</v>
      </c>
      <c r="G2060" s="2031">
        <v>330.0</v>
      </c>
      <c r="H2060" s="2031">
        <v>330.0</v>
      </c>
    </row>
    <row r="2061">
      <c r="B2061" s="2031">
        <v>2059.0</v>
      </c>
      <c r="C2061" s="2031">
        <v>247.0</v>
      </c>
      <c r="D2061" s="2031">
        <v>494.0</v>
      </c>
      <c r="E2061" s="2031">
        <v>329.0</v>
      </c>
      <c r="F2061" s="2031">
        <v>329.0</v>
      </c>
      <c r="G2061" s="2031">
        <v>330.0</v>
      </c>
      <c r="H2061" s="2031">
        <v>330.0</v>
      </c>
    </row>
    <row r="2062">
      <c r="B2062" s="2031">
        <v>2060.0</v>
      </c>
      <c r="C2062" s="2031">
        <v>247.0</v>
      </c>
      <c r="D2062" s="2031">
        <v>495.0</v>
      </c>
      <c r="E2062" s="2031">
        <v>329.0</v>
      </c>
      <c r="F2062" s="2031">
        <v>329.0</v>
      </c>
      <c r="G2062" s="2031">
        <v>330.0</v>
      </c>
      <c r="H2062" s="2031">
        <v>330.0</v>
      </c>
    </row>
    <row r="2063">
      <c r="B2063" s="2031">
        <v>2061.0</v>
      </c>
      <c r="C2063" s="2031">
        <v>247.0</v>
      </c>
      <c r="D2063" s="2031">
        <v>494.0</v>
      </c>
      <c r="E2063" s="2031">
        <v>330.0</v>
      </c>
      <c r="F2063" s="2031">
        <v>330.0</v>
      </c>
      <c r="G2063" s="2031">
        <v>330.0</v>
      </c>
      <c r="H2063" s="2031">
        <v>330.0</v>
      </c>
    </row>
    <row r="2064">
      <c r="B2064" s="2031">
        <v>2062.0</v>
      </c>
      <c r="C2064" s="2031">
        <v>247.0</v>
      </c>
      <c r="D2064" s="2031">
        <v>495.0</v>
      </c>
      <c r="E2064" s="2031">
        <v>330.0</v>
      </c>
      <c r="F2064" s="2031">
        <v>330.0</v>
      </c>
      <c r="G2064" s="2031">
        <v>330.0</v>
      </c>
      <c r="H2064" s="2031">
        <v>330.0</v>
      </c>
    </row>
    <row r="2065">
      <c r="B2065" s="2031">
        <v>2063.0</v>
      </c>
      <c r="C2065" s="2031">
        <v>248.0</v>
      </c>
      <c r="D2065" s="2031">
        <v>495.0</v>
      </c>
      <c r="E2065" s="2031">
        <v>330.0</v>
      </c>
      <c r="F2065" s="2031">
        <v>330.0</v>
      </c>
      <c r="G2065" s="2031">
        <v>330.0</v>
      </c>
      <c r="H2065" s="2031">
        <v>330.0</v>
      </c>
    </row>
    <row r="2066">
      <c r="B2066" s="2031">
        <v>2064.0</v>
      </c>
      <c r="C2066" s="2031">
        <v>248.0</v>
      </c>
      <c r="D2066" s="2031">
        <v>496.0</v>
      </c>
      <c r="E2066" s="2031">
        <v>330.0</v>
      </c>
      <c r="F2066" s="2031">
        <v>330.0</v>
      </c>
      <c r="G2066" s="2031">
        <v>330.0</v>
      </c>
      <c r="H2066" s="2031">
        <v>330.0</v>
      </c>
    </row>
    <row r="2067">
      <c r="B2067" s="2031">
        <v>2065.0</v>
      </c>
      <c r="C2067" s="2031">
        <v>248.0</v>
      </c>
      <c r="D2067" s="2031">
        <v>495.0</v>
      </c>
      <c r="E2067" s="2031">
        <v>330.0</v>
      </c>
      <c r="F2067" s="2031">
        <v>330.0</v>
      </c>
      <c r="G2067" s="2031">
        <v>331.0</v>
      </c>
      <c r="H2067" s="2031">
        <v>331.0</v>
      </c>
    </row>
    <row r="2068">
      <c r="B2068" s="2031">
        <v>2066.0</v>
      </c>
      <c r="C2068" s="2031">
        <v>248.0</v>
      </c>
      <c r="D2068" s="2031">
        <v>496.0</v>
      </c>
      <c r="E2068" s="2031">
        <v>330.0</v>
      </c>
      <c r="F2068" s="2031">
        <v>330.0</v>
      </c>
      <c r="G2068" s="2031">
        <v>331.0</v>
      </c>
      <c r="H2068" s="2031">
        <v>331.0</v>
      </c>
    </row>
    <row r="2069">
      <c r="B2069" s="2031">
        <v>2067.0</v>
      </c>
      <c r="C2069" s="2031">
        <v>248.0</v>
      </c>
      <c r="D2069" s="2031">
        <v>497.0</v>
      </c>
      <c r="E2069" s="2031">
        <v>330.0</v>
      </c>
      <c r="F2069" s="2031">
        <v>330.0</v>
      </c>
      <c r="G2069" s="2031">
        <v>331.0</v>
      </c>
      <c r="H2069" s="2031">
        <v>331.0</v>
      </c>
    </row>
    <row r="2070">
      <c r="B2070" s="2031">
        <v>2068.0</v>
      </c>
      <c r="C2070" s="2031">
        <v>248.0</v>
      </c>
      <c r="D2070" s="2031">
        <v>496.0</v>
      </c>
      <c r="E2070" s="2031">
        <v>331.0</v>
      </c>
      <c r="F2070" s="2031">
        <v>331.0</v>
      </c>
      <c r="G2070" s="2031">
        <v>331.0</v>
      </c>
      <c r="H2070" s="2031">
        <v>331.0</v>
      </c>
    </row>
    <row r="2071">
      <c r="B2071" s="2031">
        <v>2069.0</v>
      </c>
      <c r="C2071" s="2031">
        <v>248.0</v>
      </c>
      <c r="D2071" s="2031">
        <v>497.0</v>
      </c>
      <c r="E2071" s="2031">
        <v>331.0</v>
      </c>
      <c r="F2071" s="2031">
        <v>331.0</v>
      </c>
      <c r="G2071" s="2031">
        <v>331.0</v>
      </c>
      <c r="H2071" s="2031">
        <v>331.0</v>
      </c>
    </row>
    <row r="2072">
      <c r="B2072" s="2031">
        <v>2070.0</v>
      </c>
      <c r="C2072" s="2031">
        <v>249.0</v>
      </c>
      <c r="D2072" s="2031">
        <v>497.0</v>
      </c>
      <c r="E2072" s="2031">
        <v>331.0</v>
      </c>
      <c r="F2072" s="2031">
        <v>331.0</v>
      </c>
      <c r="G2072" s="2031">
        <v>331.0</v>
      </c>
      <c r="H2072" s="2031">
        <v>331.0</v>
      </c>
    </row>
    <row r="2073">
      <c r="B2073" s="2031">
        <v>2071.0</v>
      </c>
      <c r="C2073" s="2031">
        <v>248.0</v>
      </c>
      <c r="D2073" s="2031">
        <v>497.0</v>
      </c>
      <c r="E2073" s="2031">
        <v>331.0</v>
      </c>
      <c r="F2073" s="2031">
        <v>331.0</v>
      </c>
      <c r="G2073" s="2031">
        <v>332.0</v>
      </c>
      <c r="H2073" s="2031">
        <v>332.0</v>
      </c>
    </row>
    <row r="2074">
      <c r="B2074" s="2031">
        <v>2072.0</v>
      </c>
      <c r="C2074" s="2031">
        <v>249.0</v>
      </c>
      <c r="D2074" s="2031">
        <v>497.0</v>
      </c>
      <c r="E2074" s="2031">
        <v>331.0</v>
      </c>
      <c r="F2074" s="2031">
        <v>331.0</v>
      </c>
      <c r="G2074" s="2031">
        <v>332.0</v>
      </c>
      <c r="H2074" s="2031">
        <v>332.0</v>
      </c>
    </row>
    <row r="2075">
      <c r="B2075" s="2031">
        <v>2073.0</v>
      </c>
      <c r="C2075" s="2031">
        <v>248.0</v>
      </c>
      <c r="D2075" s="2031">
        <v>497.0</v>
      </c>
      <c r="E2075" s="2031">
        <v>332.0</v>
      </c>
      <c r="F2075" s="2031">
        <v>332.0</v>
      </c>
      <c r="G2075" s="2031">
        <v>332.0</v>
      </c>
      <c r="H2075" s="2031">
        <v>332.0</v>
      </c>
    </row>
    <row r="2076">
      <c r="B2076" s="2031">
        <v>2074.0</v>
      </c>
      <c r="C2076" s="2031">
        <v>249.0</v>
      </c>
      <c r="D2076" s="2031">
        <v>497.0</v>
      </c>
      <c r="E2076" s="2031">
        <v>332.0</v>
      </c>
      <c r="F2076" s="2031">
        <v>332.0</v>
      </c>
      <c r="G2076" s="2031">
        <v>332.0</v>
      </c>
      <c r="H2076" s="2031">
        <v>332.0</v>
      </c>
    </row>
    <row r="2077">
      <c r="B2077" s="2031">
        <v>2075.0</v>
      </c>
      <c r="C2077" s="2031">
        <v>249.0</v>
      </c>
      <c r="D2077" s="2031">
        <v>498.0</v>
      </c>
      <c r="E2077" s="2031">
        <v>332.0</v>
      </c>
      <c r="F2077" s="2031">
        <v>332.0</v>
      </c>
      <c r="G2077" s="2031">
        <v>332.0</v>
      </c>
      <c r="H2077" s="2031">
        <v>332.0</v>
      </c>
    </row>
    <row r="2078">
      <c r="B2078" s="2031">
        <v>2076.0</v>
      </c>
      <c r="C2078" s="2031">
        <v>249.0</v>
      </c>
      <c r="D2078" s="2031">
        <v>499.0</v>
      </c>
      <c r="E2078" s="2031">
        <v>332.0</v>
      </c>
      <c r="F2078" s="2031">
        <v>332.0</v>
      </c>
      <c r="G2078" s="2031">
        <v>332.0</v>
      </c>
      <c r="H2078" s="2031">
        <v>332.0</v>
      </c>
    </row>
    <row r="2079">
      <c r="B2079" s="2031">
        <v>2077.0</v>
      </c>
      <c r="C2079" s="2031">
        <v>250.0</v>
      </c>
      <c r="D2079" s="2031">
        <v>499.0</v>
      </c>
      <c r="E2079" s="2031">
        <v>332.0</v>
      </c>
      <c r="F2079" s="2031">
        <v>332.0</v>
      </c>
      <c r="G2079" s="2031">
        <v>332.0</v>
      </c>
      <c r="H2079" s="2031">
        <v>332.0</v>
      </c>
    </row>
    <row r="2080">
      <c r="B2080" s="2031">
        <v>2078.0</v>
      </c>
      <c r="C2080" s="2031">
        <v>249.0</v>
      </c>
      <c r="D2080" s="2031">
        <v>499.0</v>
      </c>
      <c r="E2080" s="2031">
        <v>332.0</v>
      </c>
      <c r="F2080" s="2031">
        <v>332.0</v>
      </c>
      <c r="G2080" s="2031">
        <v>333.0</v>
      </c>
      <c r="H2080" s="2031">
        <v>333.0</v>
      </c>
    </row>
    <row r="2081">
      <c r="B2081" s="2031">
        <v>2079.0</v>
      </c>
      <c r="C2081" s="2031">
        <v>250.0</v>
      </c>
      <c r="D2081" s="2031">
        <v>499.0</v>
      </c>
      <c r="E2081" s="2031">
        <v>332.0</v>
      </c>
      <c r="F2081" s="2031">
        <v>332.0</v>
      </c>
      <c r="G2081" s="2031">
        <v>333.0</v>
      </c>
      <c r="H2081" s="2031">
        <v>333.0</v>
      </c>
    </row>
    <row r="2082">
      <c r="B2082" s="2031">
        <v>2080.0</v>
      </c>
      <c r="C2082" s="2031">
        <v>249.0</v>
      </c>
      <c r="D2082" s="2031">
        <v>499.0</v>
      </c>
      <c r="E2082" s="2031">
        <v>333.0</v>
      </c>
      <c r="F2082" s="2031">
        <v>333.0</v>
      </c>
      <c r="G2082" s="2031">
        <v>333.0</v>
      </c>
      <c r="H2082" s="2031">
        <v>333.0</v>
      </c>
    </row>
    <row r="2083">
      <c r="B2083" s="2031">
        <v>2081.0</v>
      </c>
      <c r="C2083" s="2031">
        <v>250.0</v>
      </c>
      <c r="D2083" s="2031">
        <v>499.0</v>
      </c>
      <c r="E2083" s="2031">
        <v>333.0</v>
      </c>
      <c r="F2083" s="2031">
        <v>333.0</v>
      </c>
      <c r="G2083" s="2031">
        <v>333.0</v>
      </c>
      <c r="H2083" s="2031">
        <v>333.0</v>
      </c>
    </row>
    <row r="2084">
      <c r="B2084" s="2031">
        <v>2082.0</v>
      </c>
      <c r="C2084" s="2031">
        <v>250.0</v>
      </c>
      <c r="D2084" s="2031">
        <v>500.0</v>
      </c>
      <c r="E2084" s="2031">
        <v>333.0</v>
      </c>
      <c r="F2084" s="2031">
        <v>333.0</v>
      </c>
      <c r="G2084" s="2031">
        <v>333.0</v>
      </c>
      <c r="H2084" s="2031">
        <v>333.0</v>
      </c>
    </row>
    <row r="2085">
      <c r="B2085" s="2031">
        <v>2083.0</v>
      </c>
      <c r="C2085" s="2031">
        <v>250.0</v>
      </c>
      <c r="D2085" s="2031">
        <v>499.0</v>
      </c>
      <c r="E2085" s="2031">
        <v>333.0</v>
      </c>
      <c r="F2085" s="2031">
        <v>333.0</v>
      </c>
      <c r="G2085" s="2031">
        <v>334.0</v>
      </c>
      <c r="H2085" s="2031">
        <v>334.0</v>
      </c>
    </row>
    <row r="2086">
      <c r="B2086" s="2031">
        <v>2084.0</v>
      </c>
      <c r="C2086" s="2031">
        <v>250.0</v>
      </c>
      <c r="D2086" s="2031">
        <v>500.0</v>
      </c>
      <c r="E2086" s="2031">
        <v>333.0</v>
      </c>
      <c r="F2086" s="2031">
        <v>333.0</v>
      </c>
      <c r="G2086" s="2031">
        <v>334.0</v>
      </c>
      <c r="H2086" s="2031">
        <v>334.0</v>
      </c>
    </row>
    <row r="2087">
      <c r="B2087" s="2031">
        <v>2085.0</v>
      </c>
      <c r="C2087" s="2031">
        <v>250.0</v>
      </c>
      <c r="D2087" s="2031">
        <v>501.0</v>
      </c>
      <c r="E2087" s="2031">
        <v>333.0</v>
      </c>
      <c r="F2087" s="2031">
        <v>333.0</v>
      </c>
      <c r="G2087" s="2031">
        <v>334.0</v>
      </c>
      <c r="H2087" s="2031">
        <v>334.0</v>
      </c>
    </row>
    <row r="2088">
      <c r="B2088" s="2031">
        <v>2086.0</v>
      </c>
      <c r="C2088" s="2031">
        <v>250.0</v>
      </c>
      <c r="D2088" s="2031">
        <v>500.0</v>
      </c>
      <c r="E2088" s="2031">
        <v>334.0</v>
      </c>
      <c r="F2088" s="2031">
        <v>334.0</v>
      </c>
      <c r="G2088" s="2031">
        <v>334.0</v>
      </c>
      <c r="H2088" s="2031">
        <v>334.0</v>
      </c>
    </row>
    <row r="2089">
      <c r="B2089" s="2031">
        <v>2087.0</v>
      </c>
      <c r="C2089" s="2031">
        <v>250.0</v>
      </c>
      <c r="D2089" s="2031">
        <v>501.0</v>
      </c>
      <c r="E2089" s="2031">
        <v>334.0</v>
      </c>
      <c r="F2089" s="2031">
        <v>334.0</v>
      </c>
      <c r="G2089" s="2031">
        <v>334.0</v>
      </c>
      <c r="H2089" s="2031">
        <v>334.0</v>
      </c>
    </row>
    <row r="2090">
      <c r="B2090" s="2031">
        <v>2088.0</v>
      </c>
      <c r="C2090" s="2031">
        <v>251.0</v>
      </c>
      <c r="D2090" s="2031">
        <v>501.0</v>
      </c>
      <c r="E2090" s="2031">
        <v>334.0</v>
      </c>
      <c r="F2090" s="2031">
        <v>334.0</v>
      </c>
      <c r="G2090" s="2031">
        <v>334.0</v>
      </c>
      <c r="H2090" s="2031">
        <v>334.0</v>
      </c>
    </row>
    <row r="2091">
      <c r="B2091" s="2031">
        <v>2089.0</v>
      </c>
      <c r="C2091" s="2031">
        <v>251.0</v>
      </c>
      <c r="D2091" s="2031">
        <v>502.0</v>
      </c>
      <c r="E2091" s="2031">
        <v>334.0</v>
      </c>
      <c r="F2091" s="2031">
        <v>334.0</v>
      </c>
      <c r="G2091" s="2031">
        <v>334.0</v>
      </c>
      <c r="H2091" s="2031">
        <v>334.0</v>
      </c>
    </row>
    <row r="2092">
      <c r="B2092" s="2031">
        <v>2090.0</v>
      </c>
      <c r="C2092" s="2031">
        <v>251.0</v>
      </c>
      <c r="D2092" s="2031">
        <v>501.0</v>
      </c>
      <c r="E2092" s="2031">
        <v>334.0</v>
      </c>
      <c r="F2092" s="2031">
        <v>334.0</v>
      </c>
      <c r="G2092" s="2031">
        <v>335.0</v>
      </c>
      <c r="H2092" s="2031">
        <v>335.0</v>
      </c>
    </row>
    <row r="2093">
      <c r="B2093" s="2031">
        <v>2091.0</v>
      </c>
      <c r="C2093" s="2031">
        <v>251.0</v>
      </c>
      <c r="D2093" s="2031">
        <v>502.0</v>
      </c>
      <c r="E2093" s="2031">
        <v>334.0</v>
      </c>
      <c r="F2093" s="2031">
        <v>334.0</v>
      </c>
      <c r="G2093" s="2031">
        <v>335.0</v>
      </c>
      <c r="H2093" s="2031">
        <v>335.0</v>
      </c>
    </row>
    <row r="2094">
      <c r="B2094" s="2031">
        <v>2092.0</v>
      </c>
      <c r="C2094" s="2031">
        <v>251.0</v>
      </c>
      <c r="D2094" s="2031">
        <v>503.0</v>
      </c>
      <c r="E2094" s="2031">
        <v>334.0</v>
      </c>
      <c r="F2094" s="2031">
        <v>334.0</v>
      </c>
      <c r="G2094" s="2031">
        <v>335.0</v>
      </c>
      <c r="H2094" s="2031">
        <v>335.0</v>
      </c>
    </row>
    <row r="2095">
      <c r="B2095" s="2031">
        <v>2093.0</v>
      </c>
      <c r="C2095" s="2031">
        <v>251.0</v>
      </c>
      <c r="D2095" s="2031">
        <v>502.0</v>
      </c>
      <c r="E2095" s="2031">
        <v>335.0</v>
      </c>
      <c r="F2095" s="2031">
        <v>335.0</v>
      </c>
      <c r="G2095" s="2031">
        <v>335.0</v>
      </c>
      <c r="H2095" s="2031">
        <v>335.0</v>
      </c>
    </row>
    <row r="2096">
      <c r="B2096" s="2031">
        <v>2094.0</v>
      </c>
      <c r="C2096" s="2031">
        <v>251.0</v>
      </c>
      <c r="D2096" s="2031">
        <v>503.0</v>
      </c>
      <c r="E2096" s="2031">
        <v>335.0</v>
      </c>
      <c r="F2096" s="2031">
        <v>335.0</v>
      </c>
      <c r="G2096" s="2031">
        <v>335.0</v>
      </c>
      <c r="H2096" s="2031">
        <v>335.0</v>
      </c>
    </row>
    <row r="2097">
      <c r="B2097" s="2031">
        <v>2095.0</v>
      </c>
      <c r="C2097" s="2031">
        <v>252.0</v>
      </c>
      <c r="D2097" s="2031">
        <v>503.0</v>
      </c>
      <c r="E2097" s="2031">
        <v>335.0</v>
      </c>
      <c r="F2097" s="2031">
        <v>335.0</v>
      </c>
      <c r="G2097" s="2031">
        <v>335.0</v>
      </c>
      <c r="H2097" s="2031">
        <v>335.0</v>
      </c>
    </row>
    <row r="2098">
      <c r="B2098" s="2031">
        <v>2096.0</v>
      </c>
      <c r="C2098" s="2031">
        <v>251.0</v>
      </c>
      <c r="D2098" s="2031">
        <v>503.0</v>
      </c>
      <c r="E2098" s="2031">
        <v>335.0</v>
      </c>
      <c r="F2098" s="2031">
        <v>335.0</v>
      </c>
      <c r="G2098" s="2031">
        <v>336.0</v>
      </c>
      <c r="H2098" s="2031">
        <v>336.0</v>
      </c>
    </row>
    <row r="2099">
      <c r="B2099" s="2031">
        <v>2097.0</v>
      </c>
      <c r="C2099" s="2031">
        <v>252.0</v>
      </c>
      <c r="D2099" s="2031">
        <v>503.0</v>
      </c>
      <c r="E2099" s="2031">
        <v>335.0</v>
      </c>
      <c r="F2099" s="2031">
        <v>335.0</v>
      </c>
      <c r="G2099" s="2031">
        <v>336.0</v>
      </c>
      <c r="H2099" s="2031">
        <v>336.0</v>
      </c>
    </row>
    <row r="2100">
      <c r="B2100" s="2031">
        <v>2098.0</v>
      </c>
      <c r="C2100" s="2031">
        <v>251.0</v>
      </c>
      <c r="D2100" s="2031">
        <v>503.0</v>
      </c>
      <c r="E2100" s="2031">
        <v>336.0</v>
      </c>
      <c r="F2100" s="2031">
        <v>336.0</v>
      </c>
      <c r="G2100" s="2031">
        <v>336.0</v>
      </c>
      <c r="H2100" s="2031">
        <v>336.0</v>
      </c>
    </row>
    <row r="2101">
      <c r="B2101" s="2031">
        <v>2099.0</v>
      </c>
      <c r="C2101" s="2031">
        <v>252.0</v>
      </c>
      <c r="D2101" s="2031">
        <v>503.0</v>
      </c>
      <c r="E2101" s="2031">
        <v>336.0</v>
      </c>
      <c r="F2101" s="2031">
        <v>336.0</v>
      </c>
      <c r="G2101" s="2031">
        <v>336.0</v>
      </c>
      <c r="H2101" s="2031">
        <v>336.0</v>
      </c>
    </row>
    <row r="2102">
      <c r="B2102" s="2031">
        <v>2100.0</v>
      </c>
      <c r="C2102" s="2031">
        <v>252.0</v>
      </c>
      <c r="D2102" s="2031">
        <v>504.0</v>
      </c>
      <c r="E2102" s="2031">
        <v>336.0</v>
      </c>
      <c r="F2102" s="2031">
        <v>336.0</v>
      </c>
      <c r="G2102" s="2031">
        <v>336.0</v>
      </c>
      <c r="H2102" s="2031">
        <v>336.0</v>
      </c>
    </row>
    <row r="2103">
      <c r="B2103" s="2031">
        <v>2101.0</v>
      </c>
      <c r="C2103" s="2031">
        <v>252.0</v>
      </c>
      <c r="D2103" s="2031">
        <v>505.0</v>
      </c>
      <c r="E2103" s="2031">
        <v>336.0</v>
      </c>
      <c r="F2103" s="2031">
        <v>336.0</v>
      </c>
      <c r="G2103" s="2031">
        <v>336.0</v>
      </c>
      <c r="H2103" s="2031">
        <v>336.0</v>
      </c>
    </row>
    <row r="2104">
      <c r="B2104" s="2031">
        <v>2102.0</v>
      </c>
      <c r="C2104" s="2031">
        <v>253.0</v>
      </c>
      <c r="D2104" s="2031">
        <v>505.0</v>
      </c>
      <c r="E2104" s="2031">
        <v>336.0</v>
      </c>
      <c r="F2104" s="2031">
        <v>336.0</v>
      </c>
      <c r="G2104" s="2031">
        <v>336.0</v>
      </c>
      <c r="H2104" s="2031">
        <v>336.0</v>
      </c>
    </row>
    <row r="2105">
      <c r="B2105" s="2031">
        <v>2103.0</v>
      </c>
      <c r="C2105" s="2031">
        <v>252.0</v>
      </c>
      <c r="D2105" s="2031">
        <v>505.0</v>
      </c>
      <c r="E2105" s="2031">
        <v>336.0</v>
      </c>
      <c r="F2105" s="2031">
        <v>336.0</v>
      </c>
      <c r="G2105" s="2031">
        <v>337.0</v>
      </c>
      <c r="H2105" s="2031">
        <v>337.0</v>
      </c>
    </row>
    <row r="2106">
      <c r="B2106" s="2031">
        <v>2104.0</v>
      </c>
      <c r="C2106" s="2031">
        <v>253.0</v>
      </c>
      <c r="D2106" s="2031">
        <v>505.0</v>
      </c>
      <c r="E2106" s="2031">
        <v>336.0</v>
      </c>
      <c r="F2106" s="2031">
        <v>336.0</v>
      </c>
      <c r="G2106" s="2031">
        <v>337.0</v>
      </c>
      <c r="H2106" s="2031">
        <v>337.0</v>
      </c>
    </row>
    <row r="2107">
      <c r="B2107" s="2031">
        <v>2105.0</v>
      </c>
      <c r="C2107" s="2031">
        <v>252.0</v>
      </c>
      <c r="D2107" s="2031">
        <v>505.0</v>
      </c>
      <c r="E2107" s="2031">
        <v>337.0</v>
      </c>
      <c r="F2107" s="2031">
        <v>337.0</v>
      </c>
      <c r="G2107" s="2031">
        <v>337.0</v>
      </c>
      <c r="H2107" s="2031">
        <v>337.0</v>
      </c>
    </row>
    <row r="2108">
      <c r="B2108" s="2031">
        <v>2106.0</v>
      </c>
      <c r="C2108" s="2031">
        <v>253.0</v>
      </c>
      <c r="D2108" s="2031">
        <v>505.0</v>
      </c>
      <c r="E2108" s="2031">
        <v>337.0</v>
      </c>
      <c r="F2108" s="2031">
        <v>337.0</v>
      </c>
      <c r="G2108" s="2031">
        <v>337.0</v>
      </c>
      <c r="H2108" s="2031">
        <v>337.0</v>
      </c>
    </row>
    <row r="2109">
      <c r="B2109" s="2031">
        <v>2107.0</v>
      </c>
      <c r="C2109" s="2031">
        <v>253.0</v>
      </c>
      <c r="D2109" s="2031">
        <v>506.0</v>
      </c>
      <c r="E2109" s="2031">
        <v>337.0</v>
      </c>
      <c r="F2109" s="2031">
        <v>337.0</v>
      </c>
      <c r="G2109" s="2031">
        <v>337.0</v>
      </c>
      <c r="H2109" s="2031">
        <v>337.0</v>
      </c>
    </row>
    <row r="2110">
      <c r="B2110" s="2031">
        <v>2108.0</v>
      </c>
      <c r="C2110" s="2031">
        <v>253.0</v>
      </c>
      <c r="D2110" s="2031">
        <v>505.0</v>
      </c>
      <c r="E2110" s="2031">
        <v>337.0</v>
      </c>
      <c r="F2110" s="2031">
        <v>337.0</v>
      </c>
      <c r="G2110" s="2031">
        <v>338.0</v>
      </c>
      <c r="H2110" s="2031">
        <v>338.0</v>
      </c>
    </row>
    <row r="2111">
      <c r="B2111" s="2031">
        <v>2109.0</v>
      </c>
      <c r="C2111" s="2031">
        <v>253.0</v>
      </c>
      <c r="D2111" s="2031">
        <v>506.0</v>
      </c>
      <c r="E2111" s="2031">
        <v>337.0</v>
      </c>
      <c r="F2111" s="2031">
        <v>337.0</v>
      </c>
      <c r="G2111" s="2031">
        <v>338.0</v>
      </c>
      <c r="H2111" s="2031">
        <v>338.0</v>
      </c>
    </row>
    <row r="2112">
      <c r="B2112" s="2031">
        <v>2110.0</v>
      </c>
      <c r="C2112" s="2031">
        <v>253.0</v>
      </c>
      <c r="D2112" s="2031">
        <v>507.0</v>
      </c>
      <c r="E2112" s="2031">
        <v>337.0</v>
      </c>
      <c r="F2112" s="2031">
        <v>337.0</v>
      </c>
      <c r="G2112" s="2031">
        <v>338.0</v>
      </c>
      <c r="H2112" s="2031">
        <v>338.0</v>
      </c>
    </row>
    <row r="2113">
      <c r="B2113" s="2031">
        <v>2111.0</v>
      </c>
      <c r="C2113" s="2031">
        <v>253.0</v>
      </c>
      <c r="D2113" s="2031">
        <v>506.0</v>
      </c>
      <c r="E2113" s="2031">
        <v>338.0</v>
      </c>
      <c r="F2113" s="2031">
        <v>338.0</v>
      </c>
      <c r="G2113" s="2031">
        <v>338.0</v>
      </c>
      <c r="H2113" s="2031">
        <v>338.0</v>
      </c>
    </row>
    <row r="2114">
      <c r="B2114" s="2031">
        <v>2112.0</v>
      </c>
      <c r="C2114" s="2031">
        <v>253.0</v>
      </c>
      <c r="D2114" s="2031">
        <v>507.0</v>
      </c>
      <c r="E2114" s="2031">
        <v>338.0</v>
      </c>
      <c r="F2114" s="2031">
        <v>338.0</v>
      </c>
      <c r="G2114" s="2031">
        <v>338.0</v>
      </c>
      <c r="H2114" s="2031">
        <v>338.0</v>
      </c>
    </row>
    <row r="2115">
      <c r="B2115" s="2031">
        <v>2113.0</v>
      </c>
      <c r="C2115" s="2031">
        <v>254.0</v>
      </c>
      <c r="D2115" s="2031">
        <v>507.0</v>
      </c>
      <c r="E2115" s="2031">
        <v>338.0</v>
      </c>
      <c r="F2115" s="2031">
        <v>338.0</v>
      </c>
      <c r="G2115" s="2031">
        <v>338.0</v>
      </c>
      <c r="H2115" s="2031">
        <v>338.0</v>
      </c>
    </row>
    <row r="2116">
      <c r="B2116" s="2031">
        <v>2114.0</v>
      </c>
      <c r="C2116" s="2031">
        <v>254.0</v>
      </c>
      <c r="D2116" s="2031">
        <v>508.0</v>
      </c>
      <c r="E2116" s="2031">
        <v>338.0</v>
      </c>
      <c r="F2116" s="2031">
        <v>338.0</v>
      </c>
      <c r="G2116" s="2031">
        <v>338.0</v>
      </c>
      <c r="H2116" s="2031">
        <v>338.0</v>
      </c>
    </row>
    <row r="2117">
      <c r="B2117" s="2031">
        <v>2115.0</v>
      </c>
      <c r="C2117" s="2031">
        <v>254.0</v>
      </c>
      <c r="D2117" s="2031">
        <v>507.0</v>
      </c>
      <c r="E2117" s="2031">
        <v>338.0</v>
      </c>
      <c r="F2117" s="2031">
        <v>338.0</v>
      </c>
      <c r="G2117" s="2031">
        <v>339.0</v>
      </c>
      <c r="H2117" s="2031">
        <v>339.0</v>
      </c>
    </row>
    <row r="2118">
      <c r="B2118" s="2031">
        <v>2116.0</v>
      </c>
      <c r="C2118" s="2031">
        <v>254.0</v>
      </c>
      <c r="D2118" s="2031">
        <v>508.0</v>
      </c>
      <c r="E2118" s="2031">
        <v>338.0</v>
      </c>
      <c r="F2118" s="2031">
        <v>338.0</v>
      </c>
      <c r="G2118" s="2031">
        <v>339.0</v>
      </c>
      <c r="H2118" s="2031">
        <v>339.0</v>
      </c>
    </row>
    <row r="2119">
      <c r="B2119" s="2031">
        <v>2117.0</v>
      </c>
      <c r="C2119" s="2031">
        <v>254.0</v>
      </c>
      <c r="D2119" s="2031">
        <v>509.0</v>
      </c>
      <c r="E2119" s="2031">
        <v>338.0</v>
      </c>
      <c r="F2119" s="2031">
        <v>338.0</v>
      </c>
      <c r="G2119" s="2031">
        <v>339.0</v>
      </c>
      <c r="H2119" s="2031">
        <v>339.0</v>
      </c>
    </row>
    <row r="2120">
      <c r="B2120" s="2031">
        <v>2118.0</v>
      </c>
      <c r="C2120" s="2031">
        <v>254.0</v>
      </c>
      <c r="D2120" s="2031">
        <v>508.0</v>
      </c>
      <c r="E2120" s="2031">
        <v>339.0</v>
      </c>
      <c r="F2120" s="2031">
        <v>339.0</v>
      </c>
      <c r="G2120" s="2031">
        <v>339.0</v>
      </c>
      <c r="H2120" s="2031">
        <v>339.0</v>
      </c>
    </row>
    <row r="2121">
      <c r="B2121" s="2031">
        <v>2119.0</v>
      </c>
      <c r="C2121" s="2031">
        <v>254.0</v>
      </c>
      <c r="D2121" s="2031">
        <v>509.0</v>
      </c>
      <c r="E2121" s="2031">
        <v>339.0</v>
      </c>
      <c r="F2121" s="2031">
        <v>339.0</v>
      </c>
      <c r="G2121" s="2031">
        <v>339.0</v>
      </c>
      <c r="H2121" s="2031">
        <v>339.0</v>
      </c>
    </row>
    <row r="2122">
      <c r="B2122" s="2031">
        <v>2120.0</v>
      </c>
      <c r="C2122" s="2031">
        <v>255.0</v>
      </c>
      <c r="D2122" s="2031">
        <v>509.0</v>
      </c>
      <c r="E2122" s="2031">
        <v>339.0</v>
      </c>
      <c r="F2122" s="2031">
        <v>339.0</v>
      </c>
      <c r="G2122" s="2031">
        <v>339.0</v>
      </c>
      <c r="H2122" s="2031">
        <v>339.0</v>
      </c>
    </row>
    <row r="2123">
      <c r="B2123" s="2031">
        <v>2121.0</v>
      </c>
      <c r="C2123" s="2031">
        <v>254.0</v>
      </c>
      <c r="D2123" s="2031">
        <v>509.0</v>
      </c>
      <c r="E2123" s="2031">
        <v>339.0</v>
      </c>
      <c r="F2123" s="2031">
        <v>339.0</v>
      </c>
      <c r="G2123" s="2031">
        <v>340.0</v>
      </c>
      <c r="H2123" s="2031">
        <v>340.0</v>
      </c>
    </row>
    <row r="2124">
      <c r="B2124" s="2031">
        <v>2122.0</v>
      </c>
      <c r="C2124" s="2031">
        <v>255.0</v>
      </c>
      <c r="D2124" s="2031">
        <v>509.0</v>
      </c>
      <c r="E2124" s="2031">
        <v>339.0</v>
      </c>
      <c r="F2124" s="2031">
        <v>339.0</v>
      </c>
      <c r="G2124" s="2031">
        <v>340.0</v>
      </c>
      <c r="H2124" s="2031">
        <v>340.0</v>
      </c>
    </row>
    <row r="2125">
      <c r="B2125" s="2031">
        <v>2123.0</v>
      </c>
      <c r="C2125" s="2031">
        <v>254.0</v>
      </c>
      <c r="D2125" s="2031">
        <v>509.0</v>
      </c>
      <c r="E2125" s="2031">
        <v>340.0</v>
      </c>
      <c r="F2125" s="2031">
        <v>340.0</v>
      </c>
      <c r="G2125" s="2031">
        <v>340.0</v>
      </c>
      <c r="H2125" s="2031">
        <v>340.0</v>
      </c>
    </row>
    <row r="2126">
      <c r="B2126" s="2031">
        <v>2124.0</v>
      </c>
      <c r="C2126" s="2031">
        <v>255.0</v>
      </c>
      <c r="D2126" s="2031">
        <v>509.0</v>
      </c>
      <c r="E2126" s="2031">
        <v>340.0</v>
      </c>
      <c r="F2126" s="2031">
        <v>340.0</v>
      </c>
      <c r="G2126" s="2031">
        <v>340.0</v>
      </c>
      <c r="H2126" s="2031">
        <v>340.0</v>
      </c>
    </row>
    <row r="2127">
      <c r="B2127" s="2031">
        <v>2125.0</v>
      </c>
      <c r="C2127" s="2031">
        <v>255.0</v>
      </c>
      <c r="D2127" s="2031">
        <v>510.0</v>
      </c>
      <c r="E2127" s="2031">
        <v>340.0</v>
      </c>
      <c r="F2127" s="2031">
        <v>340.0</v>
      </c>
      <c r="G2127" s="2031">
        <v>340.0</v>
      </c>
      <c r="H2127" s="2031">
        <v>340.0</v>
      </c>
    </row>
    <row r="2128">
      <c r="B2128" s="2031">
        <v>2126.0</v>
      </c>
      <c r="C2128" s="2031">
        <v>255.0</v>
      </c>
      <c r="D2128" s="2031">
        <v>511.0</v>
      </c>
      <c r="E2128" s="2031">
        <v>340.0</v>
      </c>
      <c r="F2128" s="2031">
        <v>340.0</v>
      </c>
      <c r="G2128" s="2031">
        <v>340.0</v>
      </c>
      <c r="H2128" s="2031">
        <v>340.0</v>
      </c>
    </row>
    <row r="2129">
      <c r="B2129" s="2031">
        <v>2127.0</v>
      </c>
      <c r="C2129" s="2031">
        <v>256.0</v>
      </c>
      <c r="D2129" s="2031">
        <v>511.0</v>
      </c>
      <c r="E2129" s="2031">
        <v>340.0</v>
      </c>
      <c r="F2129" s="2031">
        <v>340.0</v>
      </c>
      <c r="G2129" s="2031">
        <v>340.0</v>
      </c>
      <c r="H2129" s="2031">
        <v>340.0</v>
      </c>
    </row>
    <row r="2130">
      <c r="B2130" s="2031">
        <v>2128.0</v>
      </c>
      <c r="C2130" s="2031">
        <v>255.0</v>
      </c>
      <c r="D2130" s="2031">
        <v>511.0</v>
      </c>
      <c r="E2130" s="2031">
        <v>340.0</v>
      </c>
      <c r="F2130" s="2031">
        <v>340.0</v>
      </c>
      <c r="G2130" s="2031">
        <v>341.0</v>
      </c>
      <c r="H2130" s="2031">
        <v>341.0</v>
      </c>
    </row>
    <row r="2131">
      <c r="B2131" s="2031">
        <v>2129.0</v>
      </c>
      <c r="C2131" s="2031">
        <v>256.0</v>
      </c>
      <c r="D2131" s="2031">
        <v>511.0</v>
      </c>
      <c r="E2131" s="2031">
        <v>340.0</v>
      </c>
      <c r="F2131" s="2031">
        <v>340.0</v>
      </c>
      <c r="G2131" s="2031">
        <v>341.0</v>
      </c>
      <c r="H2131" s="2031">
        <v>341.0</v>
      </c>
    </row>
    <row r="2132">
      <c r="B2132" s="2031">
        <v>2130.0</v>
      </c>
      <c r="C2132" s="2031">
        <v>255.0</v>
      </c>
      <c r="D2132" s="2031">
        <v>511.0</v>
      </c>
      <c r="E2132" s="2031">
        <v>341.0</v>
      </c>
      <c r="F2132" s="2031">
        <v>341.0</v>
      </c>
      <c r="G2132" s="2031">
        <v>341.0</v>
      </c>
      <c r="H2132" s="2031">
        <v>341.0</v>
      </c>
    </row>
    <row r="2133">
      <c r="B2133" s="2031">
        <v>2131.0</v>
      </c>
      <c r="C2133" s="2031">
        <v>256.0</v>
      </c>
      <c r="D2133" s="2031">
        <v>511.0</v>
      </c>
      <c r="E2133" s="2031">
        <v>341.0</v>
      </c>
      <c r="F2133" s="2031">
        <v>341.0</v>
      </c>
      <c r="G2133" s="2031">
        <v>341.0</v>
      </c>
      <c r="H2133" s="2031">
        <v>341.0</v>
      </c>
    </row>
    <row r="2134">
      <c r="B2134" s="2031">
        <v>2132.0</v>
      </c>
      <c r="C2134" s="2031">
        <v>256.0</v>
      </c>
      <c r="D2134" s="2031">
        <v>512.0</v>
      </c>
      <c r="E2134" s="2031">
        <v>341.0</v>
      </c>
      <c r="F2134" s="2031">
        <v>341.0</v>
      </c>
      <c r="G2134" s="2031">
        <v>341.0</v>
      </c>
      <c r="H2134" s="2031">
        <v>341.0</v>
      </c>
    </row>
    <row r="2135">
      <c r="B2135" s="2031">
        <v>2133.0</v>
      </c>
      <c r="C2135" s="2031">
        <v>256.0</v>
      </c>
      <c r="D2135" s="2031">
        <v>511.0</v>
      </c>
      <c r="E2135" s="2031">
        <v>341.0</v>
      </c>
      <c r="F2135" s="2031">
        <v>341.0</v>
      </c>
      <c r="G2135" s="2031">
        <v>342.0</v>
      </c>
      <c r="H2135" s="2031">
        <v>342.0</v>
      </c>
    </row>
    <row r="2136">
      <c r="B2136" s="2031">
        <v>2134.0</v>
      </c>
      <c r="C2136" s="2031">
        <v>256.0</v>
      </c>
      <c r="D2136" s="2031">
        <v>512.0</v>
      </c>
      <c r="E2136" s="2031">
        <v>341.0</v>
      </c>
      <c r="F2136" s="2031">
        <v>341.0</v>
      </c>
      <c r="G2136" s="2031">
        <v>342.0</v>
      </c>
      <c r="H2136" s="2031">
        <v>342.0</v>
      </c>
    </row>
    <row r="2137">
      <c r="B2137" s="2031">
        <v>2135.0</v>
      </c>
      <c r="C2137" s="2031">
        <v>256.0</v>
      </c>
      <c r="D2137" s="2031">
        <v>513.0</v>
      </c>
      <c r="E2137" s="2031">
        <v>341.0</v>
      </c>
      <c r="F2137" s="2031">
        <v>341.0</v>
      </c>
      <c r="G2137" s="2031">
        <v>342.0</v>
      </c>
      <c r="H2137" s="2031">
        <v>342.0</v>
      </c>
    </row>
    <row r="2138">
      <c r="B2138" s="2031">
        <v>2136.0</v>
      </c>
      <c r="C2138" s="2031">
        <v>256.0</v>
      </c>
      <c r="D2138" s="2031">
        <v>512.0</v>
      </c>
      <c r="E2138" s="2031">
        <v>342.0</v>
      </c>
      <c r="F2138" s="2031">
        <v>342.0</v>
      </c>
      <c r="G2138" s="2031">
        <v>342.0</v>
      </c>
      <c r="H2138" s="2031">
        <v>342.0</v>
      </c>
    </row>
    <row r="2139">
      <c r="B2139" s="2031">
        <v>2137.0</v>
      </c>
      <c r="C2139" s="2031">
        <v>256.0</v>
      </c>
      <c r="D2139" s="2031">
        <v>513.0</v>
      </c>
      <c r="E2139" s="2031">
        <v>342.0</v>
      </c>
      <c r="F2139" s="2031">
        <v>342.0</v>
      </c>
      <c r="G2139" s="2031">
        <v>342.0</v>
      </c>
      <c r="H2139" s="2031">
        <v>342.0</v>
      </c>
    </row>
    <row r="2140">
      <c r="B2140" s="2031">
        <v>2138.0</v>
      </c>
      <c r="C2140" s="2031">
        <v>257.0</v>
      </c>
      <c r="D2140" s="2031">
        <v>513.0</v>
      </c>
      <c r="E2140" s="2031">
        <v>342.0</v>
      </c>
      <c r="F2140" s="2031">
        <v>342.0</v>
      </c>
      <c r="G2140" s="2031">
        <v>342.0</v>
      </c>
      <c r="H2140" s="2031">
        <v>342.0</v>
      </c>
    </row>
    <row r="2141">
      <c r="B2141" s="2031">
        <v>2139.0</v>
      </c>
      <c r="C2141" s="2031">
        <v>257.0</v>
      </c>
      <c r="D2141" s="2031">
        <v>514.0</v>
      </c>
      <c r="E2141" s="2031">
        <v>342.0</v>
      </c>
      <c r="F2141" s="2031">
        <v>342.0</v>
      </c>
      <c r="G2141" s="2031">
        <v>342.0</v>
      </c>
      <c r="H2141" s="2031">
        <v>342.0</v>
      </c>
    </row>
    <row r="2142">
      <c r="B2142" s="2031">
        <v>2140.0</v>
      </c>
      <c r="C2142" s="2031">
        <v>257.0</v>
      </c>
      <c r="D2142" s="2031">
        <v>513.0</v>
      </c>
      <c r="E2142" s="2031">
        <v>342.0</v>
      </c>
      <c r="F2142" s="2031">
        <v>342.0</v>
      </c>
      <c r="G2142" s="2031">
        <v>343.0</v>
      </c>
      <c r="H2142" s="2031">
        <v>343.0</v>
      </c>
    </row>
    <row r="2143">
      <c r="B2143" s="2031">
        <v>2141.0</v>
      </c>
      <c r="C2143" s="2031">
        <v>257.0</v>
      </c>
      <c r="D2143" s="2031">
        <v>514.0</v>
      </c>
      <c r="E2143" s="2031">
        <v>342.0</v>
      </c>
      <c r="F2143" s="2031">
        <v>342.0</v>
      </c>
      <c r="G2143" s="2031">
        <v>343.0</v>
      </c>
      <c r="H2143" s="2031">
        <v>343.0</v>
      </c>
    </row>
    <row r="2144">
      <c r="B2144" s="2031">
        <v>2142.0</v>
      </c>
      <c r="C2144" s="2031">
        <v>257.0</v>
      </c>
      <c r="D2144" s="2031">
        <v>515.0</v>
      </c>
      <c r="E2144" s="2031">
        <v>342.0</v>
      </c>
      <c r="F2144" s="2031">
        <v>342.0</v>
      </c>
      <c r="G2144" s="2031">
        <v>343.0</v>
      </c>
      <c r="H2144" s="2031">
        <v>343.0</v>
      </c>
    </row>
    <row r="2145">
      <c r="B2145" s="2031">
        <v>2143.0</v>
      </c>
      <c r="C2145" s="2031">
        <v>257.0</v>
      </c>
      <c r="D2145" s="2031">
        <v>514.0</v>
      </c>
      <c r="E2145" s="2031">
        <v>343.0</v>
      </c>
      <c r="F2145" s="2031">
        <v>343.0</v>
      </c>
      <c r="G2145" s="2031">
        <v>343.0</v>
      </c>
      <c r="H2145" s="2031">
        <v>343.0</v>
      </c>
    </row>
    <row r="2146">
      <c r="B2146" s="2031">
        <v>2144.0</v>
      </c>
      <c r="C2146" s="2031">
        <v>257.0</v>
      </c>
      <c r="D2146" s="2031">
        <v>515.0</v>
      </c>
      <c r="E2146" s="2031">
        <v>343.0</v>
      </c>
      <c r="F2146" s="2031">
        <v>343.0</v>
      </c>
      <c r="G2146" s="2031">
        <v>343.0</v>
      </c>
      <c r="H2146" s="2031">
        <v>343.0</v>
      </c>
    </row>
    <row r="2147">
      <c r="B2147" s="2031">
        <v>2145.0</v>
      </c>
      <c r="C2147" s="2031">
        <v>258.0</v>
      </c>
      <c r="D2147" s="2031">
        <v>515.0</v>
      </c>
      <c r="E2147" s="2031">
        <v>343.0</v>
      </c>
      <c r="F2147" s="2031">
        <v>343.0</v>
      </c>
      <c r="G2147" s="2031">
        <v>343.0</v>
      </c>
      <c r="H2147" s="2031">
        <v>343.0</v>
      </c>
    </row>
    <row r="2148">
      <c r="B2148" s="2031">
        <v>2146.0</v>
      </c>
      <c r="C2148" s="2031">
        <v>257.0</v>
      </c>
      <c r="D2148" s="2031">
        <v>515.0</v>
      </c>
      <c r="E2148" s="2031">
        <v>343.0</v>
      </c>
      <c r="F2148" s="2031">
        <v>343.0</v>
      </c>
      <c r="G2148" s="2031">
        <v>344.0</v>
      </c>
      <c r="H2148" s="2031">
        <v>344.0</v>
      </c>
    </row>
    <row r="2149">
      <c r="B2149" s="2031">
        <v>2147.0</v>
      </c>
      <c r="C2149" s="2031">
        <v>258.0</v>
      </c>
      <c r="D2149" s="2031">
        <v>515.0</v>
      </c>
      <c r="E2149" s="2031">
        <v>343.0</v>
      </c>
      <c r="F2149" s="2031">
        <v>343.0</v>
      </c>
      <c r="G2149" s="2031">
        <v>344.0</v>
      </c>
      <c r="H2149" s="2031">
        <v>344.0</v>
      </c>
    </row>
    <row r="2150">
      <c r="B2150" s="2031">
        <v>2148.0</v>
      </c>
      <c r="C2150" s="2031">
        <v>257.0</v>
      </c>
      <c r="D2150" s="2031">
        <v>515.0</v>
      </c>
      <c r="E2150" s="2031">
        <v>344.0</v>
      </c>
      <c r="F2150" s="2031">
        <v>344.0</v>
      </c>
      <c r="G2150" s="2031">
        <v>344.0</v>
      </c>
      <c r="H2150" s="2031">
        <v>344.0</v>
      </c>
    </row>
    <row r="2151">
      <c r="B2151" s="2031">
        <v>2149.0</v>
      </c>
      <c r="C2151" s="2031">
        <v>258.0</v>
      </c>
      <c r="D2151" s="2031">
        <v>515.0</v>
      </c>
      <c r="E2151" s="2031">
        <v>344.0</v>
      </c>
      <c r="F2151" s="2031">
        <v>344.0</v>
      </c>
      <c r="G2151" s="2031">
        <v>344.0</v>
      </c>
      <c r="H2151" s="2031">
        <v>344.0</v>
      </c>
    </row>
    <row r="2152">
      <c r="B2152" s="2031">
        <v>2150.0</v>
      </c>
      <c r="C2152" s="2031">
        <v>258.0</v>
      </c>
      <c r="D2152" s="2031">
        <v>516.0</v>
      </c>
      <c r="E2152" s="2031">
        <v>344.0</v>
      </c>
      <c r="F2152" s="2031">
        <v>344.0</v>
      </c>
      <c r="G2152" s="2031">
        <v>344.0</v>
      </c>
      <c r="H2152" s="2031">
        <v>344.0</v>
      </c>
    </row>
    <row r="2153">
      <c r="B2153" s="2031">
        <v>2151.0</v>
      </c>
      <c r="C2153" s="2031">
        <v>258.0</v>
      </c>
      <c r="D2153" s="2031">
        <v>517.0</v>
      </c>
      <c r="E2153" s="2031">
        <v>344.0</v>
      </c>
      <c r="F2153" s="2031">
        <v>344.0</v>
      </c>
      <c r="G2153" s="2031">
        <v>344.0</v>
      </c>
      <c r="H2153" s="2031">
        <v>344.0</v>
      </c>
    </row>
    <row r="2154">
      <c r="B2154" s="2031">
        <v>2152.0</v>
      </c>
      <c r="C2154" s="2031">
        <v>259.0</v>
      </c>
      <c r="D2154" s="2031">
        <v>517.0</v>
      </c>
      <c r="E2154" s="2031">
        <v>344.0</v>
      </c>
      <c r="F2154" s="2031">
        <v>344.0</v>
      </c>
      <c r="G2154" s="2031">
        <v>344.0</v>
      </c>
      <c r="H2154" s="2031">
        <v>344.0</v>
      </c>
    </row>
    <row r="2155">
      <c r="B2155" s="2031">
        <v>2153.0</v>
      </c>
      <c r="C2155" s="2031">
        <v>258.0</v>
      </c>
      <c r="D2155" s="2031">
        <v>517.0</v>
      </c>
      <c r="E2155" s="2031">
        <v>344.0</v>
      </c>
      <c r="F2155" s="2031">
        <v>344.0</v>
      </c>
      <c r="G2155" s="2031">
        <v>345.0</v>
      </c>
      <c r="H2155" s="2031">
        <v>345.0</v>
      </c>
    </row>
    <row r="2156">
      <c r="B2156" s="2031">
        <v>2154.0</v>
      </c>
      <c r="C2156" s="2031">
        <v>259.0</v>
      </c>
      <c r="D2156" s="2031">
        <v>517.0</v>
      </c>
      <c r="E2156" s="2031">
        <v>344.0</v>
      </c>
      <c r="F2156" s="2031">
        <v>344.0</v>
      </c>
      <c r="G2156" s="2031">
        <v>345.0</v>
      </c>
      <c r="H2156" s="2031">
        <v>345.0</v>
      </c>
    </row>
    <row r="2157">
      <c r="B2157" s="2031">
        <v>2155.0</v>
      </c>
      <c r="C2157" s="2031">
        <v>258.0</v>
      </c>
      <c r="D2157" s="2031">
        <v>517.0</v>
      </c>
      <c r="E2157" s="2031">
        <v>345.0</v>
      </c>
      <c r="F2157" s="2031">
        <v>345.0</v>
      </c>
      <c r="G2157" s="2031">
        <v>345.0</v>
      </c>
      <c r="H2157" s="2031">
        <v>345.0</v>
      </c>
    </row>
    <row r="2158">
      <c r="B2158" s="2031">
        <v>2156.0</v>
      </c>
      <c r="C2158" s="2031">
        <v>259.0</v>
      </c>
      <c r="D2158" s="2031">
        <v>517.0</v>
      </c>
      <c r="E2158" s="2031">
        <v>345.0</v>
      </c>
      <c r="F2158" s="2031">
        <v>345.0</v>
      </c>
      <c r="G2158" s="2031">
        <v>345.0</v>
      </c>
      <c r="H2158" s="2031">
        <v>345.0</v>
      </c>
    </row>
    <row r="2159">
      <c r="B2159" s="2031">
        <v>2157.0</v>
      </c>
      <c r="C2159" s="2031">
        <v>259.0</v>
      </c>
      <c r="D2159" s="2031">
        <v>518.0</v>
      </c>
      <c r="E2159" s="2031">
        <v>345.0</v>
      </c>
      <c r="F2159" s="2031">
        <v>345.0</v>
      </c>
      <c r="G2159" s="2031">
        <v>345.0</v>
      </c>
      <c r="H2159" s="2031">
        <v>345.0</v>
      </c>
    </row>
    <row r="2160">
      <c r="B2160" s="2031">
        <v>2158.0</v>
      </c>
      <c r="C2160" s="2031">
        <v>259.0</v>
      </c>
      <c r="D2160" s="2031">
        <v>517.0</v>
      </c>
      <c r="E2160" s="2031">
        <v>345.0</v>
      </c>
      <c r="F2160" s="2031">
        <v>345.0</v>
      </c>
      <c r="G2160" s="2031">
        <v>346.0</v>
      </c>
      <c r="H2160" s="2031">
        <v>346.0</v>
      </c>
    </row>
    <row r="2161">
      <c r="B2161" s="2031">
        <v>2159.0</v>
      </c>
      <c r="C2161" s="2031">
        <v>259.0</v>
      </c>
      <c r="D2161" s="2031">
        <v>518.0</v>
      </c>
      <c r="E2161" s="2031">
        <v>345.0</v>
      </c>
      <c r="F2161" s="2031">
        <v>345.0</v>
      </c>
      <c r="G2161" s="2031">
        <v>346.0</v>
      </c>
      <c r="H2161" s="2031">
        <v>346.0</v>
      </c>
    </row>
    <row r="2162">
      <c r="B2162" s="2031">
        <v>2160.0</v>
      </c>
      <c r="C2162" s="2031">
        <v>259.0</v>
      </c>
      <c r="D2162" s="2031">
        <v>519.0</v>
      </c>
      <c r="E2162" s="2031">
        <v>345.0</v>
      </c>
      <c r="F2162" s="2031">
        <v>345.0</v>
      </c>
      <c r="G2162" s="2031">
        <v>346.0</v>
      </c>
      <c r="H2162" s="2031">
        <v>346.0</v>
      </c>
    </row>
    <row r="2163">
      <c r="B2163" s="2031">
        <v>2161.0</v>
      </c>
      <c r="C2163" s="2031">
        <v>259.0</v>
      </c>
      <c r="D2163" s="2031">
        <v>518.0</v>
      </c>
      <c r="E2163" s="2031">
        <v>346.0</v>
      </c>
      <c r="F2163" s="2031">
        <v>346.0</v>
      </c>
      <c r="G2163" s="2031">
        <v>346.0</v>
      </c>
      <c r="H2163" s="2031">
        <v>346.0</v>
      </c>
    </row>
    <row r="2164">
      <c r="B2164" s="2031">
        <v>2162.0</v>
      </c>
      <c r="C2164" s="2031">
        <v>259.0</v>
      </c>
      <c r="D2164" s="2031">
        <v>519.0</v>
      </c>
      <c r="E2164" s="2031">
        <v>346.0</v>
      </c>
      <c r="F2164" s="2031">
        <v>346.0</v>
      </c>
      <c r="G2164" s="2031">
        <v>346.0</v>
      </c>
      <c r="H2164" s="2031">
        <v>346.0</v>
      </c>
    </row>
    <row r="2165">
      <c r="B2165" s="2031">
        <v>2163.0</v>
      </c>
      <c r="C2165" s="2031">
        <v>260.0</v>
      </c>
      <c r="D2165" s="2031">
        <v>519.0</v>
      </c>
      <c r="E2165" s="2031">
        <v>346.0</v>
      </c>
      <c r="F2165" s="2031">
        <v>346.0</v>
      </c>
      <c r="G2165" s="2031">
        <v>346.0</v>
      </c>
      <c r="H2165" s="2031">
        <v>346.0</v>
      </c>
    </row>
    <row r="2166">
      <c r="B2166" s="2031">
        <v>2164.0</v>
      </c>
      <c r="C2166" s="2031">
        <v>260.0</v>
      </c>
      <c r="D2166" s="2031">
        <v>520.0</v>
      </c>
      <c r="E2166" s="2031">
        <v>346.0</v>
      </c>
      <c r="F2166" s="2031">
        <v>346.0</v>
      </c>
      <c r="G2166" s="2031">
        <v>346.0</v>
      </c>
      <c r="H2166" s="2031">
        <v>346.0</v>
      </c>
    </row>
    <row r="2167">
      <c r="B2167" s="2031">
        <v>2165.0</v>
      </c>
      <c r="C2167" s="2031">
        <v>260.0</v>
      </c>
      <c r="D2167" s="2031">
        <v>519.0</v>
      </c>
      <c r="E2167" s="2031">
        <v>346.0</v>
      </c>
      <c r="F2167" s="2031">
        <v>346.0</v>
      </c>
      <c r="G2167" s="2031">
        <v>347.0</v>
      </c>
      <c r="H2167" s="2031">
        <v>347.0</v>
      </c>
    </row>
    <row r="2168">
      <c r="B2168" s="2031">
        <v>2166.0</v>
      </c>
      <c r="C2168" s="2031">
        <v>260.0</v>
      </c>
      <c r="D2168" s="2031">
        <v>520.0</v>
      </c>
      <c r="E2168" s="2031">
        <v>346.0</v>
      </c>
      <c r="F2168" s="2031">
        <v>346.0</v>
      </c>
      <c r="G2168" s="2031">
        <v>347.0</v>
      </c>
      <c r="H2168" s="2031">
        <v>347.0</v>
      </c>
    </row>
    <row r="2169">
      <c r="B2169" s="2031">
        <v>2167.0</v>
      </c>
      <c r="C2169" s="2031">
        <v>260.0</v>
      </c>
      <c r="D2169" s="2031">
        <v>521.0</v>
      </c>
      <c r="E2169" s="2031">
        <v>346.0</v>
      </c>
      <c r="F2169" s="2031">
        <v>346.0</v>
      </c>
      <c r="G2169" s="2031">
        <v>347.0</v>
      </c>
      <c r="H2169" s="2031">
        <v>347.0</v>
      </c>
    </row>
    <row r="2170">
      <c r="B2170" s="2031">
        <v>2168.0</v>
      </c>
      <c r="C2170" s="2031">
        <v>260.0</v>
      </c>
      <c r="D2170" s="2031">
        <v>520.0</v>
      </c>
      <c r="E2170" s="2031">
        <v>347.0</v>
      </c>
      <c r="F2170" s="2031">
        <v>347.0</v>
      </c>
      <c r="G2170" s="2031">
        <v>347.0</v>
      </c>
      <c r="H2170" s="2031">
        <v>347.0</v>
      </c>
    </row>
    <row r="2171">
      <c r="B2171" s="2031">
        <v>2169.0</v>
      </c>
      <c r="C2171" s="2031">
        <v>260.0</v>
      </c>
      <c r="D2171" s="2031">
        <v>521.0</v>
      </c>
      <c r="E2171" s="2031">
        <v>347.0</v>
      </c>
      <c r="F2171" s="2031">
        <v>347.0</v>
      </c>
      <c r="G2171" s="2031">
        <v>347.0</v>
      </c>
      <c r="H2171" s="2031">
        <v>347.0</v>
      </c>
    </row>
    <row r="2172">
      <c r="B2172" s="2031">
        <v>2170.0</v>
      </c>
      <c r="C2172" s="2031">
        <v>261.0</v>
      </c>
      <c r="D2172" s="2031">
        <v>521.0</v>
      </c>
      <c r="E2172" s="2031">
        <v>347.0</v>
      </c>
      <c r="F2172" s="2031">
        <v>347.0</v>
      </c>
      <c r="G2172" s="2031">
        <v>347.0</v>
      </c>
      <c r="H2172" s="2031">
        <v>347.0</v>
      </c>
    </row>
    <row r="2173">
      <c r="B2173" s="2031">
        <v>2171.0</v>
      </c>
      <c r="C2173" s="2031">
        <v>260.0</v>
      </c>
      <c r="D2173" s="2031">
        <v>521.0</v>
      </c>
      <c r="E2173" s="2031">
        <v>347.0</v>
      </c>
      <c r="F2173" s="2031">
        <v>347.0</v>
      </c>
      <c r="G2173" s="2031">
        <v>348.0</v>
      </c>
      <c r="H2173" s="2031">
        <v>348.0</v>
      </c>
    </row>
    <row r="2174">
      <c r="B2174" s="2031">
        <v>2172.0</v>
      </c>
      <c r="C2174" s="2031">
        <v>261.0</v>
      </c>
      <c r="D2174" s="2031">
        <v>521.0</v>
      </c>
      <c r="E2174" s="2031">
        <v>347.0</v>
      </c>
      <c r="F2174" s="2031">
        <v>347.0</v>
      </c>
      <c r="G2174" s="2031">
        <v>348.0</v>
      </c>
      <c r="H2174" s="2031">
        <v>348.0</v>
      </c>
    </row>
    <row r="2175">
      <c r="B2175" s="2031">
        <v>2173.0</v>
      </c>
      <c r="C2175" s="2031">
        <v>260.0</v>
      </c>
      <c r="D2175" s="2031">
        <v>521.0</v>
      </c>
      <c r="E2175" s="2031">
        <v>348.0</v>
      </c>
      <c r="F2175" s="2031">
        <v>348.0</v>
      </c>
      <c r="G2175" s="2031">
        <v>348.0</v>
      </c>
      <c r="H2175" s="2031">
        <v>348.0</v>
      </c>
    </row>
    <row r="2176">
      <c r="B2176" s="2031">
        <v>2174.0</v>
      </c>
      <c r="C2176" s="2031">
        <v>261.0</v>
      </c>
      <c r="D2176" s="2031">
        <v>521.0</v>
      </c>
      <c r="E2176" s="2031">
        <v>348.0</v>
      </c>
      <c r="F2176" s="2031">
        <v>348.0</v>
      </c>
      <c r="G2176" s="2031">
        <v>348.0</v>
      </c>
      <c r="H2176" s="2031">
        <v>348.0</v>
      </c>
    </row>
    <row r="2177">
      <c r="B2177" s="2031">
        <v>2175.0</v>
      </c>
      <c r="C2177" s="2031">
        <v>261.0</v>
      </c>
      <c r="D2177" s="2031">
        <v>522.0</v>
      </c>
      <c r="E2177" s="2031">
        <v>348.0</v>
      </c>
      <c r="F2177" s="2031">
        <v>348.0</v>
      </c>
      <c r="G2177" s="2031">
        <v>348.0</v>
      </c>
      <c r="H2177" s="2031">
        <v>348.0</v>
      </c>
    </row>
    <row r="2178">
      <c r="B2178" s="2031">
        <v>2176.0</v>
      </c>
      <c r="C2178" s="2031">
        <v>261.0</v>
      </c>
      <c r="D2178" s="2031">
        <v>523.0</v>
      </c>
      <c r="E2178" s="2031">
        <v>348.0</v>
      </c>
      <c r="F2178" s="2031">
        <v>348.0</v>
      </c>
      <c r="G2178" s="2031">
        <v>348.0</v>
      </c>
      <c r="H2178" s="2031">
        <v>348.0</v>
      </c>
    </row>
    <row r="2179">
      <c r="B2179" s="2031">
        <v>2177.0</v>
      </c>
      <c r="C2179" s="2031">
        <v>262.0</v>
      </c>
      <c r="D2179" s="2031">
        <v>523.0</v>
      </c>
      <c r="E2179" s="2031">
        <v>348.0</v>
      </c>
      <c r="F2179" s="2031">
        <v>348.0</v>
      </c>
      <c r="G2179" s="2031">
        <v>348.0</v>
      </c>
      <c r="H2179" s="2031">
        <v>348.0</v>
      </c>
    </row>
    <row r="2180">
      <c r="B2180" s="2031">
        <v>2178.0</v>
      </c>
      <c r="C2180" s="2031">
        <v>261.0</v>
      </c>
      <c r="D2180" s="2031">
        <v>523.0</v>
      </c>
      <c r="E2180" s="2031">
        <v>348.0</v>
      </c>
      <c r="F2180" s="2031">
        <v>348.0</v>
      </c>
      <c r="G2180" s="2031">
        <v>349.0</v>
      </c>
      <c r="H2180" s="2031">
        <v>349.0</v>
      </c>
    </row>
    <row r="2181">
      <c r="B2181" s="2031">
        <v>2179.0</v>
      </c>
      <c r="C2181" s="2031">
        <v>262.0</v>
      </c>
      <c r="D2181" s="2031">
        <v>523.0</v>
      </c>
      <c r="E2181" s="2031">
        <v>348.0</v>
      </c>
      <c r="F2181" s="2031">
        <v>348.0</v>
      </c>
      <c r="G2181" s="2031">
        <v>349.0</v>
      </c>
      <c r="H2181" s="2031">
        <v>349.0</v>
      </c>
    </row>
    <row r="2182">
      <c r="B2182" s="2031">
        <v>2180.0</v>
      </c>
      <c r="C2182" s="2031">
        <v>261.0</v>
      </c>
      <c r="D2182" s="2031">
        <v>523.0</v>
      </c>
      <c r="E2182" s="2031">
        <v>349.0</v>
      </c>
      <c r="F2182" s="2031">
        <v>349.0</v>
      </c>
      <c r="G2182" s="2031">
        <v>349.0</v>
      </c>
      <c r="H2182" s="2031">
        <v>349.0</v>
      </c>
    </row>
    <row r="2183">
      <c r="B2183" s="2031">
        <v>2181.0</v>
      </c>
      <c r="C2183" s="2031">
        <v>262.0</v>
      </c>
      <c r="D2183" s="2031">
        <v>523.0</v>
      </c>
      <c r="E2183" s="2031">
        <v>349.0</v>
      </c>
      <c r="F2183" s="2031">
        <v>349.0</v>
      </c>
      <c r="G2183" s="2031">
        <v>349.0</v>
      </c>
      <c r="H2183" s="2031">
        <v>349.0</v>
      </c>
    </row>
    <row r="2184">
      <c r="B2184" s="2031">
        <v>2182.0</v>
      </c>
      <c r="C2184" s="2031">
        <v>262.0</v>
      </c>
      <c r="D2184" s="2031">
        <v>524.0</v>
      </c>
      <c r="E2184" s="2031">
        <v>349.0</v>
      </c>
      <c r="F2184" s="2031">
        <v>349.0</v>
      </c>
      <c r="G2184" s="2031">
        <v>349.0</v>
      </c>
      <c r="H2184" s="2031">
        <v>349.0</v>
      </c>
    </row>
    <row r="2185">
      <c r="B2185" s="2031">
        <v>2183.0</v>
      </c>
      <c r="C2185" s="2031">
        <v>262.0</v>
      </c>
      <c r="D2185" s="2031">
        <v>523.0</v>
      </c>
      <c r="E2185" s="2031">
        <v>349.0</v>
      </c>
      <c r="F2185" s="2031">
        <v>349.0</v>
      </c>
      <c r="G2185" s="2031">
        <v>350.0</v>
      </c>
      <c r="H2185" s="2031">
        <v>350.0</v>
      </c>
    </row>
    <row r="2186">
      <c r="B2186" s="2031">
        <v>2184.0</v>
      </c>
      <c r="C2186" s="2031">
        <v>262.0</v>
      </c>
      <c r="D2186" s="2031">
        <v>524.0</v>
      </c>
      <c r="E2186" s="2031">
        <v>349.0</v>
      </c>
      <c r="F2186" s="2031">
        <v>349.0</v>
      </c>
      <c r="G2186" s="2031">
        <v>350.0</v>
      </c>
      <c r="H2186" s="2031">
        <v>350.0</v>
      </c>
    </row>
    <row r="2187">
      <c r="B2187" s="2031">
        <v>2185.0</v>
      </c>
      <c r="C2187" s="2031">
        <v>262.0</v>
      </c>
      <c r="D2187" s="2031">
        <v>525.0</v>
      </c>
      <c r="E2187" s="2031">
        <v>349.0</v>
      </c>
      <c r="F2187" s="2031">
        <v>349.0</v>
      </c>
      <c r="G2187" s="2031">
        <v>350.0</v>
      </c>
      <c r="H2187" s="2031">
        <v>350.0</v>
      </c>
    </row>
    <row r="2188">
      <c r="B2188" s="2031">
        <v>2186.0</v>
      </c>
      <c r="C2188" s="2031">
        <v>262.0</v>
      </c>
      <c r="D2188" s="2031">
        <v>524.0</v>
      </c>
      <c r="E2188" s="2031">
        <v>350.0</v>
      </c>
      <c r="F2188" s="2031">
        <v>350.0</v>
      </c>
      <c r="G2188" s="2031">
        <v>350.0</v>
      </c>
      <c r="H2188" s="2031">
        <v>350.0</v>
      </c>
    </row>
    <row r="2189">
      <c r="B2189" s="2031">
        <v>2187.0</v>
      </c>
      <c r="C2189" s="2031">
        <v>262.0</v>
      </c>
      <c r="D2189" s="2031">
        <v>525.0</v>
      </c>
      <c r="E2189" s="2031">
        <v>350.0</v>
      </c>
      <c r="F2189" s="2031">
        <v>350.0</v>
      </c>
      <c r="G2189" s="2031">
        <v>350.0</v>
      </c>
      <c r="H2189" s="2031">
        <v>350.0</v>
      </c>
    </row>
    <row r="2190">
      <c r="B2190" s="2031">
        <v>2188.0</v>
      </c>
      <c r="C2190" s="2031">
        <v>263.0</v>
      </c>
      <c r="D2190" s="2031">
        <v>525.0</v>
      </c>
      <c r="E2190" s="2031">
        <v>350.0</v>
      </c>
      <c r="F2190" s="2031">
        <v>350.0</v>
      </c>
      <c r="G2190" s="2031">
        <v>350.0</v>
      </c>
      <c r="H2190" s="2031">
        <v>350.0</v>
      </c>
    </row>
    <row r="2191">
      <c r="B2191" s="2031">
        <v>2189.0</v>
      </c>
      <c r="C2191" s="2031">
        <v>263.0</v>
      </c>
      <c r="D2191" s="2031">
        <v>526.0</v>
      </c>
      <c r="E2191" s="2031">
        <v>350.0</v>
      </c>
      <c r="F2191" s="2031">
        <v>350.0</v>
      </c>
      <c r="G2191" s="2031">
        <v>350.0</v>
      </c>
      <c r="H2191" s="2031">
        <v>350.0</v>
      </c>
    </row>
    <row r="2192">
      <c r="B2192" s="2031">
        <v>2190.0</v>
      </c>
      <c r="C2192" s="2031">
        <v>263.0</v>
      </c>
      <c r="D2192" s="2031">
        <v>525.0</v>
      </c>
      <c r="E2192" s="2031">
        <v>350.0</v>
      </c>
      <c r="F2192" s="2031">
        <v>350.0</v>
      </c>
      <c r="G2192" s="2031">
        <v>351.0</v>
      </c>
      <c r="H2192" s="2031">
        <v>351.0</v>
      </c>
    </row>
    <row r="2193">
      <c r="B2193" s="2031">
        <v>2191.0</v>
      </c>
      <c r="C2193" s="2031">
        <v>263.0</v>
      </c>
      <c r="D2193" s="2031">
        <v>526.0</v>
      </c>
      <c r="E2193" s="2031">
        <v>350.0</v>
      </c>
      <c r="F2193" s="2031">
        <v>350.0</v>
      </c>
      <c r="G2193" s="2031">
        <v>351.0</v>
      </c>
      <c r="H2193" s="2031">
        <v>351.0</v>
      </c>
    </row>
    <row r="2194">
      <c r="B2194" s="2031">
        <v>2192.0</v>
      </c>
      <c r="C2194" s="2031">
        <v>263.0</v>
      </c>
      <c r="D2194" s="2031">
        <v>527.0</v>
      </c>
      <c r="E2194" s="2031">
        <v>350.0</v>
      </c>
      <c r="F2194" s="2031">
        <v>350.0</v>
      </c>
      <c r="G2194" s="2031">
        <v>351.0</v>
      </c>
      <c r="H2194" s="2031">
        <v>351.0</v>
      </c>
    </row>
    <row r="2195">
      <c r="B2195" s="2031">
        <v>2193.0</v>
      </c>
      <c r="C2195" s="2031">
        <v>263.0</v>
      </c>
      <c r="D2195" s="2031">
        <v>526.0</v>
      </c>
      <c r="E2195" s="2031">
        <v>351.0</v>
      </c>
      <c r="F2195" s="2031">
        <v>351.0</v>
      </c>
      <c r="G2195" s="2031">
        <v>351.0</v>
      </c>
      <c r="H2195" s="2031">
        <v>351.0</v>
      </c>
    </row>
    <row r="2196">
      <c r="B2196" s="2031">
        <v>2194.0</v>
      </c>
      <c r="C2196" s="2031">
        <v>263.0</v>
      </c>
      <c r="D2196" s="2031">
        <v>527.0</v>
      </c>
      <c r="E2196" s="2031">
        <v>351.0</v>
      </c>
      <c r="F2196" s="2031">
        <v>351.0</v>
      </c>
      <c r="G2196" s="2031">
        <v>351.0</v>
      </c>
      <c r="H2196" s="2031">
        <v>351.0</v>
      </c>
    </row>
    <row r="2197">
      <c r="B2197" s="2031">
        <v>2195.0</v>
      </c>
      <c r="C2197" s="2031">
        <v>264.0</v>
      </c>
      <c r="D2197" s="2031">
        <v>527.0</v>
      </c>
      <c r="E2197" s="2031">
        <v>351.0</v>
      </c>
      <c r="F2197" s="2031">
        <v>351.0</v>
      </c>
      <c r="G2197" s="2031">
        <v>351.0</v>
      </c>
      <c r="H2197" s="2031">
        <v>351.0</v>
      </c>
    </row>
    <row r="2198">
      <c r="B2198" s="2031">
        <v>2196.0</v>
      </c>
      <c r="C2198" s="2031">
        <v>263.0</v>
      </c>
      <c r="D2198" s="2031">
        <v>527.0</v>
      </c>
      <c r="E2198" s="2031">
        <v>351.0</v>
      </c>
      <c r="F2198" s="2031">
        <v>351.0</v>
      </c>
      <c r="G2198" s="2031">
        <v>352.0</v>
      </c>
      <c r="H2198" s="2031">
        <v>352.0</v>
      </c>
    </row>
    <row r="2199">
      <c r="B2199" s="2031">
        <v>2197.0</v>
      </c>
      <c r="C2199" s="2031">
        <v>264.0</v>
      </c>
      <c r="D2199" s="2031">
        <v>527.0</v>
      </c>
      <c r="E2199" s="2031">
        <v>351.0</v>
      </c>
      <c r="F2199" s="2031">
        <v>351.0</v>
      </c>
      <c r="G2199" s="2031">
        <v>352.0</v>
      </c>
      <c r="H2199" s="2031">
        <v>352.0</v>
      </c>
    </row>
    <row r="2200">
      <c r="B2200" s="2031">
        <v>2198.0</v>
      </c>
      <c r="C2200" s="2031">
        <v>263.0</v>
      </c>
      <c r="D2200" s="2031">
        <v>527.0</v>
      </c>
      <c r="E2200" s="2031">
        <v>352.0</v>
      </c>
      <c r="F2200" s="2031">
        <v>352.0</v>
      </c>
      <c r="G2200" s="2031">
        <v>352.0</v>
      </c>
      <c r="H2200" s="2031">
        <v>352.0</v>
      </c>
    </row>
    <row r="2201">
      <c r="B2201" s="2031">
        <v>2199.0</v>
      </c>
      <c r="C2201" s="2031">
        <v>264.0</v>
      </c>
      <c r="D2201" s="2031">
        <v>527.0</v>
      </c>
      <c r="E2201" s="2031">
        <v>352.0</v>
      </c>
      <c r="F2201" s="2031">
        <v>352.0</v>
      </c>
      <c r="G2201" s="2031">
        <v>352.0</v>
      </c>
      <c r="H2201" s="2031">
        <v>352.0</v>
      </c>
    </row>
    <row r="2202">
      <c r="B2202" s="2031">
        <v>2200.0</v>
      </c>
      <c r="C2202" s="2031">
        <v>264.0</v>
      </c>
      <c r="D2202" s="2031">
        <v>528.0</v>
      </c>
      <c r="E2202" s="2031">
        <v>352.0</v>
      </c>
      <c r="F2202" s="2031">
        <v>352.0</v>
      </c>
      <c r="G2202" s="2031">
        <v>352.0</v>
      </c>
      <c r="H2202" s="2031">
        <v>352.0</v>
      </c>
    </row>
    <row r="2203">
      <c r="B2203" s="2031">
        <v>2201.0</v>
      </c>
      <c r="C2203" s="2031">
        <v>264.0</v>
      </c>
      <c r="D2203" s="2031">
        <v>529.0</v>
      </c>
      <c r="E2203" s="2031">
        <v>352.0</v>
      </c>
      <c r="F2203" s="2031">
        <v>352.0</v>
      </c>
      <c r="G2203" s="2031">
        <v>352.0</v>
      </c>
      <c r="H2203" s="2031">
        <v>352.0</v>
      </c>
    </row>
    <row r="2204">
      <c r="B2204" s="2031">
        <v>2202.0</v>
      </c>
      <c r="C2204" s="2031">
        <v>265.0</v>
      </c>
      <c r="D2204" s="2031">
        <v>529.0</v>
      </c>
      <c r="E2204" s="2031">
        <v>352.0</v>
      </c>
      <c r="F2204" s="2031">
        <v>352.0</v>
      </c>
      <c r="G2204" s="2031">
        <v>352.0</v>
      </c>
      <c r="H2204" s="2031">
        <v>352.0</v>
      </c>
    </row>
    <row r="2205">
      <c r="B2205" s="2031">
        <v>2203.0</v>
      </c>
      <c r="C2205" s="2031">
        <v>264.0</v>
      </c>
      <c r="D2205" s="2031">
        <v>529.0</v>
      </c>
      <c r="E2205" s="2031">
        <v>352.0</v>
      </c>
      <c r="F2205" s="2031">
        <v>352.0</v>
      </c>
      <c r="G2205" s="2031">
        <v>353.0</v>
      </c>
      <c r="H2205" s="2031">
        <v>353.0</v>
      </c>
    </row>
    <row r="2206">
      <c r="B2206" s="2031">
        <v>2204.0</v>
      </c>
      <c r="C2206" s="2031">
        <v>265.0</v>
      </c>
      <c r="D2206" s="2031">
        <v>529.0</v>
      </c>
      <c r="E2206" s="2031">
        <v>352.0</v>
      </c>
      <c r="F2206" s="2031">
        <v>352.0</v>
      </c>
      <c r="G2206" s="2031">
        <v>353.0</v>
      </c>
      <c r="H2206" s="2031">
        <v>353.0</v>
      </c>
    </row>
    <row r="2207">
      <c r="B2207" s="2031">
        <v>2205.0</v>
      </c>
      <c r="C2207" s="2031">
        <v>264.0</v>
      </c>
      <c r="D2207" s="2031">
        <v>529.0</v>
      </c>
      <c r="E2207" s="2031">
        <v>353.0</v>
      </c>
      <c r="F2207" s="2031">
        <v>353.0</v>
      </c>
      <c r="G2207" s="2031">
        <v>353.0</v>
      </c>
      <c r="H2207" s="2031">
        <v>353.0</v>
      </c>
    </row>
    <row r="2208">
      <c r="B2208" s="2031">
        <v>2206.0</v>
      </c>
      <c r="C2208" s="2031">
        <v>265.0</v>
      </c>
      <c r="D2208" s="2031">
        <v>529.0</v>
      </c>
      <c r="E2208" s="2031">
        <v>353.0</v>
      </c>
      <c r="F2208" s="2031">
        <v>353.0</v>
      </c>
      <c r="G2208" s="2031">
        <v>353.0</v>
      </c>
      <c r="H2208" s="2031">
        <v>353.0</v>
      </c>
    </row>
    <row r="2209">
      <c r="B2209" s="2031">
        <v>2207.0</v>
      </c>
      <c r="C2209" s="2031">
        <v>265.0</v>
      </c>
      <c r="D2209" s="2031">
        <v>530.0</v>
      </c>
      <c r="E2209" s="2031">
        <v>353.0</v>
      </c>
      <c r="F2209" s="2031">
        <v>353.0</v>
      </c>
      <c r="G2209" s="2031">
        <v>353.0</v>
      </c>
      <c r="H2209" s="2031">
        <v>353.0</v>
      </c>
    </row>
    <row r="2210">
      <c r="B2210" s="2031">
        <v>2208.0</v>
      </c>
      <c r="C2210" s="2031">
        <v>265.0</v>
      </c>
      <c r="D2210" s="2031">
        <v>529.0</v>
      </c>
      <c r="E2210" s="2031">
        <v>353.0</v>
      </c>
      <c r="F2210" s="2031">
        <v>353.0</v>
      </c>
      <c r="G2210" s="2031">
        <v>354.0</v>
      </c>
      <c r="H2210" s="2031">
        <v>354.0</v>
      </c>
    </row>
    <row r="2211">
      <c r="B2211" s="2031">
        <v>2209.0</v>
      </c>
      <c r="C2211" s="2031">
        <v>265.0</v>
      </c>
      <c r="D2211" s="2031">
        <v>530.0</v>
      </c>
      <c r="E2211" s="2031">
        <v>353.0</v>
      </c>
      <c r="F2211" s="2031">
        <v>353.0</v>
      </c>
      <c r="G2211" s="2031">
        <v>354.0</v>
      </c>
      <c r="H2211" s="2031">
        <v>354.0</v>
      </c>
    </row>
    <row r="2212">
      <c r="B2212" s="2031">
        <v>2210.0</v>
      </c>
      <c r="C2212" s="2031">
        <v>265.0</v>
      </c>
      <c r="D2212" s="2031">
        <v>531.0</v>
      </c>
      <c r="E2212" s="2031">
        <v>353.0</v>
      </c>
      <c r="F2212" s="2031">
        <v>353.0</v>
      </c>
      <c r="G2212" s="2031">
        <v>354.0</v>
      </c>
      <c r="H2212" s="2031">
        <v>354.0</v>
      </c>
    </row>
    <row r="2213">
      <c r="B2213" s="2031">
        <v>2211.0</v>
      </c>
      <c r="C2213" s="2031">
        <v>265.0</v>
      </c>
      <c r="D2213" s="2031">
        <v>530.0</v>
      </c>
      <c r="E2213" s="2031">
        <v>354.0</v>
      </c>
      <c r="F2213" s="2031">
        <v>354.0</v>
      </c>
      <c r="G2213" s="2031">
        <v>354.0</v>
      </c>
      <c r="H2213" s="2031">
        <v>354.0</v>
      </c>
    </row>
    <row r="2214">
      <c r="B2214" s="2031">
        <v>2212.0</v>
      </c>
      <c r="C2214" s="2031">
        <v>265.0</v>
      </c>
      <c r="D2214" s="2031">
        <v>531.0</v>
      </c>
      <c r="E2214" s="2031">
        <v>354.0</v>
      </c>
      <c r="F2214" s="2031">
        <v>354.0</v>
      </c>
      <c r="G2214" s="2031">
        <v>354.0</v>
      </c>
      <c r="H2214" s="2031">
        <v>354.0</v>
      </c>
    </row>
    <row r="2215">
      <c r="B2215" s="2031">
        <v>2213.0</v>
      </c>
      <c r="C2215" s="2031">
        <v>266.0</v>
      </c>
      <c r="D2215" s="2031">
        <v>531.0</v>
      </c>
      <c r="E2215" s="2031">
        <v>354.0</v>
      </c>
      <c r="F2215" s="2031">
        <v>354.0</v>
      </c>
      <c r="G2215" s="2031">
        <v>354.0</v>
      </c>
      <c r="H2215" s="2031">
        <v>354.0</v>
      </c>
    </row>
    <row r="2216">
      <c r="B2216" s="2031">
        <v>2214.0</v>
      </c>
      <c r="C2216" s="2031">
        <v>266.0</v>
      </c>
      <c r="D2216" s="2031">
        <v>532.0</v>
      </c>
      <c r="E2216" s="2031">
        <v>354.0</v>
      </c>
      <c r="F2216" s="2031">
        <v>354.0</v>
      </c>
      <c r="G2216" s="2031">
        <v>354.0</v>
      </c>
      <c r="H2216" s="2031">
        <v>354.0</v>
      </c>
    </row>
    <row r="2217">
      <c r="B2217" s="2031">
        <v>2215.0</v>
      </c>
      <c r="C2217" s="2031">
        <v>266.0</v>
      </c>
      <c r="D2217" s="2031">
        <v>531.0</v>
      </c>
      <c r="E2217" s="2031">
        <v>354.0</v>
      </c>
      <c r="F2217" s="2031">
        <v>354.0</v>
      </c>
      <c r="G2217" s="2031">
        <v>355.0</v>
      </c>
      <c r="H2217" s="2031">
        <v>355.0</v>
      </c>
    </row>
    <row r="2218">
      <c r="B2218" s="2031">
        <v>2216.0</v>
      </c>
      <c r="C2218" s="2031">
        <v>266.0</v>
      </c>
      <c r="D2218" s="2031">
        <v>532.0</v>
      </c>
      <c r="E2218" s="2031">
        <v>354.0</v>
      </c>
      <c r="F2218" s="2031">
        <v>354.0</v>
      </c>
      <c r="G2218" s="2031">
        <v>355.0</v>
      </c>
      <c r="H2218" s="2031">
        <v>355.0</v>
      </c>
    </row>
    <row r="2219">
      <c r="B2219" s="2031">
        <v>2217.0</v>
      </c>
      <c r="C2219" s="2031">
        <v>266.0</v>
      </c>
      <c r="D2219" s="2031">
        <v>533.0</v>
      </c>
      <c r="E2219" s="2031">
        <v>354.0</v>
      </c>
      <c r="F2219" s="2031">
        <v>354.0</v>
      </c>
      <c r="G2219" s="2031">
        <v>355.0</v>
      </c>
      <c r="H2219" s="2031">
        <v>355.0</v>
      </c>
    </row>
    <row r="2220">
      <c r="B2220" s="2031">
        <v>2218.0</v>
      </c>
      <c r="C2220" s="2031">
        <v>266.0</v>
      </c>
      <c r="D2220" s="2031">
        <v>532.0</v>
      </c>
      <c r="E2220" s="2031">
        <v>355.0</v>
      </c>
      <c r="F2220" s="2031">
        <v>355.0</v>
      </c>
      <c r="G2220" s="2031">
        <v>355.0</v>
      </c>
      <c r="H2220" s="2031">
        <v>355.0</v>
      </c>
    </row>
    <row r="2221">
      <c r="B2221" s="2031">
        <v>2219.0</v>
      </c>
      <c r="C2221" s="2031">
        <v>266.0</v>
      </c>
      <c r="D2221" s="2031">
        <v>533.0</v>
      </c>
      <c r="E2221" s="2031">
        <v>355.0</v>
      </c>
      <c r="F2221" s="2031">
        <v>355.0</v>
      </c>
      <c r="G2221" s="2031">
        <v>355.0</v>
      </c>
      <c r="H2221" s="2031">
        <v>355.0</v>
      </c>
    </row>
    <row r="2222">
      <c r="B2222" s="2031">
        <v>2220.0</v>
      </c>
      <c r="C2222" s="2031">
        <v>267.0</v>
      </c>
      <c r="D2222" s="2031">
        <v>533.0</v>
      </c>
      <c r="E2222" s="2031">
        <v>355.0</v>
      </c>
      <c r="F2222" s="2031">
        <v>355.0</v>
      </c>
      <c r="G2222" s="2031">
        <v>355.0</v>
      </c>
      <c r="H2222" s="2031">
        <v>355.0</v>
      </c>
    </row>
    <row r="2223">
      <c r="B2223" s="2031">
        <v>2221.0</v>
      </c>
      <c r="C2223" s="2031">
        <v>266.0</v>
      </c>
      <c r="D2223" s="2031">
        <v>533.0</v>
      </c>
      <c r="E2223" s="2031">
        <v>355.0</v>
      </c>
      <c r="F2223" s="2031">
        <v>355.0</v>
      </c>
      <c r="G2223" s="2031">
        <v>356.0</v>
      </c>
      <c r="H2223" s="2031">
        <v>356.0</v>
      </c>
    </row>
    <row r="2224">
      <c r="B2224" s="2031">
        <v>2222.0</v>
      </c>
      <c r="C2224" s="2031">
        <v>267.0</v>
      </c>
      <c r="D2224" s="2031">
        <v>533.0</v>
      </c>
      <c r="E2224" s="2031">
        <v>355.0</v>
      </c>
      <c r="F2224" s="2031">
        <v>355.0</v>
      </c>
      <c r="G2224" s="2031">
        <v>356.0</v>
      </c>
      <c r="H2224" s="2031">
        <v>356.0</v>
      </c>
    </row>
    <row r="2225">
      <c r="B2225" s="2031">
        <v>2223.0</v>
      </c>
      <c r="C2225" s="2031">
        <v>266.0</v>
      </c>
      <c r="D2225" s="2031">
        <v>533.0</v>
      </c>
      <c r="E2225" s="2031">
        <v>356.0</v>
      </c>
      <c r="F2225" s="2031">
        <v>356.0</v>
      </c>
      <c r="G2225" s="2031">
        <v>356.0</v>
      </c>
      <c r="H2225" s="2031">
        <v>356.0</v>
      </c>
    </row>
    <row r="2226">
      <c r="B2226" s="2031">
        <v>2224.0</v>
      </c>
      <c r="C2226" s="2031">
        <v>267.0</v>
      </c>
      <c r="D2226" s="2031">
        <v>533.0</v>
      </c>
      <c r="E2226" s="2031">
        <v>356.0</v>
      </c>
      <c r="F2226" s="2031">
        <v>356.0</v>
      </c>
      <c r="G2226" s="2031">
        <v>356.0</v>
      </c>
      <c r="H2226" s="2031">
        <v>356.0</v>
      </c>
    </row>
    <row r="2227">
      <c r="B2227" s="2031">
        <v>2225.0</v>
      </c>
      <c r="C2227" s="2031">
        <v>267.0</v>
      </c>
      <c r="D2227" s="2031">
        <v>534.0</v>
      </c>
      <c r="E2227" s="2031">
        <v>356.0</v>
      </c>
      <c r="F2227" s="2031">
        <v>356.0</v>
      </c>
      <c r="G2227" s="2031">
        <v>356.0</v>
      </c>
      <c r="H2227" s="2031">
        <v>356.0</v>
      </c>
    </row>
    <row r="2228">
      <c r="B2228" s="2031">
        <v>2226.0</v>
      </c>
      <c r="C2228" s="2031">
        <v>267.0</v>
      </c>
      <c r="D2228" s="2031">
        <v>535.0</v>
      </c>
      <c r="E2228" s="2031">
        <v>356.0</v>
      </c>
      <c r="F2228" s="2031">
        <v>356.0</v>
      </c>
      <c r="G2228" s="2031">
        <v>356.0</v>
      </c>
      <c r="H2228" s="2031">
        <v>356.0</v>
      </c>
    </row>
    <row r="2229">
      <c r="B2229" s="2031">
        <v>2227.0</v>
      </c>
      <c r="C2229" s="2031">
        <v>268.0</v>
      </c>
      <c r="D2229" s="2031">
        <v>535.0</v>
      </c>
      <c r="E2229" s="2031">
        <v>356.0</v>
      </c>
      <c r="F2229" s="2031">
        <v>356.0</v>
      </c>
      <c r="G2229" s="2031">
        <v>356.0</v>
      </c>
      <c r="H2229" s="2031">
        <v>356.0</v>
      </c>
    </row>
    <row r="2230">
      <c r="B2230" s="2031">
        <v>2228.0</v>
      </c>
      <c r="C2230" s="2031">
        <v>267.0</v>
      </c>
      <c r="D2230" s="2031">
        <v>535.0</v>
      </c>
      <c r="E2230" s="2031">
        <v>356.0</v>
      </c>
      <c r="F2230" s="2031">
        <v>356.0</v>
      </c>
      <c r="G2230" s="2031">
        <v>357.0</v>
      </c>
      <c r="H2230" s="2031">
        <v>357.0</v>
      </c>
    </row>
    <row r="2231">
      <c r="B2231" s="2031">
        <v>2229.0</v>
      </c>
      <c r="C2231" s="2031">
        <v>268.0</v>
      </c>
      <c r="D2231" s="2031">
        <v>535.0</v>
      </c>
      <c r="E2231" s="2031">
        <v>356.0</v>
      </c>
      <c r="F2231" s="2031">
        <v>356.0</v>
      </c>
      <c r="G2231" s="2031">
        <v>357.0</v>
      </c>
      <c r="H2231" s="2031">
        <v>357.0</v>
      </c>
    </row>
    <row r="2232">
      <c r="B2232" s="2031">
        <v>2230.0</v>
      </c>
      <c r="C2232" s="2031">
        <v>267.0</v>
      </c>
      <c r="D2232" s="2031">
        <v>535.0</v>
      </c>
      <c r="E2232" s="2031">
        <v>357.0</v>
      </c>
      <c r="F2232" s="2031">
        <v>357.0</v>
      </c>
      <c r="G2232" s="2031">
        <v>357.0</v>
      </c>
      <c r="H2232" s="2031">
        <v>357.0</v>
      </c>
    </row>
    <row r="2233">
      <c r="B2233" s="2031">
        <v>2231.0</v>
      </c>
      <c r="C2233" s="2031">
        <v>268.0</v>
      </c>
      <c r="D2233" s="2031">
        <v>535.0</v>
      </c>
      <c r="E2233" s="2031">
        <v>357.0</v>
      </c>
      <c r="F2233" s="2031">
        <v>357.0</v>
      </c>
      <c r="G2233" s="2031">
        <v>357.0</v>
      </c>
      <c r="H2233" s="2031">
        <v>357.0</v>
      </c>
    </row>
    <row r="2234">
      <c r="B2234" s="2031">
        <v>2232.0</v>
      </c>
      <c r="C2234" s="2031">
        <v>268.0</v>
      </c>
      <c r="D2234" s="2031">
        <v>536.0</v>
      </c>
      <c r="E2234" s="2031">
        <v>357.0</v>
      </c>
      <c r="F2234" s="2031">
        <v>357.0</v>
      </c>
      <c r="G2234" s="2031">
        <v>357.0</v>
      </c>
      <c r="H2234" s="2031">
        <v>357.0</v>
      </c>
    </row>
    <row r="2235">
      <c r="B2235" s="2031">
        <v>2233.0</v>
      </c>
      <c r="C2235" s="2031">
        <v>268.0</v>
      </c>
      <c r="D2235" s="2031">
        <v>535.0</v>
      </c>
      <c r="E2235" s="2031">
        <v>357.0</v>
      </c>
      <c r="F2235" s="2031">
        <v>357.0</v>
      </c>
      <c r="G2235" s="2031">
        <v>358.0</v>
      </c>
      <c r="H2235" s="2031">
        <v>358.0</v>
      </c>
    </row>
    <row r="2236">
      <c r="B2236" s="2031">
        <v>2234.0</v>
      </c>
      <c r="C2236" s="2031">
        <v>268.0</v>
      </c>
      <c r="D2236" s="2031">
        <v>536.0</v>
      </c>
      <c r="E2236" s="2031">
        <v>357.0</v>
      </c>
      <c r="F2236" s="2031">
        <v>357.0</v>
      </c>
      <c r="G2236" s="2031">
        <v>358.0</v>
      </c>
      <c r="H2236" s="2031">
        <v>358.0</v>
      </c>
    </row>
    <row r="2237">
      <c r="B2237" s="2031">
        <v>2235.0</v>
      </c>
      <c r="C2237" s="2031">
        <v>268.0</v>
      </c>
      <c r="D2237" s="2031">
        <v>537.0</v>
      </c>
      <c r="E2237" s="2031">
        <v>357.0</v>
      </c>
      <c r="F2237" s="2031">
        <v>357.0</v>
      </c>
      <c r="G2237" s="2031">
        <v>358.0</v>
      </c>
      <c r="H2237" s="2031">
        <v>358.0</v>
      </c>
    </row>
    <row r="2238">
      <c r="B2238" s="2031">
        <v>2236.0</v>
      </c>
      <c r="C2238" s="2031">
        <v>268.0</v>
      </c>
      <c r="D2238" s="2031">
        <v>536.0</v>
      </c>
      <c r="E2238" s="2031">
        <v>358.0</v>
      </c>
      <c r="F2238" s="2031">
        <v>358.0</v>
      </c>
      <c r="G2238" s="2031">
        <v>358.0</v>
      </c>
      <c r="H2238" s="2031">
        <v>358.0</v>
      </c>
    </row>
    <row r="2239">
      <c r="B2239" s="2031">
        <v>2237.0</v>
      </c>
      <c r="C2239" s="2031">
        <v>268.0</v>
      </c>
      <c r="D2239" s="2031">
        <v>537.0</v>
      </c>
      <c r="E2239" s="2031">
        <v>358.0</v>
      </c>
      <c r="F2239" s="2031">
        <v>358.0</v>
      </c>
      <c r="G2239" s="2031">
        <v>358.0</v>
      </c>
      <c r="H2239" s="2031">
        <v>358.0</v>
      </c>
    </row>
    <row r="2240">
      <c r="B2240" s="2031">
        <v>2238.0</v>
      </c>
      <c r="C2240" s="2031">
        <v>269.0</v>
      </c>
      <c r="D2240" s="2031">
        <v>537.0</v>
      </c>
      <c r="E2240" s="2031">
        <v>358.0</v>
      </c>
      <c r="F2240" s="2031">
        <v>358.0</v>
      </c>
      <c r="G2240" s="2031">
        <v>358.0</v>
      </c>
      <c r="H2240" s="2031">
        <v>358.0</v>
      </c>
    </row>
    <row r="2241">
      <c r="B2241" s="2031">
        <v>2239.0</v>
      </c>
      <c r="C2241" s="2031">
        <v>269.0</v>
      </c>
      <c r="D2241" s="2031">
        <v>538.0</v>
      </c>
      <c r="E2241" s="2031">
        <v>358.0</v>
      </c>
      <c r="F2241" s="2031">
        <v>358.0</v>
      </c>
      <c r="G2241" s="2031">
        <v>358.0</v>
      </c>
      <c r="H2241" s="2031">
        <v>358.0</v>
      </c>
    </row>
    <row r="2242">
      <c r="B2242" s="2031">
        <v>2240.0</v>
      </c>
      <c r="C2242" s="2031">
        <v>269.0</v>
      </c>
      <c r="D2242" s="2031">
        <v>537.0</v>
      </c>
      <c r="E2242" s="2031">
        <v>358.0</v>
      </c>
      <c r="F2242" s="2031">
        <v>358.0</v>
      </c>
      <c r="G2242" s="2031">
        <v>359.0</v>
      </c>
      <c r="H2242" s="2031">
        <v>359.0</v>
      </c>
    </row>
    <row r="2243">
      <c r="B2243" s="2031">
        <v>2241.0</v>
      </c>
      <c r="C2243" s="2031">
        <v>269.0</v>
      </c>
      <c r="D2243" s="2031">
        <v>538.0</v>
      </c>
      <c r="E2243" s="2031">
        <v>358.0</v>
      </c>
      <c r="F2243" s="2031">
        <v>358.0</v>
      </c>
      <c r="G2243" s="2031">
        <v>359.0</v>
      </c>
      <c r="H2243" s="2031">
        <v>359.0</v>
      </c>
    </row>
    <row r="2244">
      <c r="B2244" s="2031">
        <v>2242.0</v>
      </c>
      <c r="C2244" s="2031">
        <v>269.0</v>
      </c>
      <c r="D2244" s="2031">
        <v>539.0</v>
      </c>
      <c r="E2244" s="2031">
        <v>358.0</v>
      </c>
      <c r="F2244" s="2031">
        <v>358.0</v>
      </c>
      <c r="G2244" s="2031">
        <v>359.0</v>
      </c>
      <c r="H2244" s="2031">
        <v>359.0</v>
      </c>
    </row>
    <row r="2245">
      <c r="B2245" s="2031">
        <v>2243.0</v>
      </c>
      <c r="C2245" s="2031">
        <v>269.0</v>
      </c>
      <c r="D2245" s="2031">
        <v>538.0</v>
      </c>
      <c r="E2245" s="2031">
        <v>359.0</v>
      </c>
      <c r="F2245" s="2031">
        <v>359.0</v>
      </c>
      <c r="G2245" s="2031">
        <v>359.0</v>
      </c>
      <c r="H2245" s="2031">
        <v>359.0</v>
      </c>
    </row>
    <row r="2246">
      <c r="B2246" s="2031">
        <v>2244.0</v>
      </c>
      <c r="C2246" s="2031">
        <v>269.0</v>
      </c>
      <c r="D2246" s="2031">
        <v>539.0</v>
      </c>
      <c r="E2246" s="2031">
        <v>359.0</v>
      </c>
      <c r="F2246" s="2031">
        <v>359.0</v>
      </c>
      <c r="G2246" s="2031">
        <v>359.0</v>
      </c>
      <c r="H2246" s="2031">
        <v>359.0</v>
      </c>
    </row>
    <row r="2247">
      <c r="B2247" s="2031">
        <v>2245.0</v>
      </c>
      <c r="C2247" s="2031">
        <v>270.0</v>
      </c>
      <c r="D2247" s="2031">
        <v>539.0</v>
      </c>
      <c r="E2247" s="2031">
        <v>359.0</v>
      </c>
      <c r="F2247" s="2031">
        <v>359.0</v>
      </c>
      <c r="G2247" s="2031">
        <v>359.0</v>
      </c>
      <c r="H2247" s="2031">
        <v>359.0</v>
      </c>
    </row>
    <row r="2248">
      <c r="B2248" s="2031">
        <v>2246.0</v>
      </c>
      <c r="C2248" s="2031">
        <v>269.0</v>
      </c>
      <c r="D2248" s="2031">
        <v>539.0</v>
      </c>
      <c r="E2248" s="2031">
        <v>359.0</v>
      </c>
      <c r="F2248" s="2031">
        <v>359.0</v>
      </c>
      <c r="G2248" s="2031">
        <v>360.0</v>
      </c>
      <c r="H2248" s="2031">
        <v>360.0</v>
      </c>
    </row>
    <row r="2249">
      <c r="B2249" s="2031">
        <v>2247.0</v>
      </c>
      <c r="C2249" s="2031">
        <v>270.0</v>
      </c>
      <c r="D2249" s="2031">
        <v>539.0</v>
      </c>
      <c r="E2249" s="2031">
        <v>359.0</v>
      </c>
      <c r="F2249" s="2031">
        <v>359.0</v>
      </c>
      <c r="G2249" s="2031">
        <v>360.0</v>
      </c>
      <c r="H2249" s="2031">
        <v>360.0</v>
      </c>
    </row>
    <row r="2250">
      <c r="B2250" s="2031">
        <v>2248.0</v>
      </c>
      <c r="C2250" s="2031">
        <v>269.0</v>
      </c>
      <c r="D2250" s="2031">
        <v>539.0</v>
      </c>
      <c r="E2250" s="2031">
        <v>360.0</v>
      </c>
      <c r="F2250" s="2031">
        <v>360.0</v>
      </c>
      <c r="G2250" s="2031">
        <v>360.0</v>
      </c>
      <c r="H2250" s="2031">
        <v>360.0</v>
      </c>
    </row>
    <row r="2251">
      <c r="B2251" s="2031">
        <v>2249.0</v>
      </c>
      <c r="C2251" s="2031">
        <v>270.0</v>
      </c>
      <c r="D2251" s="2031">
        <v>539.0</v>
      </c>
      <c r="E2251" s="2031">
        <v>360.0</v>
      </c>
      <c r="F2251" s="2031">
        <v>360.0</v>
      </c>
      <c r="G2251" s="2031">
        <v>360.0</v>
      </c>
      <c r="H2251" s="2031">
        <v>360.0</v>
      </c>
    </row>
    <row r="2252">
      <c r="B2252" s="2031">
        <v>2250.0</v>
      </c>
      <c r="C2252" s="2031">
        <v>270.0</v>
      </c>
      <c r="D2252" s="2031">
        <v>540.0</v>
      </c>
      <c r="E2252" s="2031">
        <v>360.0</v>
      </c>
      <c r="F2252" s="2031">
        <v>360.0</v>
      </c>
      <c r="G2252" s="2031">
        <v>360.0</v>
      </c>
      <c r="H2252" s="2031">
        <v>360.0</v>
      </c>
    </row>
    <row r="2253">
      <c r="B2253" s="2031">
        <v>2251.0</v>
      </c>
      <c r="C2253" s="2031">
        <v>270.0</v>
      </c>
      <c r="D2253" s="2031">
        <v>541.0</v>
      </c>
      <c r="E2253" s="2031">
        <v>360.0</v>
      </c>
      <c r="F2253" s="2031">
        <v>360.0</v>
      </c>
      <c r="G2253" s="2031">
        <v>360.0</v>
      </c>
      <c r="H2253" s="2031">
        <v>360.0</v>
      </c>
    </row>
    <row r="2254">
      <c r="B2254" s="2031">
        <v>2252.0</v>
      </c>
      <c r="C2254" s="2031">
        <v>271.0</v>
      </c>
      <c r="D2254" s="2031">
        <v>541.0</v>
      </c>
      <c r="E2254" s="2031">
        <v>360.0</v>
      </c>
      <c r="F2254" s="2031">
        <v>360.0</v>
      </c>
      <c r="G2254" s="2031">
        <v>360.0</v>
      </c>
      <c r="H2254" s="2031">
        <v>360.0</v>
      </c>
    </row>
    <row r="2255">
      <c r="B2255" s="2031">
        <v>2253.0</v>
      </c>
      <c r="C2255" s="2031">
        <v>270.0</v>
      </c>
      <c r="D2255" s="2031">
        <v>541.0</v>
      </c>
      <c r="E2255" s="2031">
        <v>360.0</v>
      </c>
      <c r="F2255" s="2031">
        <v>360.0</v>
      </c>
      <c r="G2255" s="2031">
        <v>361.0</v>
      </c>
      <c r="H2255" s="2031">
        <v>361.0</v>
      </c>
    </row>
    <row r="2256">
      <c r="B2256" s="2031">
        <v>2254.0</v>
      </c>
      <c r="C2256" s="2031">
        <v>271.0</v>
      </c>
      <c r="D2256" s="2031">
        <v>541.0</v>
      </c>
      <c r="E2256" s="2031">
        <v>360.0</v>
      </c>
      <c r="F2256" s="2031">
        <v>360.0</v>
      </c>
      <c r="G2256" s="2031">
        <v>361.0</v>
      </c>
      <c r="H2256" s="2031">
        <v>361.0</v>
      </c>
    </row>
    <row r="2257">
      <c r="B2257" s="2031">
        <v>2255.0</v>
      </c>
      <c r="C2257" s="2031">
        <v>270.0</v>
      </c>
      <c r="D2257" s="2031">
        <v>541.0</v>
      </c>
      <c r="E2257" s="2031">
        <v>361.0</v>
      </c>
      <c r="F2257" s="2031">
        <v>361.0</v>
      </c>
      <c r="G2257" s="2031">
        <v>361.0</v>
      </c>
      <c r="H2257" s="2031">
        <v>361.0</v>
      </c>
    </row>
    <row r="2258">
      <c r="B2258" s="2031">
        <v>2256.0</v>
      </c>
      <c r="C2258" s="2031">
        <v>271.0</v>
      </c>
      <c r="D2258" s="2031">
        <v>541.0</v>
      </c>
      <c r="E2258" s="2031">
        <v>361.0</v>
      </c>
      <c r="F2258" s="2031">
        <v>361.0</v>
      </c>
      <c r="G2258" s="2031">
        <v>361.0</v>
      </c>
      <c r="H2258" s="2031">
        <v>361.0</v>
      </c>
    </row>
    <row r="2259">
      <c r="B2259" s="2031">
        <v>2257.0</v>
      </c>
      <c r="C2259" s="2031">
        <v>271.0</v>
      </c>
      <c r="D2259" s="2031">
        <v>542.0</v>
      </c>
      <c r="E2259" s="2031">
        <v>361.0</v>
      </c>
      <c r="F2259" s="2031">
        <v>361.0</v>
      </c>
      <c r="G2259" s="2031">
        <v>361.0</v>
      </c>
      <c r="H2259" s="2031">
        <v>361.0</v>
      </c>
    </row>
    <row r="2260">
      <c r="B2260" s="2031">
        <v>2258.0</v>
      </c>
      <c r="C2260" s="2031">
        <v>271.0</v>
      </c>
      <c r="D2260" s="2031">
        <v>541.0</v>
      </c>
      <c r="E2260" s="2031">
        <v>361.0</v>
      </c>
      <c r="F2260" s="2031">
        <v>361.0</v>
      </c>
      <c r="G2260" s="2031">
        <v>362.0</v>
      </c>
      <c r="H2260" s="2031">
        <v>362.0</v>
      </c>
    </row>
    <row r="2261">
      <c r="B2261" s="2031">
        <v>2259.0</v>
      </c>
      <c r="C2261" s="2031">
        <v>271.0</v>
      </c>
      <c r="D2261" s="2031">
        <v>542.0</v>
      </c>
      <c r="E2261" s="2031">
        <v>361.0</v>
      </c>
      <c r="F2261" s="2031">
        <v>361.0</v>
      </c>
      <c r="G2261" s="2031">
        <v>362.0</v>
      </c>
      <c r="H2261" s="2031">
        <v>362.0</v>
      </c>
    </row>
    <row r="2262">
      <c r="B2262" s="2031">
        <v>2260.0</v>
      </c>
      <c r="C2262" s="2031">
        <v>271.0</v>
      </c>
      <c r="D2262" s="2031">
        <v>543.0</v>
      </c>
      <c r="E2262" s="2031">
        <v>361.0</v>
      </c>
      <c r="F2262" s="2031">
        <v>361.0</v>
      </c>
      <c r="G2262" s="2031">
        <v>362.0</v>
      </c>
      <c r="H2262" s="2031">
        <v>362.0</v>
      </c>
    </row>
    <row r="2263">
      <c r="B2263" s="2031">
        <v>2261.0</v>
      </c>
      <c r="C2263" s="2031">
        <v>271.0</v>
      </c>
      <c r="D2263" s="2031">
        <v>542.0</v>
      </c>
      <c r="E2263" s="2031">
        <v>362.0</v>
      </c>
      <c r="F2263" s="2031">
        <v>362.0</v>
      </c>
      <c r="G2263" s="2031">
        <v>362.0</v>
      </c>
      <c r="H2263" s="2031">
        <v>362.0</v>
      </c>
    </row>
    <row r="2264">
      <c r="B2264" s="2031">
        <v>2262.0</v>
      </c>
      <c r="C2264" s="2031">
        <v>271.0</v>
      </c>
      <c r="D2264" s="2031">
        <v>543.0</v>
      </c>
      <c r="E2264" s="2031">
        <v>362.0</v>
      </c>
      <c r="F2264" s="2031">
        <v>362.0</v>
      </c>
      <c r="G2264" s="2031">
        <v>362.0</v>
      </c>
      <c r="H2264" s="2031">
        <v>362.0</v>
      </c>
    </row>
    <row r="2265">
      <c r="B2265" s="2031">
        <v>2263.0</v>
      </c>
      <c r="C2265" s="2031">
        <v>272.0</v>
      </c>
      <c r="D2265" s="2031">
        <v>543.0</v>
      </c>
      <c r="E2265" s="2031">
        <v>362.0</v>
      </c>
      <c r="F2265" s="2031">
        <v>362.0</v>
      </c>
      <c r="G2265" s="2031">
        <v>362.0</v>
      </c>
      <c r="H2265" s="2031">
        <v>362.0</v>
      </c>
    </row>
    <row r="2266">
      <c r="B2266" s="2031">
        <v>2264.0</v>
      </c>
      <c r="C2266" s="2031">
        <v>272.0</v>
      </c>
      <c r="D2266" s="2031">
        <v>544.0</v>
      </c>
      <c r="E2266" s="2031">
        <v>362.0</v>
      </c>
      <c r="F2266" s="2031">
        <v>362.0</v>
      </c>
      <c r="G2266" s="2031">
        <v>362.0</v>
      </c>
      <c r="H2266" s="2031">
        <v>362.0</v>
      </c>
    </row>
    <row r="2267">
      <c r="B2267" s="2031">
        <v>2265.0</v>
      </c>
      <c r="C2267" s="2031">
        <v>272.0</v>
      </c>
      <c r="D2267" s="2031">
        <v>543.0</v>
      </c>
      <c r="E2267" s="2031">
        <v>362.0</v>
      </c>
      <c r="F2267" s="2031">
        <v>362.0</v>
      </c>
      <c r="G2267" s="2031">
        <v>363.0</v>
      </c>
      <c r="H2267" s="2031">
        <v>363.0</v>
      </c>
    </row>
    <row r="2268">
      <c r="B2268" s="2031">
        <v>2266.0</v>
      </c>
      <c r="C2268" s="2031">
        <v>272.0</v>
      </c>
      <c r="D2268" s="2031">
        <v>544.0</v>
      </c>
      <c r="E2268" s="2031">
        <v>362.0</v>
      </c>
      <c r="F2268" s="2031">
        <v>362.0</v>
      </c>
      <c r="G2268" s="2031">
        <v>363.0</v>
      </c>
      <c r="H2268" s="2031">
        <v>363.0</v>
      </c>
    </row>
    <row r="2269">
      <c r="B2269" s="2031">
        <v>2267.0</v>
      </c>
      <c r="C2269" s="2031">
        <v>272.0</v>
      </c>
      <c r="D2269" s="2031">
        <v>545.0</v>
      </c>
      <c r="E2269" s="2031">
        <v>362.0</v>
      </c>
      <c r="F2269" s="2031">
        <v>362.0</v>
      </c>
      <c r="G2269" s="2031">
        <v>363.0</v>
      </c>
      <c r="H2269" s="2031">
        <v>363.0</v>
      </c>
    </row>
    <row r="2270">
      <c r="B2270" s="2031">
        <v>2268.0</v>
      </c>
      <c r="C2270" s="2031">
        <v>272.0</v>
      </c>
      <c r="D2270" s="2031">
        <v>544.0</v>
      </c>
      <c r="E2270" s="2031">
        <v>363.0</v>
      </c>
      <c r="F2270" s="2031">
        <v>363.0</v>
      </c>
      <c r="G2270" s="2031">
        <v>363.0</v>
      </c>
      <c r="H2270" s="2031">
        <v>363.0</v>
      </c>
    </row>
    <row r="2271">
      <c r="B2271" s="2031">
        <v>2269.0</v>
      </c>
      <c r="C2271" s="2031">
        <v>272.0</v>
      </c>
      <c r="D2271" s="2031">
        <v>545.0</v>
      </c>
      <c r="E2271" s="2031">
        <v>363.0</v>
      </c>
      <c r="F2271" s="2031">
        <v>363.0</v>
      </c>
      <c r="G2271" s="2031">
        <v>363.0</v>
      </c>
      <c r="H2271" s="2031">
        <v>363.0</v>
      </c>
    </row>
    <row r="2272">
      <c r="B2272" s="2031">
        <v>2270.0</v>
      </c>
      <c r="C2272" s="2031">
        <v>273.0</v>
      </c>
      <c r="D2272" s="2031">
        <v>545.0</v>
      </c>
      <c r="E2272" s="2031">
        <v>363.0</v>
      </c>
      <c r="F2272" s="2031">
        <v>363.0</v>
      </c>
      <c r="G2272" s="2031">
        <v>363.0</v>
      </c>
      <c r="H2272" s="2031">
        <v>363.0</v>
      </c>
    </row>
    <row r="2273">
      <c r="B2273" s="2031">
        <v>2271.0</v>
      </c>
      <c r="C2273" s="2031">
        <v>272.0</v>
      </c>
      <c r="D2273" s="2031">
        <v>545.0</v>
      </c>
      <c r="E2273" s="2031">
        <v>363.0</v>
      </c>
      <c r="F2273" s="2031">
        <v>363.0</v>
      </c>
      <c r="G2273" s="2031">
        <v>364.0</v>
      </c>
      <c r="H2273" s="2031">
        <v>364.0</v>
      </c>
    </row>
    <row r="2274">
      <c r="B2274" s="2031">
        <v>2272.0</v>
      </c>
      <c r="C2274" s="2031">
        <v>273.0</v>
      </c>
      <c r="D2274" s="2031">
        <v>545.0</v>
      </c>
      <c r="E2274" s="2031">
        <v>363.0</v>
      </c>
      <c r="F2274" s="2031">
        <v>363.0</v>
      </c>
      <c r="G2274" s="2031">
        <v>364.0</v>
      </c>
      <c r="H2274" s="2031">
        <v>364.0</v>
      </c>
    </row>
    <row r="2275">
      <c r="B2275" s="2031">
        <v>2273.0</v>
      </c>
      <c r="C2275" s="2031">
        <v>272.0</v>
      </c>
      <c r="D2275" s="2031">
        <v>545.0</v>
      </c>
      <c r="E2275" s="2031">
        <v>364.0</v>
      </c>
      <c r="F2275" s="2031">
        <v>364.0</v>
      </c>
      <c r="G2275" s="2031">
        <v>364.0</v>
      </c>
      <c r="H2275" s="2031">
        <v>364.0</v>
      </c>
    </row>
    <row r="2276">
      <c r="B2276" s="2031">
        <v>2274.0</v>
      </c>
      <c r="C2276" s="2031">
        <v>273.0</v>
      </c>
      <c r="D2276" s="2031">
        <v>545.0</v>
      </c>
      <c r="E2276" s="2031">
        <v>364.0</v>
      </c>
      <c r="F2276" s="2031">
        <v>364.0</v>
      </c>
      <c r="G2276" s="2031">
        <v>364.0</v>
      </c>
      <c r="H2276" s="2031">
        <v>364.0</v>
      </c>
    </row>
    <row r="2277">
      <c r="B2277" s="2031">
        <v>2275.0</v>
      </c>
      <c r="C2277" s="2031">
        <v>273.0</v>
      </c>
      <c r="D2277" s="2031">
        <v>546.0</v>
      </c>
      <c r="E2277" s="2031">
        <v>364.0</v>
      </c>
      <c r="F2277" s="2031">
        <v>364.0</v>
      </c>
      <c r="G2277" s="2031">
        <v>364.0</v>
      </c>
      <c r="H2277" s="2031">
        <v>364.0</v>
      </c>
    </row>
    <row r="2278">
      <c r="B2278" s="2031">
        <v>2276.0</v>
      </c>
      <c r="C2278" s="2031">
        <v>273.0</v>
      </c>
      <c r="D2278" s="2031">
        <v>547.0</v>
      </c>
      <c r="E2278" s="2031">
        <v>364.0</v>
      </c>
      <c r="F2278" s="2031">
        <v>364.0</v>
      </c>
      <c r="G2278" s="2031">
        <v>364.0</v>
      </c>
      <c r="H2278" s="2031">
        <v>364.0</v>
      </c>
    </row>
    <row r="2279">
      <c r="B2279" s="2031">
        <v>2277.0</v>
      </c>
      <c r="C2279" s="2031">
        <v>274.0</v>
      </c>
      <c r="D2279" s="2031">
        <v>547.0</v>
      </c>
      <c r="E2279" s="2031">
        <v>364.0</v>
      </c>
      <c r="F2279" s="2031">
        <v>364.0</v>
      </c>
      <c r="G2279" s="2031">
        <v>364.0</v>
      </c>
      <c r="H2279" s="2031">
        <v>364.0</v>
      </c>
    </row>
    <row r="2280">
      <c r="B2280" s="2031">
        <v>2278.0</v>
      </c>
      <c r="C2280" s="2031">
        <v>273.0</v>
      </c>
      <c r="D2280" s="2031">
        <v>547.0</v>
      </c>
      <c r="E2280" s="2031">
        <v>364.0</v>
      </c>
      <c r="F2280" s="2031">
        <v>364.0</v>
      </c>
      <c r="G2280" s="2031">
        <v>365.0</v>
      </c>
      <c r="H2280" s="2031">
        <v>365.0</v>
      </c>
    </row>
    <row r="2281">
      <c r="B2281" s="2031">
        <v>2279.0</v>
      </c>
      <c r="C2281" s="2031">
        <v>274.0</v>
      </c>
      <c r="D2281" s="2031">
        <v>547.0</v>
      </c>
      <c r="E2281" s="2031">
        <v>364.0</v>
      </c>
      <c r="F2281" s="2031">
        <v>364.0</v>
      </c>
      <c r="G2281" s="2031">
        <v>365.0</v>
      </c>
      <c r="H2281" s="2031">
        <v>365.0</v>
      </c>
    </row>
    <row r="2282">
      <c r="B2282" s="2031">
        <v>2280.0</v>
      </c>
      <c r="C2282" s="2031">
        <v>273.0</v>
      </c>
      <c r="D2282" s="2031">
        <v>547.0</v>
      </c>
      <c r="E2282" s="2031">
        <v>365.0</v>
      </c>
      <c r="F2282" s="2031">
        <v>365.0</v>
      </c>
      <c r="G2282" s="2031">
        <v>365.0</v>
      </c>
      <c r="H2282" s="2031">
        <v>365.0</v>
      </c>
    </row>
    <row r="2283">
      <c r="B2283" s="2031">
        <v>2281.0</v>
      </c>
      <c r="C2283" s="2031">
        <v>274.0</v>
      </c>
      <c r="D2283" s="2031">
        <v>547.0</v>
      </c>
      <c r="E2283" s="2031">
        <v>365.0</v>
      </c>
      <c r="F2283" s="2031">
        <v>365.0</v>
      </c>
      <c r="G2283" s="2031">
        <v>365.0</v>
      </c>
      <c r="H2283" s="2031">
        <v>365.0</v>
      </c>
    </row>
    <row r="2284">
      <c r="B2284" s="2031">
        <v>2282.0</v>
      </c>
      <c r="C2284" s="2031">
        <v>274.0</v>
      </c>
      <c r="D2284" s="2031">
        <v>548.0</v>
      </c>
      <c r="E2284" s="2031">
        <v>365.0</v>
      </c>
      <c r="F2284" s="2031">
        <v>365.0</v>
      </c>
      <c r="G2284" s="2031">
        <v>365.0</v>
      </c>
      <c r="H2284" s="2031">
        <v>365.0</v>
      </c>
    </row>
    <row r="2285">
      <c r="B2285" s="2031">
        <v>2283.0</v>
      </c>
      <c r="C2285" s="2031">
        <v>274.0</v>
      </c>
      <c r="D2285" s="2031">
        <v>547.0</v>
      </c>
      <c r="E2285" s="2031">
        <v>365.0</v>
      </c>
      <c r="F2285" s="2031">
        <v>365.0</v>
      </c>
      <c r="G2285" s="2031">
        <v>366.0</v>
      </c>
      <c r="H2285" s="2031">
        <v>366.0</v>
      </c>
    </row>
    <row r="2286">
      <c r="B2286" s="2031">
        <v>2284.0</v>
      </c>
      <c r="C2286" s="2031">
        <v>274.0</v>
      </c>
      <c r="D2286" s="2031">
        <v>548.0</v>
      </c>
      <c r="E2286" s="2031">
        <v>365.0</v>
      </c>
      <c r="F2286" s="2031">
        <v>365.0</v>
      </c>
      <c r="G2286" s="2031">
        <v>366.0</v>
      </c>
      <c r="H2286" s="2031">
        <v>366.0</v>
      </c>
    </row>
    <row r="2287">
      <c r="B2287" s="2031">
        <v>2285.0</v>
      </c>
      <c r="C2287" s="2031">
        <v>274.0</v>
      </c>
      <c r="D2287" s="2031">
        <v>549.0</v>
      </c>
      <c r="E2287" s="2031">
        <v>365.0</v>
      </c>
      <c r="F2287" s="2031">
        <v>365.0</v>
      </c>
      <c r="G2287" s="2031">
        <v>366.0</v>
      </c>
      <c r="H2287" s="2031">
        <v>366.0</v>
      </c>
    </row>
    <row r="2288">
      <c r="B2288" s="2031">
        <v>2286.0</v>
      </c>
      <c r="C2288" s="2031">
        <v>274.0</v>
      </c>
      <c r="D2288" s="2031">
        <v>548.0</v>
      </c>
      <c r="E2288" s="2031">
        <v>366.0</v>
      </c>
      <c r="F2288" s="2031">
        <v>366.0</v>
      </c>
      <c r="G2288" s="2031">
        <v>366.0</v>
      </c>
      <c r="H2288" s="2031">
        <v>366.0</v>
      </c>
    </row>
    <row r="2289">
      <c r="B2289" s="2031">
        <v>2287.0</v>
      </c>
      <c r="C2289" s="2031">
        <v>274.0</v>
      </c>
      <c r="D2289" s="2031">
        <v>549.0</v>
      </c>
      <c r="E2289" s="2031">
        <v>366.0</v>
      </c>
      <c r="F2289" s="2031">
        <v>366.0</v>
      </c>
      <c r="G2289" s="2031">
        <v>366.0</v>
      </c>
      <c r="H2289" s="2031">
        <v>366.0</v>
      </c>
    </row>
    <row r="2290">
      <c r="B2290" s="2031">
        <v>2288.0</v>
      </c>
      <c r="C2290" s="2031">
        <v>275.0</v>
      </c>
      <c r="D2290" s="2031">
        <v>549.0</v>
      </c>
      <c r="E2290" s="2031">
        <v>366.0</v>
      </c>
      <c r="F2290" s="2031">
        <v>366.0</v>
      </c>
      <c r="G2290" s="2031">
        <v>366.0</v>
      </c>
      <c r="H2290" s="2031">
        <v>366.0</v>
      </c>
    </row>
    <row r="2291">
      <c r="B2291" s="2031">
        <v>2289.0</v>
      </c>
      <c r="C2291" s="2031">
        <v>275.0</v>
      </c>
      <c r="D2291" s="2031">
        <v>550.0</v>
      </c>
      <c r="E2291" s="2031">
        <v>366.0</v>
      </c>
      <c r="F2291" s="2031">
        <v>366.0</v>
      </c>
      <c r="G2291" s="2031">
        <v>366.0</v>
      </c>
      <c r="H2291" s="2031">
        <v>366.0</v>
      </c>
    </row>
    <row r="2292">
      <c r="B2292" s="2031">
        <v>2290.0</v>
      </c>
      <c r="C2292" s="2031">
        <v>275.0</v>
      </c>
      <c r="D2292" s="2031">
        <v>549.0</v>
      </c>
      <c r="E2292" s="2031">
        <v>366.0</v>
      </c>
      <c r="F2292" s="2031">
        <v>366.0</v>
      </c>
      <c r="G2292" s="2031">
        <v>367.0</v>
      </c>
      <c r="H2292" s="2031">
        <v>367.0</v>
      </c>
    </row>
    <row r="2293">
      <c r="B2293" s="2031">
        <v>2291.0</v>
      </c>
      <c r="C2293" s="2031">
        <v>275.0</v>
      </c>
      <c r="D2293" s="2031">
        <v>550.0</v>
      </c>
      <c r="E2293" s="2031">
        <v>366.0</v>
      </c>
      <c r="F2293" s="2031">
        <v>366.0</v>
      </c>
      <c r="G2293" s="2031">
        <v>367.0</v>
      </c>
      <c r="H2293" s="2031">
        <v>367.0</v>
      </c>
    </row>
    <row r="2294">
      <c r="B2294" s="2031">
        <v>2292.0</v>
      </c>
      <c r="C2294" s="2031">
        <v>275.0</v>
      </c>
      <c r="D2294" s="2031">
        <v>551.0</v>
      </c>
      <c r="E2294" s="2031">
        <v>366.0</v>
      </c>
      <c r="F2294" s="2031">
        <v>366.0</v>
      </c>
      <c r="G2294" s="2031">
        <v>367.0</v>
      </c>
      <c r="H2294" s="2031">
        <v>367.0</v>
      </c>
    </row>
    <row r="2295">
      <c r="B2295" s="2031">
        <v>2293.0</v>
      </c>
      <c r="C2295" s="2031">
        <v>275.0</v>
      </c>
      <c r="D2295" s="2031">
        <v>550.0</v>
      </c>
      <c r="E2295" s="2031">
        <v>367.0</v>
      </c>
      <c r="F2295" s="2031">
        <v>367.0</v>
      </c>
      <c r="G2295" s="2031">
        <v>367.0</v>
      </c>
      <c r="H2295" s="2031">
        <v>367.0</v>
      </c>
    </row>
    <row r="2296">
      <c r="B2296" s="2031">
        <v>2294.0</v>
      </c>
      <c r="C2296" s="2031">
        <v>275.0</v>
      </c>
      <c r="D2296" s="2031">
        <v>551.0</v>
      </c>
      <c r="E2296" s="2031">
        <v>367.0</v>
      </c>
      <c r="F2296" s="2031">
        <v>367.0</v>
      </c>
      <c r="G2296" s="2031">
        <v>367.0</v>
      </c>
      <c r="H2296" s="2031">
        <v>367.0</v>
      </c>
    </row>
    <row r="2297">
      <c r="B2297" s="2031">
        <v>2295.0</v>
      </c>
      <c r="C2297" s="2031">
        <v>276.0</v>
      </c>
      <c r="D2297" s="2031">
        <v>551.0</v>
      </c>
      <c r="E2297" s="2031">
        <v>367.0</v>
      </c>
      <c r="F2297" s="2031">
        <v>367.0</v>
      </c>
      <c r="G2297" s="2031">
        <v>367.0</v>
      </c>
      <c r="H2297" s="2031">
        <v>367.0</v>
      </c>
    </row>
    <row r="2298">
      <c r="B2298" s="2031">
        <v>2296.0</v>
      </c>
      <c r="C2298" s="2031">
        <v>275.0</v>
      </c>
      <c r="D2298" s="2031">
        <v>551.0</v>
      </c>
      <c r="E2298" s="2031">
        <v>367.0</v>
      </c>
      <c r="F2298" s="2031">
        <v>367.0</v>
      </c>
      <c r="G2298" s="2031">
        <v>368.0</v>
      </c>
      <c r="H2298" s="2031">
        <v>368.0</v>
      </c>
    </row>
    <row r="2299">
      <c r="B2299" s="2031">
        <v>2297.0</v>
      </c>
      <c r="C2299" s="2031">
        <v>276.0</v>
      </c>
      <c r="D2299" s="2031">
        <v>551.0</v>
      </c>
      <c r="E2299" s="2031">
        <v>367.0</v>
      </c>
      <c r="F2299" s="2031">
        <v>367.0</v>
      </c>
      <c r="G2299" s="2031">
        <v>368.0</v>
      </c>
      <c r="H2299" s="2031">
        <v>368.0</v>
      </c>
    </row>
    <row r="2300">
      <c r="B2300" s="2031">
        <v>2298.0</v>
      </c>
      <c r="C2300" s="2031">
        <v>275.0</v>
      </c>
      <c r="D2300" s="2031">
        <v>551.0</v>
      </c>
      <c r="E2300" s="2031">
        <v>368.0</v>
      </c>
      <c r="F2300" s="2031">
        <v>368.0</v>
      </c>
      <c r="G2300" s="2031">
        <v>368.0</v>
      </c>
      <c r="H2300" s="2031">
        <v>368.0</v>
      </c>
    </row>
    <row r="2301">
      <c r="B2301" s="2031">
        <v>2299.0</v>
      </c>
      <c r="C2301" s="2031">
        <v>276.0</v>
      </c>
      <c r="D2301" s="2031">
        <v>551.0</v>
      </c>
      <c r="E2301" s="2031">
        <v>368.0</v>
      </c>
      <c r="F2301" s="2031">
        <v>368.0</v>
      </c>
      <c r="G2301" s="2031">
        <v>368.0</v>
      </c>
      <c r="H2301" s="2031">
        <v>368.0</v>
      </c>
    </row>
    <row r="2302">
      <c r="B2302" s="2031">
        <v>2300.0</v>
      </c>
      <c r="C2302" s="2031">
        <v>276.0</v>
      </c>
      <c r="D2302" s="2031">
        <v>552.0</v>
      </c>
      <c r="E2302" s="2031">
        <v>368.0</v>
      </c>
      <c r="F2302" s="2031">
        <v>368.0</v>
      </c>
      <c r="G2302" s="2031">
        <v>368.0</v>
      </c>
      <c r="H2302" s="2031">
        <v>368.0</v>
      </c>
    </row>
    <row r="2303">
      <c r="B2303" s="2031">
        <v>2301.0</v>
      </c>
      <c r="C2303" s="2031">
        <v>276.0</v>
      </c>
      <c r="D2303" s="2031">
        <v>553.0</v>
      </c>
      <c r="E2303" s="2031">
        <v>368.0</v>
      </c>
      <c r="F2303" s="2031">
        <v>368.0</v>
      </c>
      <c r="G2303" s="2031">
        <v>368.0</v>
      </c>
      <c r="H2303" s="2031">
        <v>368.0</v>
      </c>
    </row>
    <row r="2304">
      <c r="B2304" s="2031">
        <v>2302.0</v>
      </c>
      <c r="C2304" s="2031">
        <v>277.0</v>
      </c>
      <c r="D2304" s="2031">
        <v>553.0</v>
      </c>
      <c r="E2304" s="2031">
        <v>368.0</v>
      </c>
      <c r="F2304" s="2031">
        <v>368.0</v>
      </c>
      <c r="G2304" s="2031">
        <v>368.0</v>
      </c>
      <c r="H2304" s="2031">
        <v>368.0</v>
      </c>
    </row>
    <row r="2305">
      <c r="B2305" s="2031">
        <v>2303.0</v>
      </c>
      <c r="C2305" s="2031">
        <v>276.0</v>
      </c>
      <c r="D2305" s="2031">
        <v>553.0</v>
      </c>
      <c r="E2305" s="2031">
        <v>368.0</v>
      </c>
      <c r="F2305" s="2031">
        <v>368.0</v>
      </c>
      <c r="G2305" s="2031">
        <v>369.0</v>
      </c>
      <c r="H2305" s="2031">
        <v>369.0</v>
      </c>
    </row>
    <row r="2306">
      <c r="B2306" s="2031">
        <v>2304.0</v>
      </c>
      <c r="C2306" s="2031">
        <v>277.0</v>
      </c>
      <c r="D2306" s="2031">
        <v>553.0</v>
      </c>
      <c r="E2306" s="2031">
        <v>368.0</v>
      </c>
      <c r="F2306" s="2031">
        <v>368.0</v>
      </c>
      <c r="G2306" s="2031">
        <v>369.0</v>
      </c>
      <c r="H2306" s="2031">
        <v>369.0</v>
      </c>
    </row>
    <row r="2307">
      <c r="B2307" s="2031">
        <v>2305.0</v>
      </c>
      <c r="C2307" s="2031">
        <v>276.0</v>
      </c>
      <c r="D2307" s="2031">
        <v>553.0</v>
      </c>
      <c r="E2307" s="2031">
        <v>369.0</v>
      </c>
      <c r="F2307" s="2031">
        <v>369.0</v>
      </c>
      <c r="G2307" s="2031">
        <v>369.0</v>
      </c>
      <c r="H2307" s="2031">
        <v>369.0</v>
      </c>
    </row>
    <row r="2308">
      <c r="B2308" s="2031">
        <v>2306.0</v>
      </c>
      <c r="C2308" s="2031">
        <v>277.0</v>
      </c>
      <c r="D2308" s="2031">
        <v>553.0</v>
      </c>
      <c r="E2308" s="2031">
        <v>369.0</v>
      </c>
      <c r="F2308" s="2031">
        <v>369.0</v>
      </c>
      <c r="G2308" s="2031">
        <v>369.0</v>
      </c>
      <c r="H2308" s="2031">
        <v>369.0</v>
      </c>
    </row>
    <row r="2309">
      <c r="B2309" s="2031">
        <v>2307.0</v>
      </c>
      <c r="C2309" s="2031">
        <v>277.0</v>
      </c>
      <c r="D2309" s="2031">
        <v>554.0</v>
      </c>
      <c r="E2309" s="2031">
        <v>369.0</v>
      </c>
      <c r="F2309" s="2031">
        <v>369.0</v>
      </c>
      <c r="G2309" s="2031">
        <v>369.0</v>
      </c>
      <c r="H2309" s="2031">
        <v>369.0</v>
      </c>
    </row>
    <row r="2310">
      <c r="B2310" s="2031">
        <v>2308.0</v>
      </c>
      <c r="C2310" s="2031">
        <v>277.0</v>
      </c>
      <c r="D2310" s="2031">
        <v>553.0</v>
      </c>
      <c r="E2310" s="2031">
        <v>369.0</v>
      </c>
      <c r="F2310" s="2031">
        <v>369.0</v>
      </c>
      <c r="G2310" s="2031">
        <v>370.0</v>
      </c>
      <c r="H2310" s="2031">
        <v>370.0</v>
      </c>
    </row>
    <row r="2311">
      <c r="B2311" s="2031">
        <v>2309.0</v>
      </c>
      <c r="C2311" s="2031">
        <v>277.0</v>
      </c>
      <c r="D2311" s="2031">
        <v>554.0</v>
      </c>
      <c r="E2311" s="2031">
        <v>369.0</v>
      </c>
      <c r="F2311" s="2031">
        <v>369.0</v>
      </c>
      <c r="G2311" s="2031">
        <v>370.0</v>
      </c>
      <c r="H2311" s="2031">
        <v>370.0</v>
      </c>
    </row>
    <row r="2312">
      <c r="B2312" s="2031">
        <v>2310.0</v>
      </c>
      <c r="C2312" s="2031">
        <v>277.0</v>
      </c>
      <c r="D2312" s="2031">
        <v>555.0</v>
      </c>
      <c r="E2312" s="2031">
        <v>369.0</v>
      </c>
      <c r="F2312" s="2031">
        <v>369.0</v>
      </c>
      <c r="G2312" s="2031">
        <v>370.0</v>
      </c>
      <c r="H2312" s="2031">
        <v>370.0</v>
      </c>
    </row>
    <row r="2313">
      <c r="B2313" s="2031">
        <v>2311.0</v>
      </c>
      <c r="C2313" s="2031">
        <v>277.0</v>
      </c>
      <c r="D2313" s="2031">
        <v>554.0</v>
      </c>
      <c r="E2313" s="2031">
        <v>370.0</v>
      </c>
      <c r="F2313" s="2031">
        <v>370.0</v>
      </c>
      <c r="G2313" s="2031">
        <v>370.0</v>
      </c>
      <c r="H2313" s="2031">
        <v>370.0</v>
      </c>
    </row>
    <row r="2314">
      <c r="B2314" s="2031">
        <v>2312.0</v>
      </c>
      <c r="C2314" s="2031">
        <v>277.0</v>
      </c>
      <c r="D2314" s="2031">
        <v>555.0</v>
      </c>
      <c r="E2314" s="2031">
        <v>370.0</v>
      </c>
      <c r="F2314" s="2031">
        <v>370.0</v>
      </c>
      <c r="G2314" s="2031">
        <v>370.0</v>
      </c>
      <c r="H2314" s="2031">
        <v>370.0</v>
      </c>
    </row>
    <row r="2315">
      <c r="B2315" s="2031">
        <v>2313.0</v>
      </c>
      <c r="C2315" s="2031">
        <v>278.0</v>
      </c>
      <c r="D2315" s="2031">
        <v>555.0</v>
      </c>
      <c r="E2315" s="2031">
        <v>370.0</v>
      </c>
      <c r="F2315" s="2031">
        <v>370.0</v>
      </c>
      <c r="G2315" s="2031">
        <v>370.0</v>
      </c>
      <c r="H2315" s="2031">
        <v>370.0</v>
      </c>
    </row>
    <row r="2316">
      <c r="B2316" s="2031">
        <v>2314.0</v>
      </c>
      <c r="C2316" s="2031">
        <v>278.0</v>
      </c>
      <c r="D2316" s="2031">
        <v>556.0</v>
      </c>
      <c r="E2316" s="2031">
        <v>370.0</v>
      </c>
      <c r="F2316" s="2031">
        <v>370.0</v>
      </c>
      <c r="G2316" s="2031">
        <v>370.0</v>
      </c>
      <c r="H2316" s="2031">
        <v>370.0</v>
      </c>
    </row>
    <row r="2317">
      <c r="B2317" s="2031">
        <v>2315.0</v>
      </c>
      <c r="C2317" s="2031">
        <v>278.0</v>
      </c>
      <c r="D2317" s="2031">
        <v>555.0</v>
      </c>
      <c r="E2317" s="2031">
        <v>370.0</v>
      </c>
      <c r="F2317" s="2031">
        <v>370.0</v>
      </c>
      <c r="G2317" s="2031">
        <v>371.0</v>
      </c>
      <c r="H2317" s="2031">
        <v>371.0</v>
      </c>
    </row>
    <row r="2318">
      <c r="B2318" s="2031">
        <v>2316.0</v>
      </c>
      <c r="C2318" s="2031">
        <v>278.0</v>
      </c>
      <c r="D2318" s="2031">
        <v>556.0</v>
      </c>
      <c r="E2318" s="2031">
        <v>370.0</v>
      </c>
      <c r="F2318" s="2031">
        <v>370.0</v>
      </c>
      <c r="G2318" s="2031">
        <v>371.0</v>
      </c>
      <c r="H2318" s="2031">
        <v>371.0</v>
      </c>
    </row>
    <row r="2319">
      <c r="B2319" s="2031">
        <v>2317.0</v>
      </c>
      <c r="C2319" s="2031">
        <v>278.0</v>
      </c>
      <c r="D2319" s="2031">
        <v>557.0</v>
      </c>
      <c r="E2319" s="2031">
        <v>370.0</v>
      </c>
      <c r="F2319" s="2031">
        <v>370.0</v>
      </c>
      <c r="G2319" s="2031">
        <v>371.0</v>
      </c>
      <c r="H2319" s="2031">
        <v>371.0</v>
      </c>
    </row>
    <row r="2320">
      <c r="B2320" s="2031">
        <v>2318.0</v>
      </c>
      <c r="C2320" s="2031">
        <v>278.0</v>
      </c>
      <c r="D2320" s="2031">
        <v>556.0</v>
      </c>
      <c r="E2320" s="2031">
        <v>371.0</v>
      </c>
      <c r="F2320" s="2031">
        <v>371.0</v>
      </c>
      <c r="G2320" s="2031">
        <v>371.0</v>
      </c>
      <c r="H2320" s="2031">
        <v>371.0</v>
      </c>
    </row>
    <row r="2321">
      <c r="B2321" s="2031">
        <v>2319.0</v>
      </c>
      <c r="C2321" s="2031">
        <v>278.0</v>
      </c>
      <c r="D2321" s="2031">
        <v>557.0</v>
      </c>
      <c r="E2321" s="2031">
        <v>371.0</v>
      </c>
      <c r="F2321" s="2031">
        <v>371.0</v>
      </c>
      <c r="G2321" s="2031">
        <v>371.0</v>
      </c>
      <c r="H2321" s="2031">
        <v>371.0</v>
      </c>
    </row>
    <row r="2322">
      <c r="B2322" s="2031">
        <v>2320.0</v>
      </c>
      <c r="C2322" s="2031">
        <v>279.0</v>
      </c>
      <c r="D2322" s="2031">
        <v>557.0</v>
      </c>
      <c r="E2322" s="2031">
        <v>371.0</v>
      </c>
      <c r="F2322" s="2031">
        <v>371.0</v>
      </c>
      <c r="G2322" s="2031">
        <v>371.0</v>
      </c>
      <c r="H2322" s="2031">
        <v>371.0</v>
      </c>
    </row>
    <row r="2323">
      <c r="B2323" s="2031">
        <v>2321.0</v>
      </c>
      <c r="C2323" s="2031">
        <v>278.0</v>
      </c>
      <c r="D2323" s="2031">
        <v>557.0</v>
      </c>
      <c r="E2323" s="2031">
        <v>371.0</v>
      </c>
      <c r="F2323" s="2031">
        <v>371.0</v>
      </c>
      <c r="G2323" s="2031">
        <v>372.0</v>
      </c>
      <c r="H2323" s="2031">
        <v>372.0</v>
      </c>
    </row>
    <row r="2324">
      <c r="B2324" s="2031">
        <v>2322.0</v>
      </c>
      <c r="C2324" s="2031">
        <v>279.0</v>
      </c>
      <c r="D2324" s="2031">
        <v>557.0</v>
      </c>
      <c r="E2324" s="2031">
        <v>371.0</v>
      </c>
      <c r="F2324" s="2031">
        <v>371.0</v>
      </c>
      <c r="G2324" s="2031">
        <v>372.0</v>
      </c>
      <c r="H2324" s="2031">
        <v>372.0</v>
      </c>
    </row>
    <row r="2325">
      <c r="B2325" s="2031">
        <v>2323.0</v>
      </c>
      <c r="C2325" s="2031">
        <v>278.0</v>
      </c>
      <c r="D2325" s="2031">
        <v>557.0</v>
      </c>
      <c r="E2325" s="2031">
        <v>372.0</v>
      </c>
      <c r="F2325" s="2031">
        <v>372.0</v>
      </c>
      <c r="G2325" s="2031">
        <v>372.0</v>
      </c>
      <c r="H2325" s="2031">
        <v>372.0</v>
      </c>
    </row>
    <row r="2326">
      <c r="B2326" s="2031">
        <v>2324.0</v>
      </c>
      <c r="C2326" s="2031">
        <v>279.0</v>
      </c>
      <c r="D2326" s="2031">
        <v>557.0</v>
      </c>
      <c r="E2326" s="2031">
        <v>372.0</v>
      </c>
      <c r="F2326" s="2031">
        <v>372.0</v>
      </c>
      <c r="G2326" s="2031">
        <v>372.0</v>
      </c>
      <c r="H2326" s="2031">
        <v>372.0</v>
      </c>
    </row>
    <row r="2327">
      <c r="B2327" s="2031">
        <v>2325.0</v>
      </c>
      <c r="C2327" s="2031">
        <v>279.0</v>
      </c>
      <c r="D2327" s="2031">
        <v>558.0</v>
      </c>
      <c r="E2327" s="2031">
        <v>372.0</v>
      </c>
      <c r="F2327" s="2031">
        <v>372.0</v>
      </c>
      <c r="G2327" s="2031">
        <v>372.0</v>
      </c>
      <c r="H2327" s="2031">
        <v>372.0</v>
      </c>
    </row>
    <row r="2328">
      <c r="B2328" s="2031">
        <v>2326.0</v>
      </c>
      <c r="C2328" s="2031">
        <v>279.0</v>
      </c>
      <c r="D2328" s="2031">
        <v>559.0</v>
      </c>
      <c r="E2328" s="2031">
        <v>372.0</v>
      </c>
      <c r="F2328" s="2031">
        <v>372.0</v>
      </c>
      <c r="G2328" s="2031">
        <v>372.0</v>
      </c>
      <c r="H2328" s="2031">
        <v>372.0</v>
      </c>
    </row>
    <row r="2329">
      <c r="B2329" s="2031">
        <v>2327.0</v>
      </c>
      <c r="C2329" s="2031">
        <v>280.0</v>
      </c>
      <c r="D2329" s="2031">
        <v>559.0</v>
      </c>
      <c r="E2329" s="2031">
        <v>372.0</v>
      </c>
      <c r="F2329" s="2031">
        <v>372.0</v>
      </c>
      <c r="G2329" s="2031">
        <v>372.0</v>
      </c>
      <c r="H2329" s="2031">
        <v>372.0</v>
      </c>
    </row>
    <row r="2330">
      <c r="B2330" s="2031">
        <v>2328.0</v>
      </c>
      <c r="C2330" s="2031">
        <v>279.0</v>
      </c>
      <c r="D2330" s="2031">
        <v>559.0</v>
      </c>
      <c r="E2330" s="2031">
        <v>372.0</v>
      </c>
      <c r="F2330" s="2031">
        <v>372.0</v>
      </c>
      <c r="G2330" s="2031">
        <v>373.0</v>
      </c>
      <c r="H2330" s="2031">
        <v>373.0</v>
      </c>
    </row>
    <row r="2331">
      <c r="B2331" s="2031">
        <v>2329.0</v>
      </c>
      <c r="C2331" s="2031">
        <v>280.0</v>
      </c>
      <c r="D2331" s="2031">
        <v>559.0</v>
      </c>
      <c r="E2331" s="2031">
        <v>372.0</v>
      </c>
      <c r="F2331" s="2031">
        <v>372.0</v>
      </c>
      <c r="G2331" s="2031">
        <v>373.0</v>
      </c>
      <c r="H2331" s="2031">
        <v>373.0</v>
      </c>
    </row>
    <row r="2332">
      <c r="B2332" s="2031">
        <v>2330.0</v>
      </c>
      <c r="C2332" s="2031">
        <v>279.0</v>
      </c>
      <c r="D2332" s="2031">
        <v>559.0</v>
      </c>
      <c r="E2332" s="2031">
        <v>373.0</v>
      </c>
      <c r="F2332" s="2031">
        <v>373.0</v>
      </c>
      <c r="G2332" s="2031">
        <v>373.0</v>
      </c>
      <c r="H2332" s="2031">
        <v>373.0</v>
      </c>
    </row>
    <row r="2333">
      <c r="B2333" s="2031">
        <v>2331.0</v>
      </c>
      <c r="C2333" s="2031">
        <v>280.0</v>
      </c>
      <c r="D2333" s="2031">
        <v>559.0</v>
      </c>
      <c r="E2333" s="2031">
        <v>373.0</v>
      </c>
      <c r="F2333" s="2031">
        <v>373.0</v>
      </c>
      <c r="G2333" s="2031">
        <v>373.0</v>
      </c>
      <c r="H2333" s="2031">
        <v>373.0</v>
      </c>
    </row>
    <row r="2334">
      <c r="B2334" s="2031">
        <v>2332.0</v>
      </c>
      <c r="C2334" s="2031">
        <v>280.0</v>
      </c>
      <c r="D2334" s="2031">
        <v>560.0</v>
      </c>
      <c r="E2334" s="2031">
        <v>373.0</v>
      </c>
      <c r="F2334" s="2031">
        <v>373.0</v>
      </c>
      <c r="G2334" s="2031">
        <v>373.0</v>
      </c>
      <c r="H2334" s="2031">
        <v>373.0</v>
      </c>
    </row>
    <row r="2335">
      <c r="B2335" s="2031">
        <v>2333.0</v>
      </c>
      <c r="C2335" s="2031">
        <v>280.0</v>
      </c>
      <c r="D2335" s="2031">
        <v>559.0</v>
      </c>
      <c r="E2335" s="2031">
        <v>373.0</v>
      </c>
      <c r="F2335" s="2031">
        <v>373.0</v>
      </c>
      <c r="G2335" s="2031">
        <v>374.0</v>
      </c>
      <c r="H2335" s="2031">
        <v>374.0</v>
      </c>
    </row>
    <row r="2336">
      <c r="B2336" s="2031">
        <v>2334.0</v>
      </c>
      <c r="C2336" s="2031">
        <v>280.0</v>
      </c>
      <c r="D2336" s="2031">
        <v>560.0</v>
      </c>
      <c r="E2336" s="2031">
        <v>373.0</v>
      </c>
      <c r="F2336" s="2031">
        <v>373.0</v>
      </c>
      <c r="G2336" s="2031">
        <v>374.0</v>
      </c>
      <c r="H2336" s="2031">
        <v>374.0</v>
      </c>
    </row>
    <row r="2337">
      <c r="B2337" s="2031">
        <v>2335.0</v>
      </c>
      <c r="C2337" s="2031">
        <v>280.0</v>
      </c>
      <c r="D2337" s="2031">
        <v>561.0</v>
      </c>
      <c r="E2337" s="2031">
        <v>373.0</v>
      </c>
      <c r="F2337" s="2031">
        <v>373.0</v>
      </c>
      <c r="G2337" s="2031">
        <v>374.0</v>
      </c>
      <c r="H2337" s="2031">
        <v>374.0</v>
      </c>
    </row>
    <row r="2338">
      <c r="B2338" s="2031">
        <v>2336.0</v>
      </c>
      <c r="C2338" s="2031">
        <v>280.0</v>
      </c>
      <c r="D2338" s="2031">
        <v>560.0</v>
      </c>
      <c r="E2338" s="2031">
        <v>374.0</v>
      </c>
      <c r="F2338" s="2031">
        <v>374.0</v>
      </c>
      <c r="G2338" s="2031">
        <v>374.0</v>
      </c>
      <c r="H2338" s="2031">
        <v>374.0</v>
      </c>
    </row>
    <row r="2339">
      <c r="B2339" s="2031">
        <v>2337.0</v>
      </c>
      <c r="C2339" s="2031">
        <v>280.0</v>
      </c>
      <c r="D2339" s="2031">
        <v>561.0</v>
      </c>
      <c r="E2339" s="2031">
        <v>374.0</v>
      </c>
      <c r="F2339" s="2031">
        <v>374.0</v>
      </c>
      <c r="G2339" s="2031">
        <v>374.0</v>
      </c>
      <c r="H2339" s="2031">
        <v>374.0</v>
      </c>
    </row>
    <row r="2340">
      <c r="B2340" s="2031">
        <v>2338.0</v>
      </c>
      <c r="C2340" s="2031">
        <v>281.0</v>
      </c>
      <c r="D2340" s="2031">
        <v>561.0</v>
      </c>
      <c r="E2340" s="2031">
        <v>374.0</v>
      </c>
      <c r="F2340" s="2031">
        <v>374.0</v>
      </c>
      <c r="G2340" s="2031">
        <v>374.0</v>
      </c>
      <c r="H2340" s="2031">
        <v>374.0</v>
      </c>
    </row>
    <row r="2341">
      <c r="B2341" s="2031">
        <v>2339.0</v>
      </c>
      <c r="C2341" s="2031">
        <v>281.0</v>
      </c>
      <c r="D2341" s="2031">
        <v>562.0</v>
      </c>
      <c r="E2341" s="2031">
        <v>374.0</v>
      </c>
      <c r="F2341" s="2031">
        <v>374.0</v>
      </c>
      <c r="G2341" s="2031">
        <v>374.0</v>
      </c>
      <c r="H2341" s="2031">
        <v>374.0</v>
      </c>
    </row>
    <row r="2342">
      <c r="B2342" s="2031">
        <v>2340.0</v>
      </c>
      <c r="C2342" s="2031">
        <v>281.0</v>
      </c>
      <c r="D2342" s="2031">
        <v>561.0</v>
      </c>
      <c r="E2342" s="2031">
        <v>374.0</v>
      </c>
      <c r="F2342" s="2031">
        <v>374.0</v>
      </c>
      <c r="G2342" s="2031">
        <v>375.0</v>
      </c>
      <c r="H2342" s="2031">
        <v>375.0</v>
      </c>
    </row>
    <row r="2343">
      <c r="B2343" s="2031">
        <v>2341.0</v>
      </c>
      <c r="C2343" s="2031">
        <v>281.0</v>
      </c>
      <c r="D2343" s="2031">
        <v>562.0</v>
      </c>
      <c r="E2343" s="2031">
        <v>374.0</v>
      </c>
      <c r="F2343" s="2031">
        <v>374.0</v>
      </c>
      <c r="G2343" s="2031">
        <v>375.0</v>
      </c>
      <c r="H2343" s="2031">
        <v>375.0</v>
      </c>
    </row>
    <row r="2344">
      <c r="B2344" s="2031">
        <v>2342.0</v>
      </c>
      <c r="C2344" s="2031">
        <v>281.0</v>
      </c>
      <c r="D2344" s="2031">
        <v>563.0</v>
      </c>
      <c r="E2344" s="2031">
        <v>374.0</v>
      </c>
      <c r="F2344" s="2031">
        <v>374.0</v>
      </c>
      <c r="G2344" s="2031">
        <v>375.0</v>
      </c>
      <c r="H2344" s="2031">
        <v>375.0</v>
      </c>
    </row>
    <row r="2345">
      <c r="B2345" s="2031">
        <v>2343.0</v>
      </c>
      <c r="C2345" s="2031">
        <v>281.0</v>
      </c>
      <c r="D2345" s="2031">
        <v>562.0</v>
      </c>
      <c r="E2345" s="2031">
        <v>375.0</v>
      </c>
      <c r="F2345" s="2031">
        <v>375.0</v>
      </c>
      <c r="G2345" s="2031">
        <v>375.0</v>
      </c>
      <c r="H2345" s="2031">
        <v>375.0</v>
      </c>
    </row>
    <row r="2346">
      <c r="B2346" s="2031">
        <v>2344.0</v>
      </c>
      <c r="C2346" s="2031">
        <v>281.0</v>
      </c>
      <c r="D2346" s="2031">
        <v>563.0</v>
      </c>
      <c r="E2346" s="2031">
        <v>375.0</v>
      </c>
      <c r="F2346" s="2031">
        <v>375.0</v>
      </c>
      <c r="G2346" s="2031">
        <v>375.0</v>
      </c>
      <c r="H2346" s="2031">
        <v>375.0</v>
      </c>
    </row>
    <row r="2347">
      <c r="B2347" s="2031">
        <v>2345.0</v>
      </c>
      <c r="C2347" s="2031">
        <v>282.0</v>
      </c>
      <c r="D2347" s="2031">
        <v>563.0</v>
      </c>
      <c r="E2347" s="2031">
        <v>375.0</v>
      </c>
      <c r="F2347" s="2031">
        <v>375.0</v>
      </c>
      <c r="G2347" s="2031">
        <v>375.0</v>
      </c>
      <c r="H2347" s="2031">
        <v>375.0</v>
      </c>
    </row>
    <row r="2348">
      <c r="B2348" s="2031">
        <v>2346.0</v>
      </c>
      <c r="C2348" s="2031">
        <v>281.0</v>
      </c>
      <c r="D2348" s="2031">
        <v>563.0</v>
      </c>
      <c r="E2348" s="2031">
        <v>375.0</v>
      </c>
      <c r="F2348" s="2031">
        <v>375.0</v>
      </c>
      <c r="G2348" s="2031">
        <v>376.0</v>
      </c>
      <c r="H2348" s="2031">
        <v>376.0</v>
      </c>
    </row>
    <row r="2349">
      <c r="B2349" s="2031">
        <v>2347.0</v>
      </c>
      <c r="C2349" s="2031">
        <v>282.0</v>
      </c>
      <c r="D2349" s="2031">
        <v>563.0</v>
      </c>
      <c r="E2349" s="2031">
        <v>375.0</v>
      </c>
      <c r="F2349" s="2031">
        <v>375.0</v>
      </c>
      <c r="G2349" s="2031">
        <v>376.0</v>
      </c>
      <c r="H2349" s="2031">
        <v>376.0</v>
      </c>
    </row>
    <row r="2350">
      <c r="B2350" s="2031">
        <v>2348.0</v>
      </c>
      <c r="C2350" s="2031">
        <v>281.0</v>
      </c>
      <c r="D2350" s="2031">
        <v>563.0</v>
      </c>
      <c r="E2350" s="2031">
        <v>376.0</v>
      </c>
      <c r="F2350" s="2031">
        <v>376.0</v>
      </c>
      <c r="G2350" s="2031">
        <v>376.0</v>
      </c>
      <c r="H2350" s="2031">
        <v>376.0</v>
      </c>
    </row>
    <row r="2351">
      <c r="B2351" s="2031">
        <v>2349.0</v>
      </c>
      <c r="C2351" s="2031">
        <v>282.0</v>
      </c>
      <c r="D2351" s="2031">
        <v>563.0</v>
      </c>
      <c r="E2351" s="2031">
        <v>376.0</v>
      </c>
      <c r="F2351" s="2031">
        <v>376.0</v>
      </c>
      <c r="G2351" s="2031">
        <v>376.0</v>
      </c>
      <c r="H2351" s="2031">
        <v>376.0</v>
      </c>
    </row>
    <row r="2352">
      <c r="B2352" s="2031">
        <v>2350.0</v>
      </c>
      <c r="C2352" s="2031">
        <v>282.0</v>
      </c>
      <c r="D2352" s="2031">
        <v>564.0</v>
      </c>
      <c r="E2352" s="2031">
        <v>376.0</v>
      </c>
      <c r="F2352" s="2031">
        <v>376.0</v>
      </c>
      <c r="G2352" s="2031">
        <v>376.0</v>
      </c>
      <c r="H2352" s="2031">
        <v>376.0</v>
      </c>
    </row>
    <row r="2353">
      <c r="B2353" s="2031">
        <v>2351.0</v>
      </c>
      <c r="C2353" s="2031">
        <v>282.0</v>
      </c>
      <c r="D2353" s="2031">
        <v>565.0</v>
      </c>
      <c r="E2353" s="2031">
        <v>376.0</v>
      </c>
      <c r="F2353" s="2031">
        <v>376.0</v>
      </c>
      <c r="G2353" s="2031">
        <v>376.0</v>
      </c>
      <c r="H2353" s="2031">
        <v>376.0</v>
      </c>
    </row>
    <row r="2354">
      <c r="B2354" s="2031">
        <v>2352.0</v>
      </c>
      <c r="C2354" s="2031">
        <v>283.0</v>
      </c>
      <c r="D2354" s="2031">
        <v>565.0</v>
      </c>
      <c r="E2354" s="2031">
        <v>376.0</v>
      </c>
      <c r="F2354" s="2031">
        <v>376.0</v>
      </c>
      <c r="G2354" s="2031">
        <v>376.0</v>
      </c>
      <c r="H2354" s="2031">
        <v>376.0</v>
      </c>
    </row>
    <row r="2355">
      <c r="B2355" s="2031">
        <v>2353.0</v>
      </c>
      <c r="C2355" s="2031">
        <v>282.0</v>
      </c>
      <c r="D2355" s="2031">
        <v>565.0</v>
      </c>
      <c r="E2355" s="2031">
        <v>376.0</v>
      </c>
      <c r="F2355" s="2031">
        <v>376.0</v>
      </c>
      <c r="G2355" s="2031">
        <v>377.0</v>
      </c>
      <c r="H2355" s="2031">
        <v>377.0</v>
      </c>
    </row>
    <row r="2356">
      <c r="B2356" s="2031">
        <v>2354.0</v>
      </c>
      <c r="C2356" s="2031">
        <v>283.0</v>
      </c>
      <c r="D2356" s="2031">
        <v>565.0</v>
      </c>
      <c r="E2356" s="2031">
        <v>376.0</v>
      </c>
      <c r="F2356" s="2031">
        <v>376.0</v>
      </c>
      <c r="G2356" s="2031">
        <v>377.0</v>
      </c>
      <c r="H2356" s="2031">
        <v>377.0</v>
      </c>
    </row>
    <row r="2357">
      <c r="B2357" s="2031">
        <v>2355.0</v>
      </c>
      <c r="C2357" s="2031">
        <v>282.0</v>
      </c>
      <c r="D2357" s="2031">
        <v>565.0</v>
      </c>
      <c r="E2357" s="2031">
        <v>377.0</v>
      </c>
      <c r="F2357" s="2031">
        <v>377.0</v>
      </c>
      <c r="G2357" s="2031">
        <v>377.0</v>
      </c>
      <c r="H2357" s="2031">
        <v>377.0</v>
      </c>
    </row>
    <row r="2358">
      <c r="B2358" s="2031">
        <v>2356.0</v>
      </c>
      <c r="C2358" s="2031">
        <v>283.0</v>
      </c>
      <c r="D2358" s="2031">
        <v>565.0</v>
      </c>
      <c r="E2358" s="2031">
        <v>377.0</v>
      </c>
      <c r="F2358" s="2031">
        <v>377.0</v>
      </c>
      <c r="G2358" s="2031">
        <v>377.0</v>
      </c>
      <c r="H2358" s="2031">
        <v>377.0</v>
      </c>
    </row>
    <row r="2359">
      <c r="B2359" s="2031">
        <v>2357.0</v>
      </c>
      <c r="C2359" s="2031">
        <v>283.0</v>
      </c>
      <c r="D2359" s="2031">
        <v>566.0</v>
      </c>
      <c r="E2359" s="2031">
        <v>377.0</v>
      </c>
      <c r="F2359" s="2031">
        <v>377.0</v>
      </c>
      <c r="G2359" s="2031">
        <v>377.0</v>
      </c>
      <c r="H2359" s="2031">
        <v>377.0</v>
      </c>
    </row>
    <row r="2360">
      <c r="B2360" s="2031">
        <v>2358.0</v>
      </c>
      <c r="C2360" s="2031">
        <v>283.0</v>
      </c>
      <c r="D2360" s="2031">
        <v>565.0</v>
      </c>
      <c r="E2360" s="2031">
        <v>377.0</v>
      </c>
      <c r="F2360" s="2031">
        <v>377.0</v>
      </c>
      <c r="G2360" s="2031">
        <v>378.0</v>
      </c>
      <c r="H2360" s="2031">
        <v>378.0</v>
      </c>
    </row>
    <row r="2361">
      <c r="B2361" s="2031">
        <v>2359.0</v>
      </c>
      <c r="C2361" s="2031">
        <v>283.0</v>
      </c>
      <c r="D2361" s="2031">
        <v>566.0</v>
      </c>
      <c r="E2361" s="2031">
        <v>377.0</v>
      </c>
      <c r="F2361" s="2031">
        <v>377.0</v>
      </c>
      <c r="G2361" s="2031">
        <v>378.0</v>
      </c>
      <c r="H2361" s="2031">
        <v>378.0</v>
      </c>
    </row>
    <row r="2362">
      <c r="B2362" s="2031">
        <v>2360.0</v>
      </c>
      <c r="C2362" s="2031">
        <v>283.0</v>
      </c>
      <c r="D2362" s="2031">
        <v>567.0</v>
      </c>
      <c r="E2362" s="2031">
        <v>377.0</v>
      </c>
      <c r="F2362" s="2031">
        <v>377.0</v>
      </c>
      <c r="G2362" s="2031">
        <v>378.0</v>
      </c>
      <c r="H2362" s="2031">
        <v>378.0</v>
      </c>
    </row>
    <row r="2363">
      <c r="B2363" s="2031">
        <v>2361.0</v>
      </c>
      <c r="C2363" s="2031">
        <v>283.0</v>
      </c>
      <c r="D2363" s="2031">
        <v>566.0</v>
      </c>
      <c r="E2363" s="2031">
        <v>378.0</v>
      </c>
      <c r="F2363" s="2031">
        <v>378.0</v>
      </c>
      <c r="G2363" s="2031">
        <v>378.0</v>
      </c>
      <c r="H2363" s="2031">
        <v>378.0</v>
      </c>
    </row>
    <row r="2364">
      <c r="B2364" s="2031">
        <v>2362.0</v>
      </c>
      <c r="C2364" s="2031">
        <v>283.0</v>
      </c>
      <c r="D2364" s="2031">
        <v>567.0</v>
      </c>
      <c r="E2364" s="2031">
        <v>378.0</v>
      </c>
      <c r="F2364" s="2031">
        <v>378.0</v>
      </c>
      <c r="G2364" s="2031">
        <v>378.0</v>
      </c>
      <c r="H2364" s="2031">
        <v>378.0</v>
      </c>
    </row>
    <row r="2365">
      <c r="B2365" s="2031">
        <v>2363.0</v>
      </c>
      <c r="C2365" s="2031">
        <v>284.0</v>
      </c>
      <c r="D2365" s="2031">
        <v>567.0</v>
      </c>
      <c r="E2365" s="2031">
        <v>378.0</v>
      </c>
      <c r="F2365" s="2031">
        <v>378.0</v>
      </c>
      <c r="G2365" s="2031">
        <v>378.0</v>
      </c>
      <c r="H2365" s="2031">
        <v>378.0</v>
      </c>
    </row>
    <row r="2366">
      <c r="B2366" s="2031">
        <v>2364.0</v>
      </c>
      <c r="C2366" s="2031">
        <v>284.0</v>
      </c>
      <c r="D2366" s="2031">
        <v>568.0</v>
      </c>
      <c r="E2366" s="2031">
        <v>378.0</v>
      </c>
      <c r="F2366" s="2031">
        <v>378.0</v>
      </c>
      <c r="G2366" s="2031">
        <v>378.0</v>
      </c>
      <c r="H2366" s="2031">
        <v>378.0</v>
      </c>
    </row>
    <row r="2367">
      <c r="B2367" s="2031">
        <v>2365.0</v>
      </c>
      <c r="C2367" s="2031">
        <v>284.0</v>
      </c>
      <c r="D2367" s="2031">
        <v>567.0</v>
      </c>
      <c r="E2367" s="2031">
        <v>378.0</v>
      </c>
      <c r="F2367" s="2031">
        <v>378.0</v>
      </c>
      <c r="G2367" s="2031">
        <v>379.0</v>
      </c>
      <c r="H2367" s="2031">
        <v>379.0</v>
      </c>
    </row>
    <row r="2368">
      <c r="B2368" s="2031">
        <v>2366.0</v>
      </c>
      <c r="C2368" s="2031">
        <v>284.0</v>
      </c>
      <c r="D2368" s="2031">
        <v>568.0</v>
      </c>
      <c r="E2368" s="2031">
        <v>378.0</v>
      </c>
      <c r="F2368" s="2031">
        <v>378.0</v>
      </c>
      <c r="G2368" s="2031">
        <v>379.0</v>
      </c>
      <c r="H2368" s="2031">
        <v>379.0</v>
      </c>
    </row>
    <row r="2369">
      <c r="B2369" s="2031">
        <v>2367.0</v>
      </c>
      <c r="C2369" s="2031">
        <v>284.0</v>
      </c>
      <c r="D2369" s="2031">
        <v>569.0</v>
      </c>
      <c r="E2369" s="2031">
        <v>378.0</v>
      </c>
      <c r="F2369" s="2031">
        <v>378.0</v>
      </c>
      <c r="G2369" s="2031">
        <v>379.0</v>
      </c>
      <c r="H2369" s="2031">
        <v>379.0</v>
      </c>
    </row>
    <row r="2370">
      <c r="B2370" s="2031">
        <v>2368.0</v>
      </c>
      <c r="C2370" s="2031">
        <v>284.0</v>
      </c>
      <c r="D2370" s="2031">
        <v>568.0</v>
      </c>
      <c r="E2370" s="2031">
        <v>379.0</v>
      </c>
      <c r="F2370" s="2031">
        <v>379.0</v>
      </c>
      <c r="G2370" s="2031">
        <v>379.0</v>
      </c>
      <c r="H2370" s="2031">
        <v>379.0</v>
      </c>
    </row>
    <row r="2371">
      <c r="B2371" s="2031">
        <v>2369.0</v>
      </c>
      <c r="C2371" s="2031">
        <v>284.0</v>
      </c>
      <c r="D2371" s="2031">
        <v>569.0</v>
      </c>
      <c r="E2371" s="2031">
        <v>379.0</v>
      </c>
      <c r="F2371" s="2031">
        <v>379.0</v>
      </c>
      <c r="G2371" s="2031">
        <v>379.0</v>
      </c>
      <c r="H2371" s="2031">
        <v>379.0</v>
      </c>
    </row>
    <row r="2372">
      <c r="B2372" s="2031">
        <v>2370.0</v>
      </c>
      <c r="C2372" s="2031">
        <v>285.0</v>
      </c>
      <c r="D2372" s="2031">
        <v>569.0</v>
      </c>
      <c r="E2372" s="2031">
        <v>379.0</v>
      </c>
      <c r="F2372" s="2031">
        <v>379.0</v>
      </c>
      <c r="G2372" s="2031">
        <v>379.0</v>
      </c>
      <c r="H2372" s="2031">
        <v>379.0</v>
      </c>
    </row>
    <row r="2373">
      <c r="B2373" s="2031">
        <v>2371.0</v>
      </c>
      <c r="C2373" s="2031">
        <v>284.0</v>
      </c>
      <c r="D2373" s="2031">
        <v>569.0</v>
      </c>
      <c r="E2373" s="2031">
        <v>379.0</v>
      </c>
      <c r="F2373" s="2031">
        <v>379.0</v>
      </c>
      <c r="G2373" s="2031">
        <v>380.0</v>
      </c>
      <c r="H2373" s="2031">
        <v>380.0</v>
      </c>
    </row>
    <row r="2374">
      <c r="B2374" s="2031">
        <v>2372.0</v>
      </c>
      <c r="C2374" s="2031">
        <v>285.0</v>
      </c>
      <c r="D2374" s="2031">
        <v>569.0</v>
      </c>
      <c r="E2374" s="2031">
        <v>379.0</v>
      </c>
      <c r="F2374" s="2031">
        <v>379.0</v>
      </c>
      <c r="G2374" s="2031">
        <v>380.0</v>
      </c>
      <c r="H2374" s="2031">
        <v>380.0</v>
      </c>
    </row>
    <row r="2375">
      <c r="B2375" s="2031">
        <v>2373.0</v>
      </c>
      <c r="C2375" s="2031">
        <v>284.0</v>
      </c>
      <c r="D2375" s="2031">
        <v>569.0</v>
      </c>
      <c r="E2375" s="2031">
        <v>380.0</v>
      </c>
      <c r="F2375" s="2031">
        <v>380.0</v>
      </c>
      <c r="G2375" s="2031">
        <v>380.0</v>
      </c>
      <c r="H2375" s="2031">
        <v>380.0</v>
      </c>
    </row>
    <row r="2376">
      <c r="B2376" s="2031">
        <v>2374.0</v>
      </c>
      <c r="C2376" s="2031">
        <v>285.0</v>
      </c>
      <c r="D2376" s="2031">
        <v>569.0</v>
      </c>
      <c r="E2376" s="2031">
        <v>380.0</v>
      </c>
      <c r="F2376" s="2031">
        <v>380.0</v>
      </c>
      <c r="G2376" s="2031">
        <v>380.0</v>
      </c>
      <c r="H2376" s="2031">
        <v>380.0</v>
      </c>
    </row>
    <row r="2377">
      <c r="B2377" s="2031">
        <v>2375.0</v>
      </c>
      <c r="C2377" s="2031">
        <v>285.0</v>
      </c>
      <c r="D2377" s="2031">
        <v>570.0</v>
      </c>
      <c r="E2377" s="2031">
        <v>380.0</v>
      </c>
      <c r="F2377" s="2031">
        <v>380.0</v>
      </c>
      <c r="G2377" s="2031">
        <v>380.0</v>
      </c>
      <c r="H2377" s="2031">
        <v>380.0</v>
      </c>
    </row>
    <row r="2378">
      <c r="B2378" s="2031">
        <v>2376.0</v>
      </c>
      <c r="C2378" s="2031">
        <v>285.0</v>
      </c>
      <c r="D2378" s="2031">
        <v>571.0</v>
      </c>
      <c r="E2378" s="2031">
        <v>380.0</v>
      </c>
      <c r="F2378" s="2031">
        <v>380.0</v>
      </c>
      <c r="G2378" s="2031">
        <v>380.0</v>
      </c>
      <c r="H2378" s="2031">
        <v>380.0</v>
      </c>
    </row>
    <row r="2379">
      <c r="B2379" s="2031">
        <v>2377.0</v>
      </c>
      <c r="C2379" s="2031">
        <v>286.0</v>
      </c>
      <c r="D2379" s="2031">
        <v>571.0</v>
      </c>
      <c r="E2379" s="2031">
        <v>380.0</v>
      </c>
      <c r="F2379" s="2031">
        <v>380.0</v>
      </c>
      <c r="G2379" s="2031">
        <v>380.0</v>
      </c>
      <c r="H2379" s="2031">
        <v>380.0</v>
      </c>
    </row>
    <row r="2380">
      <c r="B2380" s="2031">
        <v>2378.0</v>
      </c>
      <c r="C2380" s="2031">
        <v>285.0</v>
      </c>
      <c r="D2380" s="2031">
        <v>571.0</v>
      </c>
      <c r="E2380" s="2031">
        <v>380.0</v>
      </c>
      <c r="F2380" s="2031">
        <v>380.0</v>
      </c>
      <c r="G2380" s="2031">
        <v>381.0</v>
      </c>
      <c r="H2380" s="2031">
        <v>381.0</v>
      </c>
    </row>
    <row r="2381">
      <c r="B2381" s="2031">
        <v>2379.0</v>
      </c>
      <c r="C2381" s="2031">
        <v>286.0</v>
      </c>
      <c r="D2381" s="2031">
        <v>571.0</v>
      </c>
      <c r="E2381" s="2031">
        <v>380.0</v>
      </c>
      <c r="F2381" s="2031">
        <v>380.0</v>
      </c>
      <c r="G2381" s="2031">
        <v>381.0</v>
      </c>
      <c r="H2381" s="2031">
        <v>381.0</v>
      </c>
    </row>
    <row r="2382">
      <c r="B2382" s="2031">
        <v>2380.0</v>
      </c>
      <c r="C2382" s="2031">
        <v>285.0</v>
      </c>
      <c r="D2382" s="2031">
        <v>571.0</v>
      </c>
      <c r="E2382" s="2031">
        <v>381.0</v>
      </c>
      <c r="F2382" s="2031">
        <v>381.0</v>
      </c>
      <c r="G2382" s="2031">
        <v>381.0</v>
      </c>
      <c r="H2382" s="2031">
        <v>381.0</v>
      </c>
    </row>
    <row r="2383">
      <c r="B2383" s="2031">
        <v>2381.0</v>
      </c>
      <c r="C2383" s="2031">
        <v>286.0</v>
      </c>
      <c r="D2383" s="2031">
        <v>571.0</v>
      </c>
      <c r="E2383" s="2031">
        <v>381.0</v>
      </c>
      <c r="F2383" s="2031">
        <v>381.0</v>
      </c>
      <c r="G2383" s="2031">
        <v>381.0</v>
      </c>
      <c r="H2383" s="2031">
        <v>381.0</v>
      </c>
    </row>
    <row r="2384">
      <c r="B2384" s="2031">
        <v>2382.0</v>
      </c>
      <c r="C2384" s="2031">
        <v>286.0</v>
      </c>
      <c r="D2384" s="2031">
        <v>572.0</v>
      </c>
      <c r="E2384" s="2031">
        <v>381.0</v>
      </c>
      <c r="F2384" s="2031">
        <v>381.0</v>
      </c>
      <c r="G2384" s="2031">
        <v>381.0</v>
      </c>
      <c r="H2384" s="2031">
        <v>381.0</v>
      </c>
    </row>
    <row r="2385">
      <c r="B2385" s="2031">
        <v>2383.0</v>
      </c>
      <c r="C2385" s="2031">
        <v>286.0</v>
      </c>
      <c r="D2385" s="2031">
        <v>571.0</v>
      </c>
      <c r="E2385" s="2031">
        <v>381.0</v>
      </c>
      <c r="F2385" s="2031">
        <v>381.0</v>
      </c>
      <c r="G2385" s="2031">
        <v>382.0</v>
      </c>
      <c r="H2385" s="2031">
        <v>382.0</v>
      </c>
    </row>
    <row r="2386">
      <c r="B2386" s="2031">
        <v>2384.0</v>
      </c>
      <c r="C2386" s="2031">
        <v>286.0</v>
      </c>
      <c r="D2386" s="2031">
        <v>572.0</v>
      </c>
      <c r="E2386" s="2031">
        <v>381.0</v>
      </c>
      <c r="F2386" s="2031">
        <v>381.0</v>
      </c>
      <c r="G2386" s="2031">
        <v>382.0</v>
      </c>
      <c r="H2386" s="2031">
        <v>382.0</v>
      </c>
    </row>
    <row r="2387">
      <c r="B2387" s="2031">
        <v>2385.0</v>
      </c>
      <c r="C2387" s="2031">
        <v>286.0</v>
      </c>
      <c r="D2387" s="2031">
        <v>573.0</v>
      </c>
      <c r="E2387" s="2031">
        <v>381.0</v>
      </c>
      <c r="F2387" s="2031">
        <v>381.0</v>
      </c>
      <c r="G2387" s="2031">
        <v>382.0</v>
      </c>
      <c r="H2387" s="2031">
        <v>382.0</v>
      </c>
    </row>
    <row r="2388">
      <c r="B2388" s="2031">
        <v>2386.0</v>
      </c>
      <c r="C2388" s="2031">
        <v>286.0</v>
      </c>
      <c r="D2388" s="2031">
        <v>572.0</v>
      </c>
      <c r="E2388" s="2031">
        <v>382.0</v>
      </c>
      <c r="F2388" s="2031">
        <v>382.0</v>
      </c>
      <c r="G2388" s="2031">
        <v>382.0</v>
      </c>
      <c r="H2388" s="2031">
        <v>382.0</v>
      </c>
    </row>
    <row r="2389">
      <c r="B2389" s="2031">
        <v>2387.0</v>
      </c>
      <c r="C2389" s="2031">
        <v>286.0</v>
      </c>
      <c r="D2389" s="2031">
        <v>573.0</v>
      </c>
      <c r="E2389" s="2031">
        <v>382.0</v>
      </c>
      <c r="F2389" s="2031">
        <v>382.0</v>
      </c>
      <c r="G2389" s="2031">
        <v>382.0</v>
      </c>
      <c r="H2389" s="2031">
        <v>382.0</v>
      </c>
    </row>
    <row r="2390">
      <c r="B2390" s="2031">
        <v>2388.0</v>
      </c>
      <c r="C2390" s="2031">
        <v>287.0</v>
      </c>
      <c r="D2390" s="2031">
        <v>573.0</v>
      </c>
      <c r="E2390" s="2031">
        <v>382.0</v>
      </c>
      <c r="F2390" s="2031">
        <v>382.0</v>
      </c>
      <c r="G2390" s="2031">
        <v>382.0</v>
      </c>
      <c r="H2390" s="2031">
        <v>382.0</v>
      </c>
    </row>
    <row r="2391">
      <c r="B2391" s="2031">
        <v>2389.0</v>
      </c>
      <c r="C2391" s="2031">
        <v>287.0</v>
      </c>
      <c r="D2391" s="2031">
        <v>574.0</v>
      </c>
      <c r="E2391" s="2031">
        <v>382.0</v>
      </c>
      <c r="F2391" s="2031">
        <v>382.0</v>
      </c>
      <c r="G2391" s="2031">
        <v>382.0</v>
      </c>
      <c r="H2391" s="2031">
        <v>382.0</v>
      </c>
    </row>
    <row r="2392">
      <c r="B2392" s="2031">
        <v>2390.0</v>
      </c>
      <c r="C2392" s="2031">
        <v>287.0</v>
      </c>
      <c r="D2392" s="2031">
        <v>573.0</v>
      </c>
      <c r="E2392" s="2031">
        <v>382.0</v>
      </c>
      <c r="F2392" s="2031">
        <v>382.0</v>
      </c>
      <c r="G2392" s="2031">
        <v>383.0</v>
      </c>
      <c r="H2392" s="2031">
        <v>383.0</v>
      </c>
    </row>
    <row r="2393">
      <c r="B2393" s="2031">
        <v>2391.0</v>
      </c>
      <c r="C2393" s="2031">
        <v>287.0</v>
      </c>
      <c r="D2393" s="2031">
        <v>574.0</v>
      </c>
      <c r="E2393" s="2031">
        <v>382.0</v>
      </c>
      <c r="F2393" s="2031">
        <v>382.0</v>
      </c>
      <c r="G2393" s="2031">
        <v>383.0</v>
      </c>
      <c r="H2393" s="2031">
        <v>383.0</v>
      </c>
    </row>
    <row r="2394">
      <c r="B2394" s="2031">
        <v>2392.0</v>
      </c>
      <c r="C2394" s="2031">
        <v>287.0</v>
      </c>
      <c r="D2394" s="2031">
        <v>575.0</v>
      </c>
      <c r="E2394" s="2031">
        <v>382.0</v>
      </c>
      <c r="F2394" s="2031">
        <v>382.0</v>
      </c>
      <c r="G2394" s="2031">
        <v>383.0</v>
      </c>
      <c r="H2394" s="2031">
        <v>383.0</v>
      </c>
    </row>
    <row r="2395">
      <c r="B2395" s="2031">
        <v>2393.0</v>
      </c>
      <c r="C2395" s="2031">
        <v>287.0</v>
      </c>
      <c r="D2395" s="2031">
        <v>574.0</v>
      </c>
      <c r="E2395" s="2031">
        <v>383.0</v>
      </c>
      <c r="F2395" s="2031">
        <v>383.0</v>
      </c>
      <c r="G2395" s="2031">
        <v>383.0</v>
      </c>
      <c r="H2395" s="2031">
        <v>383.0</v>
      </c>
    </row>
    <row r="2396">
      <c r="B2396" s="2031">
        <v>2394.0</v>
      </c>
      <c r="C2396" s="2031">
        <v>287.0</v>
      </c>
      <c r="D2396" s="2031">
        <v>575.0</v>
      </c>
      <c r="E2396" s="2031">
        <v>383.0</v>
      </c>
      <c r="F2396" s="2031">
        <v>383.0</v>
      </c>
      <c r="G2396" s="2031">
        <v>383.0</v>
      </c>
      <c r="H2396" s="2031">
        <v>383.0</v>
      </c>
    </row>
    <row r="2397">
      <c r="B2397" s="2031">
        <v>2395.0</v>
      </c>
      <c r="C2397" s="2031">
        <v>288.0</v>
      </c>
      <c r="D2397" s="2031">
        <v>575.0</v>
      </c>
      <c r="E2397" s="2031">
        <v>383.0</v>
      </c>
      <c r="F2397" s="2031">
        <v>383.0</v>
      </c>
      <c r="G2397" s="2031">
        <v>383.0</v>
      </c>
      <c r="H2397" s="2031">
        <v>383.0</v>
      </c>
    </row>
    <row r="2398">
      <c r="B2398" s="2031">
        <v>2396.0</v>
      </c>
      <c r="C2398" s="2031">
        <v>287.0</v>
      </c>
      <c r="D2398" s="2031">
        <v>575.0</v>
      </c>
      <c r="E2398" s="2031">
        <v>383.0</v>
      </c>
      <c r="F2398" s="2031">
        <v>383.0</v>
      </c>
      <c r="G2398" s="2031">
        <v>384.0</v>
      </c>
      <c r="H2398" s="2031">
        <v>384.0</v>
      </c>
    </row>
    <row r="2399">
      <c r="B2399" s="2031">
        <v>2397.0</v>
      </c>
      <c r="C2399" s="2031">
        <v>288.0</v>
      </c>
      <c r="D2399" s="2031">
        <v>575.0</v>
      </c>
      <c r="E2399" s="2031">
        <v>383.0</v>
      </c>
      <c r="F2399" s="2031">
        <v>383.0</v>
      </c>
      <c r="G2399" s="2031">
        <v>384.0</v>
      </c>
      <c r="H2399" s="2031">
        <v>384.0</v>
      </c>
    </row>
    <row r="2400">
      <c r="B2400" s="2031">
        <v>2398.0</v>
      </c>
      <c r="C2400" s="2031">
        <v>287.0</v>
      </c>
      <c r="D2400" s="2031">
        <v>575.0</v>
      </c>
      <c r="E2400" s="2031">
        <v>384.0</v>
      </c>
      <c r="F2400" s="2031">
        <v>384.0</v>
      </c>
      <c r="G2400" s="2031">
        <v>384.0</v>
      </c>
      <c r="H2400" s="2031">
        <v>384.0</v>
      </c>
    </row>
    <row r="2401">
      <c r="B2401" s="2031">
        <v>2399.0</v>
      </c>
      <c r="C2401" s="2031">
        <v>288.0</v>
      </c>
      <c r="D2401" s="2031">
        <v>575.0</v>
      </c>
      <c r="E2401" s="2031">
        <v>384.0</v>
      </c>
      <c r="F2401" s="2031">
        <v>384.0</v>
      </c>
      <c r="G2401" s="2031">
        <v>384.0</v>
      </c>
      <c r="H2401" s="2031">
        <v>384.0</v>
      </c>
    </row>
    <row r="2402">
      <c r="B2402" s="2031">
        <v>2400.0</v>
      </c>
      <c r="C2402" s="2031">
        <v>288.0</v>
      </c>
      <c r="D2402" s="2031">
        <v>576.0</v>
      </c>
      <c r="E2402" s="2031">
        <v>384.0</v>
      </c>
      <c r="F2402" s="2031">
        <v>384.0</v>
      </c>
      <c r="G2402" s="2031">
        <v>384.0</v>
      </c>
      <c r="H2402" s="2031">
        <v>384.0</v>
      </c>
    </row>
    <row r="2403">
      <c r="B2403" s="2031">
        <v>2401.0</v>
      </c>
      <c r="C2403" s="2031">
        <v>288.0</v>
      </c>
      <c r="D2403" s="2031">
        <v>577.0</v>
      </c>
      <c r="E2403" s="2031">
        <v>384.0</v>
      </c>
      <c r="F2403" s="2031">
        <v>384.0</v>
      </c>
      <c r="G2403" s="2031">
        <v>384.0</v>
      </c>
      <c r="H2403" s="2031">
        <v>384.0</v>
      </c>
    </row>
    <row r="2404">
      <c r="B2404" s="2031">
        <v>2402.0</v>
      </c>
      <c r="C2404" s="2031">
        <v>289.0</v>
      </c>
      <c r="D2404" s="2031">
        <v>577.0</v>
      </c>
      <c r="E2404" s="2031">
        <v>384.0</v>
      </c>
      <c r="F2404" s="2031">
        <v>384.0</v>
      </c>
      <c r="G2404" s="2031">
        <v>384.0</v>
      </c>
      <c r="H2404" s="2031">
        <v>384.0</v>
      </c>
    </row>
    <row r="2405">
      <c r="B2405" s="2031">
        <v>2403.0</v>
      </c>
      <c r="C2405" s="2031">
        <v>288.0</v>
      </c>
      <c r="D2405" s="2031">
        <v>577.0</v>
      </c>
      <c r="E2405" s="2031">
        <v>384.0</v>
      </c>
      <c r="F2405" s="2031">
        <v>384.0</v>
      </c>
      <c r="G2405" s="2031">
        <v>385.0</v>
      </c>
      <c r="H2405" s="2031">
        <v>385.0</v>
      </c>
    </row>
    <row r="2406">
      <c r="B2406" s="2031">
        <v>2404.0</v>
      </c>
      <c r="C2406" s="2031">
        <v>289.0</v>
      </c>
      <c r="D2406" s="2031">
        <v>577.0</v>
      </c>
      <c r="E2406" s="2031">
        <v>384.0</v>
      </c>
      <c r="F2406" s="2031">
        <v>384.0</v>
      </c>
      <c r="G2406" s="2031">
        <v>385.0</v>
      </c>
      <c r="H2406" s="2031">
        <v>385.0</v>
      </c>
    </row>
    <row r="2407">
      <c r="B2407" s="2031">
        <v>2405.0</v>
      </c>
      <c r="C2407" s="2031">
        <v>288.0</v>
      </c>
      <c r="D2407" s="2031">
        <v>577.0</v>
      </c>
      <c r="E2407" s="2031">
        <v>385.0</v>
      </c>
      <c r="F2407" s="2031">
        <v>385.0</v>
      </c>
      <c r="G2407" s="2031">
        <v>385.0</v>
      </c>
      <c r="H2407" s="2031">
        <v>385.0</v>
      </c>
    </row>
    <row r="2408">
      <c r="B2408" s="2031">
        <v>2406.0</v>
      </c>
      <c r="C2408" s="2031">
        <v>289.0</v>
      </c>
      <c r="D2408" s="2031">
        <v>577.0</v>
      </c>
      <c r="E2408" s="2031">
        <v>385.0</v>
      </c>
      <c r="F2408" s="2031">
        <v>385.0</v>
      </c>
      <c r="G2408" s="2031">
        <v>385.0</v>
      </c>
      <c r="H2408" s="2031">
        <v>385.0</v>
      </c>
    </row>
    <row r="2409">
      <c r="B2409" s="2031">
        <v>2407.0</v>
      </c>
      <c r="C2409" s="2031">
        <v>289.0</v>
      </c>
      <c r="D2409" s="2031">
        <v>578.0</v>
      </c>
      <c r="E2409" s="2031">
        <v>385.0</v>
      </c>
      <c r="F2409" s="2031">
        <v>385.0</v>
      </c>
      <c r="G2409" s="2031">
        <v>385.0</v>
      </c>
      <c r="H2409" s="2031">
        <v>385.0</v>
      </c>
    </row>
    <row r="2410">
      <c r="B2410" s="2031">
        <v>2408.0</v>
      </c>
      <c r="C2410" s="2031">
        <v>289.0</v>
      </c>
      <c r="D2410" s="2031">
        <v>577.0</v>
      </c>
      <c r="E2410" s="2031">
        <v>385.0</v>
      </c>
      <c r="F2410" s="2031">
        <v>385.0</v>
      </c>
      <c r="G2410" s="2031">
        <v>386.0</v>
      </c>
      <c r="H2410" s="2031">
        <v>386.0</v>
      </c>
    </row>
    <row r="2411">
      <c r="B2411" s="2031">
        <v>2409.0</v>
      </c>
      <c r="C2411" s="2031">
        <v>289.0</v>
      </c>
      <c r="D2411" s="2031">
        <v>578.0</v>
      </c>
      <c r="E2411" s="2031">
        <v>385.0</v>
      </c>
      <c r="F2411" s="2031">
        <v>385.0</v>
      </c>
      <c r="G2411" s="2031">
        <v>386.0</v>
      </c>
      <c r="H2411" s="2031">
        <v>386.0</v>
      </c>
    </row>
    <row r="2412">
      <c r="B2412" s="2031">
        <v>2410.0</v>
      </c>
      <c r="C2412" s="2031">
        <v>289.0</v>
      </c>
      <c r="D2412" s="2031">
        <v>579.0</v>
      </c>
      <c r="E2412" s="2031">
        <v>385.0</v>
      </c>
      <c r="F2412" s="2031">
        <v>385.0</v>
      </c>
      <c r="G2412" s="2031">
        <v>386.0</v>
      </c>
      <c r="H2412" s="2031">
        <v>386.0</v>
      </c>
    </row>
    <row r="2413">
      <c r="B2413" s="2031">
        <v>2411.0</v>
      </c>
      <c r="C2413" s="2031">
        <v>289.0</v>
      </c>
      <c r="D2413" s="2031">
        <v>578.0</v>
      </c>
      <c r="E2413" s="2031">
        <v>386.0</v>
      </c>
      <c r="F2413" s="2031">
        <v>386.0</v>
      </c>
      <c r="G2413" s="2031">
        <v>386.0</v>
      </c>
      <c r="H2413" s="2031">
        <v>386.0</v>
      </c>
    </row>
    <row r="2414">
      <c r="B2414" s="2031">
        <v>2412.0</v>
      </c>
      <c r="C2414" s="2031">
        <v>289.0</v>
      </c>
      <c r="D2414" s="2031">
        <v>579.0</v>
      </c>
      <c r="E2414" s="2031">
        <v>386.0</v>
      </c>
      <c r="F2414" s="2031">
        <v>386.0</v>
      </c>
      <c r="G2414" s="2031">
        <v>386.0</v>
      </c>
      <c r="H2414" s="2031">
        <v>386.0</v>
      </c>
    </row>
    <row r="2415">
      <c r="B2415" s="2031">
        <v>2413.0</v>
      </c>
      <c r="C2415" s="2031">
        <v>290.0</v>
      </c>
      <c r="D2415" s="2031">
        <v>579.0</v>
      </c>
      <c r="E2415" s="2031">
        <v>386.0</v>
      </c>
      <c r="F2415" s="2031">
        <v>386.0</v>
      </c>
      <c r="G2415" s="2031">
        <v>386.0</v>
      </c>
      <c r="H2415" s="2031">
        <v>386.0</v>
      </c>
    </row>
    <row r="2416">
      <c r="B2416" s="2031">
        <v>2414.0</v>
      </c>
      <c r="C2416" s="2031">
        <v>290.0</v>
      </c>
      <c r="D2416" s="2031">
        <v>580.0</v>
      </c>
      <c r="E2416" s="2031">
        <v>386.0</v>
      </c>
      <c r="F2416" s="2031">
        <v>386.0</v>
      </c>
      <c r="G2416" s="2031">
        <v>386.0</v>
      </c>
      <c r="H2416" s="2031">
        <v>386.0</v>
      </c>
    </row>
    <row r="2417">
      <c r="B2417" s="2031">
        <v>2415.0</v>
      </c>
      <c r="C2417" s="2031">
        <v>290.0</v>
      </c>
      <c r="D2417" s="2031">
        <v>579.0</v>
      </c>
      <c r="E2417" s="2031">
        <v>386.0</v>
      </c>
      <c r="F2417" s="2031">
        <v>386.0</v>
      </c>
      <c r="G2417" s="2031">
        <v>387.0</v>
      </c>
      <c r="H2417" s="2031">
        <v>387.0</v>
      </c>
    </row>
    <row r="2418">
      <c r="B2418" s="2031">
        <v>2416.0</v>
      </c>
      <c r="C2418" s="2031">
        <v>290.0</v>
      </c>
      <c r="D2418" s="2031">
        <v>580.0</v>
      </c>
      <c r="E2418" s="2031">
        <v>386.0</v>
      </c>
      <c r="F2418" s="2031">
        <v>386.0</v>
      </c>
      <c r="G2418" s="2031">
        <v>387.0</v>
      </c>
      <c r="H2418" s="2031">
        <v>387.0</v>
      </c>
    </row>
    <row r="2419">
      <c r="B2419" s="2031">
        <v>2417.0</v>
      </c>
      <c r="C2419" s="2031">
        <v>290.0</v>
      </c>
      <c r="D2419" s="2031">
        <v>581.0</v>
      </c>
      <c r="E2419" s="2031">
        <v>386.0</v>
      </c>
      <c r="F2419" s="2031">
        <v>386.0</v>
      </c>
      <c r="G2419" s="2031">
        <v>387.0</v>
      </c>
      <c r="H2419" s="2031">
        <v>387.0</v>
      </c>
    </row>
    <row r="2420">
      <c r="B2420" s="2031">
        <v>2418.0</v>
      </c>
      <c r="C2420" s="2031">
        <v>290.0</v>
      </c>
      <c r="D2420" s="2031">
        <v>580.0</v>
      </c>
      <c r="E2420" s="2031">
        <v>387.0</v>
      </c>
      <c r="F2420" s="2031">
        <v>387.0</v>
      </c>
      <c r="G2420" s="2031">
        <v>387.0</v>
      </c>
      <c r="H2420" s="2031">
        <v>387.0</v>
      </c>
    </row>
    <row r="2421">
      <c r="B2421" s="2031">
        <v>2419.0</v>
      </c>
      <c r="C2421" s="2031">
        <v>290.0</v>
      </c>
      <c r="D2421" s="2031">
        <v>581.0</v>
      </c>
      <c r="E2421" s="2031">
        <v>387.0</v>
      </c>
      <c r="F2421" s="2031">
        <v>387.0</v>
      </c>
      <c r="G2421" s="2031">
        <v>387.0</v>
      </c>
      <c r="H2421" s="2031">
        <v>387.0</v>
      </c>
    </row>
    <row r="2422">
      <c r="B2422" s="2031">
        <v>2420.0</v>
      </c>
      <c r="C2422" s="2031">
        <v>291.0</v>
      </c>
      <c r="D2422" s="2031">
        <v>581.0</v>
      </c>
      <c r="E2422" s="2031">
        <v>387.0</v>
      </c>
      <c r="F2422" s="2031">
        <v>387.0</v>
      </c>
      <c r="G2422" s="2031">
        <v>387.0</v>
      </c>
      <c r="H2422" s="2031">
        <v>387.0</v>
      </c>
    </row>
    <row r="2423">
      <c r="B2423" s="2031">
        <v>2421.0</v>
      </c>
      <c r="C2423" s="2031">
        <v>290.0</v>
      </c>
      <c r="D2423" s="2031">
        <v>581.0</v>
      </c>
      <c r="E2423" s="2031">
        <v>387.0</v>
      </c>
      <c r="F2423" s="2031">
        <v>387.0</v>
      </c>
      <c r="G2423" s="2031">
        <v>388.0</v>
      </c>
      <c r="H2423" s="2031">
        <v>388.0</v>
      </c>
    </row>
    <row r="2424">
      <c r="B2424" s="2031">
        <v>2422.0</v>
      </c>
      <c r="C2424" s="2031">
        <v>291.0</v>
      </c>
      <c r="D2424" s="2031">
        <v>581.0</v>
      </c>
      <c r="E2424" s="2031">
        <v>387.0</v>
      </c>
      <c r="F2424" s="2031">
        <v>387.0</v>
      </c>
      <c r="G2424" s="2031">
        <v>388.0</v>
      </c>
      <c r="H2424" s="2031">
        <v>388.0</v>
      </c>
    </row>
    <row r="2425">
      <c r="B2425" s="2031">
        <v>2423.0</v>
      </c>
      <c r="C2425" s="2031">
        <v>290.0</v>
      </c>
      <c r="D2425" s="2031">
        <v>581.0</v>
      </c>
      <c r="E2425" s="2031">
        <v>388.0</v>
      </c>
      <c r="F2425" s="2031">
        <v>388.0</v>
      </c>
      <c r="G2425" s="2031">
        <v>388.0</v>
      </c>
      <c r="H2425" s="2031">
        <v>388.0</v>
      </c>
    </row>
    <row r="2426">
      <c r="B2426" s="2031">
        <v>2424.0</v>
      </c>
      <c r="C2426" s="2031">
        <v>291.0</v>
      </c>
      <c r="D2426" s="2031">
        <v>581.0</v>
      </c>
      <c r="E2426" s="2031">
        <v>388.0</v>
      </c>
      <c r="F2426" s="2031">
        <v>388.0</v>
      </c>
      <c r="G2426" s="2031">
        <v>388.0</v>
      </c>
      <c r="H2426" s="2031">
        <v>388.0</v>
      </c>
    </row>
    <row r="2427">
      <c r="B2427" s="2031">
        <v>2425.0</v>
      </c>
      <c r="C2427" s="2031">
        <v>291.0</v>
      </c>
      <c r="D2427" s="2031">
        <v>582.0</v>
      </c>
      <c r="E2427" s="2031">
        <v>388.0</v>
      </c>
      <c r="F2427" s="2031">
        <v>388.0</v>
      </c>
      <c r="G2427" s="2031">
        <v>388.0</v>
      </c>
      <c r="H2427" s="2031">
        <v>388.0</v>
      </c>
    </row>
    <row r="2428">
      <c r="B2428" s="2031">
        <v>2426.0</v>
      </c>
      <c r="C2428" s="2031">
        <v>291.0</v>
      </c>
      <c r="D2428" s="2031">
        <v>583.0</v>
      </c>
      <c r="E2428" s="2031">
        <v>388.0</v>
      </c>
      <c r="F2428" s="2031">
        <v>388.0</v>
      </c>
      <c r="G2428" s="2031">
        <v>388.0</v>
      </c>
      <c r="H2428" s="2031">
        <v>388.0</v>
      </c>
    </row>
    <row r="2429">
      <c r="B2429" s="2031">
        <v>2427.0</v>
      </c>
      <c r="C2429" s="2031">
        <v>292.0</v>
      </c>
      <c r="D2429" s="2031">
        <v>583.0</v>
      </c>
      <c r="E2429" s="2031">
        <v>388.0</v>
      </c>
      <c r="F2429" s="2031">
        <v>388.0</v>
      </c>
      <c r="G2429" s="2031">
        <v>388.0</v>
      </c>
      <c r="H2429" s="2031">
        <v>388.0</v>
      </c>
    </row>
    <row r="2430">
      <c r="B2430" s="2031">
        <v>2428.0</v>
      </c>
      <c r="C2430" s="2031">
        <v>291.0</v>
      </c>
      <c r="D2430" s="2031">
        <v>583.0</v>
      </c>
      <c r="E2430" s="2031">
        <v>388.0</v>
      </c>
      <c r="F2430" s="2031">
        <v>388.0</v>
      </c>
      <c r="G2430" s="2031">
        <v>389.0</v>
      </c>
      <c r="H2430" s="2031">
        <v>389.0</v>
      </c>
    </row>
    <row r="2431">
      <c r="B2431" s="2031">
        <v>2429.0</v>
      </c>
      <c r="C2431" s="2031">
        <v>292.0</v>
      </c>
      <c r="D2431" s="2031">
        <v>583.0</v>
      </c>
      <c r="E2431" s="2031">
        <v>388.0</v>
      </c>
      <c r="F2431" s="2031">
        <v>388.0</v>
      </c>
      <c r="G2431" s="2031">
        <v>389.0</v>
      </c>
      <c r="H2431" s="2031">
        <v>389.0</v>
      </c>
    </row>
    <row r="2432">
      <c r="B2432" s="2031">
        <v>2430.0</v>
      </c>
      <c r="C2432" s="2031">
        <v>291.0</v>
      </c>
      <c r="D2432" s="2031">
        <v>583.0</v>
      </c>
      <c r="E2432" s="2031">
        <v>389.0</v>
      </c>
      <c r="F2432" s="2031">
        <v>389.0</v>
      </c>
      <c r="G2432" s="2031">
        <v>389.0</v>
      </c>
      <c r="H2432" s="2031">
        <v>389.0</v>
      </c>
    </row>
    <row r="2433">
      <c r="B2433" s="2031">
        <v>2431.0</v>
      </c>
      <c r="C2433" s="2031">
        <v>292.0</v>
      </c>
      <c r="D2433" s="2031">
        <v>583.0</v>
      </c>
      <c r="E2433" s="2031">
        <v>389.0</v>
      </c>
      <c r="F2433" s="2031">
        <v>389.0</v>
      </c>
      <c r="G2433" s="2031">
        <v>389.0</v>
      </c>
      <c r="H2433" s="2031">
        <v>389.0</v>
      </c>
    </row>
    <row r="2434">
      <c r="B2434" s="2031">
        <v>2432.0</v>
      </c>
      <c r="C2434" s="2031">
        <v>292.0</v>
      </c>
      <c r="D2434" s="2031">
        <v>584.0</v>
      </c>
      <c r="E2434" s="2031">
        <v>389.0</v>
      </c>
      <c r="F2434" s="2031">
        <v>389.0</v>
      </c>
      <c r="G2434" s="2031">
        <v>389.0</v>
      </c>
      <c r="H2434" s="2031">
        <v>389.0</v>
      </c>
    </row>
    <row r="2435">
      <c r="B2435" s="2031">
        <v>2433.0</v>
      </c>
      <c r="C2435" s="2031">
        <v>292.0</v>
      </c>
      <c r="D2435" s="2031">
        <v>583.0</v>
      </c>
      <c r="E2435" s="2031">
        <v>389.0</v>
      </c>
      <c r="F2435" s="2031">
        <v>389.0</v>
      </c>
      <c r="G2435" s="2031">
        <v>390.0</v>
      </c>
      <c r="H2435" s="2031">
        <v>390.0</v>
      </c>
    </row>
    <row r="2436">
      <c r="B2436" s="2031">
        <v>2434.0</v>
      </c>
      <c r="C2436" s="2031">
        <v>292.0</v>
      </c>
      <c r="D2436" s="2031">
        <v>584.0</v>
      </c>
      <c r="E2436" s="2031">
        <v>389.0</v>
      </c>
      <c r="F2436" s="2031">
        <v>389.0</v>
      </c>
      <c r="G2436" s="2031">
        <v>390.0</v>
      </c>
      <c r="H2436" s="2031">
        <v>390.0</v>
      </c>
    </row>
    <row r="2437">
      <c r="B2437" s="2031">
        <v>2435.0</v>
      </c>
      <c r="C2437" s="2031">
        <v>292.0</v>
      </c>
      <c r="D2437" s="2031">
        <v>585.0</v>
      </c>
      <c r="E2437" s="2031">
        <v>389.0</v>
      </c>
      <c r="F2437" s="2031">
        <v>389.0</v>
      </c>
      <c r="G2437" s="2031">
        <v>390.0</v>
      </c>
      <c r="H2437" s="2031">
        <v>390.0</v>
      </c>
    </row>
    <row r="2438">
      <c r="B2438" s="2031">
        <v>2436.0</v>
      </c>
      <c r="C2438" s="2031">
        <v>292.0</v>
      </c>
      <c r="D2438" s="2031">
        <v>584.0</v>
      </c>
      <c r="E2438" s="2031">
        <v>390.0</v>
      </c>
      <c r="F2438" s="2031">
        <v>390.0</v>
      </c>
      <c r="G2438" s="2031">
        <v>390.0</v>
      </c>
      <c r="H2438" s="2031">
        <v>390.0</v>
      </c>
    </row>
    <row r="2439">
      <c r="B2439" s="2031">
        <v>2437.0</v>
      </c>
      <c r="C2439" s="2031">
        <v>292.0</v>
      </c>
      <c r="D2439" s="2031">
        <v>585.0</v>
      </c>
      <c r="E2439" s="2031">
        <v>390.0</v>
      </c>
      <c r="F2439" s="2031">
        <v>390.0</v>
      </c>
      <c r="G2439" s="2031">
        <v>390.0</v>
      </c>
      <c r="H2439" s="2031">
        <v>390.0</v>
      </c>
    </row>
    <row r="2440">
      <c r="B2440" s="2031">
        <v>2438.0</v>
      </c>
      <c r="C2440" s="2031">
        <v>293.0</v>
      </c>
      <c r="D2440" s="2031">
        <v>585.0</v>
      </c>
      <c r="E2440" s="2031">
        <v>390.0</v>
      </c>
      <c r="F2440" s="2031">
        <v>390.0</v>
      </c>
      <c r="G2440" s="2031">
        <v>390.0</v>
      </c>
      <c r="H2440" s="2031">
        <v>390.0</v>
      </c>
    </row>
    <row r="2441">
      <c r="B2441" s="2031">
        <v>2439.0</v>
      </c>
      <c r="C2441" s="2031">
        <v>293.0</v>
      </c>
      <c r="D2441" s="2031">
        <v>586.0</v>
      </c>
      <c r="E2441" s="2031">
        <v>390.0</v>
      </c>
      <c r="F2441" s="2031">
        <v>390.0</v>
      </c>
      <c r="G2441" s="2031">
        <v>390.0</v>
      </c>
      <c r="H2441" s="2031">
        <v>390.0</v>
      </c>
    </row>
    <row r="2442">
      <c r="B2442" s="2031">
        <v>2440.0</v>
      </c>
      <c r="C2442" s="2031">
        <v>293.0</v>
      </c>
      <c r="D2442" s="2031">
        <v>585.0</v>
      </c>
      <c r="E2442" s="2031">
        <v>390.0</v>
      </c>
      <c r="F2442" s="2031">
        <v>390.0</v>
      </c>
      <c r="G2442" s="2031">
        <v>391.0</v>
      </c>
      <c r="H2442" s="2031">
        <v>391.0</v>
      </c>
    </row>
    <row r="2443">
      <c r="B2443" s="2031">
        <v>2441.0</v>
      </c>
      <c r="C2443" s="2031">
        <v>293.0</v>
      </c>
      <c r="D2443" s="2031">
        <v>586.0</v>
      </c>
      <c r="E2443" s="2031">
        <v>390.0</v>
      </c>
      <c r="F2443" s="2031">
        <v>390.0</v>
      </c>
      <c r="G2443" s="2031">
        <v>391.0</v>
      </c>
      <c r="H2443" s="2031">
        <v>391.0</v>
      </c>
    </row>
    <row r="2444">
      <c r="B2444" s="2031">
        <v>2442.0</v>
      </c>
      <c r="C2444" s="2031">
        <v>293.0</v>
      </c>
      <c r="D2444" s="2031">
        <v>587.0</v>
      </c>
      <c r="E2444" s="2031">
        <v>390.0</v>
      </c>
      <c r="F2444" s="2031">
        <v>390.0</v>
      </c>
      <c r="G2444" s="2031">
        <v>391.0</v>
      </c>
      <c r="H2444" s="2031">
        <v>391.0</v>
      </c>
    </row>
    <row r="2445">
      <c r="B2445" s="2031">
        <v>2443.0</v>
      </c>
      <c r="C2445" s="2031">
        <v>293.0</v>
      </c>
      <c r="D2445" s="2031">
        <v>586.0</v>
      </c>
      <c r="E2445" s="2031">
        <v>391.0</v>
      </c>
      <c r="F2445" s="2031">
        <v>391.0</v>
      </c>
      <c r="G2445" s="2031">
        <v>391.0</v>
      </c>
      <c r="H2445" s="2031">
        <v>391.0</v>
      </c>
    </row>
    <row r="2446">
      <c r="B2446" s="2031">
        <v>2444.0</v>
      </c>
      <c r="C2446" s="2031">
        <v>293.0</v>
      </c>
      <c r="D2446" s="2031">
        <v>587.0</v>
      </c>
      <c r="E2446" s="2031">
        <v>391.0</v>
      </c>
      <c r="F2446" s="2031">
        <v>391.0</v>
      </c>
      <c r="G2446" s="2031">
        <v>391.0</v>
      </c>
      <c r="H2446" s="2031">
        <v>391.0</v>
      </c>
    </row>
    <row r="2447">
      <c r="B2447" s="2031">
        <v>2445.0</v>
      </c>
      <c r="C2447" s="2031">
        <v>294.0</v>
      </c>
      <c r="D2447" s="2031">
        <v>587.0</v>
      </c>
      <c r="E2447" s="2031">
        <v>391.0</v>
      </c>
      <c r="F2447" s="2031">
        <v>391.0</v>
      </c>
      <c r="G2447" s="2031">
        <v>391.0</v>
      </c>
      <c r="H2447" s="2031">
        <v>391.0</v>
      </c>
    </row>
    <row r="2448">
      <c r="B2448" s="2031">
        <v>2446.0</v>
      </c>
      <c r="C2448" s="2031">
        <v>293.0</v>
      </c>
      <c r="D2448" s="2031">
        <v>587.0</v>
      </c>
      <c r="E2448" s="2031">
        <v>391.0</v>
      </c>
      <c r="F2448" s="2031">
        <v>391.0</v>
      </c>
      <c r="G2448" s="2031">
        <v>392.0</v>
      </c>
      <c r="H2448" s="2031">
        <v>392.0</v>
      </c>
    </row>
    <row r="2449">
      <c r="B2449" s="2031">
        <v>2447.0</v>
      </c>
      <c r="C2449" s="2031">
        <v>294.0</v>
      </c>
      <c r="D2449" s="2031">
        <v>587.0</v>
      </c>
      <c r="E2449" s="2031">
        <v>391.0</v>
      </c>
      <c r="F2449" s="2031">
        <v>391.0</v>
      </c>
      <c r="G2449" s="2031">
        <v>392.0</v>
      </c>
      <c r="H2449" s="2031">
        <v>392.0</v>
      </c>
    </row>
    <row r="2450">
      <c r="B2450" s="2031">
        <v>2448.0</v>
      </c>
      <c r="C2450" s="2031">
        <v>293.0</v>
      </c>
      <c r="D2450" s="2031">
        <v>587.0</v>
      </c>
      <c r="E2450" s="2031">
        <v>392.0</v>
      </c>
      <c r="F2450" s="2031">
        <v>392.0</v>
      </c>
      <c r="G2450" s="2031">
        <v>392.0</v>
      </c>
      <c r="H2450" s="2031">
        <v>392.0</v>
      </c>
    </row>
    <row r="2451">
      <c r="B2451" s="2031">
        <v>2449.0</v>
      </c>
      <c r="C2451" s="2031">
        <v>294.0</v>
      </c>
      <c r="D2451" s="2031">
        <v>587.0</v>
      </c>
      <c r="E2451" s="2031">
        <v>392.0</v>
      </c>
      <c r="F2451" s="2031">
        <v>392.0</v>
      </c>
      <c r="G2451" s="2031">
        <v>392.0</v>
      </c>
      <c r="H2451" s="2031">
        <v>392.0</v>
      </c>
    </row>
    <row r="2452">
      <c r="B2452" s="2031">
        <v>2450.0</v>
      </c>
      <c r="C2452" s="2031">
        <v>294.0</v>
      </c>
      <c r="D2452" s="2031">
        <v>588.0</v>
      </c>
      <c r="E2452" s="2031">
        <v>392.0</v>
      </c>
      <c r="F2452" s="2031">
        <v>392.0</v>
      </c>
      <c r="G2452" s="2031">
        <v>392.0</v>
      </c>
      <c r="H2452" s="2031">
        <v>392.0</v>
      </c>
    </row>
    <row r="2453">
      <c r="B2453" s="2031">
        <v>2451.0</v>
      </c>
      <c r="C2453" s="2031">
        <v>294.0</v>
      </c>
      <c r="D2453" s="2031">
        <v>589.0</v>
      </c>
      <c r="E2453" s="2031">
        <v>392.0</v>
      </c>
      <c r="F2453" s="2031">
        <v>392.0</v>
      </c>
      <c r="G2453" s="2031">
        <v>392.0</v>
      </c>
      <c r="H2453" s="2031">
        <v>392.0</v>
      </c>
    </row>
    <row r="2454">
      <c r="B2454" s="2031">
        <v>2452.0</v>
      </c>
      <c r="C2454" s="2031">
        <v>295.0</v>
      </c>
      <c r="D2454" s="2031">
        <v>589.0</v>
      </c>
      <c r="E2454" s="2031">
        <v>392.0</v>
      </c>
      <c r="F2454" s="2031">
        <v>392.0</v>
      </c>
      <c r="G2454" s="2031">
        <v>392.0</v>
      </c>
      <c r="H2454" s="2031">
        <v>392.0</v>
      </c>
    </row>
    <row r="2455">
      <c r="B2455" s="2031">
        <v>2453.0</v>
      </c>
      <c r="C2455" s="2031">
        <v>294.0</v>
      </c>
      <c r="D2455" s="2031">
        <v>589.0</v>
      </c>
      <c r="E2455" s="2031">
        <v>392.0</v>
      </c>
      <c r="F2455" s="2031">
        <v>392.0</v>
      </c>
      <c r="G2455" s="2031">
        <v>393.0</v>
      </c>
      <c r="H2455" s="2031">
        <v>393.0</v>
      </c>
    </row>
    <row r="2456">
      <c r="B2456" s="2031">
        <v>2454.0</v>
      </c>
      <c r="C2456" s="2031">
        <v>295.0</v>
      </c>
      <c r="D2456" s="2031">
        <v>589.0</v>
      </c>
      <c r="E2456" s="2031">
        <v>392.0</v>
      </c>
      <c r="F2456" s="2031">
        <v>392.0</v>
      </c>
      <c r="G2456" s="2031">
        <v>393.0</v>
      </c>
      <c r="H2456" s="2031">
        <v>393.0</v>
      </c>
    </row>
    <row r="2457">
      <c r="B2457" s="2031">
        <v>2455.0</v>
      </c>
      <c r="C2457" s="2031">
        <v>294.0</v>
      </c>
      <c r="D2457" s="2031">
        <v>589.0</v>
      </c>
      <c r="E2457" s="2031">
        <v>393.0</v>
      </c>
      <c r="F2457" s="2031">
        <v>393.0</v>
      </c>
      <c r="G2457" s="2031">
        <v>393.0</v>
      </c>
      <c r="H2457" s="2031">
        <v>393.0</v>
      </c>
    </row>
    <row r="2458">
      <c r="B2458" s="2031">
        <v>2456.0</v>
      </c>
      <c r="C2458" s="2031">
        <v>295.0</v>
      </c>
      <c r="D2458" s="2031">
        <v>589.0</v>
      </c>
      <c r="E2458" s="2031">
        <v>393.0</v>
      </c>
      <c r="F2458" s="2031">
        <v>393.0</v>
      </c>
      <c r="G2458" s="2031">
        <v>393.0</v>
      </c>
      <c r="H2458" s="2031">
        <v>393.0</v>
      </c>
    </row>
    <row r="2459">
      <c r="B2459" s="2031">
        <v>2457.0</v>
      </c>
      <c r="C2459" s="2031">
        <v>295.0</v>
      </c>
      <c r="D2459" s="2031">
        <v>590.0</v>
      </c>
      <c r="E2459" s="2031">
        <v>393.0</v>
      </c>
      <c r="F2459" s="2031">
        <v>393.0</v>
      </c>
      <c r="G2459" s="2031">
        <v>393.0</v>
      </c>
      <c r="H2459" s="2031">
        <v>393.0</v>
      </c>
    </row>
    <row r="2460">
      <c r="B2460" s="2031">
        <v>2458.0</v>
      </c>
      <c r="C2460" s="2031">
        <v>295.0</v>
      </c>
      <c r="D2460" s="2031">
        <v>589.0</v>
      </c>
      <c r="E2460" s="2031">
        <v>393.0</v>
      </c>
      <c r="F2460" s="2031">
        <v>393.0</v>
      </c>
      <c r="G2460" s="2031">
        <v>394.0</v>
      </c>
      <c r="H2460" s="2031">
        <v>394.0</v>
      </c>
    </row>
    <row r="2461">
      <c r="B2461" s="2031">
        <v>2459.0</v>
      </c>
      <c r="C2461" s="2031">
        <v>295.0</v>
      </c>
      <c r="D2461" s="2031">
        <v>590.0</v>
      </c>
      <c r="E2461" s="2031">
        <v>393.0</v>
      </c>
      <c r="F2461" s="2031">
        <v>393.0</v>
      </c>
      <c r="G2461" s="2031">
        <v>394.0</v>
      </c>
      <c r="H2461" s="2031">
        <v>394.0</v>
      </c>
    </row>
    <row r="2462">
      <c r="B2462" s="2031">
        <v>2460.0</v>
      </c>
      <c r="C2462" s="2031">
        <v>295.0</v>
      </c>
      <c r="D2462" s="2031">
        <v>591.0</v>
      </c>
      <c r="E2462" s="2031">
        <v>393.0</v>
      </c>
      <c r="F2462" s="2031">
        <v>393.0</v>
      </c>
      <c r="G2462" s="2031">
        <v>394.0</v>
      </c>
      <c r="H2462" s="2031">
        <v>394.0</v>
      </c>
    </row>
    <row r="2463">
      <c r="B2463" s="2031">
        <v>2461.0</v>
      </c>
      <c r="C2463" s="2031">
        <v>295.0</v>
      </c>
      <c r="D2463" s="2031">
        <v>590.0</v>
      </c>
      <c r="E2463" s="2031">
        <v>394.0</v>
      </c>
      <c r="F2463" s="2031">
        <v>394.0</v>
      </c>
      <c r="G2463" s="2031">
        <v>394.0</v>
      </c>
      <c r="H2463" s="2031">
        <v>394.0</v>
      </c>
    </row>
    <row r="2464">
      <c r="B2464" s="2031">
        <v>2462.0</v>
      </c>
      <c r="C2464" s="2031">
        <v>295.0</v>
      </c>
      <c r="D2464" s="2031">
        <v>591.0</v>
      </c>
      <c r="E2464" s="2031">
        <v>394.0</v>
      </c>
      <c r="F2464" s="2031">
        <v>394.0</v>
      </c>
      <c r="G2464" s="2031">
        <v>394.0</v>
      </c>
      <c r="H2464" s="2031">
        <v>394.0</v>
      </c>
    </row>
    <row r="2465">
      <c r="B2465" s="2031">
        <v>2463.0</v>
      </c>
      <c r="C2465" s="2031">
        <v>296.0</v>
      </c>
      <c r="D2465" s="2031">
        <v>591.0</v>
      </c>
      <c r="E2465" s="2031">
        <v>394.0</v>
      </c>
      <c r="F2465" s="2031">
        <v>394.0</v>
      </c>
      <c r="G2465" s="2031">
        <v>394.0</v>
      </c>
      <c r="H2465" s="2031">
        <v>394.0</v>
      </c>
    </row>
    <row r="2466">
      <c r="B2466" s="2031">
        <v>2464.0</v>
      </c>
      <c r="C2466" s="2031">
        <v>296.0</v>
      </c>
      <c r="D2466" s="2031">
        <v>592.0</v>
      </c>
      <c r="E2466" s="2031">
        <v>394.0</v>
      </c>
      <c r="F2466" s="2031">
        <v>394.0</v>
      </c>
      <c r="G2466" s="2031">
        <v>394.0</v>
      </c>
      <c r="H2466" s="2031">
        <v>394.0</v>
      </c>
    </row>
    <row r="2467">
      <c r="B2467" s="2031">
        <v>2465.0</v>
      </c>
      <c r="C2467" s="2031">
        <v>296.0</v>
      </c>
      <c r="D2467" s="2031">
        <v>591.0</v>
      </c>
      <c r="E2467" s="2031">
        <v>394.0</v>
      </c>
      <c r="F2467" s="2031">
        <v>394.0</v>
      </c>
      <c r="G2467" s="2031">
        <v>395.0</v>
      </c>
      <c r="H2467" s="2031">
        <v>395.0</v>
      </c>
    </row>
    <row r="2468">
      <c r="B2468" s="2031">
        <v>2466.0</v>
      </c>
      <c r="C2468" s="2031">
        <v>296.0</v>
      </c>
      <c r="D2468" s="2031">
        <v>592.0</v>
      </c>
      <c r="E2468" s="2031">
        <v>394.0</v>
      </c>
      <c r="F2468" s="2031">
        <v>394.0</v>
      </c>
      <c r="G2468" s="2031">
        <v>395.0</v>
      </c>
      <c r="H2468" s="2031">
        <v>395.0</v>
      </c>
    </row>
    <row r="2469">
      <c r="B2469" s="2031">
        <v>2467.0</v>
      </c>
      <c r="C2469" s="2031">
        <v>296.0</v>
      </c>
      <c r="D2469" s="2031">
        <v>593.0</v>
      </c>
      <c r="E2469" s="2031">
        <v>394.0</v>
      </c>
      <c r="F2469" s="2031">
        <v>394.0</v>
      </c>
      <c r="G2469" s="2031">
        <v>395.0</v>
      </c>
      <c r="H2469" s="2031">
        <v>395.0</v>
      </c>
    </row>
    <row r="2470">
      <c r="B2470" s="2031">
        <v>2468.0</v>
      </c>
      <c r="C2470" s="2031">
        <v>296.0</v>
      </c>
      <c r="D2470" s="2031">
        <v>592.0</v>
      </c>
      <c r="E2470" s="2031">
        <v>395.0</v>
      </c>
      <c r="F2470" s="2031">
        <v>395.0</v>
      </c>
      <c r="G2470" s="2031">
        <v>395.0</v>
      </c>
      <c r="H2470" s="2031">
        <v>395.0</v>
      </c>
    </row>
    <row r="2471">
      <c r="B2471" s="2031">
        <v>2469.0</v>
      </c>
      <c r="C2471" s="2031">
        <v>296.0</v>
      </c>
      <c r="D2471" s="2031">
        <v>593.0</v>
      </c>
      <c r="E2471" s="2031">
        <v>395.0</v>
      </c>
      <c r="F2471" s="2031">
        <v>395.0</v>
      </c>
      <c r="G2471" s="2031">
        <v>395.0</v>
      </c>
      <c r="H2471" s="2031">
        <v>395.0</v>
      </c>
    </row>
    <row r="2472">
      <c r="B2472" s="2031">
        <v>2470.0</v>
      </c>
      <c r="C2472" s="2031">
        <v>297.0</v>
      </c>
      <c r="D2472" s="2031">
        <v>593.0</v>
      </c>
      <c r="E2472" s="2031">
        <v>395.0</v>
      </c>
      <c r="F2472" s="2031">
        <v>395.0</v>
      </c>
      <c r="G2472" s="2031">
        <v>395.0</v>
      </c>
      <c r="H2472" s="2031">
        <v>395.0</v>
      </c>
    </row>
    <row r="2473">
      <c r="B2473" s="2031">
        <v>2471.0</v>
      </c>
      <c r="C2473" s="2031">
        <v>296.0</v>
      </c>
      <c r="D2473" s="2031">
        <v>593.0</v>
      </c>
      <c r="E2473" s="2031">
        <v>395.0</v>
      </c>
      <c r="F2473" s="2031">
        <v>395.0</v>
      </c>
      <c r="G2473" s="2031">
        <v>396.0</v>
      </c>
      <c r="H2473" s="2031">
        <v>396.0</v>
      </c>
    </row>
    <row r="2474">
      <c r="B2474" s="2031">
        <v>2472.0</v>
      </c>
      <c r="C2474" s="2031">
        <v>297.0</v>
      </c>
      <c r="D2474" s="2031">
        <v>593.0</v>
      </c>
      <c r="E2474" s="2031">
        <v>395.0</v>
      </c>
      <c r="F2474" s="2031">
        <v>395.0</v>
      </c>
      <c r="G2474" s="2031">
        <v>396.0</v>
      </c>
      <c r="H2474" s="2031">
        <v>396.0</v>
      </c>
    </row>
    <row r="2475">
      <c r="B2475" s="2031">
        <v>2473.0</v>
      </c>
      <c r="C2475" s="2031">
        <v>296.0</v>
      </c>
      <c r="D2475" s="2031">
        <v>593.0</v>
      </c>
      <c r="E2475" s="2031">
        <v>396.0</v>
      </c>
      <c r="F2475" s="2031">
        <v>396.0</v>
      </c>
      <c r="G2475" s="2031">
        <v>396.0</v>
      </c>
      <c r="H2475" s="2031">
        <v>396.0</v>
      </c>
    </row>
    <row r="2476">
      <c r="B2476" s="2031">
        <v>2474.0</v>
      </c>
      <c r="C2476" s="2031">
        <v>297.0</v>
      </c>
      <c r="D2476" s="2031">
        <v>593.0</v>
      </c>
      <c r="E2476" s="2031">
        <v>396.0</v>
      </c>
      <c r="F2476" s="2031">
        <v>396.0</v>
      </c>
      <c r="G2476" s="2031">
        <v>396.0</v>
      </c>
      <c r="H2476" s="2031">
        <v>396.0</v>
      </c>
    </row>
    <row r="2477">
      <c r="B2477" s="2031">
        <v>2475.0</v>
      </c>
      <c r="C2477" s="2031">
        <v>297.0</v>
      </c>
      <c r="D2477" s="2031">
        <v>594.0</v>
      </c>
      <c r="E2477" s="2031">
        <v>396.0</v>
      </c>
      <c r="F2477" s="2031">
        <v>396.0</v>
      </c>
      <c r="G2477" s="2031">
        <v>396.0</v>
      </c>
      <c r="H2477" s="2031">
        <v>396.0</v>
      </c>
    </row>
    <row r="2478">
      <c r="B2478" s="2031">
        <v>2476.0</v>
      </c>
      <c r="C2478" s="2031">
        <v>297.0</v>
      </c>
      <c r="D2478" s="2031">
        <v>595.0</v>
      </c>
      <c r="E2478" s="2031">
        <v>396.0</v>
      </c>
      <c r="F2478" s="2031">
        <v>396.0</v>
      </c>
      <c r="G2478" s="2031">
        <v>396.0</v>
      </c>
      <c r="H2478" s="2031">
        <v>396.0</v>
      </c>
    </row>
    <row r="2479">
      <c r="B2479" s="2031">
        <v>2477.0</v>
      </c>
      <c r="C2479" s="2031">
        <v>298.0</v>
      </c>
      <c r="D2479" s="2031">
        <v>595.0</v>
      </c>
      <c r="E2479" s="2031">
        <v>396.0</v>
      </c>
      <c r="F2479" s="2031">
        <v>396.0</v>
      </c>
      <c r="G2479" s="2031">
        <v>396.0</v>
      </c>
      <c r="H2479" s="2031">
        <v>396.0</v>
      </c>
    </row>
    <row r="2480">
      <c r="B2480" s="2031">
        <v>2478.0</v>
      </c>
      <c r="C2480" s="2031">
        <v>297.0</v>
      </c>
      <c r="D2480" s="2031">
        <v>595.0</v>
      </c>
      <c r="E2480" s="2031">
        <v>396.0</v>
      </c>
      <c r="F2480" s="2031">
        <v>396.0</v>
      </c>
      <c r="G2480" s="2031">
        <v>397.0</v>
      </c>
      <c r="H2480" s="2031">
        <v>397.0</v>
      </c>
    </row>
    <row r="2481">
      <c r="B2481" s="2031">
        <v>2479.0</v>
      </c>
      <c r="C2481" s="2031">
        <v>298.0</v>
      </c>
      <c r="D2481" s="2031">
        <v>595.0</v>
      </c>
      <c r="E2481" s="2031">
        <v>396.0</v>
      </c>
      <c r="F2481" s="2031">
        <v>396.0</v>
      </c>
      <c r="G2481" s="2031">
        <v>397.0</v>
      </c>
      <c r="H2481" s="2031">
        <v>397.0</v>
      </c>
    </row>
    <row r="2482">
      <c r="B2482" s="2031">
        <v>2480.0</v>
      </c>
      <c r="C2482" s="2031">
        <v>297.0</v>
      </c>
      <c r="D2482" s="2031">
        <v>595.0</v>
      </c>
      <c r="E2482" s="2031">
        <v>397.0</v>
      </c>
      <c r="F2482" s="2031">
        <v>397.0</v>
      </c>
      <c r="G2482" s="2031">
        <v>397.0</v>
      </c>
      <c r="H2482" s="2031">
        <v>397.0</v>
      </c>
    </row>
    <row r="2483">
      <c r="B2483" s="2031">
        <v>2481.0</v>
      </c>
      <c r="C2483" s="2031">
        <v>298.0</v>
      </c>
      <c r="D2483" s="2031">
        <v>595.0</v>
      </c>
      <c r="E2483" s="2031">
        <v>397.0</v>
      </c>
      <c r="F2483" s="2031">
        <v>397.0</v>
      </c>
      <c r="G2483" s="2031">
        <v>397.0</v>
      </c>
      <c r="H2483" s="2031">
        <v>397.0</v>
      </c>
    </row>
    <row r="2484">
      <c r="B2484" s="2031">
        <v>2482.0</v>
      </c>
      <c r="C2484" s="2031">
        <v>298.0</v>
      </c>
      <c r="D2484" s="2031">
        <v>596.0</v>
      </c>
      <c r="E2484" s="2031">
        <v>397.0</v>
      </c>
      <c r="F2484" s="2031">
        <v>397.0</v>
      </c>
      <c r="G2484" s="2031">
        <v>397.0</v>
      </c>
      <c r="H2484" s="2031">
        <v>397.0</v>
      </c>
    </row>
    <row r="2485">
      <c r="B2485" s="2031">
        <v>2483.0</v>
      </c>
      <c r="C2485" s="2031">
        <v>298.0</v>
      </c>
      <c r="D2485" s="2031">
        <v>595.0</v>
      </c>
      <c r="E2485" s="2031">
        <v>397.0</v>
      </c>
      <c r="F2485" s="2031">
        <v>397.0</v>
      </c>
      <c r="G2485" s="2031">
        <v>398.0</v>
      </c>
      <c r="H2485" s="2031">
        <v>398.0</v>
      </c>
    </row>
    <row r="2486">
      <c r="B2486" s="2031">
        <v>2484.0</v>
      </c>
      <c r="C2486" s="2031">
        <v>298.0</v>
      </c>
      <c r="D2486" s="2031">
        <v>596.0</v>
      </c>
      <c r="E2486" s="2031">
        <v>397.0</v>
      </c>
      <c r="F2486" s="2031">
        <v>397.0</v>
      </c>
      <c r="G2486" s="2031">
        <v>398.0</v>
      </c>
      <c r="H2486" s="2031">
        <v>398.0</v>
      </c>
    </row>
    <row r="2487">
      <c r="B2487" s="2031">
        <v>2485.0</v>
      </c>
      <c r="C2487" s="2031">
        <v>298.0</v>
      </c>
      <c r="D2487" s="2031">
        <v>597.0</v>
      </c>
      <c r="E2487" s="2031">
        <v>397.0</v>
      </c>
      <c r="F2487" s="2031">
        <v>397.0</v>
      </c>
      <c r="G2487" s="2031">
        <v>398.0</v>
      </c>
      <c r="H2487" s="2031">
        <v>398.0</v>
      </c>
    </row>
    <row r="2488">
      <c r="B2488" s="2031">
        <v>2486.0</v>
      </c>
      <c r="C2488" s="2031">
        <v>298.0</v>
      </c>
      <c r="D2488" s="2031">
        <v>596.0</v>
      </c>
      <c r="E2488" s="2031">
        <v>398.0</v>
      </c>
      <c r="F2488" s="2031">
        <v>398.0</v>
      </c>
      <c r="G2488" s="2031">
        <v>398.0</v>
      </c>
      <c r="H2488" s="2031">
        <v>398.0</v>
      </c>
    </row>
    <row r="2489">
      <c r="B2489" s="2031">
        <v>2487.0</v>
      </c>
      <c r="C2489" s="2031">
        <v>298.0</v>
      </c>
      <c r="D2489" s="2031">
        <v>597.0</v>
      </c>
      <c r="E2489" s="2031">
        <v>398.0</v>
      </c>
      <c r="F2489" s="2031">
        <v>398.0</v>
      </c>
      <c r="G2489" s="2031">
        <v>398.0</v>
      </c>
      <c r="H2489" s="2031">
        <v>398.0</v>
      </c>
    </row>
    <row r="2490">
      <c r="B2490" s="2031">
        <v>2488.0</v>
      </c>
      <c r="C2490" s="2031">
        <v>299.0</v>
      </c>
      <c r="D2490" s="2031">
        <v>597.0</v>
      </c>
      <c r="E2490" s="2031">
        <v>398.0</v>
      </c>
      <c r="F2490" s="2031">
        <v>398.0</v>
      </c>
      <c r="G2490" s="2031">
        <v>398.0</v>
      </c>
      <c r="H2490" s="2031">
        <v>398.0</v>
      </c>
    </row>
    <row r="2491">
      <c r="B2491" s="2031">
        <v>2489.0</v>
      </c>
      <c r="C2491" s="2031">
        <v>299.0</v>
      </c>
      <c r="D2491" s="2031">
        <v>598.0</v>
      </c>
      <c r="E2491" s="2031">
        <v>398.0</v>
      </c>
      <c r="F2491" s="2031">
        <v>398.0</v>
      </c>
      <c r="G2491" s="2031">
        <v>398.0</v>
      </c>
      <c r="H2491" s="2031">
        <v>398.0</v>
      </c>
    </row>
    <row r="2492">
      <c r="B2492" s="2031">
        <v>2490.0</v>
      </c>
      <c r="C2492" s="2031">
        <v>299.0</v>
      </c>
      <c r="D2492" s="2031">
        <v>597.0</v>
      </c>
      <c r="E2492" s="2031">
        <v>398.0</v>
      </c>
      <c r="F2492" s="2031">
        <v>398.0</v>
      </c>
      <c r="G2492" s="2031">
        <v>399.0</v>
      </c>
      <c r="H2492" s="2031">
        <v>399.0</v>
      </c>
    </row>
    <row r="2493">
      <c r="B2493" s="2031">
        <v>2491.0</v>
      </c>
      <c r="C2493" s="2031">
        <v>299.0</v>
      </c>
      <c r="D2493" s="2031">
        <v>598.0</v>
      </c>
      <c r="E2493" s="2031">
        <v>398.0</v>
      </c>
      <c r="F2493" s="2031">
        <v>398.0</v>
      </c>
      <c r="G2493" s="2031">
        <v>399.0</v>
      </c>
      <c r="H2493" s="2031">
        <v>399.0</v>
      </c>
    </row>
    <row r="2494">
      <c r="B2494" s="2031">
        <v>2492.0</v>
      </c>
      <c r="C2494" s="2031">
        <v>299.0</v>
      </c>
      <c r="D2494" s="2031">
        <v>599.0</v>
      </c>
      <c r="E2494" s="2031">
        <v>398.0</v>
      </c>
      <c r="F2494" s="2031">
        <v>398.0</v>
      </c>
      <c r="G2494" s="2031">
        <v>399.0</v>
      </c>
      <c r="H2494" s="2031">
        <v>399.0</v>
      </c>
    </row>
    <row r="2495">
      <c r="B2495" s="2031">
        <v>2493.0</v>
      </c>
      <c r="C2495" s="2031">
        <v>299.0</v>
      </c>
      <c r="D2495" s="2031">
        <v>598.0</v>
      </c>
      <c r="E2495" s="2031">
        <v>399.0</v>
      </c>
      <c r="F2495" s="2031">
        <v>399.0</v>
      </c>
      <c r="G2495" s="2031">
        <v>399.0</v>
      </c>
      <c r="H2495" s="2031">
        <v>399.0</v>
      </c>
    </row>
    <row r="2496">
      <c r="B2496" s="2031">
        <v>2494.0</v>
      </c>
      <c r="C2496" s="2031">
        <v>299.0</v>
      </c>
      <c r="D2496" s="2031">
        <v>599.0</v>
      </c>
      <c r="E2496" s="2031">
        <v>399.0</v>
      </c>
      <c r="F2496" s="2031">
        <v>399.0</v>
      </c>
      <c r="G2496" s="2031">
        <v>399.0</v>
      </c>
      <c r="H2496" s="2031">
        <v>399.0</v>
      </c>
    </row>
    <row r="2497">
      <c r="B2497" s="2031">
        <v>2495.0</v>
      </c>
      <c r="C2497" s="2031">
        <v>300.0</v>
      </c>
      <c r="D2497" s="2031">
        <v>599.0</v>
      </c>
      <c r="E2497" s="2031">
        <v>399.0</v>
      </c>
      <c r="F2497" s="2031">
        <v>399.0</v>
      </c>
      <c r="G2497" s="2031">
        <v>399.0</v>
      </c>
      <c r="H2497" s="2031">
        <v>399.0</v>
      </c>
    </row>
    <row r="2498">
      <c r="B2498" s="2031">
        <v>2496.0</v>
      </c>
      <c r="C2498" s="2031">
        <v>299.0</v>
      </c>
      <c r="D2498" s="2031">
        <v>599.0</v>
      </c>
      <c r="E2498" s="2031">
        <v>399.0</v>
      </c>
      <c r="F2498" s="2031">
        <v>399.0</v>
      </c>
      <c r="G2498" s="2031">
        <v>400.0</v>
      </c>
      <c r="H2498" s="2031">
        <v>400.0</v>
      </c>
    </row>
    <row r="2499">
      <c r="B2499" s="2031">
        <v>2497.0</v>
      </c>
      <c r="C2499" s="2031">
        <v>300.0</v>
      </c>
      <c r="D2499" s="2031">
        <v>599.0</v>
      </c>
      <c r="E2499" s="2031">
        <v>399.0</v>
      </c>
      <c r="F2499" s="2031">
        <v>399.0</v>
      </c>
      <c r="G2499" s="2031">
        <v>400.0</v>
      </c>
      <c r="H2499" s="2031">
        <v>400.0</v>
      </c>
    </row>
    <row r="2500">
      <c r="B2500" s="2031">
        <v>2498.0</v>
      </c>
      <c r="C2500" s="2031">
        <v>299.0</v>
      </c>
      <c r="D2500" s="2031">
        <v>599.0</v>
      </c>
      <c r="E2500" s="2031">
        <v>400.0</v>
      </c>
      <c r="F2500" s="2031">
        <v>400.0</v>
      </c>
      <c r="G2500" s="2031">
        <v>400.0</v>
      </c>
      <c r="H2500" s="2031">
        <v>400.0</v>
      </c>
    </row>
    <row r="2501">
      <c r="B2501" s="2031">
        <v>2499.0</v>
      </c>
      <c r="C2501" s="2031">
        <v>300.0</v>
      </c>
      <c r="D2501" s="2031">
        <v>599.0</v>
      </c>
      <c r="E2501" s="2031">
        <v>400.0</v>
      </c>
      <c r="F2501" s="2031">
        <v>400.0</v>
      </c>
      <c r="G2501" s="2031">
        <v>400.0</v>
      </c>
      <c r="H2501" s="2031">
        <v>400.0</v>
      </c>
    </row>
    <row r="2502">
      <c r="B2502" s="2031">
        <v>2500.0</v>
      </c>
      <c r="C2502" s="2031">
        <v>300.0</v>
      </c>
      <c r="D2502" s="2031">
        <v>600.0</v>
      </c>
      <c r="E2502" s="2031">
        <v>400.0</v>
      </c>
      <c r="F2502" s="2031">
        <v>400.0</v>
      </c>
      <c r="G2502" s="2031">
        <v>400.0</v>
      </c>
      <c r="H2502" s="2031">
        <v>400.0</v>
      </c>
    </row>
    <row r="2503">
      <c r="B2503" s="2031">
        <v>2501.0</v>
      </c>
      <c r="C2503" s="2031">
        <v>300.0</v>
      </c>
      <c r="D2503" s="2031">
        <v>601.0</v>
      </c>
      <c r="E2503" s="2031">
        <v>400.0</v>
      </c>
      <c r="F2503" s="2031">
        <v>400.0</v>
      </c>
      <c r="G2503" s="2031">
        <v>400.0</v>
      </c>
      <c r="H2503" s="2031">
        <v>400.0</v>
      </c>
    </row>
    <row r="2504">
      <c r="B2504" s="2031">
        <v>2502.0</v>
      </c>
      <c r="C2504" s="2031">
        <v>301.0</v>
      </c>
      <c r="D2504" s="2031">
        <v>601.0</v>
      </c>
      <c r="E2504" s="2031">
        <v>400.0</v>
      </c>
      <c r="F2504" s="2031">
        <v>400.0</v>
      </c>
      <c r="G2504" s="2031">
        <v>400.0</v>
      </c>
      <c r="H2504" s="2031">
        <v>400.0</v>
      </c>
    </row>
    <row r="2505">
      <c r="B2505" s="2031">
        <v>2503.0</v>
      </c>
      <c r="C2505" s="2031">
        <v>300.0</v>
      </c>
      <c r="D2505" s="2031">
        <v>601.0</v>
      </c>
      <c r="E2505" s="2031">
        <v>400.0</v>
      </c>
      <c r="F2505" s="2031">
        <v>400.0</v>
      </c>
      <c r="G2505" s="2031">
        <v>401.0</v>
      </c>
      <c r="H2505" s="2031">
        <v>401.0</v>
      </c>
    </row>
    <row r="2506">
      <c r="B2506" s="2031">
        <v>2504.0</v>
      </c>
      <c r="C2506" s="2031">
        <v>301.0</v>
      </c>
      <c r="D2506" s="2031">
        <v>601.0</v>
      </c>
      <c r="E2506" s="2031">
        <v>400.0</v>
      </c>
      <c r="F2506" s="2031">
        <v>400.0</v>
      </c>
      <c r="G2506" s="2031">
        <v>401.0</v>
      </c>
      <c r="H2506" s="2031">
        <v>401.0</v>
      </c>
    </row>
    <row r="2507">
      <c r="B2507" s="2031">
        <v>2505.0</v>
      </c>
      <c r="C2507" s="2031">
        <v>300.0</v>
      </c>
      <c r="D2507" s="2031">
        <v>601.0</v>
      </c>
      <c r="E2507" s="2031">
        <v>401.0</v>
      </c>
      <c r="F2507" s="2031">
        <v>401.0</v>
      </c>
      <c r="G2507" s="2031">
        <v>401.0</v>
      </c>
      <c r="H2507" s="2031">
        <v>401.0</v>
      </c>
    </row>
    <row r="2508">
      <c r="B2508" s="2031">
        <v>2506.0</v>
      </c>
      <c r="C2508" s="2031">
        <v>301.0</v>
      </c>
      <c r="D2508" s="2031">
        <v>601.0</v>
      </c>
      <c r="E2508" s="2031">
        <v>401.0</v>
      </c>
      <c r="F2508" s="2031">
        <v>401.0</v>
      </c>
      <c r="G2508" s="2031">
        <v>401.0</v>
      </c>
      <c r="H2508" s="2031">
        <v>401.0</v>
      </c>
    </row>
    <row r="2509">
      <c r="B2509" s="2031">
        <v>2507.0</v>
      </c>
      <c r="C2509" s="2031">
        <v>301.0</v>
      </c>
      <c r="D2509" s="2031">
        <v>602.0</v>
      </c>
      <c r="E2509" s="2031">
        <v>401.0</v>
      </c>
      <c r="F2509" s="2031">
        <v>401.0</v>
      </c>
      <c r="G2509" s="2031">
        <v>401.0</v>
      </c>
      <c r="H2509" s="2031">
        <v>401.0</v>
      </c>
    </row>
    <row r="2510">
      <c r="B2510" s="2031">
        <v>2508.0</v>
      </c>
      <c r="C2510" s="2031">
        <v>301.0</v>
      </c>
      <c r="D2510" s="2031">
        <v>601.0</v>
      </c>
      <c r="E2510" s="2031">
        <v>401.0</v>
      </c>
      <c r="F2510" s="2031">
        <v>401.0</v>
      </c>
      <c r="G2510" s="2031">
        <v>402.0</v>
      </c>
      <c r="H2510" s="2031">
        <v>402.0</v>
      </c>
    </row>
    <row r="2511">
      <c r="B2511" s="2031">
        <v>2509.0</v>
      </c>
      <c r="C2511" s="2031">
        <v>301.0</v>
      </c>
      <c r="D2511" s="2031">
        <v>602.0</v>
      </c>
      <c r="E2511" s="2031">
        <v>401.0</v>
      </c>
      <c r="F2511" s="2031">
        <v>401.0</v>
      </c>
      <c r="G2511" s="2031">
        <v>402.0</v>
      </c>
      <c r="H2511" s="2031">
        <v>402.0</v>
      </c>
    </row>
    <row r="2512">
      <c r="B2512" s="2031">
        <v>2510.0</v>
      </c>
      <c r="C2512" s="2031">
        <v>301.0</v>
      </c>
      <c r="D2512" s="2031">
        <v>603.0</v>
      </c>
      <c r="E2512" s="2031">
        <v>401.0</v>
      </c>
      <c r="F2512" s="2031">
        <v>401.0</v>
      </c>
      <c r="G2512" s="2031">
        <v>402.0</v>
      </c>
      <c r="H2512" s="2031">
        <v>402.0</v>
      </c>
    </row>
    <row r="2513">
      <c r="B2513" s="2031">
        <v>2511.0</v>
      </c>
      <c r="C2513" s="2031">
        <v>301.0</v>
      </c>
      <c r="D2513" s="2031">
        <v>602.0</v>
      </c>
      <c r="E2513" s="2031">
        <v>402.0</v>
      </c>
      <c r="F2513" s="2031">
        <v>402.0</v>
      </c>
      <c r="G2513" s="2031">
        <v>402.0</v>
      </c>
      <c r="H2513" s="2031">
        <v>402.0</v>
      </c>
    </row>
    <row r="2514">
      <c r="B2514" s="2031">
        <v>2512.0</v>
      </c>
      <c r="C2514" s="2031">
        <v>301.0</v>
      </c>
      <c r="D2514" s="2031">
        <v>603.0</v>
      </c>
      <c r="E2514" s="2031">
        <v>402.0</v>
      </c>
      <c r="F2514" s="2031">
        <v>402.0</v>
      </c>
      <c r="G2514" s="2031">
        <v>402.0</v>
      </c>
      <c r="H2514" s="2031">
        <v>402.0</v>
      </c>
    </row>
    <row r="2515">
      <c r="B2515" s="2031">
        <v>2513.0</v>
      </c>
      <c r="C2515" s="2031">
        <v>302.0</v>
      </c>
      <c r="D2515" s="2031">
        <v>603.0</v>
      </c>
      <c r="E2515" s="2031">
        <v>402.0</v>
      </c>
      <c r="F2515" s="2031">
        <v>402.0</v>
      </c>
      <c r="G2515" s="2031">
        <v>402.0</v>
      </c>
      <c r="H2515" s="2031">
        <v>402.0</v>
      </c>
    </row>
    <row r="2516">
      <c r="B2516" s="2031">
        <v>2514.0</v>
      </c>
      <c r="C2516" s="2031">
        <v>302.0</v>
      </c>
      <c r="D2516" s="2031">
        <v>604.0</v>
      </c>
      <c r="E2516" s="2031">
        <v>402.0</v>
      </c>
      <c r="F2516" s="2031">
        <v>402.0</v>
      </c>
      <c r="G2516" s="2031">
        <v>402.0</v>
      </c>
      <c r="H2516" s="2031">
        <v>402.0</v>
      </c>
    </row>
    <row r="2517">
      <c r="B2517" s="2031">
        <v>2515.0</v>
      </c>
      <c r="C2517" s="2031">
        <v>302.0</v>
      </c>
      <c r="D2517" s="2031">
        <v>603.0</v>
      </c>
      <c r="E2517" s="2031">
        <v>402.0</v>
      </c>
      <c r="F2517" s="2031">
        <v>402.0</v>
      </c>
      <c r="G2517" s="2031">
        <v>403.0</v>
      </c>
      <c r="H2517" s="2031">
        <v>403.0</v>
      </c>
    </row>
    <row r="2518">
      <c r="B2518" s="2031">
        <v>2516.0</v>
      </c>
      <c r="C2518" s="2031">
        <v>302.0</v>
      </c>
      <c r="D2518" s="2031">
        <v>604.0</v>
      </c>
      <c r="E2518" s="2031">
        <v>402.0</v>
      </c>
      <c r="F2518" s="2031">
        <v>402.0</v>
      </c>
      <c r="G2518" s="2031">
        <v>403.0</v>
      </c>
      <c r="H2518" s="2031">
        <v>403.0</v>
      </c>
    </row>
    <row r="2519">
      <c r="B2519" s="2031">
        <v>2517.0</v>
      </c>
      <c r="C2519" s="2031">
        <v>302.0</v>
      </c>
      <c r="D2519" s="2031">
        <v>605.0</v>
      </c>
      <c r="E2519" s="2031">
        <v>402.0</v>
      </c>
      <c r="F2519" s="2031">
        <v>402.0</v>
      </c>
      <c r="G2519" s="2031">
        <v>403.0</v>
      </c>
      <c r="H2519" s="2031">
        <v>403.0</v>
      </c>
    </row>
    <row r="2520">
      <c r="B2520" s="2031">
        <v>2518.0</v>
      </c>
      <c r="C2520" s="2031">
        <v>302.0</v>
      </c>
      <c r="D2520" s="2031">
        <v>604.0</v>
      </c>
      <c r="E2520" s="2031">
        <v>403.0</v>
      </c>
      <c r="F2520" s="2031">
        <v>403.0</v>
      </c>
      <c r="G2520" s="2031">
        <v>403.0</v>
      </c>
      <c r="H2520" s="2031">
        <v>403.0</v>
      </c>
    </row>
    <row r="2521">
      <c r="B2521" s="2031">
        <v>2519.0</v>
      </c>
      <c r="C2521" s="2031">
        <v>302.0</v>
      </c>
      <c r="D2521" s="2031">
        <v>605.0</v>
      </c>
      <c r="E2521" s="2031">
        <v>403.0</v>
      </c>
      <c r="F2521" s="2031">
        <v>403.0</v>
      </c>
      <c r="G2521" s="2031">
        <v>403.0</v>
      </c>
      <c r="H2521" s="2031">
        <v>403.0</v>
      </c>
    </row>
    <row r="2522">
      <c r="B2522" s="2031">
        <v>2520.0</v>
      </c>
      <c r="C2522" s="2031">
        <v>303.0</v>
      </c>
      <c r="D2522" s="2031">
        <v>605.0</v>
      </c>
      <c r="E2522" s="2031">
        <v>403.0</v>
      </c>
      <c r="F2522" s="2031">
        <v>403.0</v>
      </c>
      <c r="G2522" s="2031">
        <v>403.0</v>
      </c>
      <c r="H2522" s="2031">
        <v>403.0</v>
      </c>
    </row>
    <row r="2523">
      <c r="B2523" s="2031">
        <v>2521.0</v>
      </c>
      <c r="C2523" s="2031">
        <v>302.0</v>
      </c>
      <c r="D2523" s="2031">
        <v>605.0</v>
      </c>
      <c r="E2523" s="2031">
        <v>403.0</v>
      </c>
      <c r="F2523" s="2031">
        <v>403.0</v>
      </c>
      <c r="G2523" s="2031">
        <v>404.0</v>
      </c>
      <c r="H2523" s="2031">
        <v>404.0</v>
      </c>
    </row>
    <row r="2524">
      <c r="B2524" s="2031">
        <v>2522.0</v>
      </c>
      <c r="C2524" s="2031">
        <v>303.0</v>
      </c>
      <c r="D2524" s="2031">
        <v>605.0</v>
      </c>
      <c r="E2524" s="2031">
        <v>403.0</v>
      </c>
      <c r="F2524" s="2031">
        <v>403.0</v>
      </c>
      <c r="G2524" s="2031">
        <v>404.0</v>
      </c>
      <c r="H2524" s="2031">
        <v>404.0</v>
      </c>
    </row>
    <row r="2525">
      <c r="B2525" s="2031">
        <v>2523.0</v>
      </c>
      <c r="C2525" s="2031">
        <v>302.0</v>
      </c>
      <c r="D2525" s="2031">
        <v>605.0</v>
      </c>
      <c r="E2525" s="2031">
        <v>404.0</v>
      </c>
      <c r="F2525" s="2031">
        <v>404.0</v>
      </c>
      <c r="G2525" s="2031">
        <v>404.0</v>
      </c>
      <c r="H2525" s="2031">
        <v>404.0</v>
      </c>
    </row>
    <row r="2526">
      <c r="B2526" s="2031">
        <v>2524.0</v>
      </c>
      <c r="C2526" s="2031">
        <v>303.0</v>
      </c>
      <c r="D2526" s="2031">
        <v>605.0</v>
      </c>
      <c r="E2526" s="2031">
        <v>404.0</v>
      </c>
      <c r="F2526" s="2031">
        <v>404.0</v>
      </c>
      <c r="G2526" s="2031">
        <v>404.0</v>
      </c>
      <c r="H2526" s="2031">
        <v>404.0</v>
      </c>
    </row>
    <row r="2527">
      <c r="B2527" s="2031">
        <v>2525.0</v>
      </c>
      <c r="C2527" s="2031">
        <v>303.0</v>
      </c>
      <c r="D2527" s="2031">
        <v>606.0</v>
      </c>
      <c r="E2527" s="2031">
        <v>404.0</v>
      </c>
      <c r="F2527" s="2031">
        <v>404.0</v>
      </c>
      <c r="G2527" s="2031">
        <v>404.0</v>
      </c>
      <c r="H2527" s="2031">
        <v>404.0</v>
      </c>
    </row>
    <row r="2528">
      <c r="B2528" s="2031">
        <v>2526.0</v>
      </c>
      <c r="C2528" s="2031">
        <v>303.0</v>
      </c>
      <c r="D2528" s="2031">
        <v>607.0</v>
      </c>
      <c r="E2528" s="2031">
        <v>404.0</v>
      </c>
      <c r="F2528" s="2031">
        <v>404.0</v>
      </c>
      <c r="G2528" s="2031">
        <v>404.0</v>
      </c>
      <c r="H2528" s="2031">
        <v>404.0</v>
      </c>
    </row>
    <row r="2529">
      <c r="B2529" s="2031">
        <v>2527.0</v>
      </c>
      <c r="C2529" s="2031">
        <v>304.0</v>
      </c>
      <c r="D2529" s="2031">
        <v>607.0</v>
      </c>
      <c r="E2529" s="2031">
        <v>404.0</v>
      </c>
      <c r="F2529" s="2031">
        <v>404.0</v>
      </c>
      <c r="G2529" s="2031">
        <v>404.0</v>
      </c>
      <c r="H2529" s="2031">
        <v>404.0</v>
      </c>
    </row>
    <row r="2530">
      <c r="B2530" s="2031">
        <v>2528.0</v>
      </c>
      <c r="C2530" s="2031">
        <v>303.0</v>
      </c>
      <c r="D2530" s="2031">
        <v>607.0</v>
      </c>
      <c r="E2530" s="2031">
        <v>404.0</v>
      </c>
      <c r="F2530" s="2031">
        <v>404.0</v>
      </c>
      <c r="G2530" s="2031">
        <v>405.0</v>
      </c>
      <c r="H2530" s="2031">
        <v>405.0</v>
      </c>
    </row>
    <row r="2531">
      <c r="B2531" s="2031">
        <v>2529.0</v>
      </c>
      <c r="C2531" s="2031">
        <v>304.0</v>
      </c>
      <c r="D2531" s="2031">
        <v>607.0</v>
      </c>
      <c r="E2531" s="2031">
        <v>404.0</v>
      </c>
      <c r="F2531" s="2031">
        <v>404.0</v>
      </c>
      <c r="G2531" s="2031">
        <v>405.0</v>
      </c>
      <c r="H2531" s="2031">
        <v>405.0</v>
      </c>
    </row>
    <row r="2532">
      <c r="B2532" s="2031">
        <v>2530.0</v>
      </c>
      <c r="C2532" s="2031">
        <v>303.0</v>
      </c>
      <c r="D2532" s="2031">
        <v>607.0</v>
      </c>
      <c r="E2532" s="2031">
        <v>405.0</v>
      </c>
      <c r="F2532" s="2031">
        <v>405.0</v>
      </c>
      <c r="G2532" s="2031">
        <v>405.0</v>
      </c>
      <c r="H2532" s="2031">
        <v>405.0</v>
      </c>
    </row>
    <row r="2533">
      <c r="B2533" s="2031">
        <v>2531.0</v>
      </c>
      <c r="C2533" s="2031">
        <v>304.0</v>
      </c>
      <c r="D2533" s="2031">
        <v>607.0</v>
      </c>
      <c r="E2533" s="2031">
        <v>405.0</v>
      </c>
      <c r="F2533" s="2031">
        <v>405.0</v>
      </c>
      <c r="G2533" s="2031">
        <v>405.0</v>
      </c>
      <c r="H2533" s="2031">
        <v>405.0</v>
      </c>
    </row>
    <row r="2534">
      <c r="B2534" s="2031">
        <v>2532.0</v>
      </c>
      <c r="C2534" s="2031">
        <v>304.0</v>
      </c>
      <c r="D2534" s="2031">
        <v>608.0</v>
      </c>
      <c r="E2534" s="2031">
        <v>405.0</v>
      </c>
      <c r="F2534" s="2031">
        <v>405.0</v>
      </c>
      <c r="G2534" s="2031">
        <v>405.0</v>
      </c>
      <c r="H2534" s="2031">
        <v>405.0</v>
      </c>
    </row>
    <row r="2535">
      <c r="B2535" s="2031">
        <v>2533.0</v>
      </c>
      <c r="C2535" s="2031">
        <v>304.0</v>
      </c>
      <c r="D2535" s="2031">
        <v>607.0</v>
      </c>
      <c r="E2535" s="2031">
        <v>405.0</v>
      </c>
      <c r="F2535" s="2031">
        <v>405.0</v>
      </c>
      <c r="G2535" s="2031">
        <v>406.0</v>
      </c>
      <c r="H2535" s="2031">
        <v>406.0</v>
      </c>
    </row>
    <row r="2536">
      <c r="B2536" s="2031">
        <v>2534.0</v>
      </c>
      <c r="C2536" s="2031">
        <v>304.0</v>
      </c>
      <c r="D2536" s="2031">
        <v>608.0</v>
      </c>
      <c r="E2536" s="2031">
        <v>405.0</v>
      </c>
      <c r="F2536" s="2031">
        <v>405.0</v>
      </c>
      <c r="G2536" s="2031">
        <v>406.0</v>
      </c>
      <c r="H2536" s="2031">
        <v>406.0</v>
      </c>
    </row>
    <row r="2537">
      <c r="B2537" s="2031">
        <v>2535.0</v>
      </c>
      <c r="C2537" s="2031">
        <v>304.0</v>
      </c>
      <c r="D2537" s="2031">
        <v>609.0</v>
      </c>
      <c r="E2537" s="2031">
        <v>405.0</v>
      </c>
      <c r="F2537" s="2031">
        <v>405.0</v>
      </c>
      <c r="G2537" s="2031">
        <v>406.0</v>
      </c>
      <c r="H2537" s="2031">
        <v>406.0</v>
      </c>
    </row>
    <row r="2538">
      <c r="B2538" s="2031">
        <v>2536.0</v>
      </c>
      <c r="C2538" s="2031">
        <v>304.0</v>
      </c>
      <c r="D2538" s="2031">
        <v>608.0</v>
      </c>
      <c r="E2538" s="2031">
        <v>406.0</v>
      </c>
      <c r="F2538" s="2031">
        <v>406.0</v>
      </c>
      <c r="G2538" s="2031">
        <v>406.0</v>
      </c>
      <c r="H2538" s="2031">
        <v>406.0</v>
      </c>
    </row>
    <row r="2539">
      <c r="B2539" s="2031">
        <v>2537.0</v>
      </c>
      <c r="C2539" s="2031">
        <v>304.0</v>
      </c>
      <c r="D2539" s="2031">
        <v>609.0</v>
      </c>
      <c r="E2539" s="2031">
        <v>406.0</v>
      </c>
      <c r="F2539" s="2031">
        <v>406.0</v>
      </c>
      <c r="G2539" s="2031">
        <v>406.0</v>
      </c>
      <c r="H2539" s="2031">
        <v>406.0</v>
      </c>
    </row>
    <row r="2540">
      <c r="B2540" s="2031">
        <v>2538.0</v>
      </c>
      <c r="C2540" s="2031">
        <v>305.0</v>
      </c>
      <c r="D2540" s="2031">
        <v>609.0</v>
      </c>
      <c r="E2540" s="2031">
        <v>406.0</v>
      </c>
      <c r="F2540" s="2031">
        <v>406.0</v>
      </c>
      <c r="G2540" s="2031">
        <v>406.0</v>
      </c>
      <c r="H2540" s="2031">
        <v>406.0</v>
      </c>
    </row>
    <row r="2541">
      <c r="B2541" s="2031">
        <v>2539.0</v>
      </c>
      <c r="C2541" s="2031">
        <v>305.0</v>
      </c>
      <c r="D2541" s="2031">
        <v>610.0</v>
      </c>
      <c r="E2541" s="2031">
        <v>406.0</v>
      </c>
      <c r="F2541" s="2031">
        <v>406.0</v>
      </c>
      <c r="G2541" s="2031">
        <v>406.0</v>
      </c>
      <c r="H2541" s="2031">
        <v>406.0</v>
      </c>
    </row>
    <row r="2542">
      <c r="B2542" s="2031">
        <v>2540.0</v>
      </c>
      <c r="C2542" s="2031">
        <v>305.0</v>
      </c>
      <c r="D2542" s="2031">
        <v>609.0</v>
      </c>
      <c r="E2542" s="2031">
        <v>406.0</v>
      </c>
      <c r="F2542" s="2031">
        <v>406.0</v>
      </c>
      <c r="G2542" s="2031">
        <v>407.0</v>
      </c>
      <c r="H2542" s="2031">
        <v>407.0</v>
      </c>
    </row>
    <row r="2543">
      <c r="B2543" s="2031">
        <v>2541.0</v>
      </c>
      <c r="C2543" s="2031">
        <v>305.0</v>
      </c>
      <c r="D2543" s="2031">
        <v>610.0</v>
      </c>
      <c r="E2543" s="2031">
        <v>406.0</v>
      </c>
      <c r="F2543" s="2031">
        <v>406.0</v>
      </c>
      <c r="G2543" s="2031">
        <v>407.0</v>
      </c>
      <c r="H2543" s="2031">
        <v>407.0</v>
      </c>
    </row>
    <row r="2544">
      <c r="B2544" s="2031">
        <v>2542.0</v>
      </c>
      <c r="C2544" s="2031">
        <v>305.0</v>
      </c>
      <c r="D2544" s="2031">
        <v>611.0</v>
      </c>
      <c r="E2544" s="2031">
        <v>406.0</v>
      </c>
      <c r="F2544" s="2031">
        <v>406.0</v>
      </c>
      <c r="G2544" s="2031">
        <v>407.0</v>
      </c>
      <c r="H2544" s="2031">
        <v>407.0</v>
      </c>
    </row>
    <row r="2545">
      <c r="B2545" s="2031">
        <v>2543.0</v>
      </c>
      <c r="C2545" s="2031">
        <v>305.0</v>
      </c>
      <c r="D2545" s="2031">
        <v>610.0</v>
      </c>
      <c r="E2545" s="2031">
        <v>407.0</v>
      </c>
      <c r="F2545" s="2031">
        <v>407.0</v>
      </c>
      <c r="G2545" s="2031">
        <v>407.0</v>
      </c>
      <c r="H2545" s="2031">
        <v>407.0</v>
      </c>
    </row>
    <row r="2546">
      <c r="B2546" s="2031">
        <v>2544.0</v>
      </c>
      <c r="C2546" s="2031">
        <v>305.0</v>
      </c>
      <c r="D2546" s="2031">
        <v>611.0</v>
      </c>
      <c r="E2546" s="2031">
        <v>407.0</v>
      </c>
      <c r="F2546" s="2031">
        <v>407.0</v>
      </c>
      <c r="G2546" s="2031">
        <v>407.0</v>
      </c>
      <c r="H2546" s="2031">
        <v>407.0</v>
      </c>
    </row>
    <row r="2547">
      <c r="B2547" s="2031">
        <v>2545.0</v>
      </c>
      <c r="C2547" s="2031">
        <v>306.0</v>
      </c>
      <c r="D2547" s="2031">
        <v>611.0</v>
      </c>
      <c r="E2547" s="2031">
        <v>407.0</v>
      </c>
      <c r="F2547" s="2031">
        <v>407.0</v>
      </c>
      <c r="G2547" s="2031">
        <v>407.0</v>
      </c>
      <c r="H2547" s="2031">
        <v>407.0</v>
      </c>
    </row>
    <row r="2548">
      <c r="B2548" s="2031">
        <v>2546.0</v>
      </c>
      <c r="C2548" s="2031">
        <v>305.0</v>
      </c>
      <c r="D2548" s="2031">
        <v>611.0</v>
      </c>
      <c r="E2548" s="2031">
        <v>407.0</v>
      </c>
      <c r="F2548" s="2031">
        <v>407.0</v>
      </c>
      <c r="G2548" s="2031">
        <v>408.0</v>
      </c>
      <c r="H2548" s="2031">
        <v>408.0</v>
      </c>
    </row>
    <row r="2549">
      <c r="B2549" s="2031">
        <v>2547.0</v>
      </c>
      <c r="C2549" s="2031">
        <v>306.0</v>
      </c>
      <c r="D2549" s="2031">
        <v>611.0</v>
      </c>
      <c r="E2549" s="2031">
        <v>407.0</v>
      </c>
      <c r="F2549" s="2031">
        <v>407.0</v>
      </c>
      <c r="G2549" s="2031">
        <v>408.0</v>
      </c>
      <c r="H2549" s="2031">
        <v>408.0</v>
      </c>
    </row>
    <row r="2550">
      <c r="B2550" s="2031">
        <v>2548.0</v>
      </c>
      <c r="C2550" s="2031">
        <v>305.0</v>
      </c>
      <c r="D2550" s="2031">
        <v>611.0</v>
      </c>
      <c r="E2550" s="2031">
        <v>408.0</v>
      </c>
      <c r="F2550" s="2031">
        <v>408.0</v>
      </c>
      <c r="G2550" s="2031">
        <v>408.0</v>
      </c>
      <c r="H2550" s="2031">
        <v>408.0</v>
      </c>
    </row>
    <row r="2551">
      <c r="B2551" s="2031">
        <v>2549.0</v>
      </c>
      <c r="C2551" s="2031">
        <v>306.0</v>
      </c>
      <c r="D2551" s="2031">
        <v>611.0</v>
      </c>
      <c r="E2551" s="2031">
        <v>408.0</v>
      </c>
      <c r="F2551" s="2031">
        <v>408.0</v>
      </c>
      <c r="G2551" s="2031">
        <v>408.0</v>
      </c>
      <c r="H2551" s="2031">
        <v>408.0</v>
      </c>
    </row>
    <row r="2552">
      <c r="B2552" s="2031">
        <v>2550.0</v>
      </c>
      <c r="C2552" s="2031">
        <v>306.0</v>
      </c>
      <c r="D2552" s="2031">
        <v>612.0</v>
      </c>
      <c r="E2552" s="2031">
        <v>408.0</v>
      </c>
      <c r="F2552" s="2031">
        <v>408.0</v>
      </c>
      <c r="G2552" s="2031">
        <v>408.0</v>
      </c>
      <c r="H2552" s="2031">
        <v>408.0</v>
      </c>
    </row>
    <row r="2553">
      <c r="B2553" s="2031">
        <v>2551.0</v>
      </c>
      <c r="C2553" s="2031">
        <v>306.0</v>
      </c>
      <c r="D2553" s="2031">
        <v>613.0</v>
      </c>
      <c r="E2553" s="2031">
        <v>408.0</v>
      </c>
      <c r="F2553" s="2031">
        <v>408.0</v>
      </c>
      <c r="G2553" s="2031">
        <v>408.0</v>
      </c>
      <c r="H2553" s="2031">
        <v>408.0</v>
      </c>
    </row>
    <row r="2554">
      <c r="B2554" s="2031">
        <v>2552.0</v>
      </c>
      <c r="C2554" s="2031">
        <v>307.0</v>
      </c>
      <c r="D2554" s="2031">
        <v>613.0</v>
      </c>
      <c r="E2554" s="2031">
        <v>408.0</v>
      </c>
      <c r="F2554" s="2031">
        <v>408.0</v>
      </c>
      <c r="G2554" s="2031">
        <v>408.0</v>
      </c>
      <c r="H2554" s="2031">
        <v>408.0</v>
      </c>
    </row>
    <row r="2555">
      <c r="B2555" s="2031">
        <v>2553.0</v>
      </c>
      <c r="C2555" s="2031">
        <v>306.0</v>
      </c>
      <c r="D2555" s="2031">
        <v>613.0</v>
      </c>
      <c r="E2555" s="2031">
        <v>408.0</v>
      </c>
      <c r="F2555" s="2031">
        <v>408.0</v>
      </c>
      <c r="G2555" s="2031">
        <v>409.0</v>
      </c>
      <c r="H2555" s="2031">
        <v>409.0</v>
      </c>
    </row>
    <row r="2556">
      <c r="B2556" s="2031">
        <v>2554.0</v>
      </c>
      <c r="C2556" s="2031">
        <v>307.0</v>
      </c>
      <c r="D2556" s="2031">
        <v>613.0</v>
      </c>
      <c r="E2556" s="2031">
        <v>408.0</v>
      </c>
      <c r="F2556" s="2031">
        <v>408.0</v>
      </c>
      <c r="G2556" s="2031">
        <v>409.0</v>
      </c>
      <c r="H2556" s="2031">
        <v>409.0</v>
      </c>
    </row>
    <row r="2557">
      <c r="B2557" s="2031">
        <v>2555.0</v>
      </c>
      <c r="C2557" s="2031">
        <v>306.0</v>
      </c>
      <c r="D2557" s="2031">
        <v>613.0</v>
      </c>
      <c r="E2557" s="2031">
        <v>409.0</v>
      </c>
      <c r="F2557" s="2031">
        <v>409.0</v>
      </c>
      <c r="G2557" s="2031">
        <v>409.0</v>
      </c>
      <c r="H2557" s="2031">
        <v>409.0</v>
      </c>
    </row>
    <row r="2558">
      <c r="B2558" s="2031">
        <v>2556.0</v>
      </c>
      <c r="C2558" s="2031">
        <v>307.0</v>
      </c>
      <c r="D2558" s="2031">
        <v>613.0</v>
      </c>
      <c r="E2558" s="2031">
        <v>409.0</v>
      </c>
      <c r="F2558" s="2031">
        <v>409.0</v>
      </c>
      <c r="G2558" s="2031">
        <v>409.0</v>
      </c>
      <c r="H2558" s="2031">
        <v>409.0</v>
      </c>
    </row>
    <row r="2559">
      <c r="B2559" s="2031">
        <v>2557.0</v>
      </c>
      <c r="C2559" s="2031">
        <v>307.0</v>
      </c>
      <c r="D2559" s="2031">
        <v>614.0</v>
      </c>
      <c r="E2559" s="2031">
        <v>409.0</v>
      </c>
      <c r="F2559" s="2031">
        <v>409.0</v>
      </c>
      <c r="G2559" s="2031">
        <v>409.0</v>
      </c>
      <c r="H2559" s="2031">
        <v>409.0</v>
      </c>
    </row>
    <row r="2560">
      <c r="B2560" s="2031">
        <v>2558.0</v>
      </c>
      <c r="C2560" s="2031">
        <v>307.0</v>
      </c>
      <c r="D2560" s="2031">
        <v>613.0</v>
      </c>
      <c r="E2560" s="2031">
        <v>409.0</v>
      </c>
      <c r="F2560" s="2031">
        <v>409.0</v>
      </c>
      <c r="G2560" s="2031">
        <v>410.0</v>
      </c>
      <c r="H2560" s="2031">
        <v>410.0</v>
      </c>
    </row>
    <row r="2561">
      <c r="B2561" s="2031">
        <v>2559.0</v>
      </c>
      <c r="C2561" s="2031">
        <v>307.0</v>
      </c>
      <c r="D2561" s="2031">
        <v>614.0</v>
      </c>
      <c r="E2561" s="2031">
        <v>409.0</v>
      </c>
      <c r="F2561" s="2031">
        <v>409.0</v>
      </c>
      <c r="G2561" s="2031">
        <v>410.0</v>
      </c>
      <c r="H2561" s="2031">
        <v>410.0</v>
      </c>
    </row>
    <row r="2562">
      <c r="B2562" s="2031">
        <v>2560.0</v>
      </c>
      <c r="C2562" s="2031">
        <v>307.0</v>
      </c>
      <c r="D2562" s="2031">
        <v>615.0</v>
      </c>
      <c r="E2562" s="2031">
        <v>409.0</v>
      </c>
      <c r="F2562" s="2031">
        <v>409.0</v>
      </c>
      <c r="G2562" s="2031">
        <v>410.0</v>
      </c>
      <c r="H2562" s="2031">
        <v>410.0</v>
      </c>
    </row>
    <row r="2563">
      <c r="B2563" s="2031">
        <v>2561.0</v>
      </c>
      <c r="C2563" s="2031">
        <v>307.0</v>
      </c>
      <c r="D2563" s="2031">
        <v>614.0</v>
      </c>
      <c r="E2563" s="2031">
        <v>410.0</v>
      </c>
      <c r="F2563" s="2031">
        <v>410.0</v>
      </c>
      <c r="G2563" s="2031">
        <v>410.0</v>
      </c>
      <c r="H2563" s="2031">
        <v>410.0</v>
      </c>
    </row>
    <row r="2564">
      <c r="B2564" s="2031">
        <v>2562.0</v>
      </c>
      <c r="C2564" s="2031">
        <v>307.0</v>
      </c>
      <c r="D2564" s="2031">
        <v>615.0</v>
      </c>
      <c r="E2564" s="2031">
        <v>410.0</v>
      </c>
      <c r="F2564" s="2031">
        <v>410.0</v>
      </c>
      <c r="G2564" s="2031">
        <v>410.0</v>
      </c>
      <c r="H2564" s="2031">
        <v>410.0</v>
      </c>
    </row>
    <row r="2565">
      <c r="B2565" s="2031">
        <v>2563.0</v>
      </c>
      <c r="C2565" s="2031">
        <v>308.0</v>
      </c>
      <c r="D2565" s="2031">
        <v>615.0</v>
      </c>
      <c r="E2565" s="2031">
        <v>410.0</v>
      </c>
      <c r="F2565" s="2031">
        <v>410.0</v>
      </c>
      <c r="G2565" s="2031">
        <v>410.0</v>
      </c>
      <c r="H2565" s="2031">
        <v>410.0</v>
      </c>
    </row>
    <row r="2566">
      <c r="B2566" s="2031">
        <v>2564.0</v>
      </c>
      <c r="C2566" s="2031">
        <v>308.0</v>
      </c>
      <c r="D2566" s="2031">
        <v>616.0</v>
      </c>
      <c r="E2566" s="2031">
        <v>410.0</v>
      </c>
      <c r="F2566" s="2031">
        <v>410.0</v>
      </c>
      <c r="G2566" s="2031">
        <v>410.0</v>
      </c>
      <c r="H2566" s="2031">
        <v>410.0</v>
      </c>
    </row>
    <row r="2567">
      <c r="B2567" s="2031">
        <v>2565.0</v>
      </c>
      <c r="C2567" s="2031">
        <v>308.0</v>
      </c>
      <c r="D2567" s="2031">
        <v>615.0</v>
      </c>
      <c r="E2567" s="2031">
        <v>410.0</v>
      </c>
      <c r="F2567" s="2031">
        <v>410.0</v>
      </c>
      <c r="G2567" s="2031">
        <v>411.0</v>
      </c>
      <c r="H2567" s="2031">
        <v>411.0</v>
      </c>
    </row>
    <row r="2568">
      <c r="B2568" s="2031">
        <v>2566.0</v>
      </c>
      <c r="C2568" s="2031">
        <v>308.0</v>
      </c>
      <c r="D2568" s="2031">
        <v>616.0</v>
      </c>
      <c r="E2568" s="2031">
        <v>410.0</v>
      </c>
      <c r="F2568" s="2031">
        <v>410.0</v>
      </c>
      <c r="G2568" s="2031">
        <v>411.0</v>
      </c>
      <c r="H2568" s="2031">
        <v>411.0</v>
      </c>
    </row>
    <row r="2569">
      <c r="B2569" s="2031">
        <v>2567.0</v>
      </c>
      <c r="C2569" s="2031">
        <v>308.0</v>
      </c>
      <c r="D2569" s="2031">
        <v>617.0</v>
      </c>
      <c r="E2569" s="2031">
        <v>410.0</v>
      </c>
      <c r="F2569" s="2031">
        <v>410.0</v>
      </c>
      <c r="G2569" s="2031">
        <v>411.0</v>
      </c>
      <c r="H2569" s="2031">
        <v>411.0</v>
      </c>
    </row>
    <row r="2570">
      <c r="B2570" s="2031">
        <v>2568.0</v>
      </c>
      <c r="C2570" s="2031">
        <v>308.0</v>
      </c>
      <c r="D2570" s="2031">
        <v>616.0</v>
      </c>
      <c r="E2570" s="2031">
        <v>411.0</v>
      </c>
      <c r="F2570" s="2031">
        <v>411.0</v>
      </c>
      <c r="G2570" s="2031">
        <v>411.0</v>
      </c>
      <c r="H2570" s="2031">
        <v>411.0</v>
      </c>
    </row>
    <row r="2571">
      <c r="B2571" s="2031">
        <v>2569.0</v>
      </c>
      <c r="C2571" s="2031">
        <v>308.0</v>
      </c>
      <c r="D2571" s="2031">
        <v>617.0</v>
      </c>
      <c r="E2571" s="2031">
        <v>411.0</v>
      </c>
      <c r="F2571" s="2031">
        <v>411.0</v>
      </c>
      <c r="G2571" s="2031">
        <v>411.0</v>
      </c>
      <c r="H2571" s="2031">
        <v>411.0</v>
      </c>
    </row>
    <row r="2572">
      <c r="B2572" s="2031">
        <v>2570.0</v>
      </c>
      <c r="C2572" s="2031">
        <v>309.0</v>
      </c>
      <c r="D2572" s="2031">
        <v>617.0</v>
      </c>
      <c r="E2572" s="2031">
        <v>411.0</v>
      </c>
      <c r="F2572" s="2031">
        <v>411.0</v>
      </c>
      <c r="G2572" s="2031">
        <v>411.0</v>
      </c>
      <c r="H2572" s="2031">
        <v>411.0</v>
      </c>
    </row>
    <row r="2573">
      <c r="B2573" s="2031">
        <v>2571.0</v>
      </c>
      <c r="C2573" s="2031">
        <v>308.0</v>
      </c>
      <c r="D2573" s="2031">
        <v>617.0</v>
      </c>
      <c r="E2573" s="2031">
        <v>411.0</v>
      </c>
      <c r="F2573" s="2031">
        <v>411.0</v>
      </c>
      <c r="G2573" s="2031">
        <v>412.0</v>
      </c>
      <c r="H2573" s="2031">
        <v>412.0</v>
      </c>
    </row>
    <row r="2574">
      <c r="B2574" s="2031">
        <v>2572.0</v>
      </c>
      <c r="C2574" s="2031">
        <v>309.0</v>
      </c>
      <c r="D2574" s="2031">
        <v>617.0</v>
      </c>
      <c r="E2574" s="2031">
        <v>411.0</v>
      </c>
      <c r="F2574" s="2031">
        <v>411.0</v>
      </c>
      <c r="G2574" s="2031">
        <v>412.0</v>
      </c>
      <c r="H2574" s="2031">
        <v>412.0</v>
      </c>
    </row>
    <row r="2575">
      <c r="B2575" s="2031">
        <v>2573.0</v>
      </c>
      <c r="C2575" s="2031">
        <v>308.0</v>
      </c>
      <c r="D2575" s="2031">
        <v>617.0</v>
      </c>
      <c r="E2575" s="2031">
        <v>412.0</v>
      </c>
      <c r="F2575" s="2031">
        <v>412.0</v>
      </c>
      <c r="G2575" s="2031">
        <v>412.0</v>
      </c>
      <c r="H2575" s="2031">
        <v>412.0</v>
      </c>
    </row>
    <row r="2576">
      <c r="B2576" s="2031">
        <v>2574.0</v>
      </c>
      <c r="C2576" s="2031">
        <v>309.0</v>
      </c>
      <c r="D2576" s="2031">
        <v>617.0</v>
      </c>
      <c r="E2576" s="2031">
        <v>412.0</v>
      </c>
      <c r="F2576" s="2031">
        <v>412.0</v>
      </c>
      <c r="G2576" s="2031">
        <v>412.0</v>
      </c>
      <c r="H2576" s="2031">
        <v>412.0</v>
      </c>
    </row>
    <row r="2577">
      <c r="B2577" s="2031">
        <v>2575.0</v>
      </c>
      <c r="C2577" s="2031">
        <v>309.0</v>
      </c>
      <c r="D2577" s="2031">
        <v>618.0</v>
      </c>
      <c r="E2577" s="2031">
        <v>412.0</v>
      </c>
      <c r="F2577" s="2031">
        <v>412.0</v>
      </c>
      <c r="G2577" s="2031">
        <v>412.0</v>
      </c>
      <c r="H2577" s="2031">
        <v>412.0</v>
      </c>
    </row>
    <row r="2578">
      <c r="B2578" s="2031">
        <v>2576.0</v>
      </c>
      <c r="C2578" s="2031">
        <v>309.0</v>
      </c>
      <c r="D2578" s="2031">
        <v>619.0</v>
      </c>
      <c r="E2578" s="2031">
        <v>412.0</v>
      </c>
      <c r="F2578" s="2031">
        <v>412.0</v>
      </c>
      <c r="G2578" s="2031">
        <v>412.0</v>
      </c>
      <c r="H2578" s="2031">
        <v>412.0</v>
      </c>
    </row>
    <row r="2579">
      <c r="B2579" s="2031">
        <v>2577.0</v>
      </c>
      <c r="C2579" s="2031">
        <v>310.0</v>
      </c>
      <c r="D2579" s="2031">
        <v>619.0</v>
      </c>
      <c r="E2579" s="2031">
        <v>412.0</v>
      </c>
      <c r="F2579" s="2031">
        <v>412.0</v>
      </c>
      <c r="G2579" s="2031">
        <v>412.0</v>
      </c>
      <c r="H2579" s="2031">
        <v>412.0</v>
      </c>
    </row>
    <row r="2580">
      <c r="B2580" s="2031">
        <v>2578.0</v>
      </c>
      <c r="C2580" s="2031">
        <v>309.0</v>
      </c>
      <c r="D2580" s="2031">
        <v>619.0</v>
      </c>
      <c r="E2580" s="2031">
        <v>412.0</v>
      </c>
      <c r="F2580" s="2031">
        <v>412.0</v>
      </c>
      <c r="G2580" s="2031">
        <v>413.0</v>
      </c>
      <c r="H2580" s="2031">
        <v>413.0</v>
      </c>
    </row>
    <row r="2581">
      <c r="B2581" s="2031">
        <v>2579.0</v>
      </c>
      <c r="C2581" s="2031">
        <v>310.0</v>
      </c>
      <c r="D2581" s="2031">
        <v>619.0</v>
      </c>
      <c r="E2581" s="2031">
        <v>412.0</v>
      </c>
      <c r="F2581" s="2031">
        <v>412.0</v>
      </c>
      <c r="G2581" s="2031">
        <v>413.0</v>
      </c>
      <c r="H2581" s="2031">
        <v>413.0</v>
      </c>
    </row>
    <row r="2582">
      <c r="B2582" s="2031">
        <v>2580.0</v>
      </c>
      <c r="C2582" s="2031">
        <v>309.0</v>
      </c>
      <c r="D2582" s="2031">
        <v>619.0</v>
      </c>
      <c r="E2582" s="2031">
        <v>413.0</v>
      </c>
      <c r="F2582" s="2031">
        <v>413.0</v>
      </c>
      <c r="G2582" s="2031">
        <v>413.0</v>
      </c>
      <c r="H2582" s="2031">
        <v>413.0</v>
      </c>
    </row>
    <row r="2583">
      <c r="B2583" s="2031">
        <v>2581.0</v>
      </c>
      <c r="C2583" s="2031">
        <v>310.0</v>
      </c>
      <c r="D2583" s="2031">
        <v>619.0</v>
      </c>
      <c r="E2583" s="2031">
        <v>413.0</v>
      </c>
      <c r="F2583" s="2031">
        <v>413.0</v>
      </c>
      <c r="G2583" s="2031">
        <v>413.0</v>
      </c>
      <c r="H2583" s="2031">
        <v>413.0</v>
      </c>
    </row>
    <row r="2584">
      <c r="B2584" s="2031">
        <v>2582.0</v>
      </c>
      <c r="C2584" s="2031">
        <v>310.0</v>
      </c>
      <c r="D2584" s="2031">
        <v>620.0</v>
      </c>
      <c r="E2584" s="2031">
        <v>413.0</v>
      </c>
      <c r="F2584" s="2031">
        <v>413.0</v>
      </c>
      <c r="G2584" s="2031">
        <v>413.0</v>
      </c>
      <c r="H2584" s="2031">
        <v>413.0</v>
      </c>
    </row>
    <row r="2585">
      <c r="B2585" s="2031">
        <v>2583.0</v>
      </c>
      <c r="C2585" s="2031">
        <v>310.0</v>
      </c>
      <c r="D2585" s="2031">
        <v>619.0</v>
      </c>
      <c r="E2585" s="2031">
        <v>413.0</v>
      </c>
      <c r="F2585" s="2031">
        <v>413.0</v>
      </c>
      <c r="G2585" s="2031">
        <v>414.0</v>
      </c>
      <c r="H2585" s="2031">
        <v>414.0</v>
      </c>
    </row>
    <row r="2586">
      <c r="B2586" s="2031">
        <v>2584.0</v>
      </c>
      <c r="C2586" s="2031">
        <v>310.0</v>
      </c>
      <c r="D2586" s="2031">
        <v>620.0</v>
      </c>
      <c r="E2586" s="2031">
        <v>413.0</v>
      </c>
      <c r="F2586" s="2031">
        <v>413.0</v>
      </c>
      <c r="G2586" s="2031">
        <v>414.0</v>
      </c>
      <c r="H2586" s="2031">
        <v>414.0</v>
      </c>
    </row>
    <row r="2587">
      <c r="B2587" s="2031">
        <v>2585.0</v>
      </c>
      <c r="C2587" s="2031">
        <v>310.0</v>
      </c>
      <c r="D2587" s="2031">
        <v>621.0</v>
      </c>
      <c r="E2587" s="2031">
        <v>413.0</v>
      </c>
      <c r="F2587" s="2031">
        <v>413.0</v>
      </c>
      <c r="G2587" s="2031">
        <v>414.0</v>
      </c>
      <c r="H2587" s="2031">
        <v>414.0</v>
      </c>
    </row>
    <row r="2588">
      <c r="B2588" s="2031">
        <v>2586.0</v>
      </c>
      <c r="C2588" s="2031">
        <v>310.0</v>
      </c>
      <c r="D2588" s="2031">
        <v>620.0</v>
      </c>
      <c r="E2588" s="2031">
        <v>414.0</v>
      </c>
      <c r="F2588" s="2031">
        <v>414.0</v>
      </c>
      <c r="G2588" s="2031">
        <v>414.0</v>
      </c>
      <c r="H2588" s="2031">
        <v>414.0</v>
      </c>
    </row>
    <row r="2589">
      <c r="B2589" s="2031">
        <v>2587.0</v>
      </c>
      <c r="C2589" s="2031">
        <v>310.0</v>
      </c>
      <c r="D2589" s="2031">
        <v>621.0</v>
      </c>
      <c r="E2589" s="2031">
        <v>414.0</v>
      </c>
      <c r="F2589" s="2031">
        <v>414.0</v>
      </c>
      <c r="G2589" s="2031">
        <v>414.0</v>
      </c>
      <c r="H2589" s="2031">
        <v>414.0</v>
      </c>
    </row>
    <row r="2590">
      <c r="B2590" s="2031">
        <v>2588.0</v>
      </c>
      <c r="C2590" s="2031">
        <v>311.0</v>
      </c>
      <c r="D2590" s="2031">
        <v>621.0</v>
      </c>
      <c r="E2590" s="2031">
        <v>414.0</v>
      </c>
      <c r="F2590" s="2031">
        <v>414.0</v>
      </c>
      <c r="G2590" s="2031">
        <v>414.0</v>
      </c>
      <c r="H2590" s="2031">
        <v>414.0</v>
      </c>
    </row>
    <row r="2591">
      <c r="B2591" s="2031">
        <v>2589.0</v>
      </c>
      <c r="C2591" s="2031">
        <v>311.0</v>
      </c>
      <c r="D2591" s="2031">
        <v>622.0</v>
      </c>
      <c r="E2591" s="2031">
        <v>414.0</v>
      </c>
      <c r="F2591" s="2031">
        <v>414.0</v>
      </c>
      <c r="G2591" s="2031">
        <v>414.0</v>
      </c>
      <c r="H2591" s="2031">
        <v>414.0</v>
      </c>
    </row>
    <row r="2592">
      <c r="B2592" s="2031">
        <v>2590.0</v>
      </c>
      <c r="C2592" s="2031">
        <v>311.0</v>
      </c>
      <c r="D2592" s="2031">
        <v>621.0</v>
      </c>
      <c r="E2592" s="2031">
        <v>414.0</v>
      </c>
      <c r="F2592" s="2031">
        <v>414.0</v>
      </c>
      <c r="G2592" s="2031">
        <v>415.0</v>
      </c>
      <c r="H2592" s="2031">
        <v>415.0</v>
      </c>
    </row>
    <row r="2593">
      <c r="B2593" s="2031">
        <v>2591.0</v>
      </c>
      <c r="C2593" s="2031">
        <v>311.0</v>
      </c>
      <c r="D2593" s="2031">
        <v>622.0</v>
      </c>
      <c r="E2593" s="2031">
        <v>414.0</v>
      </c>
      <c r="F2593" s="2031">
        <v>414.0</v>
      </c>
      <c r="G2593" s="2031">
        <v>415.0</v>
      </c>
      <c r="H2593" s="2031">
        <v>415.0</v>
      </c>
    </row>
    <row r="2594">
      <c r="B2594" s="2031">
        <v>2592.0</v>
      </c>
      <c r="C2594" s="2031">
        <v>311.0</v>
      </c>
      <c r="D2594" s="2031">
        <v>623.0</v>
      </c>
      <c r="E2594" s="2031">
        <v>414.0</v>
      </c>
      <c r="F2594" s="2031">
        <v>414.0</v>
      </c>
      <c r="G2594" s="2031">
        <v>415.0</v>
      </c>
      <c r="H2594" s="2031">
        <v>415.0</v>
      </c>
    </row>
    <row r="2595">
      <c r="B2595" s="2031">
        <v>2593.0</v>
      </c>
      <c r="C2595" s="2031">
        <v>311.0</v>
      </c>
      <c r="D2595" s="2031">
        <v>622.0</v>
      </c>
      <c r="E2595" s="2031">
        <v>415.0</v>
      </c>
      <c r="F2595" s="2031">
        <v>415.0</v>
      </c>
      <c r="G2595" s="2031">
        <v>415.0</v>
      </c>
      <c r="H2595" s="2031">
        <v>415.0</v>
      </c>
    </row>
    <row r="2596">
      <c r="B2596" s="2031">
        <v>2594.0</v>
      </c>
      <c r="C2596" s="2031">
        <v>311.0</v>
      </c>
      <c r="D2596" s="2031">
        <v>623.0</v>
      </c>
      <c r="E2596" s="2031">
        <v>415.0</v>
      </c>
      <c r="F2596" s="2031">
        <v>415.0</v>
      </c>
      <c r="G2596" s="2031">
        <v>415.0</v>
      </c>
      <c r="H2596" s="2031">
        <v>415.0</v>
      </c>
    </row>
    <row r="2597">
      <c r="B2597" s="2031">
        <v>2595.0</v>
      </c>
      <c r="C2597" s="2031">
        <v>312.0</v>
      </c>
      <c r="D2597" s="2031">
        <v>623.0</v>
      </c>
      <c r="E2597" s="2031">
        <v>415.0</v>
      </c>
      <c r="F2597" s="2031">
        <v>415.0</v>
      </c>
      <c r="G2597" s="2031">
        <v>415.0</v>
      </c>
      <c r="H2597" s="2031">
        <v>415.0</v>
      </c>
    </row>
    <row r="2598">
      <c r="B2598" s="2031">
        <v>2596.0</v>
      </c>
      <c r="C2598" s="2031">
        <v>311.0</v>
      </c>
      <c r="D2598" s="2031">
        <v>623.0</v>
      </c>
      <c r="E2598" s="2031">
        <v>415.0</v>
      </c>
      <c r="F2598" s="2031">
        <v>415.0</v>
      </c>
      <c r="G2598" s="2031">
        <v>416.0</v>
      </c>
      <c r="H2598" s="2031">
        <v>416.0</v>
      </c>
    </row>
    <row r="2599">
      <c r="B2599" s="2031">
        <v>2597.0</v>
      </c>
      <c r="C2599" s="2031">
        <v>312.0</v>
      </c>
      <c r="D2599" s="2031">
        <v>623.0</v>
      </c>
      <c r="E2599" s="2031">
        <v>415.0</v>
      </c>
      <c r="F2599" s="2031">
        <v>415.0</v>
      </c>
      <c r="G2599" s="2031">
        <v>416.0</v>
      </c>
      <c r="H2599" s="2031">
        <v>416.0</v>
      </c>
    </row>
    <row r="2600">
      <c r="B2600" s="2031">
        <v>2598.0</v>
      </c>
      <c r="C2600" s="2031">
        <v>311.0</v>
      </c>
      <c r="D2600" s="2031">
        <v>623.0</v>
      </c>
      <c r="E2600" s="2031">
        <v>416.0</v>
      </c>
      <c r="F2600" s="2031">
        <v>416.0</v>
      </c>
      <c r="G2600" s="2031">
        <v>416.0</v>
      </c>
      <c r="H2600" s="2031">
        <v>416.0</v>
      </c>
    </row>
    <row r="2601">
      <c r="B2601" s="2031">
        <v>2599.0</v>
      </c>
      <c r="C2601" s="2031">
        <v>312.0</v>
      </c>
      <c r="D2601" s="2031">
        <v>623.0</v>
      </c>
      <c r="E2601" s="2031">
        <v>416.0</v>
      </c>
      <c r="F2601" s="2031">
        <v>416.0</v>
      </c>
      <c r="G2601" s="2031">
        <v>416.0</v>
      </c>
      <c r="H2601" s="2031">
        <v>416.0</v>
      </c>
    </row>
    <row r="2602">
      <c r="B2602" s="2031">
        <v>2600.0</v>
      </c>
      <c r="C2602" s="2031">
        <v>312.0</v>
      </c>
      <c r="D2602" s="2031">
        <v>624.0</v>
      </c>
      <c r="E2602" s="2031">
        <v>416.0</v>
      </c>
      <c r="F2602" s="2031">
        <v>416.0</v>
      </c>
      <c r="G2602" s="2031">
        <v>416.0</v>
      </c>
      <c r="H2602" s="2031">
        <v>416.0</v>
      </c>
    </row>
    <row r="2603">
      <c r="B2603" s="2031">
        <v>2601.0</v>
      </c>
      <c r="C2603" s="2031">
        <v>312.0</v>
      </c>
      <c r="D2603" s="2031">
        <v>625.0</v>
      </c>
      <c r="E2603" s="2031">
        <v>416.0</v>
      </c>
      <c r="F2603" s="2031">
        <v>416.0</v>
      </c>
      <c r="G2603" s="2031">
        <v>416.0</v>
      </c>
      <c r="H2603" s="2031">
        <v>416.0</v>
      </c>
    </row>
    <row r="2604">
      <c r="B2604" s="2031">
        <v>2602.0</v>
      </c>
      <c r="C2604" s="2031">
        <v>313.0</v>
      </c>
      <c r="D2604" s="2031">
        <v>625.0</v>
      </c>
      <c r="E2604" s="2031">
        <v>416.0</v>
      </c>
      <c r="F2604" s="2031">
        <v>416.0</v>
      </c>
      <c r="G2604" s="2031">
        <v>416.0</v>
      </c>
      <c r="H2604" s="2031">
        <v>416.0</v>
      </c>
    </row>
    <row r="2605">
      <c r="B2605" s="2031">
        <v>2603.0</v>
      </c>
      <c r="C2605" s="2031">
        <v>312.0</v>
      </c>
      <c r="D2605" s="2031">
        <v>625.0</v>
      </c>
      <c r="E2605" s="2031">
        <v>416.0</v>
      </c>
      <c r="F2605" s="2031">
        <v>416.0</v>
      </c>
      <c r="G2605" s="2031">
        <v>417.0</v>
      </c>
      <c r="H2605" s="2031">
        <v>417.0</v>
      </c>
    </row>
    <row r="2606">
      <c r="B2606" s="2031">
        <v>2604.0</v>
      </c>
      <c r="C2606" s="2031">
        <v>313.0</v>
      </c>
      <c r="D2606" s="2031">
        <v>625.0</v>
      </c>
      <c r="E2606" s="2031">
        <v>416.0</v>
      </c>
      <c r="F2606" s="2031">
        <v>416.0</v>
      </c>
      <c r="G2606" s="2031">
        <v>417.0</v>
      </c>
      <c r="H2606" s="2031">
        <v>417.0</v>
      </c>
    </row>
    <row r="2607">
      <c r="B2607" s="2031">
        <v>2605.0</v>
      </c>
      <c r="C2607" s="2031">
        <v>312.0</v>
      </c>
      <c r="D2607" s="2031">
        <v>625.0</v>
      </c>
      <c r="E2607" s="2031">
        <v>417.0</v>
      </c>
      <c r="F2607" s="2031">
        <v>417.0</v>
      </c>
      <c r="G2607" s="2031">
        <v>417.0</v>
      </c>
      <c r="H2607" s="2031">
        <v>417.0</v>
      </c>
    </row>
    <row r="2608">
      <c r="B2608" s="2031">
        <v>2606.0</v>
      </c>
      <c r="C2608" s="2031">
        <v>313.0</v>
      </c>
      <c r="D2608" s="2031">
        <v>625.0</v>
      </c>
      <c r="E2608" s="2031">
        <v>417.0</v>
      </c>
      <c r="F2608" s="2031">
        <v>417.0</v>
      </c>
      <c r="G2608" s="2031">
        <v>417.0</v>
      </c>
      <c r="H2608" s="2031">
        <v>417.0</v>
      </c>
    </row>
    <row r="2609">
      <c r="B2609" s="2031">
        <v>2607.0</v>
      </c>
      <c r="C2609" s="2031">
        <v>313.0</v>
      </c>
      <c r="D2609" s="2031">
        <v>626.0</v>
      </c>
      <c r="E2609" s="2031">
        <v>417.0</v>
      </c>
      <c r="F2609" s="2031">
        <v>417.0</v>
      </c>
      <c r="G2609" s="2031">
        <v>417.0</v>
      </c>
      <c r="H2609" s="2031">
        <v>417.0</v>
      </c>
    </row>
    <row r="2610">
      <c r="B2610" s="2031">
        <v>2608.0</v>
      </c>
      <c r="C2610" s="2031">
        <v>313.0</v>
      </c>
      <c r="D2610" s="2031">
        <v>625.0</v>
      </c>
      <c r="E2610" s="2031">
        <v>417.0</v>
      </c>
      <c r="F2610" s="2031">
        <v>417.0</v>
      </c>
      <c r="G2610" s="2031">
        <v>418.0</v>
      </c>
      <c r="H2610" s="2031">
        <v>418.0</v>
      </c>
    </row>
    <row r="2611">
      <c r="B2611" s="2031">
        <v>2609.0</v>
      </c>
      <c r="C2611" s="2031">
        <v>313.0</v>
      </c>
      <c r="D2611" s="2031">
        <v>626.0</v>
      </c>
      <c r="E2611" s="2031">
        <v>417.0</v>
      </c>
      <c r="F2611" s="2031">
        <v>417.0</v>
      </c>
      <c r="G2611" s="2031">
        <v>418.0</v>
      </c>
      <c r="H2611" s="2031">
        <v>418.0</v>
      </c>
    </row>
    <row r="2612">
      <c r="B2612" s="2031">
        <v>2610.0</v>
      </c>
      <c r="C2612" s="2031">
        <v>313.0</v>
      </c>
      <c r="D2612" s="2031">
        <v>627.0</v>
      </c>
      <c r="E2612" s="2031">
        <v>417.0</v>
      </c>
      <c r="F2612" s="2031">
        <v>417.0</v>
      </c>
      <c r="G2612" s="2031">
        <v>418.0</v>
      </c>
      <c r="H2612" s="2031">
        <v>418.0</v>
      </c>
    </row>
    <row r="2613">
      <c r="B2613" s="2031">
        <v>2611.0</v>
      </c>
      <c r="C2613" s="2031">
        <v>313.0</v>
      </c>
      <c r="D2613" s="2031">
        <v>626.0</v>
      </c>
      <c r="E2613" s="2031">
        <v>418.0</v>
      </c>
      <c r="F2613" s="2031">
        <v>418.0</v>
      </c>
      <c r="G2613" s="2031">
        <v>418.0</v>
      </c>
      <c r="H2613" s="2031">
        <v>418.0</v>
      </c>
    </row>
    <row r="2614">
      <c r="B2614" s="2031">
        <v>2612.0</v>
      </c>
      <c r="C2614" s="2031">
        <v>313.0</v>
      </c>
      <c r="D2614" s="2031">
        <v>627.0</v>
      </c>
      <c r="E2614" s="2031">
        <v>418.0</v>
      </c>
      <c r="F2614" s="2031">
        <v>418.0</v>
      </c>
      <c r="G2614" s="2031">
        <v>418.0</v>
      </c>
      <c r="H2614" s="2031">
        <v>418.0</v>
      </c>
    </row>
    <row r="2615">
      <c r="B2615" s="2031">
        <v>2613.0</v>
      </c>
      <c r="C2615" s="2031">
        <v>314.0</v>
      </c>
      <c r="D2615" s="2031">
        <v>627.0</v>
      </c>
      <c r="E2615" s="2031">
        <v>418.0</v>
      </c>
      <c r="F2615" s="2031">
        <v>418.0</v>
      </c>
      <c r="G2615" s="2031">
        <v>418.0</v>
      </c>
      <c r="H2615" s="2031">
        <v>418.0</v>
      </c>
    </row>
    <row r="2616">
      <c r="B2616" s="2031">
        <v>2614.0</v>
      </c>
      <c r="C2616" s="2031">
        <v>314.0</v>
      </c>
      <c r="D2616" s="2031">
        <v>628.0</v>
      </c>
      <c r="E2616" s="2031">
        <v>418.0</v>
      </c>
      <c r="F2616" s="2031">
        <v>418.0</v>
      </c>
      <c r="G2616" s="2031">
        <v>418.0</v>
      </c>
      <c r="H2616" s="2031">
        <v>418.0</v>
      </c>
    </row>
    <row r="2617">
      <c r="B2617" s="2031">
        <v>2615.0</v>
      </c>
      <c r="C2617" s="2031">
        <v>314.0</v>
      </c>
      <c r="D2617" s="2031">
        <v>627.0</v>
      </c>
      <c r="E2617" s="2031">
        <v>418.0</v>
      </c>
      <c r="F2617" s="2031">
        <v>418.0</v>
      </c>
      <c r="G2617" s="2031">
        <v>419.0</v>
      </c>
      <c r="H2617" s="2031">
        <v>419.0</v>
      </c>
    </row>
    <row r="2618">
      <c r="B2618" s="2031">
        <v>2616.0</v>
      </c>
      <c r="C2618" s="2031">
        <v>314.0</v>
      </c>
      <c r="D2618" s="2031">
        <v>628.0</v>
      </c>
      <c r="E2618" s="2031">
        <v>418.0</v>
      </c>
      <c r="F2618" s="2031">
        <v>418.0</v>
      </c>
      <c r="G2618" s="2031">
        <v>419.0</v>
      </c>
      <c r="H2618" s="2031">
        <v>419.0</v>
      </c>
    </row>
    <row r="2619">
      <c r="B2619" s="2031">
        <v>2617.0</v>
      </c>
      <c r="C2619" s="2031">
        <v>314.0</v>
      </c>
      <c r="D2619" s="2031">
        <v>629.0</v>
      </c>
      <c r="E2619" s="2031">
        <v>418.0</v>
      </c>
      <c r="F2619" s="2031">
        <v>418.0</v>
      </c>
      <c r="G2619" s="2031">
        <v>419.0</v>
      </c>
      <c r="H2619" s="2031">
        <v>419.0</v>
      </c>
    </row>
    <row r="2620">
      <c r="B2620" s="2031">
        <v>2618.0</v>
      </c>
      <c r="C2620" s="2031">
        <v>314.0</v>
      </c>
      <c r="D2620" s="2031">
        <v>628.0</v>
      </c>
      <c r="E2620" s="2031">
        <v>419.0</v>
      </c>
      <c r="F2620" s="2031">
        <v>419.0</v>
      </c>
      <c r="G2620" s="2031">
        <v>419.0</v>
      </c>
      <c r="H2620" s="2031">
        <v>419.0</v>
      </c>
    </row>
    <row r="2621">
      <c r="B2621" s="2031">
        <v>2619.0</v>
      </c>
      <c r="C2621" s="2031">
        <v>314.0</v>
      </c>
      <c r="D2621" s="2031">
        <v>629.0</v>
      </c>
      <c r="E2621" s="2031">
        <v>419.0</v>
      </c>
      <c r="F2621" s="2031">
        <v>419.0</v>
      </c>
      <c r="G2621" s="2031">
        <v>419.0</v>
      </c>
      <c r="H2621" s="2031">
        <v>419.0</v>
      </c>
    </row>
    <row r="2622">
      <c r="B2622" s="2031">
        <v>2620.0</v>
      </c>
      <c r="C2622" s="2031">
        <v>315.0</v>
      </c>
      <c r="D2622" s="2031">
        <v>629.0</v>
      </c>
      <c r="E2622" s="2031">
        <v>419.0</v>
      </c>
      <c r="F2622" s="2031">
        <v>419.0</v>
      </c>
      <c r="G2622" s="2031">
        <v>419.0</v>
      </c>
      <c r="H2622" s="2031">
        <v>419.0</v>
      </c>
    </row>
    <row r="2623">
      <c r="B2623" s="2031">
        <v>2621.0</v>
      </c>
      <c r="C2623" s="2031">
        <v>314.0</v>
      </c>
      <c r="D2623" s="2031">
        <v>629.0</v>
      </c>
      <c r="E2623" s="2031">
        <v>419.0</v>
      </c>
      <c r="F2623" s="2031">
        <v>419.0</v>
      </c>
      <c r="G2623" s="2031">
        <v>420.0</v>
      </c>
      <c r="H2623" s="2031">
        <v>420.0</v>
      </c>
    </row>
    <row r="2624">
      <c r="B2624" s="2031">
        <v>2622.0</v>
      </c>
      <c r="C2624" s="2031">
        <v>315.0</v>
      </c>
      <c r="D2624" s="2031">
        <v>629.0</v>
      </c>
      <c r="E2624" s="2031">
        <v>419.0</v>
      </c>
      <c r="F2624" s="2031">
        <v>419.0</v>
      </c>
      <c r="G2624" s="2031">
        <v>420.0</v>
      </c>
      <c r="H2624" s="2031">
        <v>420.0</v>
      </c>
    </row>
    <row r="2625">
      <c r="B2625" s="2031">
        <v>2623.0</v>
      </c>
      <c r="C2625" s="2031">
        <v>314.0</v>
      </c>
      <c r="D2625" s="2031">
        <v>629.0</v>
      </c>
      <c r="E2625" s="2031">
        <v>420.0</v>
      </c>
      <c r="F2625" s="2031">
        <v>420.0</v>
      </c>
      <c r="G2625" s="2031">
        <v>420.0</v>
      </c>
      <c r="H2625" s="2031">
        <v>420.0</v>
      </c>
    </row>
    <row r="2626">
      <c r="B2626" s="2031">
        <v>2624.0</v>
      </c>
      <c r="C2626" s="2031">
        <v>315.0</v>
      </c>
      <c r="D2626" s="2031">
        <v>629.0</v>
      </c>
      <c r="E2626" s="2031">
        <v>420.0</v>
      </c>
      <c r="F2626" s="2031">
        <v>420.0</v>
      </c>
      <c r="G2626" s="2031">
        <v>420.0</v>
      </c>
      <c r="H2626" s="2031">
        <v>420.0</v>
      </c>
    </row>
    <row r="2627">
      <c r="B2627" s="2031">
        <v>2625.0</v>
      </c>
      <c r="C2627" s="2031">
        <v>315.0</v>
      </c>
      <c r="D2627" s="2031">
        <v>630.0</v>
      </c>
      <c r="E2627" s="2031">
        <v>420.0</v>
      </c>
      <c r="F2627" s="2031">
        <v>420.0</v>
      </c>
      <c r="G2627" s="2031">
        <v>420.0</v>
      </c>
      <c r="H2627" s="2031">
        <v>420.0</v>
      </c>
    </row>
    <row r="2628">
      <c r="B2628" s="2031">
        <v>2626.0</v>
      </c>
      <c r="C2628" s="2031">
        <v>315.0</v>
      </c>
      <c r="D2628" s="2031">
        <v>631.0</v>
      </c>
      <c r="E2628" s="2031">
        <v>420.0</v>
      </c>
      <c r="F2628" s="2031">
        <v>420.0</v>
      </c>
      <c r="G2628" s="2031">
        <v>420.0</v>
      </c>
      <c r="H2628" s="2031">
        <v>420.0</v>
      </c>
    </row>
    <row r="2629">
      <c r="B2629" s="2031">
        <v>2627.0</v>
      </c>
      <c r="C2629" s="2031">
        <v>316.0</v>
      </c>
      <c r="D2629" s="2031">
        <v>631.0</v>
      </c>
      <c r="E2629" s="2031">
        <v>420.0</v>
      </c>
      <c r="F2629" s="2031">
        <v>420.0</v>
      </c>
      <c r="G2629" s="2031">
        <v>420.0</v>
      </c>
      <c r="H2629" s="2031">
        <v>420.0</v>
      </c>
    </row>
    <row r="2630">
      <c r="B2630" s="2031">
        <v>2628.0</v>
      </c>
      <c r="C2630" s="2031">
        <v>315.0</v>
      </c>
      <c r="D2630" s="2031">
        <v>631.0</v>
      </c>
      <c r="E2630" s="2031">
        <v>420.0</v>
      </c>
      <c r="F2630" s="2031">
        <v>420.0</v>
      </c>
      <c r="G2630" s="2031">
        <v>421.0</v>
      </c>
      <c r="H2630" s="2031">
        <v>421.0</v>
      </c>
    </row>
    <row r="2631">
      <c r="B2631" s="2031">
        <v>2629.0</v>
      </c>
      <c r="C2631" s="2031">
        <v>316.0</v>
      </c>
      <c r="D2631" s="2031">
        <v>631.0</v>
      </c>
      <c r="E2631" s="2031">
        <v>420.0</v>
      </c>
      <c r="F2631" s="2031">
        <v>420.0</v>
      </c>
      <c r="G2631" s="2031">
        <v>421.0</v>
      </c>
      <c r="H2631" s="2031">
        <v>421.0</v>
      </c>
    </row>
    <row r="2632">
      <c r="B2632" s="2031">
        <v>2630.0</v>
      </c>
      <c r="C2632" s="2031">
        <v>315.0</v>
      </c>
      <c r="D2632" s="2031">
        <v>631.0</v>
      </c>
      <c r="E2632" s="2031">
        <v>421.0</v>
      </c>
      <c r="F2632" s="2031">
        <v>421.0</v>
      </c>
      <c r="G2632" s="2031">
        <v>421.0</v>
      </c>
      <c r="H2632" s="2031">
        <v>421.0</v>
      </c>
    </row>
    <row r="2633">
      <c r="B2633" s="2031">
        <v>2631.0</v>
      </c>
      <c r="C2633" s="2031">
        <v>316.0</v>
      </c>
      <c r="D2633" s="2031">
        <v>631.0</v>
      </c>
      <c r="E2633" s="2031">
        <v>421.0</v>
      </c>
      <c r="F2633" s="2031">
        <v>421.0</v>
      </c>
      <c r="G2633" s="2031">
        <v>421.0</v>
      </c>
      <c r="H2633" s="2031">
        <v>421.0</v>
      </c>
    </row>
    <row r="2634">
      <c r="B2634" s="2031">
        <v>2632.0</v>
      </c>
      <c r="C2634" s="2031">
        <v>316.0</v>
      </c>
      <c r="D2634" s="2031">
        <v>632.0</v>
      </c>
      <c r="E2634" s="2031">
        <v>421.0</v>
      </c>
      <c r="F2634" s="2031">
        <v>421.0</v>
      </c>
      <c r="G2634" s="2031">
        <v>421.0</v>
      </c>
      <c r="H2634" s="2031">
        <v>421.0</v>
      </c>
    </row>
    <row r="2635">
      <c r="B2635" s="2031">
        <v>2633.0</v>
      </c>
      <c r="C2635" s="2031">
        <v>316.0</v>
      </c>
      <c r="D2635" s="2031">
        <v>631.0</v>
      </c>
      <c r="E2635" s="2031">
        <v>421.0</v>
      </c>
      <c r="F2635" s="2031">
        <v>421.0</v>
      </c>
      <c r="G2635" s="2031">
        <v>422.0</v>
      </c>
      <c r="H2635" s="2031">
        <v>422.0</v>
      </c>
    </row>
    <row r="2636">
      <c r="B2636" s="2031">
        <v>2634.0</v>
      </c>
      <c r="C2636" s="2031">
        <v>316.0</v>
      </c>
      <c r="D2636" s="2031">
        <v>632.0</v>
      </c>
      <c r="E2636" s="2031">
        <v>421.0</v>
      </c>
      <c r="F2636" s="2031">
        <v>421.0</v>
      </c>
      <c r="G2636" s="2031">
        <v>422.0</v>
      </c>
      <c r="H2636" s="2031">
        <v>422.0</v>
      </c>
    </row>
    <row r="2637">
      <c r="B2637" s="2031">
        <v>2635.0</v>
      </c>
      <c r="C2637" s="2031">
        <v>316.0</v>
      </c>
      <c r="D2637" s="2031">
        <v>633.0</v>
      </c>
      <c r="E2637" s="2031">
        <v>421.0</v>
      </c>
      <c r="F2637" s="2031">
        <v>421.0</v>
      </c>
      <c r="G2637" s="2031">
        <v>422.0</v>
      </c>
      <c r="H2637" s="2031">
        <v>422.0</v>
      </c>
    </row>
    <row r="2638">
      <c r="B2638" s="2031">
        <v>2636.0</v>
      </c>
      <c r="C2638" s="2031">
        <v>316.0</v>
      </c>
      <c r="D2638" s="2031">
        <v>632.0</v>
      </c>
      <c r="E2638" s="2031">
        <v>422.0</v>
      </c>
      <c r="F2638" s="2031">
        <v>422.0</v>
      </c>
      <c r="G2638" s="2031">
        <v>422.0</v>
      </c>
      <c r="H2638" s="2031">
        <v>422.0</v>
      </c>
    </row>
    <row r="2639">
      <c r="B2639" s="2031">
        <v>2637.0</v>
      </c>
      <c r="C2639" s="2031">
        <v>316.0</v>
      </c>
      <c r="D2639" s="2031">
        <v>633.0</v>
      </c>
      <c r="E2639" s="2031">
        <v>422.0</v>
      </c>
      <c r="F2639" s="2031">
        <v>422.0</v>
      </c>
      <c r="G2639" s="2031">
        <v>422.0</v>
      </c>
      <c r="H2639" s="2031">
        <v>422.0</v>
      </c>
    </row>
    <row r="2640">
      <c r="B2640" s="2031">
        <v>2638.0</v>
      </c>
      <c r="C2640" s="2031">
        <v>317.0</v>
      </c>
      <c r="D2640" s="2031">
        <v>633.0</v>
      </c>
      <c r="E2640" s="2031">
        <v>422.0</v>
      </c>
      <c r="F2640" s="2031">
        <v>422.0</v>
      </c>
      <c r="G2640" s="2031">
        <v>422.0</v>
      </c>
      <c r="H2640" s="2031">
        <v>422.0</v>
      </c>
    </row>
    <row r="2641">
      <c r="B2641" s="2031">
        <v>2639.0</v>
      </c>
      <c r="C2641" s="2031">
        <v>317.0</v>
      </c>
      <c r="D2641" s="2031">
        <v>634.0</v>
      </c>
      <c r="E2641" s="2031">
        <v>422.0</v>
      </c>
      <c r="F2641" s="2031">
        <v>422.0</v>
      </c>
      <c r="G2641" s="2031">
        <v>422.0</v>
      </c>
      <c r="H2641" s="2031">
        <v>422.0</v>
      </c>
    </row>
    <row r="2642">
      <c r="B2642" s="2031">
        <v>2640.0</v>
      </c>
      <c r="C2642" s="2031">
        <v>317.0</v>
      </c>
      <c r="D2642" s="2031">
        <v>633.0</v>
      </c>
      <c r="E2642" s="2031">
        <v>422.0</v>
      </c>
      <c r="F2642" s="2031">
        <v>422.0</v>
      </c>
      <c r="G2642" s="2031">
        <v>423.0</v>
      </c>
      <c r="H2642" s="2031">
        <v>423.0</v>
      </c>
    </row>
    <row r="2643">
      <c r="B2643" s="2031">
        <v>2641.0</v>
      </c>
      <c r="C2643" s="2031">
        <v>317.0</v>
      </c>
      <c r="D2643" s="2031">
        <v>634.0</v>
      </c>
      <c r="E2643" s="2031">
        <v>422.0</v>
      </c>
      <c r="F2643" s="2031">
        <v>422.0</v>
      </c>
      <c r="G2643" s="2031">
        <v>423.0</v>
      </c>
      <c r="H2643" s="2031">
        <v>423.0</v>
      </c>
    </row>
    <row r="2644">
      <c r="B2644" s="2031">
        <v>2642.0</v>
      </c>
      <c r="C2644" s="2031">
        <v>317.0</v>
      </c>
      <c r="D2644" s="2031">
        <v>635.0</v>
      </c>
      <c r="E2644" s="2031">
        <v>422.0</v>
      </c>
      <c r="F2644" s="2031">
        <v>422.0</v>
      </c>
      <c r="G2644" s="2031">
        <v>423.0</v>
      </c>
      <c r="H2644" s="2031">
        <v>423.0</v>
      </c>
    </row>
    <row r="2645">
      <c r="B2645" s="2031">
        <v>2643.0</v>
      </c>
      <c r="C2645" s="2031">
        <v>317.0</v>
      </c>
      <c r="D2645" s="2031">
        <v>634.0</v>
      </c>
      <c r="E2645" s="2031">
        <v>423.0</v>
      </c>
      <c r="F2645" s="2031">
        <v>423.0</v>
      </c>
      <c r="G2645" s="2031">
        <v>423.0</v>
      </c>
      <c r="H2645" s="2031">
        <v>423.0</v>
      </c>
    </row>
    <row r="2646">
      <c r="B2646" s="2031">
        <v>2644.0</v>
      </c>
      <c r="C2646" s="2031">
        <v>317.0</v>
      </c>
      <c r="D2646" s="2031">
        <v>635.0</v>
      </c>
      <c r="E2646" s="2031">
        <v>423.0</v>
      </c>
      <c r="F2646" s="2031">
        <v>423.0</v>
      </c>
      <c r="G2646" s="2031">
        <v>423.0</v>
      </c>
      <c r="H2646" s="2031">
        <v>423.0</v>
      </c>
    </row>
    <row r="2647">
      <c r="B2647" s="2031">
        <v>2645.0</v>
      </c>
      <c r="C2647" s="2031">
        <v>318.0</v>
      </c>
      <c r="D2647" s="2031">
        <v>635.0</v>
      </c>
      <c r="E2647" s="2031">
        <v>423.0</v>
      </c>
      <c r="F2647" s="2031">
        <v>423.0</v>
      </c>
      <c r="G2647" s="2031">
        <v>423.0</v>
      </c>
      <c r="H2647" s="2031">
        <v>423.0</v>
      </c>
    </row>
    <row r="2648">
      <c r="B2648" s="2031">
        <v>2646.0</v>
      </c>
      <c r="C2648" s="2031">
        <v>317.0</v>
      </c>
      <c r="D2648" s="2031">
        <v>635.0</v>
      </c>
      <c r="E2648" s="2031">
        <v>423.0</v>
      </c>
      <c r="F2648" s="2031">
        <v>423.0</v>
      </c>
      <c r="G2648" s="2031">
        <v>424.0</v>
      </c>
      <c r="H2648" s="2031">
        <v>424.0</v>
      </c>
    </row>
    <row r="2649">
      <c r="B2649" s="2031">
        <v>2647.0</v>
      </c>
      <c r="C2649" s="2031">
        <v>318.0</v>
      </c>
      <c r="D2649" s="2031">
        <v>635.0</v>
      </c>
      <c r="E2649" s="2031">
        <v>423.0</v>
      </c>
      <c r="F2649" s="2031">
        <v>423.0</v>
      </c>
      <c r="G2649" s="2031">
        <v>424.0</v>
      </c>
      <c r="H2649" s="2031">
        <v>424.0</v>
      </c>
    </row>
    <row r="2650">
      <c r="B2650" s="2031">
        <v>2648.0</v>
      </c>
      <c r="C2650" s="2031">
        <v>317.0</v>
      </c>
      <c r="D2650" s="2031">
        <v>635.0</v>
      </c>
      <c r="E2650" s="2031">
        <v>424.0</v>
      </c>
      <c r="F2650" s="2031">
        <v>424.0</v>
      </c>
      <c r="G2650" s="2031">
        <v>424.0</v>
      </c>
      <c r="H2650" s="2031">
        <v>424.0</v>
      </c>
    </row>
    <row r="2651">
      <c r="B2651" s="2031">
        <v>2649.0</v>
      </c>
      <c r="C2651" s="2031">
        <v>318.0</v>
      </c>
      <c r="D2651" s="2031">
        <v>635.0</v>
      </c>
      <c r="E2651" s="2031">
        <v>424.0</v>
      </c>
      <c r="F2651" s="2031">
        <v>424.0</v>
      </c>
      <c r="G2651" s="2031">
        <v>424.0</v>
      </c>
      <c r="H2651" s="2031">
        <v>424.0</v>
      </c>
    </row>
    <row r="2652">
      <c r="B2652" s="2031">
        <v>2650.0</v>
      </c>
      <c r="C2652" s="2031">
        <v>318.0</v>
      </c>
      <c r="D2652" s="2031">
        <v>636.0</v>
      </c>
      <c r="E2652" s="2031">
        <v>424.0</v>
      </c>
      <c r="F2652" s="2031">
        <v>424.0</v>
      </c>
      <c r="G2652" s="2031">
        <v>424.0</v>
      </c>
      <c r="H2652" s="2031">
        <v>424.0</v>
      </c>
    </row>
    <row r="2653">
      <c r="B2653" s="2031">
        <v>2651.0</v>
      </c>
      <c r="C2653" s="2031">
        <v>318.0</v>
      </c>
      <c r="D2653" s="2031">
        <v>637.0</v>
      </c>
      <c r="E2653" s="2031">
        <v>424.0</v>
      </c>
      <c r="F2653" s="2031">
        <v>424.0</v>
      </c>
      <c r="G2653" s="2031">
        <v>424.0</v>
      </c>
      <c r="H2653" s="2031">
        <v>424.0</v>
      </c>
    </row>
    <row r="2654">
      <c r="B2654" s="2031">
        <v>2652.0</v>
      </c>
      <c r="C2654" s="2031">
        <v>319.0</v>
      </c>
      <c r="D2654" s="2031">
        <v>637.0</v>
      </c>
      <c r="E2654" s="2031">
        <v>424.0</v>
      </c>
      <c r="F2654" s="2031">
        <v>424.0</v>
      </c>
      <c r="G2654" s="2031">
        <v>424.0</v>
      </c>
      <c r="H2654" s="2031">
        <v>424.0</v>
      </c>
    </row>
    <row r="2655">
      <c r="B2655" s="2031">
        <v>2653.0</v>
      </c>
      <c r="C2655" s="2031">
        <v>318.0</v>
      </c>
      <c r="D2655" s="2031">
        <v>637.0</v>
      </c>
      <c r="E2655" s="2031">
        <v>424.0</v>
      </c>
      <c r="F2655" s="2031">
        <v>424.0</v>
      </c>
      <c r="G2655" s="2031">
        <v>425.0</v>
      </c>
      <c r="H2655" s="2031">
        <v>425.0</v>
      </c>
    </row>
    <row r="2656">
      <c r="B2656" s="2031">
        <v>2654.0</v>
      </c>
      <c r="C2656" s="2031">
        <v>319.0</v>
      </c>
      <c r="D2656" s="2031">
        <v>637.0</v>
      </c>
      <c r="E2656" s="2031">
        <v>424.0</v>
      </c>
      <c r="F2656" s="2031">
        <v>424.0</v>
      </c>
      <c r="G2656" s="2031">
        <v>425.0</v>
      </c>
      <c r="H2656" s="2031">
        <v>425.0</v>
      </c>
    </row>
    <row r="2657">
      <c r="B2657" s="2031">
        <v>2655.0</v>
      </c>
      <c r="C2657" s="2031">
        <v>318.0</v>
      </c>
      <c r="D2657" s="2031">
        <v>637.0</v>
      </c>
      <c r="E2657" s="2031">
        <v>425.0</v>
      </c>
      <c r="F2657" s="2031">
        <v>425.0</v>
      </c>
      <c r="G2657" s="2031">
        <v>425.0</v>
      </c>
      <c r="H2657" s="2031">
        <v>425.0</v>
      </c>
    </row>
    <row r="2658">
      <c r="B2658" s="2031">
        <v>2656.0</v>
      </c>
      <c r="C2658" s="2031">
        <v>319.0</v>
      </c>
      <c r="D2658" s="2031">
        <v>637.0</v>
      </c>
      <c r="E2658" s="2031">
        <v>425.0</v>
      </c>
      <c r="F2658" s="2031">
        <v>425.0</v>
      </c>
      <c r="G2658" s="2031">
        <v>425.0</v>
      </c>
      <c r="H2658" s="2031">
        <v>425.0</v>
      </c>
    </row>
    <row r="2659">
      <c r="B2659" s="2031">
        <v>2657.0</v>
      </c>
      <c r="C2659" s="2031">
        <v>319.0</v>
      </c>
      <c r="D2659" s="2031">
        <v>638.0</v>
      </c>
      <c r="E2659" s="2031">
        <v>425.0</v>
      </c>
      <c r="F2659" s="2031">
        <v>425.0</v>
      </c>
      <c r="G2659" s="2031">
        <v>425.0</v>
      </c>
      <c r="H2659" s="2031">
        <v>425.0</v>
      </c>
    </row>
    <row r="2660">
      <c r="B2660" s="2031">
        <v>2658.0</v>
      </c>
      <c r="C2660" s="2031">
        <v>319.0</v>
      </c>
      <c r="D2660" s="2031">
        <v>637.0</v>
      </c>
      <c r="E2660" s="2031">
        <v>425.0</v>
      </c>
      <c r="F2660" s="2031">
        <v>425.0</v>
      </c>
      <c r="G2660" s="2031">
        <v>426.0</v>
      </c>
      <c r="H2660" s="2031">
        <v>426.0</v>
      </c>
    </row>
    <row r="2661">
      <c r="B2661" s="2031">
        <v>2659.0</v>
      </c>
      <c r="C2661" s="2031">
        <v>319.0</v>
      </c>
      <c r="D2661" s="2031">
        <v>638.0</v>
      </c>
      <c r="E2661" s="2031">
        <v>425.0</v>
      </c>
      <c r="F2661" s="2031">
        <v>425.0</v>
      </c>
      <c r="G2661" s="2031">
        <v>426.0</v>
      </c>
      <c r="H2661" s="2031">
        <v>426.0</v>
      </c>
    </row>
    <row r="2662">
      <c r="B2662" s="2031">
        <v>2660.0</v>
      </c>
      <c r="C2662" s="2031">
        <v>319.0</v>
      </c>
      <c r="D2662" s="2031">
        <v>639.0</v>
      </c>
      <c r="E2662" s="2031">
        <v>425.0</v>
      </c>
      <c r="F2662" s="2031">
        <v>425.0</v>
      </c>
      <c r="G2662" s="2031">
        <v>426.0</v>
      </c>
      <c r="H2662" s="2031">
        <v>426.0</v>
      </c>
    </row>
    <row r="2663">
      <c r="B2663" s="2031">
        <v>2661.0</v>
      </c>
      <c r="C2663" s="2031">
        <v>319.0</v>
      </c>
      <c r="D2663" s="2031">
        <v>638.0</v>
      </c>
      <c r="E2663" s="2031">
        <v>426.0</v>
      </c>
      <c r="F2663" s="2031">
        <v>426.0</v>
      </c>
      <c r="G2663" s="2031">
        <v>426.0</v>
      </c>
      <c r="H2663" s="2031">
        <v>426.0</v>
      </c>
    </row>
    <row r="2664">
      <c r="B2664" s="2031">
        <v>2662.0</v>
      </c>
      <c r="C2664" s="2031">
        <v>319.0</v>
      </c>
      <c r="D2664" s="2031">
        <v>639.0</v>
      </c>
      <c r="E2664" s="2031">
        <v>426.0</v>
      </c>
      <c r="F2664" s="2031">
        <v>426.0</v>
      </c>
      <c r="G2664" s="2031">
        <v>426.0</v>
      </c>
      <c r="H2664" s="2031">
        <v>426.0</v>
      </c>
    </row>
    <row r="2665">
      <c r="B2665" s="2031">
        <v>2663.0</v>
      </c>
      <c r="C2665" s="2031">
        <v>320.0</v>
      </c>
      <c r="D2665" s="2031">
        <v>639.0</v>
      </c>
      <c r="E2665" s="2031">
        <v>426.0</v>
      </c>
      <c r="F2665" s="2031">
        <v>426.0</v>
      </c>
      <c r="G2665" s="2031">
        <v>426.0</v>
      </c>
      <c r="H2665" s="2031">
        <v>426.0</v>
      </c>
    </row>
    <row r="2666">
      <c r="B2666" s="2031">
        <v>2664.0</v>
      </c>
      <c r="C2666" s="2031">
        <v>320.0</v>
      </c>
      <c r="D2666" s="2031">
        <v>640.0</v>
      </c>
      <c r="E2666" s="2031">
        <v>426.0</v>
      </c>
      <c r="F2666" s="2031">
        <v>426.0</v>
      </c>
      <c r="G2666" s="2031">
        <v>426.0</v>
      </c>
      <c r="H2666" s="2031">
        <v>426.0</v>
      </c>
    </row>
    <row r="2667">
      <c r="B2667" s="2031">
        <v>2665.0</v>
      </c>
      <c r="C2667" s="2031">
        <v>320.0</v>
      </c>
      <c r="D2667" s="2031">
        <v>639.0</v>
      </c>
      <c r="E2667" s="2031">
        <v>426.0</v>
      </c>
      <c r="F2667" s="2031">
        <v>426.0</v>
      </c>
      <c r="G2667" s="2031">
        <v>427.0</v>
      </c>
      <c r="H2667" s="2031">
        <v>427.0</v>
      </c>
    </row>
    <row r="2668">
      <c r="B2668" s="2031">
        <v>2666.0</v>
      </c>
      <c r="C2668" s="2031">
        <v>320.0</v>
      </c>
      <c r="D2668" s="2031">
        <v>640.0</v>
      </c>
      <c r="E2668" s="2031">
        <v>426.0</v>
      </c>
      <c r="F2668" s="2031">
        <v>426.0</v>
      </c>
      <c r="G2668" s="2031">
        <v>427.0</v>
      </c>
      <c r="H2668" s="2031">
        <v>427.0</v>
      </c>
    </row>
    <row r="2669">
      <c r="B2669" s="2031">
        <v>2667.0</v>
      </c>
      <c r="C2669" s="2031">
        <v>320.0</v>
      </c>
      <c r="D2669" s="2031">
        <v>641.0</v>
      </c>
      <c r="E2669" s="2031">
        <v>426.0</v>
      </c>
      <c r="F2669" s="2031">
        <v>426.0</v>
      </c>
      <c r="G2669" s="2031">
        <v>427.0</v>
      </c>
      <c r="H2669" s="2031">
        <v>427.0</v>
      </c>
    </row>
    <row r="2670">
      <c r="B2670" s="2031">
        <v>2668.0</v>
      </c>
      <c r="C2670" s="2031">
        <v>320.0</v>
      </c>
      <c r="D2670" s="2031">
        <v>640.0</v>
      </c>
      <c r="E2670" s="2031">
        <v>427.0</v>
      </c>
      <c r="F2670" s="2031">
        <v>427.0</v>
      </c>
      <c r="G2670" s="2031">
        <v>427.0</v>
      </c>
      <c r="H2670" s="2031">
        <v>427.0</v>
      </c>
    </row>
    <row r="2671">
      <c r="B2671" s="2031">
        <v>2669.0</v>
      </c>
      <c r="C2671" s="2031">
        <v>320.0</v>
      </c>
      <c r="D2671" s="2031">
        <v>641.0</v>
      </c>
      <c r="E2671" s="2031">
        <v>427.0</v>
      </c>
      <c r="F2671" s="2031">
        <v>427.0</v>
      </c>
      <c r="G2671" s="2031">
        <v>427.0</v>
      </c>
      <c r="H2671" s="2031">
        <v>427.0</v>
      </c>
    </row>
    <row r="2672">
      <c r="B2672" s="2031">
        <v>2670.0</v>
      </c>
      <c r="C2672" s="2031">
        <v>321.0</v>
      </c>
      <c r="D2672" s="2031">
        <v>641.0</v>
      </c>
      <c r="E2672" s="2031">
        <v>427.0</v>
      </c>
      <c r="F2672" s="2031">
        <v>427.0</v>
      </c>
      <c r="G2672" s="2031">
        <v>427.0</v>
      </c>
      <c r="H2672" s="2031">
        <v>427.0</v>
      </c>
    </row>
    <row r="2673">
      <c r="B2673" s="2031">
        <v>2671.0</v>
      </c>
      <c r="C2673" s="2031">
        <v>320.0</v>
      </c>
      <c r="D2673" s="2031">
        <v>641.0</v>
      </c>
      <c r="E2673" s="2031">
        <v>427.0</v>
      </c>
      <c r="F2673" s="2031">
        <v>427.0</v>
      </c>
      <c r="G2673" s="2031">
        <v>428.0</v>
      </c>
      <c r="H2673" s="2031">
        <v>428.0</v>
      </c>
    </row>
    <row r="2674">
      <c r="B2674" s="2031">
        <v>2672.0</v>
      </c>
      <c r="C2674" s="2031">
        <v>321.0</v>
      </c>
      <c r="D2674" s="2031">
        <v>641.0</v>
      </c>
      <c r="E2674" s="2031">
        <v>427.0</v>
      </c>
      <c r="F2674" s="2031">
        <v>427.0</v>
      </c>
      <c r="G2674" s="2031">
        <v>428.0</v>
      </c>
      <c r="H2674" s="2031">
        <v>428.0</v>
      </c>
    </row>
    <row r="2675">
      <c r="B2675" s="2031">
        <v>2673.0</v>
      </c>
      <c r="C2675" s="2031">
        <v>320.0</v>
      </c>
      <c r="D2675" s="2031">
        <v>641.0</v>
      </c>
      <c r="E2675" s="2031">
        <v>428.0</v>
      </c>
      <c r="F2675" s="2031">
        <v>428.0</v>
      </c>
      <c r="G2675" s="2031">
        <v>428.0</v>
      </c>
      <c r="H2675" s="2031">
        <v>428.0</v>
      </c>
    </row>
    <row r="2676">
      <c r="B2676" s="2031">
        <v>2674.0</v>
      </c>
      <c r="C2676" s="2031">
        <v>321.0</v>
      </c>
      <c r="D2676" s="2031">
        <v>641.0</v>
      </c>
      <c r="E2676" s="2031">
        <v>428.0</v>
      </c>
      <c r="F2676" s="2031">
        <v>428.0</v>
      </c>
      <c r="G2676" s="2031">
        <v>428.0</v>
      </c>
      <c r="H2676" s="2031">
        <v>428.0</v>
      </c>
    </row>
    <row r="2677">
      <c r="B2677" s="2031">
        <v>2675.0</v>
      </c>
      <c r="C2677" s="2031">
        <v>321.0</v>
      </c>
      <c r="D2677" s="2031">
        <v>642.0</v>
      </c>
      <c r="E2677" s="2031">
        <v>428.0</v>
      </c>
      <c r="F2677" s="2031">
        <v>428.0</v>
      </c>
      <c r="G2677" s="2031">
        <v>428.0</v>
      </c>
      <c r="H2677" s="2031">
        <v>428.0</v>
      </c>
    </row>
    <row r="2678">
      <c r="B2678" s="2031">
        <v>2676.0</v>
      </c>
      <c r="C2678" s="2031">
        <v>321.0</v>
      </c>
      <c r="D2678" s="2031">
        <v>643.0</v>
      </c>
      <c r="E2678" s="2031">
        <v>428.0</v>
      </c>
      <c r="F2678" s="2031">
        <v>428.0</v>
      </c>
      <c r="G2678" s="2031">
        <v>428.0</v>
      </c>
      <c r="H2678" s="2031">
        <v>428.0</v>
      </c>
    </row>
    <row r="2679">
      <c r="B2679" s="2031">
        <v>2677.0</v>
      </c>
      <c r="C2679" s="2031">
        <v>322.0</v>
      </c>
      <c r="D2679" s="2031">
        <v>643.0</v>
      </c>
      <c r="E2679" s="2031">
        <v>428.0</v>
      </c>
      <c r="F2679" s="2031">
        <v>428.0</v>
      </c>
      <c r="G2679" s="2031">
        <v>428.0</v>
      </c>
      <c r="H2679" s="2031">
        <v>428.0</v>
      </c>
    </row>
    <row r="2680">
      <c r="B2680" s="2031">
        <v>2678.0</v>
      </c>
      <c r="C2680" s="2031">
        <v>321.0</v>
      </c>
      <c r="D2680" s="2031">
        <v>643.0</v>
      </c>
      <c r="E2680" s="2031">
        <v>428.0</v>
      </c>
      <c r="F2680" s="2031">
        <v>428.0</v>
      </c>
      <c r="G2680" s="2031">
        <v>429.0</v>
      </c>
      <c r="H2680" s="2031">
        <v>429.0</v>
      </c>
    </row>
    <row r="2681">
      <c r="B2681" s="2031">
        <v>2679.0</v>
      </c>
      <c r="C2681" s="2031">
        <v>322.0</v>
      </c>
      <c r="D2681" s="2031">
        <v>643.0</v>
      </c>
      <c r="E2681" s="2031">
        <v>428.0</v>
      </c>
      <c r="F2681" s="2031">
        <v>428.0</v>
      </c>
      <c r="G2681" s="2031">
        <v>429.0</v>
      </c>
      <c r="H2681" s="2031">
        <v>429.0</v>
      </c>
    </row>
    <row r="2682">
      <c r="B2682" s="2031">
        <v>2680.0</v>
      </c>
      <c r="C2682" s="2031">
        <v>321.0</v>
      </c>
      <c r="D2682" s="2031">
        <v>643.0</v>
      </c>
      <c r="E2682" s="2031">
        <v>429.0</v>
      </c>
      <c r="F2682" s="2031">
        <v>429.0</v>
      </c>
      <c r="G2682" s="2031">
        <v>429.0</v>
      </c>
      <c r="H2682" s="2031">
        <v>429.0</v>
      </c>
    </row>
    <row r="2683">
      <c r="B2683" s="2031">
        <v>2681.0</v>
      </c>
      <c r="C2683" s="2031">
        <v>322.0</v>
      </c>
      <c r="D2683" s="2031">
        <v>643.0</v>
      </c>
      <c r="E2683" s="2031">
        <v>429.0</v>
      </c>
      <c r="F2683" s="2031">
        <v>429.0</v>
      </c>
      <c r="G2683" s="2031">
        <v>429.0</v>
      </c>
      <c r="H2683" s="2031">
        <v>429.0</v>
      </c>
    </row>
    <row r="2684">
      <c r="B2684" s="2031">
        <v>2682.0</v>
      </c>
      <c r="C2684" s="2031">
        <v>322.0</v>
      </c>
      <c r="D2684" s="2031">
        <v>644.0</v>
      </c>
      <c r="E2684" s="2031">
        <v>429.0</v>
      </c>
      <c r="F2684" s="2031">
        <v>429.0</v>
      </c>
      <c r="G2684" s="2031">
        <v>429.0</v>
      </c>
      <c r="H2684" s="2031">
        <v>429.0</v>
      </c>
    </row>
    <row r="2685">
      <c r="B2685" s="2031">
        <v>2683.0</v>
      </c>
      <c r="C2685" s="2031">
        <v>322.0</v>
      </c>
      <c r="D2685" s="2031">
        <v>643.0</v>
      </c>
      <c r="E2685" s="2031">
        <v>429.0</v>
      </c>
      <c r="F2685" s="2031">
        <v>429.0</v>
      </c>
      <c r="G2685" s="2031">
        <v>430.0</v>
      </c>
      <c r="H2685" s="2031">
        <v>430.0</v>
      </c>
    </row>
    <row r="2686">
      <c r="B2686" s="2031">
        <v>2684.0</v>
      </c>
      <c r="C2686" s="2031">
        <v>322.0</v>
      </c>
      <c r="D2686" s="2031">
        <v>644.0</v>
      </c>
      <c r="E2686" s="2031">
        <v>429.0</v>
      </c>
      <c r="F2686" s="2031">
        <v>429.0</v>
      </c>
      <c r="G2686" s="2031">
        <v>430.0</v>
      </c>
      <c r="H2686" s="2031">
        <v>430.0</v>
      </c>
    </row>
    <row r="2687">
      <c r="B2687" s="2031">
        <v>2685.0</v>
      </c>
      <c r="C2687" s="2031">
        <v>322.0</v>
      </c>
      <c r="D2687" s="2031">
        <v>645.0</v>
      </c>
      <c r="E2687" s="2031">
        <v>429.0</v>
      </c>
      <c r="F2687" s="2031">
        <v>429.0</v>
      </c>
      <c r="G2687" s="2031">
        <v>430.0</v>
      </c>
      <c r="H2687" s="2031">
        <v>430.0</v>
      </c>
    </row>
    <row r="2688">
      <c r="B2688" s="2031">
        <v>2686.0</v>
      </c>
      <c r="C2688" s="2031">
        <v>322.0</v>
      </c>
      <c r="D2688" s="2031">
        <v>644.0</v>
      </c>
      <c r="E2688" s="2031">
        <v>430.0</v>
      </c>
      <c r="F2688" s="2031">
        <v>430.0</v>
      </c>
      <c r="G2688" s="2031">
        <v>430.0</v>
      </c>
      <c r="H2688" s="2031">
        <v>430.0</v>
      </c>
    </row>
    <row r="2689">
      <c r="B2689" s="2031">
        <v>2687.0</v>
      </c>
      <c r="C2689" s="2031">
        <v>322.0</v>
      </c>
      <c r="D2689" s="2031">
        <v>645.0</v>
      </c>
      <c r="E2689" s="2031">
        <v>430.0</v>
      </c>
      <c r="F2689" s="2031">
        <v>430.0</v>
      </c>
      <c r="G2689" s="2031">
        <v>430.0</v>
      </c>
      <c r="H2689" s="2031">
        <v>430.0</v>
      </c>
    </row>
    <row r="2690">
      <c r="B2690" s="2031">
        <v>2688.0</v>
      </c>
      <c r="C2690" s="2031">
        <v>323.0</v>
      </c>
      <c r="D2690" s="2031">
        <v>645.0</v>
      </c>
      <c r="E2690" s="2031">
        <v>430.0</v>
      </c>
      <c r="F2690" s="2031">
        <v>430.0</v>
      </c>
      <c r="G2690" s="2031">
        <v>430.0</v>
      </c>
      <c r="H2690" s="2031">
        <v>430.0</v>
      </c>
    </row>
    <row r="2691">
      <c r="B2691" s="2031">
        <v>2689.0</v>
      </c>
      <c r="C2691" s="2031">
        <v>323.0</v>
      </c>
      <c r="D2691" s="2031">
        <v>646.0</v>
      </c>
      <c r="E2691" s="2031">
        <v>430.0</v>
      </c>
      <c r="F2691" s="2031">
        <v>430.0</v>
      </c>
      <c r="G2691" s="2031">
        <v>430.0</v>
      </c>
      <c r="H2691" s="2031">
        <v>430.0</v>
      </c>
    </row>
    <row r="2692">
      <c r="B2692" s="2031">
        <v>2690.0</v>
      </c>
      <c r="C2692" s="2031">
        <v>323.0</v>
      </c>
      <c r="D2692" s="2031">
        <v>645.0</v>
      </c>
      <c r="E2692" s="2031">
        <v>430.0</v>
      </c>
      <c r="F2692" s="2031">
        <v>430.0</v>
      </c>
      <c r="G2692" s="2031">
        <v>431.0</v>
      </c>
      <c r="H2692" s="2031">
        <v>431.0</v>
      </c>
    </row>
    <row r="2693">
      <c r="B2693" s="2031">
        <v>2691.0</v>
      </c>
      <c r="C2693" s="2031">
        <v>323.0</v>
      </c>
      <c r="D2693" s="2031">
        <v>646.0</v>
      </c>
      <c r="E2693" s="2031">
        <v>430.0</v>
      </c>
      <c r="F2693" s="2031">
        <v>430.0</v>
      </c>
      <c r="G2693" s="2031">
        <v>431.0</v>
      </c>
      <c r="H2693" s="2031">
        <v>431.0</v>
      </c>
    </row>
    <row r="2694">
      <c r="B2694" s="2031">
        <v>2692.0</v>
      </c>
      <c r="C2694" s="2031">
        <v>323.0</v>
      </c>
      <c r="D2694" s="2031">
        <v>647.0</v>
      </c>
      <c r="E2694" s="2031">
        <v>430.0</v>
      </c>
      <c r="F2694" s="2031">
        <v>430.0</v>
      </c>
      <c r="G2694" s="2031">
        <v>431.0</v>
      </c>
      <c r="H2694" s="2031">
        <v>431.0</v>
      </c>
    </row>
    <row r="2695">
      <c r="B2695" s="2031">
        <v>2693.0</v>
      </c>
      <c r="C2695" s="2031">
        <v>323.0</v>
      </c>
      <c r="D2695" s="2031">
        <v>646.0</v>
      </c>
      <c r="E2695" s="2031">
        <v>431.0</v>
      </c>
      <c r="F2695" s="2031">
        <v>431.0</v>
      </c>
      <c r="G2695" s="2031">
        <v>431.0</v>
      </c>
      <c r="H2695" s="2031">
        <v>431.0</v>
      </c>
    </row>
    <row r="2696">
      <c r="B2696" s="2031">
        <v>2694.0</v>
      </c>
      <c r="C2696" s="2031">
        <v>323.0</v>
      </c>
      <c r="D2696" s="2031">
        <v>647.0</v>
      </c>
      <c r="E2696" s="2031">
        <v>431.0</v>
      </c>
      <c r="F2696" s="2031">
        <v>431.0</v>
      </c>
      <c r="G2696" s="2031">
        <v>431.0</v>
      </c>
      <c r="H2696" s="2031">
        <v>431.0</v>
      </c>
    </row>
    <row r="2697">
      <c r="B2697" s="2031">
        <v>2695.0</v>
      </c>
      <c r="C2697" s="2031">
        <v>324.0</v>
      </c>
      <c r="D2697" s="2031">
        <v>647.0</v>
      </c>
      <c r="E2697" s="2031">
        <v>431.0</v>
      </c>
      <c r="F2697" s="2031">
        <v>431.0</v>
      </c>
      <c r="G2697" s="2031">
        <v>431.0</v>
      </c>
      <c r="H2697" s="2031">
        <v>431.0</v>
      </c>
    </row>
    <row r="2698">
      <c r="B2698" s="2031">
        <v>2696.0</v>
      </c>
      <c r="C2698" s="2031">
        <v>323.0</v>
      </c>
      <c r="D2698" s="2031">
        <v>647.0</v>
      </c>
      <c r="E2698" s="2031">
        <v>431.0</v>
      </c>
      <c r="F2698" s="2031">
        <v>431.0</v>
      </c>
      <c r="G2698" s="2031">
        <v>432.0</v>
      </c>
      <c r="H2698" s="2031">
        <v>432.0</v>
      </c>
    </row>
    <row r="2699">
      <c r="B2699" s="2031">
        <v>2697.0</v>
      </c>
      <c r="C2699" s="2031">
        <v>324.0</v>
      </c>
      <c r="D2699" s="2031">
        <v>647.0</v>
      </c>
      <c r="E2699" s="2031">
        <v>431.0</v>
      </c>
      <c r="F2699" s="2031">
        <v>431.0</v>
      </c>
      <c r="G2699" s="2031">
        <v>432.0</v>
      </c>
      <c r="H2699" s="2031">
        <v>432.0</v>
      </c>
    </row>
    <row r="2700">
      <c r="B2700" s="2031">
        <v>2698.0</v>
      </c>
      <c r="C2700" s="2031">
        <v>323.0</v>
      </c>
      <c r="D2700" s="2031">
        <v>647.0</v>
      </c>
      <c r="E2700" s="2031">
        <v>432.0</v>
      </c>
      <c r="F2700" s="2031">
        <v>432.0</v>
      </c>
      <c r="G2700" s="2031">
        <v>432.0</v>
      </c>
      <c r="H2700" s="2031">
        <v>432.0</v>
      </c>
    </row>
    <row r="2701">
      <c r="B2701" s="2031">
        <v>2699.0</v>
      </c>
      <c r="C2701" s="2031">
        <v>324.0</v>
      </c>
      <c r="D2701" s="2031">
        <v>647.0</v>
      </c>
      <c r="E2701" s="2031">
        <v>432.0</v>
      </c>
      <c r="F2701" s="2031">
        <v>432.0</v>
      </c>
      <c r="G2701" s="2031">
        <v>432.0</v>
      </c>
      <c r="H2701" s="2031">
        <v>432.0</v>
      </c>
    </row>
    <row r="2702">
      <c r="B2702" s="2031">
        <v>2700.0</v>
      </c>
      <c r="C2702" s="2031">
        <v>324.0</v>
      </c>
      <c r="D2702" s="2031">
        <v>648.0</v>
      </c>
      <c r="E2702" s="2031">
        <v>432.0</v>
      </c>
      <c r="F2702" s="2031">
        <v>432.0</v>
      </c>
      <c r="G2702" s="2031">
        <v>432.0</v>
      </c>
      <c r="H2702" s="2031">
        <v>432.0</v>
      </c>
    </row>
    <row r="2703">
      <c r="B2703" s="2031">
        <v>2701.0</v>
      </c>
      <c r="C2703" s="2031">
        <v>324.0</v>
      </c>
      <c r="D2703" s="2031">
        <v>649.0</v>
      </c>
      <c r="E2703" s="2031">
        <v>432.0</v>
      </c>
      <c r="F2703" s="2031">
        <v>432.0</v>
      </c>
      <c r="G2703" s="2031">
        <v>432.0</v>
      </c>
      <c r="H2703" s="2031">
        <v>432.0</v>
      </c>
    </row>
    <row r="2704">
      <c r="B2704" s="2031">
        <v>2702.0</v>
      </c>
      <c r="C2704" s="2031">
        <v>325.0</v>
      </c>
      <c r="D2704" s="2031">
        <v>649.0</v>
      </c>
      <c r="E2704" s="2031">
        <v>432.0</v>
      </c>
      <c r="F2704" s="2031">
        <v>432.0</v>
      </c>
      <c r="G2704" s="2031">
        <v>432.0</v>
      </c>
      <c r="H2704" s="2031">
        <v>432.0</v>
      </c>
    </row>
    <row r="2705">
      <c r="B2705" s="2031">
        <v>2703.0</v>
      </c>
      <c r="C2705" s="2031">
        <v>324.0</v>
      </c>
      <c r="D2705" s="2031">
        <v>649.0</v>
      </c>
      <c r="E2705" s="2031">
        <v>432.0</v>
      </c>
      <c r="F2705" s="2031">
        <v>432.0</v>
      </c>
      <c r="G2705" s="2031">
        <v>433.0</v>
      </c>
      <c r="H2705" s="2031">
        <v>433.0</v>
      </c>
    </row>
    <row r="2706">
      <c r="B2706" s="2031">
        <v>2704.0</v>
      </c>
      <c r="C2706" s="2031">
        <v>325.0</v>
      </c>
      <c r="D2706" s="2031">
        <v>649.0</v>
      </c>
      <c r="E2706" s="2031">
        <v>432.0</v>
      </c>
      <c r="F2706" s="2031">
        <v>432.0</v>
      </c>
      <c r="G2706" s="2031">
        <v>433.0</v>
      </c>
      <c r="H2706" s="2031">
        <v>433.0</v>
      </c>
    </row>
    <row r="2707">
      <c r="B2707" s="2031">
        <v>2705.0</v>
      </c>
      <c r="C2707" s="2031">
        <v>324.0</v>
      </c>
      <c r="D2707" s="2031">
        <v>649.0</v>
      </c>
      <c r="E2707" s="2031">
        <v>433.0</v>
      </c>
      <c r="F2707" s="2031">
        <v>433.0</v>
      </c>
      <c r="G2707" s="2031">
        <v>433.0</v>
      </c>
      <c r="H2707" s="2031">
        <v>433.0</v>
      </c>
    </row>
    <row r="2708">
      <c r="B2708" s="2031">
        <v>2706.0</v>
      </c>
      <c r="C2708" s="2031">
        <v>325.0</v>
      </c>
      <c r="D2708" s="2031">
        <v>649.0</v>
      </c>
      <c r="E2708" s="2031">
        <v>433.0</v>
      </c>
      <c r="F2708" s="2031">
        <v>433.0</v>
      </c>
      <c r="G2708" s="2031">
        <v>433.0</v>
      </c>
      <c r="H2708" s="2031">
        <v>433.0</v>
      </c>
    </row>
    <row r="2709">
      <c r="B2709" s="2031">
        <v>2707.0</v>
      </c>
      <c r="C2709" s="2031">
        <v>325.0</v>
      </c>
      <c r="D2709" s="2031">
        <v>650.0</v>
      </c>
      <c r="E2709" s="2031">
        <v>433.0</v>
      </c>
      <c r="F2709" s="2031">
        <v>433.0</v>
      </c>
      <c r="G2709" s="2031">
        <v>433.0</v>
      </c>
      <c r="H2709" s="2031">
        <v>433.0</v>
      </c>
    </row>
    <row r="2710">
      <c r="B2710" s="2031">
        <v>2708.0</v>
      </c>
      <c r="C2710" s="2031">
        <v>325.0</v>
      </c>
      <c r="D2710" s="2031">
        <v>649.0</v>
      </c>
      <c r="E2710" s="2031">
        <v>433.0</v>
      </c>
      <c r="F2710" s="2031">
        <v>433.0</v>
      </c>
      <c r="G2710" s="2031">
        <v>434.0</v>
      </c>
      <c r="H2710" s="2031">
        <v>434.0</v>
      </c>
    </row>
    <row r="2711">
      <c r="B2711" s="2031">
        <v>2709.0</v>
      </c>
      <c r="C2711" s="2031">
        <v>325.0</v>
      </c>
      <c r="D2711" s="2031">
        <v>650.0</v>
      </c>
      <c r="E2711" s="2031">
        <v>433.0</v>
      </c>
      <c r="F2711" s="2031">
        <v>433.0</v>
      </c>
      <c r="G2711" s="2031">
        <v>434.0</v>
      </c>
      <c r="H2711" s="2031">
        <v>434.0</v>
      </c>
    </row>
    <row r="2712">
      <c r="B2712" s="2031">
        <v>2710.0</v>
      </c>
      <c r="C2712" s="2031">
        <v>325.0</v>
      </c>
      <c r="D2712" s="2031">
        <v>651.0</v>
      </c>
      <c r="E2712" s="2031">
        <v>433.0</v>
      </c>
      <c r="F2712" s="2031">
        <v>433.0</v>
      </c>
      <c r="G2712" s="2031">
        <v>434.0</v>
      </c>
      <c r="H2712" s="2031">
        <v>434.0</v>
      </c>
    </row>
    <row r="2713">
      <c r="B2713" s="2031">
        <v>2711.0</v>
      </c>
      <c r="C2713" s="2031">
        <v>325.0</v>
      </c>
      <c r="D2713" s="2031">
        <v>650.0</v>
      </c>
      <c r="E2713" s="2031">
        <v>434.0</v>
      </c>
      <c r="F2713" s="2031">
        <v>434.0</v>
      </c>
      <c r="G2713" s="2031">
        <v>434.0</v>
      </c>
      <c r="H2713" s="2031">
        <v>434.0</v>
      </c>
    </row>
    <row r="2714">
      <c r="B2714" s="2031">
        <v>2712.0</v>
      </c>
      <c r="C2714" s="2031">
        <v>325.0</v>
      </c>
      <c r="D2714" s="2031">
        <v>651.0</v>
      </c>
      <c r="E2714" s="2031">
        <v>434.0</v>
      </c>
      <c r="F2714" s="2031">
        <v>434.0</v>
      </c>
      <c r="G2714" s="2031">
        <v>434.0</v>
      </c>
      <c r="H2714" s="2031">
        <v>434.0</v>
      </c>
    </row>
    <row r="2715">
      <c r="B2715" s="2031">
        <v>2713.0</v>
      </c>
      <c r="C2715" s="2031">
        <v>326.0</v>
      </c>
      <c r="D2715" s="2031">
        <v>651.0</v>
      </c>
      <c r="E2715" s="2031">
        <v>434.0</v>
      </c>
      <c r="F2715" s="2031">
        <v>434.0</v>
      </c>
      <c r="G2715" s="2031">
        <v>434.0</v>
      </c>
      <c r="H2715" s="2031">
        <v>434.0</v>
      </c>
    </row>
    <row r="2716">
      <c r="B2716" s="2031">
        <v>2714.0</v>
      </c>
      <c r="C2716" s="2031">
        <v>326.0</v>
      </c>
      <c r="D2716" s="2031">
        <v>652.0</v>
      </c>
      <c r="E2716" s="2031">
        <v>434.0</v>
      </c>
      <c r="F2716" s="2031">
        <v>434.0</v>
      </c>
      <c r="G2716" s="2031">
        <v>434.0</v>
      </c>
      <c r="H2716" s="2031">
        <v>434.0</v>
      </c>
    </row>
    <row r="2717">
      <c r="B2717" s="2031">
        <v>2715.0</v>
      </c>
      <c r="C2717" s="2031">
        <v>326.0</v>
      </c>
      <c r="D2717" s="2031">
        <v>651.0</v>
      </c>
      <c r="E2717" s="2031">
        <v>434.0</v>
      </c>
      <c r="F2717" s="2031">
        <v>434.0</v>
      </c>
      <c r="G2717" s="2031">
        <v>435.0</v>
      </c>
      <c r="H2717" s="2031">
        <v>435.0</v>
      </c>
    </row>
    <row r="2718">
      <c r="B2718" s="2031">
        <v>2716.0</v>
      </c>
      <c r="C2718" s="2031">
        <v>326.0</v>
      </c>
      <c r="D2718" s="2031">
        <v>652.0</v>
      </c>
      <c r="E2718" s="2031">
        <v>434.0</v>
      </c>
      <c r="F2718" s="2031">
        <v>434.0</v>
      </c>
      <c r="G2718" s="2031">
        <v>435.0</v>
      </c>
      <c r="H2718" s="2031">
        <v>435.0</v>
      </c>
    </row>
    <row r="2719">
      <c r="B2719" s="2031">
        <v>2717.0</v>
      </c>
      <c r="C2719" s="2031">
        <v>326.0</v>
      </c>
      <c r="D2719" s="2031">
        <v>653.0</v>
      </c>
      <c r="E2719" s="2031">
        <v>434.0</v>
      </c>
      <c r="F2719" s="2031">
        <v>434.0</v>
      </c>
      <c r="G2719" s="2031">
        <v>435.0</v>
      </c>
      <c r="H2719" s="2031">
        <v>435.0</v>
      </c>
    </row>
    <row r="2720">
      <c r="B2720" s="2031">
        <v>2718.0</v>
      </c>
      <c r="C2720" s="2031">
        <v>326.0</v>
      </c>
      <c r="D2720" s="2031">
        <v>652.0</v>
      </c>
      <c r="E2720" s="2031">
        <v>435.0</v>
      </c>
      <c r="F2720" s="2031">
        <v>435.0</v>
      </c>
      <c r="G2720" s="2031">
        <v>435.0</v>
      </c>
      <c r="H2720" s="2031">
        <v>435.0</v>
      </c>
    </row>
    <row r="2721">
      <c r="B2721" s="2031">
        <v>2719.0</v>
      </c>
      <c r="C2721" s="2031">
        <v>326.0</v>
      </c>
      <c r="D2721" s="2031">
        <v>653.0</v>
      </c>
      <c r="E2721" s="2031">
        <v>435.0</v>
      </c>
      <c r="F2721" s="2031">
        <v>435.0</v>
      </c>
      <c r="G2721" s="2031">
        <v>435.0</v>
      </c>
      <c r="H2721" s="2031">
        <v>435.0</v>
      </c>
    </row>
    <row r="2722">
      <c r="B2722" s="2031">
        <v>2720.0</v>
      </c>
      <c r="C2722" s="2031">
        <v>327.0</v>
      </c>
      <c r="D2722" s="2031">
        <v>653.0</v>
      </c>
      <c r="E2722" s="2031">
        <v>435.0</v>
      </c>
      <c r="F2722" s="2031">
        <v>435.0</v>
      </c>
      <c r="G2722" s="2031">
        <v>435.0</v>
      </c>
      <c r="H2722" s="2031">
        <v>435.0</v>
      </c>
    </row>
    <row r="2723">
      <c r="B2723" s="2031">
        <v>2721.0</v>
      </c>
      <c r="C2723" s="2031">
        <v>326.0</v>
      </c>
      <c r="D2723" s="2031">
        <v>653.0</v>
      </c>
      <c r="E2723" s="2031">
        <v>435.0</v>
      </c>
      <c r="F2723" s="2031">
        <v>435.0</v>
      </c>
      <c r="G2723" s="2031">
        <v>436.0</v>
      </c>
      <c r="H2723" s="2031">
        <v>436.0</v>
      </c>
    </row>
    <row r="2724">
      <c r="B2724" s="2031">
        <v>2722.0</v>
      </c>
      <c r="C2724" s="2031">
        <v>327.0</v>
      </c>
      <c r="D2724" s="2031">
        <v>653.0</v>
      </c>
      <c r="E2724" s="2031">
        <v>435.0</v>
      </c>
      <c r="F2724" s="2031">
        <v>435.0</v>
      </c>
      <c r="G2724" s="2031">
        <v>436.0</v>
      </c>
      <c r="H2724" s="2031">
        <v>436.0</v>
      </c>
    </row>
    <row r="2725">
      <c r="B2725" s="2031">
        <v>2723.0</v>
      </c>
      <c r="C2725" s="2031">
        <v>326.0</v>
      </c>
      <c r="D2725" s="2031">
        <v>653.0</v>
      </c>
      <c r="E2725" s="2031">
        <v>436.0</v>
      </c>
      <c r="F2725" s="2031">
        <v>436.0</v>
      </c>
      <c r="G2725" s="2031">
        <v>436.0</v>
      </c>
      <c r="H2725" s="2031">
        <v>436.0</v>
      </c>
    </row>
    <row r="2726">
      <c r="B2726" s="2031">
        <v>2724.0</v>
      </c>
      <c r="C2726" s="2031">
        <v>327.0</v>
      </c>
      <c r="D2726" s="2031">
        <v>653.0</v>
      </c>
      <c r="E2726" s="2031">
        <v>436.0</v>
      </c>
      <c r="F2726" s="2031">
        <v>436.0</v>
      </c>
      <c r="G2726" s="2031">
        <v>436.0</v>
      </c>
      <c r="H2726" s="2031">
        <v>436.0</v>
      </c>
    </row>
    <row r="2727">
      <c r="B2727" s="2031">
        <v>2725.0</v>
      </c>
      <c r="C2727" s="2031">
        <v>327.0</v>
      </c>
      <c r="D2727" s="2031">
        <v>654.0</v>
      </c>
      <c r="E2727" s="2031">
        <v>436.0</v>
      </c>
      <c r="F2727" s="2031">
        <v>436.0</v>
      </c>
      <c r="G2727" s="2031">
        <v>436.0</v>
      </c>
      <c r="H2727" s="2031">
        <v>436.0</v>
      </c>
    </row>
    <row r="2728">
      <c r="B2728" s="2031">
        <v>2726.0</v>
      </c>
      <c r="C2728" s="2031">
        <v>327.0</v>
      </c>
      <c r="D2728" s="2031">
        <v>655.0</v>
      </c>
      <c r="E2728" s="2031">
        <v>436.0</v>
      </c>
      <c r="F2728" s="2031">
        <v>436.0</v>
      </c>
      <c r="G2728" s="2031">
        <v>436.0</v>
      </c>
      <c r="H2728" s="2031">
        <v>436.0</v>
      </c>
    </row>
    <row r="2729">
      <c r="B2729" s="2031">
        <v>2727.0</v>
      </c>
      <c r="C2729" s="2031">
        <v>328.0</v>
      </c>
      <c r="D2729" s="2031">
        <v>655.0</v>
      </c>
      <c r="E2729" s="2031">
        <v>436.0</v>
      </c>
      <c r="F2729" s="2031">
        <v>436.0</v>
      </c>
      <c r="G2729" s="2031">
        <v>436.0</v>
      </c>
      <c r="H2729" s="2031">
        <v>436.0</v>
      </c>
    </row>
    <row r="2730">
      <c r="B2730" s="2031">
        <v>2728.0</v>
      </c>
      <c r="C2730" s="2031">
        <v>327.0</v>
      </c>
      <c r="D2730" s="2031">
        <v>655.0</v>
      </c>
      <c r="E2730" s="2031">
        <v>436.0</v>
      </c>
      <c r="F2730" s="2031">
        <v>436.0</v>
      </c>
      <c r="G2730" s="2031">
        <v>437.0</v>
      </c>
      <c r="H2730" s="2031">
        <v>437.0</v>
      </c>
    </row>
    <row r="2731">
      <c r="B2731" s="2031">
        <v>2729.0</v>
      </c>
      <c r="C2731" s="2031">
        <v>328.0</v>
      </c>
      <c r="D2731" s="2031">
        <v>655.0</v>
      </c>
      <c r="E2731" s="2031">
        <v>436.0</v>
      </c>
      <c r="F2731" s="2031">
        <v>436.0</v>
      </c>
      <c r="G2731" s="2031">
        <v>437.0</v>
      </c>
      <c r="H2731" s="2031">
        <v>437.0</v>
      </c>
    </row>
    <row r="2732">
      <c r="B2732" s="2031">
        <v>2730.0</v>
      </c>
      <c r="C2732" s="2031">
        <v>327.0</v>
      </c>
      <c r="D2732" s="2031">
        <v>655.0</v>
      </c>
      <c r="E2732" s="2031">
        <v>437.0</v>
      </c>
      <c r="F2732" s="2031">
        <v>437.0</v>
      </c>
      <c r="G2732" s="2031">
        <v>437.0</v>
      </c>
      <c r="H2732" s="2031">
        <v>437.0</v>
      </c>
    </row>
    <row r="2733">
      <c r="B2733" s="2031">
        <v>2731.0</v>
      </c>
      <c r="C2733" s="2031">
        <v>328.0</v>
      </c>
      <c r="D2733" s="2031">
        <v>655.0</v>
      </c>
      <c r="E2733" s="2031">
        <v>437.0</v>
      </c>
      <c r="F2733" s="2031">
        <v>437.0</v>
      </c>
      <c r="G2733" s="2031">
        <v>437.0</v>
      </c>
      <c r="H2733" s="2031">
        <v>437.0</v>
      </c>
    </row>
    <row r="2734">
      <c r="B2734" s="2031">
        <v>2732.0</v>
      </c>
      <c r="C2734" s="2031">
        <v>328.0</v>
      </c>
      <c r="D2734" s="2031">
        <v>656.0</v>
      </c>
      <c r="E2734" s="2031">
        <v>437.0</v>
      </c>
      <c r="F2734" s="2031">
        <v>437.0</v>
      </c>
      <c r="G2734" s="2031">
        <v>437.0</v>
      </c>
      <c r="H2734" s="2031">
        <v>437.0</v>
      </c>
    </row>
    <row r="2735">
      <c r="B2735" s="2031">
        <v>2733.0</v>
      </c>
      <c r="C2735" s="2031">
        <v>328.0</v>
      </c>
      <c r="D2735" s="2031">
        <v>655.0</v>
      </c>
      <c r="E2735" s="2031">
        <v>437.0</v>
      </c>
      <c r="F2735" s="2031">
        <v>437.0</v>
      </c>
      <c r="G2735" s="2031">
        <v>438.0</v>
      </c>
      <c r="H2735" s="2031">
        <v>438.0</v>
      </c>
    </row>
    <row r="2736">
      <c r="B2736" s="2031">
        <v>2734.0</v>
      </c>
      <c r="C2736" s="2031">
        <v>328.0</v>
      </c>
      <c r="D2736" s="2031">
        <v>656.0</v>
      </c>
      <c r="E2736" s="2031">
        <v>437.0</v>
      </c>
      <c r="F2736" s="2031">
        <v>437.0</v>
      </c>
      <c r="G2736" s="2031">
        <v>438.0</v>
      </c>
      <c r="H2736" s="2031">
        <v>438.0</v>
      </c>
    </row>
    <row r="2737">
      <c r="B2737" s="2031">
        <v>2735.0</v>
      </c>
      <c r="C2737" s="2031">
        <v>328.0</v>
      </c>
      <c r="D2737" s="2031">
        <v>657.0</v>
      </c>
      <c r="E2737" s="2031">
        <v>437.0</v>
      </c>
      <c r="F2737" s="2031">
        <v>437.0</v>
      </c>
      <c r="G2737" s="2031">
        <v>438.0</v>
      </c>
      <c r="H2737" s="2031">
        <v>438.0</v>
      </c>
    </row>
    <row r="2738">
      <c r="B2738" s="2031">
        <v>2736.0</v>
      </c>
      <c r="C2738" s="2031">
        <v>328.0</v>
      </c>
      <c r="D2738" s="2031">
        <v>656.0</v>
      </c>
      <c r="E2738" s="2031">
        <v>438.0</v>
      </c>
      <c r="F2738" s="2031">
        <v>438.0</v>
      </c>
      <c r="G2738" s="2031">
        <v>438.0</v>
      </c>
      <c r="H2738" s="2031">
        <v>438.0</v>
      </c>
    </row>
    <row r="2739">
      <c r="B2739" s="2031">
        <v>2737.0</v>
      </c>
      <c r="C2739" s="2031">
        <v>328.0</v>
      </c>
      <c r="D2739" s="2031">
        <v>657.0</v>
      </c>
      <c r="E2739" s="2031">
        <v>438.0</v>
      </c>
      <c r="F2739" s="2031">
        <v>438.0</v>
      </c>
      <c r="G2739" s="2031">
        <v>438.0</v>
      </c>
      <c r="H2739" s="2031">
        <v>438.0</v>
      </c>
    </row>
    <row r="2740">
      <c r="B2740" s="2031">
        <v>2738.0</v>
      </c>
      <c r="C2740" s="2031">
        <v>329.0</v>
      </c>
      <c r="D2740" s="2031">
        <v>657.0</v>
      </c>
      <c r="E2740" s="2031">
        <v>438.0</v>
      </c>
      <c r="F2740" s="2031">
        <v>438.0</v>
      </c>
      <c r="G2740" s="2031">
        <v>438.0</v>
      </c>
      <c r="H2740" s="2031">
        <v>438.0</v>
      </c>
    </row>
    <row r="2741">
      <c r="B2741" s="2031">
        <v>2739.0</v>
      </c>
      <c r="C2741" s="2031">
        <v>329.0</v>
      </c>
      <c r="D2741" s="2031">
        <v>658.0</v>
      </c>
      <c r="E2741" s="2031">
        <v>438.0</v>
      </c>
      <c r="F2741" s="2031">
        <v>438.0</v>
      </c>
      <c r="G2741" s="2031">
        <v>438.0</v>
      </c>
      <c r="H2741" s="2031">
        <v>438.0</v>
      </c>
    </row>
    <row r="2742">
      <c r="B2742" s="2031">
        <v>2740.0</v>
      </c>
      <c r="C2742" s="2031">
        <v>329.0</v>
      </c>
      <c r="D2742" s="2031">
        <v>657.0</v>
      </c>
      <c r="E2742" s="2031">
        <v>438.0</v>
      </c>
      <c r="F2742" s="2031">
        <v>438.0</v>
      </c>
      <c r="G2742" s="2031">
        <v>439.0</v>
      </c>
      <c r="H2742" s="2031">
        <v>439.0</v>
      </c>
    </row>
    <row r="2743">
      <c r="B2743" s="2031">
        <v>2741.0</v>
      </c>
      <c r="C2743" s="2031">
        <v>329.0</v>
      </c>
      <c r="D2743" s="2031">
        <v>658.0</v>
      </c>
      <c r="E2743" s="2031">
        <v>438.0</v>
      </c>
      <c r="F2743" s="2031">
        <v>438.0</v>
      </c>
      <c r="G2743" s="2031">
        <v>439.0</v>
      </c>
      <c r="H2743" s="2031">
        <v>439.0</v>
      </c>
    </row>
    <row r="2744">
      <c r="B2744" s="2031">
        <v>2742.0</v>
      </c>
      <c r="C2744" s="2031">
        <v>329.0</v>
      </c>
      <c r="D2744" s="2031">
        <v>659.0</v>
      </c>
      <c r="E2744" s="2031">
        <v>438.0</v>
      </c>
      <c r="F2744" s="2031">
        <v>438.0</v>
      </c>
      <c r="G2744" s="2031">
        <v>439.0</v>
      </c>
      <c r="H2744" s="2031">
        <v>439.0</v>
      </c>
    </row>
    <row r="2745">
      <c r="B2745" s="2031">
        <v>2743.0</v>
      </c>
      <c r="C2745" s="2031">
        <v>329.0</v>
      </c>
      <c r="D2745" s="2031">
        <v>658.0</v>
      </c>
      <c r="E2745" s="2031">
        <v>439.0</v>
      </c>
      <c r="F2745" s="2031">
        <v>439.0</v>
      </c>
      <c r="G2745" s="2031">
        <v>439.0</v>
      </c>
      <c r="H2745" s="2031">
        <v>439.0</v>
      </c>
    </row>
    <row r="2746">
      <c r="B2746" s="2031">
        <v>2744.0</v>
      </c>
      <c r="C2746" s="2031">
        <v>329.0</v>
      </c>
      <c r="D2746" s="2031">
        <v>659.0</v>
      </c>
      <c r="E2746" s="2031">
        <v>439.0</v>
      </c>
      <c r="F2746" s="2031">
        <v>439.0</v>
      </c>
      <c r="G2746" s="2031">
        <v>439.0</v>
      </c>
      <c r="H2746" s="2031">
        <v>439.0</v>
      </c>
    </row>
    <row r="2747">
      <c r="B2747" s="2031">
        <v>2745.0</v>
      </c>
      <c r="C2747" s="2031">
        <v>330.0</v>
      </c>
      <c r="D2747" s="2031">
        <v>659.0</v>
      </c>
      <c r="E2747" s="2031">
        <v>439.0</v>
      </c>
      <c r="F2747" s="2031">
        <v>439.0</v>
      </c>
      <c r="G2747" s="2031">
        <v>439.0</v>
      </c>
      <c r="H2747" s="2031">
        <v>439.0</v>
      </c>
    </row>
    <row r="2748">
      <c r="B2748" s="2031">
        <v>2746.0</v>
      </c>
      <c r="C2748" s="2031">
        <v>329.0</v>
      </c>
      <c r="D2748" s="2031">
        <v>659.0</v>
      </c>
      <c r="E2748" s="2031">
        <v>439.0</v>
      </c>
      <c r="F2748" s="2031">
        <v>439.0</v>
      </c>
      <c r="G2748" s="2031">
        <v>440.0</v>
      </c>
      <c r="H2748" s="2031">
        <v>440.0</v>
      </c>
    </row>
    <row r="2749">
      <c r="B2749" s="2031">
        <v>2747.0</v>
      </c>
      <c r="C2749" s="2031">
        <v>330.0</v>
      </c>
      <c r="D2749" s="2031">
        <v>659.0</v>
      </c>
      <c r="E2749" s="2031">
        <v>439.0</v>
      </c>
      <c r="F2749" s="2031">
        <v>439.0</v>
      </c>
      <c r="G2749" s="2031">
        <v>440.0</v>
      </c>
      <c r="H2749" s="2031">
        <v>440.0</v>
      </c>
    </row>
    <row r="2750">
      <c r="B2750" s="2031">
        <v>2748.0</v>
      </c>
      <c r="C2750" s="2031">
        <v>329.0</v>
      </c>
      <c r="D2750" s="2031">
        <v>659.0</v>
      </c>
      <c r="E2750" s="2031">
        <v>440.0</v>
      </c>
      <c r="F2750" s="2031">
        <v>440.0</v>
      </c>
      <c r="G2750" s="2031">
        <v>440.0</v>
      </c>
      <c r="H2750" s="2031">
        <v>440.0</v>
      </c>
    </row>
    <row r="2751">
      <c r="B2751" s="2031">
        <v>2749.0</v>
      </c>
      <c r="C2751" s="2031">
        <v>330.0</v>
      </c>
      <c r="D2751" s="2031">
        <v>659.0</v>
      </c>
      <c r="E2751" s="2031">
        <v>440.0</v>
      </c>
      <c r="F2751" s="2031">
        <v>440.0</v>
      </c>
      <c r="G2751" s="2031">
        <v>440.0</v>
      </c>
      <c r="H2751" s="2031">
        <v>440.0</v>
      </c>
    </row>
    <row r="2752">
      <c r="B2752" s="2031">
        <v>2750.0</v>
      </c>
      <c r="C2752" s="2031">
        <v>330.0</v>
      </c>
      <c r="D2752" s="2031">
        <v>660.0</v>
      </c>
      <c r="E2752" s="2031">
        <v>440.0</v>
      </c>
      <c r="F2752" s="2031">
        <v>440.0</v>
      </c>
      <c r="G2752" s="2031">
        <v>440.0</v>
      </c>
      <c r="H2752" s="2031">
        <v>440.0</v>
      </c>
    </row>
    <row r="2753">
      <c r="B2753" s="2031">
        <v>2751.0</v>
      </c>
      <c r="C2753" s="2031">
        <v>330.0</v>
      </c>
      <c r="D2753" s="2031">
        <v>661.0</v>
      </c>
      <c r="E2753" s="2031">
        <v>440.0</v>
      </c>
      <c r="F2753" s="2031">
        <v>440.0</v>
      </c>
      <c r="G2753" s="2031">
        <v>440.0</v>
      </c>
      <c r="H2753" s="2031">
        <v>440.0</v>
      </c>
    </row>
    <row r="2754">
      <c r="B2754" s="2031">
        <v>2752.0</v>
      </c>
      <c r="C2754" s="2031">
        <v>331.0</v>
      </c>
      <c r="D2754" s="2031">
        <v>661.0</v>
      </c>
      <c r="E2754" s="2031">
        <v>440.0</v>
      </c>
      <c r="F2754" s="2031">
        <v>440.0</v>
      </c>
      <c r="G2754" s="2031">
        <v>440.0</v>
      </c>
      <c r="H2754" s="2031">
        <v>440.0</v>
      </c>
    </row>
    <row r="2755">
      <c r="B2755" s="2031">
        <v>2753.0</v>
      </c>
      <c r="C2755" s="2031">
        <v>330.0</v>
      </c>
      <c r="D2755" s="2031">
        <v>661.0</v>
      </c>
      <c r="E2755" s="2031">
        <v>440.0</v>
      </c>
      <c r="F2755" s="2031">
        <v>440.0</v>
      </c>
      <c r="G2755" s="2031">
        <v>441.0</v>
      </c>
      <c r="H2755" s="2031">
        <v>441.0</v>
      </c>
    </row>
    <row r="2756">
      <c r="B2756" s="2031">
        <v>2754.0</v>
      </c>
      <c r="C2756" s="2031">
        <v>331.0</v>
      </c>
      <c r="D2756" s="2031">
        <v>661.0</v>
      </c>
      <c r="E2756" s="2031">
        <v>440.0</v>
      </c>
      <c r="F2756" s="2031">
        <v>440.0</v>
      </c>
      <c r="G2756" s="2031">
        <v>441.0</v>
      </c>
      <c r="H2756" s="2031">
        <v>441.0</v>
      </c>
    </row>
    <row r="2757">
      <c r="B2757" s="2031">
        <v>2755.0</v>
      </c>
      <c r="C2757" s="2031">
        <v>330.0</v>
      </c>
      <c r="D2757" s="2031">
        <v>661.0</v>
      </c>
      <c r="E2757" s="2031">
        <v>441.0</v>
      </c>
      <c r="F2757" s="2031">
        <v>441.0</v>
      </c>
      <c r="G2757" s="2031">
        <v>441.0</v>
      </c>
      <c r="H2757" s="2031">
        <v>441.0</v>
      </c>
    </row>
    <row r="2758">
      <c r="B2758" s="2031">
        <v>2756.0</v>
      </c>
      <c r="C2758" s="2031">
        <v>331.0</v>
      </c>
      <c r="D2758" s="2031">
        <v>661.0</v>
      </c>
      <c r="E2758" s="2031">
        <v>441.0</v>
      </c>
      <c r="F2758" s="2031">
        <v>441.0</v>
      </c>
      <c r="G2758" s="2031">
        <v>441.0</v>
      </c>
      <c r="H2758" s="2031">
        <v>441.0</v>
      </c>
    </row>
    <row r="2759">
      <c r="B2759" s="2031">
        <v>2757.0</v>
      </c>
      <c r="C2759" s="2031">
        <v>331.0</v>
      </c>
      <c r="D2759" s="2031">
        <v>662.0</v>
      </c>
      <c r="E2759" s="2031">
        <v>441.0</v>
      </c>
      <c r="F2759" s="2031">
        <v>441.0</v>
      </c>
      <c r="G2759" s="2031">
        <v>441.0</v>
      </c>
      <c r="H2759" s="2031">
        <v>441.0</v>
      </c>
    </row>
    <row r="2760">
      <c r="B2760" s="2031">
        <v>2758.0</v>
      </c>
      <c r="C2760" s="2031">
        <v>331.0</v>
      </c>
      <c r="D2760" s="2031">
        <v>661.0</v>
      </c>
      <c r="E2760" s="2031">
        <v>441.0</v>
      </c>
      <c r="F2760" s="2031">
        <v>441.0</v>
      </c>
      <c r="G2760" s="2031">
        <v>442.0</v>
      </c>
      <c r="H2760" s="2031">
        <v>442.0</v>
      </c>
    </row>
    <row r="2761">
      <c r="B2761" s="2031">
        <v>2759.0</v>
      </c>
      <c r="C2761" s="2031">
        <v>331.0</v>
      </c>
      <c r="D2761" s="2031">
        <v>662.0</v>
      </c>
      <c r="E2761" s="2031">
        <v>441.0</v>
      </c>
      <c r="F2761" s="2031">
        <v>441.0</v>
      </c>
      <c r="G2761" s="2031">
        <v>442.0</v>
      </c>
      <c r="H2761" s="2031">
        <v>442.0</v>
      </c>
    </row>
    <row r="2762">
      <c r="B2762" s="2031">
        <v>2760.0</v>
      </c>
      <c r="C2762" s="2031">
        <v>331.0</v>
      </c>
      <c r="D2762" s="2031">
        <v>663.0</v>
      </c>
      <c r="E2762" s="2031">
        <v>441.0</v>
      </c>
      <c r="F2762" s="2031">
        <v>441.0</v>
      </c>
      <c r="G2762" s="2031">
        <v>442.0</v>
      </c>
      <c r="H2762" s="2031">
        <v>442.0</v>
      </c>
    </row>
    <row r="2763">
      <c r="B2763" s="2031">
        <v>2761.0</v>
      </c>
      <c r="C2763" s="2031">
        <v>331.0</v>
      </c>
      <c r="D2763" s="2031">
        <v>662.0</v>
      </c>
      <c r="E2763" s="2031">
        <v>442.0</v>
      </c>
      <c r="F2763" s="2031">
        <v>442.0</v>
      </c>
      <c r="G2763" s="2031">
        <v>442.0</v>
      </c>
      <c r="H2763" s="2031">
        <v>442.0</v>
      </c>
    </row>
    <row r="2764">
      <c r="B2764" s="2031">
        <v>2762.0</v>
      </c>
      <c r="C2764" s="2031">
        <v>331.0</v>
      </c>
      <c r="D2764" s="2031">
        <v>663.0</v>
      </c>
      <c r="E2764" s="2031">
        <v>442.0</v>
      </c>
      <c r="F2764" s="2031">
        <v>442.0</v>
      </c>
      <c r="G2764" s="2031">
        <v>442.0</v>
      </c>
      <c r="H2764" s="2031">
        <v>442.0</v>
      </c>
    </row>
    <row r="2765">
      <c r="B2765" s="2031">
        <v>2763.0</v>
      </c>
      <c r="C2765" s="2031">
        <v>332.0</v>
      </c>
      <c r="D2765" s="2031">
        <v>663.0</v>
      </c>
      <c r="E2765" s="2031">
        <v>442.0</v>
      </c>
      <c r="F2765" s="2031">
        <v>442.0</v>
      </c>
      <c r="G2765" s="2031">
        <v>442.0</v>
      </c>
      <c r="H2765" s="2031">
        <v>442.0</v>
      </c>
    </row>
    <row r="2766">
      <c r="B2766" s="2031">
        <v>2764.0</v>
      </c>
      <c r="C2766" s="2031">
        <v>332.0</v>
      </c>
      <c r="D2766" s="2031">
        <v>664.0</v>
      </c>
      <c r="E2766" s="2031">
        <v>442.0</v>
      </c>
      <c r="F2766" s="2031">
        <v>442.0</v>
      </c>
      <c r="G2766" s="2031">
        <v>442.0</v>
      </c>
      <c r="H2766" s="2031">
        <v>442.0</v>
      </c>
    </row>
    <row r="2767">
      <c r="B2767" s="2031">
        <v>2765.0</v>
      </c>
      <c r="C2767" s="2031">
        <v>332.0</v>
      </c>
      <c r="D2767" s="2031">
        <v>663.0</v>
      </c>
      <c r="E2767" s="2031">
        <v>442.0</v>
      </c>
      <c r="F2767" s="2031">
        <v>442.0</v>
      </c>
      <c r="G2767" s="2031">
        <v>443.0</v>
      </c>
      <c r="H2767" s="2031">
        <v>443.0</v>
      </c>
    </row>
    <row r="2768">
      <c r="B2768" s="2031">
        <v>2766.0</v>
      </c>
      <c r="C2768" s="2031">
        <v>332.0</v>
      </c>
      <c r="D2768" s="2031">
        <v>664.0</v>
      </c>
      <c r="E2768" s="2031">
        <v>442.0</v>
      </c>
      <c r="F2768" s="2031">
        <v>442.0</v>
      </c>
      <c r="G2768" s="2031">
        <v>443.0</v>
      </c>
      <c r="H2768" s="2031">
        <v>443.0</v>
      </c>
    </row>
    <row r="2769">
      <c r="B2769" s="2031">
        <v>2767.0</v>
      </c>
      <c r="C2769" s="2031">
        <v>332.0</v>
      </c>
      <c r="D2769" s="2031">
        <v>665.0</v>
      </c>
      <c r="E2769" s="2031">
        <v>442.0</v>
      </c>
      <c r="F2769" s="2031">
        <v>442.0</v>
      </c>
      <c r="G2769" s="2031">
        <v>443.0</v>
      </c>
      <c r="H2769" s="2031">
        <v>443.0</v>
      </c>
    </row>
    <row r="2770">
      <c r="B2770" s="2031">
        <v>2768.0</v>
      </c>
      <c r="C2770" s="2031">
        <v>332.0</v>
      </c>
      <c r="D2770" s="2031">
        <v>664.0</v>
      </c>
      <c r="E2770" s="2031">
        <v>443.0</v>
      </c>
      <c r="F2770" s="2031">
        <v>443.0</v>
      </c>
      <c r="G2770" s="2031">
        <v>443.0</v>
      </c>
      <c r="H2770" s="2031">
        <v>443.0</v>
      </c>
    </row>
    <row r="2771">
      <c r="B2771" s="2031">
        <v>2769.0</v>
      </c>
      <c r="C2771" s="2031">
        <v>332.0</v>
      </c>
      <c r="D2771" s="2031">
        <v>665.0</v>
      </c>
      <c r="E2771" s="2031">
        <v>443.0</v>
      </c>
      <c r="F2771" s="2031">
        <v>443.0</v>
      </c>
      <c r="G2771" s="2031">
        <v>443.0</v>
      </c>
      <c r="H2771" s="2031">
        <v>443.0</v>
      </c>
    </row>
    <row r="2772">
      <c r="B2772" s="2031">
        <v>2770.0</v>
      </c>
      <c r="C2772" s="2031">
        <v>333.0</v>
      </c>
      <c r="D2772" s="2031">
        <v>665.0</v>
      </c>
      <c r="E2772" s="2031">
        <v>443.0</v>
      </c>
      <c r="F2772" s="2031">
        <v>443.0</v>
      </c>
      <c r="G2772" s="2031">
        <v>443.0</v>
      </c>
      <c r="H2772" s="2031">
        <v>443.0</v>
      </c>
    </row>
    <row r="2773">
      <c r="B2773" s="2031">
        <v>2771.0</v>
      </c>
      <c r="C2773" s="2031">
        <v>332.0</v>
      </c>
      <c r="D2773" s="2031">
        <v>665.0</v>
      </c>
      <c r="E2773" s="2031">
        <v>443.0</v>
      </c>
      <c r="F2773" s="2031">
        <v>443.0</v>
      </c>
      <c r="G2773" s="2031">
        <v>444.0</v>
      </c>
      <c r="H2773" s="2031">
        <v>444.0</v>
      </c>
    </row>
    <row r="2774">
      <c r="B2774" s="2031">
        <v>2772.0</v>
      </c>
      <c r="C2774" s="2031">
        <v>333.0</v>
      </c>
      <c r="D2774" s="2031">
        <v>665.0</v>
      </c>
      <c r="E2774" s="2031">
        <v>443.0</v>
      </c>
      <c r="F2774" s="2031">
        <v>443.0</v>
      </c>
      <c r="G2774" s="2031">
        <v>444.0</v>
      </c>
      <c r="H2774" s="2031">
        <v>444.0</v>
      </c>
    </row>
    <row r="2775">
      <c r="B2775" s="2031">
        <v>2773.0</v>
      </c>
      <c r="C2775" s="2031">
        <v>332.0</v>
      </c>
      <c r="D2775" s="2031">
        <v>665.0</v>
      </c>
      <c r="E2775" s="2031">
        <v>444.0</v>
      </c>
      <c r="F2775" s="2031">
        <v>444.0</v>
      </c>
      <c r="G2775" s="2031">
        <v>444.0</v>
      </c>
      <c r="H2775" s="2031">
        <v>444.0</v>
      </c>
    </row>
    <row r="2776">
      <c r="B2776" s="2031">
        <v>2774.0</v>
      </c>
      <c r="C2776" s="2031">
        <v>333.0</v>
      </c>
      <c r="D2776" s="2031">
        <v>665.0</v>
      </c>
      <c r="E2776" s="2031">
        <v>444.0</v>
      </c>
      <c r="F2776" s="2031">
        <v>444.0</v>
      </c>
      <c r="G2776" s="2031">
        <v>444.0</v>
      </c>
      <c r="H2776" s="2031">
        <v>444.0</v>
      </c>
    </row>
    <row r="2777">
      <c r="B2777" s="2031">
        <v>2775.0</v>
      </c>
      <c r="C2777" s="2031">
        <v>333.0</v>
      </c>
      <c r="D2777" s="2031">
        <v>666.0</v>
      </c>
      <c r="E2777" s="2031">
        <v>444.0</v>
      </c>
      <c r="F2777" s="2031">
        <v>444.0</v>
      </c>
      <c r="G2777" s="2031">
        <v>444.0</v>
      </c>
      <c r="H2777" s="2031">
        <v>444.0</v>
      </c>
    </row>
    <row r="2778">
      <c r="B2778" s="2031">
        <v>2776.0</v>
      </c>
      <c r="C2778" s="2031">
        <v>333.0</v>
      </c>
      <c r="D2778" s="2031">
        <v>667.0</v>
      </c>
      <c r="E2778" s="2031">
        <v>444.0</v>
      </c>
      <c r="F2778" s="2031">
        <v>444.0</v>
      </c>
      <c r="G2778" s="2031">
        <v>444.0</v>
      </c>
      <c r="H2778" s="2031">
        <v>444.0</v>
      </c>
    </row>
    <row r="2779">
      <c r="B2779" s="2031">
        <v>2777.0</v>
      </c>
      <c r="C2779" s="2031">
        <v>334.0</v>
      </c>
      <c r="D2779" s="2031">
        <v>667.0</v>
      </c>
      <c r="E2779" s="2031">
        <v>444.0</v>
      </c>
      <c r="F2779" s="2031">
        <v>444.0</v>
      </c>
      <c r="G2779" s="2031">
        <v>444.0</v>
      </c>
      <c r="H2779" s="2031">
        <v>444.0</v>
      </c>
    </row>
    <row r="2780">
      <c r="B2780" s="2031">
        <v>2778.0</v>
      </c>
      <c r="C2780" s="2031">
        <v>333.0</v>
      </c>
      <c r="D2780" s="2031">
        <v>667.0</v>
      </c>
      <c r="E2780" s="2031">
        <v>444.0</v>
      </c>
      <c r="F2780" s="2031">
        <v>444.0</v>
      </c>
      <c r="G2780" s="2031">
        <v>445.0</v>
      </c>
      <c r="H2780" s="2031">
        <v>445.0</v>
      </c>
    </row>
    <row r="2781">
      <c r="B2781" s="2031">
        <v>2779.0</v>
      </c>
      <c r="C2781" s="2031">
        <v>334.0</v>
      </c>
      <c r="D2781" s="2031">
        <v>667.0</v>
      </c>
      <c r="E2781" s="2031">
        <v>444.0</v>
      </c>
      <c r="F2781" s="2031">
        <v>444.0</v>
      </c>
      <c r="G2781" s="2031">
        <v>445.0</v>
      </c>
      <c r="H2781" s="2031">
        <v>445.0</v>
      </c>
    </row>
    <row r="2782">
      <c r="B2782" s="2031">
        <v>2780.0</v>
      </c>
      <c r="C2782" s="2031">
        <v>333.0</v>
      </c>
      <c r="D2782" s="2031">
        <v>667.0</v>
      </c>
      <c r="E2782" s="2031">
        <v>445.0</v>
      </c>
      <c r="F2782" s="2031">
        <v>445.0</v>
      </c>
      <c r="G2782" s="2031">
        <v>445.0</v>
      </c>
      <c r="H2782" s="2031">
        <v>445.0</v>
      </c>
    </row>
    <row r="2783">
      <c r="B2783" s="2031">
        <v>2781.0</v>
      </c>
      <c r="C2783" s="2031">
        <v>334.0</v>
      </c>
      <c r="D2783" s="2031">
        <v>667.0</v>
      </c>
      <c r="E2783" s="2031">
        <v>445.0</v>
      </c>
      <c r="F2783" s="2031">
        <v>445.0</v>
      </c>
      <c r="G2783" s="2031">
        <v>445.0</v>
      </c>
      <c r="H2783" s="2031">
        <v>445.0</v>
      </c>
    </row>
    <row r="2784">
      <c r="B2784" s="2031">
        <v>2782.0</v>
      </c>
      <c r="C2784" s="2031">
        <v>334.0</v>
      </c>
      <c r="D2784" s="2031">
        <v>668.0</v>
      </c>
      <c r="E2784" s="2031">
        <v>445.0</v>
      </c>
      <c r="F2784" s="2031">
        <v>445.0</v>
      </c>
      <c r="G2784" s="2031">
        <v>445.0</v>
      </c>
      <c r="H2784" s="2031">
        <v>445.0</v>
      </c>
    </row>
    <row r="2785">
      <c r="B2785" s="2031">
        <v>2783.0</v>
      </c>
      <c r="C2785" s="2031">
        <v>334.0</v>
      </c>
      <c r="D2785" s="2031">
        <v>667.0</v>
      </c>
      <c r="E2785" s="2031">
        <v>445.0</v>
      </c>
      <c r="F2785" s="2031">
        <v>445.0</v>
      </c>
      <c r="G2785" s="2031">
        <v>446.0</v>
      </c>
      <c r="H2785" s="2031">
        <v>446.0</v>
      </c>
    </row>
    <row r="2786">
      <c r="B2786" s="2031">
        <v>2784.0</v>
      </c>
      <c r="C2786" s="2031">
        <v>334.0</v>
      </c>
      <c r="D2786" s="2031">
        <v>668.0</v>
      </c>
      <c r="E2786" s="2031">
        <v>445.0</v>
      </c>
      <c r="F2786" s="2031">
        <v>445.0</v>
      </c>
      <c r="G2786" s="2031">
        <v>446.0</v>
      </c>
      <c r="H2786" s="2031">
        <v>446.0</v>
      </c>
    </row>
    <row r="2787">
      <c r="B2787" s="2031">
        <v>2785.0</v>
      </c>
      <c r="C2787" s="2031">
        <v>334.0</v>
      </c>
      <c r="D2787" s="2031">
        <v>669.0</v>
      </c>
      <c r="E2787" s="2031">
        <v>445.0</v>
      </c>
      <c r="F2787" s="2031">
        <v>445.0</v>
      </c>
      <c r="G2787" s="2031">
        <v>446.0</v>
      </c>
      <c r="H2787" s="2031">
        <v>446.0</v>
      </c>
    </row>
    <row r="2788">
      <c r="B2788" s="2031">
        <v>2786.0</v>
      </c>
      <c r="C2788" s="2031">
        <v>334.0</v>
      </c>
      <c r="D2788" s="2031">
        <v>668.0</v>
      </c>
      <c r="E2788" s="2031">
        <v>446.0</v>
      </c>
      <c r="F2788" s="2031">
        <v>446.0</v>
      </c>
      <c r="G2788" s="2031">
        <v>446.0</v>
      </c>
      <c r="H2788" s="2031">
        <v>446.0</v>
      </c>
    </row>
    <row r="2789">
      <c r="B2789" s="2031">
        <v>2787.0</v>
      </c>
      <c r="C2789" s="2031">
        <v>334.0</v>
      </c>
      <c r="D2789" s="2031">
        <v>669.0</v>
      </c>
      <c r="E2789" s="2031">
        <v>446.0</v>
      </c>
      <c r="F2789" s="2031">
        <v>446.0</v>
      </c>
      <c r="G2789" s="2031">
        <v>446.0</v>
      </c>
      <c r="H2789" s="2031">
        <v>446.0</v>
      </c>
    </row>
    <row r="2790">
      <c r="B2790" s="2031">
        <v>2788.0</v>
      </c>
      <c r="C2790" s="2031">
        <v>335.0</v>
      </c>
      <c r="D2790" s="2031">
        <v>669.0</v>
      </c>
      <c r="E2790" s="2031">
        <v>446.0</v>
      </c>
      <c r="F2790" s="2031">
        <v>446.0</v>
      </c>
      <c r="G2790" s="2031">
        <v>446.0</v>
      </c>
      <c r="H2790" s="2031">
        <v>446.0</v>
      </c>
    </row>
    <row r="2791">
      <c r="B2791" s="2031">
        <v>2789.0</v>
      </c>
      <c r="C2791" s="2031">
        <v>335.0</v>
      </c>
      <c r="D2791" s="2031">
        <v>670.0</v>
      </c>
      <c r="E2791" s="2031">
        <v>446.0</v>
      </c>
      <c r="F2791" s="2031">
        <v>446.0</v>
      </c>
      <c r="G2791" s="2031">
        <v>446.0</v>
      </c>
      <c r="H2791" s="2031">
        <v>446.0</v>
      </c>
    </row>
    <row r="2792">
      <c r="B2792" s="2031">
        <v>2790.0</v>
      </c>
      <c r="C2792" s="2031">
        <v>335.0</v>
      </c>
      <c r="D2792" s="2031">
        <v>669.0</v>
      </c>
      <c r="E2792" s="2031">
        <v>446.0</v>
      </c>
      <c r="F2792" s="2031">
        <v>446.0</v>
      </c>
      <c r="G2792" s="2031">
        <v>447.0</v>
      </c>
      <c r="H2792" s="2031">
        <v>447.0</v>
      </c>
    </row>
    <row r="2793">
      <c r="B2793" s="2031">
        <v>2791.0</v>
      </c>
      <c r="C2793" s="2031">
        <v>335.0</v>
      </c>
      <c r="D2793" s="2031">
        <v>670.0</v>
      </c>
      <c r="E2793" s="2031">
        <v>446.0</v>
      </c>
      <c r="F2793" s="2031">
        <v>446.0</v>
      </c>
      <c r="G2793" s="2031">
        <v>447.0</v>
      </c>
      <c r="H2793" s="2031">
        <v>447.0</v>
      </c>
    </row>
    <row r="2794">
      <c r="B2794" s="2031">
        <v>2792.0</v>
      </c>
      <c r="C2794" s="2031">
        <v>335.0</v>
      </c>
      <c r="D2794" s="2031">
        <v>671.0</v>
      </c>
      <c r="E2794" s="2031">
        <v>446.0</v>
      </c>
      <c r="F2794" s="2031">
        <v>446.0</v>
      </c>
      <c r="G2794" s="2031">
        <v>447.0</v>
      </c>
      <c r="H2794" s="2031">
        <v>447.0</v>
      </c>
    </row>
    <row r="2795">
      <c r="B2795" s="2031">
        <v>2793.0</v>
      </c>
      <c r="C2795" s="2031">
        <v>335.0</v>
      </c>
      <c r="D2795" s="2031">
        <v>670.0</v>
      </c>
      <c r="E2795" s="2031">
        <v>447.0</v>
      </c>
      <c r="F2795" s="2031">
        <v>447.0</v>
      </c>
      <c r="G2795" s="2031">
        <v>447.0</v>
      </c>
      <c r="H2795" s="2031">
        <v>447.0</v>
      </c>
    </row>
    <row r="2796">
      <c r="B2796" s="2031">
        <v>2794.0</v>
      </c>
      <c r="C2796" s="2031">
        <v>335.0</v>
      </c>
      <c r="D2796" s="2031">
        <v>671.0</v>
      </c>
      <c r="E2796" s="2031">
        <v>447.0</v>
      </c>
      <c r="F2796" s="2031">
        <v>447.0</v>
      </c>
      <c r="G2796" s="2031">
        <v>447.0</v>
      </c>
      <c r="H2796" s="2031">
        <v>447.0</v>
      </c>
    </row>
    <row r="2797">
      <c r="B2797" s="2031">
        <v>2795.0</v>
      </c>
      <c r="C2797" s="2031">
        <v>336.0</v>
      </c>
      <c r="D2797" s="2031">
        <v>671.0</v>
      </c>
      <c r="E2797" s="2031">
        <v>447.0</v>
      </c>
      <c r="F2797" s="2031">
        <v>447.0</v>
      </c>
      <c r="G2797" s="2031">
        <v>447.0</v>
      </c>
      <c r="H2797" s="2031">
        <v>447.0</v>
      </c>
    </row>
    <row r="2798">
      <c r="B2798" s="2031">
        <v>2796.0</v>
      </c>
      <c r="C2798" s="2031">
        <v>335.0</v>
      </c>
      <c r="D2798" s="2031">
        <v>671.0</v>
      </c>
      <c r="E2798" s="2031">
        <v>447.0</v>
      </c>
      <c r="F2798" s="2031">
        <v>447.0</v>
      </c>
      <c r="G2798" s="2031">
        <v>448.0</v>
      </c>
      <c r="H2798" s="2031">
        <v>448.0</v>
      </c>
    </row>
    <row r="2799">
      <c r="B2799" s="2031">
        <v>2797.0</v>
      </c>
      <c r="C2799" s="2031">
        <v>336.0</v>
      </c>
      <c r="D2799" s="2031">
        <v>671.0</v>
      </c>
      <c r="E2799" s="2031">
        <v>447.0</v>
      </c>
      <c r="F2799" s="2031">
        <v>447.0</v>
      </c>
      <c r="G2799" s="2031">
        <v>448.0</v>
      </c>
      <c r="H2799" s="2031">
        <v>448.0</v>
      </c>
    </row>
    <row r="2800">
      <c r="B2800" s="2031">
        <v>2798.0</v>
      </c>
      <c r="C2800" s="2031">
        <v>335.0</v>
      </c>
      <c r="D2800" s="2031">
        <v>671.0</v>
      </c>
      <c r="E2800" s="2031">
        <v>448.0</v>
      </c>
      <c r="F2800" s="2031">
        <v>448.0</v>
      </c>
      <c r="G2800" s="2031">
        <v>448.0</v>
      </c>
      <c r="H2800" s="2031">
        <v>448.0</v>
      </c>
    </row>
    <row r="2801">
      <c r="B2801" s="2031">
        <v>2799.0</v>
      </c>
      <c r="C2801" s="2031">
        <v>336.0</v>
      </c>
      <c r="D2801" s="2031">
        <v>671.0</v>
      </c>
      <c r="E2801" s="2031">
        <v>448.0</v>
      </c>
      <c r="F2801" s="2031">
        <v>448.0</v>
      </c>
      <c r="G2801" s="2031">
        <v>448.0</v>
      </c>
      <c r="H2801" s="2031">
        <v>448.0</v>
      </c>
    </row>
    <row r="2802">
      <c r="B2802" s="2031">
        <v>2800.0</v>
      </c>
      <c r="C2802" s="2031">
        <v>336.0</v>
      </c>
      <c r="D2802" s="2031">
        <v>672.0</v>
      </c>
      <c r="E2802" s="2031">
        <v>448.0</v>
      </c>
      <c r="F2802" s="2031">
        <v>448.0</v>
      </c>
      <c r="G2802" s="2031">
        <v>448.0</v>
      </c>
      <c r="H2802" s="2031">
        <v>448.0</v>
      </c>
    </row>
    <row r="2803">
      <c r="B2803" s="2031">
        <v>2801.0</v>
      </c>
      <c r="C2803" s="2031">
        <v>336.0</v>
      </c>
      <c r="D2803" s="2031">
        <v>673.0</v>
      </c>
      <c r="E2803" s="2031">
        <v>448.0</v>
      </c>
      <c r="F2803" s="2031">
        <v>448.0</v>
      </c>
      <c r="G2803" s="2031">
        <v>448.0</v>
      </c>
      <c r="H2803" s="2031">
        <v>448.0</v>
      </c>
    </row>
    <row r="2804">
      <c r="B2804" s="2031">
        <v>2802.0</v>
      </c>
      <c r="C2804" s="2031">
        <v>337.0</v>
      </c>
      <c r="D2804" s="2031">
        <v>673.0</v>
      </c>
      <c r="E2804" s="2031">
        <v>448.0</v>
      </c>
      <c r="F2804" s="2031">
        <v>448.0</v>
      </c>
      <c r="G2804" s="2031">
        <v>448.0</v>
      </c>
      <c r="H2804" s="2031">
        <v>448.0</v>
      </c>
    </row>
    <row r="2805">
      <c r="B2805" s="2031">
        <v>2803.0</v>
      </c>
      <c r="C2805" s="2031">
        <v>336.0</v>
      </c>
      <c r="D2805" s="2031">
        <v>673.0</v>
      </c>
      <c r="E2805" s="2031">
        <v>448.0</v>
      </c>
      <c r="F2805" s="2031">
        <v>448.0</v>
      </c>
      <c r="G2805" s="2031">
        <v>449.0</v>
      </c>
      <c r="H2805" s="2031">
        <v>449.0</v>
      </c>
    </row>
    <row r="2806">
      <c r="B2806" s="2031">
        <v>2804.0</v>
      </c>
      <c r="C2806" s="2031">
        <v>337.0</v>
      </c>
      <c r="D2806" s="2031">
        <v>673.0</v>
      </c>
      <c r="E2806" s="2031">
        <v>448.0</v>
      </c>
      <c r="F2806" s="2031">
        <v>448.0</v>
      </c>
      <c r="G2806" s="2031">
        <v>449.0</v>
      </c>
      <c r="H2806" s="2031">
        <v>449.0</v>
      </c>
    </row>
    <row r="2807">
      <c r="B2807" s="2031">
        <v>2805.0</v>
      </c>
      <c r="C2807" s="2031">
        <v>336.0</v>
      </c>
      <c r="D2807" s="2031">
        <v>673.0</v>
      </c>
      <c r="E2807" s="2031">
        <v>449.0</v>
      </c>
      <c r="F2807" s="2031">
        <v>449.0</v>
      </c>
      <c r="G2807" s="2031">
        <v>449.0</v>
      </c>
      <c r="H2807" s="2031">
        <v>449.0</v>
      </c>
    </row>
    <row r="2808">
      <c r="B2808" s="2031">
        <v>2806.0</v>
      </c>
      <c r="C2808" s="2031">
        <v>337.0</v>
      </c>
      <c r="D2808" s="2031">
        <v>673.0</v>
      </c>
      <c r="E2808" s="2031">
        <v>449.0</v>
      </c>
      <c r="F2808" s="2031">
        <v>449.0</v>
      </c>
      <c r="G2808" s="2031">
        <v>449.0</v>
      </c>
      <c r="H2808" s="2031">
        <v>449.0</v>
      </c>
    </row>
    <row r="2809">
      <c r="B2809" s="2031">
        <v>2807.0</v>
      </c>
      <c r="C2809" s="2031">
        <v>337.0</v>
      </c>
      <c r="D2809" s="2031">
        <v>674.0</v>
      </c>
      <c r="E2809" s="2031">
        <v>449.0</v>
      </c>
      <c r="F2809" s="2031">
        <v>449.0</v>
      </c>
      <c r="G2809" s="2031">
        <v>449.0</v>
      </c>
      <c r="H2809" s="2031">
        <v>449.0</v>
      </c>
    </row>
    <row r="2810">
      <c r="B2810" s="2031">
        <v>2808.0</v>
      </c>
      <c r="C2810" s="2031">
        <v>337.0</v>
      </c>
      <c r="D2810" s="2031">
        <v>673.0</v>
      </c>
      <c r="E2810" s="2031">
        <v>449.0</v>
      </c>
      <c r="F2810" s="2031">
        <v>449.0</v>
      </c>
      <c r="G2810" s="2031">
        <v>450.0</v>
      </c>
      <c r="H2810" s="2031">
        <v>450.0</v>
      </c>
    </row>
    <row r="2811">
      <c r="B2811" s="2031">
        <v>2809.0</v>
      </c>
      <c r="C2811" s="2031">
        <v>337.0</v>
      </c>
      <c r="D2811" s="2031">
        <v>674.0</v>
      </c>
      <c r="E2811" s="2031">
        <v>449.0</v>
      </c>
      <c r="F2811" s="2031">
        <v>449.0</v>
      </c>
      <c r="G2811" s="2031">
        <v>450.0</v>
      </c>
      <c r="H2811" s="2031">
        <v>450.0</v>
      </c>
    </row>
    <row r="2812">
      <c r="B2812" s="2031">
        <v>2810.0</v>
      </c>
      <c r="C2812" s="2031">
        <v>337.0</v>
      </c>
      <c r="D2812" s="2031">
        <v>675.0</v>
      </c>
      <c r="E2812" s="2031">
        <v>449.0</v>
      </c>
      <c r="F2812" s="2031">
        <v>449.0</v>
      </c>
      <c r="G2812" s="2031">
        <v>450.0</v>
      </c>
      <c r="H2812" s="2031">
        <v>450.0</v>
      </c>
    </row>
    <row r="2813">
      <c r="B2813" s="2031">
        <v>2811.0</v>
      </c>
      <c r="C2813" s="2031">
        <v>337.0</v>
      </c>
      <c r="D2813" s="2031">
        <v>674.0</v>
      </c>
      <c r="E2813" s="2031">
        <v>450.0</v>
      </c>
      <c r="F2813" s="2031">
        <v>450.0</v>
      </c>
      <c r="G2813" s="2031">
        <v>450.0</v>
      </c>
      <c r="H2813" s="2031">
        <v>450.0</v>
      </c>
    </row>
    <row r="2814">
      <c r="B2814" s="2031">
        <v>2812.0</v>
      </c>
      <c r="C2814" s="2031">
        <v>337.0</v>
      </c>
      <c r="D2814" s="2031">
        <v>675.0</v>
      </c>
      <c r="E2814" s="2031">
        <v>450.0</v>
      </c>
      <c r="F2814" s="2031">
        <v>450.0</v>
      </c>
      <c r="G2814" s="2031">
        <v>450.0</v>
      </c>
      <c r="H2814" s="2031">
        <v>450.0</v>
      </c>
    </row>
    <row r="2815">
      <c r="B2815" s="2031">
        <v>2813.0</v>
      </c>
      <c r="C2815" s="2031">
        <v>338.0</v>
      </c>
      <c r="D2815" s="2031">
        <v>675.0</v>
      </c>
      <c r="E2815" s="2031">
        <v>450.0</v>
      </c>
      <c r="F2815" s="2031">
        <v>450.0</v>
      </c>
      <c r="G2815" s="2031">
        <v>450.0</v>
      </c>
      <c r="H2815" s="2031">
        <v>450.0</v>
      </c>
    </row>
    <row r="2816">
      <c r="B2816" s="2031">
        <v>2814.0</v>
      </c>
      <c r="C2816" s="2031">
        <v>338.0</v>
      </c>
      <c r="D2816" s="2031">
        <v>676.0</v>
      </c>
      <c r="E2816" s="2031">
        <v>450.0</v>
      </c>
      <c r="F2816" s="2031">
        <v>450.0</v>
      </c>
      <c r="G2816" s="2031">
        <v>450.0</v>
      </c>
      <c r="H2816" s="2031">
        <v>450.0</v>
      </c>
    </row>
    <row r="2817">
      <c r="B2817" s="2031">
        <v>2815.0</v>
      </c>
      <c r="C2817" s="2031">
        <v>338.0</v>
      </c>
      <c r="D2817" s="2031">
        <v>675.0</v>
      </c>
      <c r="E2817" s="2031">
        <v>450.0</v>
      </c>
      <c r="F2817" s="2031">
        <v>450.0</v>
      </c>
      <c r="G2817" s="2031">
        <v>451.0</v>
      </c>
      <c r="H2817" s="2031">
        <v>451.0</v>
      </c>
    </row>
    <row r="2818">
      <c r="B2818" s="2031">
        <v>2816.0</v>
      </c>
      <c r="C2818" s="2031">
        <v>338.0</v>
      </c>
      <c r="D2818" s="2031">
        <v>676.0</v>
      </c>
      <c r="E2818" s="2031">
        <v>450.0</v>
      </c>
      <c r="F2818" s="2031">
        <v>450.0</v>
      </c>
      <c r="G2818" s="2031">
        <v>451.0</v>
      </c>
      <c r="H2818" s="2031">
        <v>451.0</v>
      </c>
    </row>
    <row r="2819">
      <c r="B2819" s="2031">
        <v>2817.0</v>
      </c>
      <c r="C2819" s="2031">
        <v>338.0</v>
      </c>
      <c r="D2819" s="2031">
        <v>677.0</v>
      </c>
      <c r="E2819" s="2031">
        <v>450.0</v>
      </c>
      <c r="F2819" s="2031">
        <v>450.0</v>
      </c>
      <c r="G2819" s="2031">
        <v>451.0</v>
      </c>
      <c r="H2819" s="2031">
        <v>451.0</v>
      </c>
    </row>
    <row r="2820">
      <c r="B2820" s="2031">
        <v>2818.0</v>
      </c>
      <c r="C2820" s="2031">
        <v>338.0</v>
      </c>
      <c r="D2820" s="2031">
        <v>676.0</v>
      </c>
      <c r="E2820" s="2031">
        <v>451.0</v>
      </c>
      <c r="F2820" s="2031">
        <v>451.0</v>
      </c>
      <c r="G2820" s="2031">
        <v>451.0</v>
      </c>
      <c r="H2820" s="2031">
        <v>451.0</v>
      </c>
    </row>
    <row r="2821">
      <c r="B2821" s="2031">
        <v>2819.0</v>
      </c>
      <c r="C2821" s="2031">
        <v>338.0</v>
      </c>
      <c r="D2821" s="2031">
        <v>677.0</v>
      </c>
      <c r="E2821" s="2031">
        <v>451.0</v>
      </c>
      <c r="F2821" s="2031">
        <v>451.0</v>
      </c>
      <c r="G2821" s="2031">
        <v>451.0</v>
      </c>
      <c r="H2821" s="2031">
        <v>451.0</v>
      </c>
    </row>
    <row r="2822">
      <c r="B2822" s="2031">
        <v>2820.0</v>
      </c>
      <c r="C2822" s="2031">
        <v>339.0</v>
      </c>
      <c r="D2822" s="2031">
        <v>677.0</v>
      </c>
      <c r="E2822" s="2031">
        <v>451.0</v>
      </c>
      <c r="F2822" s="2031">
        <v>451.0</v>
      </c>
      <c r="G2822" s="2031">
        <v>451.0</v>
      </c>
      <c r="H2822" s="2031">
        <v>451.0</v>
      </c>
    </row>
    <row r="2823">
      <c r="B2823" s="2031">
        <v>2821.0</v>
      </c>
      <c r="C2823" s="2031">
        <v>338.0</v>
      </c>
      <c r="D2823" s="2031">
        <v>677.0</v>
      </c>
      <c r="E2823" s="2031">
        <v>451.0</v>
      </c>
      <c r="F2823" s="2031">
        <v>451.0</v>
      </c>
      <c r="G2823" s="2031">
        <v>452.0</v>
      </c>
      <c r="H2823" s="2031">
        <v>452.0</v>
      </c>
    </row>
    <row r="2824">
      <c r="B2824" s="2031">
        <v>2822.0</v>
      </c>
      <c r="C2824" s="2031">
        <v>339.0</v>
      </c>
      <c r="D2824" s="2031">
        <v>677.0</v>
      </c>
      <c r="E2824" s="2031">
        <v>451.0</v>
      </c>
      <c r="F2824" s="2031">
        <v>451.0</v>
      </c>
      <c r="G2824" s="2031">
        <v>452.0</v>
      </c>
      <c r="H2824" s="2031">
        <v>452.0</v>
      </c>
    </row>
    <row r="2825">
      <c r="B2825" s="2031">
        <v>2823.0</v>
      </c>
      <c r="C2825" s="2031">
        <v>338.0</v>
      </c>
      <c r="D2825" s="2031">
        <v>677.0</v>
      </c>
      <c r="E2825" s="2031">
        <v>452.0</v>
      </c>
      <c r="F2825" s="2031">
        <v>452.0</v>
      </c>
      <c r="G2825" s="2031">
        <v>452.0</v>
      </c>
      <c r="H2825" s="2031">
        <v>452.0</v>
      </c>
    </row>
    <row r="2826">
      <c r="B2826" s="2031">
        <v>2824.0</v>
      </c>
      <c r="C2826" s="2031">
        <v>339.0</v>
      </c>
      <c r="D2826" s="2031">
        <v>677.0</v>
      </c>
      <c r="E2826" s="2031">
        <v>452.0</v>
      </c>
      <c r="F2826" s="2031">
        <v>452.0</v>
      </c>
      <c r="G2826" s="2031">
        <v>452.0</v>
      </c>
      <c r="H2826" s="2031">
        <v>452.0</v>
      </c>
    </row>
    <row r="2827">
      <c r="B2827" s="2031">
        <v>2825.0</v>
      </c>
      <c r="C2827" s="2031">
        <v>339.0</v>
      </c>
      <c r="D2827" s="2031">
        <v>678.0</v>
      </c>
      <c r="E2827" s="2031">
        <v>452.0</v>
      </c>
      <c r="F2827" s="2031">
        <v>452.0</v>
      </c>
      <c r="G2827" s="2031">
        <v>452.0</v>
      </c>
      <c r="H2827" s="2031">
        <v>452.0</v>
      </c>
    </row>
    <row r="2828">
      <c r="B2828" s="2031">
        <v>2826.0</v>
      </c>
      <c r="C2828" s="2031">
        <v>339.0</v>
      </c>
      <c r="D2828" s="2031">
        <v>679.0</v>
      </c>
      <c r="E2828" s="2031">
        <v>452.0</v>
      </c>
      <c r="F2828" s="2031">
        <v>452.0</v>
      </c>
      <c r="G2828" s="2031">
        <v>452.0</v>
      </c>
      <c r="H2828" s="2031">
        <v>452.0</v>
      </c>
    </row>
    <row r="2829">
      <c r="B2829" s="2031">
        <v>2827.0</v>
      </c>
      <c r="C2829" s="2031">
        <v>340.0</v>
      </c>
      <c r="D2829" s="2031">
        <v>679.0</v>
      </c>
      <c r="E2829" s="2031">
        <v>452.0</v>
      </c>
      <c r="F2829" s="2031">
        <v>452.0</v>
      </c>
      <c r="G2829" s="2031">
        <v>452.0</v>
      </c>
      <c r="H2829" s="2031">
        <v>452.0</v>
      </c>
    </row>
    <row r="2830">
      <c r="B2830" s="2031">
        <v>2828.0</v>
      </c>
      <c r="C2830" s="2031">
        <v>339.0</v>
      </c>
      <c r="D2830" s="2031">
        <v>679.0</v>
      </c>
      <c r="E2830" s="2031">
        <v>452.0</v>
      </c>
      <c r="F2830" s="2031">
        <v>452.0</v>
      </c>
      <c r="G2830" s="2031">
        <v>453.0</v>
      </c>
      <c r="H2830" s="2031">
        <v>453.0</v>
      </c>
    </row>
    <row r="2831">
      <c r="B2831" s="2031">
        <v>2829.0</v>
      </c>
      <c r="C2831" s="2031">
        <v>340.0</v>
      </c>
      <c r="D2831" s="2031">
        <v>679.0</v>
      </c>
      <c r="E2831" s="2031">
        <v>452.0</v>
      </c>
      <c r="F2831" s="2031">
        <v>452.0</v>
      </c>
      <c r="G2831" s="2031">
        <v>453.0</v>
      </c>
      <c r="H2831" s="2031">
        <v>453.0</v>
      </c>
    </row>
    <row r="2832">
      <c r="B2832" s="2031">
        <v>2830.0</v>
      </c>
      <c r="C2832" s="2031">
        <v>339.0</v>
      </c>
      <c r="D2832" s="2031">
        <v>679.0</v>
      </c>
      <c r="E2832" s="2031">
        <v>453.0</v>
      </c>
      <c r="F2832" s="2031">
        <v>453.0</v>
      </c>
      <c r="G2832" s="2031">
        <v>453.0</v>
      </c>
      <c r="H2832" s="2031">
        <v>453.0</v>
      </c>
    </row>
    <row r="2833">
      <c r="B2833" s="2031">
        <v>2831.0</v>
      </c>
      <c r="C2833" s="2031">
        <v>340.0</v>
      </c>
      <c r="D2833" s="2031">
        <v>679.0</v>
      </c>
      <c r="E2833" s="2031">
        <v>453.0</v>
      </c>
      <c r="F2833" s="2031">
        <v>453.0</v>
      </c>
      <c r="G2833" s="2031">
        <v>453.0</v>
      </c>
      <c r="H2833" s="2031">
        <v>453.0</v>
      </c>
    </row>
    <row r="2834">
      <c r="B2834" s="2031">
        <v>2832.0</v>
      </c>
      <c r="C2834" s="2031">
        <v>340.0</v>
      </c>
      <c r="D2834" s="2031">
        <v>680.0</v>
      </c>
      <c r="E2834" s="2031">
        <v>453.0</v>
      </c>
      <c r="F2834" s="2031">
        <v>453.0</v>
      </c>
      <c r="G2834" s="2031">
        <v>453.0</v>
      </c>
      <c r="H2834" s="2031">
        <v>453.0</v>
      </c>
    </row>
    <row r="2835">
      <c r="B2835" s="2031">
        <v>2833.0</v>
      </c>
      <c r="C2835" s="2031">
        <v>340.0</v>
      </c>
      <c r="D2835" s="2031">
        <v>679.0</v>
      </c>
      <c r="E2835" s="2031">
        <v>453.0</v>
      </c>
      <c r="F2835" s="2031">
        <v>453.0</v>
      </c>
      <c r="G2835" s="2031">
        <v>454.0</v>
      </c>
      <c r="H2835" s="2031">
        <v>454.0</v>
      </c>
    </row>
    <row r="2836">
      <c r="B2836" s="2031">
        <v>2834.0</v>
      </c>
      <c r="C2836" s="2031">
        <v>340.0</v>
      </c>
      <c r="D2836" s="2031">
        <v>680.0</v>
      </c>
      <c r="E2836" s="2031">
        <v>453.0</v>
      </c>
      <c r="F2836" s="2031">
        <v>453.0</v>
      </c>
      <c r="G2836" s="2031">
        <v>454.0</v>
      </c>
      <c r="H2836" s="2031">
        <v>454.0</v>
      </c>
    </row>
    <row r="2837">
      <c r="B2837" s="2031">
        <v>2835.0</v>
      </c>
      <c r="C2837" s="2031">
        <v>340.0</v>
      </c>
      <c r="D2837" s="2031">
        <v>681.0</v>
      </c>
      <c r="E2837" s="2031">
        <v>453.0</v>
      </c>
      <c r="F2837" s="2031">
        <v>453.0</v>
      </c>
      <c r="G2837" s="2031">
        <v>454.0</v>
      </c>
      <c r="H2837" s="2031">
        <v>454.0</v>
      </c>
    </row>
    <row r="2838">
      <c r="B2838" s="2031">
        <v>2836.0</v>
      </c>
      <c r="C2838" s="2031">
        <v>340.0</v>
      </c>
      <c r="D2838" s="2031">
        <v>680.0</v>
      </c>
      <c r="E2838" s="2031">
        <v>454.0</v>
      </c>
      <c r="F2838" s="2031">
        <v>454.0</v>
      </c>
      <c r="G2838" s="2031">
        <v>454.0</v>
      </c>
      <c r="H2838" s="2031">
        <v>454.0</v>
      </c>
    </row>
    <row r="2839">
      <c r="B2839" s="2031">
        <v>2837.0</v>
      </c>
      <c r="C2839" s="2031">
        <v>340.0</v>
      </c>
      <c r="D2839" s="2031">
        <v>681.0</v>
      </c>
      <c r="E2839" s="2031">
        <v>454.0</v>
      </c>
      <c r="F2839" s="2031">
        <v>454.0</v>
      </c>
      <c r="G2839" s="2031">
        <v>454.0</v>
      </c>
      <c r="H2839" s="2031">
        <v>454.0</v>
      </c>
    </row>
    <row r="2840">
      <c r="B2840" s="2031">
        <v>2838.0</v>
      </c>
      <c r="C2840" s="2031">
        <v>341.0</v>
      </c>
      <c r="D2840" s="2031">
        <v>681.0</v>
      </c>
      <c r="E2840" s="2031">
        <v>454.0</v>
      </c>
      <c r="F2840" s="2031">
        <v>454.0</v>
      </c>
      <c r="G2840" s="2031">
        <v>454.0</v>
      </c>
      <c r="H2840" s="2031">
        <v>454.0</v>
      </c>
    </row>
    <row r="2841">
      <c r="B2841" s="2031">
        <v>2839.0</v>
      </c>
      <c r="C2841" s="2031">
        <v>341.0</v>
      </c>
      <c r="D2841" s="2031">
        <v>682.0</v>
      </c>
      <c r="E2841" s="2031">
        <v>454.0</v>
      </c>
      <c r="F2841" s="2031">
        <v>454.0</v>
      </c>
      <c r="G2841" s="2031">
        <v>454.0</v>
      </c>
      <c r="H2841" s="2031">
        <v>454.0</v>
      </c>
    </row>
    <row r="2842">
      <c r="B2842" s="2031">
        <v>2840.0</v>
      </c>
      <c r="C2842" s="2031">
        <v>341.0</v>
      </c>
      <c r="D2842" s="2031">
        <v>681.0</v>
      </c>
      <c r="E2842" s="2031">
        <v>454.0</v>
      </c>
      <c r="F2842" s="2031">
        <v>454.0</v>
      </c>
      <c r="G2842" s="2031">
        <v>455.0</v>
      </c>
      <c r="H2842" s="2031">
        <v>455.0</v>
      </c>
    </row>
    <row r="2843">
      <c r="B2843" s="2031">
        <v>2841.0</v>
      </c>
      <c r="C2843" s="2031">
        <v>341.0</v>
      </c>
      <c r="D2843" s="2031">
        <v>682.0</v>
      </c>
      <c r="E2843" s="2031">
        <v>454.0</v>
      </c>
      <c r="F2843" s="2031">
        <v>454.0</v>
      </c>
      <c r="G2843" s="2031">
        <v>455.0</v>
      </c>
      <c r="H2843" s="2031">
        <v>455.0</v>
      </c>
    </row>
    <row r="2844">
      <c r="B2844" s="2031">
        <v>2842.0</v>
      </c>
      <c r="C2844" s="2031">
        <v>341.0</v>
      </c>
      <c r="D2844" s="2031">
        <v>683.0</v>
      </c>
      <c r="E2844" s="2031">
        <v>454.0</v>
      </c>
      <c r="F2844" s="2031">
        <v>454.0</v>
      </c>
      <c r="G2844" s="2031">
        <v>455.0</v>
      </c>
      <c r="H2844" s="2031">
        <v>455.0</v>
      </c>
    </row>
    <row r="2845">
      <c r="B2845" s="2031">
        <v>2843.0</v>
      </c>
      <c r="C2845" s="2031">
        <v>341.0</v>
      </c>
      <c r="D2845" s="2031">
        <v>682.0</v>
      </c>
      <c r="E2845" s="2031">
        <v>455.0</v>
      </c>
      <c r="F2845" s="2031">
        <v>455.0</v>
      </c>
      <c r="G2845" s="2031">
        <v>455.0</v>
      </c>
      <c r="H2845" s="2031">
        <v>455.0</v>
      </c>
    </row>
    <row r="2846">
      <c r="B2846" s="2031">
        <v>2844.0</v>
      </c>
      <c r="C2846" s="2031">
        <v>341.0</v>
      </c>
      <c r="D2846" s="2031">
        <v>683.0</v>
      </c>
      <c r="E2846" s="2031">
        <v>455.0</v>
      </c>
      <c r="F2846" s="2031">
        <v>455.0</v>
      </c>
      <c r="G2846" s="2031">
        <v>455.0</v>
      </c>
      <c r="H2846" s="2031">
        <v>455.0</v>
      </c>
    </row>
    <row r="2847">
      <c r="B2847" s="2031">
        <v>2845.0</v>
      </c>
      <c r="C2847" s="2031">
        <v>342.0</v>
      </c>
      <c r="D2847" s="2031">
        <v>683.0</v>
      </c>
      <c r="E2847" s="2031">
        <v>455.0</v>
      </c>
      <c r="F2847" s="2031">
        <v>455.0</v>
      </c>
      <c r="G2847" s="2031">
        <v>455.0</v>
      </c>
      <c r="H2847" s="2031">
        <v>455.0</v>
      </c>
    </row>
    <row r="2848">
      <c r="B2848" s="2031">
        <v>2846.0</v>
      </c>
      <c r="C2848" s="2031">
        <v>341.0</v>
      </c>
      <c r="D2848" s="2031">
        <v>683.0</v>
      </c>
      <c r="E2848" s="2031">
        <v>455.0</v>
      </c>
      <c r="F2848" s="2031">
        <v>455.0</v>
      </c>
      <c r="G2848" s="2031">
        <v>456.0</v>
      </c>
      <c r="H2848" s="2031">
        <v>456.0</v>
      </c>
    </row>
    <row r="2849">
      <c r="B2849" s="2031">
        <v>2847.0</v>
      </c>
      <c r="C2849" s="2031">
        <v>342.0</v>
      </c>
      <c r="D2849" s="2031">
        <v>683.0</v>
      </c>
      <c r="E2849" s="2031">
        <v>455.0</v>
      </c>
      <c r="F2849" s="2031">
        <v>455.0</v>
      </c>
      <c r="G2849" s="2031">
        <v>456.0</v>
      </c>
      <c r="H2849" s="2031">
        <v>456.0</v>
      </c>
    </row>
    <row r="2850">
      <c r="B2850" s="2031">
        <v>2848.0</v>
      </c>
      <c r="C2850" s="2031">
        <v>341.0</v>
      </c>
      <c r="D2850" s="2031">
        <v>683.0</v>
      </c>
      <c r="E2850" s="2031">
        <v>456.0</v>
      </c>
      <c r="F2850" s="2031">
        <v>456.0</v>
      </c>
      <c r="G2850" s="2031">
        <v>456.0</v>
      </c>
      <c r="H2850" s="2031">
        <v>456.0</v>
      </c>
    </row>
    <row r="2851">
      <c r="B2851" s="2031">
        <v>2849.0</v>
      </c>
      <c r="C2851" s="2031">
        <v>342.0</v>
      </c>
      <c r="D2851" s="2031">
        <v>683.0</v>
      </c>
      <c r="E2851" s="2031">
        <v>456.0</v>
      </c>
      <c r="F2851" s="2031">
        <v>456.0</v>
      </c>
      <c r="G2851" s="2031">
        <v>456.0</v>
      </c>
      <c r="H2851" s="2031">
        <v>456.0</v>
      </c>
    </row>
    <row r="2852">
      <c r="B2852" s="2031">
        <v>2850.0</v>
      </c>
      <c r="C2852" s="2031">
        <v>342.0</v>
      </c>
      <c r="D2852" s="2031">
        <v>684.0</v>
      </c>
      <c r="E2852" s="2031">
        <v>456.0</v>
      </c>
      <c r="F2852" s="2031">
        <v>456.0</v>
      </c>
      <c r="G2852" s="2031">
        <v>456.0</v>
      </c>
      <c r="H2852" s="2031">
        <v>456.0</v>
      </c>
    </row>
    <row r="2853">
      <c r="B2853" s="2031">
        <v>2851.0</v>
      </c>
      <c r="C2853" s="2031">
        <v>342.0</v>
      </c>
      <c r="D2853" s="2031">
        <v>685.0</v>
      </c>
      <c r="E2853" s="2031">
        <v>456.0</v>
      </c>
      <c r="F2853" s="2031">
        <v>456.0</v>
      </c>
      <c r="G2853" s="2031">
        <v>456.0</v>
      </c>
      <c r="H2853" s="2031">
        <v>456.0</v>
      </c>
    </row>
    <row r="2854">
      <c r="B2854" s="2031">
        <v>2852.0</v>
      </c>
      <c r="C2854" s="2031">
        <v>343.0</v>
      </c>
      <c r="D2854" s="2031">
        <v>685.0</v>
      </c>
      <c r="E2854" s="2031">
        <v>456.0</v>
      </c>
      <c r="F2854" s="2031">
        <v>456.0</v>
      </c>
      <c r="G2854" s="2031">
        <v>456.0</v>
      </c>
      <c r="H2854" s="2031">
        <v>456.0</v>
      </c>
    </row>
    <row r="2855">
      <c r="B2855" s="2031">
        <v>2853.0</v>
      </c>
      <c r="C2855" s="2031">
        <v>342.0</v>
      </c>
      <c r="D2855" s="2031">
        <v>685.0</v>
      </c>
      <c r="E2855" s="2031">
        <v>456.0</v>
      </c>
      <c r="F2855" s="2031">
        <v>456.0</v>
      </c>
      <c r="G2855" s="2031">
        <v>457.0</v>
      </c>
      <c r="H2855" s="2031">
        <v>457.0</v>
      </c>
    </row>
    <row r="2856">
      <c r="B2856" s="2031">
        <v>2854.0</v>
      </c>
      <c r="C2856" s="2031">
        <v>343.0</v>
      </c>
      <c r="D2856" s="2031">
        <v>685.0</v>
      </c>
      <c r="E2856" s="2031">
        <v>456.0</v>
      </c>
      <c r="F2856" s="2031">
        <v>456.0</v>
      </c>
      <c r="G2856" s="2031">
        <v>457.0</v>
      </c>
      <c r="H2856" s="2031">
        <v>457.0</v>
      </c>
    </row>
    <row r="2857">
      <c r="B2857" s="2031">
        <v>2855.0</v>
      </c>
      <c r="C2857" s="2031">
        <v>342.0</v>
      </c>
      <c r="D2857" s="2031">
        <v>685.0</v>
      </c>
      <c r="E2857" s="2031">
        <v>457.0</v>
      </c>
      <c r="F2857" s="2031">
        <v>457.0</v>
      </c>
      <c r="G2857" s="2031">
        <v>457.0</v>
      </c>
      <c r="H2857" s="2031">
        <v>457.0</v>
      </c>
    </row>
    <row r="2858">
      <c r="B2858" s="2031">
        <v>2856.0</v>
      </c>
      <c r="C2858" s="2031">
        <v>343.0</v>
      </c>
      <c r="D2858" s="2031">
        <v>685.0</v>
      </c>
      <c r="E2858" s="2031">
        <v>457.0</v>
      </c>
      <c r="F2858" s="2031">
        <v>457.0</v>
      </c>
      <c r="G2858" s="2031">
        <v>457.0</v>
      </c>
      <c r="H2858" s="2031">
        <v>457.0</v>
      </c>
    </row>
    <row r="2859">
      <c r="B2859" s="2031">
        <v>2857.0</v>
      </c>
      <c r="C2859" s="2031">
        <v>343.0</v>
      </c>
      <c r="D2859" s="2031">
        <v>686.0</v>
      </c>
      <c r="E2859" s="2031">
        <v>457.0</v>
      </c>
      <c r="F2859" s="2031">
        <v>457.0</v>
      </c>
      <c r="G2859" s="2031">
        <v>457.0</v>
      </c>
      <c r="H2859" s="2031">
        <v>457.0</v>
      </c>
    </row>
    <row r="2860">
      <c r="B2860" s="2031">
        <v>2858.0</v>
      </c>
      <c r="C2860" s="2031">
        <v>343.0</v>
      </c>
      <c r="D2860" s="2031">
        <v>685.0</v>
      </c>
      <c r="E2860" s="2031">
        <v>457.0</v>
      </c>
      <c r="F2860" s="2031">
        <v>457.0</v>
      </c>
      <c r="G2860" s="2031">
        <v>458.0</v>
      </c>
      <c r="H2860" s="2031">
        <v>458.0</v>
      </c>
    </row>
    <row r="2861">
      <c r="B2861" s="2031">
        <v>2859.0</v>
      </c>
      <c r="C2861" s="2031">
        <v>343.0</v>
      </c>
      <c r="D2861" s="2031">
        <v>686.0</v>
      </c>
      <c r="E2861" s="2031">
        <v>457.0</v>
      </c>
      <c r="F2861" s="2031">
        <v>457.0</v>
      </c>
      <c r="G2861" s="2031">
        <v>458.0</v>
      </c>
      <c r="H2861" s="2031">
        <v>458.0</v>
      </c>
    </row>
    <row r="2862">
      <c r="B2862" s="2031">
        <v>2860.0</v>
      </c>
      <c r="C2862" s="2031">
        <v>343.0</v>
      </c>
      <c r="D2862" s="2031">
        <v>687.0</v>
      </c>
      <c r="E2862" s="2031">
        <v>457.0</v>
      </c>
      <c r="F2862" s="2031">
        <v>457.0</v>
      </c>
      <c r="G2862" s="2031">
        <v>458.0</v>
      </c>
      <c r="H2862" s="2031">
        <v>458.0</v>
      </c>
    </row>
    <row r="2863">
      <c r="B2863" s="2031">
        <v>2861.0</v>
      </c>
      <c r="C2863" s="2031">
        <v>343.0</v>
      </c>
      <c r="D2863" s="2031">
        <v>686.0</v>
      </c>
      <c r="E2863" s="2031">
        <v>458.0</v>
      </c>
      <c r="F2863" s="2031">
        <v>458.0</v>
      </c>
      <c r="G2863" s="2031">
        <v>458.0</v>
      </c>
      <c r="H2863" s="2031">
        <v>458.0</v>
      </c>
    </row>
    <row r="2864">
      <c r="B2864" s="2031">
        <v>2862.0</v>
      </c>
      <c r="C2864" s="2031">
        <v>343.0</v>
      </c>
      <c r="D2864" s="2031">
        <v>687.0</v>
      </c>
      <c r="E2864" s="2031">
        <v>458.0</v>
      </c>
      <c r="F2864" s="2031">
        <v>458.0</v>
      </c>
      <c r="G2864" s="2031">
        <v>458.0</v>
      </c>
      <c r="H2864" s="2031">
        <v>458.0</v>
      </c>
    </row>
    <row r="2865">
      <c r="B2865" s="2031">
        <v>2863.0</v>
      </c>
      <c r="C2865" s="2031">
        <v>344.0</v>
      </c>
      <c r="D2865" s="2031">
        <v>687.0</v>
      </c>
      <c r="E2865" s="2031">
        <v>458.0</v>
      </c>
      <c r="F2865" s="2031">
        <v>458.0</v>
      </c>
      <c r="G2865" s="2031">
        <v>458.0</v>
      </c>
      <c r="H2865" s="2031">
        <v>458.0</v>
      </c>
    </row>
    <row r="2866">
      <c r="B2866" s="2031">
        <v>2864.0</v>
      </c>
      <c r="C2866" s="2031">
        <v>344.0</v>
      </c>
      <c r="D2866" s="2031">
        <v>688.0</v>
      </c>
      <c r="E2866" s="2031">
        <v>458.0</v>
      </c>
      <c r="F2866" s="2031">
        <v>458.0</v>
      </c>
      <c r="G2866" s="2031">
        <v>458.0</v>
      </c>
      <c r="H2866" s="2031">
        <v>458.0</v>
      </c>
    </row>
    <row r="2867">
      <c r="B2867" s="2031">
        <v>2865.0</v>
      </c>
      <c r="C2867" s="2031">
        <v>344.0</v>
      </c>
      <c r="D2867" s="2031">
        <v>687.0</v>
      </c>
      <c r="E2867" s="2031">
        <v>458.0</v>
      </c>
      <c r="F2867" s="2031">
        <v>458.0</v>
      </c>
      <c r="G2867" s="2031">
        <v>459.0</v>
      </c>
      <c r="H2867" s="2031">
        <v>459.0</v>
      </c>
    </row>
    <row r="2868">
      <c r="B2868" s="2031">
        <v>2866.0</v>
      </c>
      <c r="C2868" s="2031">
        <v>344.0</v>
      </c>
      <c r="D2868" s="2031">
        <v>688.0</v>
      </c>
      <c r="E2868" s="2031">
        <v>458.0</v>
      </c>
      <c r="F2868" s="2031">
        <v>458.0</v>
      </c>
      <c r="G2868" s="2031">
        <v>459.0</v>
      </c>
      <c r="H2868" s="2031">
        <v>459.0</v>
      </c>
    </row>
    <row r="2869">
      <c r="B2869" s="2031">
        <v>2867.0</v>
      </c>
      <c r="C2869" s="2031">
        <v>344.0</v>
      </c>
      <c r="D2869" s="2031">
        <v>689.0</v>
      </c>
      <c r="E2869" s="2031">
        <v>458.0</v>
      </c>
      <c r="F2869" s="2031">
        <v>458.0</v>
      </c>
      <c r="G2869" s="2031">
        <v>459.0</v>
      </c>
      <c r="H2869" s="2031">
        <v>459.0</v>
      </c>
    </row>
    <row r="2870">
      <c r="B2870" s="2031">
        <v>2868.0</v>
      </c>
      <c r="C2870" s="2031">
        <v>344.0</v>
      </c>
      <c r="D2870" s="2031">
        <v>688.0</v>
      </c>
      <c r="E2870" s="2031">
        <v>459.0</v>
      </c>
      <c r="F2870" s="2031">
        <v>459.0</v>
      </c>
      <c r="G2870" s="2031">
        <v>459.0</v>
      </c>
      <c r="H2870" s="2031">
        <v>459.0</v>
      </c>
    </row>
    <row r="2871">
      <c r="B2871" s="2031">
        <v>2869.0</v>
      </c>
      <c r="C2871" s="2031">
        <v>344.0</v>
      </c>
      <c r="D2871" s="2031">
        <v>689.0</v>
      </c>
      <c r="E2871" s="2031">
        <v>459.0</v>
      </c>
      <c r="F2871" s="2031">
        <v>459.0</v>
      </c>
      <c r="G2871" s="2031">
        <v>459.0</v>
      </c>
      <c r="H2871" s="2031">
        <v>459.0</v>
      </c>
    </row>
    <row r="2872">
      <c r="B2872" s="2031">
        <v>2870.0</v>
      </c>
      <c r="C2872" s="2031">
        <v>345.0</v>
      </c>
      <c r="D2872" s="2031">
        <v>689.0</v>
      </c>
      <c r="E2872" s="2031">
        <v>459.0</v>
      </c>
      <c r="F2872" s="2031">
        <v>459.0</v>
      </c>
      <c r="G2872" s="2031">
        <v>459.0</v>
      </c>
      <c r="H2872" s="2031">
        <v>459.0</v>
      </c>
    </row>
    <row r="2873">
      <c r="B2873" s="2031">
        <v>2871.0</v>
      </c>
      <c r="C2873" s="2031">
        <v>344.0</v>
      </c>
      <c r="D2873" s="2031">
        <v>689.0</v>
      </c>
      <c r="E2873" s="2031">
        <v>459.0</v>
      </c>
      <c r="F2873" s="2031">
        <v>459.0</v>
      </c>
      <c r="G2873" s="2031">
        <v>460.0</v>
      </c>
      <c r="H2873" s="2031">
        <v>460.0</v>
      </c>
    </row>
    <row r="2874">
      <c r="B2874" s="2031">
        <v>2872.0</v>
      </c>
      <c r="C2874" s="2031">
        <v>345.0</v>
      </c>
      <c r="D2874" s="2031">
        <v>689.0</v>
      </c>
      <c r="E2874" s="2031">
        <v>459.0</v>
      </c>
      <c r="F2874" s="2031">
        <v>459.0</v>
      </c>
      <c r="G2874" s="2031">
        <v>460.0</v>
      </c>
      <c r="H2874" s="2031">
        <v>460.0</v>
      </c>
    </row>
    <row r="2875">
      <c r="B2875" s="2031">
        <v>2873.0</v>
      </c>
      <c r="C2875" s="2031">
        <v>344.0</v>
      </c>
      <c r="D2875" s="2031">
        <v>689.0</v>
      </c>
      <c r="E2875" s="2031">
        <v>460.0</v>
      </c>
      <c r="F2875" s="2031">
        <v>460.0</v>
      </c>
      <c r="G2875" s="2031">
        <v>460.0</v>
      </c>
      <c r="H2875" s="2031">
        <v>460.0</v>
      </c>
    </row>
    <row r="2876">
      <c r="B2876" s="2031">
        <v>2874.0</v>
      </c>
      <c r="C2876" s="2031">
        <v>345.0</v>
      </c>
      <c r="D2876" s="2031">
        <v>689.0</v>
      </c>
      <c r="E2876" s="2031">
        <v>460.0</v>
      </c>
      <c r="F2876" s="2031">
        <v>460.0</v>
      </c>
      <c r="G2876" s="2031">
        <v>460.0</v>
      </c>
      <c r="H2876" s="2031">
        <v>460.0</v>
      </c>
    </row>
    <row r="2877">
      <c r="B2877" s="2031">
        <v>2875.0</v>
      </c>
      <c r="C2877" s="2031">
        <v>345.0</v>
      </c>
      <c r="D2877" s="2031">
        <v>690.0</v>
      </c>
      <c r="E2877" s="2031">
        <v>460.0</v>
      </c>
      <c r="F2877" s="2031">
        <v>460.0</v>
      </c>
      <c r="G2877" s="2031">
        <v>460.0</v>
      </c>
      <c r="H2877" s="2031">
        <v>460.0</v>
      </c>
    </row>
    <row r="2878">
      <c r="B2878" s="2031">
        <v>2876.0</v>
      </c>
      <c r="C2878" s="2031">
        <v>345.0</v>
      </c>
      <c r="D2878" s="2031">
        <v>691.0</v>
      </c>
      <c r="E2878" s="2031">
        <v>460.0</v>
      </c>
      <c r="F2878" s="2031">
        <v>460.0</v>
      </c>
      <c r="G2878" s="2031">
        <v>460.0</v>
      </c>
      <c r="H2878" s="2031">
        <v>460.0</v>
      </c>
    </row>
    <row r="2879">
      <c r="B2879" s="2031">
        <v>2877.0</v>
      </c>
      <c r="C2879" s="2031">
        <v>346.0</v>
      </c>
      <c r="D2879" s="2031">
        <v>691.0</v>
      </c>
      <c r="E2879" s="2031">
        <v>460.0</v>
      </c>
      <c r="F2879" s="2031">
        <v>460.0</v>
      </c>
      <c r="G2879" s="2031">
        <v>460.0</v>
      </c>
      <c r="H2879" s="2031">
        <v>460.0</v>
      </c>
    </row>
    <row r="2880">
      <c r="B2880" s="2031">
        <v>2878.0</v>
      </c>
      <c r="C2880" s="2031">
        <v>345.0</v>
      </c>
      <c r="D2880" s="2031">
        <v>691.0</v>
      </c>
      <c r="E2880" s="2031">
        <v>460.0</v>
      </c>
      <c r="F2880" s="2031">
        <v>460.0</v>
      </c>
      <c r="G2880" s="2031">
        <v>461.0</v>
      </c>
      <c r="H2880" s="2031">
        <v>461.0</v>
      </c>
    </row>
    <row r="2881">
      <c r="B2881" s="2031">
        <v>2879.0</v>
      </c>
      <c r="C2881" s="2031">
        <v>346.0</v>
      </c>
      <c r="D2881" s="2031">
        <v>691.0</v>
      </c>
      <c r="E2881" s="2031">
        <v>460.0</v>
      </c>
      <c r="F2881" s="2031">
        <v>460.0</v>
      </c>
      <c r="G2881" s="2031">
        <v>461.0</v>
      </c>
      <c r="H2881" s="2031">
        <v>461.0</v>
      </c>
    </row>
    <row r="2882">
      <c r="B2882" s="2031">
        <v>2880.0</v>
      </c>
      <c r="C2882" s="2031">
        <v>345.0</v>
      </c>
      <c r="D2882" s="2031">
        <v>691.0</v>
      </c>
      <c r="E2882" s="2031">
        <v>461.0</v>
      </c>
      <c r="F2882" s="2031">
        <v>461.0</v>
      </c>
      <c r="G2882" s="2031">
        <v>461.0</v>
      </c>
      <c r="H2882" s="2031">
        <v>461.0</v>
      </c>
    </row>
    <row r="2883">
      <c r="B2883" s="2031">
        <v>2881.0</v>
      </c>
      <c r="C2883" s="2031">
        <v>346.0</v>
      </c>
      <c r="D2883" s="2031">
        <v>691.0</v>
      </c>
      <c r="E2883" s="2031">
        <v>461.0</v>
      </c>
      <c r="F2883" s="2031">
        <v>461.0</v>
      </c>
      <c r="G2883" s="2031">
        <v>461.0</v>
      </c>
      <c r="H2883" s="2031">
        <v>461.0</v>
      </c>
    </row>
    <row r="2884">
      <c r="B2884" s="2031">
        <v>2882.0</v>
      </c>
      <c r="C2884" s="2031">
        <v>346.0</v>
      </c>
      <c r="D2884" s="2031">
        <v>692.0</v>
      </c>
      <c r="E2884" s="2031">
        <v>461.0</v>
      </c>
      <c r="F2884" s="2031">
        <v>461.0</v>
      </c>
      <c r="G2884" s="2031">
        <v>461.0</v>
      </c>
      <c r="H2884" s="2031">
        <v>461.0</v>
      </c>
    </row>
    <row r="2885">
      <c r="B2885" s="2031">
        <v>2883.0</v>
      </c>
      <c r="C2885" s="2031">
        <v>346.0</v>
      </c>
      <c r="D2885" s="2031">
        <v>691.0</v>
      </c>
      <c r="E2885" s="2031">
        <v>461.0</v>
      </c>
      <c r="F2885" s="2031">
        <v>461.0</v>
      </c>
      <c r="G2885" s="2031">
        <v>462.0</v>
      </c>
      <c r="H2885" s="2031">
        <v>462.0</v>
      </c>
    </row>
    <row r="2886">
      <c r="B2886" s="2031">
        <v>2884.0</v>
      </c>
      <c r="C2886" s="2031">
        <v>346.0</v>
      </c>
      <c r="D2886" s="2031">
        <v>692.0</v>
      </c>
      <c r="E2886" s="2031">
        <v>461.0</v>
      </c>
      <c r="F2886" s="2031">
        <v>461.0</v>
      </c>
      <c r="G2886" s="2031">
        <v>462.0</v>
      </c>
      <c r="H2886" s="2031">
        <v>462.0</v>
      </c>
    </row>
    <row r="2887">
      <c r="B2887" s="2031">
        <v>2885.0</v>
      </c>
      <c r="C2887" s="2031">
        <v>346.0</v>
      </c>
      <c r="D2887" s="2031">
        <v>693.0</v>
      </c>
      <c r="E2887" s="2031">
        <v>461.0</v>
      </c>
      <c r="F2887" s="2031">
        <v>461.0</v>
      </c>
      <c r="G2887" s="2031">
        <v>462.0</v>
      </c>
      <c r="H2887" s="2031">
        <v>462.0</v>
      </c>
    </row>
    <row r="2888">
      <c r="B2888" s="2031">
        <v>2886.0</v>
      </c>
      <c r="C2888" s="2031">
        <v>346.0</v>
      </c>
      <c r="D2888" s="2031">
        <v>692.0</v>
      </c>
      <c r="E2888" s="2031">
        <v>462.0</v>
      </c>
      <c r="F2888" s="2031">
        <v>462.0</v>
      </c>
      <c r="G2888" s="2031">
        <v>462.0</v>
      </c>
      <c r="H2888" s="2031">
        <v>462.0</v>
      </c>
    </row>
    <row r="2889">
      <c r="B2889" s="2031">
        <v>2887.0</v>
      </c>
      <c r="C2889" s="2031">
        <v>346.0</v>
      </c>
      <c r="D2889" s="2031">
        <v>693.0</v>
      </c>
      <c r="E2889" s="2031">
        <v>462.0</v>
      </c>
      <c r="F2889" s="2031">
        <v>462.0</v>
      </c>
      <c r="G2889" s="2031">
        <v>462.0</v>
      </c>
      <c r="H2889" s="2031">
        <v>462.0</v>
      </c>
    </row>
    <row r="2890">
      <c r="B2890" s="2031">
        <v>2888.0</v>
      </c>
      <c r="C2890" s="2031">
        <v>347.0</v>
      </c>
      <c r="D2890" s="2031">
        <v>693.0</v>
      </c>
      <c r="E2890" s="2031">
        <v>462.0</v>
      </c>
      <c r="F2890" s="2031">
        <v>462.0</v>
      </c>
      <c r="G2890" s="2031">
        <v>462.0</v>
      </c>
      <c r="H2890" s="2031">
        <v>462.0</v>
      </c>
    </row>
    <row r="2891">
      <c r="B2891" s="2031">
        <v>2889.0</v>
      </c>
      <c r="C2891" s="2031">
        <v>347.0</v>
      </c>
      <c r="D2891" s="2031">
        <v>694.0</v>
      </c>
      <c r="E2891" s="2031">
        <v>462.0</v>
      </c>
      <c r="F2891" s="2031">
        <v>462.0</v>
      </c>
      <c r="G2891" s="2031">
        <v>462.0</v>
      </c>
      <c r="H2891" s="2031">
        <v>462.0</v>
      </c>
    </row>
    <row r="2892">
      <c r="B2892" s="2031">
        <v>2890.0</v>
      </c>
      <c r="C2892" s="2031">
        <v>347.0</v>
      </c>
      <c r="D2892" s="2031">
        <v>693.0</v>
      </c>
      <c r="E2892" s="2031">
        <v>462.0</v>
      </c>
      <c r="F2892" s="2031">
        <v>462.0</v>
      </c>
      <c r="G2892" s="2031">
        <v>463.0</v>
      </c>
      <c r="H2892" s="2031">
        <v>463.0</v>
      </c>
    </row>
    <row r="2893">
      <c r="B2893" s="2031">
        <v>2891.0</v>
      </c>
      <c r="C2893" s="2031">
        <v>347.0</v>
      </c>
      <c r="D2893" s="2031">
        <v>694.0</v>
      </c>
      <c r="E2893" s="2031">
        <v>462.0</v>
      </c>
      <c r="F2893" s="2031">
        <v>462.0</v>
      </c>
      <c r="G2893" s="2031">
        <v>463.0</v>
      </c>
      <c r="H2893" s="2031">
        <v>463.0</v>
      </c>
    </row>
    <row r="2894">
      <c r="B2894" s="2031">
        <v>2892.0</v>
      </c>
      <c r="C2894" s="2031">
        <v>347.0</v>
      </c>
      <c r="D2894" s="2031">
        <v>695.0</v>
      </c>
      <c r="E2894" s="2031">
        <v>462.0</v>
      </c>
      <c r="F2894" s="2031">
        <v>462.0</v>
      </c>
      <c r="G2894" s="2031">
        <v>463.0</v>
      </c>
      <c r="H2894" s="2031">
        <v>463.0</v>
      </c>
    </row>
    <row r="2895">
      <c r="B2895" s="2031">
        <v>2893.0</v>
      </c>
      <c r="C2895" s="2031">
        <v>347.0</v>
      </c>
      <c r="D2895" s="2031">
        <v>694.0</v>
      </c>
      <c r="E2895" s="2031">
        <v>463.0</v>
      </c>
      <c r="F2895" s="2031">
        <v>463.0</v>
      </c>
      <c r="G2895" s="2031">
        <v>463.0</v>
      </c>
      <c r="H2895" s="2031">
        <v>463.0</v>
      </c>
    </row>
    <row r="2896">
      <c r="B2896" s="2031">
        <v>2894.0</v>
      </c>
      <c r="C2896" s="2031">
        <v>347.0</v>
      </c>
      <c r="D2896" s="2031">
        <v>695.0</v>
      </c>
      <c r="E2896" s="2031">
        <v>463.0</v>
      </c>
      <c r="F2896" s="2031">
        <v>463.0</v>
      </c>
      <c r="G2896" s="2031">
        <v>463.0</v>
      </c>
      <c r="H2896" s="2031">
        <v>463.0</v>
      </c>
    </row>
    <row r="2897">
      <c r="B2897" s="2031">
        <v>2895.0</v>
      </c>
      <c r="C2897" s="2031">
        <v>348.0</v>
      </c>
      <c r="D2897" s="2031">
        <v>695.0</v>
      </c>
      <c r="E2897" s="2031">
        <v>463.0</v>
      </c>
      <c r="F2897" s="2031">
        <v>463.0</v>
      </c>
      <c r="G2897" s="2031">
        <v>463.0</v>
      </c>
      <c r="H2897" s="2031">
        <v>463.0</v>
      </c>
    </row>
    <row r="2898">
      <c r="B2898" s="2031">
        <v>2896.0</v>
      </c>
      <c r="C2898" s="2031">
        <v>347.0</v>
      </c>
      <c r="D2898" s="2031">
        <v>695.0</v>
      </c>
      <c r="E2898" s="2031">
        <v>463.0</v>
      </c>
      <c r="F2898" s="2031">
        <v>463.0</v>
      </c>
      <c r="G2898" s="2031">
        <v>464.0</v>
      </c>
      <c r="H2898" s="2031">
        <v>464.0</v>
      </c>
    </row>
    <row r="2899">
      <c r="B2899" s="2031">
        <v>2897.0</v>
      </c>
      <c r="C2899" s="2031">
        <v>348.0</v>
      </c>
      <c r="D2899" s="2031">
        <v>695.0</v>
      </c>
      <c r="E2899" s="2031">
        <v>463.0</v>
      </c>
      <c r="F2899" s="2031">
        <v>463.0</v>
      </c>
      <c r="G2899" s="2031">
        <v>464.0</v>
      </c>
      <c r="H2899" s="2031">
        <v>464.0</v>
      </c>
    </row>
    <row r="2900">
      <c r="B2900" s="2031">
        <v>2898.0</v>
      </c>
      <c r="C2900" s="2031">
        <v>347.0</v>
      </c>
      <c r="D2900" s="2031">
        <v>695.0</v>
      </c>
      <c r="E2900" s="2031">
        <v>464.0</v>
      </c>
      <c r="F2900" s="2031">
        <v>464.0</v>
      </c>
      <c r="G2900" s="2031">
        <v>464.0</v>
      </c>
      <c r="H2900" s="2031">
        <v>464.0</v>
      </c>
    </row>
    <row r="2901">
      <c r="B2901" s="2031">
        <v>2899.0</v>
      </c>
      <c r="C2901" s="2031">
        <v>348.0</v>
      </c>
      <c r="D2901" s="2031">
        <v>695.0</v>
      </c>
      <c r="E2901" s="2031">
        <v>464.0</v>
      </c>
      <c r="F2901" s="2031">
        <v>464.0</v>
      </c>
      <c r="G2901" s="2031">
        <v>464.0</v>
      </c>
      <c r="H2901" s="2031">
        <v>464.0</v>
      </c>
    </row>
    <row r="2902">
      <c r="B2902" s="2031">
        <v>2900.0</v>
      </c>
      <c r="C2902" s="2031">
        <v>348.0</v>
      </c>
      <c r="D2902" s="2031">
        <v>696.0</v>
      </c>
      <c r="E2902" s="2031">
        <v>464.0</v>
      </c>
      <c r="F2902" s="2031">
        <v>464.0</v>
      </c>
      <c r="G2902" s="2031">
        <v>464.0</v>
      </c>
      <c r="H2902" s="2031">
        <v>464.0</v>
      </c>
    </row>
    <row r="2903">
      <c r="B2903" s="2031">
        <v>2901.0</v>
      </c>
      <c r="C2903" s="2031">
        <v>348.0</v>
      </c>
      <c r="D2903" s="2031">
        <v>697.0</v>
      </c>
      <c r="E2903" s="2031">
        <v>464.0</v>
      </c>
      <c r="F2903" s="2031">
        <v>464.0</v>
      </c>
      <c r="G2903" s="2031">
        <v>464.0</v>
      </c>
      <c r="H2903" s="2031">
        <v>464.0</v>
      </c>
    </row>
    <row r="2904">
      <c r="B2904" s="2031">
        <v>2902.0</v>
      </c>
      <c r="C2904" s="2031">
        <v>349.0</v>
      </c>
      <c r="D2904" s="2031">
        <v>697.0</v>
      </c>
      <c r="E2904" s="2031">
        <v>464.0</v>
      </c>
      <c r="F2904" s="2031">
        <v>464.0</v>
      </c>
      <c r="G2904" s="2031">
        <v>464.0</v>
      </c>
      <c r="H2904" s="2031">
        <v>464.0</v>
      </c>
    </row>
    <row r="2905">
      <c r="B2905" s="2031">
        <v>2903.0</v>
      </c>
      <c r="C2905" s="2031">
        <v>348.0</v>
      </c>
      <c r="D2905" s="2031">
        <v>697.0</v>
      </c>
      <c r="E2905" s="2031">
        <v>464.0</v>
      </c>
      <c r="F2905" s="2031">
        <v>464.0</v>
      </c>
      <c r="G2905" s="2031">
        <v>465.0</v>
      </c>
      <c r="H2905" s="2031">
        <v>465.0</v>
      </c>
    </row>
    <row r="2906">
      <c r="B2906" s="2031">
        <v>2904.0</v>
      </c>
      <c r="C2906" s="2031">
        <v>349.0</v>
      </c>
      <c r="D2906" s="2031">
        <v>697.0</v>
      </c>
      <c r="E2906" s="2031">
        <v>464.0</v>
      </c>
      <c r="F2906" s="2031">
        <v>464.0</v>
      </c>
      <c r="G2906" s="2031">
        <v>465.0</v>
      </c>
      <c r="H2906" s="2031">
        <v>465.0</v>
      </c>
    </row>
    <row r="2907">
      <c r="B2907" s="2031">
        <v>2905.0</v>
      </c>
      <c r="C2907" s="2031">
        <v>348.0</v>
      </c>
      <c r="D2907" s="2031">
        <v>697.0</v>
      </c>
      <c r="E2907" s="2031">
        <v>465.0</v>
      </c>
      <c r="F2907" s="2031">
        <v>465.0</v>
      </c>
      <c r="G2907" s="2031">
        <v>465.0</v>
      </c>
      <c r="H2907" s="2031">
        <v>465.0</v>
      </c>
    </row>
    <row r="2908">
      <c r="B2908" s="2031">
        <v>2906.0</v>
      </c>
      <c r="C2908" s="2031">
        <v>349.0</v>
      </c>
      <c r="D2908" s="2031">
        <v>697.0</v>
      </c>
      <c r="E2908" s="2031">
        <v>465.0</v>
      </c>
      <c r="F2908" s="2031">
        <v>465.0</v>
      </c>
      <c r="G2908" s="2031">
        <v>465.0</v>
      </c>
      <c r="H2908" s="2031">
        <v>465.0</v>
      </c>
    </row>
    <row r="2909">
      <c r="B2909" s="2031">
        <v>2907.0</v>
      </c>
      <c r="C2909" s="2031">
        <v>349.0</v>
      </c>
      <c r="D2909" s="2031">
        <v>698.0</v>
      </c>
      <c r="E2909" s="2031">
        <v>465.0</v>
      </c>
      <c r="F2909" s="2031">
        <v>465.0</v>
      </c>
      <c r="G2909" s="2031">
        <v>465.0</v>
      </c>
      <c r="H2909" s="2031">
        <v>465.0</v>
      </c>
    </row>
    <row r="2910">
      <c r="B2910" s="2031">
        <v>2908.0</v>
      </c>
      <c r="C2910" s="2031">
        <v>349.0</v>
      </c>
      <c r="D2910" s="2031">
        <v>697.0</v>
      </c>
      <c r="E2910" s="2031">
        <v>465.0</v>
      </c>
      <c r="F2910" s="2031">
        <v>465.0</v>
      </c>
      <c r="G2910" s="2031">
        <v>466.0</v>
      </c>
      <c r="H2910" s="2031">
        <v>466.0</v>
      </c>
    </row>
    <row r="2911">
      <c r="B2911" s="2031">
        <v>2909.0</v>
      </c>
      <c r="C2911" s="2031">
        <v>349.0</v>
      </c>
      <c r="D2911" s="2031">
        <v>698.0</v>
      </c>
      <c r="E2911" s="2031">
        <v>465.0</v>
      </c>
      <c r="F2911" s="2031">
        <v>465.0</v>
      </c>
      <c r="G2911" s="2031">
        <v>466.0</v>
      </c>
      <c r="H2911" s="2031">
        <v>466.0</v>
      </c>
    </row>
    <row r="2912">
      <c r="B2912" s="2031">
        <v>2910.0</v>
      </c>
      <c r="C2912" s="2031">
        <v>349.0</v>
      </c>
      <c r="D2912" s="2031">
        <v>699.0</v>
      </c>
      <c r="E2912" s="2031">
        <v>465.0</v>
      </c>
      <c r="F2912" s="2031">
        <v>465.0</v>
      </c>
      <c r="G2912" s="2031">
        <v>466.0</v>
      </c>
      <c r="H2912" s="2031">
        <v>466.0</v>
      </c>
    </row>
    <row r="2913">
      <c r="B2913" s="2031">
        <v>2911.0</v>
      </c>
      <c r="C2913" s="2031">
        <v>349.0</v>
      </c>
      <c r="D2913" s="2031">
        <v>698.0</v>
      </c>
      <c r="E2913" s="2031">
        <v>466.0</v>
      </c>
      <c r="F2913" s="2031">
        <v>466.0</v>
      </c>
      <c r="G2913" s="2031">
        <v>466.0</v>
      </c>
      <c r="H2913" s="2031">
        <v>466.0</v>
      </c>
    </row>
    <row r="2914">
      <c r="B2914" s="2031">
        <v>2912.0</v>
      </c>
      <c r="C2914" s="2031">
        <v>349.0</v>
      </c>
      <c r="D2914" s="2031">
        <v>699.0</v>
      </c>
      <c r="E2914" s="2031">
        <v>466.0</v>
      </c>
      <c r="F2914" s="2031">
        <v>466.0</v>
      </c>
      <c r="G2914" s="2031">
        <v>466.0</v>
      </c>
      <c r="H2914" s="2031">
        <v>466.0</v>
      </c>
    </row>
    <row r="2915">
      <c r="B2915" s="2031">
        <v>2913.0</v>
      </c>
      <c r="C2915" s="2031">
        <v>350.0</v>
      </c>
      <c r="D2915" s="2031">
        <v>699.0</v>
      </c>
      <c r="E2915" s="2031">
        <v>466.0</v>
      </c>
      <c r="F2915" s="2031">
        <v>466.0</v>
      </c>
      <c r="G2915" s="2031">
        <v>466.0</v>
      </c>
      <c r="H2915" s="2031">
        <v>466.0</v>
      </c>
    </row>
    <row r="2916">
      <c r="B2916" s="2031">
        <v>2914.0</v>
      </c>
      <c r="C2916" s="2031">
        <v>350.0</v>
      </c>
      <c r="D2916" s="2031">
        <v>700.0</v>
      </c>
      <c r="E2916" s="2031">
        <v>466.0</v>
      </c>
      <c r="F2916" s="2031">
        <v>466.0</v>
      </c>
      <c r="G2916" s="2031">
        <v>466.0</v>
      </c>
      <c r="H2916" s="2031">
        <v>466.0</v>
      </c>
    </row>
    <row r="2917">
      <c r="B2917" s="2031">
        <v>2915.0</v>
      </c>
      <c r="C2917" s="2031">
        <v>350.0</v>
      </c>
      <c r="D2917" s="2031">
        <v>699.0</v>
      </c>
      <c r="E2917" s="2031">
        <v>466.0</v>
      </c>
      <c r="F2917" s="2031">
        <v>466.0</v>
      </c>
      <c r="G2917" s="2031">
        <v>467.0</v>
      </c>
      <c r="H2917" s="2031">
        <v>467.0</v>
      </c>
    </row>
    <row r="2918">
      <c r="B2918" s="2031">
        <v>2916.0</v>
      </c>
      <c r="C2918" s="2031">
        <v>350.0</v>
      </c>
      <c r="D2918" s="2031">
        <v>700.0</v>
      </c>
      <c r="E2918" s="2031">
        <v>466.0</v>
      </c>
      <c r="F2918" s="2031">
        <v>466.0</v>
      </c>
      <c r="G2918" s="2031">
        <v>467.0</v>
      </c>
      <c r="H2918" s="2031">
        <v>467.0</v>
      </c>
    </row>
    <row r="2919">
      <c r="B2919" s="2031">
        <v>2917.0</v>
      </c>
      <c r="C2919" s="2031">
        <v>350.0</v>
      </c>
      <c r="D2919" s="2031">
        <v>701.0</v>
      </c>
      <c r="E2919" s="2031">
        <v>466.0</v>
      </c>
      <c r="F2919" s="2031">
        <v>466.0</v>
      </c>
      <c r="G2919" s="2031">
        <v>467.0</v>
      </c>
      <c r="H2919" s="2031">
        <v>467.0</v>
      </c>
    </row>
    <row r="2920">
      <c r="B2920" s="2031">
        <v>2918.0</v>
      </c>
      <c r="C2920" s="2031">
        <v>350.0</v>
      </c>
      <c r="D2920" s="2031">
        <v>700.0</v>
      </c>
      <c r="E2920" s="2031">
        <v>467.0</v>
      </c>
      <c r="F2920" s="2031">
        <v>467.0</v>
      </c>
      <c r="G2920" s="2031">
        <v>467.0</v>
      </c>
      <c r="H2920" s="2031">
        <v>467.0</v>
      </c>
    </row>
    <row r="2921">
      <c r="B2921" s="2031">
        <v>2919.0</v>
      </c>
      <c r="C2921" s="2031">
        <v>350.0</v>
      </c>
      <c r="D2921" s="2031">
        <v>701.0</v>
      </c>
      <c r="E2921" s="2031">
        <v>467.0</v>
      </c>
      <c r="F2921" s="2031">
        <v>467.0</v>
      </c>
      <c r="G2921" s="2031">
        <v>467.0</v>
      </c>
      <c r="H2921" s="2031">
        <v>467.0</v>
      </c>
    </row>
    <row r="2922">
      <c r="B2922" s="2031">
        <v>2920.0</v>
      </c>
      <c r="C2922" s="2031">
        <v>351.0</v>
      </c>
      <c r="D2922" s="2031">
        <v>701.0</v>
      </c>
      <c r="E2922" s="2031">
        <v>467.0</v>
      </c>
      <c r="F2922" s="2031">
        <v>467.0</v>
      </c>
      <c r="G2922" s="2031">
        <v>467.0</v>
      </c>
      <c r="H2922" s="2031">
        <v>467.0</v>
      </c>
    </row>
    <row r="2923">
      <c r="B2923" s="2031">
        <v>2921.0</v>
      </c>
      <c r="C2923" s="2031">
        <v>350.0</v>
      </c>
      <c r="D2923" s="2031">
        <v>701.0</v>
      </c>
      <c r="E2923" s="2031">
        <v>467.0</v>
      </c>
      <c r="F2923" s="2031">
        <v>467.0</v>
      </c>
      <c r="G2923" s="2031">
        <v>468.0</v>
      </c>
      <c r="H2923" s="2031">
        <v>468.0</v>
      </c>
    </row>
    <row r="2924">
      <c r="B2924" s="2031">
        <v>2922.0</v>
      </c>
      <c r="C2924" s="2031">
        <v>351.0</v>
      </c>
      <c r="D2924" s="2031">
        <v>701.0</v>
      </c>
      <c r="E2924" s="2031">
        <v>467.0</v>
      </c>
      <c r="F2924" s="2031">
        <v>467.0</v>
      </c>
      <c r="G2924" s="2031">
        <v>468.0</v>
      </c>
      <c r="H2924" s="2031">
        <v>468.0</v>
      </c>
    </row>
    <row r="2925">
      <c r="B2925" s="2031">
        <v>2923.0</v>
      </c>
      <c r="C2925" s="2031">
        <v>350.0</v>
      </c>
      <c r="D2925" s="2031">
        <v>701.0</v>
      </c>
      <c r="E2925" s="2031">
        <v>468.0</v>
      </c>
      <c r="F2925" s="2031">
        <v>468.0</v>
      </c>
      <c r="G2925" s="2031">
        <v>468.0</v>
      </c>
      <c r="H2925" s="2031">
        <v>468.0</v>
      </c>
    </row>
    <row r="2926">
      <c r="B2926" s="2031">
        <v>2924.0</v>
      </c>
      <c r="C2926" s="2031">
        <v>351.0</v>
      </c>
      <c r="D2926" s="2031">
        <v>701.0</v>
      </c>
      <c r="E2926" s="2031">
        <v>468.0</v>
      </c>
      <c r="F2926" s="2031">
        <v>468.0</v>
      </c>
      <c r="G2926" s="2031">
        <v>468.0</v>
      </c>
      <c r="H2926" s="2031">
        <v>468.0</v>
      </c>
    </row>
    <row r="2927">
      <c r="B2927" s="2031">
        <v>2925.0</v>
      </c>
      <c r="C2927" s="2031">
        <v>351.0</v>
      </c>
      <c r="D2927" s="2031">
        <v>702.0</v>
      </c>
      <c r="E2927" s="2031">
        <v>468.0</v>
      </c>
      <c r="F2927" s="2031">
        <v>468.0</v>
      </c>
      <c r="G2927" s="2031">
        <v>468.0</v>
      </c>
      <c r="H2927" s="2031">
        <v>468.0</v>
      </c>
    </row>
    <row r="2928">
      <c r="B2928" s="2031">
        <v>2926.0</v>
      </c>
      <c r="C2928" s="2031">
        <v>351.0</v>
      </c>
      <c r="D2928" s="2031">
        <v>703.0</v>
      </c>
      <c r="E2928" s="2031">
        <v>468.0</v>
      </c>
      <c r="F2928" s="2031">
        <v>468.0</v>
      </c>
      <c r="G2928" s="2031">
        <v>468.0</v>
      </c>
      <c r="H2928" s="2031">
        <v>468.0</v>
      </c>
    </row>
    <row r="2929">
      <c r="B2929" s="2031">
        <v>2927.0</v>
      </c>
      <c r="C2929" s="2031">
        <v>352.0</v>
      </c>
      <c r="D2929" s="2031">
        <v>703.0</v>
      </c>
      <c r="E2929" s="2031">
        <v>468.0</v>
      </c>
      <c r="F2929" s="2031">
        <v>468.0</v>
      </c>
      <c r="G2929" s="2031">
        <v>468.0</v>
      </c>
      <c r="H2929" s="2031">
        <v>468.0</v>
      </c>
    </row>
    <row r="2930">
      <c r="B2930" s="2031">
        <v>2928.0</v>
      </c>
      <c r="C2930" s="2031">
        <v>351.0</v>
      </c>
      <c r="D2930" s="2031">
        <v>703.0</v>
      </c>
      <c r="E2930" s="2031">
        <v>468.0</v>
      </c>
      <c r="F2930" s="2031">
        <v>468.0</v>
      </c>
      <c r="G2930" s="2031">
        <v>469.0</v>
      </c>
      <c r="H2930" s="2031">
        <v>469.0</v>
      </c>
    </row>
    <row r="2931">
      <c r="B2931" s="2031">
        <v>2929.0</v>
      </c>
      <c r="C2931" s="2031">
        <v>352.0</v>
      </c>
      <c r="D2931" s="2031">
        <v>703.0</v>
      </c>
      <c r="E2931" s="2031">
        <v>468.0</v>
      </c>
      <c r="F2931" s="2031">
        <v>468.0</v>
      </c>
      <c r="G2931" s="2031">
        <v>469.0</v>
      </c>
      <c r="H2931" s="2031">
        <v>469.0</v>
      </c>
    </row>
    <row r="2932">
      <c r="B2932" s="2031">
        <v>2930.0</v>
      </c>
      <c r="C2932" s="2031">
        <v>351.0</v>
      </c>
      <c r="D2932" s="2031">
        <v>703.0</v>
      </c>
      <c r="E2932" s="2031">
        <v>469.0</v>
      </c>
      <c r="F2932" s="2031">
        <v>469.0</v>
      </c>
      <c r="G2932" s="2031">
        <v>469.0</v>
      </c>
      <c r="H2932" s="2031">
        <v>469.0</v>
      </c>
    </row>
    <row r="2933">
      <c r="B2933" s="2031">
        <v>2931.0</v>
      </c>
      <c r="C2933" s="2031">
        <v>352.0</v>
      </c>
      <c r="D2933" s="2031">
        <v>703.0</v>
      </c>
      <c r="E2933" s="2031">
        <v>469.0</v>
      </c>
      <c r="F2933" s="2031">
        <v>469.0</v>
      </c>
      <c r="G2933" s="2031">
        <v>469.0</v>
      </c>
      <c r="H2933" s="2031">
        <v>469.0</v>
      </c>
    </row>
    <row r="2934">
      <c r="B2934" s="2031">
        <v>2932.0</v>
      </c>
      <c r="C2934" s="2031">
        <v>352.0</v>
      </c>
      <c r="D2934" s="2031">
        <v>704.0</v>
      </c>
      <c r="E2934" s="2031">
        <v>469.0</v>
      </c>
      <c r="F2934" s="2031">
        <v>469.0</v>
      </c>
      <c r="G2934" s="2031">
        <v>469.0</v>
      </c>
      <c r="H2934" s="2031">
        <v>469.0</v>
      </c>
    </row>
    <row r="2935">
      <c r="B2935" s="2031">
        <v>2933.0</v>
      </c>
      <c r="C2935" s="2031">
        <v>352.0</v>
      </c>
      <c r="D2935" s="2031">
        <v>703.0</v>
      </c>
      <c r="E2935" s="2031">
        <v>469.0</v>
      </c>
      <c r="F2935" s="2031">
        <v>469.0</v>
      </c>
      <c r="G2935" s="2031">
        <v>470.0</v>
      </c>
      <c r="H2935" s="2031">
        <v>470.0</v>
      </c>
    </row>
    <row r="2936">
      <c r="B2936" s="2031">
        <v>2934.0</v>
      </c>
      <c r="C2936" s="2031">
        <v>352.0</v>
      </c>
      <c r="D2936" s="2031">
        <v>704.0</v>
      </c>
      <c r="E2936" s="2031">
        <v>469.0</v>
      </c>
      <c r="F2936" s="2031">
        <v>469.0</v>
      </c>
      <c r="G2936" s="2031">
        <v>470.0</v>
      </c>
      <c r="H2936" s="2031">
        <v>470.0</v>
      </c>
    </row>
    <row r="2937">
      <c r="B2937" s="2031">
        <v>2935.0</v>
      </c>
      <c r="C2937" s="2031">
        <v>352.0</v>
      </c>
      <c r="D2937" s="2031">
        <v>705.0</v>
      </c>
      <c r="E2937" s="2031">
        <v>469.0</v>
      </c>
      <c r="F2937" s="2031">
        <v>469.0</v>
      </c>
      <c r="G2937" s="2031">
        <v>470.0</v>
      </c>
      <c r="H2937" s="2031">
        <v>470.0</v>
      </c>
    </row>
    <row r="2938">
      <c r="B2938" s="2031">
        <v>2936.0</v>
      </c>
      <c r="C2938" s="2031">
        <v>352.0</v>
      </c>
      <c r="D2938" s="2031">
        <v>704.0</v>
      </c>
      <c r="E2938" s="2031">
        <v>470.0</v>
      </c>
      <c r="F2938" s="2031">
        <v>470.0</v>
      </c>
      <c r="G2938" s="2031">
        <v>470.0</v>
      </c>
      <c r="H2938" s="2031">
        <v>470.0</v>
      </c>
    </row>
    <row r="2939">
      <c r="B2939" s="2031">
        <v>2937.0</v>
      </c>
      <c r="C2939" s="2031">
        <v>352.0</v>
      </c>
      <c r="D2939" s="2031">
        <v>705.0</v>
      </c>
      <c r="E2939" s="2031">
        <v>470.0</v>
      </c>
      <c r="F2939" s="2031">
        <v>470.0</v>
      </c>
      <c r="G2939" s="2031">
        <v>470.0</v>
      </c>
      <c r="H2939" s="2031">
        <v>470.0</v>
      </c>
    </row>
    <row r="2940">
      <c r="B2940" s="2031">
        <v>2938.0</v>
      </c>
      <c r="C2940" s="2031">
        <v>353.0</v>
      </c>
      <c r="D2940" s="2031">
        <v>705.0</v>
      </c>
      <c r="E2940" s="2031">
        <v>470.0</v>
      </c>
      <c r="F2940" s="2031">
        <v>470.0</v>
      </c>
      <c r="G2940" s="2031">
        <v>470.0</v>
      </c>
      <c r="H2940" s="2031">
        <v>470.0</v>
      </c>
    </row>
    <row r="2941">
      <c r="B2941" s="2031">
        <v>2939.0</v>
      </c>
      <c r="C2941" s="2031">
        <v>353.0</v>
      </c>
      <c r="D2941" s="2031">
        <v>706.0</v>
      </c>
      <c r="E2941" s="2031">
        <v>470.0</v>
      </c>
      <c r="F2941" s="2031">
        <v>470.0</v>
      </c>
      <c r="G2941" s="2031">
        <v>470.0</v>
      </c>
      <c r="H2941" s="2031">
        <v>470.0</v>
      </c>
    </row>
    <row r="2942">
      <c r="B2942" s="2031">
        <v>2940.0</v>
      </c>
      <c r="C2942" s="2031">
        <v>353.0</v>
      </c>
      <c r="D2942" s="2031">
        <v>705.0</v>
      </c>
      <c r="E2942" s="2031">
        <v>470.0</v>
      </c>
      <c r="F2942" s="2031">
        <v>470.0</v>
      </c>
      <c r="G2942" s="2031">
        <v>471.0</v>
      </c>
      <c r="H2942" s="2031">
        <v>471.0</v>
      </c>
    </row>
    <row r="2943">
      <c r="B2943" s="2031">
        <v>2941.0</v>
      </c>
      <c r="C2943" s="2031">
        <v>353.0</v>
      </c>
      <c r="D2943" s="2031">
        <v>706.0</v>
      </c>
      <c r="E2943" s="2031">
        <v>470.0</v>
      </c>
      <c r="F2943" s="2031">
        <v>470.0</v>
      </c>
      <c r="G2943" s="2031">
        <v>471.0</v>
      </c>
      <c r="H2943" s="2031">
        <v>471.0</v>
      </c>
    </row>
    <row r="2944">
      <c r="B2944" s="2031">
        <v>2942.0</v>
      </c>
      <c r="C2944" s="2031">
        <v>353.0</v>
      </c>
      <c r="D2944" s="2031">
        <v>707.0</v>
      </c>
      <c r="E2944" s="2031">
        <v>470.0</v>
      </c>
      <c r="F2944" s="2031">
        <v>470.0</v>
      </c>
      <c r="G2944" s="2031">
        <v>471.0</v>
      </c>
      <c r="H2944" s="2031">
        <v>471.0</v>
      </c>
    </row>
    <row r="2945">
      <c r="B2945" s="2031">
        <v>2943.0</v>
      </c>
      <c r="C2945" s="2031">
        <v>353.0</v>
      </c>
      <c r="D2945" s="2031">
        <v>706.0</v>
      </c>
      <c r="E2945" s="2031">
        <v>471.0</v>
      </c>
      <c r="F2945" s="2031">
        <v>471.0</v>
      </c>
      <c r="G2945" s="2031">
        <v>471.0</v>
      </c>
      <c r="H2945" s="2031">
        <v>471.0</v>
      </c>
    </row>
    <row r="2946">
      <c r="B2946" s="2031">
        <v>2944.0</v>
      </c>
      <c r="C2946" s="2031">
        <v>353.0</v>
      </c>
      <c r="D2946" s="2031">
        <v>707.0</v>
      </c>
      <c r="E2946" s="2031">
        <v>471.0</v>
      </c>
      <c r="F2946" s="2031">
        <v>471.0</v>
      </c>
      <c r="G2946" s="2031">
        <v>471.0</v>
      </c>
      <c r="H2946" s="2031">
        <v>471.0</v>
      </c>
    </row>
    <row r="2947">
      <c r="B2947" s="2031">
        <v>2945.0</v>
      </c>
      <c r="C2947" s="2031">
        <v>354.0</v>
      </c>
      <c r="D2947" s="2031">
        <v>707.0</v>
      </c>
      <c r="E2947" s="2031">
        <v>471.0</v>
      </c>
      <c r="F2947" s="2031">
        <v>471.0</v>
      </c>
      <c r="G2947" s="2031">
        <v>471.0</v>
      </c>
      <c r="H2947" s="2031">
        <v>471.0</v>
      </c>
    </row>
    <row r="2948">
      <c r="B2948" s="2031">
        <v>2946.0</v>
      </c>
      <c r="C2948" s="2031">
        <v>353.0</v>
      </c>
      <c r="D2948" s="2031">
        <v>707.0</v>
      </c>
      <c r="E2948" s="2031">
        <v>471.0</v>
      </c>
      <c r="F2948" s="2031">
        <v>471.0</v>
      </c>
      <c r="G2948" s="2031">
        <v>472.0</v>
      </c>
      <c r="H2948" s="2031">
        <v>472.0</v>
      </c>
    </row>
    <row r="2949">
      <c r="B2949" s="2031">
        <v>2947.0</v>
      </c>
      <c r="C2949" s="2031">
        <v>354.0</v>
      </c>
      <c r="D2949" s="2031">
        <v>707.0</v>
      </c>
      <c r="E2949" s="2031">
        <v>471.0</v>
      </c>
      <c r="F2949" s="2031">
        <v>471.0</v>
      </c>
      <c r="G2949" s="2031">
        <v>472.0</v>
      </c>
      <c r="H2949" s="2031">
        <v>472.0</v>
      </c>
    </row>
    <row r="2950">
      <c r="B2950" s="2031">
        <v>2948.0</v>
      </c>
      <c r="C2950" s="2031">
        <v>353.0</v>
      </c>
      <c r="D2950" s="2031">
        <v>707.0</v>
      </c>
      <c r="E2950" s="2031">
        <v>472.0</v>
      </c>
      <c r="F2950" s="2031">
        <v>472.0</v>
      </c>
      <c r="G2950" s="2031">
        <v>472.0</v>
      </c>
      <c r="H2950" s="2031">
        <v>472.0</v>
      </c>
    </row>
    <row r="2951">
      <c r="B2951" s="2031">
        <v>2949.0</v>
      </c>
      <c r="C2951" s="2031">
        <v>354.0</v>
      </c>
      <c r="D2951" s="2031">
        <v>707.0</v>
      </c>
      <c r="E2951" s="2031">
        <v>472.0</v>
      </c>
      <c r="F2951" s="2031">
        <v>472.0</v>
      </c>
      <c r="G2951" s="2031">
        <v>472.0</v>
      </c>
      <c r="H2951" s="2031">
        <v>472.0</v>
      </c>
    </row>
    <row r="2952">
      <c r="B2952" s="2031">
        <v>2950.0</v>
      </c>
      <c r="C2952" s="2031">
        <v>354.0</v>
      </c>
      <c r="D2952" s="2031">
        <v>708.0</v>
      </c>
      <c r="E2952" s="2031">
        <v>472.0</v>
      </c>
      <c r="F2952" s="2031">
        <v>472.0</v>
      </c>
      <c r="G2952" s="2031">
        <v>472.0</v>
      </c>
      <c r="H2952" s="2031">
        <v>472.0</v>
      </c>
    </row>
    <row r="2953">
      <c r="B2953" s="2031">
        <v>2951.0</v>
      </c>
      <c r="C2953" s="2031">
        <v>354.0</v>
      </c>
      <c r="D2953" s="2031">
        <v>709.0</v>
      </c>
      <c r="E2953" s="2031">
        <v>472.0</v>
      </c>
      <c r="F2953" s="2031">
        <v>472.0</v>
      </c>
      <c r="G2953" s="2031">
        <v>472.0</v>
      </c>
      <c r="H2953" s="2031">
        <v>472.0</v>
      </c>
    </row>
    <row r="2954">
      <c r="B2954" s="2031">
        <v>2952.0</v>
      </c>
      <c r="C2954" s="2031">
        <v>355.0</v>
      </c>
      <c r="D2954" s="2031">
        <v>709.0</v>
      </c>
      <c r="E2954" s="2031">
        <v>472.0</v>
      </c>
      <c r="F2954" s="2031">
        <v>472.0</v>
      </c>
      <c r="G2954" s="2031">
        <v>472.0</v>
      </c>
      <c r="H2954" s="2031">
        <v>472.0</v>
      </c>
    </row>
    <row r="2955">
      <c r="B2955" s="2031">
        <v>2953.0</v>
      </c>
      <c r="C2955" s="2031">
        <v>354.0</v>
      </c>
      <c r="D2955" s="2031">
        <v>709.0</v>
      </c>
      <c r="E2955" s="2031">
        <v>472.0</v>
      </c>
      <c r="F2955" s="2031">
        <v>472.0</v>
      </c>
      <c r="G2955" s="2031">
        <v>473.0</v>
      </c>
      <c r="H2955" s="2031">
        <v>473.0</v>
      </c>
    </row>
    <row r="2956">
      <c r="B2956" s="2031">
        <v>2954.0</v>
      </c>
      <c r="C2956" s="2031">
        <v>355.0</v>
      </c>
      <c r="D2956" s="2031">
        <v>709.0</v>
      </c>
      <c r="E2956" s="2031">
        <v>472.0</v>
      </c>
      <c r="F2956" s="2031">
        <v>472.0</v>
      </c>
      <c r="G2956" s="2031">
        <v>473.0</v>
      </c>
      <c r="H2956" s="2031">
        <v>473.0</v>
      </c>
    </row>
    <row r="2957">
      <c r="B2957" s="2031">
        <v>2955.0</v>
      </c>
      <c r="C2957" s="2031">
        <v>354.0</v>
      </c>
      <c r="D2957" s="2031">
        <v>709.0</v>
      </c>
      <c r="E2957" s="2031">
        <v>473.0</v>
      </c>
      <c r="F2957" s="2031">
        <v>473.0</v>
      </c>
      <c r="G2957" s="2031">
        <v>473.0</v>
      </c>
      <c r="H2957" s="2031">
        <v>473.0</v>
      </c>
    </row>
    <row r="2958">
      <c r="B2958" s="2031">
        <v>2956.0</v>
      </c>
      <c r="C2958" s="2031">
        <v>355.0</v>
      </c>
      <c r="D2958" s="2031">
        <v>709.0</v>
      </c>
      <c r="E2958" s="2031">
        <v>473.0</v>
      </c>
      <c r="F2958" s="2031">
        <v>473.0</v>
      </c>
      <c r="G2958" s="2031">
        <v>473.0</v>
      </c>
      <c r="H2958" s="2031">
        <v>473.0</v>
      </c>
    </row>
    <row r="2959">
      <c r="B2959" s="2031">
        <v>2957.0</v>
      </c>
      <c r="C2959" s="2031">
        <v>355.0</v>
      </c>
      <c r="D2959" s="2031">
        <v>710.0</v>
      </c>
      <c r="E2959" s="2031">
        <v>473.0</v>
      </c>
      <c r="F2959" s="2031">
        <v>473.0</v>
      </c>
      <c r="G2959" s="2031">
        <v>473.0</v>
      </c>
      <c r="H2959" s="2031">
        <v>473.0</v>
      </c>
    </row>
    <row r="2960">
      <c r="B2960" s="2031">
        <v>2958.0</v>
      </c>
      <c r="C2960" s="2031">
        <v>355.0</v>
      </c>
      <c r="D2960" s="2031">
        <v>709.0</v>
      </c>
      <c r="E2960" s="2031">
        <v>473.0</v>
      </c>
      <c r="F2960" s="2031">
        <v>473.0</v>
      </c>
      <c r="G2960" s="2031">
        <v>474.0</v>
      </c>
      <c r="H2960" s="2031">
        <v>474.0</v>
      </c>
    </row>
    <row r="2961">
      <c r="B2961" s="2031">
        <v>2959.0</v>
      </c>
      <c r="C2961" s="2031">
        <v>355.0</v>
      </c>
      <c r="D2961" s="2031">
        <v>710.0</v>
      </c>
      <c r="E2961" s="2031">
        <v>473.0</v>
      </c>
      <c r="F2961" s="2031">
        <v>473.0</v>
      </c>
      <c r="G2961" s="2031">
        <v>474.0</v>
      </c>
      <c r="H2961" s="2031">
        <v>474.0</v>
      </c>
    </row>
    <row r="2962">
      <c r="B2962" s="2031">
        <v>2960.0</v>
      </c>
      <c r="C2962" s="2031">
        <v>355.0</v>
      </c>
      <c r="D2962" s="2031">
        <v>711.0</v>
      </c>
      <c r="E2962" s="2031">
        <v>473.0</v>
      </c>
      <c r="F2962" s="2031">
        <v>473.0</v>
      </c>
      <c r="G2962" s="2031">
        <v>474.0</v>
      </c>
      <c r="H2962" s="2031">
        <v>474.0</v>
      </c>
    </row>
    <row r="2963">
      <c r="B2963" s="2031">
        <v>2961.0</v>
      </c>
      <c r="C2963" s="2031">
        <v>355.0</v>
      </c>
      <c r="D2963" s="2031">
        <v>710.0</v>
      </c>
      <c r="E2963" s="2031">
        <v>474.0</v>
      </c>
      <c r="F2963" s="2031">
        <v>474.0</v>
      </c>
      <c r="G2963" s="2031">
        <v>474.0</v>
      </c>
      <c r="H2963" s="2031">
        <v>474.0</v>
      </c>
    </row>
    <row r="2964">
      <c r="B2964" s="2031">
        <v>2962.0</v>
      </c>
      <c r="C2964" s="2031">
        <v>355.0</v>
      </c>
      <c r="D2964" s="2031">
        <v>711.0</v>
      </c>
      <c r="E2964" s="2031">
        <v>474.0</v>
      </c>
      <c r="F2964" s="2031">
        <v>474.0</v>
      </c>
      <c r="G2964" s="2031">
        <v>474.0</v>
      </c>
      <c r="H2964" s="2031">
        <v>474.0</v>
      </c>
    </row>
    <row r="2965">
      <c r="B2965" s="2031">
        <v>2963.0</v>
      </c>
      <c r="C2965" s="2031">
        <v>356.0</v>
      </c>
      <c r="D2965" s="2031">
        <v>711.0</v>
      </c>
      <c r="E2965" s="2031">
        <v>474.0</v>
      </c>
      <c r="F2965" s="2031">
        <v>474.0</v>
      </c>
      <c r="G2965" s="2031">
        <v>474.0</v>
      </c>
      <c r="H2965" s="2031">
        <v>474.0</v>
      </c>
    </row>
    <row r="2966">
      <c r="B2966" s="2031">
        <v>2964.0</v>
      </c>
      <c r="C2966" s="2031">
        <v>356.0</v>
      </c>
      <c r="D2966" s="2031">
        <v>712.0</v>
      </c>
      <c r="E2966" s="2031">
        <v>474.0</v>
      </c>
      <c r="F2966" s="2031">
        <v>474.0</v>
      </c>
      <c r="G2966" s="2031">
        <v>474.0</v>
      </c>
      <c r="H2966" s="2031">
        <v>474.0</v>
      </c>
    </row>
    <row r="2967">
      <c r="B2967" s="2031">
        <v>2965.0</v>
      </c>
      <c r="C2967" s="2031">
        <v>356.0</v>
      </c>
      <c r="D2967" s="2031">
        <v>711.0</v>
      </c>
      <c r="E2967" s="2031">
        <v>474.0</v>
      </c>
      <c r="F2967" s="2031">
        <v>474.0</v>
      </c>
      <c r="G2967" s="2031">
        <v>475.0</v>
      </c>
      <c r="H2967" s="2031">
        <v>475.0</v>
      </c>
    </row>
    <row r="2968">
      <c r="B2968" s="2031">
        <v>2966.0</v>
      </c>
      <c r="C2968" s="2031">
        <v>356.0</v>
      </c>
      <c r="D2968" s="2031">
        <v>712.0</v>
      </c>
      <c r="E2968" s="2031">
        <v>474.0</v>
      </c>
      <c r="F2968" s="2031">
        <v>474.0</v>
      </c>
      <c r="G2968" s="2031">
        <v>475.0</v>
      </c>
      <c r="H2968" s="2031">
        <v>475.0</v>
      </c>
    </row>
    <row r="2969">
      <c r="B2969" s="2031">
        <v>2967.0</v>
      </c>
      <c r="C2969" s="2031">
        <v>356.0</v>
      </c>
      <c r="D2969" s="2031">
        <v>713.0</v>
      </c>
      <c r="E2969" s="2031">
        <v>474.0</v>
      </c>
      <c r="F2969" s="2031">
        <v>474.0</v>
      </c>
      <c r="G2969" s="2031">
        <v>475.0</v>
      </c>
      <c r="H2969" s="2031">
        <v>475.0</v>
      </c>
    </row>
    <row r="2970">
      <c r="B2970" s="2031">
        <v>2968.0</v>
      </c>
      <c r="C2970" s="2031">
        <v>356.0</v>
      </c>
      <c r="D2970" s="2031">
        <v>712.0</v>
      </c>
      <c r="E2970" s="2031">
        <v>475.0</v>
      </c>
      <c r="F2970" s="2031">
        <v>475.0</v>
      </c>
      <c r="G2970" s="2031">
        <v>475.0</v>
      </c>
      <c r="H2970" s="2031">
        <v>475.0</v>
      </c>
    </row>
    <row r="2971">
      <c r="B2971" s="2031">
        <v>2969.0</v>
      </c>
      <c r="C2971" s="2031">
        <v>356.0</v>
      </c>
      <c r="D2971" s="2031">
        <v>713.0</v>
      </c>
      <c r="E2971" s="2031">
        <v>475.0</v>
      </c>
      <c r="F2971" s="2031">
        <v>475.0</v>
      </c>
      <c r="G2971" s="2031">
        <v>475.0</v>
      </c>
      <c r="H2971" s="2031">
        <v>475.0</v>
      </c>
    </row>
    <row r="2972">
      <c r="B2972" s="2031">
        <v>2970.0</v>
      </c>
      <c r="C2972" s="2031">
        <v>357.0</v>
      </c>
      <c r="D2972" s="2031">
        <v>713.0</v>
      </c>
      <c r="E2972" s="2031">
        <v>475.0</v>
      </c>
      <c r="F2972" s="2031">
        <v>475.0</v>
      </c>
      <c r="G2972" s="2031">
        <v>475.0</v>
      </c>
      <c r="H2972" s="2031">
        <v>475.0</v>
      </c>
    </row>
    <row r="2973">
      <c r="B2973" s="2031">
        <v>2971.0</v>
      </c>
      <c r="C2973" s="2031">
        <v>356.0</v>
      </c>
      <c r="D2973" s="2031">
        <v>713.0</v>
      </c>
      <c r="E2973" s="2031">
        <v>475.0</v>
      </c>
      <c r="F2973" s="2031">
        <v>475.0</v>
      </c>
      <c r="G2973" s="2031">
        <v>476.0</v>
      </c>
      <c r="H2973" s="2031">
        <v>476.0</v>
      </c>
    </row>
    <row r="2974">
      <c r="B2974" s="2031">
        <v>2972.0</v>
      </c>
      <c r="C2974" s="2031">
        <v>357.0</v>
      </c>
      <c r="D2974" s="2031">
        <v>713.0</v>
      </c>
      <c r="E2974" s="2031">
        <v>475.0</v>
      </c>
      <c r="F2974" s="2031">
        <v>475.0</v>
      </c>
      <c r="G2974" s="2031">
        <v>476.0</v>
      </c>
      <c r="H2974" s="2031">
        <v>476.0</v>
      </c>
    </row>
    <row r="2975">
      <c r="B2975" s="2031">
        <v>2973.0</v>
      </c>
      <c r="C2975" s="2031">
        <v>356.0</v>
      </c>
      <c r="D2975" s="2031">
        <v>713.0</v>
      </c>
      <c r="E2975" s="2031">
        <v>476.0</v>
      </c>
      <c r="F2975" s="2031">
        <v>476.0</v>
      </c>
      <c r="G2975" s="2031">
        <v>476.0</v>
      </c>
      <c r="H2975" s="2031">
        <v>476.0</v>
      </c>
    </row>
    <row r="2976">
      <c r="B2976" s="2031">
        <v>2974.0</v>
      </c>
      <c r="C2976" s="2031">
        <v>357.0</v>
      </c>
      <c r="D2976" s="2031">
        <v>713.0</v>
      </c>
      <c r="E2976" s="2031">
        <v>476.0</v>
      </c>
      <c r="F2976" s="2031">
        <v>476.0</v>
      </c>
      <c r="G2976" s="2031">
        <v>476.0</v>
      </c>
      <c r="H2976" s="2031">
        <v>476.0</v>
      </c>
    </row>
    <row r="2977">
      <c r="B2977" s="2031">
        <v>2975.0</v>
      </c>
      <c r="C2977" s="2031">
        <v>357.0</v>
      </c>
      <c r="D2977" s="2031">
        <v>714.0</v>
      </c>
      <c r="E2977" s="2031">
        <v>476.0</v>
      </c>
      <c r="F2977" s="2031">
        <v>476.0</v>
      </c>
      <c r="G2977" s="2031">
        <v>476.0</v>
      </c>
      <c r="H2977" s="2031">
        <v>476.0</v>
      </c>
    </row>
    <row r="2978">
      <c r="B2978" s="2031">
        <v>2976.0</v>
      </c>
      <c r="C2978" s="2031">
        <v>357.0</v>
      </c>
      <c r="D2978" s="2031">
        <v>715.0</v>
      </c>
      <c r="E2978" s="2031">
        <v>476.0</v>
      </c>
      <c r="F2978" s="2031">
        <v>476.0</v>
      </c>
      <c r="G2978" s="2031">
        <v>476.0</v>
      </c>
      <c r="H2978" s="2031">
        <v>476.0</v>
      </c>
    </row>
    <row r="2979">
      <c r="B2979" s="2031">
        <v>2977.0</v>
      </c>
      <c r="C2979" s="2031">
        <v>358.0</v>
      </c>
      <c r="D2979" s="2031">
        <v>715.0</v>
      </c>
      <c r="E2979" s="2031">
        <v>476.0</v>
      </c>
      <c r="F2979" s="2031">
        <v>476.0</v>
      </c>
      <c r="G2979" s="2031">
        <v>476.0</v>
      </c>
      <c r="H2979" s="2031">
        <v>476.0</v>
      </c>
    </row>
    <row r="2980">
      <c r="B2980" s="2031">
        <v>2978.0</v>
      </c>
      <c r="C2980" s="2031">
        <v>357.0</v>
      </c>
      <c r="D2980" s="2031">
        <v>715.0</v>
      </c>
      <c r="E2980" s="2031">
        <v>476.0</v>
      </c>
      <c r="F2980" s="2031">
        <v>476.0</v>
      </c>
      <c r="G2980" s="2031">
        <v>477.0</v>
      </c>
      <c r="H2980" s="2031">
        <v>477.0</v>
      </c>
    </row>
    <row r="2981">
      <c r="B2981" s="2031">
        <v>2979.0</v>
      </c>
      <c r="C2981" s="2031">
        <v>358.0</v>
      </c>
      <c r="D2981" s="2031">
        <v>715.0</v>
      </c>
      <c r="E2981" s="2031">
        <v>476.0</v>
      </c>
      <c r="F2981" s="2031">
        <v>476.0</v>
      </c>
      <c r="G2981" s="2031">
        <v>477.0</v>
      </c>
      <c r="H2981" s="2031">
        <v>477.0</v>
      </c>
    </row>
    <row r="2982">
      <c r="B2982" s="2031">
        <v>2980.0</v>
      </c>
      <c r="C2982" s="2031">
        <v>357.0</v>
      </c>
      <c r="D2982" s="2031">
        <v>715.0</v>
      </c>
      <c r="E2982" s="2031">
        <v>477.0</v>
      </c>
      <c r="F2982" s="2031">
        <v>477.0</v>
      </c>
      <c r="G2982" s="2031">
        <v>477.0</v>
      </c>
      <c r="H2982" s="2031">
        <v>477.0</v>
      </c>
    </row>
    <row r="2983">
      <c r="B2983" s="2031">
        <v>2981.0</v>
      </c>
      <c r="C2983" s="2031">
        <v>358.0</v>
      </c>
      <c r="D2983" s="2031">
        <v>715.0</v>
      </c>
      <c r="E2983" s="2031">
        <v>477.0</v>
      </c>
      <c r="F2983" s="2031">
        <v>477.0</v>
      </c>
      <c r="G2983" s="2031">
        <v>477.0</v>
      </c>
      <c r="H2983" s="2031">
        <v>477.0</v>
      </c>
    </row>
    <row r="2984">
      <c r="B2984" s="2031">
        <v>2982.0</v>
      </c>
      <c r="C2984" s="2031">
        <v>358.0</v>
      </c>
      <c r="D2984" s="2031">
        <v>716.0</v>
      </c>
      <c r="E2984" s="2031">
        <v>477.0</v>
      </c>
      <c r="F2984" s="2031">
        <v>477.0</v>
      </c>
      <c r="G2984" s="2031">
        <v>477.0</v>
      </c>
      <c r="H2984" s="2031">
        <v>477.0</v>
      </c>
    </row>
    <row r="2985">
      <c r="B2985" s="2031">
        <v>2983.0</v>
      </c>
      <c r="C2985" s="2031">
        <v>358.0</v>
      </c>
      <c r="D2985" s="2031">
        <v>715.0</v>
      </c>
      <c r="E2985" s="2031">
        <v>477.0</v>
      </c>
      <c r="F2985" s="2031">
        <v>477.0</v>
      </c>
      <c r="G2985" s="2031">
        <v>478.0</v>
      </c>
      <c r="H2985" s="2031">
        <v>478.0</v>
      </c>
    </row>
    <row r="2986">
      <c r="B2986" s="2031">
        <v>2984.0</v>
      </c>
      <c r="C2986" s="2031">
        <v>358.0</v>
      </c>
      <c r="D2986" s="2031">
        <v>716.0</v>
      </c>
      <c r="E2986" s="2031">
        <v>477.0</v>
      </c>
      <c r="F2986" s="2031">
        <v>477.0</v>
      </c>
      <c r="G2986" s="2031">
        <v>478.0</v>
      </c>
      <c r="H2986" s="2031">
        <v>478.0</v>
      </c>
    </row>
    <row r="2987">
      <c r="B2987" s="2031">
        <v>2985.0</v>
      </c>
      <c r="C2987" s="2031">
        <v>358.0</v>
      </c>
      <c r="D2987" s="2031">
        <v>717.0</v>
      </c>
      <c r="E2987" s="2031">
        <v>477.0</v>
      </c>
      <c r="F2987" s="2031">
        <v>477.0</v>
      </c>
      <c r="G2987" s="2031">
        <v>478.0</v>
      </c>
      <c r="H2987" s="2031">
        <v>478.0</v>
      </c>
    </row>
    <row r="2988">
      <c r="B2988" s="2031">
        <v>2986.0</v>
      </c>
      <c r="C2988" s="2031">
        <v>358.0</v>
      </c>
      <c r="D2988" s="2031">
        <v>716.0</v>
      </c>
      <c r="E2988" s="2031">
        <v>478.0</v>
      </c>
      <c r="F2988" s="2031">
        <v>478.0</v>
      </c>
      <c r="G2988" s="2031">
        <v>478.0</v>
      </c>
      <c r="H2988" s="2031">
        <v>478.0</v>
      </c>
    </row>
    <row r="2989">
      <c r="B2989" s="2031">
        <v>2987.0</v>
      </c>
      <c r="C2989" s="2031">
        <v>358.0</v>
      </c>
      <c r="D2989" s="2031">
        <v>717.0</v>
      </c>
      <c r="E2989" s="2031">
        <v>478.0</v>
      </c>
      <c r="F2989" s="2031">
        <v>478.0</v>
      </c>
      <c r="G2989" s="2031">
        <v>478.0</v>
      </c>
      <c r="H2989" s="2031">
        <v>478.0</v>
      </c>
    </row>
    <row r="2990">
      <c r="B2990" s="2031">
        <v>2988.0</v>
      </c>
      <c r="C2990" s="2031">
        <v>359.0</v>
      </c>
      <c r="D2990" s="2031">
        <v>717.0</v>
      </c>
      <c r="E2990" s="2031">
        <v>478.0</v>
      </c>
      <c r="F2990" s="2031">
        <v>478.0</v>
      </c>
      <c r="G2990" s="2031">
        <v>478.0</v>
      </c>
      <c r="H2990" s="2031">
        <v>478.0</v>
      </c>
    </row>
    <row r="2991">
      <c r="B2991" s="2031">
        <v>2989.0</v>
      </c>
      <c r="C2991" s="2031">
        <v>359.0</v>
      </c>
      <c r="D2991" s="2031">
        <v>718.0</v>
      </c>
      <c r="E2991" s="2031">
        <v>478.0</v>
      </c>
      <c r="F2991" s="2031">
        <v>478.0</v>
      </c>
      <c r="G2991" s="2031">
        <v>478.0</v>
      </c>
      <c r="H2991" s="2031">
        <v>478.0</v>
      </c>
    </row>
    <row r="2992">
      <c r="B2992" s="2031">
        <v>2990.0</v>
      </c>
      <c r="C2992" s="2031">
        <v>359.0</v>
      </c>
      <c r="D2992" s="2031">
        <v>717.0</v>
      </c>
      <c r="E2992" s="2031">
        <v>478.0</v>
      </c>
      <c r="F2992" s="2031">
        <v>478.0</v>
      </c>
      <c r="G2992" s="2031">
        <v>479.0</v>
      </c>
      <c r="H2992" s="2031">
        <v>479.0</v>
      </c>
    </row>
    <row r="2993">
      <c r="B2993" s="2031">
        <v>2991.0</v>
      </c>
      <c r="C2993" s="2031">
        <v>359.0</v>
      </c>
      <c r="D2993" s="2031">
        <v>718.0</v>
      </c>
      <c r="E2993" s="2031">
        <v>478.0</v>
      </c>
      <c r="F2993" s="2031">
        <v>478.0</v>
      </c>
      <c r="G2993" s="2031">
        <v>479.0</v>
      </c>
      <c r="H2993" s="2031">
        <v>479.0</v>
      </c>
    </row>
    <row r="2994">
      <c r="B2994" s="2031">
        <v>2992.0</v>
      </c>
      <c r="C2994" s="2031">
        <v>359.0</v>
      </c>
      <c r="D2994" s="2031">
        <v>719.0</v>
      </c>
      <c r="E2994" s="2031">
        <v>478.0</v>
      </c>
      <c r="F2994" s="2031">
        <v>478.0</v>
      </c>
      <c r="G2994" s="2031">
        <v>479.0</v>
      </c>
      <c r="H2994" s="2031">
        <v>479.0</v>
      </c>
    </row>
    <row r="2995">
      <c r="B2995" s="2031">
        <v>2993.0</v>
      </c>
      <c r="C2995" s="2031">
        <v>359.0</v>
      </c>
      <c r="D2995" s="2031">
        <v>718.0</v>
      </c>
      <c r="E2995" s="2031">
        <v>479.0</v>
      </c>
      <c r="F2995" s="2031">
        <v>479.0</v>
      </c>
      <c r="G2995" s="2031">
        <v>479.0</v>
      </c>
      <c r="H2995" s="2031">
        <v>479.0</v>
      </c>
    </row>
    <row r="2996">
      <c r="B2996" s="2031">
        <v>2994.0</v>
      </c>
      <c r="C2996" s="2031">
        <v>359.0</v>
      </c>
      <c r="D2996" s="2031">
        <v>719.0</v>
      </c>
      <c r="E2996" s="2031">
        <v>479.0</v>
      </c>
      <c r="F2996" s="2031">
        <v>479.0</v>
      </c>
      <c r="G2996" s="2031">
        <v>479.0</v>
      </c>
      <c r="H2996" s="2031">
        <v>479.0</v>
      </c>
    </row>
    <row r="2997">
      <c r="B2997" s="2031">
        <v>2995.0</v>
      </c>
      <c r="C2997" s="2031">
        <v>360.0</v>
      </c>
      <c r="D2997" s="2031">
        <v>719.0</v>
      </c>
      <c r="E2997" s="2031">
        <v>479.0</v>
      </c>
      <c r="F2997" s="2031">
        <v>479.0</v>
      </c>
      <c r="G2997" s="2031">
        <v>479.0</v>
      </c>
      <c r="H2997" s="2031">
        <v>479.0</v>
      </c>
    </row>
    <row r="2998">
      <c r="B2998" s="2031">
        <v>2996.0</v>
      </c>
      <c r="C2998" s="2031">
        <v>359.0</v>
      </c>
      <c r="D2998" s="2031">
        <v>719.0</v>
      </c>
      <c r="E2998" s="2031">
        <v>479.0</v>
      </c>
      <c r="F2998" s="2031">
        <v>479.0</v>
      </c>
      <c r="G2998" s="2031">
        <v>480.0</v>
      </c>
      <c r="H2998" s="2031">
        <v>480.0</v>
      </c>
    </row>
    <row r="2999">
      <c r="B2999" s="2031">
        <v>2997.0</v>
      </c>
      <c r="C2999" s="2031">
        <v>360.0</v>
      </c>
      <c r="D2999" s="2031">
        <v>719.0</v>
      </c>
      <c r="E2999" s="2031">
        <v>479.0</v>
      </c>
      <c r="F2999" s="2031">
        <v>479.0</v>
      </c>
      <c r="G2999" s="2031">
        <v>480.0</v>
      </c>
      <c r="H2999" s="2031">
        <v>480.0</v>
      </c>
    </row>
    <row r="3000">
      <c r="B3000" s="2031">
        <v>2998.0</v>
      </c>
      <c r="C3000" s="2031">
        <v>359.0</v>
      </c>
      <c r="D3000" s="2031">
        <v>719.0</v>
      </c>
      <c r="E3000" s="2031">
        <v>480.0</v>
      </c>
      <c r="F3000" s="2031">
        <v>480.0</v>
      </c>
      <c r="G3000" s="2031">
        <v>480.0</v>
      </c>
      <c r="H3000" s="2031">
        <v>480.0</v>
      </c>
    </row>
    <row r="3001">
      <c r="B3001" s="2031">
        <v>2999.0</v>
      </c>
      <c r="C3001" s="2031">
        <v>360.0</v>
      </c>
      <c r="D3001" s="2031">
        <v>719.0</v>
      </c>
      <c r="E3001" s="2031">
        <v>480.0</v>
      </c>
      <c r="F3001" s="2031">
        <v>480.0</v>
      </c>
      <c r="G3001" s="2031">
        <v>480.0</v>
      </c>
      <c r="H3001" s="2031">
        <v>480.0</v>
      </c>
    </row>
    <row r="3002">
      <c r="B3002" s="2031">
        <v>3000.0</v>
      </c>
      <c r="C3002" s="2031">
        <v>360.0</v>
      </c>
      <c r="D3002" s="2031">
        <v>720.0</v>
      </c>
      <c r="E3002" s="2031">
        <v>480.0</v>
      </c>
      <c r="F3002" s="2031">
        <v>480.0</v>
      </c>
      <c r="G3002" s="2031">
        <v>480.0</v>
      </c>
      <c r="H3002" s="2031">
        <v>480.0</v>
      </c>
    </row>
    <row r="3003">
      <c r="B3003" s="2031">
        <v>3001.0</v>
      </c>
      <c r="C3003" s="2031">
        <v>360.0</v>
      </c>
      <c r="D3003" s="2031">
        <v>721.0</v>
      </c>
      <c r="E3003" s="2031">
        <v>480.0</v>
      </c>
      <c r="F3003" s="2031">
        <v>480.0</v>
      </c>
      <c r="G3003" s="2031">
        <v>480.0</v>
      </c>
      <c r="H3003" s="2031">
        <v>480.0</v>
      </c>
    </row>
    <row r="3004">
      <c r="B3004" s="2031">
        <v>3002.0</v>
      </c>
      <c r="C3004" s="2031">
        <v>361.0</v>
      </c>
      <c r="D3004" s="2031">
        <v>721.0</v>
      </c>
      <c r="E3004" s="2031">
        <v>480.0</v>
      </c>
      <c r="F3004" s="2031">
        <v>480.0</v>
      </c>
      <c r="G3004" s="2031">
        <v>480.0</v>
      </c>
      <c r="H3004" s="2031">
        <v>480.0</v>
      </c>
    </row>
    <row r="3005">
      <c r="B3005" s="2031">
        <v>3003.0</v>
      </c>
      <c r="C3005" s="2031">
        <v>360.0</v>
      </c>
      <c r="D3005" s="2031">
        <v>721.0</v>
      </c>
      <c r="E3005" s="2031">
        <v>480.0</v>
      </c>
      <c r="F3005" s="2031">
        <v>480.0</v>
      </c>
      <c r="G3005" s="2031">
        <v>481.0</v>
      </c>
      <c r="H3005" s="2031">
        <v>481.0</v>
      </c>
    </row>
    <row r="3006">
      <c r="B3006" s="2031">
        <v>3004.0</v>
      </c>
      <c r="C3006" s="2031">
        <v>361.0</v>
      </c>
      <c r="D3006" s="2031">
        <v>721.0</v>
      </c>
      <c r="E3006" s="2031">
        <v>480.0</v>
      </c>
      <c r="F3006" s="2031">
        <v>480.0</v>
      </c>
      <c r="G3006" s="2031">
        <v>481.0</v>
      </c>
      <c r="H3006" s="2031">
        <v>481.0</v>
      </c>
    </row>
    <row r="3007">
      <c r="B3007" s="2031">
        <v>3005.0</v>
      </c>
      <c r="C3007" s="2031">
        <v>360.0</v>
      </c>
      <c r="D3007" s="2031">
        <v>721.0</v>
      </c>
      <c r="E3007" s="2031">
        <v>481.0</v>
      </c>
      <c r="F3007" s="2031">
        <v>481.0</v>
      </c>
      <c r="G3007" s="2031">
        <v>481.0</v>
      </c>
      <c r="H3007" s="2031">
        <v>481.0</v>
      </c>
    </row>
    <row r="3008">
      <c r="B3008" s="2031">
        <v>3006.0</v>
      </c>
      <c r="C3008" s="2031">
        <v>361.0</v>
      </c>
      <c r="D3008" s="2031">
        <v>721.0</v>
      </c>
      <c r="E3008" s="2031">
        <v>481.0</v>
      </c>
      <c r="F3008" s="2031">
        <v>481.0</v>
      </c>
      <c r="G3008" s="2031">
        <v>481.0</v>
      </c>
      <c r="H3008" s="2031">
        <v>481.0</v>
      </c>
    </row>
    <row r="3009">
      <c r="B3009" s="2031">
        <v>3007.0</v>
      </c>
      <c r="C3009" s="2031">
        <v>361.0</v>
      </c>
      <c r="D3009" s="2031">
        <v>722.0</v>
      </c>
      <c r="E3009" s="2031">
        <v>481.0</v>
      </c>
      <c r="F3009" s="2031">
        <v>481.0</v>
      </c>
      <c r="G3009" s="2031">
        <v>481.0</v>
      </c>
      <c r="H3009" s="2031">
        <v>481.0</v>
      </c>
    </row>
    <row r="3010">
      <c r="B3010" s="2031">
        <v>3008.0</v>
      </c>
      <c r="C3010" s="2031">
        <v>361.0</v>
      </c>
      <c r="D3010" s="2031">
        <v>721.0</v>
      </c>
      <c r="E3010" s="2031">
        <v>481.0</v>
      </c>
      <c r="F3010" s="2031">
        <v>481.0</v>
      </c>
      <c r="G3010" s="2031">
        <v>482.0</v>
      </c>
      <c r="H3010" s="2031">
        <v>482.0</v>
      </c>
    </row>
    <row r="3011">
      <c r="B3011" s="2031">
        <v>3009.0</v>
      </c>
      <c r="C3011" s="2031">
        <v>361.0</v>
      </c>
      <c r="D3011" s="2031">
        <v>722.0</v>
      </c>
      <c r="E3011" s="2031">
        <v>481.0</v>
      </c>
      <c r="F3011" s="2031">
        <v>481.0</v>
      </c>
      <c r="G3011" s="2031">
        <v>482.0</v>
      </c>
      <c r="H3011" s="2031">
        <v>482.0</v>
      </c>
    </row>
    <row r="3012">
      <c r="B3012" s="2031">
        <v>3010.0</v>
      </c>
      <c r="C3012" s="2031">
        <v>361.0</v>
      </c>
      <c r="D3012" s="2031">
        <v>723.0</v>
      </c>
      <c r="E3012" s="2031">
        <v>481.0</v>
      </c>
      <c r="F3012" s="2031">
        <v>481.0</v>
      </c>
      <c r="G3012" s="2031">
        <v>482.0</v>
      </c>
      <c r="H3012" s="2031">
        <v>482.0</v>
      </c>
    </row>
    <row r="3013">
      <c r="B3013" s="2031">
        <v>3011.0</v>
      </c>
      <c r="C3013" s="2031">
        <v>361.0</v>
      </c>
      <c r="D3013" s="2031">
        <v>722.0</v>
      </c>
      <c r="E3013" s="2031">
        <v>482.0</v>
      </c>
      <c r="F3013" s="2031">
        <v>482.0</v>
      </c>
      <c r="G3013" s="2031">
        <v>482.0</v>
      </c>
      <c r="H3013" s="2031">
        <v>482.0</v>
      </c>
    </row>
    <row r="3014">
      <c r="B3014" s="2031">
        <v>3012.0</v>
      </c>
      <c r="C3014" s="2031">
        <v>361.0</v>
      </c>
      <c r="D3014" s="2031">
        <v>723.0</v>
      </c>
      <c r="E3014" s="2031">
        <v>482.0</v>
      </c>
      <c r="F3014" s="2031">
        <v>482.0</v>
      </c>
      <c r="G3014" s="2031">
        <v>482.0</v>
      </c>
      <c r="H3014" s="2031">
        <v>482.0</v>
      </c>
    </row>
    <row r="3015">
      <c r="B3015" s="2031">
        <v>3013.0</v>
      </c>
      <c r="C3015" s="2031">
        <v>362.0</v>
      </c>
      <c r="D3015" s="2031">
        <v>723.0</v>
      </c>
      <c r="E3015" s="2031">
        <v>482.0</v>
      </c>
      <c r="F3015" s="2031">
        <v>482.0</v>
      </c>
      <c r="G3015" s="2031">
        <v>482.0</v>
      </c>
      <c r="H3015" s="2031">
        <v>482.0</v>
      </c>
    </row>
    <row r="3016">
      <c r="B3016" s="2031">
        <v>3014.0</v>
      </c>
      <c r="C3016" s="2031">
        <v>362.0</v>
      </c>
      <c r="D3016" s="2031">
        <v>724.0</v>
      </c>
      <c r="E3016" s="2031">
        <v>482.0</v>
      </c>
      <c r="F3016" s="2031">
        <v>482.0</v>
      </c>
      <c r="G3016" s="2031">
        <v>482.0</v>
      </c>
      <c r="H3016" s="2031">
        <v>482.0</v>
      </c>
    </row>
    <row r="3017">
      <c r="B3017" s="2031">
        <v>3015.0</v>
      </c>
      <c r="C3017" s="2031">
        <v>362.0</v>
      </c>
      <c r="D3017" s="2031">
        <v>723.0</v>
      </c>
      <c r="E3017" s="2031">
        <v>482.0</v>
      </c>
      <c r="F3017" s="2031">
        <v>482.0</v>
      </c>
      <c r="G3017" s="2031">
        <v>483.0</v>
      </c>
      <c r="H3017" s="2031">
        <v>483.0</v>
      </c>
    </row>
    <row r="3018">
      <c r="B3018" s="2031">
        <v>3016.0</v>
      </c>
      <c r="C3018" s="2031">
        <v>362.0</v>
      </c>
      <c r="D3018" s="2031">
        <v>724.0</v>
      </c>
      <c r="E3018" s="2031">
        <v>482.0</v>
      </c>
      <c r="F3018" s="2031">
        <v>482.0</v>
      </c>
      <c r="G3018" s="2031">
        <v>483.0</v>
      </c>
      <c r="H3018" s="2031">
        <v>483.0</v>
      </c>
    </row>
    <row r="3019">
      <c r="B3019" s="2031">
        <v>3017.0</v>
      </c>
      <c r="C3019" s="2031">
        <v>362.0</v>
      </c>
      <c r="D3019" s="2031">
        <v>725.0</v>
      </c>
      <c r="E3019" s="2031">
        <v>482.0</v>
      </c>
      <c r="F3019" s="2031">
        <v>482.0</v>
      </c>
      <c r="G3019" s="2031">
        <v>483.0</v>
      </c>
      <c r="H3019" s="2031">
        <v>483.0</v>
      </c>
    </row>
    <row r="3020">
      <c r="B3020" s="2031">
        <v>3018.0</v>
      </c>
      <c r="C3020" s="2031">
        <v>362.0</v>
      </c>
      <c r="D3020" s="2031">
        <v>724.0</v>
      </c>
      <c r="E3020" s="2031">
        <v>483.0</v>
      </c>
      <c r="F3020" s="2031">
        <v>483.0</v>
      </c>
      <c r="G3020" s="2031">
        <v>483.0</v>
      </c>
      <c r="H3020" s="2031">
        <v>483.0</v>
      </c>
    </row>
    <row r="3021">
      <c r="B3021" s="2031">
        <v>3019.0</v>
      </c>
      <c r="C3021" s="2031">
        <v>362.0</v>
      </c>
      <c r="D3021" s="2031">
        <v>725.0</v>
      </c>
      <c r="E3021" s="2031">
        <v>483.0</v>
      </c>
      <c r="F3021" s="2031">
        <v>483.0</v>
      </c>
      <c r="G3021" s="2031">
        <v>483.0</v>
      </c>
      <c r="H3021" s="2031">
        <v>483.0</v>
      </c>
    </row>
    <row r="3022">
      <c r="B3022" s="2031">
        <v>3020.0</v>
      </c>
      <c r="C3022" s="2031">
        <v>363.0</v>
      </c>
      <c r="D3022" s="2031">
        <v>725.0</v>
      </c>
      <c r="E3022" s="2031">
        <v>483.0</v>
      </c>
      <c r="F3022" s="2031">
        <v>483.0</v>
      </c>
      <c r="G3022" s="2031">
        <v>483.0</v>
      </c>
      <c r="H3022" s="2031">
        <v>483.0</v>
      </c>
    </row>
    <row r="3023">
      <c r="B3023" s="2031">
        <v>3021.0</v>
      </c>
      <c r="C3023" s="2031">
        <v>362.0</v>
      </c>
      <c r="D3023" s="2031">
        <v>725.0</v>
      </c>
      <c r="E3023" s="2031">
        <v>483.0</v>
      </c>
      <c r="F3023" s="2031">
        <v>483.0</v>
      </c>
      <c r="G3023" s="2031">
        <v>484.0</v>
      </c>
      <c r="H3023" s="2031">
        <v>484.0</v>
      </c>
    </row>
    <row r="3024">
      <c r="B3024" s="2031">
        <v>3022.0</v>
      </c>
      <c r="C3024" s="2031">
        <v>363.0</v>
      </c>
      <c r="D3024" s="2031">
        <v>725.0</v>
      </c>
      <c r="E3024" s="2031">
        <v>483.0</v>
      </c>
      <c r="F3024" s="2031">
        <v>483.0</v>
      </c>
      <c r="G3024" s="2031">
        <v>484.0</v>
      </c>
      <c r="H3024" s="2031">
        <v>484.0</v>
      </c>
    </row>
    <row r="3025">
      <c r="B3025" s="2031">
        <v>3023.0</v>
      </c>
      <c r="C3025" s="2031">
        <v>362.0</v>
      </c>
      <c r="D3025" s="2031">
        <v>725.0</v>
      </c>
      <c r="E3025" s="2031">
        <v>484.0</v>
      </c>
      <c r="F3025" s="2031">
        <v>484.0</v>
      </c>
      <c r="G3025" s="2031">
        <v>484.0</v>
      </c>
      <c r="H3025" s="2031">
        <v>484.0</v>
      </c>
    </row>
    <row r="3026">
      <c r="B3026" s="2031">
        <v>3024.0</v>
      </c>
      <c r="C3026" s="2031">
        <v>363.0</v>
      </c>
      <c r="D3026" s="2031">
        <v>725.0</v>
      </c>
      <c r="E3026" s="2031">
        <v>484.0</v>
      </c>
      <c r="F3026" s="2031">
        <v>484.0</v>
      </c>
      <c r="G3026" s="2031">
        <v>484.0</v>
      </c>
      <c r="H3026" s="2031">
        <v>484.0</v>
      </c>
    </row>
    <row r="3027">
      <c r="B3027" s="2031">
        <v>3025.0</v>
      </c>
      <c r="C3027" s="2031">
        <v>363.0</v>
      </c>
      <c r="D3027" s="2031">
        <v>726.0</v>
      </c>
      <c r="E3027" s="2031">
        <v>484.0</v>
      </c>
      <c r="F3027" s="2031">
        <v>484.0</v>
      </c>
      <c r="G3027" s="2031">
        <v>484.0</v>
      </c>
      <c r="H3027" s="2031">
        <v>484.0</v>
      </c>
    </row>
    <row r="3028">
      <c r="B3028" s="2031">
        <v>3026.0</v>
      </c>
      <c r="C3028" s="2031">
        <v>363.0</v>
      </c>
      <c r="D3028" s="2031">
        <v>727.0</v>
      </c>
      <c r="E3028" s="2031">
        <v>484.0</v>
      </c>
      <c r="F3028" s="2031">
        <v>484.0</v>
      </c>
      <c r="G3028" s="2031">
        <v>484.0</v>
      </c>
      <c r="H3028" s="2031">
        <v>484.0</v>
      </c>
    </row>
    <row r="3029">
      <c r="B3029" s="2031">
        <v>3027.0</v>
      </c>
      <c r="C3029" s="2031">
        <v>364.0</v>
      </c>
      <c r="D3029" s="2031">
        <v>727.0</v>
      </c>
      <c r="E3029" s="2031">
        <v>484.0</v>
      </c>
      <c r="F3029" s="2031">
        <v>484.0</v>
      </c>
      <c r="G3029" s="2031">
        <v>484.0</v>
      </c>
      <c r="H3029" s="2031">
        <v>484.0</v>
      </c>
    </row>
    <row r="3030">
      <c r="B3030" s="2031">
        <v>3028.0</v>
      </c>
      <c r="C3030" s="2031">
        <v>363.0</v>
      </c>
      <c r="D3030" s="2031">
        <v>727.0</v>
      </c>
      <c r="E3030" s="2031">
        <v>484.0</v>
      </c>
      <c r="F3030" s="2031">
        <v>484.0</v>
      </c>
      <c r="G3030" s="2031">
        <v>485.0</v>
      </c>
      <c r="H3030" s="2031">
        <v>485.0</v>
      </c>
    </row>
    <row r="3031">
      <c r="B3031" s="2031">
        <v>3029.0</v>
      </c>
      <c r="C3031" s="2031">
        <v>364.0</v>
      </c>
      <c r="D3031" s="2031">
        <v>727.0</v>
      </c>
      <c r="E3031" s="2031">
        <v>484.0</v>
      </c>
      <c r="F3031" s="2031">
        <v>484.0</v>
      </c>
      <c r="G3031" s="2031">
        <v>485.0</v>
      </c>
      <c r="H3031" s="2031">
        <v>485.0</v>
      </c>
    </row>
    <row r="3032">
      <c r="B3032" s="2031">
        <v>3030.0</v>
      </c>
      <c r="C3032" s="2031">
        <v>363.0</v>
      </c>
      <c r="D3032" s="2031">
        <v>727.0</v>
      </c>
      <c r="E3032" s="2031">
        <v>485.0</v>
      </c>
      <c r="F3032" s="2031">
        <v>485.0</v>
      </c>
      <c r="G3032" s="2031">
        <v>485.0</v>
      </c>
      <c r="H3032" s="2031">
        <v>485.0</v>
      </c>
    </row>
    <row r="3033">
      <c r="B3033" s="2031">
        <v>3031.0</v>
      </c>
      <c r="C3033" s="2031">
        <v>364.0</v>
      </c>
      <c r="D3033" s="2031">
        <v>727.0</v>
      </c>
      <c r="E3033" s="2031">
        <v>485.0</v>
      </c>
      <c r="F3033" s="2031">
        <v>485.0</v>
      </c>
      <c r="G3033" s="2031">
        <v>485.0</v>
      </c>
      <c r="H3033" s="2031">
        <v>485.0</v>
      </c>
    </row>
    <row r="3034">
      <c r="B3034" s="2031">
        <v>3032.0</v>
      </c>
      <c r="C3034" s="2031">
        <v>364.0</v>
      </c>
      <c r="D3034" s="2031">
        <v>728.0</v>
      </c>
      <c r="E3034" s="2031">
        <v>485.0</v>
      </c>
      <c r="F3034" s="2031">
        <v>485.0</v>
      </c>
      <c r="G3034" s="2031">
        <v>485.0</v>
      </c>
      <c r="H3034" s="2031">
        <v>485.0</v>
      </c>
    </row>
    <row r="3035">
      <c r="B3035" s="2031">
        <v>3033.0</v>
      </c>
      <c r="C3035" s="2031">
        <v>364.0</v>
      </c>
      <c r="D3035" s="2031">
        <v>727.0</v>
      </c>
      <c r="E3035" s="2031">
        <v>485.0</v>
      </c>
      <c r="F3035" s="2031">
        <v>485.0</v>
      </c>
      <c r="G3035" s="2031">
        <v>486.0</v>
      </c>
      <c r="H3035" s="2031">
        <v>486.0</v>
      </c>
    </row>
    <row r="3036">
      <c r="B3036" s="2031">
        <v>3034.0</v>
      </c>
      <c r="C3036" s="2031">
        <v>364.0</v>
      </c>
      <c r="D3036" s="2031">
        <v>728.0</v>
      </c>
      <c r="E3036" s="2031">
        <v>485.0</v>
      </c>
      <c r="F3036" s="2031">
        <v>485.0</v>
      </c>
      <c r="G3036" s="2031">
        <v>486.0</v>
      </c>
      <c r="H3036" s="2031">
        <v>486.0</v>
      </c>
    </row>
    <row r="3037">
      <c r="B3037" s="2031">
        <v>3035.0</v>
      </c>
      <c r="C3037" s="2031">
        <v>364.0</v>
      </c>
      <c r="D3037" s="2031">
        <v>729.0</v>
      </c>
      <c r="E3037" s="2031">
        <v>485.0</v>
      </c>
      <c r="F3037" s="2031">
        <v>485.0</v>
      </c>
      <c r="G3037" s="2031">
        <v>486.0</v>
      </c>
      <c r="H3037" s="2031">
        <v>486.0</v>
      </c>
    </row>
    <row r="3038">
      <c r="B3038" s="2031">
        <v>3036.0</v>
      </c>
      <c r="C3038" s="2031">
        <v>364.0</v>
      </c>
      <c r="D3038" s="2031">
        <v>728.0</v>
      </c>
      <c r="E3038" s="2031">
        <v>486.0</v>
      </c>
      <c r="F3038" s="2031">
        <v>486.0</v>
      </c>
      <c r="G3038" s="2031">
        <v>486.0</v>
      </c>
      <c r="H3038" s="2031">
        <v>486.0</v>
      </c>
    </row>
    <row r="3039">
      <c r="B3039" s="2031">
        <v>3037.0</v>
      </c>
      <c r="C3039" s="2031">
        <v>364.0</v>
      </c>
      <c r="D3039" s="2031">
        <v>729.0</v>
      </c>
      <c r="E3039" s="2031">
        <v>486.0</v>
      </c>
      <c r="F3039" s="2031">
        <v>486.0</v>
      </c>
      <c r="G3039" s="2031">
        <v>486.0</v>
      </c>
      <c r="H3039" s="2031">
        <v>486.0</v>
      </c>
    </row>
    <row r="3040">
      <c r="B3040" s="2031">
        <v>3038.0</v>
      </c>
      <c r="C3040" s="2031">
        <v>365.0</v>
      </c>
      <c r="D3040" s="2031">
        <v>729.0</v>
      </c>
      <c r="E3040" s="2031">
        <v>486.0</v>
      </c>
      <c r="F3040" s="2031">
        <v>486.0</v>
      </c>
      <c r="G3040" s="2031">
        <v>486.0</v>
      </c>
      <c r="H3040" s="2031">
        <v>486.0</v>
      </c>
    </row>
    <row r="3041">
      <c r="B3041" s="2031">
        <v>3039.0</v>
      </c>
      <c r="C3041" s="2031">
        <v>365.0</v>
      </c>
      <c r="D3041" s="2031">
        <v>730.0</v>
      </c>
      <c r="E3041" s="2031">
        <v>486.0</v>
      </c>
      <c r="F3041" s="2031">
        <v>486.0</v>
      </c>
      <c r="G3041" s="2031">
        <v>486.0</v>
      </c>
      <c r="H3041" s="2031">
        <v>486.0</v>
      </c>
    </row>
    <row r="3042">
      <c r="B3042" s="2031">
        <v>3040.0</v>
      </c>
      <c r="C3042" s="2031">
        <v>365.0</v>
      </c>
      <c r="D3042" s="2031">
        <v>729.0</v>
      </c>
      <c r="E3042" s="2031">
        <v>486.0</v>
      </c>
      <c r="F3042" s="2031">
        <v>486.0</v>
      </c>
      <c r="G3042" s="2031">
        <v>487.0</v>
      </c>
      <c r="H3042" s="2031">
        <v>487.0</v>
      </c>
    </row>
    <row r="3043">
      <c r="B3043" s="2031">
        <v>3041.0</v>
      </c>
      <c r="C3043" s="2031">
        <v>365.0</v>
      </c>
      <c r="D3043" s="2031">
        <v>730.0</v>
      </c>
      <c r="E3043" s="2031">
        <v>486.0</v>
      </c>
      <c r="F3043" s="2031">
        <v>486.0</v>
      </c>
      <c r="G3043" s="2031">
        <v>487.0</v>
      </c>
      <c r="H3043" s="2031">
        <v>487.0</v>
      </c>
    </row>
    <row r="3044">
      <c r="B3044" s="2031">
        <v>3042.0</v>
      </c>
      <c r="C3044" s="2031">
        <v>365.0</v>
      </c>
      <c r="D3044" s="2031">
        <v>731.0</v>
      </c>
      <c r="E3044" s="2031">
        <v>486.0</v>
      </c>
      <c r="F3044" s="2031">
        <v>486.0</v>
      </c>
      <c r="G3044" s="2031">
        <v>487.0</v>
      </c>
      <c r="H3044" s="2031">
        <v>487.0</v>
      </c>
    </row>
    <row r="3045">
      <c r="B3045" s="2031">
        <v>3043.0</v>
      </c>
      <c r="C3045" s="2031">
        <v>365.0</v>
      </c>
      <c r="D3045" s="2031">
        <v>730.0</v>
      </c>
      <c r="E3045" s="2031">
        <v>487.0</v>
      </c>
      <c r="F3045" s="2031">
        <v>487.0</v>
      </c>
      <c r="G3045" s="2031">
        <v>487.0</v>
      </c>
      <c r="H3045" s="2031">
        <v>487.0</v>
      </c>
    </row>
    <row r="3046">
      <c r="B3046" s="2031">
        <v>3044.0</v>
      </c>
      <c r="C3046" s="2031">
        <v>365.0</v>
      </c>
      <c r="D3046" s="2031">
        <v>731.0</v>
      </c>
      <c r="E3046" s="2031">
        <v>487.0</v>
      </c>
      <c r="F3046" s="2031">
        <v>487.0</v>
      </c>
      <c r="G3046" s="2031">
        <v>487.0</v>
      </c>
      <c r="H3046" s="2031">
        <v>487.0</v>
      </c>
    </row>
    <row r="3047">
      <c r="B3047" s="2031">
        <v>3045.0</v>
      </c>
      <c r="C3047" s="2031">
        <v>366.0</v>
      </c>
      <c r="D3047" s="2031">
        <v>731.0</v>
      </c>
      <c r="E3047" s="2031">
        <v>487.0</v>
      </c>
      <c r="F3047" s="2031">
        <v>487.0</v>
      </c>
      <c r="G3047" s="2031">
        <v>487.0</v>
      </c>
      <c r="H3047" s="2031">
        <v>487.0</v>
      </c>
    </row>
    <row r="3048">
      <c r="B3048" s="2031">
        <v>3046.0</v>
      </c>
      <c r="C3048" s="2031">
        <v>365.0</v>
      </c>
      <c r="D3048" s="2031">
        <v>731.0</v>
      </c>
      <c r="E3048" s="2031">
        <v>487.0</v>
      </c>
      <c r="F3048" s="2031">
        <v>487.0</v>
      </c>
      <c r="G3048" s="2031">
        <v>488.0</v>
      </c>
      <c r="H3048" s="2031">
        <v>488.0</v>
      </c>
    </row>
    <row r="3049">
      <c r="B3049" s="2031">
        <v>3047.0</v>
      </c>
      <c r="C3049" s="2031">
        <v>366.0</v>
      </c>
      <c r="D3049" s="2031">
        <v>731.0</v>
      </c>
      <c r="E3049" s="2031">
        <v>487.0</v>
      </c>
      <c r="F3049" s="2031">
        <v>487.0</v>
      </c>
      <c r="G3049" s="2031">
        <v>488.0</v>
      </c>
      <c r="H3049" s="2031">
        <v>488.0</v>
      </c>
    </row>
    <row r="3050">
      <c r="B3050" s="2031">
        <v>3048.0</v>
      </c>
      <c r="C3050" s="2031">
        <v>365.0</v>
      </c>
      <c r="D3050" s="2031">
        <v>731.0</v>
      </c>
      <c r="E3050" s="2031">
        <v>488.0</v>
      </c>
      <c r="F3050" s="2031">
        <v>488.0</v>
      </c>
      <c r="G3050" s="2031">
        <v>488.0</v>
      </c>
      <c r="H3050" s="2031">
        <v>488.0</v>
      </c>
    </row>
    <row r="3051">
      <c r="B3051" s="2031">
        <v>3049.0</v>
      </c>
      <c r="C3051" s="2031">
        <v>366.0</v>
      </c>
      <c r="D3051" s="2031">
        <v>731.0</v>
      </c>
      <c r="E3051" s="2031">
        <v>488.0</v>
      </c>
      <c r="F3051" s="2031">
        <v>488.0</v>
      </c>
      <c r="G3051" s="2031">
        <v>488.0</v>
      </c>
      <c r="H3051" s="2031">
        <v>488.0</v>
      </c>
    </row>
    <row r="3052">
      <c r="B3052" s="2031">
        <v>3050.0</v>
      </c>
      <c r="C3052" s="2031">
        <v>366.0</v>
      </c>
      <c r="D3052" s="2031">
        <v>732.0</v>
      </c>
      <c r="E3052" s="2031">
        <v>488.0</v>
      </c>
      <c r="F3052" s="2031">
        <v>488.0</v>
      </c>
      <c r="G3052" s="2031">
        <v>488.0</v>
      </c>
      <c r="H3052" s="2031">
        <v>488.0</v>
      </c>
    </row>
    <row r="3053">
      <c r="B3053" s="2031">
        <v>3051.0</v>
      </c>
      <c r="C3053" s="2031">
        <v>366.0</v>
      </c>
      <c r="D3053" s="2031">
        <v>733.0</v>
      </c>
      <c r="E3053" s="2031">
        <v>488.0</v>
      </c>
      <c r="F3053" s="2031">
        <v>488.0</v>
      </c>
      <c r="G3053" s="2031">
        <v>488.0</v>
      </c>
      <c r="H3053" s="2031">
        <v>488.0</v>
      </c>
    </row>
    <row r="3054">
      <c r="B3054" s="2031">
        <v>3052.0</v>
      </c>
      <c r="C3054" s="2031">
        <v>367.0</v>
      </c>
      <c r="D3054" s="2031">
        <v>733.0</v>
      </c>
      <c r="E3054" s="2031">
        <v>488.0</v>
      </c>
      <c r="F3054" s="2031">
        <v>488.0</v>
      </c>
      <c r="G3054" s="2031">
        <v>488.0</v>
      </c>
      <c r="H3054" s="2031">
        <v>488.0</v>
      </c>
    </row>
    <row r="3055">
      <c r="B3055" s="2031">
        <v>3053.0</v>
      </c>
      <c r="C3055" s="2031">
        <v>366.0</v>
      </c>
      <c r="D3055" s="2031">
        <v>733.0</v>
      </c>
      <c r="E3055" s="2031">
        <v>488.0</v>
      </c>
      <c r="F3055" s="2031">
        <v>488.0</v>
      </c>
      <c r="G3055" s="2031">
        <v>489.0</v>
      </c>
      <c r="H3055" s="2031">
        <v>489.0</v>
      </c>
    </row>
    <row r="3056">
      <c r="B3056" s="2031">
        <v>3054.0</v>
      </c>
      <c r="C3056" s="2031">
        <v>367.0</v>
      </c>
      <c r="D3056" s="2031">
        <v>733.0</v>
      </c>
      <c r="E3056" s="2031">
        <v>488.0</v>
      </c>
      <c r="F3056" s="2031">
        <v>488.0</v>
      </c>
      <c r="G3056" s="2031">
        <v>489.0</v>
      </c>
      <c r="H3056" s="2031">
        <v>489.0</v>
      </c>
    </row>
    <row r="3057">
      <c r="B3057" s="2031">
        <v>3055.0</v>
      </c>
      <c r="C3057" s="2031">
        <v>366.0</v>
      </c>
      <c r="D3057" s="2031">
        <v>733.0</v>
      </c>
      <c r="E3057" s="2031">
        <v>489.0</v>
      </c>
      <c r="F3057" s="2031">
        <v>489.0</v>
      </c>
      <c r="G3057" s="2031">
        <v>489.0</v>
      </c>
      <c r="H3057" s="2031">
        <v>489.0</v>
      </c>
    </row>
    <row r="3058">
      <c r="B3058" s="2031">
        <v>3056.0</v>
      </c>
      <c r="C3058" s="2031">
        <v>367.0</v>
      </c>
      <c r="D3058" s="2031">
        <v>733.0</v>
      </c>
      <c r="E3058" s="2031">
        <v>489.0</v>
      </c>
      <c r="F3058" s="2031">
        <v>489.0</v>
      </c>
      <c r="G3058" s="2031">
        <v>489.0</v>
      </c>
      <c r="H3058" s="2031">
        <v>489.0</v>
      </c>
    </row>
    <row r="3059">
      <c r="B3059" s="2031">
        <v>3057.0</v>
      </c>
      <c r="C3059" s="2031">
        <v>367.0</v>
      </c>
      <c r="D3059" s="2031">
        <v>734.0</v>
      </c>
      <c r="E3059" s="2031">
        <v>489.0</v>
      </c>
      <c r="F3059" s="2031">
        <v>489.0</v>
      </c>
      <c r="G3059" s="2031">
        <v>489.0</v>
      </c>
      <c r="H3059" s="2031">
        <v>489.0</v>
      </c>
    </row>
    <row r="3060">
      <c r="B3060" s="2031">
        <v>3058.0</v>
      </c>
      <c r="C3060" s="2031">
        <v>367.0</v>
      </c>
      <c r="D3060" s="2031">
        <v>733.0</v>
      </c>
      <c r="E3060" s="2031">
        <v>489.0</v>
      </c>
      <c r="F3060" s="2031">
        <v>489.0</v>
      </c>
      <c r="G3060" s="2031">
        <v>490.0</v>
      </c>
      <c r="H3060" s="2031">
        <v>490.0</v>
      </c>
    </row>
    <row r="3061">
      <c r="B3061" s="2031">
        <v>3059.0</v>
      </c>
      <c r="C3061" s="2031">
        <v>367.0</v>
      </c>
      <c r="D3061" s="2031">
        <v>734.0</v>
      </c>
      <c r="E3061" s="2031">
        <v>489.0</v>
      </c>
      <c r="F3061" s="2031">
        <v>489.0</v>
      </c>
      <c r="G3061" s="2031">
        <v>490.0</v>
      </c>
      <c r="H3061" s="2031">
        <v>490.0</v>
      </c>
    </row>
    <row r="3062">
      <c r="B3062" s="2031">
        <v>3060.0</v>
      </c>
      <c r="C3062" s="2031">
        <v>367.0</v>
      </c>
      <c r="D3062" s="2031">
        <v>735.0</v>
      </c>
      <c r="E3062" s="2031">
        <v>489.0</v>
      </c>
      <c r="F3062" s="2031">
        <v>489.0</v>
      </c>
      <c r="G3062" s="2031">
        <v>490.0</v>
      </c>
      <c r="H3062" s="2031">
        <v>490.0</v>
      </c>
    </row>
    <row r="3063">
      <c r="B3063" s="2031">
        <v>3061.0</v>
      </c>
      <c r="C3063" s="2031">
        <v>367.0</v>
      </c>
      <c r="D3063" s="2031">
        <v>734.0</v>
      </c>
      <c r="E3063" s="2031">
        <v>490.0</v>
      </c>
      <c r="F3063" s="2031">
        <v>490.0</v>
      </c>
      <c r="G3063" s="2031">
        <v>490.0</v>
      </c>
      <c r="H3063" s="2031">
        <v>490.0</v>
      </c>
    </row>
    <row r="3064">
      <c r="B3064" s="2031">
        <v>3062.0</v>
      </c>
      <c r="C3064" s="2031">
        <v>367.0</v>
      </c>
      <c r="D3064" s="2031">
        <v>735.0</v>
      </c>
      <c r="E3064" s="2031">
        <v>490.0</v>
      </c>
      <c r="F3064" s="2031">
        <v>490.0</v>
      </c>
      <c r="G3064" s="2031">
        <v>490.0</v>
      </c>
      <c r="H3064" s="2031">
        <v>490.0</v>
      </c>
    </row>
    <row r="3065">
      <c r="B3065" s="2031">
        <v>3063.0</v>
      </c>
      <c r="C3065" s="2031">
        <v>368.0</v>
      </c>
      <c r="D3065" s="2031">
        <v>735.0</v>
      </c>
      <c r="E3065" s="2031">
        <v>490.0</v>
      </c>
      <c r="F3065" s="2031">
        <v>490.0</v>
      </c>
      <c r="G3065" s="2031">
        <v>490.0</v>
      </c>
      <c r="H3065" s="2031">
        <v>490.0</v>
      </c>
    </row>
    <row r="3066">
      <c r="B3066" s="2031">
        <v>3064.0</v>
      </c>
      <c r="C3066" s="2031">
        <v>368.0</v>
      </c>
      <c r="D3066" s="2031">
        <v>736.0</v>
      </c>
      <c r="E3066" s="2031">
        <v>490.0</v>
      </c>
      <c r="F3066" s="2031">
        <v>490.0</v>
      </c>
      <c r="G3066" s="2031">
        <v>490.0</v>
      </c>
      <c r="H3066" s="2031">
        <v>490.0</v>
      </c>
    </row>
    <row r="3067">
      <c r="B3067" s="2031">
        <v>3065.0</v>
      </c>
      <c r="C3067" s="2031">
        <v>368.0</v>
      </c>
      <c r="D3067" s="2031">
        <v>735.0</v>
      </c>
      <c r="E3067" s="2031">
        <v>490.0</v>
      </c>
      <c r="F3067" s="2031">
        <v>490.0</v>
      </c>
      <c r="G3067" s="2031">
        <v>491.0</v>
      </c>
      <c r="H3067" s="2031">
        <v>491.0</v>
      </c>
    </row>
    <row r="3068">
      <c r="B3068" s="2031">
        <v>3066.0</v>
      </c>
      <c r="C3068" s="2031">
        <v>368.0</v>
      </c>
      <c r="D3068" s="2031">
        <v>736.0</v>
      </c>
      <c r="E3068" s="2031">
        <v>490.0</v>
      </c>
      <c r="F3068" s="2031">
        <v>490.0</v>
      </c>
      <c r="G3068" s="2031">
        <v>491.0</v>
      </c>
      <c r="H3068" s="2031">
        <v>491.0</v>
      </c>
    </row>
    <row r="3069">
      <c r="B3069" s="2031">
        <v>3067.0</v>
      </c>
      <c r="C3069" s="2031">
        <v>368.0</v>
      </c>
      <c r="D3069" s="2031">
        <v>737.0</v>
      </c>
      <c r="E3069" s="2031">
        <v>490.0</v>
      </c>
      <c r="F3069" s="2031">
        <v>490.0</v>
      </c>
      <c r="G3069" s="2031">
        <v>491.0</v>
      </c>
      <c r="H3069" s="2031">
        <v>491.0</v>
      </c>
    </row>
    <row r="3070">
      <c r="B3070" s="2031">
        <v>3068.0</v>
      </c>
      <c r="C3070" s="2031">
        <v>368.0</v>
      </c>
      <c r="D3070" s="2031">
        <v>736.0</v>
      </c>
      <c r="E3070" s="2031">
        <v>491.0</v>
      </c>
      <c r="F3070" s="2031">
        <v>491.0</v>
      </c>
      <c r="G3070" s="2031">
        <v>491.0</v>
      </c>
      <c r="H3070" s="2031">
        <v>491.0</v>
      </c>
    </row>
    <row r="3071">
      <c r="B3071" s="2031">
        <v>3069.0</v>
      </c>
      <c r="C3071" s="2031">
        <v>368.0</v>
      </c>
      <c r="D3071" s="2031">
        <v>737.0</v>
      </c>
      <c r="E3071" s="2031">
        <v>491.0</v>
      </c>
      <c r="F3071" s="2031">
        <v>491.0</v>
      </c>
      <c r="G3071" s="2031">
        <v>491.0</v>
      </c>
      <c r="H3071" s="2031">
        <v>491.0</v>
      </c>
    </row>
    <row r="3072">
      <c r="B3072" s="2031">
        <v>3070.0</v>
      </c>
      <c r="C3072" s="2031">
        <v>369.0</v>
      </c>
      <c r="D3072" s="2031">
        <v>737.0</v>
      </c>
      <c r="E3072" s="2031">
        <v>491.0</v>
      </c>
      <c r="F3072" s="2031">
        <v>491.0</v>
      </c>
      <c r="G3072" s="2031">
        <v>491.0</v>
      </c>
      <c r="H3072" s="2031">
        <v>491.0</v>
      </c>
    </row>
    <row r="3073">
      <c r="B3073" s="2031">
        <v>3071.0</v>
      </c>
      <c r="C3073" s="2031">
        <v>368.0</v>
      </c>
      <c r="D3073" s="2031">
        <v>737.0</v>
      </c>
      <c r="E3073" s="2031">
        <v>491.0</v>
      </c>
      <c r="F3073" s="2031">
        <v>491.0</v>
      </c>
      <c r="G3073" s="2031">
        <v>492.0</v>
      </c>
      <c r="H3073" s="2031">
        <v>492.0</v>
      </c>
    </row>
    <row r="3074">
      <c r="B3074" s="2031">
        <v>3072.0</v>
      </c>
      <c r="C3074" s="2031">
        <v>369.0</v>
      </c>
      <c r="D3074" s="2031">
        <v>737.0</v>
      </c>
      <c r="E3074" s="2031">
        <v>491.0</v>
      </c>
      <c r="F3074" s="2031">
        <v>491.0</v>
      </c>
      <c r="G3074" s="2031">
        <v>492.0</v>
      </c>
      <c r="H3074" s="2031">
        <v>492.0</v>
      </c>
    </row>
    <row r="3075">
      <c r="B3075" s="2031">
        <v>3073.0</v>
      </c>
      <c r="C3075" s="2031">
        <v>368.0</v>
      </c>
      <c r="D3075" s="2031">
        <v>737.0</v>
      </c>
      <c r="E3075" s="2031">
        <v>492.0</v>
      </c>
      <c r="F3075" s="2031">
        <v>492.0</v>
      </c>
      <c r="G3075" s="2031">
        <v>492.0</v>
      </c>
      <c r="H3075" s="2031">
        <v>492.0</v>
      </c>
    </row>
    <row r="3076">
      <c r="B3076" s="2031">
        <v>3074.0</v>
      </c>
      <c r="C3076" s="2031">
        <v>369.0</v>
      </c>
      <c r="D3076" s="2031">
        <v>737.0</v>
      </c>
      <c r="E3076" s="2031">
        <v>492.0</v>
      </c>
      <c r="F3076" s="2031">
        <v>492.0</v>
      </c>
      <c r="G3076" s="2031">
        <v>492.0</v>
      </c>
      <c r="H3076" s="2031">
        <v>492.0</v>
      </c>
    </row>
    <row r="3077">
      <c r="B3077" s="2031">
        <v>3075.0</v>
      </c>
      <c r="C3077" s="2031">
        <v>369.0</v>
      </c>
      <c r="D3077" s="2031">
        <v>738.0</v>
      </c>
      <c r="E3077" s="2031">
        <v>492.0</v>
      </c>
      <c r="F3077" s="2031">
        <v>492.0</v>
      </c>
      <c r="G3077" s="2031">
        <v>492.0</v>
      </c>
      <c r="H3077" s="2031">
        <v>492.0</v>
      </c>
    </row>
    <row r="3078">
      <c r="B3078" s="2031">
        <v>3076.0</v>
      </c>
      <c r="C3078" s="2031">
        <v>369.0</v>
      </c>
      <c r="D3078" s="2031">
        <v>739.0</v>
      </c>
      <c r="E3078" s="2031">
        <v>492.0</v>
      </c>
      <c r="F3078" s="2031">
        <v>492.0</v>
      </c>
      <c r="G3078" s="2031">
        <v>492.0</v>
      </c>
      <c r="H3078" s="2031">
        <v>492.0</v>
      </c>
    </row>
    <row r="3079">
      <c r="B3079" s="2031">
        <v>3077.0</v>
      </c>
      <c r="C3079" s="2031">
        <v>370.0</v>
      </c>
      <c r="D3079" s="2031">
        <v>739.0</v>
      </c>
      <c r="E3079" s="2031">
        <v>492.0</v>
      </c>
      <c r="F3079" s="2031">
        <v>492.0</v>
      </c>
      <c r="G3079" s="2031">
        <v>492.0</v>
      </c>
      <c r="H3079" s="2031">
        <v>492.0</v>
      </c>
    </row>
    <row r="3080">
      <c r="B3080" s="2031">
        <v>3078.0</v>
      </c>
      <c r="C3080" s="2031">
        <v>369.0</v>
      </c>
      <c r="D3080" s="2031">
        <v>739.0</v>
      </c>
      <c r="E3080" s="2031">
        <v>492.0</v>
      </c>
      <c r="F3080" s="2031">
        <v>492.0</v>
      </c>
      <c r="G3080" s="2031">
        <v>493.0</v>
      </c>
      <c r="H3080" s="2031">
        <v>493.0</v>
      </c>
    </row>
    <row r="3081">
      <c r="B3081" s="2031">
        <v>3079.0</v>
      </c>
      <c r="C3081" s="2031">
        <v>370.0</v>
      </c>
      <c r="D3081" s="2031">
        <v>739.0</v>
      </c>
      <c r="E3081" s="2031">
        <v>492.0</v>
      </c>
      <c r="F3081" s="2031">
        <v>492.0</v>
      </c>
      <c r="G3081" s="2031">
        <v>493.0</v>
      </c>
      <c r="H3081" s="2031">
        <v>493.0</v>
      </c>
    </row>
    <row r="3082">
      <c r="B3082" s="2031">
        <v>3080.0</v>
      </c>
      <c r="C3082" s="2031">
        <v>369.0</v>
      </c>
      <c r="D3082" s="2031">
        <v>739.0</v>
      </c>
      <c r="E3082" s="2031">
        <v>493.0</v>
      </c>
      <c r="F3082" s="2031">
        <v>493.0</v>
      </c>
      <c r="G3082" s="2031">
        <v>493.0</v>
      </c>
      <c r="H3082" s="2031">
        <v>493.0</v>
      </c>
    </row>
    <row r="3083">
      <c r="B3083" s="2031">
        <v>3081.0</v>
      </c>
      <c r="C3083" s="2031">
        <v>370.0</v>
      </c>
      <c r="D3083" s="2031">
        <v>739.0</v>
      </c>
      <c r="E3083" s="2031">
        <v>493.0</v>
      </c>
      <c r="F3083" s="2031">
        <v>493.0</v>
      </c>
      <c r="G3083" s="2031">
        <v>493.0</v>
      </c>
      <c r="H3083" s="2031">
        <v>493.0</v>
      </c>
    </row>
    <row r="3084">
      <c r="B3084" s="2031">
        <v>3082.0</v>
      </c>
      <c r="C3084" s="2031">
        <v>370.0</v>
      </c>
      <c r="D3084" s="2031">
        <v>740.0</v>
      </c>
      <c r="E3084" s="2031">
        <v>493.0</v>
      </c>
      <c r="F3084" s="2031">
        <v>493.0</v>
      </c>
      <c r="G3084" s="2031">
        <v>493.0</v>
      </c>
      <c r="H3084" s="2031">
        <v>493.0</v>
      </c>
    </row>
    <row r="3085">
      <c r="B3085" s="2031">
        <v>3083.0</v>
      </c>
      <c r="C3085" s="2031">
        <v>370.0</v>
      </c>
      <c r="D3085" s="2031">
        <v>739.0</v>
      </c>
      <c r="E3085" s="2031">
        <v>493.0</v>
      </c>
      <c r="F3085" s="2031">
        <v>493.0</v>
      </c>
      <c r="G3085" s="2031">
        <v>494.0</v>
      </c>
      <c r="H3085" s="2031">
        <v>494.0</v>
      </c>
    </row>
    <row r="3086">
      <c r="B3086" s="2031">
        <v>3084.0</v>
      </c>
      <c r="C3086" s="2031">
        <v>370.0</v>
      </c>
      <c r="D3086" s="2031">
        <v>740.0</v>
      </c>
      <c r="E3086" s="2031">
        <v>493.0</v>
      </c>
      <c r="F3086" s="2031">
        <v>493.0</v>
      </c>
      <c r="G3086" s="2031">
        <v>494.0</v>
      </c>
      <c r="H3086" s="2031">
        <v>494.0</v>
      </c>
    </row>
    <row r="3087">
      <c r="B3087" s="2031">
        <v>3085.0</v>
      </c>
      <c r="C3087" s="2031">
        <v>370.0</v>
      </c>
      <c r="D3087" s="2031">
        <v>741.0</v>
      </c>
      <c r="E3087" s="2031">
        <v>493.0</v>
      </c>
      <c r="F3087" s="2031">
        <v>493.0</v>
      </c>
      <c r="G3087" s="2031">
        <v>494.0</v>
      </c>
      <c r="H3087" s="2031">
        <v>494.0</v>
      </c>
    </row>
    <row r="3088">
      <c r="B3088" s="2031">
        <v>3086.0</v>
      </c>
      <c r="C3088" s="2031">
        <v>370.0</v>
      </c>
      <c r="D3088" s="2031">
        <v>740.0</v>
      </c>
      <c r="E3088" s="2031">
        <v>494.0</v>
      </c>
      <c r="F3088" s="2031">
        <v>494.0</v>
      </c>
      <c r="G3088" s="2031">
        <v>494.0</v>
      </c>
      <c r="H3088" s="2031">
        <v>494.0</v>
      </c>
    </row>
    <row r="3089">
      <c r="B3089" s="2031">
        <v>3087.0</v>
      </c>
      <c r="C3089" s="2031">
        <v>370.0</v>
      </c>
      <c r="D3089" s="2031">
        <v>741.0</v>
      </c>
      <c r="E3089" s="2031">
        <v>494.0</v>
      </c>
      <c r="F3089" s="2031">
        <v>494.0</v>
      </c>
      <c r="G3089" s="2031">
        <v>494.0</v>
      </c>
      <c r="H3089" s="2031">
        <v>494.0</v>
      </c>
    </row>
    <row r="3090">
      <c r="B3090" s="2031">
        <v>3088.0</v>
      </c>
      <c r="C3090" s="2031">
        <v>371.0</v>
      </c>
      <c r="D3090" s="2031">
        <v>741.0</v>
      </c>
      <c r="E3090" s="2031">
        <v>494.0</v>
      </c>
      <c r="F3090" s="2031">
        <v>494.0</v>
      </c>
      <c r="G3090" s="2031">
        <v>494.0</v>
      </c>
      <c r="H3090" s="2031">
        <v>494.0</v>
      </c>
    </row>
    <row r="3091">
      <c r="B3091" s="2031">
        <v>3089.0</v>
      </c>
      <c r="C3091" s="2031">
        <v>371.0</v>
      </c>
      <c r="D3091" s="2031">
        <v>742.0</v>
      </c>
      <c r="E3091" s="2031">
        <v>494.0</v>
      </c>
      <c r="F3091" s="2031">
        <v>494.0</v>
      </c>
      <c r="G3091" s="2031">
        <v>494.0</v>
      </c>
      <c r="H3091" s="2031">
        <v>494.0</v>
      </c>
    </row>
    <row r="3092">
      <c r="B3092" s="2031">
        <v>3090.0</v>
      </c>
      <c r="C3092" s="2031">
        <v>371.0</v>
      </c>
      <c r="D3092" s="2031">
        <v>741.0</v>
      </c>
      <c r="E3092" s="2031">
        <v>494.0</v>
      </c>
      <c r="F3092" s="2031">
        <v>494.0</v>
      </c>
      <c r="G3092" s="2031">
        <v>495.0</v>
      </c>
      <c r="H3092" s="2031">
        <v>495.0</v>
      </c>
    </row>
    <row r="3093">
      <c r="B3093" s="2031">
        <v>3091.0</v>
      </c>
      <c r="C3093" s="2031">
        <v>371.0</v>
      </c>
      <c r="D3093" s="2031">
        <v>742.0</v>
      </c>
      <c r="E3093" s="2031">
        <v>494.0</v>
      </c>
      <c r="F3093" s="2031">
        <v>494.0</v>
      </c>
      <c r="G3093" s="2031">
        <v>495.0</v>
      </c>
      <c r="H3093" s="2031">
        <v>495.0</v>
      </c>
    </row>
    <row r="3094">
      <c r="B3094" s="2031">
        <v>3092.0</v>
      </c>
      <c r="C3094" s="2031">
        <v>371.0</v>
      </c>
      <c r="D3094" s="2031">
        <v>743.0</v>
      </c>
      <c r="E3094" s="2031">
        <v>494.0</v>
      </c>
      <c r="F3094" s="2031">
        <v>494.0</v>
      </c>
      <c r="G3094" s="2031">
        <v>495.0</v>
      </c>
      <c r="H3094" s="2031">
        <v>495.0</v>
      </c>
    </row>
    <row r="3095">
      <c r="B3095" s="2031">
        <v>3093.0</v>
      </c>
      <c r="C3095" s="2031">
        <v>371.0</v>
      </c>
      <c r="D3095" s="2031">
        <v>742.0</v>
      </c>
      <c r="E3095" s="2031">
        <v>495.0</v>
      </c>
      <c r="F3095" s="2031">
        <v>495.0</v>
      </c>
      <c r="G3095" s="2031">
        <v>495.0</v>
      </c>
      <c r="H3095" s="2031">
        <v>495.0</v>
      </c>
    </row>
    <row r="3096">
      <c r="B3096" s="2031">
        <v>3094.0</v>
      </c>
      <c r="C3096" s="2031">
        <v>371.0</v>
      </c>
      <c r="D3096" s="2031">
        <v>743.0</v>
      </c>
      <c r="E3096" s="2031">
        <v>495.0</v>
      </c>
      <c r="F3096" s="2031">
        <v>495.0</v>
      </c>
      <c r="G3096" s="2031">
        <v>495.0</v>
      </c>
      <c r="H3096" s="2031">
        <v>495.0</v>
      </c>
    </row>
    <row r="3097">
      <c r="B3097" s="2031">
        <v>3095.0</v>
      </c>
      <c r="C3097" s="2031">
        <v>372.0</v>
      </c>
      <c r="D3097" s="2031">
        <v>743.0</v>
      </c>
      <c r="E3097" s="2031">
        <v>495.0</v>
      </c>
      <c r="F3097" s="2031">
        <v>495.0</v>
      </c>
      <c r="G3097" s="2031">
        <v>495.0</v>
      </c>
      <c r="H3097" s="2031">
        <v>495.0</v>
      </c>
    </row>
    <row r="3098">
      <c r="B3098" s="2031">
        <v>3096.0</v>
      </c>
      <c r="C3098" s="2031">
        <v>371.0</v>
      </c>
      <c r="D3098" s="2031">
        <v>743.0</v>
      </c>
      <c r="E3098" s="2031">
        <v>495.0</v>
      </c>
      <c r="F3098" s="2031">
        <v>495.0</v>
      </c>
      <c r="G3098" s="2031">
        <v>496.0</v>
      </c>
      <c r="H3098" s="2031">
        <v>496.0</v>
      </c>
    </row>
    <row r="3099">
      <c r="B3099" s="2031">
        <v>3097.0</v>
      </c>
      <c r="C3099" s="2031">
        <v>372.0</v>
      </c>
      <c r="D3099" s="2031">
        <v>743.0</v>
      </c>
      <c r="E3099" s="2031">
        <v>495.0</v>
      </c>
      <c r="F3099" s="2031">
        <v>495.0</v>
      </c>
      <c r="G3099" s="2031">
        <v>496.0</v>
      </c>
      <c r="H3099" s="2031">
        <v>496.0</v>
      </c>
    </row>
    <row r="3100">
      <c r="B3100" s="2031">
        <v>3098.0</v>
      </c>
      <c r="C3100" s="2031">
        <v>371.0</v>
      </c>
      <c r="D3100" s="2031">
        <v>743.0</v>
      </c>
      <c r="E3100" s="2031">
        <v>496.0</v>
      </c>
      <c r="F3100" s="2031">
        <v>496.0</v>
      </c>
      <c r="G3100" s="2031">
        <v>496.0</v>
      </c>
      <c r="H3100" s="2031">
        <v>496.0</v>
      </c>
    </row>
    <row r="3101">
      <c r="B3101" s="2031">
        <v>3099.0</v>
      </c>
      <c r="C3101" s="2031">
        <v>372.0</v>
      </c>
      <c r="D3101" s="2031">
        <v>743.0</v>
      </c>
      <c r="E3101" s="2031">
        <v>496.0</v>
      </c>
      <c r="F3101" s="2031">
        <v>496.0</v>
      </c>
      <c r="G3101" s="2031">
        <v>496.0</v>
      </c>
      <c r="H3101" s="2031">
        <v>496.0</v>
      </c>
    </row>
    <row r="3102">
      <c r="B3102" s="2031">
        <v>3100.0</v>
      </c>
      <c r="C3102" s="2031">
        <v>372.0</v>
      </c>
      <c r="D3102" s="2031">
        <v>744.0</v>
      </c>
      <c r="E3102" s="2031">
        <v>496.0</v>
      </c>
      <c r="F3102" s="2031">
        <v>496.0</v>
      </c>
      <c r="G3102" s="2031">
        <v>496.0</v>
      </c>
      <c r="H3102" s="2031">
        <v>496.0</v>
      </c>
    </row>
    <row r="3103">
      <c r="B3103" s="2031">
        <v>3101.0</v>
      </c>
      <c r="C3103" s="2031">
        <v>372.0</v>
      </c>
      <c r="D3103" s="2031">
        <v>745.0</v>
      </c>
      <c r="E3103" s="2031">
        <v>496.0</v>
      </c>
      <c r="F3103" s="2031">
        <v>496.0</v>
      </c>
      <c r="G3103" s="2031">
        <v>496.0</v>
      </c>
      <c r="H3103" s="2031">
        <v>496.0</v>
      </c>
    </row>
    <row r="3104">
      <c r="B3104" s="2031">
        <v>3102.0</v>
      </c>
      <c r="C3104" s="2031">
        <v>373.0</v>
      </c>
      <c r="D3104" s="2031">
        <v>745.0</v>
      </c>
      <c r="E3104" s="2031">
        <v>496.0</v>
      </c>
      <c r="F3104" s="2031">
        <v>496.0</v>
      </c>
      <c r="G3104" s="2031">
        <v>496.0</v>
      </c>
      <c r="H3104" s="2031">
        <v>496.0</v>
      </c>
    </row>
    <row r="3105">
      <c r="B3105" s="2031">
        <v>3103.0</v>
      </c>
      <c r="C3105" s="2031">
        <v>372.0</v>
      </c>
      <c r="D3105" s="2031">
        <v>745.0</v>
      </c>
      <c r="E3105" s="2031">
        <v>496.0</v>
      </c>
      <c r="F3105" s="2031">
        <v>496.0</v>
      </c>
      <c r="G3105" s="2031">
        <v>497.0</v>
      </c>
      <c r="H3105" s="2031">
        <v>497.0</v>
      </c>
    </row>
    <row r="3106">
      <c r="B3106" s="2031">
        <v>3104.0</v>
      </c>
      <c r="C3106" s="2031">
        <v>373.0</v>
      </c>
      <c r="D3106" s="2031">
        <v>745.0</v>
      </c>
      <c r="E3106" s="2031">
        <v>496.0</v>
      </c>
      <c r="F3106" s="2031">
        <v>496.0</v>
      </c>
      <c r="G3106" s="2031">
        <v>497.0</v>
      </c>
      <c r="H3106" s="2031">
        <v>497.0</v>
      </c>
    </row>
    <row r="3107">
      <c r="B3107" s="2031">
        <v>3105.0</v>
      </c>
      <c r="C3107" s="2031">
        <v>372.0</v>
      </c>
      <c r="D3107" s="2031">
        <v>745.0</v>
      </c>
      <c r="E3107" s="2031">
        <v>497.0</v>
      </c>
      <c r="F3107" s="2031">
        <v>497.0</v>
      </c>
      <c r="G3107" s="2031">
        <v>497.0</v>
      </c>
      <c r="H3107" s="2031">
        <v>497.0</v>
      </c>
    </row>
    <row r="3108">
      <c r="B3108" s="2031">
        <v>3106.0</v>
      </c>
      <c r="C3108" s="2031">
        <v>373.0</v>
      </c>
      <c r="D3108" s="2031">
        <v>745.0</v>
      </c>
      <c r="E3108" s="2031">
        <v>497.0</v>
      </c>
      <c r="F3108" s="2031">
        <v>497.0</v>
      </c>
      <c r="G3108" s="2031">
        <v>497.0</v>
      </c>
      <c r="H3108" s="2031">
        <v>497.0</v>
      </c>
    </row>
    <row r="3109">
      <c r="B3109" s="2031">
        <v>3107.0</v>
      </c>
      <c r="C3109" s="2031">
        <v>373.0</v>
      </c>
      <c r="D3109" s="2031">
        <v>746.0</v>
      </c>
      <c r="E3109" s="2031">
        <v>497.0</v>
      </c>
      <c r="F3109" s="2031">
        <v>497.0</v>
      </c>
      <c r="G3109" s="2031">
        <v>497.0</v>
      </c>
      <c r="H3109" s="2031">
        <v>497.0</v>
      </c>
    </row>
    <row r="3110">
      <c r="B3110" s="2031">
        <v>3108.0</v>
      </c>
      <c r="C3110" s="2031">
        <v>373.0</v>
      </c>
      <c r="D3110" s="2031">
        <v>745.0</v>
      </c>
      <c r="E3110" s="2031">
        <v>497.0</v>
      </c>
      <c r="F3110" s="2031">
        <v>497.0</v>
      </c>
      <c r="G3110" s="2031">
        <v>498.0</v>
      </c>
      <c r="H3110" s="2031">
        <v>498.0</v>
      </c>
    </row>
    <row r="3111">
      <c r="B3111" s="2031">
        <v>3109.0</v>
      </c>
      <c r="C3111" s="2031">
        <v>373.0</v>
      </c>
      <c r="D3111" s="2031">
        <v>746.0</v>
      </c>
      <c r="E3111" s="2031">
        <v>497.0</v>
      </c>
      <c r="F3111" s="2031">
        <v>497.0</v>
      </c>
      <c r="G3111" s="2031">
        <v>498.0</v>
      </c>
      <c r="H3111" s="2031">
        <v>498.0</v>
      </c>
    </row>
    <row r="3112">
      <c r="B3112" s="2031">
        <v>3110.0</v>
      </c>
      <c r="C3112" s="2031">
        <v>373.0</v>
      </c>
      <c r="D3112" s="2031">
        <v>747.0</v>
      </c>
      <c r="E3112" s="2031">
        <v>497.0</v>
      </c>
      <c r="F3112" s="2031">
        <v>497.0</v>
      </c>
      <c r="G3112" s="2031">
        <v>498.0</v>
      </c>
      <c r="H3112" s="2031">
        <v>498.0</v>
      </c>
    </row>
    <row r="3113">
      <c r="B3113" s="2031">
        <v>3111.0</v>
      </c>
      <c r="C3113" s="2031">
        <v>373.0</v>
      </c>
      <c r="D3113" s="2031">
        <v>746.0</v>
      </c>
      <c r="E3113" s="2031">
        <v>498.0</v>
      </c>
      <c r="F3113" s="2031">
        <v>498.0</v>
      </c>
      <c r="G3113" s="2031">
        <v>498.0</v>
      </c>
      <c r="H3113" s="2031">
        <v>498.0</v>
      </c>
    </row>
    <row r="3114">
      <c r="B3114" s="2031">
        <v>3112.0</v>
      </c>
      <c r="C3114" s="2031">
        <v>373.0</v>
      </c>
      <c r="D3114" s="2031">
        <v>747.0</v>
      </c>
      <c r="E3114" s="2031">
        <v>498.0</v>
      </c>
      <c r="F3114" s="2031">
        <v>498.0</v>
      </c>
      <c r="G3114" s="2031">
        <v>498.0</v>
      </c>
      <c r="H3114" s="2031">
        <v>498.0</v>
      </c>
    </row>
    <row r="3115">
      <c r="B3115" s="2031">
        <v>3113.0</v>
      </c>
      <c r="C3115" s="2031">
        <v>374.0</v>
      </c>
      <c r="D3115" s="2031">
        <v>747.0</v>
      </c>
      <c r="E3115" s="2031">
        <v>498.0</v>
      </c>
      <c r="F3115" s="2031">
        <v>498.0</v>
      </c>
      <c r="G3115" s="2031">
        <v>498.0</v>
      </c>
      <c r="H3115" s="2031">
        <v>498.0</v>
      </c>
    </row>
    <row r="3116">
      <c r="B3116" s="2031">
        <v>3114.0</v>
      </c>
      <c r="C3116" s="2031">
        <v>374.0</v>
      </c>
      <c r="D3116" s="2031">
        <v>748.0</v>
      </c>
      <c r="E3116" s="2031">
        <v>498.0</v>
      </c>
      <c r="F3116" s="2031">
        <v>498.0</v>
      </c>
      <c r="G3116" s="2031">
        <v>498.0</v>
      </c>
      <c r="H3116" s="2031">
        <v>498.0</v>
      </c>
    </row>
    <row r="3117">
      <c r="B3117" s="2031">
        <v>3115.0</v>
      </c>
      <c r="C3117" s="2031">
        <v>374.0</v>
      </c>
      <c r="D3117" s="2031">
        <v>747.0</v>
      </c>
      <c r="E3117" s="2031">
        <v>498.0</v>
      </c>
      <c r="F3117" s="2031">
        <v>498.0</v>
      </c>
      <c r="G3117" s="2031">
        <v>499.0</v>
      </c>
      <c r="H3117" s="2031">
        <v>499.0</v>
      </c>
    </row>
    <row r="3118">
      <c r="B3118" s="2031">
        <v>3116.0</v>
      </c>
      <c r="C3118" s="2031">
        <v>374.0</v>
      </c>
      <c r="D3118" s="2031">
        <v>748.0</v>
      </c>
      <c r="E3118" s="2031">
        <v>498.0</v>
      </c>
      <c r="F3118" s="2031">
        <v>498.0</v>
      </c>
      <c r="G3118" s="2031">
        <v>499.0</v>
      </c>
      <c r="H3118" s="2031">
        <v>499.0</v>
      </c>
    </row>
    <row r="3119">
      <c r="B3119" s="2031">
        <v>3117.0</v>
      </c>
      <c r="C3119" s="2031">
        <v>374.0</v>
      </c>
      <c r="D3119" s="2031">
        <v>749.0</v>
      </c>
      <c r="E3119" s="2031">
        <v>498.0</v>
      </c>
      <c r="F3119" s="2031">
        <v>498.0</v>
      </c>
      <c r="G3119" s="2031">
        <v>499.0</v>
      </c>
      <c r="H3119" s="2031">
        <v>499.0</v>
      </c>
    </row>
    <row r="3120">
      <c r="B3120" s="2031">
        <v>3118.0</v>
      </c>
      <c r="C3120" s="2031">
        <v>374.0</v>
      </c>
      <c r="D3120" s="2031">
        <v>748.0</v>
      </c>
      <c r="E3120" s="2031">
        <v>499.0</v>
      </c>
      <c r="F3120" s="2031">
        <v>499.0</v>
      </c>
      <c r="G3120" s="2031">
        <v>499.0</v>
      </c>
      <c r="H3120" s="2031">
        <v>499.0</v>
      </c>
    </row>
    <row r="3121">
      <c r="B3121" s="2031">
        <v>3119.0</v>
      </c>
      <c r="C3121" s="2031">
        <v>374.0</v>
      </c>
      <c r="D3121" s="2031">
        <v>749.0</v>
      </c>
      <c r="E3121" s="2031">
        <v>499.0</v>
      </c>
      <c r="F3121" s="2031">
        <v>499.0</v>
      </c>
      <c r="G3121" s="2031">
        <v>499.0</v>
      </c>
      <c r="H3121" s="2031">
        <v>499.0</v>
      </c>
    </row>
    <row r="3122">
      <c r="B3122" s="2031">
        <v>3120.0</v>
      </c>
      <c r="C3122" s="2031">
        <v>375.0</v>
      </c>
      <c r="D3122" s="2031">
        <v>749.0</v>
      </c>
      <c r="E3122" s="2031">
        <v>499.0</v>
      </c>
      <c r="F3122" s="2031">
        <v>499.0</v>
      </c>
      <c r="G3122" s="2031">
        <v>499.0</v>
      </c>
      <c r="H3122" s="2031">
        <v>499.0</v>
      </c>
    </row>
    <row r="3123">
      <c r="B3123" s="2031">
        <v>3121.0</v>
      </c>
      <c r="C3123" s="2031">
        <v>374.0</v>
      </c>
      <c r="D3123" s="2031">
        <v>749.0</v>
      </c>
      <c r="E3123" s="2031">
        <v>499.0</v>
      </c>
      <c r="F3123" s="2031">
        <v>499.0</v>
      </c>
      <c r="G3123" s="2031">
        <v>500.0</v>
      </c>
      <c r="H3123" s="2031">
        <v>500.0</v>
      </c>
    </row>
    <row r="3124">
      <c r="B3124" s="2031">
        <v>3122.0</v>
      </c>
      <c r="C3124" s="2031">
        <v>375.0</v>
      </c>
      <c r="D3124" s="2031">
        <v>749.0</v>
      </c>
      <c r="E3124" s="2031">
        <v>499.0</v>
      </c>
      <c r="F3124" s="2031">
        <v>499.0</v>
      </c>
      <c r="G3124" s="2031">
        <v>500.0</v>
      </c>
      <c r="H3124" s="2031">
        <v>500.0</v>
      </c>
    </row>
    <row r="3125">
      <c r="B3125" s="2031">
        <v>3123.0</v>
      </c>
      <c r="C3125" s="2031">
        <v>374.0</v>
      </c>
      <c r="D3125" s="2031">
        <v>749.0</v>
      </c>
      <c r="E3125" s="2031">
        <v>500.0</v>
      </c>
      <c r="F3125" s="2031">
        <v>500.0</v>
      </c>
      <c r="G3125" s="2031">
        <v>500.0</v>
      </c>
      <c r="H3125" s="2031">
        <v>500.0</v>
      </c>
    </row>
    <row r="3126">
      <c r="B3126" s="2031">
        <v>3124.0</v>
      </c>
      <c r="C3126" s="2031">
        <v>375.0</v>
      </c>
      <c r="D3126" s="2031">
        <v>749.0</v>
      </c>
      <c r="E3126" s="2031">
        <v>500.0</v>
      </c>
      <c r="F3126" s="2031">
        <v>500.0</v>
      </c>
      <c r="G3126" s="2031">
        <v>500.0</v>
      </c>
      <c r="H3126" s="2031">
        <v>500.0</v>
      </c>
    </row>
    <row r="3127">
      <c r="B3127" s="2031">
        <v>3125.0</v>
      </c>
      <c r="C3127" s="2031">
        <v>375.0</v>
      </c>
      <c r="D3127" s="2031">
        <v>750.0</v>
      </c>
      <c r="E3127" s="2031">
        <v>500.0</v>
      </c>
      <c r="F3127" s="2031">
        <v>500.0</v>
      </c>
      <c r="G3127" s="2031">
        <v>500.0</v>
      </c>
      <c r="H3127" s="2031">
        <v>500.0</v>
      </c>
    </row>
    <row r="3128">
      <c r="B3128" s="2031">
        <v>3126.0</v>
      </c>
      <c r="C3128" s="2031">
        <v>375.0</v>
      </c>
      <c r="D3128" s="2031">
        <v>751.0</v>
      </c>
      <c r="E3128" s="2031">
        <v>500.0</v>
      </c>
      <c r="F3128" s="2031">
        <v>500.0</v>
      </c>
      <c r="G3128" s="2031">
        <v>500.0</v>
      </c>
      <c r="H3128" s="2031">
        <v>500.0</v>
      </c>
    </row>
    <row r="3129">
      <c r="B3129" s="2031">
        <v>3127.0</v>
      </c>
      <c r="C3129" s="2031">
        <v>376.0</v>
      </c>
      <c r="D3129" s="2031">
        <v>751.0</v>
      </c>
      <c r="E3129" s="2031">
        <v>500.0</v>
      </c>
      <c r="F3129" s="2031">
        <v>500.0</v>
      </c>
      <c r="G3129" s="2031">
        <v>500.0</v>
      </c>
      <c r="H3129" s="2031">
        <v>500.0</v>
      </c>
    </row>
    <row r="3130">
      <c r="B3130" s="2031">
        <v>3128.0</v>
      </c>
      <c r="C3130" s="2031">
        <v>375.0</v>
      </c>
      <c r="D3130" s="2031">
        <v>751.0</v>
      </c>
      <c r="E3130" s="2031">
        <v>500.0</v>
      </c>
      <c r="F3130" s="2031">
        <v>500.0</v>
      </c>
      <c r="G3130" s="2031">
        <v>501.0</v>
      </c>
      <c r="H3130" s="2031">
        <v>501.0</v>
      </c>
    </row>
    <row r="3131">
      <c r="B3131" s="2031">
        <v>3129.0</v>
      </c>
      <c r="C3131" s="2031">
        <v>376.0</v>
      </c>
      <c r="D3131" s="2031">
        <v>751.0</v>
      </c>
      <c r="E3131" s="2031">
        <v>500.0</v>
      </c>
      <c r="F3131" s="2031">
        <v>500.0</v>
      </c>
      <c r="G3131" s="2031">
        <v>501.0</v>
      </c>
      <c r="H3131" s="2031">
        <v>501.0</v>
      </c>
    </row>
    <row r="3132">
      <c r="B3132" s="2031">
        <v>3130.0</v>
      </c>
      <c r="C3132" s="2031">
        <v>375.0</v>
      </c>
      <c r="D3132" s="2031">
        <v>751.0</v>
      </c>
      <c r="E3132" s="2031">
        <v>501.0</v>
      </c>
      <c r="F3132" s="2031">
        <v>501.0</v>
      </c>
      <c r="G3132" s="2031">
        <v>501.0</v>
      </c>
      <c r="H3132" s="2031">
        <v>501.0</v>
      </c>
    </row>
    <row r="3133">
      <c r="B3133" s="2031">
        <v>3131.0</v>
      </c>
      <c r="C3133" s="2031">
        <v>376.0</v>
      </c>
      <c r="D3133" s="2031">
        <v>751.0</v>
      </c>
      <c r="E3133" s="2031">
        <v>501.0</v>
      </c>
      <c r="F3133" s="2031">
        <v>501.0</v>
      </c>
      <c r="G3133" s="2031">
        <v>501.0</v>
      </c>
      <c r="H3133" s="2031">
        <v>501.0</v>
      </c>
    </row>
    <row r="3134">
      <c r="B3134" s="2031">
        <v>3132.0</v>
      </c>
      <c r="C3134" s="2031">
        <v>376.0</v>
      </c>
      <c r="D3134" s="2031">
        <v>752.0</v>
      </c>
      <c r="E3134" s="2031">
        <v>501.0</v>
      </c>
      <c r="F3134" s="2031">
        <v>501.0</v>
      </c>
      <c r="G3134" s="2031">
        <v>501.0</v>
      </c>
      <c r="H3134" s="2031">
        <v>501.0</v>
      </c>
    </row>
    <row r="3135">
      <c r="B3135" s="2031">
        <v>3133.0</v>
      </c>
      <c r="C3135" s="2031">
        <v>376.0</v>
      </c>
      <c r="D3135" s="2031">
        <v>751.0</v>
      </c>
      <c r="E3135" s="2031">
        <v>501.0</v>
      </c>
      <c r="F3135" s="2031">
        <v>501.0</v>
      </c>
      <c r="G3135" s="2031">
        <v>502.0</v>
      </c>
      <c r="H3135" s="2031">
        <v>502.0</v>
      </c>
    </row>
    <row r="3136">
      <c r="B3136" s="2031">
        <v>3134.0</v>
      </c>
      <c r="C3136" s="2031">
        <v>376.0</v>
      </c>
      <c r="D3136" s="2031">
        <v>752.0</v>
      </c>
      <c r="E3136" s="2031">
        <v>501.0</v>
      </c>
      <c r="F3136" s="2031">
        <v>501.0</v>
      </c>
      <c r="G3136" s="2031">
        <v>502.0</v>
      </c>
      <c r="H3136" s="2031">
        <v>502.0</v>
      </c>
    </row>
    <row r="3137">
      <c r="B3137" s="2031">
        <v>3135.0</v>
      </c>
      <c r="C3137" s="2031">
        <v>376.0</v>
      </c>
      <c r="D3137" s="2031">
        <v>753.0</v>
      </c>
      <c r="E3137" s="2031">
        <v>501.0</v>
      </c>
      <c r="F3137" s="2031">
        <v>501.0</v>
      </c>
      <c r="G3137" s="2031">
        <v>502.0</v>
      </c>
      <c r="H3137" s="2031">
        <v>502.0</v>
      </c>
    </row>
    <row r="3138">
      <c r="B3138" s="2031">
        <v>3136.0</v>
      </c>
      <c r="C3138" s="2031">
        <v>376.0</v>
      </c>
      <c r="D3138" s="2031">
        <v>752.0</v>
      </c>
      <c r="E3138" s="2031">
        <v>502.0</v>
      </c>
      <c r="F3138" s="2031">
        <v>502.0</v>
      </c>
      <c r="G3138" s="2031">
        <v>502.0</v>
      </c>
      <c r="H3138" s="2031">
        <v>502.0</v>
      </c>
    </row>
    <row r="3139">
      <c r="B3139" s="2031">
        <v>3137.0</v>
      </c>
      <c r="C3139" s="2031">
        <v>376.0</v>
      </c>
      <c r="D3139" s="2031">
        <v>753.0</v>
      </c>
      <c r="E3139" s="2031">
        <v>502.0</v>
      </c>
      <c r="F3139" s="2031">
        <v>502.0</v>
      </c>
      <c r="G3139" s="2031">
        <v>502.0</v>
      </c>
      <c r="H3139" s="2031">
        <v>502.0</v>
      </c>
    </row>
    <row r="3140">
      <c r="B3140" s="2031">
        <v>3138.0</v>
      </c>
      <c r="C3140" s="2031">
        <v>377.0</v>
      </c>
      <c r="D3140" s="2031">
        <v>753.0</v>
      </c>
      <c r="E3140" s="2031">
        <v>502.0</v>
      </c>
      <c r="F3140" s="2031">
        <v>502.0</v>
      </c>
      <c r="G3140" s="2031">
        <v>502.0</v>
      </c>
      <c r="H3140" s="2031">
        <v>502.0</v>
      </c>
    </row>
    <row r="3141">
      <c r="B3141" s="2031">
        <v>3139.0</v>
      </c>
      <c r="C3141" s="2031">
        <v>377.0</v>
      </c>
      <c r="D3141" s="2031">
        <v>754.0</v>
      </c>
      <c r="E3141" s="2031">
        <v>502.0</v>
      </c>
      <c r="F3141" s="2031">
        <v>502.0</v>
      </c>
      <c r="G3141" s="2031">
        <v>502.0</v>
      </c>
      <c r="H3141" s="2031">
        <v>502.0</v>
      </c>
    </row>
    <row r="3142">
      <c r="B3142" s="2031">
        <v>3140.0</v>
      </c>
      <c r="C3142" s="2031">
        <v>377.0</v>
      </c>
      <c r="D3142" s="2031">
        <v>753.0</v>
      </c>
      <c r="E3142" s="2031">
        <v>502.0</v>
      </c>
      <c r="F3142" s="2031">
        <v>502.0</v>
      </c>
      <c r="G3142" s="2031">
        <v>503.0</v>
      </c>
      <c r="H3142" s="2031">
        <v>503.0</v>
      </c>
    </row>
    <row r="3143">
      <c r="B3143" s="2031">
        <v>3141.0</v>
      </c>
      <c r="C3143" s="2031">
        <v>377.0</v>
      </c>
      <c r="D3143" s="2031">
        <v>754.0</v>
      </c>
      <c r="E3143" s="2031">
        <v>502.0</v>
      </c>
      <c r="F3143" s="2031">
        <v>502.0</v>
      </c>
      <c r="G3143" s="2031">
        <v>503.0</v>
      </c>
      <c r="H3143" s="2031">
        <v>503.0</v>
      </c>
    </row>
    <row r="3144">
      <c r="B3144" s="2031">
        <v>3142.0</v>
      </c>
      <c r="C3144" s="2031">
        <v>377.0</v>
      </c>
      <c r="D3144" s="2031">
        <v>755.0</v>
      </c>
      <c r="E3144" s="2031">
        <v>502.0</v>
      </c>
      <c r="F3144" s="2031">
        <v>502.0</v>
      </c>
      <c r="G3144" s="2031">
        <v>503.0</v>
      </c>
      <c r="H3144" s="2031">
        <v>503.0</v>
      </c>
    </row>
    <row r="3145">
      <c r="B3145" s="2031">
        <v>3143.0</v>
      </c>
      <c r="C3145" s="2031">
        <v>377.0</v>
      </c>
      <c r="D3145" s="2031">
        <v>754.0</v>
      </c>
      <c r="E3145" s="2031">
        <v>503.0</v>
      </c>
      <c r="F3145" s="2031">
        <v>503.0</v>
      </c>
      <c r="G3145" s="2031">
        <v>503.0</v>
      </c>
      <c r="H3145" s="2031">
        <v>503.0</v>
      </c>
    </row>
    <row r="3146">
      <c r="B3146" s="2031">
        <v>3144.0</v>
      </c>
      <c r="C3146" s="2031">
        <v>377.0</v>
      </c>
      <c r="D3146" s="2031">
        <v>755.0</v>
      </c>
      <c r="E3146" s="2031">
        <v>503.0</v>
      </c>
      <c r="F3146" s="2031">
        <v>503.0</v>
      </c>
      <c r="G3146" s="2031">
        <v>503.0</v>
      </c>
      <c r="H3146" s="2031">
        <v>503.0</v>
      </c>
    </row>
    <row r="3147">
      <c r="B3147" s="2031">
        <v>3145.0</v>
      </c>
      <c r="C3147" s="2031">
        <v>378.0</v>
      </c>
      <c r="D3147" s="2031">
        <v>755.0</v>
      </c>
      <c r="E3147" s="2031">
        <v>503.0</v>
      </c>
      <c r="F3147" s="2031">
        <v>503.0</v>
      </c>
      <c r="G3147" s="2031">
        <v>503.0</v>
      </c>
      <c r="H3147" s="2031">
        <v>503.0</v>
      </c>
    </row>
    <row r="3148">
      <c r="B3148" s="2031">
        <v>3146.0</v>
      </c>
      <c r="C3148" s="2031">
        <v>377.0</v>
      </c>
      <c r="D3148" s="2031">
        <v>755.0</v>
      </c>
      <c r="E3148" s="2031">
        <v>503.0</v>
      </c>
      <c r="F3148" s="2031">
        <v>503.0</v>
      </c>
      <c r="G3148" s="2031">
        <v>504.0</v>
      </c>
      <c r="H3148" s="2031">
        <v>504.0</v>
      </c>
    </row>
    <row r="3149">
      <c r="B3149" s="2031">
        <v>3147.0</v>
      </c>
      <c r="C3149" s="2031">
        <v>378.0</v>
      </c>
      <c r="D3149" s="2031">
        <v>755.0</v>
      </c>
      <c r="E3149" s="2031">
        <v>503.0</v>
      </c>
      <c r="F3149" s="2031">
        <v>503.0</v>
      </c>
      <c r="G3149" s="2031">
        <v>504.0</v>
      </c>
      <c r="H3149" s="2031">
        <v>504.0</v>
      </c>
    </row>
    <row r="3150">
      <c r="B3150" s="2031">
        <v>3148.0</v>
      </c>
      <c r="C3150" s="2031">
        <v>377.0</v>
      </c>
      <c r="D3150" s="2031">
        <v>755.0</v>
      </c>
      <c r="E3150" s="2031">
        <v>504.0</v>
      </c>
      <c r="F3150" s="2031">
        <v>504.0</v>
      </c>
      <c r="G3150" s="2031">
        <v>504.0</v>
      </c>
      <c r="H3150" s="2031">
        <v>504.0</v>
      </c>
    </row>
    <row r="3151">
      <c r="B3151" s="2031">
        <v>3149.0</v>
      </c>
      <c r="C3151" s="2031">
        <v>378.0</v>
      </c>
      <c r="D3151" s="2031">
        <v>755.0</v>
      </c>
      <c r="E3151" s="2031">
        <v>504.0</v>
      </c>
      <c r="F3151" s="2031">
        <v>504.0</v>
      </c>
      <c r="G3151" s="2031">
        <v>504.0</v>
      </c>
      <c r="H3151" s="2031">
        <v>504.0</v>
      </c>
    </row>
    <row r="3152">
      <c r="B3152" s="2031">
        <v>3150.0</v>
      </c>
      <c r="C3152" s="2031">
        <v>378.0</v>
      </c>
      <c r="D3152" s="2031">
        <v>756.0</v>
      </c>
      <c r="E3152" s="2031">
        <v>504.0</v>
      </c>
      <c r="F3152" s="2031">
        <v>504.0</v>
      </c>
      <c r="G3152" s="2031">
        <v>504.0</v>
      </c>
      <c r="H3152" s="2031">
        <v>504.0</v>
      </c>
    </row>
    <row r="3153">
      <c r="B3153" s="2031">
        <v>3151.0</v>
      </c>
      <c r="C3153" s="2031">
        <v>378.0</v>
      </c>
      <c r="D3153" s="2031">
        <v>757.0</v>
      </c>
      <c r="E3153" s="2031">
        <v>504.0</v>
      </c>
      <c r="F3153" s="2031">
        <v>504.0</v>
      </c>
      <c r="G3153" s="2031">
        <v>504.0</v>
      </c>
      <c r="H3153" s="2031">
        <v>504.0</v>
      </c>
    </row>
    <row r="3154">
      <c r="B3154" s="2031">
        <v>3152.0</v>
      </c>
      <c r="C3154" s="2031">
        <v>379.0</v>
      </c>
      <c r="D3154" s="2031">
        <v>757.0</v>
      </c>
      <c r="E3154" s="2031">
        <v>504.0</v>
      </c>
      <c r="F3154" s="2031">
        <v>504.0</v>
      </c>
      <c r="G3154" s="2031">
        <v>504.0</v>
      </c>
      <c r="H3154" s="2031">
        <v>504.0</v>
      </c>
    </row>
    <row r="3155">
      <c r="B3155" s="2031">
        <v>3153.0</v>
      </c>
      <c r="C3155" s="2031">
        <v>378.0</v>
      </c>
      <c r="D3155" s="2031">
        <v>757.0</v>
      </c>
      <c r="E3155" s="2031">
        <v>504.0</v>
      </c>
      <c r="F3155" s="2031">
        <v>504.0</v>
      </c>
      <c r="G3155" s="2031">
        <v>505.0</v>
      </c>
      <c r="H3155" s="2031">
        <v>505.0</v>
      </c>
    </row>
    <row r="3156">
      <c r="B3156" s="2031">
        <v>3154.0</v>
      </c>
      <c r="C3156" s="2031">
        <v>379.0</v>
      </c>
      <c r="D3156" s="2031">
        <v>757.0</v>
      </c>
      <c r="E3156" s="2031">
        <v>504.0</v>
      </c>
      <c r="F3156" s="2031">
        <v>504.0</v>
      </c>
      <c r="G3156" s="2031">
        <v>505.0</v>
      </c>
      <c r="H3156" s="2031">
        <v>505.0</v>
      </c>
    </row>
    <row r="3157">
      <c r="B3157" s="2031">
        <v>3155.0</v>
      </c>
      <c r="C3157" s="2031">
        <v>378.0</v>
      </c>
      <c r="D3157" s="2031">
        <v>757.0</v>
      </c>
      <c r="E3157" s="2031">
        <v>505.0</v>
      </c>
      <c r="F3157" s="2031">
        <v>505.0</v>
      </c>
      <c r="G3157" s="2031">
        <v>505.0</v>
      </c>
      <c r="H3157" s="2031">
        <v>505.0</v>
      </c>
    </row>
    <row r="3158">
      <c r="B3158" s="2031">
        <v>3156.0</v>
      </c>
      <c r="C3158" s="2031">
        <v>379.0</v>
      </c>
      <c r="D3158" s="2031">
        <v>757.0</v>
      </c>
      <c r="E3158" s="2031">
        <v>505.0</v>
      </c>
      <c r="F3158" s="2031">
        <v>505.0</v>
      </c>
      <c r="G3158" s="2031">
        <v>505.0</v>
      </c>
      <c r="H3158" s="2031">
        <v>505.0</v>
      </c>
    </row>
    <row r="3159">
      <c r="B3159" s="2031">
        <v>3157.0</v>
      </c>
      <c r="C3159" s="2031">
        <v>379.0</v>
      </c>
      <c r="D3159" s="2031">
        <v>758.0</v>
      </c>
      <c r="E3159" s="2031">
        <v>505.0</v>
      </c>
      <c r="F3159" s="2031">
        <v>505.0</v>
      </c>
      <c r="G3159" s="2031">
        <v>505.0</v>
      </c>
      <c r="H3159" s="2031">
        <v>505.0</v>
      </c>
    </row>
    <row r="3160">
      <c r="B3160" s="2031">
        <v>3158.0</v>
      </c>
      <c r="C3160" s="2031">
        <v>379.0</v>
      </c>
      <c r="D3160" s="2031">
        <v>757.0</v>
      </c>
      <c r="E3160" s="2031">
        <v>505.0</v>
      </c>
      <c r="F3160" s="2031">
        <v>505.0</v>
      </c>
      <c r="G3160" s="2031">
        <v>506.0</v>
      </c>
      <c r="H3160" s="2031">
        <v>506.0</v>
      </c>
    </row>
    <row r="3161">
      <c r="B3161" s="2031">
        <v>3159.0</v>
      </c>
      <c r="C3161" s="2031">
        <v>379.0</v>
      </c>
      <c r="D3161" s="2031">
        <v>758.0</v>
      </c>
      <c r="E3161" s="2031">
        <v>505.0</v>
      </c>
      <c r="F3161" s="2031">
        <v>505.0</v>
      </c>
      <c r="G3161" s="2031">
        <v>506.0</v>
      </c>
      <c r="H3161" s="2031">
        <v>506.0</v>
      </c>
    </row>
    <row r="3162">
      <c r="B3162" s="2031">
        <v>3160.0</v>
      </c>
      <c r="C3162" s="2031">
        <v>379.0</v>
      </c>
      <c r="D3162" s="2031">
        <v>759.0</v>
      </c>
      <c r="E3162" s="2031">
        <v>505.0</v>
      </c>
      <c r="F3162" s="2031">
        <v>505.0</v>
      </c>
      <c r="G3162" s="2031">
        <v>506.0</v>
      </c>
      <c r="H3162" s="2031">
        <v>506.0</v>
      </c>
    </row>
    <row r="3163">
      <c r="B3163" s="2031">
        <v>3161.0</v>
      </c>
      <c r="C3163" s="2031">
        <v>379.0</v>
      </c>
      <c r="D3163" s="2031">
        <v>758.0</v>
      </c>
      <c r="E3163" s="2031">
        <v>506.0</v>
      </c>
      <c r="F3163" s="2031">
        <v>506.0</v>
      </c>
      <c r="G3163" s="2031">
        <v>506.0</v>
      </c>
      <c r="H3163" s="2031">
        <v>506.0</v>
      </c>
    </row>
    <row r="3164">
      <c r="B3164" s="2031">
        <v>3162.0</v>
      </c>
      <c r="C3164" s="2031">
        <v>379.0</v>
      </c>
      <c r="D3164" s="2031">
        <v>759.0</v>
      </c>
      <c r="E3164" s="2031">
        <v>506.0</v>
      </c>
      <c r="F3164" s="2031">
        <v>506.0</v>
      </c>
      <c r="G3164" s="2031">
        <v>506.0</v>
      </c>
      <c r="H3164" s="2031">
        <v>506.0</v>
      </c>
    </row>
    <row r="3165">
      <c r="B3165" s="2031">
        <v>3163.0</v>
      </c>
      <c r="C3165" s="2031">
        <v>380.0</v>
      </c>
      <c r="D3165" s="2031">
        <v>759.0</v>
      </c>
      <c r="E3165" s="2031">
        <v>506.0</v>
      </c>
      <c r="F3165" s="2031">
        <v>506.0</v>
      </c>
      <c r="G3165" s="2031">
        <v>506.0</v>
      </c>
      <c r="H3165" s="2031">
        <v>506.0</v>
      </c>
    </row>
    <row r="3166">
      <c r="B3166" s="2031">
        <v>3164.0</v>
      </c>
      <c r="C3166" s="2031">
        <v>380.0</v>
      </c>
      <c r="D3166" s="2031">
        <v>760.0</v>
      </c>
      <c r="E3166" s="2031">
        <v>506.0</v>
      </c>
      <c r="F3166" s="2031">
        <v>506.0</v>
      </c>
      <c r="G3166" s="2031">
        <v>506.0</v>
      </c>
      <c r="H3166" s="2031">
        <v>506.0</v>
      </c>
    </row>
    <row r="3167">
      <c r="B3167" s="2031">
        <v>3165.0</v>
      </c>
      <c r="C3167" s="2031">
        <v>380.0</v>
      </c>
      <c r="D3167" s="2031">
        <v>759.0</v>
      </c>
      <c r="E3167" s="2031">
        <v>506.0</v>
      </c>
      <c r="F3167" s="2031">
        <v>506.0</v>
      </c>
      <c r="G3167" s="2031">
        <v>507.0</v>
      </c>
      <c r="H3167" s="2031">
        <v>507.0</v>
      </c>
    </row>
    <row r="3168">
      <c r="B3168" s="2031">
        <v>3166.0</v>
      </c>
      <c r="C3168" s="2031">
        <v>380.0</v>
      </c>
      <c r="D3168" s="2031">
        <v>760.0</v>
      </c>
      <c r="E3168" s="2031">
        <v>506.0</v>
      </c>
      <c r="F3168" s="2031">
        <v>506.0</v>
      </c>
      <c r="G3168" s="2031">
        <v>507.0</v>
      </c>
      <c r="H3168" s="2031">
        <v>507.0</v>
      </c>
    </row>
    <row r="3169">
      <c r="B3169" s="2031">
        <v>3167.0</v>
      </c>
      <c r="C3169" s="2031">
        <v>380.0</v>
      </c>
      <c r="D3169" s="2031">
        <v>761.0</v>
      </c>
      <c r="E3169" s="2031">
        <v>506.0</v>
      </c>
      <c r="F3169" s="2031">
        <v>506.0</v>
      </c>
      <c r="G3169" s="2031">
        <v>507.0</v>
      </c>
      <c r="H3169" s="2031">
        <v>507.0</v>
      </c>
    </row>
    <row r="3170">
      <c r="B3170" s="2031">
        <v>3168.0</v>
      </c>
      <c r="C3170" s="2031">
        <v>380.0</v>
      </c>
      <c r="D3170" s="2031">
        <v>760.0</v>
      </c>
      <c r="E3170" s="2031">
        <v>507.0</v>
      </c>
      <c r="F3170" s="2031">
        <v>507.0</v>
      </c>
      <c r="G3170" s="2031">
        <v>507.0</v>
      </c>
      <c r="H3170" s="2031">
        <v>507.0</v>
      </c>
    </row>
    <row r="3171">
      <c r="B3171" s="2031">
        <v>3169.0</v>
      </c>
      <c r="C3171" s="2031">
        <v>380.0</v>
      </c>
      <c r="D3171" s="2031">
        <v>761.0</v>
      </c>
      <c r="E3171" s="2031">
        <v>507.0</v>
      </c>
      <c r="F3171" s="2031">
        <v>507.0</v>
      </c>
      <c r="G3171" s="2031">
        <v>507.0</v>
      </c>
      <c r="H3171" s="2031">
        <v>507.0</v>
      </c>
    </row>
    <row r="3172">
      <c r="B3172" s="2031">
        <v>3170.0</v>
      </c>
      <c r="C3172" s="2031">
        <v>381.0</v>
      </c>
      <c r="D3172" s="2031">
        <v>761.0</v>
      </c>
      <c r="E3172" s="2031">
        <v>507.0</v>
      </c>
      <c r="F3172" s="2031">
        <v>507.0</v>
      </c>
      <c r="G3172" s="2031">
        <v>507.0</v>
      </c>
      <c r="H3172" s="2031">
        <v>507.0</v>
      </c>
    </row>
    <row r="3173">
      <c r="B3173" s="2031">
        <v>3171.0</v>
      </c>
      <c r="C3173" s="2031">
        <v>380.0</v>
      </c>
      <c r="D3173" s="2031">
        <v>761.0</v>
      </c>
      <c r="E3173" s="2031">
        <v>507.0</v>
      </c>
      <c r="F3173" s="2031">
        <v>507.0</v>
      </c>
      <c r="G3173" s="2031">
        <v>508.0</v>
      </c>
      <c r="H3173" s="2031">
        <v>508.0</v>
      </c>
    </row>
    <row r="3174">
      <c r="B3174" s="2031">
        <v>3172.0</v>
      </c>
      <c r="C3174" s="2031">
        <v>381.0</v>
      </c>
      <c r="D3174" s="2031">
        <v>761.0</v>
      </c>
      <c r="E3174" s="2031">
        <v>507.0</v>
      </c>
      <c r="F3174" s="2031">
        <v>507.0</v>
      </c>
      <c r="G3174" s="2031">
        <v>508.0</v>
      </c>
      <c r="H3174" s="2031">
        <v>508.0</v>
      </c>
    </row>
    <row r="3175">
      <c r="B3175" s="2031">
        <v>3173.0</v>
      </c>
      <c r="C3175" s="2031">
        <v>380.0</v>
      </c>
      <c r="D3175" s="2031">
        <v>761.0</v>
      </c>
      <c r="E3175" s="2031">
        <v>508.0</v>
      </c>
      <c r="F3175" s="2031">
        <v>508.0</v>
      </c>
      <c r="G3175" s="2031">
        <v>508.0</v>
      </c>
      <c r="H3175" s="2031">
        <v>508.0</v>
      </c>
    </row>
    <row r="3176">
      <c r="B3176" s="2031">
        <v>3174.0</v>
      </c>
      <c r="C3176" s="2031">
        <v>381.0</v>
      </c>
      <c r="D3176" s="2031">
        <v>761.0</v>
      </c>
      <c r="E3176" s="2031">
        <v>508.0</v>
      </c>
      <c r="F3176" s="2031">
        <v>508.0</v>
      </c>
      <c r="G3176" s="2031">
        <v>508.0</v>
      </c>
      <c r="H3176" s="2031">
        <v>508.0</v>
      </c>
    </row>
    <row r="3177">
      <c r="B3177" s="2031">
        <v>3175.0</v>
      </c>
      <c r="C3177" s="2031">
        <v>381.0</v>
      </c>
      <c r="D3177" s="2031">
        <v>762.0</v>
      </c>
      <c r="E3177" s="2031">
        <v>508.0</v>
      </c>
      <c r="F3177" s="2031">
        <v>508.0</v>
      </c>
      <c r="G3177" s="2031">
        <v>508.0</v>
      </c>
      <c r="H3177" s="2031">
        <v>508.0</v>
      </c>
    </row>
    <row r="3178">
      <c r="B3178" s="2031">
        <v>3176.0</v>
      </c>
      <c r="C3178" s="2031">
        <v>381.0</v>
      </c>
      <c r="D3178" s="2031">
        <v>763.0</v>
      </c>
      <c r="E3178" s="2031">
        <v>508.0</v>
      </c>
      <c r="F3178" s="2031">
        <v>508.0</v>
      </c>
      <c r="G3178" s="2031">
        <v>508.0</v>
      </c>
      <c r="H3178" s="2031">
        <v>508.0</v>
      </c>
    </row>
    <row r="3179">
      <c r="B3179" s="2031">
        <v>3177.0</v>
      </c>
      <c r="C3179" s="2031">
        <v>382.0</v>
      </c>
      <c r="D3179" s="2031">
        <v>763.0</v>
      </c>
      <c r="E3179" s="2031">
        <v>508.0</v>
      </c>
      <c r="F3179" s="2031">
        <v>508.0</v>
      </c>
      <c r="G3179" s="2031">
        <v>508.0</v>
      </c>
      <c r="H3179" s="2031">
        <v>508.0</v>
      </c>
    </row>
    <row r="3180">
      <c r="B3180" s="2031">
        <v>3178.0</v>
      </c>
      <c r="C3180" s="2031">
        <v>381.0</v>
      </c>
      <c r="D3180" s="2031">
        <v>763.0</v>
      </c>
      <c r="E3180" s="2031">
        <v>508.0</v>
      </c>
      <c r="F3180" s="2031">
        <v>508.0</v>
      </c>
      <c r="G3180" s="2031">
        <v>509.0</v>
      </c>
      <c r="H3180" s="2031">
        <v>509.0</v>
      </c>
    </row>
    <row r="3181">
      <c r="B3181" s="2031">
        <v>3179.0</v>
      </c>
      <c r="C3181" s="2031">
        <v>382.0</v>
      </c>
      <c r="D3181" s="2031">
        <v>763.0</v>
      </c>
      <c r="E3181" s="2031">
        <v>508.0</v>
      </c>
      <c r="F3181" s="2031">
        <v>508.0</v>
      </c>
      <c r="G3181" s="2031">
        <v>509.0</v>
      </c>
      <c r="H3181" s="2031">
        <v>509.0</v>
      </c>
    </row>
    <row r="3182">
      <c r="B3182" s="2031">
        <v>3180.0</v>
      </c>
      <c r="C3182" s="2031">
        <v>381.0</v>
      </c>
      <c r="D3182" s="2031">
        <v>763.0</v>
      </c>
      <c r="E3182" s="2031">
        <v>509.0</v>
      </c>
      <c r="F3182" s="2031">
        <v>509.0</v>
      </c>
      <c r="G3182" s="2031">
        <v>509.0</v>
      </c>
      <c r="H3182" s="2031">
        <v>509.0</v>
      </c>
    </row>
    <row r="3183">
      <c r="B3183" s="2031">
        <v>3181.0</v>
      </c>
      <c r="C3183" s="2031">
        <v>382.0</v>
      </c>
      <c r="D3183" s="2031">
        <v>763.0</v>
      </c>
      <c r="E3183" s="2031">
        <v>509.0</v>
      </c>
      <c r="F3183" s="2031">
        <v>509.0</v>
      </c>
      <c r="G3183" s="2031">
        <v>509.0</v>
      </c>
      <c r="H3183" s="2031">
        <v>509.0</v>
      </c>
    </row>
    <row r="3184">
      <c r="B3184" s="2031">
        <v>3182.0</v>
      </c>
      <c r="C3184" s="2031">
        <v>382.0</v>
      </c>
      <c r="D3184" s="2031">
        <v>764.0</v>
      </c>
      <c r="E3184" s="2031">
        <v>509.0</v>
      </c>
      <c r="F3184" s="2031">
        <v>509.0</v>
      </c>
      <c r="G3184" s="2031">
        <v>509.0</v>
      </c>
      <c r="H3184" s="2031">
        <v>509.0</v>
      </c>
    </row>
    <row r="3185">
      <c r="B3185" s="2031">
        <v>3183.0</v>
      </c>
      <c r="C3185" s="2031">
        <v>382.0</v>
      </c>
      <c r="D3185" s="2031">
        <v>763.0</v>
      </c>
      <c r="E3185" s="2031">
        <v>509.0</v>
      </c>
      <c r="F3185" s="2031">
        <v>509.0</v>
      </c>
      <c r="G3185" s="2031">
        <v>510.0</v>
      </c>
      <c r="H3185" s="2031">
        <v>510.0</v>
      </c>
    </row>
    <row r="3186">
      <c r="B3186" s="2031">
        <v>3184.0</v>
      </c>
      <c r="C3186" s="2031">
        <v>382.0</v>
      </c>
      <c r="D3186" s="2031">
        <v>764.0</v>
      </c>
      <c r="E3186" s="2031">
        <v>509.0</v>
      </c>
      <c r="F3186" s="2031">
        <v>509.0</v>
      </c>
      <c r="G3186" s="2031">
        <v>510.0</v>
      </c>
      <c r="H3186" s="2031">
        <v>510.0</v>
      </c>
    </row>
    <row r="3187">
      <c r="B3187" s="2031">
        <v>3185.0</v>
      </c>
      <c r="C3187" s="2031">
        <v>382.0</v>
      </c>
      <c r="D3187" s="2031">
        <v>765.0</v>
      </c>
      <c r="E3187" s="2031">
        <v>509.0</v>
      </c>
      <c r="F3187" s="2031">
        <v>509.0</v>
      </c>
      <c r="G3187" s="2031">
        <v>510.0</v>
      </c>
      <c r="H3187" s="2031">
        <v>510.0</v>
      </c>
    </row>
    <row r="3188">
      <c r="B3188" s="2031">
        <v>3186.0</v>
      </c>
      <c r="C3188" s="2031">
        <v>382.0</v>
      </c>
      <c r="D3188" s="2031">
        <v>764.0</v>
      </c>
      <c r="E3188" s="2031">
        <v>510.0</v>
      </c>
      <c r="F3188" s="2031">
        <v>510.0</v>
      </c>
      <c r="G3188" s="2031">
        <v>510.0</v>
      </c>
      <c r="H3188" s="2031">
        <v>510.0</v>
      </c>
    </row>
    <row r="3189">
      <c r="B3189" s="2031">
        <v>3187.0</v>
      </c>
      <c r="C3189" s="2031">
        <v>382.0</v>
      </c>
      <c r="D3189" s="2031">
        <v>765.0</v>
      </c>
      <c r="E3189" s="2031">
        <v>510.0</v>
      </c>
      <c r="F3189" s="2031">
        <v>510.0</v>
      </c>
      <c r="G3189" s="2031">
        <v>510.0</v>
      </c>
      <c r="H3189" s="2031">
        <v>510.0</v>
      </c>
    </row>
    <row r="3190">
      <c r="B3190" s="2031">
        <v>3188.0</v>
      </c>
      <c r="C3190" s="2031">
        <v>383.0</v>
      </c>
      <c r="D3190" s="2031">
        <v>765.0</v>
      </c>
      <c r="E3190" s="2031">
        <v>510.0</v>
      </c>
      <c r="F3190" s="2031">
        <v>510.0</v>
      </c>
      <c r="G3190" s="2031">
        <v>510.0</v>
      </c>
      <c r="H3190" s="2031">
        <v>510.0</v>
      </c>
    </row>
    <row r="3191">
      <c r="B3191" s="2031">
        <v>3189.0</v>
      </c>
      <c r="C3191" s="2031">
        <v>383.0</v>
      </c>
      <c r="D3191" s="2031">
        <v>766.0</v>
      </c>
      <c r="E3191" s="2031">
        <v>510.0</v>
      </c>
      <c r="F3191" s="2031">
        <v>510.0</v>
      </c>
      <c r="G3191" s="2031">
        <v>510.0</v>
      </c>
      <c r="H3191" s="2031">
        <v>510.0</v>
      </c>
    </row>
    <row r="3192">
      <c r="B3192" s="2031">
        <v>3190.0</v>
      </c>
      <c r="C3192" s="2031">
        <v>383.0</v>
      </c>
      <c r="D3192" s="2031">
        <v>765.0</v>
      </c>
      <c r="E3192" s="2031">
        <v>510.0</v>
      </c>
      <c r="F3192" s="2031">
        <v>510.0</v>
      </c>
      <c r="G3192" s="2031">
        <v>511.0</v>
      </c>
      <c r="H3192" s="2031">
        <v>511.0</v>
      </c>
    </row>
    <row r="3193">
      <c r="B3193" s="2031">
        <v>3191.0</v>
      </c>
      <c r="C3193" s="2031">
        <v>383.0</v>
      </c>
      <c r="D3193" s="2031">
        <v>766.0</v>
      </c>
      <c r="E3193" s="2031">
        <v>510.0</v>
      </c>
      <c r="F3193" s="2031">
        <v>510.0</v>
      </c>
      <c r="G3193" s="2031">
        <v>511.0</v>
      </c>
      <c r="H3193" s="2031">
        <v>511.0</v>
      </c>
    </row>
    <row r="3194">
      <c r="B3194" s="2031">
        <v>3192.0</v>
      </c>
      <c r="C3194" s="2031">
        <v>383.0</v>
      </c>
      <c r="D3194" s="2031">
        <v>767.0</v>
      </c>
      <c r="E3194" s="2031">
        <v>510.0</v>
      </c>
      <c r="F3194" s="2031">
        <v>510.0</v>
      </c>
      <c r="G3194" s="2031">
        <v>511.0</v>
      </c>
      <c r="H3194" s="2031">
        <v>511.0</v>
      </c>
    </row>
    <row r="3195">
      <c r="B3195" s="2031">
        <v>3193.0</v>
      </c>
      <c r="C3195" s="2031">
        <v>383.0</v>
      </c>
      <c r="D3195" s="2031">
        <v>766.0</v>
      </c>
      <c r="E3195" s="2031">
        <v>511.0</v>
      </c>
      <c r="F3195" s="2031">
        <v>511.0</v>
      </c>
      <c r="G3195" s="2031">
        <v>511.0</v>
      </c>
      <c r="H3195" s="2031">
        <v>511.0</v>
      </c>
    </row>
    <row r="3196">
      <c r="B3196" s="2031">
        <v>3194.0</v>
      </c>
      <c r="C3196" s="2031">
        <v>383.0</v>
      </c>
      <c r="D3196" s="2031">
        <v>767.0</v>
      </c>
      <c r="E3196" s="2031">
        <v>511.0</v>
      </c>
      <c r="F3196" s="2031">
        <v>511.0</v>
      </c>
      <c r="G3196" s="2031">
        <v>511.0</v>
      </c>
      <c r="H3196" s="2031">
        <v>511.0</v>
      </c>
    </row>
    <row r="3197">
      <c r="B3197" s="2031">
        <v>3195.0</v>
      </c>
      <c r="C3197" s="2031">
        <v>384.0</v>
      </c>
      <c r="D3197" s="2031">
        <v>767.0</v>
      </c>
      <c r="E3197" s="2031">
        <v>511.0</v>
      </c>
      <c r="F3197" s="2031">
        <v>511.0</v>
      </c>
      <c r="G3197" s="2031">
        <v>511.0</v>
      </c>
      <c r="H3197" s="2031">
        <v>511.0</v>
      </c>
    </row>
    <row r="3198">
      <c r="B3198" s="2031">
        <v>3196.0</v>
      </c>
      <c r="C3198" s="2031">
        <v>383.0</v>
      </c>
      <c r="D3198" s="2031">
        <v>767.0</v>
      </c>
      <c r="E3198" s="2031">
        <v>511.0</v>
      </c>
      <c r="F3198" s="2031">
        <v>511.0</v>
      </c>
      <c r="G3198" s="2031">
        <v>512.0</v>
      </c>
      <c r="H3198" s="2031">
        <v>512.0</v>
      </c>
    </row>
    <row r="3199">
      <c r="B3199" s="2031">
        <v>3197.0</v>
      </c>
      <c r="C3199" s="2031">
        <v>384.0</v>
      </c>
      <c r="D3199" s="2031">
        <v>767.0</v>
      </c>
      <c r="E3199" s="2031">
        <v>511.0</v>
      </c>
      <c r="F3199" s="2031">
        <v>511.0</v>
      </c>
      <c r="G3199" s="2031">
        <v>512.0</v>
      </c>
      <c r="H3199" s="2031">
        <v>512.0</v>
      </c>
    </row>
    <row r="3200">
      <c r="B3200" s="2031">
        <v>3198.0</v>
      </c>
      <c r="C3200" s="2031">
        <v>383.0</v>
      </c>
      <c r="D3200" s="2031">
        <v>767.0</v>
      </c>
      <c r="E3200" s="2031">
        <v>512.0</v>
      </c>
      <c r="F3200" s="2031">
        <v>512.0</v>
      </c>
      <c r="G3200" s="2031">
        <v>512.0</v>
      </c>
      <c r="H3200" s="2031">
        <v>512.0</v>
      </c>
    </row>
    <row r="3201">
      <c r="B3201" s="2031">
        <v>3199.0</v>
      </c>
      <c r="C3201" s="2031">
        <v>384.0</v>
      </c>
      <c r="D3201" s="2031">
        <v>767.0</v>
      </c>
      <c r="E3201" s="2031">
        <v>512.0</v>
      </c>
      <c r="F3201" s="2031">
        <v>512.0</v>
      </c>
      <c r="G3201" s="2031">
        <v>512.0</v>
      </c>
      <c r="H3201" s="2031">
        <v>512.0</v>
      </c>
    </row>
    <row r="3202">
      <c r="B3202" s="2031">
        <v>3200.0</v>
      </c>
      <c r="C3202" s="2031">
        <v>384.0</v>
      </c>
      <c r="D3202" s="2031">
        <v>768.0</v>
      </c>
      <c r="E3202" s="2031">
        <v>512.0</v>
      </c>
      <c r="F3202" s="2031">
        <v>512.0</v>
      </c>
      <c r="G3202" s="2031">
        <v>512.0</v>
      </c>
      <c r="H3202" s="2031">
        <v>512.0</v>
      </c>
    </row>
    <row r="3203">
      <c r="B3203" s="2031">
        <v>3201.0</v>
      </c>
      <c r="C3203" s="2031">
        <v>384.0</v>
      </c>
      <c r="D3203" s="2031">
        <v>769.0</v>
      </c>
      <c r="E3203" s="2031">
        <v>512.0</v>
      </c>
      <c r="F3203" s="2031">
        <v>512.0</v>
      </c>
      <c r="G3203" s="2031">
        <v>512.0</v>
      </c>
      <c r="H3203" s="2031">
        <v>512.0</v>
      </c>
    </row>
    <row r="3204">
      <c r="B3204" s="2031">
        <v>3202.0</v>
      </c>
      <c r="C3204" s="2031">
        <v>385.0</v>
      </c>
      <c r="D3204" s="2031">
        <v>769.0</v>
      </c>
      <c r="E3204" s="2031">
        <v>512.0</v>
      </c>
      <c r="F3204" s="2031">
        <v>512.0</v>
      </c>
      <c r="G3204" s="2031">
        <v>512.0</v>
      </c>
      <c r="H3204" s="2031">
        <v>512.0</v>
      </c>
    </row>
    <row r="3205">
      <c r="B3205" s="2031">
        <v>3203.0</v>
      </c>
      <c r="C3205" s="2031">
        <v>384.0</v>
      </c>
      <c r="D3205" s="2031">
        <v>769.0</v>
      </c>
      <c r="E3205" s="2031">
        <v>512.0</v>
      </c>
      <c r="F3205" s="2031">
        <v>512.0</v>
      </c>
      <c r="G3205" s="2031">
        <v>513.0</v>
      </c>
      <c r="H3205" s="2031">
        <v>513.0</v>
      </c>
    </row>
    <row r="3206">
      <c r="B3206" s="2031">
        <v>3204.0</v>
      </c>
      <c r="C3206" s="2031">
        <v>385.0</v>
      </c>
      <c r="D3206" s="2031">
        <v>769.0</v>
      </c>
      <c r="E3206" s="2031">
        <v>512.0</v>
      </c>
      <c r="F3206" s="2031">
        <v>512.0</v>
      </c>
      <c r="G3206" s="2031">
        <v>513.0</v>
      </c>
      <c r="H3206" s="2031">
        <v>513.0</v>
      </c>
    </row>
    <row r="3207">
      <c r="B3207" s="2031">
        <v>3205.0</v>
      </c>
      <c r="C3207" s="2031">
        <v>384.0</v>
      </c>
      <c r="D3207" s="2031">
        <v>769.0</v>
      </c>
      <c r="E3207" s="2031">
        <v>513.0</v>
      </c>
      <c r="F3207" s="2031">
        <v>513.0</v>
      </c>
      <c r="G3207" s="2031">
        <v>513.0</v>
      </c>
      <c r="H3207" s="2031">
        <v>513.0</v>
      </c>
    </row>
    <row r="3208">
      <c r="B3208" s="2031">
        <v>3206.0</v>
      </c>
      <c r="C3208" s="2031">
        <v>385.0</v>
      </c>
      <c r="D3208" s="2031">
        <v>769.0</v>
      </c>
      <c r="E3208" s="2031">
        <v>513.0</v>
      </c>
      <c r="F3208" s="2031">
        <v>513.0</v>
      </c>
      <c r="G3208" s="2031">
        <v>513.0</v>
      </c>
      <c r="H3208" s="2031">
        <v>513.0</v>
      </c>
    </row>
    <row r="3209">
      <c r="B3209" s="2031">
        <v>3207.0</v>
      </c>
      <c r="C3209" s="2031">
        <v>385.0</v>
      </c>
      <c r="D3209" s="2031">
        <v>770.0</v>
      </c>
      <c r="E3209" s="2031">
        <v>513.0</v>
      </c>
      <c r="F3209" s="2031">
        <v>513.0</v>
      </c>
      <c r="G3209" s="2031">
        <v>513.0</v>
      </c>
      <c r="H3209" s="2031">
        <v>513.0</v>
      </c>
    </row>
    <row r="3210">
      <c r="B3210" s="2031">
        <v>3208.0</v>
      </c>
      <c r="C3210" s="2031">
        <v>385.0</v>
      </c>
      <c r="D3210" s="2031">
        <v>769.0</v>
      </c>
      <c r="E3210" s="2031">
        <v>513.0</v>
      </c>
      <c r="F3210" s="2031">
        <v>513.0</v>
      </c>
      <c r="G3210" s="2031">
        <v>514.0</v>
      </c>
      <c r="H3210" s="2031">
        <v>514.0</v>
      </c>
    </row>
    <row r="3211">
      <c r="B3211" s="2031">
        <v>3209.0</v>
      </c>
      <c r="C3211" s="2031">
        <v>385.0</v>
      </c>
      <c r="D3211" s="2031">
        <v>770.0</v>
      </c>
      <c r="E3211" s="2031">
        <v>513.0</v>
      </c>
      <c r="F3211" s="2031">
        <v>513.0</v>
      </c>
      <c r="G3211" s="2031">
        <v>514.0</v>
      </c>
      <c r="H3211" s="2031">
        <v>514.0</v>
      </c>
    </row>
    <row r="3212">
      <c r="B3212" s="2031">
        <v>3210.0</v>
      </c>
      <c r="C3212" s="2031">
        <v>385.0</v>
      </c>
      <c r="D3212" s="2031">
        <v>771.0</v>
      </c>
      <c r="E3212" s="2031">
        <v>513.0</v>
      </c>
      <c r="F3212" s="2031">
        <v>513.0</v>
      </c>
      <c r="G3212" s="2031">
        <v>514.0</v>
      </c>
      <c r="H3212" s="2031">
        <v>514.0</v>
      </c>
    </row>
    <row r="3213">
      <c r="B3213" s="2031">
        <v>3211.0</v>
      </c>
      <c r="C3213" s="2031">
        <v>385.0</v>
      </c>
      <c r="D3213" s="2031">
        <v>770.0</v>
      </c>
      <c r="E3213" s="2031">
        <v>514.0</v>
      </c>
      <c r="F3213" s="2031">
        <v>514.0</v>
      </c>
      <c r="G3213" s="2031">
        <v>514.0</v>
      </c>
      <c r="H3213" s="2031">
        <v>514.0</v>
      </c>
    </row>
    <row r="3214">
      <c r="B3214" s="2031">
        <v>3212.0</v>
      </c>
      <c r="C3214" s="2031">
        <v>385.0</v>
      </c>
      <c r="D3214" s="2031">
        <v>771.0</v>
      </c>
      <c r="E3214" s="2031">
        <v>514.0</v>
      </c>
      <c r="F3214" s="2031">
        <v>514.0</v>
      </c>
      <c r="G3214" s="2031">
        <v>514.0</v>
      </c>
      <c r="H3214" s="2031">
        <v>514.0</v>
      </c>
    </row>
    <row r="3215">
      <c r="B3215" s="2031">
        <v>3213.0</v>
      </c>
      <c r="C3215" s="2031">
        <v>386.0</v>
      </c>
      <c r="D3215" s="2031">
        <v>771.0</v>
      </c>
      <c r="E3215" s="2031">
        <v>514.0</v>
      </c>
      <c r="F3215" s="2031">
        <v>514.0</v>
      </c>
      <c r="G3215" s="2031">
        <v>514.0</v>
      </c>
      <c r="H3215" s="2031">
        <v>514.0</v>
      </c>
    </row>
    <row r="3216">
      <c r="B3216" s="2031">
        <v>3214.0</v>
      </c>
      <c r="C3216" s="2031">
        <v>386.0</v>
      </c>
      <c r="D3216" s="2031">
        <v>772.0</v>
      </c>
      <c r="E3216" s="2031">
        <v>514.0</v>
      </c>
      <c r="F3216" s="2031">
        <v>514.0</v>
      </c>
      <c r="G3216" s="2031">
        <v>514.0</v>
      </c>
      <c r="H3216" s="2031">
        <v>514.0</v>
      </c>
    </row>
    <row r="3217">
      <c r="B3217" s="2031">
        <v>3215.0</v>
      </c>
      <c r="C3217" s="2031">
        <v>386.0</v>
      </c>
      <c r="D3217" s="2031">
        <v>771.0</v>
      </c>
      <c r="E3217" s="2031">
        <v>514.0</v>
      </c>
      <c r="F3217" s="2031">
        <v>514.0</v>
      </c>
      <c r="G3217" s="2031">
        <v>515.0</v>
      </c>
      <c r="H3217" s="2031">
        <v>515.0</v>
      </c>
    </row>
    <row r="3218">
      <c r="B3218" s="2031">
        <v>3216.0</v>
      </c>
      <c r="C3218" s="2031">
        <v>386.0</v>
      </c>
      <c r="D3218" s="2031">
        <v>772.0</v>
      </c>
      <c r="E3218" s="2031">
        <v>514.0</v>
      </c>
      <c r="F3218" s="2031">
        <v>514.0</v>
      </c>
      <c r="G3218" s="2031">
        <v>515.0</v>
      </c>
      <c r="H3218" s="2031">
        <v>515.0</v>
      </c>
    </row>
    <row r="3219">
      <c r="B3219" s="2031">
        <v>3217.0</v>
      </c>
      <c r="C3219" s="2031">
        <v>386.0</v>
      </c>
      <c r="D3219" s="2031">
        <v>773.0</v>
      </c>
      <c r="E3219" s="2031">
        <v>514.0</v>
      </c>
      <c r="F3219" s="2031">
        <v>514.0</v>
      </c>
      <c r="G3219" s="2031">
        <v>515.0</v>
      </c>
      <c r="H3219" s="2031">
        <v>515.0</v>
      </c>
    </row>
    <row r="3220">
      <c r="B3220" s="2031">
        <v>3218.0</v>
      </c>
      <c r="C3220" s="2031">
        <v>386.0</v>
      </c>
      <c r="D3220" s="2031">
        <v>772.0</v>
      </c>
      <c r="E3220" s="2031">
        <v>515.0</v>
      </c>
      <c r="F3220" s="2031">
        <v>515.0</v>
      </c>
      <c r="G3220" s="2031">
        <v>515.0</v>
      </c>
      <c r="H3220" s="2031">
        <v>515.0</v>
      </c>
    </row>
    <row r="3221">
      <c r="B3221" s="2031">
        <v>3219.0</v>
      </c>
      <c r="C3221" s="2031">
        <v>386.0</v>
      </c>
      <c r="D3221" s="2031">
        <v>773.0</v>
      </c>
      <c r="E3221" s="2031">
        <v>515.0</v>
      </c>
      <c r="F3221" s="2031">
        <v>515.0</v>
      </c>
      <c r="G3221" s="2031">
        <v>515.0</v>
      </c>
      <c r="H3221" s="2031">
        <v>515.0</v>
      </c>
    </row>
    <row r="3222">
      <c r="B3222" s="2031">
        <v>3220.0</v>
      </c>
      <c r="C3222" s="2031">
        <v>387.0</v>
      </c>
      <c r="D3222" s="2031">
        <v>773.0</v>
      </c>
      <c r="E3222" s="2031">
        <v>515.0</v>
      </c>
      <c r="F3222" s="2031">
        <v>515.0</v>
      </c>
      <c r="G3222" s="2031">
        <v>515.0</v>
      </c>
      <c r="H3222" s="2031">
        <v>515.0</v>
      </c>
    </row>
    <row r="3223">
      <c r="B3223" s="2031">
        <v>3221.0</v>
      </c>
      <c r="C3223" s="2031">
        <v>386.0</v>
      </c>
      <c r="D3223" s="2031">
        <v>773.0</v>
      </c>
      <c r="E3223" s="2031">
        <v>515.0</v>
      </c>
      <c r="F3223" s="2031">
        <v>515.0</v>
      </c>
      <c r="G3223" s="2031">
        <v>516.0</v>
      </c>
      <c r="H3223" s="2031">
        <v>516.0</v>
      </c>
    </row>
    <row r="3224">
      <c r="B3224" s="2031">
        <v>3222.0</v>
      </c>
      <c r="C3224" s="2031">
        <v>387.0</v>
      </c>
      <c r="D3224" s="2031">
        <v>773.0</v>
      </c>
      <c r="E3224" s="2031">
        <v>515.0</v>
      </c>
      <c r="F3224" s="2031">
        <v>515.0</v>
      </c>
      <c r="G3224" s="2031">
        <v>516.0</v>
      </c>
      <c r="H3224" s="2031">
        <v>516.0</v>
      </c>
    </row>
    <row r="3225">
      <c r="B3225" s="2031">
        <v>3223.0</v>
      </c>
      <c r="C3225" s="2031">
        <v>386.0</v>
      </c>
      <c r="D3225" s="2031">
        <v>773.0</v>
      </c>
      <c r="E3225" s="2031">
        <v>516.0</v>
      </c>
      <c r="F3225" s="2031">
        <v>516.0</v>
      </c>
      <c r="G3225" s="2031">
        <v>516.0</v>
      </c>
      <c r="H3225" s="2031">
        <v>516.0</v>
      </c>
    </row>
    <row r="3226">
      <c r="B3226" s="2031">
        <v>3224.0</v>
      </c>
      <c r="C3226" s="2031">
        <v>387.0</v>
      </c>
      <c r="D3226" s="2031">
        <v>773.0</v>
      </c>
      <c r="E3226" s="2031">
        <v>516.0</v>
      </c>
      <c r="F3226" s="2031">
        <v>516.0</v>
      </c>
      <c r="G3226" s="2031">
        <v>516.0</v>
      </c>
      <c r="H3226" s="2031">
        <v>516.0</v>
      </c>
    </row>
    <row r="3227">
      <c r="B3227" s="2031">
        <v>3225.0</v>
      </c>
      <c r="C3227" s="2031">
        <v>387.0</v>
      </c>
      <c r="D3227" s="2031">
        <v>774.0</v>
      </c>
      <c r="E3227" s="2031">
        <v>516.0</v>
      </c>
      <c r="F3227" s="2031">
        <v>516.0</v>
      </c>
      <c r="G3227" s="2031">
        <v>516.0</v>
      </c>
      <c r="H3227" s="2031">
        <v>516.0</v>
      </c>
    </row>
    <row r="3228">
      <c r="B3228" s="2031">
        <v>3226.0</v>
      </c>
      <c r="C3228" s="2031">
        <v>387.0</v>
      </c>
      <c r="D3228" s="2031">
        <v>775.0</v>
      </c>
      <c r="E3228" s="2031">
        <v>516.0</v>
      </c>
      <c r="F3228" s="2031">
        <v>516.0</v>
      </c>
      <c r="G3228" s="2031">
        <v>516.0</v>
      </c>
      <c r="H3228" s="2031">
        <v>516.0</v>
      </c>
    </row>
    <row r="3229">
      <c r="B3229" s="2031">
        <v>3227.0</v>
      </c>
      <c r="C3229" s="2031">
        <v>388.0</v>
      </c>
      <c r="D3229" s="2031">
        <v>775.0</v>
      </c>
      <c r="E3229" s="2031">
        <v>516.0</v>
      </c>
      <c r="F3229" s="2031">
        <v>516.0</v>
      </c>
      <c r="G3229" s="2031">
        <v>516.0</v>
      </c>
      <c r="H3229" s="2031">
        <v>516.0</v>
      </c>
    </row>
    <row r="3230">
      <c r="B3230" s="2031">
        <v>3228.0</v>
      </c>
      <c r="C3230" s="2031">
        <v>387.0</v>
      </c>
      <c r="D3230" s="2031">
        <v>775.0</v>
      </c>
      <c r="E3230" s="2031">
        <v>516.0</v>
      </c>
      <c r="F3230" s="2031">
        <v>516.0</v>
      </c>
      <c r="G3230" s="2031">
        <v>517.0</v>
      </c>
      <c r="H3230" s="2031">
        <v>517.0</v>
      </c>
    </row>
    <row r="3231">
      <c r="B3231" s="2031">
        <v>3229.0</v>
      </c>
      <c r="C3231" s="2031">
        <v>388.0</v>
      </c>
      <c r="D3231" s="2031">
        <v>775.0</v>
      </c>
      <c r="E3231" s="2031">
        <v>516.0</v>
      </c>
      <c r="F3231" s="2031">
        <v>516.0</v>
      </c>
      <c r="G3231" s="2031">
        <v>517.0</v>
      </c>
      <c r="H3231" s="2031">
        <v>517.0</v>
      </c>
    </row>
    <row r="3232">
      <c r="B3232" s="2031">
        <v>3230.0</v>
      </c>
      <c r="C3232" s="2031">
        <v>387.0</v>
      </c>
      <c r="D3232" s="2031">
        <v>775.0</v>
      </c>
      <c r="E3232" s="2031">
        <v>517.0</v>
      </c>
      <c r="F3232" s="2031">
        <v>517.0</v>
      </c>
      <c r="G3232" s="2031">
        <v>517.0</v>
      </c>
      <c r="H3232" s="2031">
        <v>517.0</v>
      </c>
    </row>
    <row r="3233">
      <c r="B3233" s="2031">
        <v>3231.0</v>
      </c>
      <c r="C3233" s="2031">
        <v>388.0</v>
      </c>
      <c r="D3233" s="2031">
        <v>775.0</v>
      </c>
      <c r="E3233" s="2031">
        <v>517.0</v>
      </c>
      <c r="F3233" s="2031">
        <v>517.0</v>
      </c>
      <c r="G3233" s="2031">
        <v>517.0</v>
      </c>
      <c r="H3233" s="2031">
        <v>517.0</v>
      </c>
    </row>
    <row r="3234">
      <c r="B3234" s="2031">
        <v>3232.0</v>
      </c>
      <c r="C3234" s="2031">
        <v>388.0</v>
      </c>
      <c r="D3234" s="2031">
        <v>776.0</v>
      </c>
      <c r="E3234" s="2031">
        <v>517.0</v>
      </c>
      <c r="F3234" s="2031">
        <v>517.0</v>
      </c>
      <c r="G3234" s="2031">
        <v>517.0</v>
      </c>
      <c r="H3234" s="2031">
        <v>517.0</v>
      </c>
    </row>
    <row r="3235">
      <c r="B3235" s="2031">
        <v>3233.0</v>
      </c>
      <c r="C3235" s="2031">
        <v>388.0</v>
      </c>
      <c r="D3235" s="2031">
        <v>775.0</v>
      </c>
      <c r="E3235" s="2031">
        <v>517.0</v>
      </c>
      <c r="F3235" s="2031">
        <v>517.0</v>
      </c>
      <c r="G3235" s="2031">
        <v>518.0</v>
      </c>
      <c r="H3235" s="2031">
        <v>518.0</v>
      </c>
    </row>
    <row r="3236">
      <c r="B3236" s="2031">
        <v>3234.0</v>
      </c>
      <c r="C3236" s="2031">
        <v>388.0</v>
      </c>
      <c r="D3236" s="2031">
        <v>776.0</v>
      </c>
      <c r="E3236" s="2031">
        <v>517.0</v>
      </c>
      <c r="F3236" s="2031">
        <v>517.0</v>
      </c>
      <c r="G3236" s="2031">
        <v>518.0</v>
      </c>
      <c r="H3236" s="2031">
        <v>518.0</v>
      </c>
    </row>
    <row r="3237">
      <c r="B3237" s="2031">
        <v>3235.0</v>
      </c>
      <c r="C3237" s="2031">
        <v>388.0</v>
      </c>
      <c r="D3237" s="2031">
        <v>777.0</v>
      </c>
      <c r="E3237" s="2031">
        <v>517.0</v>
      </c>
      <c r="F3237" s="2031">
        <v>517.0</v>
      </c>
      <c r="G3237" s="2031">
        <v>518.0</v>
      </c>
      <c r="H3237" s="2031">
        <v>518.0</v>
      </c>
    </row>
    <row r="3238">
      <c r="B3238" s="2031">
        <v>3236.0</v>
      </c>
      <c r="C3238" s="2031">
        <v>388.0</v>
      </c>
      <c r="D3238" s="2031">
        <v>776.0</v>
      </c>
      <c r="E3238" s="2031">
        <v>518.0</v>
      </c>
      <c r="F3238" s="2031">
        <v>518.0</v>
      </c>
      <c r="G3238" s="2031">
        <v>518.0</v>
      </c>
      <c r="H3238" s="2031">
        <v>518.0</v>
      </c>
    </row>
    <row r="3239">
      <c r="B3239" s="2031">
        <v>3237.0</v>
      </c>
      <c r="C3239" s="2031">
        <v>388.0</v>
      </c>
      <c r="D3239" s="2031">
        <v>777.0</v>
      </c>
      <c r="E3239" s="2031">
        <v>518.0</v>
      </c>
      <c r="F3239" s="2031">
        <v>518.0</v>
      </c>
      <c r="G3239" s="2031">
        <v>518.0</v>
      </c>
      <c r="H3239" s="2031">
        <v>518.0</v>
      </c>
    </row>
    <row r="3240">
      <c r="B3240" s="2031">
        <v>3238.0</v>
      </c>
      <c r="C3240" s="2031">
        <v>389.0</v>
      </c>
      <c r="D3240" s="2031">
        <v>777.0</v>
      </c>
      <c r="E3240" s="2031">
        <v>518.0</v>
      </c>
      <c r="F3240" s="2031">
        <v>518.0</v>
      </c>
      <c r="G3240" s="2031">
        <v>518.0</v>
      </c>
      <c r="H3240" s="2031">
        <v>518.0</v>
      </c>
    </row>
    <row r="3241">
      <c r="B3241" s="2031">
        <v>3239.0</v>
      </c>
      <c r="C3241" s="2031">
        <v>389.0</v>
      </c>
      <c r="D3241" s="2031">
        <v>778.0</v>
      </c>
      <c r="E3241" s="2031">
        <v>518.0</v>
      </c>
      <c r="F3241" s="2031">
        <v>518.0</v>
      </c>
      <c r="G3241" s="2031">
        <v>518.0</v>
      </c>
      <c r="H3241" s="2031">
        <v>518.0</v>
      </c>
    </row>
    <row r="3242">
      <c r="B3242" s="2031">
        <v>3240.0</v>
      </c>
      <c r="C3242" s="2031">
        <v>389.0</v>
      </c>
      <c r="D3242" s="2031">
        <v>777.0</v>
      </c>
      <c r="E3242" s="2031">
        <v>518.0</v>
      </c>
      <c r="F3242" s="2031">
        <v>518.0</v>
      </c>
      <c r="G3242" s="2031">
        <v>519.0</v>
      </c>
      <c r="H3242" s="2031">
        <v>519.0</v>
      </c>
    </row>
    <row r="3243">
      <c r="B3243" s="2031">
        <v>3241.0</v>
      </c>
      <c r="C3243" s="2031">
        <v>389.0</v>
      </c>
      <c r="D3243" s="2031">
        <v>778.0</v>
      </c>
      <c r="E3243" s="2031">
        <v>518.0</v>
      </c>
      <c r="F3243" s="2031">
        <v>518.0</v>
      </c>
      <c r="G3243" s="2031">
        <v>519.0</v>
      </c>
      <c r="H3243" s="2031">
        <v>519.0</v>
      </c>
    </row>
    <row r="3244">
      <c r="B3244" s="2031">
        <v>3242.0</v>
      </c>
      <c r="C3244" s="2031">
        <v>389.0</v>
      </c>
      <c r="D3244" s="2031">
        <v>779.0</v>
      </c>
      <c r="E3244" s="2031">
        <v>518.0</v>
      </c>
      <c r="F3244" s="2031">
        <v>518.0</v>
      </c>
      <c r="G3244" s="2031">
        <v>519.0</v>
      </c>
      <c r="H3244" s="2031">
        <v>519.0</v>
      </c>
    </row>
    <row r="3245">
      <c r="B3245" s="2031">
        <v>3243.0</v>
      </c>
      <c r="C3245" s="2031">
        <v>389.0</v>
      </c>
      <c r="D3245" s="2031">
        <v>778.0</v>
      </c>
      <c r="E3245" s="2031">
        <v>519.0</v>
      </c>
      <c r="F3245" s="2031">
        <v>519.0</v>
      </c>
      <c r="G3245" s="2031">
        <v>519.0</v>
      </c>
      <c r="H3245" s="2031">
        <v>519.0</v>
      </c>
    </row>
    <row r="3246">
      <c r="B3246" s="2031">
        <v>3244.0</v>
      </c>
      <c r="C3246" s="2031">
        <v>389.0</v>
      </c>
      <c r="D3246" s="2031">
        <v>779.0</v>
      </c>
      <c r="E3246" s="2031">
        <v>519.0</v>
      </c>
      <c r="F3246" s="2031">
        <v>519.0</v>
      </c>
      <c r="G3246" s="2031">
        <v>519.0</v>
      </c>
      <c r="H3246" s="2031">
        <v>519.0</v>
      </c>
    </row>
    <row r="3247">
      <c r="B3247" s="2031">
        <v>3245.0</v>
      </c>
      <c r="C3247" s="2031">
        <v>390.0</v>
      </c>
      <c r="D3247" s="2031">
        <v>779.0</v>
      </c>
      <c r="E3247" s="2031">
        <v>519.0</v>
      </c>
      <c r="F3247" s="2031">
        <v>519.0</v>
      </c>
      <c r="G3247" s="2031">
        <v>519.0</v>
      </c>
      <c r="H3247" s="2031">
        <v>519.0</v>
      </c>
    </row>
    <row r="3248">
      <c r="B3248" s="2031">
        <v>3246.0</v>
      </c>
      <c r="C3248" s="2031">
        <v>389.0</v>
      </c>
      <c r="D3248" s="2031">
        <v>779.0</v>
      </c>
      <c r="E3248" s="2031">
        <v>519.0</v>
      </c>
      <c r="F3248" s="2031">
        <v>519.0</v>
      </c>
      <c r="G3248" s="2031">
        <v>520.0</v>
      </c>
      <c r="H3248" s="2031">
        <v>520.0</v>
      </c>
    </row>
    <row r="3249">
      <c r="B3249" s="2031">
        <v>3247.0</v>
      </c>
      <c r="C3249" s="2031">
        <v>390.0</v>
      </c>
      <c r="D3249" s="2031">
        <v>779.0</v>
      </c>
      <c r="E3249" s="2031">
        <v>519.0</v>
      </c>
      <c r="F3249" s="2031">
        <v>519.0</v>
      </c>
      <c r="G3249" s="2031">
        <v>520.0</v>
      </c>
      <c r="H3249" s="2031">
        <v>520.0</v>
      </c>
    </row>
    <row r="3250">
      <c r="B3250" s="2031">
        <v>3248.0</v>
      </c>
      <c r="C3250" s="2031">
        <v>389.0</v>
      </c>
      <c r="D3250" s="2031">
        <v>779.0</v>
      </c>
      <c r="E3250" s="2031">
        <v>520.0</v>
      </c>
      <c r="F3250" s="2031">
        <v>520.0</v>
      </c>
      <c r="G3250" s="2031">
        <v>520.0</v>
      </c>
      <c r="H3250" s="2031">
        <v>520.0</v>
      </c>
    </row>
    <row r="3251">
      <c r="B3251" s="2031">
        <v>3249.0</v>
      </c>
      <c r="C3251" s="2031">
        <v>390.0</v>
      </c>
      <c r="D3251" s="2031">
        <v>779.0</v>
      </c>
      <c r="E3251" s="2031">
        <v>520.0</v>
      </c>
      <c r="F3251" s="2031">
        <v>520.0</v>
      </c>
      <c r="G3251" s="2031">
        <v>520.0</v>
      </c>
      <c r="H3251" s="2031">
        <v>520.0</v>
      </c>
    </row>
    <row r="3252">
      <c r="B3252" s="2031">
        <v>3250.0</v>
      </c>
      <c r="C3252" s="2031">
        <v>390.0</v>
      </c>
      <c r="D3252" s="2031">
        <v>780.0</v>
      </c>
      <c r="E3252" s="2031">
        <v>520.0</v>
      </c>
      <c r="F3252" s="2031">
        <v>520.0</v>
      </c>
      <c r="G3252" s="2031">
        <v>520.0</v>
      </c>
      <c r="H3252" s="2031">
        <v>520.0</v>
      </c>
    </row>
    <row r="3253">
      <c r="B3253" s="2031">
        <v>3251.0</v>
      </c>
      <c r="C3253" s="2031">
        <v>390.0</v>
      </c>
      <c r="D3253" s="2031">
        <v>781.0</v>
      </c>
      <c r="E3253" s="2031">
        <v>520.0</v>
      </c>
      <c r="F3253" s="2031">
        <v>520.0</v>
      </c>
      <c r="G3253" s="2031">
        <v>520.0</v>
      </c>
      <c r="H3253" s="2031">
        <v>520.0</v>
      </c>
    </row>
    <row r="3254">
      <c r="B3254" s="2031">
        <v>3252.0</v>
      </c>
      <c r="C3254" s="2031">
        <v>391.0</v>
      </c>
      <c r="D3254" s="2031">
        <v>781.0</v>
      </c>
      <c r="E3254" s="2031">
        <v>520.0</v>
      </c>
      <c r="F3254" s="2031">
        <v>520.0</v>
      </c>
      <c r="G3254" s="2031">
        <v>520.0</v>
      </c>
      <c r="H3254" s="2031">
        <v>520.0</v>
      </c>
    </row>
    <row r="3255">
      <c r="B3255" s="2031">
        <v>3253.0</v>
      </c>
      <c r="C3255" s="2031">
        <v>390.0</v>
      </c>
      <c r="D3255" s="2031">
        <v>781.0</v>
      </c>
      <c r="E3255" s="2031">
        <v>520.0</v>
      </c>
      <c r="F3255" s="2031">
        <v>520.0</v>
      </c>
      <c r="G3255" s="2031">
        <v>521.0</v>
      </c>
      <c r="H3255" s="2031">
        <v>521.0</v>
      </c>
    </row>
    <row r="3256">
      <c r="B3256" s="2031">
        <v>3254.0</v>
      </c>
      <c r="C3256" s="2031">
        <v>391.0</v>
      </c>
      <c r="D3256" s="2031">
        <v>781.0</v>
      </c>
      <c r="E3256" s="2031">
        <v>520.0</v>
      </c>
      <c r="F3256" s="2031">
        <v>520.0</v>
      </c>
      <c r="G3256" s="2031">
        <v>521.0</v>
      </c>
      <c r="H3256" s="2031">
        <v>521.0</v>
      </c>
    </row>
    <row r="3257">
      <c r="B3257" s="2031">
        <v>3255.0</v>
      </c>
      <c r="C3257" s="2031">
        <v>390.0</v>
      </c>
      <c r="D3257" s="2031">
        <v>781.0</v>
      </c>
      <c r="E3257" s="2031">
        <v>521.0</v>
      </c>
      <c r="F3257" s="2031">
        <v>521.0</v>
      </c>
      <c r="G3257" s="2031">
        <v>521.0</v>
      </c>
      <c r="H3257" s="2031">
        <v>521.0</v>
      </c>
    </row>
    <row r="3258">
      <c r="B3258" s="2031">
        <v>3256.0</v>
      </c>
      <c r="C3258" s="2031">
        <v>391.0</v>
      </c>
      <c r="D3258" s="2031">
        <v>781.0</v>
      </c>
      <c r="E3258" s="2031">
        <v>521.0</v>
      </c>
      <c r="F3258" s="2031">
        <v>521.0</v>
      </c>
      <c r="G3258" s="2031">
        <v>521.0</v>
      </c>
      <c r="H3258" s="2031">
        <v>521.0</v>
      </c>
    </row>
    <row r="3259">
      <c r="B3259" s="2031">
        <v>3257.0</v>
      </c>
      <c r="C3259" s="2031">
        <v>391.0</v>
      </c>
      <c r="D3259" s="2031">
        <v>782.0</v>
      </c>
      <c r="E3259" s="2031">
        <v>521.0</v>
      </c>
      <c r="F3259" s="2031">
        <v>521.0</v>
      </c>
      <c r="G3259" s="2031">
        <v>521.0</v>
      </c>
      <c r="H3259" s="2031">
        <v>521.0</v>
      </c>
    </row>
    <row r="3260">
      <c r="B3260" s="2031">
        <v>3258.0</v>
      </c>
      <c r="C3260" s="2031">
        <v>391.0</v>
      </c>
      <c r="D3260" s="2031">
        <v>781.0</v>
      </c>
      <c r="E3260" s="2031">
        <v>521.0</v>
      </c>
      <c r="F3260" s="2031">
        <v>521.0</v>
      </c>
      <c r="G3260" s="2031">
        <v>522.0</v>
      </c>
      <c r="H3260" s="2031">
        <v>522.0</v>
      </c>
    </row>
    <row r="3261">
      <c r="B3261" s="2031">
        <v>3259.0</v>
      </c>
      <c r="C3261" s="2031">
        <v>391.0</v>
      </c>
      <c r="D3261" s="2031">
        <v>782.0</v>
      </c>
      <c r="E3261" s="2031">
        <v>521.0</v>
      </c>
      <c r="F3261" s="2031">
        <v>521.0</v>
      </c>
      <c r="G3261" s="2031">
        <v>522.0</v>
      </c>
      <c r="H3261" s="2031">
        <v>522.0</v>
      </c>
    </row>
    <row r="3262">
      <c r="B3262" s="2031">
        <v>3260.0</v>
      </c>
      <c r="C3262" s="2031">
        <v>391.0</v>
      </c>
      <c r="D3262" s="2031">
        <v>783.0</v>
      </c>
      <c r="E3262" s="2031">
        <v>521.0</v>
      </c>
      <c r="F3262" s="2031">
        <v>521.0</v>
      </c>
      <c r="G3262" s="2031">
        <v>522.0</v>
      </c>
      <c r="H3262" s="2031">
        <v>522.0</v>
      </c>
    </row>
    <row r="3263">
      <c r="B3263" s="2031">
        <v>3261.0</v>
      </c>
      <c r="C3263" s="2031">
        <v>391.0</v>
      </c>
      <c r="D3263" s="2031">
        <v>782.0</v>
      </c>
      <c r="E3263" s="2031">
        <v>522.0</v>
      </c>
      <c r="F3263" s="2031">
        <v>522.0</v>
      </c>
      <c r="G3263" s="2031">
        <v>522.0</v>
      </c>
      <c r="H3263" s="2031">
        <v>522.0</v>
      </c>
    </row>
    <row r="3264">
      <c r="B3264" s="2031">
        <v>3262.0</v>
      </c>
      <c r="C3264" s="2031">
        <v>391.0</v>
      </c>
      <c r="D3264" s="2031">
        <v>783.0</v>
      </c>
      <c r="E3264" s="2031">
        <v>522.0</v>
      </c>
      <c r="F3264" s="2031">
        <v>522.0</v>
      </c>
      <c r="G3264" s="2031">
        <v>522.0</v>
      </c>
      <c r="H3264" s="2031">
        <v>522.0</v>
      </c>
    </row>
    <row r="3265">
      <c r="B3265" s="2031">
        <v>3263.0</v>
      </c>
      <c r="C3265" s="2031">
        <v>392.0</v>
      </c>
      <c r="D3265" s="2031">
        <v>783.0</v>
      </c>
      <c r="E3265" s="2031">
        <v>522.0</v>
      </c>
      <c r="F3265" s="2031">
        <v>522.0</v>
      </c>
      <c r="G3265" s="2031">
        <v>522.0</v>
      </c>
      <c r="H3265" s="2031">
        <v>522.0</v>
      </c>
    </row>
    <row r="3266">
      <c r="B3266" s="2031">
        <v>3264.0</v>
      </c>
      <c r="C3266" s="2031">
        <v>392.0</v>
      </c>
      <c r="D3266" s="2031">
        <v>784.0</v>
      </c>
      <c r="E3266" s="2031">
        <v>522.0</v>
      </c>
      <c r="F3266" s="2031">
        <v>522.0</v>
      </c>
      <c r="G3266" s="2031">
        <v>522.0</v>
      </c>
      <c r="H3266" s="2031">
        <v>522.0</v>
      </c>
    </row>
    <row r="3267">
      <c r="B3267" s="2031">
        <v>3265.0</v>
      </c>
      <c r="C3267" s="2031">
        <v>392.0</v>
      </c>
      <c r="D3267" s="2031">
        <v>783.0</v>
      </c>
      <c r="E3267" s="2031">
        <v>522.0</v>
      </c>
      <c r="F3267" s="2031">
        <v>522.0</v>
      </c>
      <c r="G3267" s="2031">
        <v>523.0</v>
      </c>
      <c r="H3267" s="2031">
        <v>523.0</v>
      </c>
    </row>
    <row r="3268">
      <c r="B3268" s="2031">
        <v>3266.0</v>
      </c>
      <c r="C3268" s="2031">
        <v>392.0</v>
      </c>
      <c r="D3268" s="2031">
        <v>784.0</v>
      </c>
      <c r="E3268" s="2031">
        <v>522.0</v>
      </c>
      <c r="F3268" s="2031">
        <v>522.0</v>
      </c>
      <c r="G3268" s="2031">
        <v>523.0</v>
      </c>
      <c r="H3268" s="2031">
        <v>523.0</v>
      </c>
    </row>
    <row r="3269">
      <c r="B3269" s="2031">
        <v>3267.0</v>
      </c>
      <c r="C3269" s="2031">
        <v>392.0</v>
      </c>
      <c r="D3269" s="2031">
        <v>785.0</v>
      </c>
      <c r="E3269" s="2031">
        <v>522.0</v>
      </c>
      <c r="F3269" s="2031">
        <v>522.0</v>
      </c>
      <c r="G3269" s="2031">
        <v>523.0</v>
      </c>
      <c r="H3269" s="2031">
        <v>523.0</v>
      </c>
    </row>
    <row r="3270">
      <c r="B3270" s="2031">
        <v>3268.0</v>
      </c>
      <c r="C3270" s="2031">
        <v>392.0</v>
      </c>
      <c r="D3270" s="2031">
        <v>784.0</v>
      </c>
      <c r="E3270" s="2031">
        <v>523.0</v>
      </c>
      <c r="F3270" s="2031">
        <v>523.0</v>
      </c>
      <c r="G3270" s="2031">
        <v>523.0</v>
      </c>
      <c r="H3270" s="2031">
        <v>523.0</v>
      </c>
    </row>
    <row r="3271">
      <c r="B3271" s="2031">
        <v>3269.0</v>
      </c>
      <c r="C3271" s="2031">
        <v>392.0</v>
      </c>
      <c r="D3271" s="2031">
        <v>785.0</v>
      </c>
      <c r="E3271" s="2031">
        <v>523.0</v>
      </c>
      <c r="F3271" s="2031">
        <v>523.0</v>
      </c>
      <c r="G3271" s="2031">
        <v>523.0</v>
      </c>
      <c r="H3271" s="2031">
        <v>523.0</v>
      </c>
    </row>
    <row r="3272">
      <c r="B3272" s="2031">
        <v>3270.0</v>
      </c>
      <c r="C3272" s="2031">
        <v>393.0</v>
      </c>
      <c r="D3272" s="2031">
        <v>785.0</v>
      </c>
      <c r="E3272" s="2031">
        <v>523.0</v>
      </c>
      <c r="F3272" s="2031">
        <v>523.0</v>
      </c>
      <c r="G3272" s="2031">
        <v>523.0</v>
      </c>
      <c r="H3272" s="2031">
        <v>523.0</v>
      </c>
    </row>
    <row r="3273">
      <c r="B3273" s="2031">
        <v>3271.0</v>
      </c>
      <c r="C3273" s="2031">
        <v>392.0</v>
      </c>
      <c r="D3273" s="2031">
        <v>785.0</v>
      </c>
      <c r="E3273" s="2031">
        <v>523.0</v>
      </c>
      <c r="F3273" s="2031">
        <v>523.0</v>
      </c>
      <c r="G3273" s="2031">
        <v>524.0</v>
      </c>
      <c r="H3273" s="2031">
        <v>524.0</v>
      </c>
    </row>
    <row r="3274">
      <c r="B3274" s="2031">
        <v>3272.0</v>
      </c>
      <c r="C3274" s="2031">
        <v>393.0</v>
      </c>
      <c r="D3274" s="2031">
        <v>785.0</v>
      </c>
      <c r="E3274" s="2031">
        <v>523.0</v>
      </c>
      <c r="F3274" s="2031">
        <v>523.0</v>
      </c>
      <c r="G3274" s="2031">
        <v>524.0</v>
      </c>
      <c r="H3274" s="2031">
        <v>524.0</v>
      </c>
    </row>
    <row r="3275">
      <c r="B3275" s="2031">
        <v>3273.0</v>
      </c>
      <c r="C3275" s="2031">
        <v>392.0</v>
      </c>
      <c r="D3275" s="2031">
        <v>785.0</v>
      </c>
      <c r="E3275" s="2031">
        <v>524.0</v>
      </c>
      <c r="F3275" s="2031">
        <v>524.0</v>
      </c>
      <c r="G3275" s="2031">
        <v>524.0</v>
      </c>
      <c r="H3275" s="2031">
        <v>524.0</v>
      </c>
    </row>
    <row r="3276">
      <c r="B3276" s="2031">
        <v>3274.0</v>
      </c>
      <c r="C3276" s="2031">
        <v>393.0</v>
      </c>
      <c r="D3276" s="2031">
        <v>785.0</v>
      </c>
      <c r="E3276" s="2031">
        <v>524.0</v>
      </c>
      <c r="F3276" s="2031">
        <v>524.0</v>
      </c>
      <c r="G3276" s="2031">
        <v>524.0</v>
      </c>
      <c r="H3276" s="2031">
        <v>524.0</v>
      </c>
    </row>
    <row r="3277">
      <c r="B3277" s="2031">
        <v>3275.0</v>
      </c>
      <c r="C3277" s="2031">
        <v>393.0</v>
      </c>
      <c r="D3277" s="2031">
        <v>786.0</v>
      </c>
      <c r="E3277" s="2031">
        <v>524.0</v>
      </c>
      <c r="F3277" s="2031">
        <v>524.0</v>
      </c>
      <c r="G3277" s="2031">
        <v>524.0</v>
      </c>
      <c r="H3277" s="2031">
        <v>524.0</v>
      </c>
    </row>
    <row r="3278">
      <c r="B3278" s="2031">
        <v>3276.0</v>
      </c>
      <c r="C3278" s="2031">
        <v>393.0</v>
      </c>
      <c r="D3278" s="2031">
        <v>787.0</v>
      </c>
      <c r="E3278" s="2031">
        <v>524.0</v>
      </c>
      <c r="F3278" s="2031">
        <v>524.0</v>
      </c>
      <c r="G3278" s="2031">
        <v>524.0</v>
      </c>
      <c r="H3278" s="2031">
        <v>524.0</v>
      </c>
    </row>
    <row r="3279">
      <c r="B3279" s="2031">
        <v>3277.0</v>
      </c>
      <c r="C3279" s="2031">
        <v>394.0</v>
      </c>
      <c r="D3279" s="2031">
        <v>787.0</v>
      </c>
      <c r="E3279" s="2031">
        <v>524.0</v>
      </c>
      <c r="F3279" s="2031">
        <v>524.0</v>
      </c>
      <c r="G3279" s="2031">
        <v>524.0</v>
      </c>
      <c r="H3279" s="2031">
        <v>524.0</v>
      </c>
    </row>
    <row r="3280">
      <c r="B3280" s="2031">
        <v>3278.0</v>
      </c>
      <c r="C3280" s="2031">
        <v>393.0</v>
      </c>
      <c r="D3280" s="2031">
        <v>787.0</v>
      </c>
      <c r="E3280" s="2031">
        <v>524.0</v>
      </c>
      <c r="F3280" s="2031">
        <v>524.0</v>
      </c>
      <c r="G3280" s="2031">
        <v>525.0</v>
      </c>
      <c r="H3280" s="2031">
        <v>525.0</v>
      </c>
    </row>
    <row r="3281">
      <c r="B3281" s="2031">
        <v>3279.0</v>
      </c>
      <c r="C3281" s="2031">
        <v>394.0</v>
      </c>
      <c r="D3281" s="2031">
        <v>787.0</v>
      </c>
      <c r="E3281" s="2031">
        <v>524.0</v>
      </c>
      <c r="F3281" s="2031">
        <v>524.0</v>
      </c>
      <c r="G3281" s="2031">
        <v>525.0</v>
      </c>
      <c r="H3281" s="2031">
        <v>525.0</v>
      </c>
    </row>
    <row r="3282">
      <c r="B3282" s="2031">
        <v>3280.0</v>
      </c>
      <c r="C3282" s="2031">
        <v>393.0</v>
      </c>
      <c r="D3282" s="2031">
        <v>787.0</v>
      </c>
      <c r="E3282" s="2031">
        <v>525.0</v>
      </c>
      <c r="F3282" s="2031">
        <v>525.0</v>
      </c>
      <c r="G3282" s="2031">
        <v>525.0</v>
      </c>
      <c r="H3282" s="2031">
        <v>525.0</v>
      </c>
    </row>
    <row r="3283">
      <c r="B3283" s="2031">
        <v>3281.0</v>
      </c>
      <c r="C3283" s="2031">
        <v>394.0</v>
      </c>
      <c r="D3283" s="2031">
        <v>787.0</v>
      </c>
      <c r="E3283" s="2031">
        <v>525.0</v>
      </c>
      <c r="F3283" s="2031">
        <v>525.0</v>
      </c>
      <c r="G3283" s="2031">
        <v>525.0</v>
      </c>
      <c r="H3283" s="2031">
        <v>525.0</v>
      </c>
    </row>
    <row r="3284">
      <c r="B3284" s="2031">
        <v>3282.0</v>
      </c>
      <c r="C3284" s="2031">
        <v>394.0</v>
      </c>
      <c r="D3284" s="2031">
        <v>788.0</v>
      </c>
      <c r="E3284" s="2031">
        <v>525.0</v>
      </c>
      <c r="F3284" s="2031">
        <v>525.0</v>
      </c>
      <c r="G3284" s="2031">
        <v>525.0</v>
      </c>
      <c r="H3284" s="2031">
        <v>525.0</v>
      </c>
    </row>
    <row r="3285">
      <c r="B3285" s="2031">
        <v>3283.0</v>
      </c>
      <c r="C3285" s="2031">
        <v>394.0</v>
      </c>
      <c r="D3285" s="2031">
        <v>787.0</v>
      </c>
      <c r="E3285" s="2031">
        <v>525.0</v>
      </c>
      <c r="F3285" s="2031">
        <v>525.0</v>
      </c>
      <c r="G3285" s="2031">
        <v>526.0</v>
      </c>
      <c r="H3285" s="2031">
        <v>526.0</v>
      </c>
    </row>
    <row r="3286">
      <c r="B3286" s="2031">
        <v>3284.0</v>
      </c>
      <c r="C3286" s="2031">
        <v>394.0</v>
      </c>
      <c r="D3286" s="2031">
        <v>788.0</v>
      </c>
      <c r="E3286" s="2031">
        <v>525.0</v>
      </c>
      <c r="F3286" s="2031">
        <v>525.0</v>
      </c>
      <c r="G3286" s="2031">
        <v>526.0</v>
      </c>
      <c r="H3286" s="2031">
        <v>526.0</v>
      </c>
    </row>
    <row r="3287">
      <c r="B3287" s="2031">
        <v>3285.0</v>
      </c>
      <c r="C3287" s="2031">
        <v>394.0</v>
      </c>
      <c r="D3287" s="2031">
        <v>789.0</v>
      </c>
      <c r="E3287" s="2031">
        <v>525.0</v>
      </c>
      <c r="F3287" s="2031">
        <v>525.0</v>
      </c>
      <c r="G3287" s="2031">
        <v>526.0</v>
      </c>
      <c r="H3287" s="2031">
        <v>526.0</v>
      </c>
    </row>
    <row r="3288">
      <c r="B3288" s="2031">
        <v>3286.0</v>
      </c>
      <c r="C3288" s="2031">
        <v>394.0</v>
      </c>
      <c r="D3288" s="2031">
        <v>788.0</v>
      </c>
      <c r="E3288" s="2031">
        <v>526.0</v>
      </c>
      <c r="F3288" s="2031">
        <v>526.0</v>
      </c>
      <c r="G3288" s="2031">
        <v>526.0</v>
      </c>
      <c r="H3288" s="2031">
        <v>526.0</v>
      </c>
    </row>
    <row r="3289">
      <c r="B3289" s="2031">
        <v>3287.0</v>
      </c>
      <c r="C3289" s="2031">
        <v>394.0</v>
      </c>
      <c r="D3289" s="2031">
        <v>789.0</v>
      </c>
      <c r="E3289" s="2031">
        <v>526.0</v>
      </c>
      <c r="F3289" s="2031">
        <v>526.0</v>
      </c>
      <c r="G3289" s="2031">
        <v>526.0</v>
      </c>
      <c r="H3289" s="2031">
        <v>526.0</v>
      </c>
    </row>
    <row r="3290">
      <c r="B3290" s="2031">
        <v>3288.0</v>
      </c>
      <c r="C3290" s="2031">
        <v>395.0</v>
      </c>
      <c r="D3290" s="2031">
        <v>789.0</v>
      </c>
      <c r="E3290" s="2031">
        <v>526.0</v>
      </c>
      <c r="F3290" s="2031">
        <v>526.0</v>
      </c>
      <c r="G3290" s="2031">
        <v>526.0</v>
      </c>
      <c r="H3290" s="2031">
        <v>526.0</v>
      </c>
    </row>
    <row r="3291">
      <c r="B3291" s="2031">
        <v>3289.0</v>
      </c>
      <c r="C3291" s="2031">
        <v>395.0</v>
      </c>
      <c r="D3291" s="2031">
        <v>790.0</v>
      </c>
      <c r="E3291" s="2031">
        <v>526.0</v>
      </c>
      <c r="F3291" s="2031">
        <v>526.0</v>
      </c>
      <c r="G3291" s="2031">
        <v>526.0</v>
      </c>
      <c r="H3291" s="2031">
        <v>526.0</v>
      </c>
    </row>
    <row r="3292">
      <c r="B3292" s="2031">
        <v>3290.0</v>
      </c>
      <c r="C3292" s="2031">
        <v>395.0</v>
      </c>
      <c r="D3292" s="2031">
        <v>789.0</v>
      </c>
      <c r="E3292" s="2031">
        <v>526.0</v>
      </c>
      <c r="F3292" s="2031">
        <v>526.0</v>
      </c>
      <c r="G3292" s="2031">
        <v>527.0</v>
      </c>
      <c r="H3292" s="2031">
        <v>527.0</v>
      </c>
    </row>
    <row r="3293">
      <c r="B3293" s="2031">
        <v>3291.0</v>
      </c>
      <c r="C3293" s="2031">
        <v>395.0</v>
      </c>
      <c r="D3293" s="2031">
        <v>790.0</v>
      </c>
      <c r="E3293" s="2031">
        <v>526.0</v>
      </c>
      <c r="F3293" s="2031">
        <v>526.0</v>
      </c>
      <c r="G3293" s="2031">
        <v>527.0</v>
      </c>
      <c r="H3293" s="2031">
        <v>527.0</v>
      </c>
    </row>
    <row r="3294">
      <c r="B3294" s="2031">
        <v>3292.0</v>
      </c>
      <c r="C3294" s="2031">
        <v>395.0</v>
      </c>
      <c r="D3294" s="2031">
        <v>791.0</v>
      </c>
      <c r="E3294" s="2031">
        <v>526.0</v>
      </c>
      <c r="F3294" s="2031">
        <v>526.0</v>
      </c>
      <c r="G3294" s="2031">
        <v>527.0</v>
      </c>
      <c r="H3294" s="2031">
        <v>527.0</v>
      </c>
    </row>
    <row r="3295">
      <c r="B3295" s="2031">
        <v>3293.0</v>
      </c>
      <c r="C3295" s="2031">
        <v>395.0</v>
      </c>
      <c r="D3295" s="2031">
        <v>790.0</v>
      </c>
      <c r="E3295" s="2031">
        <v>527.0</v>
      </c>
      <c r="F3295" s="2031">
        <v>527.0</v>
      </c>
      <c r="G3295" s="2031">
        <v>527.0</v>
      </c>
      <c r="H3295" s="2031">
        <v>527.0</v>
      </c>
    </row>
    <row r="3296">
      <c r="B3296" s="2031">
        <v>3294.0</v>
      </c>
      <c r="C3296" s="2031">
        <v>395.0</v>
      </c>
      <c r="D3296" s="2031">
        <v>791.0</v>
      </c>
      <c r="E3296" s="2031">
        <v>527.0</v>
      </c>
      <c r="F3296" s="2031">
        <v>527.0</v>
      </c>
      <c r="G3296" s="2031">
        <v>527.0</v>
      </c>
      <c r="H3296" s="2031">
        <v>527.0</v>
      </c>
    </row>
    <row r="3297">
      <c r="B3297" s="2031">
        <v>3295.0</v>
      </c>
      <c r="C3297" s="2031">
        <v>396.0</v>
      </c>
      <c r="D3297" s="2031">
        <v>791.0</v>
      </c>
      <c r="E3297" s="2031">
        <v>527.0</v>
      </c>
      <c r="F3297" s="2031">
        <v>527.0</v>
      </c>
      <c r="G3297" s="2031">
        <v>527.0</v>
      </c>
      <c r="H3297" s="2031">
        <v>527.0</v>
      </c>
    </row>
    <row r="3298">
      <c r="B3298" s="2031">
        <v>3296.0</v>
      </c>
      <c r="C3298" s="2031">
        <v>395.0</v>
      </c>
      <c r="D3298" s="2031">
        <v>791.0</v>
      </c>
      <c r="E3298" s="2031">
        <v>527.0</v>
      </c>
      <c r="F3298" s="2031">
        <v>527.0</v>
      </c>
      <c r="G3298" s="2031">
        <v>528.0</v>
      </c>
      <c r="H3298" s="2031">
        <v>528.0</v>
      </c>
    </row>
    <row r="3299">
      <c r="B3299" s="2031">
        <v>3297.0</v>
      </c>
      <c r="C3299" s="2031">
        <v>396.0</v>
      </c>
      <c r="D3299" s="2031">
        <v>791.0</v>
      </c>
      <c r="E3299" s="2031">
        <v>527.0</v>
      </c>
      <c r="F3299" s="2031">
        <v>527.0</v>
      </c>
      <c r="G3299" s="2031">
        <v>528.0</v>
      </c>
      <c r="H3299" s="2031">
        <v>528.0</v>
      </c>
    </row>
    <row r="3300">
      <c r="B3300" s="2031">
        <v>3298.0</v>
      </c>
      <c r="C3300" s="2031">
        <v>395.0</v>
      </c>
      <c r="D3300" s="2031">
        <v>791.0</v>
      </c>
      <c r="E3300" s="2031">
        <v>528.0</v>
      </c>
      <c r="F3300" s="2031">
        <v>528.0</v>
      </c>
      <c r="G3300" s="2031">
        <v>528.0</v>
      </c>
      <c r="H3300" s="2031">
        <v>528.0</v>
      </c>
    </row>
    <row r="3301">
      <c r="B3301" s="2031">
        <v>3299.0</v>
      </c>
      <c r="C3301" s="2031">
        <v>396.0</v>
      </c>
      <c r="D3301" s="2031">
        <v>791.0</v>
      </c>
      <c r="E3301" s="2031">
        <v>528.0</v>
      </c>
      <c r="F3301" s="2031">
        <v>528.0</v>
      </c>
      <c r="G3301" s="2031">
        <v>528.0</v>
      </c>
      <c r="H3301" s="2031">
        <v>528.0</v>
      </c>
    </row>
    <row r="3302">
      <c r="B3302" s="2031">
        <v>3300.0</v>
      </c>
      <c r="C3302" s="2031">
        <v>396.0</v>
      </c>
      <c r="D3302" s="2031">
        <v>792.0</v>
      </c>
      <c r="E3302" s="2031">
        <v>528.0</v>
      </c>
      <c r="F3302" s="2031">
        <v>528.0</v>
      </c>
      <c r="G3302" s="2031">
        <v>528.0</v>
      </c>
      <c r="H3302" s="2031">
        <v>528.0</v>
      </c>
    </row>
    <row r="3303">
      <c r="B3303" s="2031">
        <v>3301.0</v>
      </c>
      <c r="C3303" s="2031">
        <v>396.0</v>
      </c>
      <c r="D3303" s="2031">
        <v>793.0</v>
      </c>
      <c r="E3303" s="2031">
        <v>528.0</v>
      </c>
      <c r="F3303" s="2031">
        <v>528.0</v>
      </c>
      <c r="G3303" s="2031">
        <v>528.0</v>
      </c>
      <c r="H3303" s="2031">
        <v>528.0</v>
      </c>
    </row>
    <row r="3304">
      <c r="B3304" s="2031">
        <v>3302.0</v>
      </c>
      <c r="C3304" s="2031">
        <v>397.0</v>
      </c>
      <c r="D3304" s="2031">
        <v>793.0</v>
      </c>
      <c r="E3304" s="2031">
        <v>528.0</v>
      </c>
      <c r="F3304" s="2031">
        <v>528.0</v>
      </c>
      <c r="G3304" s="2031">
        <v>528.0</v>
      </c>
      <c r="H3304" s="2031">
        <v>528.0</v>
      </c>
    </row>
    <row r="3305">
      <c r="B3305" s="2031">
        <v>3303.0</v>
      </c>
      <c r="C3305" s="2031">
        <v>396.0</v>
      </c>
      <c r="D3305" s="2031">
        <v>793.0</v>
      </c>
      <c r="E3305" s="2031">
        <v>528.0</v>
      </c>
      <c r="F3305" s="2031">
        <v>528.0</v>
      </c>
      <c r="G3305" s="2031">
        <v>529.0</v>
      </c>
      <c r="H3305" s="2031">
        <v>529.0</v>
      </c>
    </row>
    <row r="3306">
      <c r="B3306" s="2031">
        <v>3304.0</v>
      </c>
      <c r="C3306" s="2031">
        <v>397.0</v>
      </c>
      <c r="D3306" s="2031">
        <v>793.0</v>
      </c>
      <c r="E3306" s="2031">
        <v>528.0</v>
      </c>
      <c r="F3306" s="2031">
        <v>528.0</v>
      </c>
      <c r="G3306" s="2031">
        <v>529.0</v>
      </c>
      <c r="H3306" s="2031">
        <v>529.0</v>
      </c>
    </row>
    <row r="3307">
      <c r="B3307" s="2031">
        <v>3305.0</v>
      </c>
      <c r="C3307" s="2031">
        <v>396.0</v>
      </c>
      <c r="D3307" s="2031">
        <v>793.0</v>
      </c>
      <c r="E3307" s="2031">
        <v>529.0</v>
      </c>
      <c r="F3307" s="2031">
        <v>529.0</v>
      </c>
      <c r="G3307" s="2031">
        <v>529.0</v>
      </c>
      <c r="H3307" s="2031">
        <v>529.0</v>
      </c>
    </row>
    <row r="3308">
      <c r="B3308" s="2031">
        <v>3306.0</v>
      </c>
      <c r="C3308" s="2031">
        <v>397.0</v>
      </c>
      <c r="D3308" s="2031">
        <v>793.0</v>
      </c>
      <c r="E3308" s="2031">
        <v>529.0</v>
      </c>
      <c r="F3308" s="2031">
        <v>529.0</v>
      </c>
      <c r="G3308" s="2031">
        <v>529.0</v>
      </c>
      <c r="H3308" s="2031">
        <v>529.0</v>
      </c>
    </row>
    <row r="3309">
      <c r="B3309" s="2031">
        <v>3307.0</v>
      </c>
      <c r="C3309" s="2031">
        <v>397.0</v>
      </c>
      <c r="D3309" s="2031">
        <v>794.0</v>
      </c>
      <c r="E3309" s="2031">
        <v>529.0</v>
      </c>
      <c r="F3309" s="2031">
        <v>529.0</v>
      </c>
      <c r="G3309" s="2031">
        <v>529.0</v>
      </c>
      <c r="H3309" s="2031">
        <v>529.0</v>
      </c>
    </row>
    <row r="3310">
      <c r="B3310" s="2031">
        <v>3308.0</v>
      </c>
      <c r="C3310" s="2031">
        <v>397.0</v>
      </c>
      <c r="D3310" s="2031">
        <v>793.0</v>
      </c>
      <c r="E3310" s="2031">
        <v>529.0</v>
      </c>
      <c r="F3310" s="2031">
        <v>529.0</v>
      </c>
      <c r="G3310" s="2031">
        <v>530.0</v>
      </c>
      <c r="H3310" s="2031">
        <v>530.0</v>
      </c>
    </row>
    <row r="3311">
      <c r="B3311" s="2031">
        <v>3309.0</v>
      </c>
      <c r="C3311" s="2031">
        <v>397.0</v>
      </c>
      <c r="D3311" s="2031">
        <v>794.0</v>
      </c>
      <c r="E3311" s="2031">
        <v>529.0</v>
      </c>
      <c r="F3311" s="2031">
        <v>529.0</v>
      </c>
      <c r="G3311" s="2031">
        <v>530.0</v>
      </c>
      <c r="H3311" s="2031">
        <v>530.0</v>
      </c>
    </row>
    <row r="3312">
      <c r="B3312" s="2031">
        <v>3310.0</v>
      </c>
      <c r="C3312" s="2031">
        <v>397.0</v>
      </c>
      <c r="D3312" s="2031">
        <v>795.0</v>
      </c>
      <c r="E3312" s="2031">
        <v>529.0</v>
      </c>
      <c r="F3312" s="2031">
        <v>529.0</v>
      </c>
      <c r="G3312" s="2031">
        <v>530.0</v>
      </c>
      <c r="H3312" s="2031">
        <v>530.0</v>
      </c>
    </row>
    <row r="3313">
      <c r="B3313" s="2031">
        <v>3311.0</v>
      </c>
      <c r="C3313" s="2031">
        <v>397.0</v>
      </c>
      <c r="D3313" s="2031">
        <v>794.0</v>
      </c>
      <c r="E3313" s="2031">
        <v>530.0</v>
      </c>
      <c r="F3313" s="2031">
        <v>530.0</v>
      </c>
      <c r="G3313" s="2031">
        <v>530.0</v>
      </c>
      <c r="H3313" s="2031">
        <v>530.0</v>
      </c>
    </row>
    <row r="3314">
      <c r="B3314" s="2031">
        <v>3312.0</v>
      </c>
      <c r="C3314" s="2031">
        <v>397.0</v>
      </c>
      <c r="D3314" s="2031">
        <v>795.0</v>
      </c>
      <c r="E3314" s="2031">
        <v>530.0</v>
      </c>
      <c r="F3314" s="2031">
        <v>530.0</v>
      </c>
      <c r="G3314" s="2031">
        <v>530.0</v>
      </c>
      <c r="H3314" s="2031">
        <v>530.0</v>
      </c>
    </row>
    <row r="3315">
      <c r="B3315" s="2031">
        <v>3313.0</v>
      </c>
      <c r="C3315" s="2031">
        <v>398.0</v>
      </c>
      <c r="D3315" s="2031">
        <v>795.0</v>
      </c>
      <c r="E3315" s="2031">
        <v>530.0</v>
      </c>
      <c r="F3315" s="2031">
        <v>530.0</v>
      </c>
      <c r="G3315" s="2031">
        <v>530.0</v>
      </c>
      <c r="H3315" s="2031">
        <v>530.0</v>
      </c>
    </row>
    <row r="3316">
      <c r="B3316" s="2031">
        <v>3314.0</v>
      </c>
      <c r="C3316" s="2031">
        <v>398.0</v>
      </c>
      <c r="D3316" s="2031">
        <v>796.0</v>
      </c>
      <c r="E3316" s="2031">
        <v>530.0</v>
      </c>
      <c r="F3316" s="2031">
        <v>530.0</v>
      </c>
      <c r="G3316" s="2031">
        <v>530.0</v>
      </c>
      <c r="H3316" s="2031">
        <v>530.0</v>
      </c>
    </row>
    <row r="3317">
      <c r="B3317" s="2031">
        <v>3315.0</v>
      </c>
      <c r="C3317" s="2031">
        <v>398.0</v>
      </c>
      <c r="D3317" s="2031">
        <v>795.0</v>
      </c>
      <c r="E3317" s="2031">
        <v>530.0</v>
      </c>
      <c r="F3317" s="2031">
        <v>530.0</v>
      </c>
      <c r="G3317" s="2031">
        <v>531.0</v>
      </c>
      <c r="H3317" s="2031">
        <v>531.0</v>
      </c>
    </row>
    <row r="3318">
      <c r="B3318" s="2031">
        <v>3316.0</v>
      </c>
      <c r="C3318" s="2031">
        <v>398.0</v>
      </c>
      <c r="D3318" s="2031">
        <v>796.0</v>
      </c>
      <c r="E3318" s="2031">
        <v>530.0</v>
      </c>
      <c r="F3318" s="2031">
        <v>530.0</v>
      </c>
      <c r="G3318" s="2031">
        <v>531.0</v>
      </c>
      <c r="H3318" s="2031">
        <v>531.0</v>
      </c>
    </row>
    <row r="3319">
      <c r="B3319" s="2031">
        <v>3317.0</v>
      </c>
      <c r="C3319" s="2031">
        <v>398.0</v>
      </c>
      <c r="D3319" s="2031">
        <v>797.0</v>
      </c>
      <c r="E3319" s="2031">
        <v>530.0</v>
      </c>
      <c r="F3319" s="2031">
        <v>530.0</v>
      </c>
      <c r="G3319" s="2031">
        <v>531.0</v>
      </c>
      <c r="H3319" s="2031">
        <v>531.0</v>
      </c>
    </row>
    <row r="3320">
      <c r="B3320" s="2031">
        <v>3318.0</v>
      </c>
      <c r="C3320" s="2031">
        <v>398.0</v>
      </c>
      <c r="D3320" s="2031">
        <v>796.0</v>
      </c>
      <c r="E3320" s="2031">
        <v>531.0</v>
      </c>
      <c r="F3320" s="2031">
        <v>531.0</v>
      </c>
      <c r="G3320" s="2031">
        <v>531.0</v>
      </c>
      <c r="H3320" s="2031">
        <v>531.0</v>
      </c>
    </row>
    <row r="3321">
      <c r="B3321" s="2031">
        <v>3319.0</v>
      </c>
      <c r="C3321" s="2031">
        <v>398.0</v>
      </c>
      <c r="D3321" s="2031">
        <v>797.0</v>
      </c>
      <c r="E3321" s="2031">
        <v>531.0</v>
      </c>
      <c r="F3321" s="2031">
        <v>531.0</v>
      </c>
      <c r="G3321" s="2031">
        <v>531.0</v>
      </c>
      <c r="H3321" s="2031">
        <v>531.0</v>
      </c>
    </row>
    <row r="3322">
      <c r="B3322" s="2031">
        <v>3320.0</v>
      </c>
      <c r="C3322" s="2031">
        <v>399.0</v>
      </c>
      <c r="D3322" s="2031">
        <v>797.0</v>
      </c>
      <c r="E3322" s="2031">
        <v>531.0</v>
      </c>
      <c r="F3322" s="2031">
        <v>531.0</v>
      </c>
      <c r="G3322" s="2031">
        <v>531.0</v>
      </c>
      <c r="H3322" s="2031">
        <v>531.0</v>
      </c>
    </row>
    <row r="3323">
      <c r="B3323" s="2031">
        <v>3321.0</v>
      </c>
      <c r="C3323" s="2031">
        <v>398.0</v>
      </c>
      <c r="D3323" s="2031">
        <v>797.0</v>
      </c>
      <c r="E3323" s="2031">
        <v>531.0</v>
      </c>
      <c r="F3323" s="2031">
        <v>531.0</v>
      </c>
      <c r="G3323" s="2031">
        <v>532.0</v>
      </c>
      <c r="H3323" s="2031">
        <v>532.0</v>
      </c>
    </row>
    <row r="3324">
      <c r="B3324" s="2031">
        <v>3322.0</v>
      </c>
      <c r="C3324" s="2031">
        <v>399.0</v>
      </c>
      <c r="D3324" s="2031">
        <v>797.0</v>
      </c>
      <c r="E3324" s="2031">
        <v>531.0</v>
      </c>
      <c r="F3324" s="2031">
        <v>531.0</v>
      </c>
      <c r="G3324" s="2031">
        <v>532.0</v>
      </c>
      <c r="H3324" s="2031">
        <v>532.0</v>
      </c>
    </row>
    <row r="3325">
      <c r="B3325" s="2031">
        <v>3323.0</v>
      </c>
      <c r="C3325" s="2031">
        <v>398.0</v>
      </c>
      <c r="D3325" s="2031">
        <v>797.0</v>
      </c>
      <c r="E3325" s="2031">
        <v>532.0</v>
      </c>
      <c r="F3325" s="2031">
        <v>532.0</v>
      </c>
      <c r="G3325" s="2031">
        <v>532.0</v>
      </c>
      <c r="H3325" s="2031">
        <v>532.0</v>
      </c>
    </row>
    <row r="3326">
      <c r="B3326" s="2031">
        <v>3324.0</v>
      </c>
      <c r="C3326" s="2031">
        <v>399.0</v>
      </c>
      <c r="D3326" s="2031">
        <v>797.0</v>
      </c>
      <c r="E3326" s="2031">
        <v>532.0</v>
      </c>
      <c r="F3326" s="2031">
        <v>532.0</v>
      </c>
      <c r="G3326" s="2031">
        <v>532.0</v>
      </c>
      <c r="H3326" s="2031">
        <v>532.0</v>
      </c>
    </row>
    <row r="3327">
      <c r="B3327" s="2031">
        <v>3325.0</v>
      </c>
      <c r="C3327" s="2031">
        <v>399.0</v>
      </c>
      <c r="D3327" s="2031">
        <v>798.0</v>
      </c>
      <c r="E3327" s="2031">
        <v>532.0</v>
      </c>
      <c r="F3327" s="2031">
        <v>532.0</v>
      </c>
      <c r="G3327" s="2031">
        <v>532.0</v>
      </c>
      <c r="H3327" s="2031">
        <v>532.0</v>
      </c>
    </row>
    <row r="3328">
      <c r="B3328" s="2031">
        <v>3326.0</v>
      </c>
      <c r="C3328" s="2031">
        <v>399.0</v>
      </c>
      <c r="D3328" s="2031">
        <v>799.0</v>
      </c>
      <c r="E3328" s="2031">
        <v>532.0</v>
      </c>
      <c r="F3328" s="2031">
        <v>532.0</v>
      </c>
      <c r="G3328" s="2031">
        <v>532.0</v>
      </c>
      <c r="H3328" s="2031">
        <v>532.0</v>
      </c>
    </row>
    <row r="3329">
      <c r="B3329" s="2031">
        <v>3327.0</v>
      </c>
      <c r="C3329" s="2031">
        <v>400.0</v>
      </c>
      <c r="D3329" s="2031">
        <v>799.0</v>
      </c>
      <c r="E3329" s="2031">
        <v>532.0</v>
      </c>
      <c r="F3329" s="2031">
        <v>532.0</v>
      </c>
      <c r="G3329" s="2031">
        <v>532.0</v>
      </c>
      <c r="H3329" s="2031">
        <v>532.0</v>
      </c>
    </row>
    <row r="3330">
      <c r="B3330" s="2031">
        <v>3328.0</v>
      </c>
      <c r="C3330" s="2031">
        <v>399.0</v>
      </c>
      <c r="D3330" s="2031">
        <v>799.0</v>
      </c>
      <c r="E3330" s="2031">
        <v>532.0</v>
      </c>
      <c r="F3330" s="2031">
        <v>532.0</v>
      </c>
      <c r="G3330" s="2031">
        <v>533.0</v>
      </c>
      <c r="H3330" s="2031">
        <v>533.0</v>
      </c>
    </row>
    <row r="3331">
      <c r="B3331" s="2031">
        <v>3329.0</v>
      </c>
      <c r="C3331" s="2031">
        <v>400.0</v>
      </c>
      <c r="D3331" s="2031">
        <v>799.0</v>
      </c>
      <c r="E3331" s="2031">
        <v>532.0</v>
      </c>
      <c r="F3331" s="2031">
        <v>532.0</v>
      </c>
      <c r="G3331" s="2031">
        <v>533.0</v>
      </c>
      <c r="H3331" s="2031">
        <v>533.0</v>
      </c>
    </row>
    <row r="3332">
      <c r="B3332" s="2031">
        <v>3330.0</v>
      </c>
      <c r="C3332" s="2031">
        <v>399.0</v>
      </c>
      <c r="D3332" s="2031">
        <v>799.0</v>
      </c>
      <c r="E3332" s="2031">
        <v>533.0</v>
      </c>
      <c r="F3332" s="2031">
        <v>533.0</v>
      </c>
      <c r="G3332" s="2031">
        <v>533.0</v>
      </c>
      <c r="H3332" s="2031">
        <v>533.0</v>
      </c>
    </row>
    <row r="3333">
      <c r="B3333" s="2031">
        <v>3331.0</v>
      </c>
      <c r="C3333" s="2031">
        <v>400.0</v>
      </c>
      <c r="D3333" s="2031">
        <v>799.0</v>
      </c>
      <c r="E3333" s="2031">
        <v>533.0</v>
      </c>
      <c r="F3333" s="2031">
        <v>533.0</v>
      </c>
      <c r="G3333" s="2031">
        <v>533.0</v>
      </c>
      <c r="H3333" s="2031">
        <v>533.0</v>
      </c>
    </row>
    <row r="3334">
      <c r="B3334" s="2031">
        <v>3332.0</v>
      </c>
      <c r="C3334" s="2031">
        <v>400.0</v>
      </c>
      <c r="D3334" s="2031">
        <v>800.0</v>
      </c>
      <c r="E3334" s="2031">
        <v>533.0</v>
      </c>
      <c r="F3334" s="2031">
        <v>533.0</v>
      </c>
      <c r="G3334" s="2031">
        <v>533.0</v>
      </c>
      <c r="H3334" s="2031">
        <v>533.0</v>
      </c>
    </row>
    <row r="3335">
      <c r="B3335" s="2031">
        <v>3333.0</v>
      </c>
      <c r="C3335" s="2031">
        <v>400.0</v>
      </c>
      <c r="D3335" s="2031">
        <v>799.0</v>
      </c>
      <c r="E3335" s="2031">
        <v>533.0</v>
      </c>
      <c r="F3335" s="2031">
        <v>533.0</v>
      </c>
      <c r="G3335" s="2031">
        <v>534.0</v>
      </c>
      <c r="H3335" s="2031">
        <v>534.0</v>
      </c>
    </row>
    <row r="3336">
      <c r="B3336" s="2031">
        <v>3334.0</v>
      </c>
      <c r="C3336" s="2031">
        <v>400.0</v>
      </c>
      <c r="D3336" s="2031">
        <v>800.0</v>
      </c>
      <c r="E3336" s="2031">
        <v>533.0</v>
      </c>
      <c r="F3336" s="2031">
        <v>533.0</v>
      </c>
      <c r="G3336" s="2031">
        <v>534.0</v>
      </c>
      <c r="H3336" s="2031">
        <v>534.0</v>
      </c>
    </row>
    <row r="3337">
      <c r="B3337" s="2031">
        <v>3335.0</v>
      </c>
      <c r="C3337" s="2031">
        <v>400.0</v>
      </c>
      <c r="D3337" s="2031">
        <v>801.0</v>
      </c>
      <c r="E3337" s="2031">
        <v>533.0</v>
      </c>
      <c r="F3337" s="2031">
        <v>533.0</v>
      </c>
      <c r="G3337" s="2031">
        <v>534.0</v>
      </c>
      <c r="H3337" s="2031">
        <v>534.0</v>
      </c>
    </row>
    <row r="3338">
      <c r="B3338" s="2031">
        <v>3336.0</v>
      </c>
      <c r="C3338" s="2031">
        <v>400.0</v>
      </c>
      <c r="D3338" s="2031">
        <v>800.0</v>
      </c>
      <c r="E3338" s="2031">
        <v>534.0</v>
      </c>
      <c r="F3338" s="2031">
        <v>534.0</v>
      </c>
      <c r="G3338" s="2031">
        <v>534.0</v>
      </c>
      <c r="H3338" s="2031">
        <v>534.0</v>
      </c>
    </row>
    <row r="3339">
      <c r="B3339" s="2031">
        <v>3337.0</v>
      </c>
      <c r="C3339" s="2031">
        <v>400.0</v>
      </c>
      <c r="D3339" s="2031">
        <v>801.0</v>
      </c>
      <c r="E3339" s="2031">
        <v>534.0</v>
      </c>
      <c r="F3339" s="2031">
        <v>534.0</v>
      </c>
      <c r="G3339" s="2031">
        <v>534.0</v>
      </c>
      <c r="H3339" s="2031">
        <v>534.0</v>
      </c>
    </row>
    <row r="3340">
      <c r="B3340" s="2031">
        <v>3338.0</v>
      </c>
      <c r="C3340" s="2031">
        <v>401.0</v>
      </c>
      <c r="D3340" s="2031">
        <v>801.0</v>
      </c>
      <c r="E3340" s="2031">
        <v>534.0</v>
      </c>
      <c r="F3340" s="2031">
        <v>534.0</v>
      </c>
      <c r="G3340" s="2031">
        <v>534.0</v>
      </c>
      <c r="H3340" s="2031">
        <v>534.0</v>
      </c>
    </row>
    <row r="3341">
      <c r="B3341" s="2031">
        <v>3339.0</v>
      </c>
      <c r="C3341" s="2031">
        <v>401.0</v>
      </c>
      <c r="D3341" s="2031">
        <v>802.0</v>
      </c>
      <c r="E3341" s="2031">
        <v>534.0</v>
      </c>
      <c r="F3341" s="2031">
        <v>534.0</v>
      </c>
      <c r="G3341" s="2031">
        <v>534.0</v>
      </c>
      <c r="H3341" s="2031">
        <v>534.0</v>
      </c>
    </row>
    <row r="3342">
      <c r="B3342" s="2031">
        <v>3340.0</v>
      </c>
      <c r="C3342" s="2031">
        <v>401.0</v>
      </c>
      <c r="D3342" s="2031">
        <v>801.0</v>
      </c>
      <c r="E3342" s="2031">
        <v>534.0</v>
      </c>
      <c r="F3342" s="2031">
        <v>534.0</v>
      </c>
      <c r="G3342" s="2031">
        <v>535.0</v>
      </c>
      <c r="H3342" s="2031">
        <v>535.0</v>
      </c>
    </row>
    <row r="3343">
      <c r="B3343" s="2031">
        <v>3341.0</v>
      </c>
      <c r="C3343" s="2031">
        <v>401.0</v>
      </c>
      <c r="D3343" s="2031">
        <v>802.0</v>
      </c>
      <c r="E3343" s="2031">
        <v>534.0</v>
      </c>
      <c r="F3343" s="2031">
        <v>534.0</v>
      </c>
      <c r="G3343" s="2031">
        <v>535.0</v>
      </c>
      <c r="H3343" s="2031">
        <v>535.0</v>
      </c>
    </row>
    <row r="3344">
      <c r="B3344" s="2031">
        <v>3342.0</v>
      </c>
      <c r="C3344" s="2031">
        <v>401.0</v>
      </c>
      <c r="D3344" s="2031">
        <v>803.0</v>
      </c>
      <c r="E3344" s="2031">
        <v>534.0</v>
      </c>
      <c r="F3344" s="2031">
        <v>534.0</v>
      </c>
      <c r="G3344" s="2031">
        <v>535.0</v>
      </c>
      <c r="H3344" s="2031">
        <v>535.0</v>
      </c>
    </row>
    <row r="3345">
      <c r="B3345" s="2031">
        <v>3343.0</v>
      </c>
      <c r="C3345" s="2031">
        <v>401.0</v>
      </c>
      <c r="D3345" s="2031">
        <v>802.0</v>
      </c>
      <c r="E3345" s="2031">
        <v>535.0</v>
      </c>
      <c r="F3345" s="2031">
        <v>535.0</v>
      </c>
      <c r="G3345" s="2031">
        <v>535.0</v>
      </c>
      <c r="H3345" s="2031">
        <v>535.0</v>
      </c>
    </row>
    <row r="3346">
      <c r="B3346" s="2031">
        <v>3344.0</v>
      </c>
      <c r="C3346" s="2031">
        <v>401.0</v>
      </c>
      <c r="D3346" s="2031">
        <v>803.0</v>
      </c>
      <c r="E3346" s="2031">
        <v>535.0</v>
      </c>
      <c r="F3346" s="2031">
        <v>535.0</v>
      </c>
      <c r="G3346" s="2031">
        <v>535.0</v>
      </c>
      <c r="H3346" s="2031">
        <v>535.0</v>
      </c>
    </row>
    <row r="3347">
      <c r="B3347" s="2031">
        <v>3345.0</v>
      </c>
      <c r="C3347" s="2031">
        <v>402.0</v>
      </c>
      <c r="D3347" s="2031">
        <v>803.0</v>
      </c>
      <c r="E3347" s="2031">
        <v>535.0</v>
      </c>
      <c r="F3347" s="2031">
        <v>535.0</v>
      </c>
      <c r="G3347" s="2031">
        <v>535.0</v>
      </c>
      <c r="H3347" s="2031">
        <v>535.0</v>
      </c>
    </row>
    <row r="3348">
      <c r="B3348" s="2031">
        <v>3346.0</v>
      </c>
      <c r="C3348" s="2031">
        <v>401.0</v>
      </c>
      <c r="D3348" s="2031">
        <v>803.0</v>
      </c>
      <c r="E3348" s="2031">
        <v>535.0</v>
      </c>
      <c r="F3348" s="2031">
        <v>535.0</v>
      </c>
      <c r="G3348" s="2031">
        <v>536.0</v>
      </c>
      <c r="H3348" s="2031">
        <v>536.0</v>
      </c>
    </row>
    <row r="3349">
      <c r="B3349" s="2031">
        <v>3347.0</v>
      </c>
      <c r="C3349" s="2031">
        <v>402.0</v>
      </c>
      <c r="D3349" s="2031">
        <v>803.0</v>
      </c>
      <c r="E3349" s="2031">
        <v>535.0</v>
      </c>
      <c r="F3349" s="2031">
        <v>535.0</v>
      </c>
      <c r="G3349" s="2031">
        <v>536.0</v>
      </c>
      <c r="H3349" s="2031">
        <v>536.0</v>
      </c>
    </row>
    <row r="3350">
      <c r="B3350" s="2031">
        <v>3348.0</v>
      </c>
      <c r="C3350" s="2031">
        <v>401.0</v>
      </c>
      <c r="D3350" s="2031">
        <v>803.0</v>
      </c>
      <c r="E3350" s="2031">
        <v>536.0</v>
      </c>
      <c r="F3350" s="2031">
        <v>536.0</v>
      </c>
      <c r="G3350" s="2031">
        <v>536.0</v>
      </c>
      <c r="H3350" s="2031">
        <v>536.0</v>
      </c>
    </row>
    <row r="3351">
      <c r="B3351" s="2031">
        <v>3349.0</v>
      </c>
      <c r="C3351" s="2031">
        <v>402.0</v>
      </c>
      <c r="D3351" s="2031">
        <v>803.0</v>
      </c>
      <c r="E3351" s="2031">
        <v>536.0</v>
      </c>
      <c r="F3351" s="2031">
        <v>536.0</v>
      </c>
      <c r="G3351" s="2031">
        <v>536.0</v>
      </c>
      <c r="H3351" s="2031">
        <v>536.0</v>
      </c>
    </row>
    <row r="3352">
      <c r="B3352" s="2031">
        <v>3350.0</v>
      </c>
      <c r="C3352" s="2031">
        <v>402.0</v>
      </c>
      <c r="D3352" s="2031">
        <v>804.0</v>
      </c>
      <c r="E3352" s="2031">
        <v>536.0</v>
      </c>
      <c r="F3352" s="2031">
        <v>536.0</v>
      </c>
      <c r="G3352" s="2031">
        <v>536.0</v>
      </c>
      <c r="H3352" s="2031">
        <v>536.0</v>
      </c>
    </row>
    <row r="3353">
      <c r="B3353" s="2031">
        <v>3351.0</v>
      </c>
      <c r="C3353" s="2031">
        <v>402.0</v>
      </c>
      <c r="D3353" s="2031">
        <v>805.0</v>
      </c>
      <c r="E3353" s="2031">
        <v>536.0</v>
      </c>
      <c r="F3353" s="2031">
        <v>536.0</v>
      </c>
      <c r="G3353" s="2031">
        <v>536.0</v>
      </c>
      <c r="H3353" s="2031">
        <v>536.0</v>
      </c>
    </row>
    <row r="3354">
      <c r="B3354" s="2031">
        <v>3352.0</v>
      </c>
      <c r="C3354" s="2031">
        <v>403.0</v>
      </c>
      <c r="D3354" s="2031">
        <v>805.0</v>
      </c>
      <c r="E3354" s="2031">
        <v>536.0</v>
      </c>
      <c r="F3354" s="2031">
        <v>536.0</v>
      </c>
      <c r="G3354" s="2031">
        <v>536.0</v>
      </c>
      <c r="H3354" s="2031">
        <v>536.0</v>
      </c>
    </row>
    <row r="3355">
      <c r="B3355" s="2031">
        <v>3353.0</v>
      </c>
      <c r="C3355" s="2031">
        <v>402.0</v>
      </c>
      <c r="D3355" s="2031">
        <v>805.0</v>
      </c>
      <c r="E3355" s="2031">
        <v>536.0</v>
      </c>
      <c r="F3355" s="2031">
        <v>536.0</v>
      </c>
      <c r="G3355" s="2031">
        <v>537.0</v>
      </c>
      <c r="H3355" s="2031">
        <v>537.0</v>
      </c>
    </row>
    <row r="3356">
      <c r="B3356" s="2031">
        <v>3354.0</v>
      </c>
      <c r="C3356" s="2031">
        <v>403.0</v>
      </c>
      <c r="D3356" s="2031">
        <v>805.0</v>
      </c>
      <c r="E3356" s="2031">
        <v>536.0</v>
      </c>
      <c r="F3356" s="2031">
        <v>536.0</v>
      </c>
      <c r="G3356" s="2031">
        <v>537.0</v>
      </c>
      <c r="H3356" s="2031">
        <v>537.0</v>
      </c>
    </row>
    <row r="3357">
      <c r="B3357" s="2031">
        <v>3355.0</v>
      </c>
      <c r="C3357" s="2031">
        <v>402.0</v>
      </c>
      <c r="D3357" s="2031">
        <v>805.0</v>
      </c>
      <c r="E3357" s="2031">
        <v>537.0</v>
      </c>
      <c r="F3357" s="2031">
        <v>537.0</v>
      </c>
      <c r="G3357" s="2031">
        <v>537.0</v>
      </c>
      <c r="H3357" s="2031">
        <v>537.0</v>
      </c>
    </row>
    <row r="3358">
      <c r="B3358" s="2031">
        <v>3356.0</v>
      </c>
      <c r="C3358" s="2031">
        <v>403.0</v>
      </c>
      <c r="D3358" s="2031">
        <v>805.0</v>
      </c>
      <c r="E3358" s="2031">
        <v>537.0</v>
      </c>
      <c r="F3358" s="2031">
        <v>537.0</v>
      </c>
      <c r="G3358" s="2031">
        <v>537.0</v>
      </c>
      <c r="H3358" s="2031">
        <v>537.0</v>
      </c>
    </row>
    <row r="3359">
      <c r="B3359" s="2031">
        <v>3357.0</v>
      </c>
      <c r="C3359" s="2031">
        <v>403.0</v>
      </c>
      <c r="D3359" s="2031">
        <v>806.0</v>
      </c>
      <c r="E3359" s="2031">
        <v>537.0</v>
      </c>
      <c r="F3359" s="2031">
        <v>537.0</v>
      </c>
      <c r="G3359" s="2031">
        <v>537.0</v>
      </c>
      <c r="H3359" s="2031">
        <v>537.0</v>
      </c>
    </row>
    <row r="3360">
      <c r="B3360" s="2031">
        <v>3358.0</v>
      </c>
      <c r="C3360" s="2031">
        <v>403.0</v>
      </c>
      <c r="D3360" s="2031">
        <v>805.0</v>
      </c>
      <c r="E3360" s="2031">
        <v>537.0</v>
      </c>
      <c r="F3360" s="2031">
        <v>537.0</v>
      </c>
      <c r="G3360" s="2031">
        <v>538.0</v>
      </c>
      <c r="H3360" s="2031">
        <v>538.0</v>
      </c>
    </row>
    <row r="3361">
      <c r="B3361" s="2031">
        <v>3359.0</v>
      </c>
      <c r="C3361" s="2031">
        <v>403.0</v>
      </c>
      <c r="D3361" s="2031">
        <v>806.0</v>
      </c>
      <c r="E3361" s="2031">
        <v>537.0</v>
      </c>
      <c r="F3361" s="2031">
        <v>537.0</v>
      </c>
      <c r="G3361" s="2031">
        <v>538.0</v>
      </c>
      <c r="H3361" s="2031">
        <v>538.0</v>
      </c>
    </row>
    <row r="3362">
      <c r="B3362" s="2031">
        <v>3360.0</v>
      </c>
      <c r="C3362" s="2031">
        <v>403.0</v>
      </c>
      <c r="D3362" s="2031">
        <v>807.0</v>
      </c>
      <c r="E3362" s="2031">
        <v>537.0</v>
      </c>
      <c r="F3362" s="2031">
        <v>537.0</v>
      </c>
      <c r="G3362" s="2031">
        <v>538.0</v>
      </c>
      <c r="H3362" s="2031">
        <v>538.0</v>
      </c>
    </row>
    <row r="3363">
      <c r="B3363" s="2031">
        <v>3361.0</v>
      </c>
      <c r="C3363" s="2031">
        <v>403.0</v>
      </c>
      <c r="D3363" s="2031">
        <v>806.0</v>
      </c>
      <c r="E3363" s="2031">
        <v>538.0</v>
      </c>
      <c r="F3363" s="2031">
        <v>538.0</v>
      </c>
      <c r="G3363" s="2031">
        <v>538.0</v>
      </c>
      <c r="H3363" s="2031">
        <v>538.0</v>
      </c>
    </row>
    <row r="3364">
      <c r="B3364" s="2031">
        <v>3362.0</v>
      </c>
      <c r="C3364" s="2031">
        <v>403.0</v>
      </c>
      <c r="D3364" s="2031">
        <v>807.0</v>
      </c>
      <c r="E3364" s="2031">
        <v>538.0</v>
      </c>
      <c r="F3364" s="2031">
        <v>538.0</v>
      </c>
      <c r="G3364" s="2031">
        <v>538.0</v>
      </c>
      <c r="H3364" s="2031">
        <v>538.0</v>
      </c>
    </row>
    <row r="3365">
      <c r="B3365" s="2031">
        <v>3363.0</v>
      </c>
      <c r="C3365" s="2031">
        <v>404.0</v>
      </c>
      <c r="D3365" s="2031">
        <v>807.0</v>
      </c>
      <c r="E3365" s="2031">
        <v>538.0</v>
      </c>
      <c r="F3365" s="2031">
        <v>538.0</v>
      </c>
      <c r="G3365" s="2031">
        <v>538.0</v>
      </c>
      <c r="H3365" s="2031">
        <v>538.0</v>
      </c>
    </row>
    <row r="3366">
      <c r="B3366" s="2031">
        <v>3364.0</v>
      </c>
      <c r="C3366" s="2031">
        <v>404.0</v>
      </c>
      <c r="D3366" s="2031">
        <v>808.0</v>
      </c>
      <c r="E3366" s="2031">
        <v>538.0</v>
      </c>
      <c r="F3366" s="2031">
        <v>538.0</v>
      </c>
      <c r="G3366" s="2031">
        <v>538.0</v>
      </c>
      <c r="H3366" s="2031">
        <v>538.0</v>
      </c>
    </row>
    <row r="3367">
      <c r="B3367" s="2031">
        <v>3365.0</v>
      </c>
      <c r="C3367" s="2031">
        <v>404.0</v>
      </c>
      <c r="D3367" s="2031">
        <v>807.0</v>
      </c>
      <c r="E3367" s="2031">
        <v>538.0</v>
      </c>
      <c r="F3367" s="2031">
        <v>538.0</v>
      </c>
      <c r="G3367" s="2031">
        <v>539.0</v>
      </c>
      <c r="H3367" s="2031">
        <v>539.0</v>
      </c>
    </row>
    <row r="3368">
      <c r="B3368" s="2031">
        <v>3366.0</v>
      </c>
      <c r="C3368" s="2031">
        <v>404.0</v>
      </c>
      <c r="D3368" s="2031">
        <v>808.0</v>
      </c>
      <c r="E3368" s="2031">
        <v>538.0</v>
      </c>
      <c r="F3368" s="2031">
        <v>538.0</v>
      </c>
      <c r="G3368" s="2031">
        <v>539.0</v>
      </c>
      <c r="H3368" s="2031">
        <v>539.0</v>
      </c>
    </row>
    <row r="3369">
      <c r="B3369" s="2031">
        <v>3367.0</v>
      </c>
      <c r="C3369" s="2031">
        <v>404.0</v>
      </c>
      <c r="D3369" s="2031">
        <v>809.0</v>
      </c>
      <c r="E3369" s="2031">
        <v>538.0</v>
      </c>
      <c r="F3369" s="2031">
        <v>538.0</v>
      </c>
      <c r="G3369" s="2031">
        <v>539.0</v>
      </c>
      <c r="H3369" s="2031">
        <v>539.0</v>
      </c>
    </row>
    <row r="3370">
      <c r="B3370" s="2031">
        <v>3368.0</v>
      </c>
      <c r="C3370" s="2031">
        <v>404.0</v>
      </c>
      <c r="D3370" s="2031">
        <v>808.0</v>
      </c>
      <c r="E3370" s="2031">
        <v>539.0</v>
      </c>
      <c r="F3370" s="2031">
        <v>539.0</v>
      </c>
      <c r="G3370" s="2031">
        <v>539.0</v>
      </c>
      <c r="H3370" s="2031">
        <v>539.0</v>
      </c>
    </row>
    <row r="3371">
      <c r="B3371" s="2031">
        <v>3369.0</v>
      </c>
      <c r="C3371" s="2031">
        <v>404.0</v>
      </c>
      <c r="D3371" s="2031">
        <v>809.0</v>
      </c>
      <c r="E3371" s="2031">
        <v>539.0</v>
      </c>
      <c r="F3371" s="2031">
        <v>539.0</v>
      </c>
      <c r="G3371" s="2031">
        <v>539.0</v>
      </c>
      <c r="H3371" s="2031">
        <v>539.0</v>
      </c>
    </row>
    <row r="3372">
      <c r="B3372" s="2031">
        <v>3370.0</v>
      </c>
      <c r="C3372" s="2031">
        <v>405.0</v>
      </c>
      <c r="D3372" s="2031">
        <v>809.0</v>
      </c>
      <c r="E3372" s="2031">
        <v>539.0</v>
      </c>
      <c r="F3372" s="2031">
        <v>539.0</v>
      </c>
      <c r="G3372" s="2031">
        <v>539.0</v>
      </c>
      <c r="H3372" s="2031">
        <v>539.0</v>
      </c>
    </row>
    <row r="3373">
      <c r="B3373" s="2031">
        <v>3371.0</v>
      </c>
      <c r="C3373" s="2031">
        <v>404.0</v>
      </c>
      <c r="D3373" s="2031">
        <v>809.0</v>
      </c>
      <c r="E3373" s="2031">
        <v>539.0</v>
      </c>
      <c r="F3373" s="2031">
        <v>539.0</v>
      </c>
      <c r="G3373" s="2031">
        <v>540.0</v>
      </c>
      <c r="H3373" s="2031">
        <v>540.0</v>
      </c>
    </row>
    <row r="3374">
      <c r="B3374" s="2031">
        <v>3372.0</v>
      </c>
      <c r="C3374" s="2031">
        <v>405.0</v>
      </c>
      <c r="D3374" s="2031">
        <v>809.0</v>
      </c>
      <c r="E3374" s="2031">
        <v>539.0</v>
      </c>
      <c r="F3374" s="2031">
        <v>539.0</v>
      </c>
      <c r="G3374" s="2031">
        <v>540.0</v>
      </c>
      <c r="H3374" s="2031">
        <v>540.0</v>
      </c>
    </row>
    <row r="3375">
      <c r="B3375" s="2031">
        <v>3373.0</v>
      </c>
      <c r="C3375" s="2031">
        <v>404.0</v>
      </c>
      <c r="D3375" s="2031">
        <v>809.0</v>
      </c>
      <c r="E3375" s="2031">
        <v>540.0</v>
      </c>
      <c r="F3375" s="2031">
        <v>540.0</v>
      </c>
      <c r="G3375" s="2031">
        <v>540.0</v>
      </c>
      <c r="H3375" s="2031">
        <v>540.0</v>
      </c>
    </row>
    <row r="3376">
      <c r="B3376" s="2031">
        <v>3374.0</v>
      </c>
      <c r="C3376" s="2031">
        <v>405.0</v>
      </c>
      <c r="D3376" s="2031">
        <v>809.0</v>
      </c>
      <c r="E3376" s="2031">
        <v>540.0</v>
      </c>
      <c r="F3376" s="2031">
        <v>540.0</v>
      </c>
      <c r="G3376" s="2031">
        <v>540.0</v>
      </c>
      <c r="H3376" s="2031">
        <v>540.0</v>
      </c>
    </row>
    <row r="3377">
      <c r="B3377" s="2031">
        <v>3375.0</v>
      </c>
      <c r="C3377" s="2031">
        <v>405.0</v>
      </c>
      <c r="D3377" s="2031">
        <v>810.0</v>
      </c>
      <c r="E3377" s="2031">
        <v>540.0</v>
      </c>
      <c r="F3377" s="2031">
        <v>540.0</v>
      </c>
      <c r="G3377" s="2031">
        <v>540.0</v>
      </c>
      <c r="H3377" s="2031">
        <v>540.0</v>
      </c>
    </row>
    <row r="3378">
      <c r="B3378" s="2031">
        <v>3376.0</v>
      </c>
      <c r="C3378" s="2031">
        <v>405.0</v>
      </c>
      <c r="D3378" s="2031">
        <v>811.0</v>
      </c>
      <c r="E3378" s="2031">
        <v>540.0</v>
      </c>
      <c r="F3378" s="2031">
        <v>540.0</v>
      </c>
      <c r="G3378" s="2031">
        <v>540.0</v>
      </c>
      <c r="H3378" s="2031">
        <v>540.0</v>
      </c>
    </row>
    <row r="3379">
      <c r="B3379" s="2031">
        <v>3377.0</v>
      </c>
      <c r="C3379" s="2031">
        <v>406.0</v>
      </c>
      <c r="D3379" s="2031">
        <v>811.0</v>
      </c>
      <c r="E3379" s="2031">
        <v>540.0</v>
      </c>
      <c r="F3379" s="2031">
        <v>540.0</v>
      </c>
      <c r="G3379" s="2031">
        <v>540.0</v>
      </c>
      <c r="H3379" s="2031">
        <v>540.0</v>
      </c>
    </row>
    <row r="3380">
      <c r="B3380" s="2031">
        <v>3378.0</v>
      </c>
      <c r="C3380" s="2031">
        <v>405.0</v>
      </c>
      <c r="D3380" s="2031">
        <v>811.0</v>
      </c>
      <c r="E3380" s="2031">
        <v>540.0</v>
      </c>
      <c r="F3380" s="2031">
        <v>540.0</v>
      </c>
      <c r="G3380" s="2031">
        <v>541.0</v>
      </c>
      <c r="H3380" s="2031">
        <v>541.0</v>
      </c>
    </row>
    <row r="3381">
      <c r="B3381" s="2031">
        <v>3379.0</v>
      </c>
      <c r="C3381" s="2031">
        <v>406.0</v>
      </c>
      <c r="D3381" s="2031">
        <v>811.0</v>
      </c>
      <c r="E3381" s="2031">
        <v>540.0</v>
      </c>
      <c r="F3381" s="2031">
        <v>540.0</v>
      </c>
      <c r="G3381" s="2031">
        <v>541.0</v>
      </c>
      <c r="H3381" s="2031">
        <v>541.0</v>
      </c>
    </row>
    <row r="3382">
      <c r="B3382" s="2031">
        <v>3380.0</v>
      </c>
      <c r="C3382" s="2031">
        <v>405.0</v>
      </c>
      <c r="D3382" s="2031">
        <v>811.0</v>
      </c>
      <c r="E3382" s="2031">
        <v>541.0</v>
      </c>
      <c r="F3382" s="2031">
        <v>541.0</v>
      </c>
      <c r="G3382" s="2031">
        <v>541.0</v>
      </c>
      <c r="H3382" s="2031">
        <v>541.0</v>
      </c>
    </row>
    <row r="3383">
      <c r="B3383" s="2031">
        <v>3381.0</v>
      </c>
      <c r="C3383" s="2031">
        <v>406.0</v>
      </c>
      <c r="D3383" s="2031">
        <v>811.0</v>
      </c>
      <c r="E3383" s="2031">
        <v>541.0</v>
      </c>
      <c r="F3383" s="2031">
        <v>541.0</v>
      </c>
      <c r="G3383" s="2031">
        <v>541.0</v>
      </c>
      <c r="H3383" s="2031">
        <v>541.0</v>
      </c>
    </row>
    <row r="3384">
      <c r="B3384" s="2031">
        <v>3382.0</v>
      </c>
      <c r="C3384" s="2031">
        <v>406.0</v>
      </c>
      <c r="D3384" s="2031">
        <v>812.0</v>
      </c>
      <c r="E3384" s="2031">
        <v>541.0</v>
      </c>
      <c r="F3384" s="2031">
        <v>541.0</v>
      </c>
      <c r="G3384" s="2031">
        <v>541.0</v>
      </c>
      <c r="H3384" s="2031">
        <v>541.0</v>
      </c>
    </row>
    <row r="3385">
      <c r="B3385" s="2031">
        <v>3383.0</v>
      </c>
      <c r="C3385" s="2031">
        <v>406.0</v>
      </c>
      <c r="D3385" s="2031">
        <v>811.0</v>
      </c>
      <c r="E3385" s="2031">
        <v>541.0</v>
      </c>
      <c r="F3385" s="2031">
        <v>541.0</v>
      </c>
      <c r="G3385" s="2031">
        <v>542.0</v>
      </c>
      <c r="H3385" s="2031">
        <v>542.0</v>
      </c>
    </row>
    <row r="3386">
      <c r="B3386" s="2031">
        <v>3384.0</v>
      </c>
      <c r="C3386" s="2031">
        <v>406.0</v>
      </c>
      <c r="D3386" s="2031">
        <v>812.0</v>
      </c>
      <c r="E3386" s="2031">
        <v>541.0</v>
      </c>
      <c r="F3386" s="2031">
        <v>541.0</v>
      </c>
      <c r="G3386" s="2031">
        <v>542.0</v>
      </c>
      <c r="H3386" s="2031">
        <v>542.0</v>
      </c>
    </row>
    <row r="3387">
      <c r="B3387" s="2031">
        <v>3385.0</v>
      </c>
      <c r="C3387" s="2031">
        <v>406.0</v>
      </c>
      <c r="D3387" s="2031">
        <v>813.0</v>
      </c>
      <c r="E3387" s="2031">
        <v>541.0</v>
      </c>
      <c r="F3387" s="2031">
        <v>541.0</v>
      </c>
      <c r="G3387" s="2031">
        <v>542.0</v>
      </c>
      <c r="H3387" s="2031">
        <v>542.0</v>
      </c>
    </row>
    <row r="3388">
      <c r="B3388" s="2031">
        <v>3386.0</v>
      </c>
      <c r="C3388" s="2031">
        <v>406.0</v>
      </c>
      <c r="D3388" s="2031">
        <v>812.0</v>
      </c>
      <c r="E3388" s="2031">
        <v>542.0</v>
      </c>
      <c r="F3388" s="2031">
        <v>542.0</v>
      </c>
      <c r="G3388" s="2031">
        <v>542.0</v>
      </c>
      <c r="H3388" s="2031">
        <v>542.0</v>
      </c>
    </row>
    <row r="3389">
      <c r="B3389" s="2031">
        <v>3387.0</v>
      </c>
      <c r="C3389" s="2031">
        <v>406.0</v>
      </c>
      <c r="D3389" s="2031">
        <v>813.0</v>
      </c>
      <c r="E3389" s="2031">
        <v>542.0</v>
      </c>
      <c r="F3389" s="2031">
        <v>542.0</v>
      </c>
      <c r="G3389" s="2031">
        <v>542.0</v>
      </c>
      <c r="H3389" s="2031">
        <v>542.0</v>
      </c>
    </row>
    <row r="3390">
      <c r="B3390" s="2031">
        <v>3388.0</v>
      </c>
      <c r="C3390" s="2031">
        <v>407.0</v>
      </c>
      <c r="D3390" s="2031">
        <v>813.0</v>
      </c>
      <c r="E3390" s="2031">
        <v>542.0</v>
      </c>
      <c r="F3390" s="2031">
        <v>542.0</v>
      </c>
      <c r="G3390" s="2031">
        <v>542.0</v>
      </c>
      <c r="H3390" s="2031">
        <v>542.0</v>
      </c>
    </row>
    <row r="3391">
      <c r="B3391" s="2031">
        <v>3389.0</v>
      </c>
      <c r="C3391" s="2031">
        <v>407.0</v>
      </c>
      <c r="D3391" s="2031">
        <v>814.0</v>
      </c>
      <c r="E3391" s="2031">
        <v>542.0</v>
      </c>
      <c r="F3391" s="2031">
        <v>542.0</v>
      </c>
      <c r="G3391" s="2031">
        <v>542.0</v>
      </c>
      <c r="H3391" s="2031">
        <v>542.0</v>
      </c>
    </row>
    <row r="3392">
      <c r="B3392" s="2031">
        <v>3390.0</v>
      </c>
      <c r="C3392" s="2031">
        <v>407.0</v>
      </c>
      <c r="D3392" s="2031">
        <v>813.0</v>
      </c>
      <c r="E3392" s="2031">
        <v>542.0</v>
      </c>
      <c r="F3392" s="2031">
        <v>542.0</v>
      </c>
      <c r="G3392" s="2031">
        <v>543.0</v>
      </c>
      <c r="H3392" s="2031">
        <v>543.0</v>
      </c>
    </row>
    <row r="3393">
      <c r="B3393" s="2031">
        <v>3391.0</v>
      </c>
      <c r="C3393" s="2031">
        <v>407.0</v>
      </c>
      <c r="D3393" s="2031">
        <v>814.0</v>
      </c>
      <c r="E3393" s="2031">
        <v>542.0</v>
      </c>
      <c r="F3393" s="2031">
        <v>542.0</v>
      </c>
      <c r="G3393" s="2031">
        <v>543.0</v>
      </c>
      <c r="H3393" s="2031">
        <v>543.0</v>
      </c>
    </row>
    <row r="3394">
      <c r="B3394" s="2031">
        <v>3392.0</v>
      </c>
      <c r="C3394" s="2031">
        <v>407.0</v>
      </c>
      <c r="D3394" s="2031">
        <v>815.0</v>
      </c>
      <c r="E3394" s="2031">
        <v>542.0</v>
      </c>
      <c r="F3394" s="2031">
        <v>542.0</v>
      </c>
      <c r="G3394" s="2031">
        <v>543.0</v>
      </c>
      <c r="H3394" s="2031">
        <v>543.0</v>
      </c>
    </row>
    <row r="3395">
      <c r="B3395" s="2031">
        <v>3393.0</v>
      </c>
      <c r="C3395" s="2031">
        <v>407.0</v>
      </c>
      <c r="D3395" s="2031">
        <v>814.0</v>
      </c>
      <c r="E3395" s="2031">
        <v>543.0</v>
      </c>
      <c r="F3395" s="2031">
        <v>543.0</v>
      </c>
      <c r="G3395" s="2031">
        <v>543.0</v>
      </c>
      <c r="H3395" s="2031">
        <v>543.0</v>
      </c>
    </row>
    <row r="3396">
      <c r="B3396" s="2031">
        <v>3394.0</v>
      </c>
      <c r="C3396" s="2031">
        <v>407.0</v>
      </c>
      <c r="D3396" s="2031">
        <v>815.0</v>
      </c>
      <c r="E3396" s="2031">
        <v>543.0</v>
      </c>
      <c r="F3396" s="2031">
        <v>543.0</v>
      </c>
      <c r="G3396" s="2031">
        <v>543.0</v>
      </c>
      <c r="H3396" s="2031">
        <v>543.0</v>
      </c>
    </row>
    <row r="3397">
      <c r="B3397" s="2031">
        <v>3395.0</v>
      </c>
      <c r="C3397" s="2031">
        <v>408.0</v>
      </c>
      <c r="D3397" s="2031">
        <v>815.0</v>
      </c>
      <c r="E3397" s="2031">
        <v>543.0</v>
      </c>
      <c r="F3397" s="2031">
        <v>543.0</v>
      </c>
      <c r="G3397" s="2031">
        <v>543.0</v>
      </c>
      <c r="H3397" s="2031">
        <v>543.0</v>
      </c>
    </row>
    <row r="3398">
      <c r="B3398" s="2031">
        <v>3396.0</v>
      </c>
      <c r="C3398" s="2031">
        <v>407.0</v>
      </c>
      <c r="D3398" s="2031">
        <v>815.0</v>
      </c>
      <c r="E3398" s="2031">
        <v>543.0</v>
      </c>
      <c r="F3398" s="2031">
        <v>543.0</v>
      </c>
      <c r="G3398" s="2031">
        <v>544.0</v>
      </c>
      <c r="H3398" s="2031">
        <v>544.0</v>
      </c>
    </row>
    <row r="3399">
      <c r="B3399" s="2031">
        <v>3397.0</v>
      </c>
      <c r="C3399" s="2031">
        <v>408.0</v>
      </c>
      <c r="D3399" s="2031">
        <v>815.0</v>
      </c>
      <c r="E3399" s="2031">
        <v>543.0</v>
      </c>
      <c r="F3399" s="2031">
        <v>543.0</v>
      </c>
      <c r="G3399" s="2031">
        <v>544.0</v>
      </c>
      <c r="H3399" s="2031">
        <v>544.0</v>
      </c>
    </row>
    <row r="3400">
      <c r="B3400" s="2031">
        <v>3398.0</v>
      </c>
      <c r="C3400" s="2031">
        <v>407.0</v>
      </c>
      <c r="D3400" s="2031">
        <v>815.0</v>
      </c>
      <c r="E3400" s="2031">
        <v>544.0</v>
      </c>
      <c r="F3400" s="2031">
        <v>544.0</v>
      </c>
      <c r="G3400" s="2031">
        <v>544.0</v>
      </c>
      <c r="H3400" s="2031">
        <v>544.0</v>
      </c>
    </row>
    <row r="3401">
      <c r="B3401" s="2031">
        <v>3399.0</v>
      </c>
      <c r="C3401" s="2031">
        <v>408.0</v>
      </c>
      <c r="D3401" s="2031">
        <v>815.0</v>
      </c>
      <c r="E3401" s="2031">
        <v>544.0</v>
      </c>
      <c r="F3401" s="2031">
        <v>544.0</v>
      </c>
      <c r="G3401" s="2031">
        <v>544.0</v>
      </c>
      <c r="H3401" s="2031">
        <v>544.0</v>
      </c>
    </row>
    <row r="3402">
      <c r="B3402" s="2031">
        <v>3400.0</v>
      </c>
      <c r="C3402" s="2031">
        <v>408.0</v>
      </c>
      <c r="D3402" s="2031">
        <v>816.0</v>
      </c>
      <c r="E3402" s="2031">
        <v>544.0</v>
      </c>
      <c r="F3402" s="2031">
        <v>544.0</v>
      </c>
      <c r="G3402" s="2031">
        <v>544.0</v>
      </c>
      <c r="H3402" s="2031">
        <v>544.0</v>
      </c>
    </row>
    <row r="3403">
      <c r="B3403" s="2031">
        <v>3401.0</v>
      </c>
      <c r="C3403" s="2031">
        <v>408.0</v>
      </c>
      <c r="D3403" s="2031">
        <v>817.0</v>
      </c>
      <c r="E3403" s="2031">
        <v>544.0</v>
      </c>
      <c r="F3403" s="2031">
        <v>544.0</v>
      </c>
      <c r="G3403" s="2031">
        <v>544.0</v>
      </c>
      <c r="H3403" s="2031">
        <v>544.0</v>
      </c>
    </row>
    <row r="3404">
      <c r="B3404" s="2031">
        <v>3402.0</v>
      </c>
      <c r="C3404" s="2031">
        <v>409.0</v>
      </c>
      <c r="D3404" s="2031">
        <v>817.0</v>
      </c>
      <c r="E3404" s="2031">
        <v>544.0</v>
      </c>
      <c r="F3404" s="2031">
        <v>544.0</v>
      </c>
      <c r="G3404" s="2031">
        <v>544.0</v>
      </c>
      <c r="H3404" s="2031">
        <v>544.0</v>
      </c>
    </row>
    <row r="3405">
      <c r="B3405" s="2031">
        <v>3403.0</v>
      </c>
      <c r="C3405" s="2031">
        <v>408.0</v>
      </c>
      <c r="D3405" s="2031">
        <v>817.0</v>
      </c>
      <c r="E3405" s="2031">
        <v>544.0</v>
      </c>
      <c r="F3405" s="2031">
        <v>544.0</v>
      </c>
      <c r="G3405" s="2031">
        <v>545.0</v>
      </c>
      <c r="H3405" s="2031">
        <v>545.0</v>
      </c>
    </row>
    <row r="3406">
      <c r="B3406" s="2031">
        <v>3404.0</v>
      </c>
      <c r="C3406" s="2031">
        <v>409.0</v>
      </c>
      <c r="D3406" s="2031">
        <v>817.0</v>
      </c>
      <c r="E3406" s="2031">
        <v>544.0</v>
      </c>
      <c r="F3406" s="2031">
        <v>544.0</v>
      </c>
      <c r="G3406" s="2031">
        <v>545.0</v>
      </c>
      <c r="H3406" s="2031">
        <v>545.0</v>
      </c>
    </row>
    <row r="3407">
      <c r="B3407" s="2031">
        <v>3405.0</v>
      </c>
      <c r="C3407" s="2031">
        <v>408.0</v>
      </c>
      <c r="D3407" s="2031">
        <v>817.0</v>
      </c>
      <c r="E3407" s="2031">
        <v>545.0</v>
      </c>
      <c r="F3407" s="2031">
        <v>545.0</v>
      </c>
      <c r="G3407" s="2031">
        <v>545.0</v>
      </c>
      <c r="H3407" s="2031">
        <v>545.0</v>
      </c>
    </row>
    <row r="3408">
      <c r="B3408" s="2031">
        <v>3406.0</v>
      </c>
      <c r="C3408" s="2031">
        <v>409.0</v>
      </c>
      <c r="D3408" s="2031">
        <v>817.0</v>
      </c>
      <c r="E3408" s="2031">
        <v>545.0</v>
      </c>
      <c r="F3408" s="2031">
        <v>545.0</v>
      </c>
      <c r="G3408" s="2031">
        <v>545.0</v>
      </c>
      <c r="H3408" s="2031">
        <v>545.0</v>
      </c>
    </row>
    <row r="3409">
      <c r="B3409" s="2031">
        <v>3407.0</v>
      </c>
      <c r="C3409" s="2031">
        <v>409.0</v>
      </c>
      <c r="D3409" s="2031">
        <v>818.0</v>
      </c>
      <c r="E3409" s="2031">
        <v>545.0</v>
      </c>
      <c r="F3409" s="2031">
        <v>545.0</v>
      </c>
      <c r="G3409" s="2031">
        <v>545.0</v>
      </c>
      <c r="H3409" s="2031">
        <v>545.0</v>
      </c>
    </row>
    <row r="3410">
      <c r="B3410" s="2031">
        <v>3408.0</v>
      </c>
      <c r="C3410" s="2031">
        <v>409.0</v>
      </c>
      <c r="D3410" s="2031">
        <v>817.0</v>
      </c>
      <c r="E3410" s="2031">
        <v>545.0</v>
      </c>
      <c r="F3410" s="2031">
        <v>545.0</v>
      </c>
      <c r="G3410" s="2031">
        <v>546.0</v>
      </c>
      <c r="H3410" s="2031">
        <v>546.0</v>
      </c>
    </row>
    <row r="3411">
      <c r="B3411" s="2031">
        <v>3409.0</v>
      </c>
      <c r="C3411" s="2031">
        <v>409.0</v>
      </c>
      <c r="D3411" s="2031">
        <v>818.0</v>
      </c>
      <c r="E3411" s="2031">
        <v>545.0</v>
      </c>
      <c r="F3411" s="2031">
        <v>545.0</v>
      </c>
      <c r="G3411" s="2031">
        <v>546.0</v>
      </c>
      <c r="H3411" s="2031">
        <v>546.0</v>
      </c>
    </row>
    <row r="3412">
      <c r="B3412" s="2031">
        <v>3410.0</v>
      </c>
      <c r="C3412" s="2031">
        <v>409.0</v>
      </c>
      <c r="D3412" s="2031">
        <v>819.0</v>
      </c>
      <c r="E3412" s="2031">
        <v>545.0</v>
      </c>
      <c r="F3412" s="2031">
        <v>545.0</v>
      </c>
      <c r="G3412" s="2031">
        <v>546.0</v>
      </c>
      <c r="H3412" s="2031">
        <v>546.0</v>
      </c>
    </row>
    <row r="3413">
      <c r="B3413" s="2031">
        <v>3411.0</v>
      </c>
      <c r="C3413" s="2031">
        <v>409.0</v>
      </c>
      <c r="D3413" s="2031">
        <v>818.0</v>
      </c>
      <c r="E3413" s="2031">
        <v>546.0</v>
      </c>
      <c r="F3413" s="2031">
        <v>546.0</v>
      </c>
      <c r="G3413" s="2031">
        <v>546.0</v>
      </c>
      <c r="H3413" s="2031">
        <v>546.0</v>
      </c>
    </row>
    <row r="3414">
      <c r="B3414" s="2031">
        <v>3412.0</v>
      </c>
      <c r="C3414" s="2031">
        <v>409.0</v>
      </c>
      <c r="D3414" s="2031">
        <v>819.0</v>
      </c>
      <c r="E3414" s="2031">
        <v>546.0</v>
      </c>
      <c r="F3414" s="2031">
        <v>546.0</v>
      </c>
      <c r="G3414" s="2031">
        <v>546.0</v>
      </c>
      <c r="H3414" s="2031">
        <v>546.0</v>
      </c>
    </row>
    <row r="3415">
      <c r="B3415" s="2031">
        <v>3413.0</v>
      </c>
      <c r="C3415" s="2031">
        <v>410.0</v>
      </c>
      <c r="D3415" s="2031">
        <v>819.0</v>
      </c>
      <c r="E3415" s="2031">
        <v>546.0</v>
      </c>
      <c r="F3415" s="2031">
        <v>546.0</v>
      </c>
      <c r="G3415" s="2031">
        <v>546.0</v>
      </c>
      <c r="H3415" s="2031">
        <v>546.0</v>
      </c>
    </row>
    <row r="3416">
      <c r="B3416" s="2031">
        <v>3414.0</v>
      </c>
      <c r="C3416" s="2031">
        <v>410.0</v>
      </c>
      <c r="D3416" s="2031">
        <v>820.0</v>
      </c>
      <c r="E3416" s="2031">
        <v>546.0</v>
      </c>
      <c r="F3416" s="2031">
        <v>546.0</v>
      </c>
      <c r="G3416" s="2031">
        <v>546.0</v>
      </c>
      <c r="H3416" s="2031">
        <v>546.0</v>
      </c>
    </row>
    <row r="3417">
      <c r="B3417" s="2031">
        <v>3415.0</v>
      </c>
      <c r="C3417" s="2031">
        <v>410.0</v>
      </c>
      <c r="D3417" s="2031">
        <v>819.0</v>
      </c>
      <c r="E3417" s="2031">
        <v>546.0</v>
      </c>
      <c r="F3417" s="2031">
        <v>546.0</v>
      </c>
      <c r="G3417" s="2031">
        <v>547.0</v>
      </c>
      <c r="H3417" s="2031">
        <v>547.0</v>
      </c>
    </row>
    <row r="3418">
      <c r="B3418" s="2031">
        <v>3416.0</v>
      </c>
      <c r="C3418" s="2031">
        <v>410.0</v>
      </c>
      <c r="D3418" s="2031">
        <v>820.0</v>
      </c>
      <c r="E3418" s="2031">
        <v>546.0</v>
      </c>
      <c r="F3418" s="2031">
        <v>546.0</v>
      </c>
      <c r="G3418" s="2031">
        <v>547.0</v>
      </c>
      <c r="H3418" s="2031">
        <v>547.0</v>
      </c>
    </row>
    <row r="3419">
      <c r="B3419" s="2031">
        <v>3417.0</v>
      </c>
      <c r="C3419" s="2031">
        <v>410.0</v>
      </c>
      <c r="D3419" s="2031">
        <v>821.0</v>
      </c>
      <c r="E3419" s="2031">
        <v>546.0</v>
      </c>
      <c r="F3419" s="2031">
        <v>546.0</v>
      </c>
      <c r="G3419" s="2031">
        <v>547.0</v>
      </c>
      <c r="H3419" s="2031">
        <v>547.0</v>
      </c>
    </row>
    <row r="3420">
      <c r="B3420" s="2031">
        <v>3418.0</v>
      </c>
      <c r="C3420" s="2031">
        <v>410.0</v>
      </c>
      <c r="D3420" s="2031">
        <v>820.0</v>
      </c>
      <c r="E3420" s="2031">
        <v>547.0</v>
      </c>
      <c r="F3420" s="2031">
        <v>547.0</v>
      </c>
      <c r="G3420" s="2031">
        <v>547.0</v>
      </c>
      <c r="H3420" s="2031">
        <v>547.0</v>
      </c>
    </row>
    <row r="3421">
      <c r="B3421" s="2031">
        <v>3419.0</v>
      </c>
      <c r="C3421" s="2031">
        <v>410.0</v>
      </c>
      <c r="D3421" s="2031">
        <v>821.0</v>
      </c>
      <c r="E3421" s="2031">
        <v>547.0</v>
      </c>
      <c r="F3421" s="2031">
        <v>547.0</v>
      </c>
      <c r="G3421" s="2031">
        <v>547.0</v>
      </c>
      <c r="H3421" s="2031">
        <v>547.0</v>
      </c>
    </row>
    <row r="3422">
      <c r="B3422" s="2031">
        <v>3420.0</v>
      </c>
      <c r="C3422" s="2031">
        <v>411.0</v>
      </c>
      <c r="D3422" s="2031">
        <v>821.0</v>
      </c>
      <c r="E3422" s="2031">
        <v>547.0</v>
      </c>
      <c r="F3422" s="2031">
        <v>547.0</v>
      </c>
      <c r="G3422" s="2031">
        <v>547.0</v>
      </c>
      <c r="H3422" s="2031">
        <v>547.0</v>
      </c>
    </row>
    <row r="3423">
      <c r="B3423" s="2031">
        <v>3421.0</v>
      </c>
      <c r="C3423" s="2031">
        <v>410.0</v>
      </c>
      <c r="D3423" s="2031">
        <v>821.0</v>
      </c>
      <c r="E3423" s="2031">
        <v>547.0</v>
      </c>
      <c r="F3423" s="2031">
        <v>547.0</v>
      </c>
      <c r="G3423" s="2031">
        <v>548.0</v>
      </c>
      <c r="H3423" s="2031">
        <v>548.0</v>
      </c>
    </row>
    <row r="3424">
      <c r="B3424" s="2031">
        <v>3422.0</v>
      </c>
      <c r="C3424" s="2031">
        <v>411.0</v>
      </c>
      <c r="D3424" s="2031">
        <v>821.0</v>
      </c>
      <c r="E3424" s="2031">
        <v>547.0</v>
      </c>
      <c r="F3424" s="2031">
        <v>547.0</v>
      </c>
      <c r="G3424" s="2031">
        <v>548.0</v>
      </c>
      <c r="H3424" s="2031">
        <v>548.0</v>
      </c>
    </row>
    <row r="3425">
      <c r="B3425" s="2031">
        <v>3423.0</v>
      </c>
      <c r="C3425" s="2031">
        <v>410.0</v>
      </c>
      <c r="D3425" s="2031">
        <v>821.0</v>
      </c>
      <c r="E3425" s="2031">
        <v>548.0</v>
      </c>
      <c r="F3425" s="2031">
        <v>548.0</v>
      </c>
      <c r="G3425" s="2031">
        <v>548.0</v>
      </c>
      <c r="H3425" s="2031">
        <v>548.0</v>
      </c>
    </row>
    <row r="3426">
      <c r="B3426" s="2031">
        <v>3424.0</v>
      </c>
      <c r="C3426" s="2031">
        <v>411.0</v>
      </c>
      <c r="D3426" s="2031">
        <v>821.0</v>
      </c>
      <c r="E3426" s="2031">
        <v>548.0</v>
      </c>
      <c r="F3426" s="2031">
        <v>548.0</v>
      </c>
      <c r="G3426" s="2031">
        <v>548.0</v>
      </c>
      <c r="H3426" s="2031">
        <v>548.0</v>
      </c>
    </row>
    <row r="3427">
      <c r="B3427" s="2031">
        <v>3425.0</v>
      </c>
      <c r="C3427" s="2031">
        <v>411.0</v>
      </c>
      <c r="D3427" s="2031">
        <v>822.0</v>
      </c>
      <c r="E3427" s="2031">
        <v>548.0</v>
      </c>
      <c r="F3427" s="2031">
        <v>548.0</v>
      </c>
      <c r="G3427" s="2031">
        <v>548.0</v>
      </c>
      <c r="H3427" s="2031">
        <v>548.0</v>
      </c>
    </row>
    <row r="3428">
      <c r="B3428" s="2031">
        <v>3426.0</v>
      </c>
      <c r="C3428" s="2031">
        <v>411.0</v>
      </c>
      <c r="D3428" s="2031">
        <v>823.0</v>
      </c>
      <c r="E3428" s="2031">
        <v>548.0</v>
      </c>
      <c r="F3428" s="2031">
        <v>548.0</v>
      </c>
      <c r="G3428" s="2031">
        <v>548.0</v>
      </c>
      <c r="H3428" s="2031">
        <v>548.0</v>
      </c>
    </row>
    <row r="3429">
      <c r="B3429" s="2031">
        <v>3427.0</v>
      </c>
      <c r="C3429" s="2031">
        <v>412.0</v>
      </c>
      <c r="D3429" s="2031">
        <v>823.0</v>
      </c>
      <c r="E3429" s="2031">
        <v>548.0</v>
      </c>
      <c r="F3429" s="2031">
        <v>548.0</v>
      </c>
      <c r="G3429" s="2031">
        <v>548.0</v>
      </c>
      <c r="H3429" s="2031">
        <v>548.0</v>
      </c>
    </row>
    <row r="3430">
      <c r="B3430" s="2031">
        <v>3428.0</v>
      </c>
      <c r="C3430" s="2031">
        <v>411.0</v>
      </c>
      <c r="D3430" s="2031">
        <v>823.0</v>
      </c>
      <c r="E3430" s="2031">
        <v>548.0</v>
      </c>
      <c r="F3430" s="2031">
        <v>548.0</v>
      </c>
      <c r="G3430" s="2031">
        <v>549.0</v>
      </c>
      <c r="H3430" s="2031">
        <v>549.0</v>
      </c>
    </row>
    <row r="3431">
      <c r="B3431" s="2031">
        <v>3429.0</v>
      </c>
      <c r="C3431" s="2031">
        <v>412.0</v>
      </c>
      <c r="D3431" s="2031">
        <v>823.0</v>
      </c>
      <c r="E3431" s="2031">
        <v>548.0</v>
      </c>
      <c r="F3431" s="2031">
        <v>548.0</v>
      </c>
      <c r="G3431" s="2031">
        <v>549.0</v>
      </c>
      <c r="H3431" s="2031">
        <v>549.0</v>
      </c>
    </row>
    <row r="3432">
      <c r="B3432" s="2031">
        <v>3430.0</v>
      </c>
      <c r="C3432" s="2031">
        <v>411.0</v>
      </c>
      <c r="D3432" s="2031">
        <v>823.0</v>
      </c>
      <c r="E3432" s="2031">
        <v>549.0</v>
      </c>
      <c r="F3432" s="2031">
        <v>549.0</v>
      </c>
      <c r="G3432" s="2031">
        <v>549.0</v>
      </c>
      <c r="H3432" s="2031">
        <v>549.0</v>
      </c>
    </row>
    <row r="3433">
      <c r="B3433" s="2031">
        <v>3431.0</v>
      </c>
      <c r="C3433" s="2031">
        <v>412.0</v>
      </c>
      <c r="D3433" s="2031">
        <v>823.0</v>
      </c>
      <c r="E3433" s="2031">
        <v>549.0</v>
      </c>
      <c r="F3433" s="2031">
        <v>549.0</v>
      </c>
      <c r="G3433" s="2031">
        <v>549.0</v>
      </c>
      <c r="H3433" s="2031">
        <v>549.0</v>
      </c>
    </row>
    <row r="3434">
      <c r="B3434" s="2031">
        <v>3432.0</v>
      </c>
      <c r="C3434" s="2031">
        <v>412.0</v>
      </c>
      <c r="D3434" s="2031">
        <v>824.0</v>
      </c>
      <c r="E3434" s="2031">
        <v>549.0</v>
      </c>
      <c r="F3434" s="2031">
        <v>549.0</v>
      </c>
      <c r="G3434" s="2031">
        <v>549.0</v>
      </c>
      <c r="H3434" s="2031">
        <v>549.0</v>
      </c>
    </row>
    <row r="3435">
      <c r="B3435" s="2031">
        <v>3433.0</v>
      </c>
      <c r="C3435" s="2031">
        <v>412.0</v>
      </c>
      <c r="D3435" s="2031">
        <v>823.0</v>
      </c>
      <c r="E3435" s="2031">
        <v>549.0</v>
      </c>
      <c r="F3435" s="2031">
        <v>549.0</v>
      </c>
      <c r="G3435" s="2031">
        <v>550.0</v>
      </c>
      <c r="H3435" s="2031">
        <v>550.0</v>
      </c>
    </row>
    <row r="3436">
      <c r="B3436" s="2031">
        <v>3434.0</v>
      </c>
      <c r="C3436" s="2031">
        <v>412.0</v>
      </c>
      <c r="D3436" s="2031">
        <v>824.0</v>
      </c>
      <c r="E3436" s="2031">
        <v>549.0</v>
      </c>
      <c r="F3436" s="2031">
        <v>549.0</v>
      </c>
      <c r="G3436" s="2031">
        <v>550.0</v>
      </c>
      <c r="H3436" s="2031">
        <v>550.0</v>
      </c>
    </row>
    <row r="3437">
      <c r="B3437" s="2031">
        <v>3435.0</v>
      </c>
      <c r="C3437" s="2031">
        <v>412.0</v>
      </c>
      <c r="D3437" s="2031">
        <v>825.0</v>
      </c>
      <c r="E3437" s="2031">
        <v>549.0</v>
      </c>
      <c r="F3437" s="2031">
        <v>549.0</v>
      </c>
      <c r="G3437" s="2031">
        <v>550.0</v>
      </c>
      <c r="H3437" s="2031">
        <v>550.0</v>
      </c>
    </row>
    <row r="3438">
      <c r="B3438" s="2031">
        <v>3436.0</v>
      </c>
      <c r="C3438" s="2031">
        <v>412.0</v>
      </c>
      <c r="D3438" s="2031">
        <v>824.0</v>
      </c>
      <c r="E3438" s="2031">
        <v>550.0</v>
      </c>
      <c r="F3438" s="2031">
        <v>550.0</v>
      </c>
      <c r="G3438" s="2031">
        <v>550.0</v>
      </c>
      <c r="H3438" s="2031">
        <v>550.0</v>
      </c>
    </row>
    <row r="3439">
      <c r="B3439" s="2031">
        <v>3437.0</v>
      </c>
      <c r="C3439" s="2031">
        <v>412.0</v>
      </c>
      <c r="D3439" s="2031">
        <v>825.0</v>
      </c>
      <c r="E3439" s="2031">
        <v>550.0</v>
      </c>
      <c r="F3439" s="2031">
        <v>550.0</v>
      </c>
      <c r="G3439" s="2031">
        <v>550.0</v>
      </c>
      <c r="H3439" s="2031">
        <v>550.0</v>
      </c>
    </row>
    <row r="3440">
      <c r="B3440" s="2031">
        <v>3438.0</v>
      </c>
      <c r="C3440" s="2031">
        <v>413.0</v>
      </c>
      <c r="D3440" s="2031">
        <v>825.0</v>
      </c>
      <c r="E3440" s="2031">
        <v>550.0</v>
      </c>
      <c r="F3440" s="2031">
        <v>550.0</v>
      </c>
      <c r="G3440" s="2031">
        <v>550.0</v>
      </c>
      <c r="H3440" s="2031">
        <v>550.0</v>
      </c>
    </row>
    <row r="3441">
      <c r="B3441" s="2031">
        <v>3439.0</v>
      </c>
      <c r="C3441" s="2031">
        <v>413.0</v>
      </c>
      <c r="D3441" s="2031">
        <v>826.0</v>
      </c>
      <c r="E3441" s="2031">
        <v>550.0</v>
      </c>
      <c r="F3441" s="2031">
        <v>550.0</v>
      </c>
      <c r="G3441" s="2031">
        <v>550.0</v>
      </c>
      <c r="H3441" s="2031">
        <v>550.0</v>
      </c>
    </row>
    <row r="3442">
      <c r="B3442" s="2031">
        <v>3440.0</v>
      </c>
      <c r="C3442" s="2031">
        <v>413.0</v>
      </c>
      <c r="D3442" s="2031">
        <v>825.0</v>
      </c>
      <c r="E3442" s="2031">
        <v>550.0</v>
      </c>
      <c r="F3442" s="2031">
        <v>550.0</v>
      </c>
      <c r="G3442" s="2031">
        <v>551.0</v>
      </c>
      <c r="H3442" s="2031">
        <v>551.0</v>
      </c>
    </row>
    <row r="3443">
      <c r="B3443" s="2031">
        <v>3441.0</v>
      </c>
      <c r="C3443" s="2031">
        <v>413.0</v>
      </c>
      <c r="D3443" s="2031">
        <v>826.0</v>
      </c>
      <c r="E3443" s="2031">
        <v>550.0</v>
      </c>
      <c r="F3443" s="2031">
        <v>550.0</v>
      </c>
      <c r="G3443" s="2031">
        <v>551.0</v>
      </c>
      <c r="H3443" s="2031">
        <v>551.0</v>
      </c>
    </row>
    <row r="3444">
      <c r="B3444" s="2031">
        <v>3442.0</v>
      </c>
      <c r="C3444" s="2031">
        <v>413.0</v>
      </c>
      <c r="D3444" s="2031">
        <v>827.0</v>
      </c>
      <c r="E3444" s="2031">
        <v>550.0</v>
      </c>
      <c r="F3444" s="2031">
        <v>550.0</v>
      </c>
      <c r="G3444" s="2031">
        <v>551.0</v>
      </c>
      <c r="H3444" s="2031">
        <v>551.0</v>
      </c>
    </row>
    <row r="3445">
      <c r="B3445" s="2031">
        <v>3443.0</v>
      </c>
      <c r="C3445" s="2031">
        <v>413.0</v>
      </c>
      <c r="D3445" s="2031">
        <v>826.0</v>
      </c>
      <c r="E3445" s="2031">
        <v>551.0</v>
      </c>
      <c r="F3445" s="2031">
        <v>551.0</v>
      </c>
      <c r="G3445" s="2031">
        <v>551.0</v>
      </c>
      <c r="H3445" s="2031">
        <v>551.0</v>
      </c>
    </row>
    <row r="3446">
      <c r="B3446" s="2031">
        <v>3444.0</v>
      </c>
      <c r="C3446" s="2031">
        <v>413.0</v>
      </c>
      <c r="D3446" s="2031">
        <v>827.0</v>
      </c>
      <c r="E3446" s="2031">
        <v>551.0</v>
      </c>
      <c r="F3446" s="2031">
        <v>551.0</v>
      </c>
      <c r="G3446" s="2031">
        <v>551.0</v>
      </c>
      <c r="H3446" s="2031">
        <v>551.0</v>
      </c>
    </row>
    <row r="3447">
      <c r="B3447" s="2031">
        <v>3445.0</v>
      </c>
      <c r="C3447" s="2031">
        <v>414.0</v>
      </c>
      <c r="D3447" s="2031">
        <v>827.0</v>
      </c>
      <c r="E3447" s="2031">
        <v>551.0</v>
      </c>
      <c r="F3447" s="2031">
        <v>551.0</v>
      </c>
      <c r="G3447" s="2031">
        <v>551.0</v>
      </c>
      <c r="H3447" s="2031">
        <v>551.0</v>
      </c>
    </row>
    <row r="3448">
      <c r="B3448" s="2031">
        <v>3446.0</v>
      </c>
      <c r="C3448" s="2031">
        <v>413.0</v>
      </c>
      <c r="D3448" s="2031">
        <v>827.0</v>
      </c>
      <c r="E3448" s="2031">
        <v>551.0</v>
      </c>
      <c r="F3448" s="2031">
        <v>551.0</v>
      </c>
      <c r="G3448" s="2031">
        <v>552.0</v>
      </c>
      <c r="H3448" s="2031">
        <v>552.0</v>
      </c>
    </row>
    <row r="3449">
      <c r="B3449" s="2031">
        <v>3447.0</v>
      </c>
      <c r="C3449" s="2031">
        <v>414.0</v>
      </c>
      <c r="D3449" s="2031">
        <v>827.0</v>
      </c>
      <c r="E3449" s="2031">
        <v>551.0</v>
      </c>
      <c r="F3449" s="2031">
        <v>551.0</v>
      </c>
      <c r="G3449" s="2031">
        <v>552.0</v>
      </c>
      <c r="H3449" s="2031">
        <v>552.0</v>
      </c>
    </row>
    <row r="3450">
      <c r="B3450" s="2031">
        <v>3448.0</v>
      </c>
      <c r="C3450" s="2031">
        <v>413.0</v>
      </c>
      <c r="D3450" s="2031">
        <v>827.0</v>
      </c>
      <c r="E3450" s="2031">
        <v>552.0</v>
      </c>
      <c r="F3450" s="2031">
        <v>552.0</v>
      </c>
      <c r="G3450" s="2031">
        <v>552.0</v>
      </c>
      <c r="H3450" s="2031">
        <v>552.0</v>
      </c>
    </row>
    <row r="3451">
      <c r="B3451" s="2031">
        <v>3449.0</v>
      </c>
      <c r="C3451" s="2031">
        <v>414.0</v>
      </c>
      <c r="D3451" s="2031">
        <v>827.0</v>
      </c>
      <c r="E3451" s="2031">
        <v>552.0</v>
      </c>
      <c r="F3451" s="2031">
        <v>552.0</v>
      </c>
      <c r="G3451" s="2031">
        <v>552.0</v>
      </c>
      <c r="H3451" s="2031">
        <v>552.0</v>
      </c>
    </row>
    <row r="3452">
      <c r="B3452" s="2031">
        <v>3450.0</v>
      </c>
      <c r="C3452" s="2031">
        <v>414.0</v>
      </c>
      <c r="D3452" s="2031">
        <v>828.0</v>
      </c>
      <c r="E3452" s="2031">
        <v>552.0</v>
      </c>
      <c r="F3452" s="2031">
        <v>552.0</v>
      </c>
      <c r="G3452" s="2031">
        <v>552.0</v>
      </c>
      <c r="H3452" s="2031">
        <v>552.0</v>
      </c>
    </row>
    <row r="3453">
      <c r="B3453" s="2031">
        <v>3451.0</v>
      </c>
      <c r="C3453" s="2031">
        <v>414.0</v>
      </c>
      <c r="D3453" s="2031">
        <v>829.0</v>
      </c>
      <c r="E3453" s="2031">
        <v>552.0</v>
      </c>
      <c r="F3453" s="2031">
        <v>552.0</v>
      </c>
      <c r="G3453" s="2031">
        <v>552.0</v>
      </c>
      <c r="H3453" s="2031">
        <v>552.0</v>
      </c>
    </row>
    <row r="3454">
      <c r="B3454" s="2031">
        <v>3452.0</v>
      </c>
      <c r="C3454" s="2031">
        <v>415.0</v>
      </c>
      <c r="D3454" s="2031">
        <v>829.0</v>
      </c>
      <c r="E3454" s="2031">
        <v>552.0</v>
      </c>
      <c r="F3454" s="2031">
        <v>552.0</v>
      </c>
      <c r="G3454" s="2031">
        <v>552.0</v>
      </c>
      <c r="H3454" s="2031">
        <v>552.0</v>
      </c>
    </row>
    <row r="3455">
      <c r="B3455" s="2031">
        <v>3453.0</v>
      </c>
      <c r="C3455" s="2031">
        <v>414.0</v>
      </c>
      <c r="D3455" s="2031">
        <v>829.0</v>
      </c>
      <c r="E3455" s="2031">
        <v>552.0</v>
      </c>
      <c r="F3455" s="2031">
        <v>552.0</v>
      </c>
      <c r="G3455" s="2031">
        <v>553.0</v>
      </c>
      <c r="H3455" s="2031">
        <v>553.0</v>
      </c>
    </row>
    <row r="3456">
      <c r="B3456" s="2031">
        <v>3454.0</v>
      </c>
      <c r="C3456" s="2031">
        <v>415.0</v>
      </c>
      <c r="D3456" s="2031">
        <v>829.0</v>
      </c>
      <c r="E3456" s="2031">
        <v>552.0</v>
      </c>
      <c r="F3456" s="2031">
        <v>552.0</v>
      </c>
      <c r="G3456" s="2031">
        <v>553.0</v>
      </c>
      <c r="H3456" s="2031">
        <v>553.0</v>
      </c>
    </row>
    <row r="3457">
      <c r="B3457" s="2031">
        <v>3455.0</v>
      </c>
      <c r="C3457" s="2031">
        <v>414.0</v>
      </c>
      <c r="D3457" s="2031">
        <v>829.0</v>
      </c>
      <c r="E3457" s="2031">
        <v>553.0</v>
      </c>
      <c r="F3457" s="2031">
        <v>553.0</v>
      </c>
      <c r="G3457" s="2031">
        <v>553.0</v>
      </c>
      <c r="H3457" s="2031">
        <v>553.0</v>
      </c>
    </row>
    <row r="3458">
      <c r="B3458" s="2031">
        <v>3456.0</v>
      </c>
      <c r="C3458" s="2031">
        <v>415.0</v>
      </c>
      <c r="D3458" s="2031">
        <v>829.0</v>
      </c>
      <c r="E3458" s="2031">
        <v>553.0</v>
      </c>
      <c r="F3458" s="2031">
        <v>553.0</v>
      </c>
      <c r="G3458" s="2031">
        <v>553.0</v>
      </c>
      <c r="H3458" s="2031">
        <v>553.0</v>
      </c>
    </row>
    <row r="3459">
      <c r="B3459" s="2031">
        <v>3457.0</v>
      </c>
      <c r="C3459" s="2031">
        <v>415.0</v>
      </c>
      <c r="D3459" s="2031">
        <v>830.0</v>
      </c>
      <c r="E3459" s="2031">
        <v>553.0</v>
      </c>
      <c r="F3459" s="2031">
        <v>553.0</v>
      </c>
      <c r="G3459" s="2031">
        <v>553.0</v>
      </c>
      <c r="H3459" s="2031">
        <v>553.0</v>
      </c>
    </row>
    <row r="3460">
      <c r="B3460" s="2031">
        <v>3458.0</v>
      </c>
      <c r="C3460" s="2031">
        <v>415.0</v>
      </c>
      <c r="D3460" s="2031">
        <v>829.0</v>
      </c>
      <c r="E3460" s="2031">
        <v>553.0</v>
      </c>
      <c r="F3460" s="2031">
        <v>553.0</v>
      </c>
      <c r="G3460" s="2031">
        <v>554.0</v>
      </c>
      <c r="H3460" s="2031">
        <v>554.0</v>
      </c>
    </row>
    <row r="3461">
      <c r="B3461" s="2031">
        <v>3459.0</v>
      </c>
      <c r="C3461" s="2031">
        <v>415.0</v>
      </c>
      <c r="D3461" s="2031">
        <v>830.0</v>
      </c>
      <c r="E3461" s="2031">
        <v>553.0</v>
      </c>
      <c r="F3461" s="2031">
        <v>553.0</v>
      </c>
      <c r="G3461" s="2031">
        <v>554.0</v>
      </c>
      <c r="H3461" s="2031">
        <v>554.0</v>
      </c>
    </row>
    <row r="3462">
      <c r="B3462" s="2031">
        <v>3460.0</v>
      </c>
      <c r="C3462" s="2031">
        <v>415.0</v>
      </c>
      <c r="D3462" s="2031">
        <v>831.0</v>
      </c>
      <c r="E3462" s="2031">
        <v>553.0</v>
      </c>
      <c r="F3462" s="2031">
        <v>553.0</v>
      </c>
      <c r="G3462" s="2031">
        <v>554.0</v>
      </c>
      <c r="H3462" s="2031">
        <v>554.0</v>
      </c>
    </row>
    <row r="3463">
      <c r="B3463" s="2031">
        <v>3461.0</v>
      </c>
      <c r="C3463" s="2031">
        <v>415.0</v>
      </c>
      <c r="D3463" s="2031">
        <v>830.0</v>
      </c>
      <c r="E3463" s="2031">
        <v>554.0</v>
      </c>
      <c r="F3463" s="2031">
        <v>554.0</v>
      </c>
      <c r="G3463" s="2031">
        <v>554.0</v>
      </c>
      <c r="H3463" s="2031">
        <v>554.0</v>
      </c>
    </row>
    <row r="3464">
      <c r="B3464" s="2031">
        <v>3462.0</v>
      </c>
      <c r="C3464" s="2031">
        <v>415.0</v>
      </c>
      <c r="D3464" s="2031">
        <v>831.0</v>
      </c>
      <c r="E3464" s="2031">
        <v>554.0</v>
      </c>
      <c r="F3464" s="2031">
        <v>554.0</v>
      </c>
      <c r="G3464" s="2031">
        <v>554.0</v>
      </c>
      <c r="H3464" s="2031">
        <v>554.0</v>
      </c>
    </row>
    <row r="3465">
      <c r="B3465" s="2031">
        <v>3463.0</v>
      </c>
      <c r="C3465" s="2031">
        <v>416.0</v>
      </c>
      <c r="D3465" s="2031">
        <v>831.0</v>
      </c>
      <c r="E3465" s="2031">
        <v>554.0</v>
      </c>
      <c r="F3465" s="2031">
        <v>554.0</v>
      </c>
      <c r="G3465" s="2031">
        <v>554.0</v>
      </c>
      <c r="H3465" s="2031">
        <v>554.0</v>
      </c>
    </row>
    <row r="3466">
      <c r="B3466" s="2031">
        <v>3464.0</v>
      </c>
      <c r="C3466" s="2031">
        <v>416.0</v>
      </c>
      <c r="D3466" s="2031">
        <v>832.0</v>
      </c>
      <c r="E3466" s="2031">
        <v>554.0</v>
      </c>
      <c r="F3466" s="2031">
        <v>554.0</v>
      </c>
      <c r="G3466" s="2031">
        <v>554.0</v>
      </c>
      <c r="H3466" s="2031">
        <v>554.0</v>
      </c>
    </row>
    <row r="3467">
      <c r="B3467" s="2031">
        <v>3465.0</v>
      </c>
      <c r="C3467" s="2031">
        <v>416.0</v>
      </c>
      <c r="D3467" s="2031">
        <v>831.0</v>
      </c>
      <c r="E3467" s="2031">
        <v>554.0</v>
      </c>
      <c r="F3467" s="2031">
        <v>554.0</v>
      </c>
      <c r="G3467" s="2031">
        <v>555.0</v>
      </c>
      <c r="H3467" s="2031">
        <v>555.0</v>
      </c>
    </row>
    <row r="3468">
      <c r="B3468" s="2031">
        <v>3466.0</v>
      </c>
      <c r="C3468" s="2031">
        <v>416.0</v>
      </c>
      <c r="D3468" s="2031">
        <v>832.0</v>
      </c>
      <c r="E3468" s="2031">
        <v>554.0</v>
      </c>
      <c r="F3468" s="2031">
        <v>554.0</v>
      </c>
      <c r="G3468" s="2031">
        <v>555.0</v>
      </c>
      <c r="H3468" s="2031">
        <v>555.0</v>
      </c>
    </row>
    <row r="3469">
      <c r="B3469" s="2031">
        <v>3467.0</v>
      </c>
      <c r="C3469" s="2031">
        <v>416.0</v>
      </c>
      <c r="D3469" s="2031">
        <v>833.0</v>
      </c>
      <c r="E3469" s="2031">
        <v>554.0</v>
      </c>
      <c r="F3469" s="2031">
        <v>554.0</v>
      </c>
      <c r="G3469" s="2031">
        <v>555.0</v>
      </c>
      <c r="H3469" s="2031">
        <v>555.0</v>
      </c>
    </row>
    <row r="3470">
      <c r="B3470" s="2031">
        <v>3468.0</v>
      </c>
      <c r="C3470" s="2031">
        <v>416.0</v>
      </c>
      <c r="D3470" s="2031">
        <v>832.0</v>
      </c>
      <c r="E3470" s="2031">
        <v>555.0</v>
      </c>
      <c r="F3470" s="2031">
        <v>555.0</v>
      </c>
      <c r="G3470" s="2031">
        <v>555.0</v>
      </c>
      <c r="H3470" s="2031">
        <v>555.0</v>
      </c>
    </row>
    <row r="3471">
      <c r="B3471" s="2031">
        <v>3469.0</v>
      </c>
      <c r="C3471" s="2031">
        <v>416.0</v>
      </c>
      <c r="D3471" s="2031">
        <v>833.0</v>
      </c>
      <c r="E3471" s="2031">
        <v>555.0</v>
      </c>
      <c r="F3471" s="2031">
        <v>555.0</v>
      </c>
      <c r="G3471" s="2031">
        <v>555.0</v>
      </c>
      <c r="H3471" s="2031">
        <v>555.0</v>
      </c>
    </row>
    <row r="3472">
      <c r="B3472" s="2031">
        <v>3470.0</v>
      </c>
      <c r="C3472" s="2031">
        <v>417.0</v>
      </c>
      <c r="D3472" s="2031">
        <v>833.0</v>
      </c>
      <c r="E3472" s="2031">
        <v>555.0</v>
      </c>
      <c r="F3472" s="2031">
        <v>555.0</v>
      </c>
      <c r="G3472" s="2031">
        <v>555.0</v>
      </c>
      <c r="H3472" s="2031">
        <v>555.0</v>
      </c>
    </row>
    <row r="3473">
      <c r="B3473" s="2031">
        <v>3471.0</v>
      </c>
      <c r="C3473" s="2031">
        <v>416.0</v>
      </c>
      <c r="D3473" s="2031">
        <v>833.0</v>
      </c>
      <c r="E3473" s="2031">
        <v>555.0</v>
      </c>
      <c r="F3473" s="2031">
        <v>555.0</v>
      </c>
      <c r="G3473" s="2031">
        <v>556.0</v>
      </c>
      <c r="H3473" s="2031">
        <v>556.0</v>
      </c>
    </row>
    <row r="3474">
      <c r="B3474" s="2031">
        <v>3472.0</v>
      </c>
      <c r="C3474" s="2031">
        <v>417.0</v>
      </c>
      <c r="D3474" s="2031">
        <v>833.0</v>
      </c>
      <c r="E3474" s="2031">
        <v>555.0</v>
      </c>
      <c r="F3474" s="2031">
        <v>555.0</v>
      </c>
      <c r="G3474" s="2031">
        <v>556.0</v>
      </c>
      <c r="H3474" s="2031">
        <v>556.0</v>
      </c>
    </row>
    <row r="3475">
      <c r="B3475" s="2031">
        <v>3473.0</v>
      </c>
      <c r="C3475" s="2031">
        <v>416.0</v>
      </c>
      <c r="D3475" s="2031">
        <v>833.0</v>
      </c>
      <c r="E3475" s="2031">
        <v>556.0</v>
      </c>
      <c r="F3475" s="2031">
        <v>556.0</v>
      </c>
      <c r="G3475" s="2031">
        <v>556.0</v>
      </c>
      <c r="H3475" s="2031">
        <v>556.0</v>
      </c>
    </row>
    <row r="3476">
      <c r="B3476" s="2031">
        <v>3474.0</v>
      </c>
      <c r="C3476" s="2031">
        <v>417.0</v>
      </c>
      <c r="D3476" s="2031">
        <v>833.0</v>
      </c>
      <c r="E3476" s="2031">
        <v>556.0</v>
      </c>
      <c r="F3476" s="2031">
        <v>556.0</v>
      </c>
      <c r="G3476" s="2031">
        <v>556.0</v>
      </c>
      <c r="H3476" s="2031">
        <v>556.0</v>
      </c>
    </row>
    <row r="3477">
      <c r="B3477" s="2031">
        <v>3475.0</v>
      </c>
      <c r="C3477" s="2031">
        <v>417.0</v>
      </c>
      <c r="D3477" s="2031">
        <v>834.0</v>
      </c>
      <c r="E3477" s="2031">
        <v>556.0</v>
      </c>
      <c r="F3477" s="2031">
        <v>556.0</v>
      </c>
      <c r="G3477" s="2031">
        <v>556.0</v>
      </c>
      <c r="H3477" s="2031">
        <v>556.0</v>
      </c>
    </row>
    <row r="3478">
      <c r="B3478" s="2031">
        <v>3476.0</v>
      </c>
      <c r="C3478" s="2031">
        <v>417.0</v>
      </c>
      <c r="D3478" s="2031">
        <v>835.0</v>
      </c>
      <c r="E3478" s="2031">
        <v>556.0</v>
      </c>
      <c r="F3478" s="2031">
        <v>556.0</v>
      </c>
      <c r="G3478" s="2031">
        <v>556.0</v>
      </c>
      <c r="H3478" s="2031">
        <v>556.0</v>
      </c>
    </row>
    <row r="3479">
      <c r="B3479" s="2031">
        <v>3477.0</v>
      </c>
      <c r="C3479" s="2031">
        <v>418.0</v>
      </c>
      <c r="D3479" s="2031">
        <v>835.0</v>
      </c>
      <c r="E3479" s="2031">
        <v>556.0</v>
      </c>
      <c r="F3479" s="2031">
        <v>556.0</v>
      </c>
      <c r="G3479" s="2031">
        <v>556.0</v>
      </c>
      <c r="H3479" s="2031">
        <v>556.0</v>
      </c>
    </row>
    <row r="3480">
      <c r="B3480" s="2031">
        <v>3478.0</v>
      </c>
      <c r="C3480" s="2031">
        <v>417.0</v>
      </c>
      <c r="D3480" s="2031">
        <v>835.0</v>
      </c>
      <c r="E3480" s="2031">
        <v>556.0</v>
      </c>
      <c r="F3480" s="2031">
        <v>556.0</v>
      </c>
      <c r="G3480" s="2031">
        <v>557.0</v>
      </c>
      <c r="H3480" s="2031">
        <v>557.0</v>
      </c>
    </row>
    <row r="3481">
      <c r="B3481" s="2031">
        <v>3479.0</v>
      </c>
      <c r="C3481" s="2031">
        <v>418.0</v>
      </c>
      <c r="D3481" s="2031">
        <v>835.0</v>
      </c>
      <c r="E3481" s="2031">
        <v>556.0</v>
      </c>
      <c r="F3481" s="2031">
        <v>556.0</v>
      </c>
      <c r="G3481" s="2031">
        <v>557.0</v>
      </c>
      <c r="H3481" s="2031">
        <v>557.0</v>
      </c>
    </row>
    <row r="3482">
      <c r="B3482" s="2031">
        <v>3480.0</v>
      </c>
      <c r="C3482" s="2031">
        <v>417.0</v>
      </c>
      <c r="D3482" s="2031">
        <v>835.0</v>
      </c>
      <c r="E3482" s="2031">
        <v>557.0</v>
      </c>
      <c r="F3482" s="2031">
        <v>557.0</v>
      </c>
      <c r="G3482" s="2031">
        <v>557.0</v>
      </c>
      <c r="H3482" s="2031">
        <v>557.0</v>
      </c>
    </row>
    <row r="3483">
      <c r="B3483" s="2031">
        <v>3481.0</v>
      </c>
      <c r="C3483" s="2031">
        <v>418.0</v>
      </c>
      <c r="D3483" s="2031">
        <v>835.0</v>
      </c>
      <c r="E3483" s="2031">
        <v>557.0</v>
      </c>
      <c r="F3483" s="2031">
        <v>557.0</v>
      </c>
      <c r="G3483" s="2031">
        <v>557.0</v>
      </c>
      <c r="H3483" s="2031">
        <v>557.0</v>
      </c>
    </row>
    <row r="3484">
      <c r="B3484" s="2031">
        <v>3482.0</v>
      </c>
      <c r="C3484" s="2031">
        <v>418.0</v>
      </c>
      <c r="D3484" s="2031">
        <v>836.0</v>
      </c>
      <c r="E3484" s="2031">
        <v>557.0</v>
      </c>
      <c r="F3484" s="2031">
        <v>557.0</v>
      </c>
      <c r="G3484" s="2031">
        <v>557.0</v>
      </c>
      <c r="H3484" s="2031">
        <v>557.0</v>
      </c>
    </row>
    <row r="3485">
      <c r="B3485" s="2031">
        <v>3483.0</v>
      </c>
      <c r="C3485" s="2031">
        <v>418.0</v>
      </c>
      <c r="D3485" s="2031">
        <v>835.0</v>
      </c>
      <c r="E3485" s="2031">
        <v>557.0</v>
      </c>
      <c r="F3485" s="2031">
        <v>557.0</v>
      </c>
      <c r="G3485" s="2031">
        <v>558.0</v>
      </c>
      <c r="H3485" s="2031">
        <v>558.0</v>
      </c>
    </row>
    <row r="3486">
      <c r="B3486" s="2031">
        <v>3484.0</v>
      </c>
      <c r="C3486" s="2031">
        <v>418.0</v>
      </c>
      <c r="D3486" s="2031">
        <v>836.0</v>
      </c>
      <c r="E3486" s="2031">
        <v>557.0</v>
      </c>
      <c r="F3486" s="2031">
        <v>557.0</v>
      </c>
      <c r="G3486" s="2031">
        <v>558.0</v>
      </c>
      <c r="H3486" s="2031">
        <v>558.0</v>
      </c>
    </row>
    <row r="3487">
      <c r="B3487" s="2031">
        <v>3485.0</v>
      </c>
      <c r="C3487" s="2031">
        <v>418.0</v>
      </c>
      <c r="D3487" s="2031">
        <v>837.0</v>
      </c>
      <c r="E3487" s="2031">
        <v>557.0</v>
      </c>
      <c r="F3487" s="2031">
        <v>557.0</v>
      </c>
      <c r="G3487" s="2031">
        <v>558.0</v>
      </c>
      <c r="H3487" s="2031">
        <v>558.0</v>
      </c>
    </row>
    <row r="3488">
      <c r="B3488" s="2031">
        <v>3486.0</v>
      </c>
      <c r="C3488" s="2031">
        <v>418.0</v>
      </c>
      <c r="D3488" s="2031">
        <v>836.0</v>
      </c>
      <c r="E3488" s="2031">
        <v>558.0</v>
      </c>
      <c r="F3488" s="2031">
        <v>558.0</v>
      </c>
      <c r="G3488" s="2031">
        <v>558.0</v>
      </c>
      <c r="H3488" s="2031">
        <v>558.0</v>
      </c>
    </row>
    <row r="3489">
      <c r="B3489" s="2031">
        <v>3487.0</v>
      </c>
      <c r="C3489" s="2031">
        <v>418.0</v>
      </c>
      <c r="D3489" s="2031">
        <v>837.0</v>
      </c>
      <c r="E3489" s="2031">
        <v>558.0</v>
      </c>
      <c r="F3489" s="2031">
        <v>558.0</v>
      </c>
      <c r="G3489" s="2031">
        <v>558.0</v>
      </c>
      <c r="H3489" s="2031">
        <v>558.0</v>
      </c>
    </row>
    <row r="3490">
      <c r="B3490" s="2031">
        <v>3488.0</v>
      </c>
      <c r="C3490" s="2031">
        <v>419.0</v>
      </c>
      <c r="D3490" s="2031">
        <v>837.0</v>
      </c>
      <c r="E3490" s="2031">
        <v>558.0</v>
      </c>
      <c r="F3490" s="2031">
        <v>558.0</v>
      </c>
      <c r="G3490" s="2031">
        <v>558.0</v>
      </c>
      <c r="H3490" s="2031">
        <v>558.0</v>
      </c>
    </row>
    <row r="3491">
      <c r="B3491" s="2031">
        <v>3489.0</v>
      </c>
      <c r="C3491" s="2031">
        <v>419.0</v>
      </c>
      <c r="D3491" s="2031">
        <v>838.0</v>
      </c>
      <c r="E3491" s="2031">
        <v>558.0</v>
      </c>
      <c r="F3491" s="2031">
        <v>558.0</v>
      </c>
      <c r="G3491" s="2031">
        <v>558.0</v>
      </c>
      <c r="H3491" s="2031">
        <v>558.0</v>
      </c>
    </row>
    <row r="3492">
      <c r="B3492" s="2031">
        <v>3490.0</v>
      </c>
      <c r="C3492" s="2031">
        <v>419.0</v>
      </c>
      <c r="D3492" s="2031">
        <v>837.0</v>
      </c>
      <c r="E3492" s="2031">
        <v>558.0</v>
      </c>
      <c r="F3492" s="2031">
        <v>558.0</v>
      </c>
      <c r="G3492" s="2031">
        <v>559.0</v>
      </c>
      <c r="H3492" s="2031">
        <v>559.0</v>
      </c>
    </row>
    <row r="3493">
      <c r="B3493" s="2031">
        <v>3491.0</v>
      </c>
      <c r="C3493" s="2031">
        <v>419.0</v>
      </c>
      <c r="D3493" s="2031">
        <v>838.0</v>
      </c>
      <c r="E3493" s="2031">
        <v>558.0</v>
      </c>
      <c r="F3493" s="2031">
        <v>558.0</v>
      </c>
      <c r="G3493" s="2031">
        <v>559.0</v>
      </c>
      <c r="H3493" s="2031">
        <v>559.0</v>
      </c>
    </row>
    <row r="3494">
      <c r="B3494" s="2031">
        <v>3492.0</v>
      </c>
      <c r="C3494" s="2031">
        <v>419.0</v>
      </c>
      <c r="D3494" s="2031">
        <v>839.0</v>
      </c>
      <c r="E3494" s="2031">
        <v>558.0</v>
      </c>
      <c r="F3494" s="2031">
        <v>558.0</v>
      </c>
      <c r="G3494" s="2031">
        <v>559.0</v>
      </c>
      <c r="H3494" s="2031">
        <v>559.0</v>
      </c>
    </row>
    <row r="3495">
      <c r="B3495" s="2031">
        <v>3493.0</v>
      </c>
      <c r="C3495" s="2031">
        <v>419.0</v>
      </c>
      <c r="D3495" s="2031">
        <v>838.0</v>
      </c>
      <c r="E3495" s="2031">
        <v>559.0</v>
      </c>
      <c r="F3495" s="2031">
        <v>559.0</v>
      </c>
      <c r="G3495" s="2031">
        <v>559.0</v>
      </c>
      <c r="H3495" s="2031">
        <v>559.0</v>
      </c>
    </row>
    <row r="3496">
      <c r="B3496" s="2031">
        <v>3494.0</v>
      </c>
      <c r="C3496" s="2031">
        <v>419.0</v>
      </c>
      <c r="D3496" s="2031">
        <v>839.0</v>
      </c>
      <c r="E3496" s="2031">
        <v>559.0</v>
      </c>
      <c r="F3496" s="2031">
        <v>559.0</v>
      </c>
      <c r="G3496" s="2031">
        <v>559.0</v>
      </c>
      <c r="H3496" s="2031">
        <v>559.0</v>
      </c>
    </row>
    <row r="3497">
      <c r="B3497" s="2031">
        <v>3495.0</v>
      </c>
      <c r="C3497" s="2031">
        <v>420.0</v>
      </c>
      <c r="D3497" s="2031">
        <v>839.0</v>
      </c>
      <c r="E3497" s="2031">
        <v>559.0</v>
      </c>
      <c r="F3497" s="2031">
        <v>559.0</v>
      </c>
      <c r="G3497" s="2031">
        <v>559.0</v>
      </c>
      <c r="H3497" s="2031">
        <v>559.0</v>
      </c>
    </row>
    <row r="3498">
      <c r="B3498" s="2031">
        <v>3496.0</v>
      </c>
      <c r="C3498" s="2031">
        <v>419.0</v>
      </c>
      <c r="D3498" s="2031">
        <v>839.0</v>
      </c>
      <c r="E3498" s="2031">
        <v>559.0</v>
      </c>
      <c r="F3498" s="2031">
        <v>559.0</v>
      </c>
      <c r="G3498" s="2031">
        <v>560.0</v>
      </c>
      <c r="H3498" s="2031">
        <v>560.0</v>
      </c>
    </row>
    <row r="3499">
      <c r="B3499" s="2031">
        <v>3497.0</v>
      </c>
      <c r="C3499" s="2031">
        <v>420.0</v>
      </c>
      <c r="D3499" s="2031">
        <v>839.0</v>
      </c>
      <c r="E3499" s="2031">
        <v>559.0</v>
      </c>
      <c r="F3499" s="2031">
        <v>559.0</v>
      </c>
      <c r="G3499" s="2031">
        <v>560.0</v>
      </c>
      <c r="H3499" s="2031">
        <v>560.0</v>
      </c>
    </row>
    <row r="3500">
      <c r="B3500" s="2031">
        <v>3498.0</v>
      </c>
      <c r="C3500" s="2031">
        <v>419.0</v>
      </c>
      <c r="D3500" s="2031">
        <v>839.0</v>
      </c>
      <c r="E3500" s="2031">
        <v>560.0</v>
      </c>
      <c r="F3500" s="2031">
        <v>560.0</v>
      </c>
      <c r="G3500" s="2031">
        <v>560.0</v>
      </c>
      <c r="H3500" s="2031">
        <v>560.0</v>
      </c>
    </row>
    <row r="3501">
      <c r="B3501" s="2031">
        <v>3499.0</v>
      </c>
      <c r="C3501" s="2031">
        <v>420.0</v>
      </c>
      <c r="D3501" s="2031">
        <v>839.0</v>
      </c>
      <c r="E3501" s="2031">
        <v>560.0</v>
      </c>
      <c r="F3501" s="2031">
        <v>560.0</v>
      </c>
      <c r="G3501" s="2031">
        <v>560.0</v>
      </c>
      <c r="H3501" s="2031">
        <v>560.0</v>
      </c>
    </row>
    <row r="3502">
      <c r="B3502" s="2031">
        <v>3500.0</v>
      </c>
      <c r="C3502" s="2031">
        <v>420.0</v>
      </c>
      <c r="D3502" s="2031">
        <v>840.0</v>
      </c>
      <c r="E3502" s="2031">
        <v>560.0</v>
      </c>
      <c r="F3502" s="2031">
        <v>560.0</v>
      </c>
      <c r="G3502" s="2031">
        <v>560.0</v>
      </c>
      <c r="H3502" s="2031">
        <v>560.0</v>
      </c>
    </row>
    <row r="3503">
      <c r="B3503" s="2031">
        <v>3501.0</v>
      </c>
      <c r="C3503" s="2031">
        <v>420.0</v>
      </c>
      <c r="D3503" s="2031">
        <v>841.0</v>
      </c>
      <c r="E3503" s="2031">
        <v>560.0</v>
      </c>
      <c r="F3503" s="2031">
        <v>560.0</v>
      </c>
      <c r="G3503" s="2031">
        <v>560.0</v>
      </c>
      <c r="H3503" s="2031">
        <v>560.0</v>
      </c>
    </row>
    <row r="3504">
      <c r="B3504" s="2031">
        <v>3502.0</v>
      </c>
      <c r="C3504" s="2031">
        <v>421.0</v>
      </c>
      <c r="D3504" s="2031">
        <v>841.0</v>
      </c>
      <c r="E3504" s="2031">
        <v>560.0</v>
      </c>
      <c r="F3504" s="2031">
        <v>560.0</v>
      </c>
      <c r="G3504" s="2031">
        <v>560.0</v>
      </c>
      <c r="H3504" s="2031">
        <v>560.0</v>
      </c>
    </row>
    <row r="3505">
      <c r="B3505" s="2031">
        <v>3503.0</v>
      </c>
      <c r="C3505" s="2031">
        <v>420.0</v>
      </c>
      <c r="D3505" s="2031">
        <v>841.0</v>
      </c>
      <c r="E3505" s="2031">
        <v>560.0</v>
      </c>
      <c r="F3505" s="2031">
        <v>560.0</v>
      </c>
      <c r="G3505" s="2031">
        <v>561.0</v>
      </c>
      <c r="H3505" s="2031">
        <v>561.0</v>
      </c>
    </row>
    <row r="3506">
      <c r="B3506" s="2031">
        <v>3504.0</v>
      </c>
      <c r="C3506" s="2031">
        <v>421.0</v>
      </c>
      <c r="D3506" s="2031">
        <v>841.0</v>
      </c>
      <c r="E3506" s="2031">
        <v>560.0</v>
      </c>
      <c r="F3506" s="2031">
        <v>560.0</v>
      </c>
      <c r="G3506" s="2031">
        <v>561.0</v>
      </c>
      <c r="H3506" s="2031">
        <v>561.0</v>
      </c>
    </row>
    <row r="3507">
      <c r="B3507" s="2031">
        <v>3505.0</v>
      </c>
      <c r="C3507" s="2031">
        <v>420.0</v>
      </c>
      <c r="D3507" s="2031">
        <v>841.0</v>
      </c>
      <c r="E3507" s="2031">
        <v>561.0</v>
      </c>
      <c r="F3507" s="2031">
        <v>561.0</v>
      </c>
      <c r="G3507" s="2031">
        <v>561.0</v>
      </c>
      <c r="H3507" s="2031">
        <v>561.0</v>
      </c>
    </row>
    <row r="3508">
      <c r="B3508" s="2031">
        <v>3506.0</v>
      </c>
      <c r="C3508" s="2031">
        <v>421.0</v>
      </c>
      <c r="D3508" s="2031">
        <v>841.0</v>
      </c>
      <c r="E3508" s="2031">
        <v>561.0</v>
      </c>
      <c r="F3508" s="2031">
        <v>561.0</v>
      </c>
      <c r="G3508" s="2031">
        <v>561.0</v>
      </c>
      <c r="H3508" s="2031">
        <v>561.0</v>
      </c>
    </row>
    <row r="3509">
      <c r="B3509" s="2031">
        <v>3507.0</v>
      </c>
      <c r="C3509" s="2031">
        <v>421.0</v>
      </c>
      <c r="D3509" s="2031">
        <v>842.0</v>
      </c>
      <c r="E3509" s="2031">
        <v>561.0</v>
      </c>
      <c r="F3509" s="2031">
        <v>561.0</v>
      </c>
      <c r="G3509" s="2031">
        <v>561.0</v>
      </c>
      <c r="H3509" s="2031">
        <v>561.0</v>
      </c>
    </row>
    <row r="3510">
      <c r="B3510" s="2031">
        <v>3508.0</v>
      </c>
      <c r="C3510" s="2031">
        <v>421.0</v>
      </c>
      <c r="D3510" s="2031">
        <v>841.0</v>
      </c>
      <c r="E3510" s="2031">
        <v>561.0</v>
      </c>
      <c r="F3510" s="2031">
        <v>561.0</v>
      </c>
      <c r="G3510" s="2031">
        <v>562.0</v>
      </c>
      <c r="H3510" s="2031">
        <v>562.0</v>
      </c>
    </row>
    <row r="3511">
      <c r="B3511" s="2031">
        <v>3509.0</v>
      </c>
      <c r="C3511" s="2031">
        <v>421.0</v>
      </c>
      <c r="D3511" s="2031">
        <v>842.0</v>
      </c>
      <c r="E3511" s="2031">
        <v>561.0</v>
      </c>
      <c r="F3511" s="2031">
        <v>561.0</v>
      </c>
      <c r="G3511" s="2031">
        <v>562.0</v>
      </c>
      <c r="H3511" s="2031">
        <v>562.0</v>
      </c>
    </row>
    <row r="3512">
      <c r="B3512" s="2031">
        <v>3510.0</v>
      </c>
      <c r="C3512" s="2031">
        <v>421.0</v>
      </c>
      <c r="D3512" s="2031">
        <v>843.0</v>
      </c>
      <c r="E3512" s="2031">
        <v>561.0</v>
      </c>
      <c r="F3512" s="2031">
        <v>561.0</v>
      </c>
      <c r="G3512" s="2031">
        <v>562.0</v>
      </c>
      <c r="H3512" s="2031">
        <v>562.0</v>
      </c>
    </row>
    <row r="3513">
      <c r="B3513" s="2031">
        <v>3511.0</v>
      </c>
      <c r="C3513" s="2031">
        <v>421.0</v>
      </c>
      <c r="D3513" s="2031">
        <v>842.0</v>
      </c>
      <c r="E3513" s="2031">
        <v>562.0</v>
      </c>
      <c r="F3513" s="2031">
        <v>562.0</v>
      </c>
      <c r="G3513" s="2031">
        <v>562.0</v>
      </c>
      <c r="H3513" s="2031">
        <v>562.0</v>
      </c>
    </row>
    <row r="3514">
      <c r="B3514" s="2031">
        <v>3512.0</v>
      </c>
      <c r="C3514" s="2031">
        <v>421.0</v>
      </c>
      <c r="D3514" s="2031">
        <v>843.0</v>
      </c>
      <c r="E3514" s="2031">
        <v>562.0</v>
      </c>
      <c r="F3514" s="2031">
        <v>562.0</v>
      </c>
      <c r="G3514" s="2031">
        <v>562.0</v>
      </c>
      <c r="H3514" s="2031">
        <v>562.0</v>
      </c>
    </row>
    <row r="3515">
      <c r="B3515" s="2031">
        <v>3513.0</v>
      </c>
      <c r="C3515" s="2031">
        <v>422.0</v>
      </c>
      <c r="D3515" s="2031">
        <v>843.0</v>
      </c>
      <c r="E3515" s="2031">
        <v>562.0</v>
      </c>
      <c r="F3515" s="2031">
        <v>562.0</v>
      </c>
      <c r="G3515" s="2031">
        <v>562.0</v>
      </c>
      <c r="H3515" s="2031">
        <v>562.0</v>
      </c>
    </row>
    <row r="3516">
      <c r="B3516" s="2031">
        <v>3514.0</v>
      </c>
      <c r="C3516" s="2031">
        <v>422.0</v>
      </c>
      <c r="D3516" s="2031">
        <v>844.0</v>
      </c>
      <c r="E3516" s="2031">
        <v>562.0</v>
      </c>
      <c r="F3516" s="2031">
        <v>562.0</v>
      </c>
      <c r="G3516" s="2031">
        <v>562.0</v>
      </c>
      <c r="H3516" s="2031">
        <v>562.0</v>
      </c>
    </row>
    <row r="3517">
      <c r="B3517" s="2031">
        <v>3515.0</v>
      </c>
      <c r="C3517" s="2031">
        <v>422.0</v>
      </c>
      <c r="D3517" s="2031">
        <v>843.0</v>
      </c>
      <c r="E3517" s="2031">
        <v>562.0</v>
      </c>
      <c r="F3517" s="2031">
        <v>562.0</v>
      </c>
      <c r="G3517" s="2031">
        <v>563.0</v>
      </c>
      <c r="H3517" s="2031">
        <v>563.0</v>
      </c>
    </row>
    <row r="3518">
      <c r="B3518" s="2031">
        <v>3516.0</v>
      </c>
      <c r="C3518" s="2031">
        <v>422.0</v>
      </c>
      <c r="D3518" s="2031">
        <v>844.0</v>
      </c>
      <c r="E3518" s="2031">
        <v>562.0</v>
      </c>
      <c r="F3518" s="2031">
        <v>562.0</v>
      </c>
      <c r="G3518" s="2031">
        <v>563.0</v>
      </c>
      <c r="H3518" s="2031">
        <v>563.0</v>
      </c>
    </row>
    <row r="3519">
      <c r="B3519" s="2031">
        <v>3517.0</v>
      </c>
      <c r="C3519" s="2031">
        <v>422.0</v>
      </c>
      <c r="D3519" s="2031">
        <v>845.0</v>
      </c>
      <c r="E3519" s="2031">
        <v>562.0</v>
      </c>
      <c r="F3519" s="2031">
        <v>562.0</v>
      </c>
      <c r="G3519" s="2031">
        <v>563.0</v>
      </c>
      <c r="H3519" s="2031">
        <v>563.0</v>
      </c>
    </row>
    <row r="3520">
      <c r="B3520" s="2031">
        <v>3518.0</v>
      </c>
      <c r="C3520" s="2031">
        <v>422.0</v>
      </c>
      <c r="D3520" s="2031">
        <v>844.0</v>
      </c>
      <c r="E3520" s="2031">
        <v>563.0</v>
      </c>
      <c r="F3520" s="2031">
        <v>563.0</v>
      </c>
      <c r="G3520" s="2031">
        <v>563.0</v>
      </c>
      <c r="H3520" s="2031">
        <v>563.0</v>
      </c>
    </row>
    <row r="3521">
      <c r="B3521" s="2031">
        <v>3519.0</v>
      </c>
      <c r="C3521" s="2031">
        <v>422.0</v>
      </c>
      <c r="D3521" s="2031">
        <v>845.0</v>
      </c>
      <c r="E3521" s="2031">
        <v>563.0</v>
      </c>
      <c r="F3521" s="2031">
        <v>563.0</v>
      </c>
      <c r="G3521" s="2031">
        <v>563.0</v>
      </c>
      <c r="H3521" s="2031">
        <v>563.0</v>
      </c>
    </row>
    <row r="3522">
      <c r="B3522" s="2031">
        <v>3520.0</v>
      </c>
      <c r="C3522" s="2031">
        <v>423.0</v>
      </c>
      <c r="D3522" s="2031">
        <v>845.0</v>
      </c>
      <c r="E3522" s="2031">
        <v>563.0</v>
      </c>
      <c r="F3522" s="2031">
        <v>563.0</v>
      </c>
      <c r="G3522" s="2031">
        <v>563.0</v>
      </c>
      <c r="H3522" s="2031">
        <v>563.0</v>
      </c>
    </row>
    <row r="3523">
      <c r="B3523" s="2031">
        <v>3521.0</v>
      </c>
      <c r="C3523" s="2031">
        <v>422.0</v>
      </c>
      <c r="D3523" s="2031">
        <v>845.0</v>
      </c>
      <c r="E3523" s="2031">
        <v>563.0</v>
      </c>
      <c r="F3523" s="2031">
        <v>563.0</v>
      </c>
      <c r="G3523" s="2031">
        <v>564.0</v>
      </c>
      <c r="H3523" s="2031">
        <v>564.0</v>
      </c>
    </row>
    <row r="3524">
      <c r="B3524" s="2031">
        <v>3522.0</v>
      </c>
      <c r="C3524" s="2031">
        <v>423.0</v>
      </c>
      <c r="D3524" s="2031">
        <v>845.0</v>
      </c>
      <c r="E3524" s="2031">
        <v>563.0</v>
      </c>
      <c r="F3524" s="2031">
        <v>563.0</v>
      </c>
      <c r="G3524" s="2031">
        <v>564.0</v>
      </c>
      <c r="H3524" s="2031">
        <v>564.0</v>
      </c>
    </row>
    <row r="3525">
      <c r="B3525" s="2031">
        <v>3523.0</v>
      </c>
      <c r="C3525" s="2031">
        <v>422.0</v>
      </c>
      <c r="D3525" s="2031">
        <v>845.0</v>
      </c>
      <c r="E3525" s="2031">
        <v>564.0</v>
      </c>
      <c r="F3525" s="2031">
        <v>564.0</v>
      </c>
      <c r="G3525" s="2031">
        <v>564.0</v>
      </c>
      <c r="H3525" s="2031">
        <v>564.0</v>
      </c>
    </row>
    <row r="3526">
      <c r="B3526" s="2031">
        <v>3524.0</v>
      </c>
      <c r="C3526" s="2031">
        <v>423.0</v>
      </c>
      <c r="D3526" s="2031">
        <v>845.0</v>
      </c>
      <c r="E3526" s="2031">
        <v>564.0</v>
      </c>
      <c r="F3526" s="2031">
        <v>564.0</v>
      </c>
      <c r="G3526" s="2031">
        <v>564.0</v>
      </c>
      <c r="H3526" s="2031">
        <v>564.0</v>
      </c>
    </row>
    <row r="3527">
      <c r="B3527" s="2031">
        <v>3525.0</v>
      </c>
      <c r="C3527" s="2031">
        <v>423.0</v>
      </c>
      <c r="D3527" s="2031">
        <v>846.0</v>
      </c>
      <c r="E3527" s="2031">
        <v>564.0</v>
      </c>
      <c r="F3527" s="2031">
        <v>564.0</v>
      </c>
      <c r="G3527" s="2031">
        <v>564.0</v>
      </c>
      <c r="H3527" s="2031">
        <v>564.0</v>
      </c>
    </row>
    <row r="3528">
      <c r="B3528" s="2031">
        <v>3526.0</v>
      </c>
      <c r="C3528" s="2031">
        <v>423.0</v>
      </c>
      <c r="D3528" s="2031">
        <v>847.0</v>
      </c>
      <c r="E3528" s="2031">
        <v>564.0</v>
      </c>
      <c r="F3528" s="2031">
        <v>564.0</v>
      </c>
      <c r="G3528" s="2031">
        <v>564.0</v>
      </c>
      <c r="H3528" s="2031">
        <v>564.0</v>
      </c>
    </row>
    <row r="3529">
      <c r="B3529" s="2031">
        <v>3527.0</v>
      </c>
      <c r="C3529" s="2031">
        <v>424.0</v>
      </c>
      <c r="D3529" s="2031">
        <v>847.0</v>
      </c>
      <c r="E3529" s="2031">
        <v>564.0</v>
      </c>
      <c r="F3529" s="2031">
        <v>564.0</v>
      </c>
      <c r="G3529" s="2031">
        <v>564.0</v>
      </c>
      <c r="H3529" s="2031">
        <v>564.0</v>
      </c>
    </row>
    <row r="3530">
      <c r="B3530" s="2031">
        <v>3528.0</v>
      </c>
      <c r="C3530" s="2031">
        <v>423.0</v>
      </c>
      <c r="D3530" s="2031">
        <v>847.0</v>
      </c>
      <c r="E3530" s="2031">
        <v>564.0</v>
      </c>
      <c r="F3530" s="2031">
        <v>564.0</v>
      </c>
      <c r="G3530" s="2031">
        <v>565.0</v>
      </c>
      <c r="H3530" s="2031">
        <v>565.0</v>
      </c>
    </row>
    <row r="3531">
      <c r="B3531" s="2031">
        <v>3529.0</v>
      </c>
      <c r="C3531" s="2031">
        <v>424.0</v>
      </c>
      <c r="D3531" s="2031">
        <v>847.0</v>
      </c>
      <c r="E3531" s="2031">
        <v>564.0</v>
      </c>
      <c r="F3531" s="2031">
        <v>564.0</v>
      </c>
      <c r="G3531" s="2031">
        <v>565.0</v>
      </c>
      <c r="H3531" s="2031">
        <v>565.0</v>
      </c>
    </row>
    <row r="3532">
      <c r="B3532" s="2031">
        <v>3530.0</v>
      </c>
      <c r="C3532" s="2031">
        <v>423.0</v>
      </c>
      <c r="D3532" s="2031">
        <v>847.0</v>
      </c>
      <c r="E3532" s="2031">
        <v>565.0</v>
      </c>
      <c r="F3532" s="2031">
        <v>565.0</v>
      </c>
      <c r="G3532" s="2031">
        <v>565.0</v>
      </c>
      <c r="H3532" s="2031">
        <v>565.0</v>
      </c>
    </row>
    <row r="3533">
      <c r="B3533" s="2031">
        <v>3531.0</v>
      </c>
      <c r="C3533" s="2031">
        <v>424.0</v>
      </c>
      <c r="D3533" s="2031">
        <v>847.0</v>
      </c>
      <c r="E3533" s="2031">
        <v>565.0</v>
      </c>
      <c r="F3533" s="2031">
        <v>565.0</v>
      </c>
      <c r="G3533" s="2031">
        <v>565.0</v>
      </c>
      <c r="H3533" s="2031">
        <v>565.0</v>
      </c>
    </row>
    <row r="3534">
      <c r="B3534" s="2031">
        <v>3532.0</v>
      </c>
      <c r="C3534" s="2031">
        <v>424.0</v>
      </c>
      <c r="D3534" s="2031">
        <v>848.0</v>
      </c>
      <c r="E3534" s="2031">
        <v>565.0</v>
      </c>
      <c r="F3534" s="2031">
        <v>565.0</v>
      </c>
      <c r="G3534" s="2031">
        <v>565.0</v>
      </c>
      <c r="H3534" s="2031">
        <v>565.0</v>
      </c>
    </row>
    <row r="3535">
      <c r="B3535" s="2031">
        <v>3533.0</v>
      </c>
      <c r="C3535" s="2031">
        <v>424.0</v>
      </c>
      <c r="D3535" s="2031">
        <v>847.0</v>
      </c>
      <c r="E3535" s="2031">
        <v>565.0</v>
      </c>
      <c r="F3535" s="2031">
        <v>565.0</v>
      </c>
      <c r="G3535" s="2031">
        <v>566.0</v>
      </c>
      <c r="H3535" s="2031">
        <v>566.0</v>
      </c>
    </row>
    <row r="3536">
      <c r="B3536" s="2031">
        <v>3534.0</v>
      </c>
      <c r="C3536" s="2031">
        <v>424.0</v>
      </c>
      <c r="D3536" s="2031">
        <v>848.0</v>
      </c>
      <c r="E3536" s="2031">
        <v>565.0</v>
      </c>
      <c r="F3536" s="2031">
        <v>565.0</v>
      </c>
      <c r="G3536" s="2031">
        <v>566.0</v>
      </c>
      <c r="H3536" s="2031">
        <v>566.0</v>
      </c>
    </row>
    <row r="3537">
      <c r="B3537" s="2031">
        <v>3535.0</v>
      </c>
      <c r="C3537" s="2031">
        <v>424.0</v>
      </c>
      <c r="D3537" s="2031">
        <v>849.0</v>
      </c>
      <c r="E3537" s="2031">
        <v>565.0</v>
      </c>
      <c r="F3537" s="2031">
        <v>565.0</v>
      </c>
      <c r="G3537" s="2031">
        <v>566.0</v>
      </c>
      <c r="H3537" s="2031">
        <v>566.0</v>
      </c>
    </row>
    <row r="3538">
      <c r="B3538" s="2031">
        <v>3536.0</v>
      </c>
      <c r="C3538" s="2031">
        <v>424.0</v>
      </c>
      <c r="D3538" s="2031">
        <v>848.0</v>
      </c>
      <c r="E3538" s="2031">
        <v>566.0</v>
      </c>
      <c r="F3538" s="2031">
        <v>566.0</v>
      </c>
      <c r="G3538" s="2031">
        <v>566.0</v>
      </c>
      <c r="H3538" s="2031">
        <v>566.0</v>
      </c>
    </row>
    <row r="3539">
      <c r="B3539" s="2031">
        <v>3537.0</v>
      </c>
      <c r="C3539" s="2031">
        <v>424.0</v>
      </c>
      <c r="D3539" s="2031">
        <v>849.0</v>
      </c>
      <c r="E3539" s="2031">
        <v>566.0</v>
      </c>
      <c r="F3539" s="2031">
        <v>566.0</v>
      </c>
      <c r="G3539" s="2031">
        <v>566.0</v>
      </c>
      <c r="H3539" s="2031">
        <v>566.0</v>
      </c>
    </row>
    <row r="3540">
      <c r="B3540" s="2031">
        <v>3538.0</v>
      </c>
      <c r="C3540" s="2031">
        <v>425.0</v>
      </c>
      <c r="D3540" s="2031">
        <v>849.0</v>
      </c>
      <c r="E3540" s="2031">
        <v>566.0</v>
      </c>
      <c r="F3540" s="2031">
        <v>566.0</v>
      </c>
      <c r="G3540" s="2031">
        <v>566.0</v>
      </c>
      <c r="H3540" s="2031">
        <v>566.0</v>
      </c>
    </row>
    <row r="3541">
      <c r="B3541" s="2031">
        <v>3539.0</v>
      </c>
      <c r="C3541" s="2031">
        <v>425.0</v>
      </c>
      <c r="D3541" s="2031">
        <v>850.0</v>
      </c>
      <c r="E3541" s="2031">
        <v>566.0</v>
      </c>
      <c r="F3541" s="2031">
        <v>566.0</v>
      </c>
      <c r="G3541" s="2031">
        <v>566.0</v>
      </c>
      <c r="H3541" s="2031">
        <v>566.0</v>
      </c>
    </row>
    <row r="3542">
      <c r="B3542" s="2031">
        <v>3540.0</v>
      </c>
      <c r="C3542" s="2031">
        <v>425.0</v>
      </c>
      <c r="D3542" s="2031">
        <v>849.0</v>
      </c>
      <c r="E3542" s="2031">
        <v>566.0</v>
      </c>
      <c r="F3542" s="2031">
        <v>566.0</v>
      </c>
      <c r="G3542" s="2031">
        <v>567.0</v>
      </c>
      <c r="H3542" s="2031">
        <v>567.0</v>
      </c>
    </row>
    <row r="3543">
      <c r="B3543" s="2031">
        <v>3541.0</v>
      </c>
      <c r="C3543" s="2031">
        <v>425.0</v>
      </c>
      <c r="D3543" s="2031">
        <v>850.0</v>
      </c>
      <c r="E3543" s="2031">
        <v>566.0</v>
      </c>
      <c r="F3543" s="2031">
        <v>566.0</v>
      </c>
      <c r="G3543" s="2031">
        <v>567.0</v>
      </c>
      <c r="H3543" s="2031">
        <v>567.0</v>
      </c>
    </row>
    <row r="3544">
      <c r="B3544" s="2031">
        <v>3542.0</v>
      </c>
      <c r="C3544" s="2031">
        <v>425.0</v>
      </c>
      <c r="D3544" s="2031">
        <v>851.0</v>
      </c>
      <c r="E3544" s="2031">
        <v>566.0</v>
      </c>
      <c r="F3544" s="2031">
        <v>566.0</v>
      </c>
      <c r="G3544" s="2031">
        <v>567.0</v>
      </c>
      <c r="H3544" s="2031">
        <v>567.0</v>
      </c>
    </row>
    <row r="3545">
      <c r="B3545" s="2031">
        <v>3543.0</v>
      </c>
      <c r="C3545" s="2031">
        <v>425.0</v>
      </c>
      <c r="D3545" s="2031">
        <v>850.0</v>
      </c>
      <c r="E3545" s="2031">
        <v>567.0</v>
      </c>
      <c r="F3545" s="2031">
        <v>567.0</v>
      </c>
      <c r="G3545" s="2031">
        <v>567.0</v>
      </c>
      <c r="H3545" s="2031">
        <v>567.0</v>
      </c>
    </row>
    <row r="3546">
      <c r="B3546" s="2031">
        <v>3544.0</v>
      </c>
      <c r="C3546" s="2031">
        <v>425.0</v>
      </c>
      <c r="D3546" s="2031">
        <v>851.0</v>
      </c>
      <c r="E3546" s="2031">
        <v>567.0</v>
      </c>
      <c r="F3546" s="2031">
        <v>567.0</v>
      </c>
      <c r="G3546" s="2031">
        <v>567.0</v>
      </c>
      <c r="H3546" s="2031">
        <v>567.0</v>
      </c>
    </row>
    <row r="3547">
      <c r="B3547" s="2031">
        <v>3545.0</v>
      </c>
      <c r="C3547" s="2031">
        <v>426.0</v>
      </c>
      <c r="D3547" s="2031">
        <v>851.0</v>
      </c>
      <c r="E3547" s="2031">
        <v>567.0</v>
      </c>
      <c r="F3547" s="2031">
        <v>567.0</v>
      </c>
      <c r="G3547" s="2031">
        <v>567.0</v>
      </c>
      <c r="H3547" s="2031">
        <v>567.0</v>
      </c>
    </row>
    <row r="3548">
      <c r="B3548" s="2031">
        <v>3546.0</v>
      </c>
      <c r="C3548" s="2031">
        <v>425.0</v>
      </c>
      <c r="D3548" s="2031">
        <v>851.0</v>
      </c>
      <c r="E3548" s="2031">
        <v>567.0</v>
      </c>
      <c r="F3548" s="2031">
        <v>567.0</v>
      </c>
      <c r="G3548" s="2031">
        <v>568.0</v>
      </c>
      <c r="H3548" s="2031">
        <v>568.0</v>
      </c>
    </row>
    <row r="3549">
      <c r="B3549" s="2031">
        <v>3547.0</v>
      </c>
      <c r="C3549" s="2031">
        <v>426.0</v>
      </c>
      <c r="D3549" s="2031">
        <v>851.0</v>
      </c>
      <c r="E3549" s="2031">
        <v>567.0</v>
      </c>
      <c r="F3549" s="2031">
        <v>567.0</v>
      </c>
      <c r="G3549" s="2031">
        <v>568.0</v>
      </c>
      <c r="H3549" s="2031">
        <v>568.0</v>
      </c>
    </row>
    <row r="3550">
      <c r="B3550" s="2031">
        <v>3548.0</v>
      </c>
      <c r="C3550" s="2031">
        <v>425.0</v>
      </c>
      <c r="D3550" s="2031">
        <v>851.0</v>
      </c>
      <c r="E3550" s="2031">
        <v>568.0</v>
      </c>
      <c r="F3550" s="2031">
        <v>568.0</v>
      </c>
      <c r="G3550" s="2031">
        <v>568.0</v>
      </c>
      <c r="H3550" s="2031">
        <v>568.0</v>
      </c>
    </row>
    <row r="3551">
      <c r="B3551" s="2031">
        <v>3549.0</v>
      </c>
      <c r="C3551" s="2031">
        <v>426.0</v>
      </c>
      <c r="D3551" s="2031">
        <v>851.0</v>
      </c>
      <c r="E3551" s="2031">
        <v>568.0</v>
      </c>
      <c r="F3551" s="2031">
        <v>568.0</v>
      </c>
      <c r="G3551" s="2031">
        <v>568.0</v>
      </c>
      <c r="H3551" s="2031">
        <v>568.0</v>
      </c>
    </row>
    <row r="3552">
      <c r="B3552" s="2031">
        <v>3550.0</v>
      </c>
      <c r="C3552" s="2031">
        <v>426.0</v>
      </c>
      <c r="D3552" s="2031">
        <v>852.0</v>
      </c>
      <c r="E3552" s="2031">
        <v>568.0</v>
      </c>
      <c r="F3552" s="2031">
        <v>568.0</v>
      </c>
      <c r="G3552" s="2031">
        <v>568.0</v>
      </c>
      <c r="H3552" s="2031">
        <v>568.0</v>
      </c>
    </row>
    <row r="3553">
      <c r="B3553" s="2031">
        <v>3551.0</v>
      </c>
      <c r="C3553" s="2031">
        <v>426.0</v>
      </c>
      <c r="D3553" s="2031">
        <v>853.0</v>
      </c>
      <c r="E3553" s="2031">
        <v>568.0</v>
      </c>
      <c r="F3553" s="2031">
        <v>568.0</v>
      </c>
      <c r="G3553" s="2031">
        <v>568.0</v>
      </c>
      <c r="H3553" s="2031">
        <v>568.0</v>
      </c>
    </row>
    <row r="3554">
      <c r="B3554" s="2031">
        <v>3552.0</v>
      </c>
      <c r="C3554" s="2031">
        <v>427.0</v>
      </c>
      <c r="D3554" s="2031">
        <v>853.0</v>
      </c>
      <c r="E3554" s="2031">
        <v>568.0</v>
      </c>
      <c r="F3554" s="2031">
        <v>568.0</v>
      </c>
      <c r="G3554" s="2031">
        <v>568.0</v>
      </c>
      <c r="H3554" s="2031">
        <v>568.0</v>
      </c>
    </row>
    <row r="3555">
      <c r="B3555" s="2031">
        <v>3553.0</v>
      </c>
      <c r="C3555" s="2031">
        <v>426.0</v>
      </c>
      <c r="D3555" s="2031">
        <v>853.0</v>
      </c>
      <c r="E3555" s="2031">
        <v>568.0</v>
      </c>
      <c r="F3555" s="2031">
        <v>568.0</v>
      </c>
      <c r="G3555" s="2031">
        <v>569.0</v>
      </c>
      <c r="H3555" s="2031">
        <v>569.0</v>
      </c>
    </row>
    <row r="3556">
      <c r="B3556" s="2031">
        <v>3554.0</v>
      </c>
      <c r="C3556" s="2031">
        <v>427.0</v>
      </c>
      <c r="D3556" s="2031">
        <v>853.0</v>
      </c>
      <c r="E3556" s="2031">
        <v>568.0</v>
      </c>
      <c r="F3556" s="2031">
        <v>568.0</v>
      </c>
      <c r="G3556" s="2031">
        <v>569.0</v>
      </c>
      <c r="H3556" s="2031">
        <v>569.0</v>
      </c>
    </row>
    <row r="3557">
      <c r="B3557" s="2031">
        <v>3555.0</v>
      </c>
      <c r="C3557" s="2031">
        <v>426.0</v>
      </c>
      <c r="D3557" s="2031">
        <v>853.0</v>
      </c>
      <c r="E3557" s="2031">
        <v>569.0</v>
      </c>
      <c r="F3557" s="2031">
        <v>569.0</v>
      </c>
      <c r="G3557" s="2031">
        <v>569.0</v>
      </c>
      <c r="H3557" s="2031">
        <v>569.0</v>
      </c>
    </row>
    <row r="3558">
      <c r="B3558" s="2031">
        <v>3556.0</v>
      </c>
      <c r="C3558" s="2031">
        <v>427.0</v>
      </c>
      <c r="D3558" s="2031">
        <v>853.0</v>
      </c>
      <c r="E3558" s="2031">
        <v>569.0</v>
      </c>
      <c r="F3558" s="2031">
        <v>569.0</v>
      </c>
      <c r="G3558" s="2031">
        <v>569.0</v>
      </c>
      <c r="H3558" s="2031">
        <v>569.0</v>
      </c>
    </row>
    <row r="3559">
      <c r="B3559" s="2031">
        <v>3557.0</v>
      </c>
      <c r="C3559" s="2031">
        <v>427.0</v>
      </c>
      <c r="D3559" s="2031">
        <v>854.0</v>
      </c>
      <c r="E3559" s="2031">
        <v>569.0</v>
      </c>
      <c r="F3559" s="2031">
        <v>569.0</v>
      </c>
      <c r="G3559" s="2031">
        <v>569.0</v>
      </c>
      <c r="H3559" s="2031">
        <v>569.0</v>
      </c>
    </row>
    <row r="3560">
      <c r="B3560" s="2031">
        <v>3558.0</v>
      </c>
      <c r="C3560" s="2031">
        <v>427.0</v>
      </c>
      <c r="D3560" s="2031">
        <v>853.0</v>
      </c>
      <c r="E3560" s="2031">
        <v>569.0</v>
      </c>
      <c r="F3560" s="2031">
        <v>569.0</v>
      </c>
      <c r="G3560" s="2031">
        <v>570.0</v>
      </c>
      <c r="H3560" s="2031">
        <v>570.0</v>
      </c>
    </row>
    <row r="3561">
      <c r="B3561" s="2031">
        <v>3559.0</v>
      </c>
      <c r="C3561" s="2031">
        <v>427.0</v>
      </c>
      <c r="D3561" s="2031">
        <v>854.0</v>
      </c>
      <c r="E3561" s="2031">
        <v>569.0</v>
      </c>
      <c r="F3561" s="2031">
        <v>569.0</v>
      </c>
      <c r="G3561" s="2031">
        <v>570.0</v>
      </c>
      <c r="H3561" s="2031">
        <v>570.0</v>
      </c>
    </row>
    <row r="3562">
      <c r="B3562" s="2031">
        <v>3560.0</v>
      </c>
      <c r="C3562" s="2031">
        <v>427.0</v>
      </c>
      <c r="D3562" s="2031">
        <v>855.0</v>
      </c>
      <c r="E3562" s="2031">
        <v>569.0</v>
      </c>
      <c r="F3562" s="2031">
        <v>569.0</v>
      </c>
      <c r="G3562" s="2031">
        <v>570.0</v>
      </c>
      <c r="H3562" s="2031">
        <v>570.0</v>
      </c>
    </row>
    <row r="3563">
      <c r="B3563" s="2031">
        <v>3561.0</v>
      </c>
      <c r="C3563" s="2031">
        <v>427.0</v>
      </c>
      <c r="D3563" s="2031">
        <v>854.0</v>
      </c>
      <c r="E3563" s="2031">
        <v>570.0</v>
      </c>
      <c r="F3563" s="2031">
        <v>570.0</v>
      </c>
      <c r="G3563" s="2031">
        <v>570.0</v>
      </c>
      <c r="H3563" s="2031">
        <v>570.0</v>
      </c>
    </row>
    <row r="3564">
      <c r="B3564" s="2031">
        <v>3562.0</v>
      </c>
      <c r="C3564" s="2031">
        <v>427.0</v>
      </c>
      <c r="D3564" s="2031">
        <v>855.0</v>
      </c>
      <c r="E3564" s="2031">
        <v>570.0</v>
      </c>
      <c r="F3564" s="2031">
        <v>570.0</v>
      </c>
      <c r="G3564" s="2031">
        <v>570.0</v>
      </c>
      <c r="H3564" s="2031">
        <v>570.0</v>
      </c>
    </row>
    <row r="3565">
      <c r="B3565" s="2031">
        <v>3563.0</v>
      </c>
      <c r="C3565" s="2031">
        <v>428.0</v>
      </c>
      <c r="D3565" s="2031">
        <v>855.0</v>
      </c>
      <c r="E3565" s="2031">
        <v>570.0</v>
      </c>
      <c r="F3565" s="2031">
        <v>570.0</v>
      </c>
      <c r="G3565" s="2031">
        <v>570.0</v>
      </c>
      <c r="H3565" s="2031">
        <v>570.0</v>
      </c>
    </row>
    <row r="3566">
      <c r="B3566" s="2031">
        <v>3564.0</v>
      </c>
      <c r="C3566" s="2031">
        <v>428.0</v>
      </c>
      <c r="D3566" s="2031">
        <v>856.0</v>
      </c>
      <c r="E3566" s="2031">
        <v>570.0</v>
      </c>
      <c r="F3566" s="2031">
        <v>570.0</v>
      </c>
      <c r="G3566" s="2031">
        <v>570.0</v>
      </c>
      <c r="H3566" s="2031">
        <v>570.0</v>
      </c>
    </row>
    <row r="3567">
      <c r="B3567" s="2031">
        <v>3565.0</v>
      </c>
      <c r="C3567" s="2031">
        <v>428.0</v>
      </c>
      <c r="D3567" s="2031">
        <v>855.0</v>
      </c>
      <c r="E3567" s="2031">
        <v>570.0</v>
      </c>
      <c r="F3567" s="2031">
        <v>570.0</v>
      </c>
      <c r="G3567" s="2031">
        <v>571.0</v>
      </c>
      <c r="H3567" s="2031">
        <v>571.0</v>
      </c>
    </row>
    <row r="3568">
      <c r="B3568" s="2031">
        <v>3566.0</v>
      </c>
      <c r="C3568" s="2031">
        <v>428.0</v>
      </c>
      <c r="D3568" s="2031">
        <v>856.0</v>
      </c>
      <c r="E3568" s="2031">
        <v>570.0</v>
      </c>
      <c r="F3568" s="2031">
        <v>570.0</v>
      </c>
      <c r="G3568" s="2031">
        <v>571.0</v>
      </c>
      <c r="H3568" s="2031">
        <v>571.0</v>
      </c>
    </row>
    <row r="3569">
      <c r="B3569" s="2031">
        <v>3567.0</v>
      </c>
      <c r="C3569" s="2031">
        <v>428.0</v>
      </c>
      <c r="D3569" s="2031">
        <v>857.0</v>
      </c>
      <c r="E3569" s="2031">
        <v>570.0</v>
      </c>
      <c r="F3569" s="2031">
        <v>570.0</v>
      </c>
      <c r="G3569" s="2031">
        <v>571.0</v>
      </c>
      <c r="H3569" s="2031">
        <v>571.0</v>
      </c>
    </row>
    <row r="3570">
      <c r="B3570" s="2031">
        <v>3568.0</v>
      </c>
      <c r="C3570" s="2031">
        <v>428.0</v>
      </c>
      <c r="D3570" s="2031">
        <v>856.0</v>
      </c>
      <c r="E3570" s="2031">
        <v>571.0</v>
      </c>
      <c r="F3570" s="2031">
        <v>571.0</v>
      </c>
      <c r="G3570" s="2031">
        <v>571.0</v>
      </c>
      <c r="H3570" s="2031">
        <v>571.0</v>
      </c>
    </row>
    <row r="3571">
      <c r="B3571" s="2031">
        <v>3569.0</v>
      </c>
      <c r="C3571" s="2031">
        <v>428.0</v>
      </c>
      <c r="D3571" s="2031">
        <v>857.0</v>
      </c>
      <c r="E3571" s="2031">
        <v>571.0</v>
      </c>
      <c r="F3571" s="2031">
        <v>571.0</v>
      </c>
      <c r="G3571" s="2031">
        <v>571.0</v>
      </c>
      <c r="H3571" s="2031">
        <v>571.0</v>
      </c>
    </row>
    <row r="3572">
      <c r="B3572" s="2031">
        <v>3570.0</v>
      </c>
      <c r="C3572" s="2031">
        <v>429.0</v>
      </c>
      <c r="D3572" s="2031">
        <v>857.0</v>
      </c>
      <c r="E3572" s="2031">
        <v>571.0</v>
      </c>
      <c r="F3572" s="2031">
        <v>571.0</v>
      </c>
      <c r="G3572" s="2031">
        <v>571.0</v>
      </c>
      <c r="H3572" s="2031">
        <v>571.0</v>
      </c>
    </row>
    <row r="3573">
      <c r="B3573" s="2031">
        <v>3571.0</v>
      </c>
      <c r="C3573" s="2031">
        <v>428.0</v>
      </c>
      <c r="D3573" s="2031">
        <v>857.0</v>
      </c>
      <c r="E3573" s="2031">
        <v>571.0</v>
      </c>
      <c r="F3573" s="2031">
        <v>571.0</v>
      </c>
      <c r="G3573" s="2031">
        <v>572.0</v>
      </c>
      <c r="H3573" s="2031">
        <v>572.0</v>
      </c>
    </row>
    <row r="3574">
      <c r="B3574" s="2031">
        <v>3572.0</v>
      </c>
      <c r="C3574" s="2031">
        <v>429.0</v>
      </c>
      <c r="D3574" s="2031">
        <v>857.0</v>
      </c>
      <c r="E3574" s="2031">
        <v>571.0</v>
      </c>
      <c r="F3574" s="2031">
        <v>571.0</v>
      </c>
      <c r="G3574" s="2031">
        <v>572.0</v>
      </c>
      <c r="H3574" s="2031">
        <v>572.0</v>
      </c>
    </row>
    <row r="3575">
      <c r="B3575" s="2031">
        <v>3573.0</v>
      </c>
      <c r="C3575" s="2031">
        <v>428.0</v>
      </c>
      <c r="D3575" s="2031">
        <v>857.0</v>
      </c>
      <c r="E3575" s="2031">
        <v>572.0</v>
      </c>
      <c r="F3575" s="2031">
        <v>572.0</v>
      </c>
      <c r="G3575" s="2031">
        <v>572.0</v>
      </c>
      <c r="H3575" s="2031">
        <v>572.0</v>
      </c>
    </row>
    <row r="3576">
      <c r="B3576" s="2031">
        <v>3574.0</v>
      </c>
      <c r="C3576" s="2031">
        <v>429.0</v>
      </c>
      <c r="D3576" s="2031">
        <v>857.0</v>
      </c>
      <c r="E3576" s="2031">
        <v>572.0</v>
      </c>
      <c r="F3576" s="2031">
        <v>572.0</v>
      </c>
      <c r="G3576" s="2031">
        <v>572.0</v>
      </c>
      <c r="H3576" s="2031">
        <v>572.0</v>
      </c>
    </row>
    <row r="3577">
      <c r="B3577" s="2031">
        <v>3575.0</v>
      </c>
      <c r="C3577" s="2031">
        <v>429.0</v>
      </c>
      <c r="D3577" s="2031">
        <v>858.0</v>
      </c>
      <c r="E3577" s="2031">
        <v>572.0</v>
      </c>
      <c r="F3577" s="2031">
        <v>572.0</v>
      </c>
      <c r="G3577" s="2031">
        <v>572.0</v>
      </c>
      <c r="H3577" s="2031">
        <v>572.0</v>
      </c>
    </row>
    <row r="3578">
      <c r="B3578" s="2031">
        <v>3576.0</v>
      </c>
      <c r="C3578" s="2031">
        <v>429.0</v>
      </c>
      <c r="D3578" s="2031">
        <v>859.0</v>
      </c>
      <c r="E3578" s="2031">
        <v>572.0</v>
      </c>
      <c r="F3578" s="2031">
        <v>572.0</v>
      </c>
      <c r="G3578" s="2031">
        <v>572.0</v>
      </c>
      <c r="H3578" s="2031">
        <v>572.0</v>
      </c>
    </row>
    <row r="3579">
      <c r="B3579" s="2031">
        <v>3577.0</v>
      </c>
      <c r="C3579" s="2031">
        <v>430.0</v>
      </c>
      <c r="D3579" s="2031">
        <v>859.0</v>
      </c>
      <c r="E3579" s="2031">
        <v>572.0</v>
      </c>
      <c r="F3579" s="2031">
        <v>572.0</v>
      </c>
      <c r="G3579" s="2031">
        <v>572.0</v>
      </c>
      <c r="H3579" s="2031">
        <v>572.0</v>
      </c>
    </row>
    <row r="3580">
      <c r="B3580" s="2031">
        <v>3578.0</v>
      </c>
      <c r="C3580" s="2031">
        <v>429.0</v>
      </c>
      <c r="D3580" s="2031">
        <v>859.0</v>
      </c>
      <c r="E3580" s="2031">
        <v>572.0</v>
      </c>
      <c r="F3580" s="2031">
        <v>572.0</v>
      </c>
      <c r="G3580" s="2031">
        <v>573.0</v>
      </c>
      <c r="H3580" s="2031">
        <v>573.0</v>
      </c>
    </row>
    <row r="3581">
      <c r="B3581" s="2031">
        <v>3579.0</v>
      </c>
      <c r="C3581" s="2031">
        <v>430.0</v>
      </c>
      <c r="D3581" s="2031">
        <v>859.0</v>
      </c>
      <c r="E3581" s="2031">
        <v>572.0</v>
      </c>
      <c r="F3581" s="2031">
        <v>572.0</v>
      </c>
      <c r="G3581" s="2031">
        <v>573.0</v>
      </c>
      <c r="H3581" s="2031">
        <v>573.0</v>
      </c>
    </row>
    <row r="3582">
      <c r="B3582" s="2031">
        <v>3580.0</v>
      </c>
      <c r="C3582" s="2031">
        <v>429.0</v>
      </c>
      <c r="D3582" s="2031">
        <v>859.0</v>
      </c>
      <c r="E3582" s="2031">
        <v>573.0</v>
      </c>
      <c r="F3582" s="2031">
        <v>573.0</v>
      </c>
      <c r="G3582" s="2031">
        <v>573.0</v>
      </c>
      <c r="H3582" s="2031">
        <v>573.0</v>
      </c>
    </row>
    <row r="3583">
      <c r="B3583" s="2031">
        <v>3581.0</v>
      </c>
      <c r="C3583" s="2031">
        <v>430.0</v>
      </c>
      <c r="D3583" s="2031">
        <v>859.0</v>
      </c>
      <c r="E3583" s="2031">
        <v>573.0</v>
      </c>
      <c r="F3583" s="2031">
        <v>573.0</v>
      </c>
      <c r="G3583" s="2031">
        <v>573.0</v>
      </c>
      <c r="H3583" s="2031">
        <v>573.0</v>
      </c>
    </row>
    <row r="3584">
      <c r="B3584" s="2031">
        <v>3582.0</v>
      </c>
      <c r="C3584" s="2031">
        <v>430.0</v>
      </c>
      <c r="D3584" s="2031">
        <v>860.0</v>
      </c>
      <c r="E3584" s="2031">
        <v>573.0</v>
      </c>
      <c r="F3584" s="2031">
        <v>573.0</v>
      </c>
      <c r="G3584" s="2031">
        <v>573.0</v>
      </c>
      <c r="H3584" s="2031">
        <v>573.0</v>
      </c>
    </row>
    <row r="3585">
      <c r="B3585" s="2031">
        <v>3583.0</v>
      </c>
      <c r="C3585" s="2031">
        <v>430.0</v>
      </c>
      <c r="D3585" s="2031">
        <v>859.0</v>
      </c>
      <c r="E3585" s="2031">
        <v>573.0</v>
      </c>
      <c r="F3585" s="2031">
        <v>573.0</v>
      </c>
      <c r="G3585" s="2031">
        <v>574.0</v>
      </c>
      <c r="H3585" s="2031">
        <v>574.0</v>
      </c>
    </row>
    <row r="3586">
      <c r="B3586" s="2031">
        <v>3584.0</v>
      </c>
      <c r="C3586" s="2031">
        <v>430.0</v>
      </c>
      <c r="D3586" s="2031">
        <v>860.0</v>
      </c>
      <c r="E3586" s="2031">
        <v>573.0</v>
      </c>
      <c r="F3586" s="2031">
        <v>573.0</v>
      </c>
      <c r="G3586" s="2031">
        <v>574.0</v>
      </c>
      <c r="H3586" s="2031">
        <v>574.0</v>
      </c>
    </row>
    <row r="3587">
      <c r="B3587" s="2031">
        <v>3585.0</v>
      </c>
      <c r="C3587" s="2031">
        <v>430.0</v>
      </c>
      <c r="D3587" s="2031">
        <v>861.0</v>
      </c>
      <c r="E3587" s="2031">
        <v>573.0</v>
      </c>
      <c r="F3587" s="2031">
        <v>573.0</v>
      </c>
      <c r="G3587" s="2031">
        <v>574.0</v>
      </c>
      <c r="H3587" s="2031">
        <v>574.0</v>
      </c>
    </row>
    <row r="3588">
      <c r="B3588" s="2031">
        <v>3586.0</v>
      </c>
      <c r="C3588" s="2031">
        <v>430.0</v>
      </c>
      <c r="D3588" s="2031">
        <v>860.0</v>
      </c>
      <c r="E3588" s="2031">
        <v>574.0</v>
      </c>
      <c r="F3588" s="2031">
        <v>574.0</v>
      </c>
      <c r="G3588" s="2031">
        <v>574.0</v>
      </c>
      <c r="H3588" s="2031">
        <v>574.0</v>
      </c>
    </row>
    <row r="3589">
      <c r="B3589" s="2031">
        <v>3587.0</v>
      </c>
      <c r="C3589" s="2031">
        <v>430.0</v>
      </c>
      <c r="D3589" s="2031">
        <v>861.0</v>
      </c>
      <c r="E3589" s="2031">
        <v>574.0</v>
      </c>
      <c r="F3589" s="2031">
        <v>574.0</v>
      </c>
      <c r="G3589" s="2031">
        <v>574.0</v>
      </c>
      <c r="H3589" s="2031">
        <v>574.0</v>
      </c>
    </row>
    <row r="3590">
      <c r="B3590" s="2031">
        <v>3588.0</v>
      </c>
      <c r="C3590" s="2031">
        <v>431.0</v>
      </c>
      <c r="D3590" s="2031">
        <v>861.0</v>
      </c>
      <c r="E3590" s="2031">
        <v>574.0</v>
      </c>
      <c r="F3590" s="2031">
        <v>574.0</v>
      </c>
      <c r="G3590" s="2031">
        <v>574.0</v>
      </c>
      <c r="H3590" s="2031">
        <v>574.0</v>
      </c>
    </row>
    <row r="3591">
      <c r="B3591" s="2031">
        <v>3589.0</v>
      </c>
      <c r="C3591" s="2031">
        <v>431.0</v>
      </c>
      <c r="D3591" s="2031">
        <v>862.0</v>
      </c>
      <c r="E3591" s="2031">
        <v>574.0</v>
      </c>
      <c r="F3591" s="2031">
        <v>574.0</v>
      </c>
      <c r="G3591" s="2031">
        <v>574.0</v>
      </c>
      <c r="H3591" s="2031">
        <v>574.0</v>
      </c>
    </row>
    <row r="3592">
      <c r="B3592" s="2031">
        <v>3590.0</v>
      </c>
      <c r="C3592" s="2031">
        <v>431.0</v>
      </c>
      <c r="D3592" s="2031">
        <v>861.0</v>
      </c>
      <c r="E3592" s="2031">
        <v>574.0</v>
      </c>
      <c r="F3592" s="2031">
        <v>574.0</v>
      </c>
      <c r="G3592" s="2031">
        <v>575.0</v>
      </c>
      <c r="H3592" s="2031">
        <v>575.0</v>
      </c>
    </row>
    <row r="3593">
      <c r="B3593" s="2031">
        <v>3591.0</v>
      </c>
      <c r="C3593" s="2031">
        <v>431.0</v>
      </c>
      <c r="D3593" s="2031">
        <v>862.0</v>
      </c>
      <c r="E3593" s="2031">
        <v>574.0</v>
      </c>
      <c r="F3593" s="2031">
        <v>574.0</v>
      </c>
      <c r="G3593" s="2031">
        <v>575.0</v>
      </c>
      <c r="H3593" s="2031">
        <v>575.0</v>
      </c>
    </row>
    <row r="3594">
      <c r="B3594" s="2031">
        <v>3592.0</v>
      </c>
      <c r="C3594" s="2031">
        <v>431.0</v>
      </c>
      <c r="D3594" s="2031">
        <v>863.0</v>
      </c>
      <c r="E3594" s="2031">
        <v>574.0</v>
      </c>
      <c r="F3594" s="2031">
        <v>574.0</v>
      </c>
      <c r="G3594" s="2031">
        <v>575.0</v>
      </c>
      <c r="H3594" s="2031">
        <v>575.0</v>
      </c>
    </row>
    <row r="3595">
      <c r="B3595" s="2031">
        <v>3593.0</v>
      </c>
      <c r="C3595" s="2031">
        <v>431.0</v>
      </c>
      <c r="D3595" s="2031">
        <v>862.0</v>
      </c>
      <c r="E3595" s="2031">
        <v>575.0</v>
      </c>
      <c r="F3595" s="2031">
        <v>575.0</v>
      </c>
      <c r="G3595" s="2031">
        <v>575.0</v>
      </c>
      <c r="H3595" s="2031">
        <v>575.0</v>
      </c>
    </row>
    <row r="3596">
      <c r="B3596" s="2031">
        <v>3594.0</v>
      </c>
      <c r="C3596" s="2031">
        <v>431.0</v>
      </c>
      <c r="D3596" s="2031">
        <v>863.0</v>
      </c>
      <c r="E3596" s="2031">
        <v>575.0</v>
      </c>
      <c r="F3596" s="2031">
        <v>575.0</v>
      </c>
      <c r="G3596" s="2031">
        <v>575.0</v>
      </c>
      <c r="H3596" s="2031">
        <v>575.0</v>
      </c>
    </row>
    <row r="3597">
      <c r="B3597" s="2031">
        <v>3595.0</v>
      </c>
      <c r="C3597" s="2031">
        <v>432.0</v>
      </c>
      <c r="D3597" s="2031">
        <v>863.0</v>
      </c>
      <c r="E3597" s="2031">
        <v>575.0</v>
      </c>
      <c r="F3597" s="2031">
        <v>575.0</v>
      </c>
      <c r="G3597" s="2031">
        <v>575.0</v>
      </c>
      <c r="H3597" s="2031">
        <v>575.0</v>
      </c>
    </row>
    <row r="3598">
      <c r="B3598" s="2031">
        <v>3596.0</v>
      </c>
      <c r="C3598" s="2031">
        <v>431.0</v>
      </c>
      <c r="D3598" s="2031">
        <v>863.0</v>
      </c>
      <c r="E3598" s="2031">
        <v>575.0</v>
      </c>
      <c r="F3598" s="2031">
        <v>575.0</v>
      </c>
      <c r="G3598" s="2031">
        <v>576.0</v>
      </c>
      <c r="H3598" s="2031">
        <v>576.0</v>
      </c>
    </row>
    <row r="3599">
      <c r="B3599" s="2031">
        <v>3597.0</v>
      </c>
      <c r="C3599" s="2031">
        <v>432.0</v>
      </c>
      <c r="D3599" s="2031">
        <v>863.0</v>
      </c>
      <c r="E3599" s="2031">
        <v>575.0</v>
      </c>
      <c r="F3599" s="2031">
        <v>575.0</v>
      </c>
      <c r="G3599" s="2031">
        <v>576.0</v>
      </c>
      <c r="H3599" s="2031">
        <v>576.0</v>
      </c>
    </row>
    <row r="3600">
      <c r="B3600" s="2031">
        <v>3598.0</v>
      </c>
      <c r="C3600" s="2031">
        <v>431.0</v>
      </c>
      <c r="D3600" s="2031">
        <v>863.0</v>
      </c>
      <c r="E3600" s="2031">
        <v>576.0</v>
      </c>
      <c r="F3600" s="2031">
        <v>576.0</v>
      </c>
      <c r="G3600" s="2031">
        <v>576.0</v>
      </c>
      <c r="H3600" s="2031">
        <v>576.0</v>
      </c>
    </row>
    <row r="3601">
      <c r="B3601" s="2031">
        <v>3599.0</v>
      </c>
      <c r="C3601" s="2031">
        <v>432.0</v>
      </c>
      <c r="D3601" s="2031">
        <v>863.0</v>
      </c>
      <c r="E3601" s="2031">
        <v>576.0</v>
      </c>
      <c r="F3601" s="2031">
        <v>576.0</v>
      </c>
      <c r="G3601" s="2031">
        <v>576.0</v>
      </c>
      <c r="H3601" s="2031">
        <v>576.0</v>
      </c>
    </row>
    <row r="3602">
      <c r="B3602" s="2031">
        <v>3600.0</v>
      </c>
      <c r="C3602" s="2031">
        <v>432.0</v>
      </c>
      <c r="D3602" s="2031">
        <v>864.0</v>
      </c>
      <c r="E3602" s="2031">
        <v>576.0</v>
      </c>
      <c r="F3602" s="2031">
        <v>576.0</v>
      </c>
      <c r="G3602" s="2031">
        <v>576.0</v>
      </c>
      <c r="H3602" s="2031">
        <v>576.0</v>
      </c>
    </row>
    <row r="3603">
      <c r="B3603" s="2031">
        <v>3601.0</v>
      </c>
      <c r="C3603" s="2031">
        <v>432.0</v>
      </c>
      <c r="D3603" s="2031">
        <v>865.0</v>
      </c>
      <c r="E3603" s="2031">
        <v>576.0</v>
      </c>
      <c r="F3603" s="2031">
        <v>576.0</v>
      </c>
      <c r="G3603" s="2031">
        <v>576.0</v>
      </c>
      <c r="H3603" s="2031">
        <v>576.0</v>
      </c>
    </row>
    <row r="3604">
      <c r="B3604" s="2031">
        <v>3602.0</v>
      </c>
      <c r="C3604" s="2031">
        <v>433.0</v>
      </c>
      <c r="D3604" s="2031">
        <v>865.0</v>
      </c>
      <c r="E3604" s="2031">
        <v>576.0</v>
      </c>
      <c r="F3604" s="2031">
        <v>576.0</v>
      </c>
      <c r="G3604" s="2031">
        <v>576.0</v>
      </c>
      <c r="H3604" s="2031">
        <v>576.0</v>
      </c>
    </row>
    <row r="3605">
      <c r="B3605" s="2031">
        <v>3603.0</v>
      </c>
      <c r="C3605" s="2031">
        <v>432.0</v>
      </c>
      <c r="D3605" s="2031">
        <v>865.0</v>
      </c>
      <c r="E3605" s="2031">
        <v>576.0</v>
      </c>
      <c r="F3605" s="2031">
        <v>576.0</v>
      </c>
      <c r="G3605" s="2031">
        <v>577.0</v>
      </c>
      <c r="H3605" s="2031">
        <v>577.0</v>
      </c>
    </row>
    <row r="3606">
      <c r="B3606" s="2031">
        <v>3604.0</v>
      </c>
      <c r="C3606" s="2031">
        <v>433.0</v>
      </c>
      <c r="D3606" s="2031">
        <v>865.0</v>
      </c>
      <c r="E3606" s="2031">
        <v>576.0</v>
      </c>
      <c r="F3606" s="2031">
        <v>576.0</v>
      </c>
      <c r="G3606" s="2031">
        <v>577.0</v>
      </c>
      <c r="H3606" s="2031">
        <v>577.0</v>
      </c>
    </row>
    <row r="3607">
      <c r="B3607" s="2031">
        <v>3605.0</v>
      </c>
      <c r="C3607" s="2031">
        <v>432.0</v>
      </c>
      <c r="D3607" s="2031">
        <v>865.0</v>
      </c>
      <c r="E3607" s="2031">
        <v>577.0</v>
      </c>
      <c r="F3607" s="2031">
        <v>577.0</v>
      </c>
      <c r="G3607" s="2031">
        <v>577.0</v>
      </c>
      <c r="H3607" s="2031">
        <v>577.0</v>
      </c>
    </row>
    <row r="3608">
      <c r="B3608" s="2031">
        <v>3606.0</v>
      </c>
      <c r="C3608" s="2031">
        <v>433.0</v>
      </c>
      <c r="D3608" s="2031">
        <v>865.0</v>
      </c>
      <c r="E3608" s="2031">
        <v>577.0</v>
      </c>
      <c r="F3608" s="2031">
        <v>577.0</v>
      </c>
      <c r="G3608" s="2031">
        <v>577.0</v>
      </c>
      <c r="H3608" s="2031">
        <v>577.0</v>
      </c>
    </row>
    <row r="3609">
      <c r="B3609" s="2031">
        <v>3607.0</v>
      </c>
      <c r="C3609" s="2031">
        <v>433.0</v>
      </c>
      <c r="D3609" s="2031">
        <v>866.0</v>
      </c>
      <c r="E3609" s="2031">
        <v>577.0</v>
      </c>
      <c r="F3609" s="2031">
        <v>577.0</v>
      </c>
      <c r="G3609" s="2031">
        <v>577.0</v>
      </c>
      <c r="H3609" s="2031">
        <v>577.0</v>
      </c>
    </row>
    <row r="3610">
      <c r="B3610" s="2031">
        <v>3608.0</v>
      </c>
      <c r="C3610" s="2031">
        <v>433.0</v>
      </c>
      <c r="D3610" s="2031">
        <v>865.0</v>
      </c>
      <c r="E3610" s="2031">
        <v>577.0</v>
      </c>
      <c r="F3610" s="2031">
        <v>577.0</v>
      </c>
      <c r="G3610" s="2031">
        <v>578.0</v>
      </c>
      <c r="H3610" s="2031">
        <v>578.0</v>
      </c>
    </row>
    <row r="3611">
      <c r="B3611" s="2031">
        <v>3609.0</v>
      </c>
      <c r="C3611" s="2031">
        <v>433.0</v>
      </c>
      <c r="D3611" s="2031">
        <v>866.0</v>
      </c>
      <c r="E3611" s="2031">
        <v>577.0</v>
      </c>
      <c r="F3611" s="2031">
        <v>577.0</v>
      </c>
      <c r="G3611" s="2031">
        <v>578.0</v>
      </c>
      <c r="H3611" s="2031">
        <v>578.0</v>
      </c>
    </row>
    <row r="3612">
      <c r="B3612" s="2031">
        <v>3610.0</v>
      </c>
      <c r="C3612" s="2031">
        <v>433.0</v>
      </c>
      <c r="D3612" s="2031">
        <v>867.0</v>
      </c>
      <c r="E3612" s="2031">
        <v>577.0</v>
      </c>
      <c r="F3612" s="2031">
        <v>577.0</v>
      </c>
      <c r="G3612" s="2031">
        <v>578.0</v>
      </c>
      <c r="H3612" s="2031">
        <v>578.0</v>
      </c>
    </row>
    <row r="3613">
      <c r="B3613" s="2031">
        <v>3611.0</v>
      </c>
      <c r="C3613" s="2031">
        <v>433.0</v>
      </c>
      <c r="D3613" s="2031">
        <v>866.0</v>
      </c>
      <c r="E3613" s="2031">
        <v>578.0</v>
      </c>
      <c r="F3613" s="2031">
        <v>578.0</v>
      </c>
      <c r="G3613" s="2031">
        <v>578.0</v>
      </c>
      <c r="H3613" s="2031">
        <v>578.0</v>
      </c>
    </row>
    <row r="3614">
      <c r="B3614" s="2031">
        <v>3612.0</v>
      </c>
      <c r="C3614" s="2031">
        <v>433.0</v>
      </c>
      <c r="D3614" s="2031">
        <v>867.0</v>
      </c>
      <c r="E3614" s="2031">
        <v>578.0</v>
      </c>
      <c r="F3614" s="2031">
        <v>578.0</v>
      </c>
      <c r="G3614" s="2031">
        <v>578.0</v>
      </c>
      <c r="H3614" s="2031">
        <v>578.0</v>
      </c>
    </row>
    <row r="3615">
      <c r="B3615" s="2031">
        <v>3613.0</v>
      </c>
      <c r="C3615" s="2031">
        <v>434.0</v>
      </c>
      <c r="D3615" s="2031">
        <v>867.0</v>
      </c>
      <c r="E3615" s="2031">
        <v>578.0</v>
      </c>
      <c r="F3615" s="2031">
        <v>578.0</v>
      </c>
      <c r="G3615" s="2031">
        <v>578.0</v>
      </c>
      <c r="H3615" s="2031">
        <v>578.0</v>
      </c>
    </row>
    <row r="3616">
      <c r="B3616" s="2031">
        <v>3614.0</v>
      </c>
      <c r="C3616" s="2031">
        <v>434.0</v>
      </c>
      <c r="D3616" s="2031">
        <v>868.0</v>
      </c>
      <c r="E3616" s="2031">
        <v>578.0</v>
      </c>
      <c r="F3616" s="2031">
        <v>578.0</v>
      </c>
      <c r="G3616" s="2031">
        <v>578.0</v>
      </c>
      <c r="H3616" s="2031">
        <v>578.0</v>
      </c>
    </row>
    <row r="3617">
      <c r="B3617" s="2031">
        <v>3615.0</v>
      </c>
      <c r="C3617" s="2031">
        <v>434.0</v>
      </c>
      <c r="D3617" s="2031">
        <v>867.0</v>
      </c>
      <c r="E3617" s="2031">
        <v>578.0</v>
      </c>
      <c r="F3617" s="2031">
        <v>578.0</v>
      </c>
      <c r="G3617" s="2031">
        <v>579.0</v>
      </c>
      <c r="H3617" s="2031">
        <v>579.0</v>
      </c>
    </row>
    <row r="3618">
      <c r="B3618" s="2031">
        <v>3616.0</v>
      </c>
      <c r="C3618" s="2031">
        <v>434.0</v>
      </c>
      <c r="D3618" s="2031">
        <v>868.0</v>
      </c>
      <c r="E3618" s="2031">
        <v>578.0</v>
      </c>
      <c r="F3618" s="2031">
        <v>578.0</v>
      </c>
      <c r="G3618" s="2031">
        <v>579.0</v>
      </c>
      <c r="H3618" s="2031">
        <v>579.0</v>
      </c>
    </row>
    <row r="3619">
      <c r="B3619" s="2031">
        <v>3617.0</v>
      </c>
      <c r="C3619" s="2031">
        <v>434.0</v>
      </c>
      <c r="D3619" s="2031">
        <v>869.0</v>
      </c>
      <c r="E3619" s="2031">
        <v>578.0</v>
      </c>
      <c r="F3619" s="2031">
        <v>578.0</v>
      </c>
      <c r="G3619" s="2031">
        <v>579.0</v>
      </c>
      <c r="H3619" s="2031">
        <v>579.0</v>
      </c>
    </row>
    <row r="3620">
      <c r="B3620" s="2031">
        <v>3618.0</v>
      </c>
      <c r="C3620" s="2031">
        <v>434.0</v>
      </c>
      <c r="D3620" s="2031">
        <v>868.0</v>
      </c>
      <c r="E3620" s="2031">
        <v>579.0</v>
      </c>
      <c r="F3620" s="2031">
        <v>579.0</v>
      </c>
      <c r="G3620" s="2031">
        <v>579.0</v>
      </c>
      <c r="H3620" s="2031">
        <v>579.0</v>
      </c>
    </row>
    <row r="3621">
      <c r="B3621" s="2031">
        <v>3619.0</v>
      </c>
      <c r="C3621" s="2031">
        <v>434.0</v>
      </c>
      <c r="D3621" s="2031">
        <v>869.0</v>
      </c>
      <c r="E3621" s="2031">
        <v>579.0</v>
      </c>
      <c r="F3621" s="2031">
        <v>579.0</v>
      </c>
      <c r="G3621" s="2031">
        <v>579.0</v>
      </c>
      <c r="H3621" s="2031">
        <v>579.0</v>
      </c>
    </row>
    <row r="3622">
      <c r="B3622" s="2031">
        <v>3620.0</v>
      </c>
      <c r="C3622" s="2031">
        <v>435.0</v>
      </c>
      <c r="D3622" s="2031">
        <v>869.0</v>
      </c>
      <c r="E3622" s="2031">
        <v>579.0</v>
      </c>
      <c r="F3622" s="2031">
        <v>579.0</v>
      </c>
      <c r="G3622" s="2031">
        <v>579.0</v>
      </c>
      <c r="H3622" s="2031">
        <v>579.0</v>
      </c>
    </row>
    <row r="3623">
      <c r="B3623" s="2031">
        <v>3621.0</v>
      </c>
      <c r="C3623" s="2031">
        <v>434.0</v>
      </c>
      <c r="D3623" s="2031">
        <v>869.0</v>
      </c>
      <c r="E3623" s="2031">
        <v>579.0</v>
      </c>
      <c r="F3623" s="2031">
        <v>579.0</v>
      </c>
      <c r="G3623" s="2031">
        <v>580.0</v>
      </c>
      <c r="H3623" s="2031">
        <v>580.0</v>
      </c>
    </row>
    <row r="3624">
      <c r="B3624" s="2031">
        <v>3622.0</v>
      </c>
      <c r="C3624" s="2031">
        <v>435.0</v>
      </c>
      <c r="D3624" s="2031">
        <v>869.0</v>
      </c>
      <c r="E3624" s="2031">
        <v>579.0</v>
      </c>
      <c r="F3624" s="2031">
        <v>579.0</v>
      </c>
      <c r="G3624" s="2031">
        <v>580.0</v>
      </c>
      <c r="H3624" s="2031">
        <v>580.0</v>
      </c>
    </row>
    <row r="3625">
      <c r="B3625" s="2031">
        <v>3623.0</v>
      </c>
      <c r="C3625" s="2031">
        <v>434.0</v>
      </c>
      <c r="D3625" s="2031">
        <v>869.0</v>
      </c>
      <c r="E3625" s="2031">
        <v>580.0</v>
      </c>
      <c r="F3625" s="2031">
        <v>580.0</v>
      </c>
      <c r="G3625" s="2031">
        <v>580.0</v>
      </c>
      <c r="H3625" s="2031">
        <v>580.0</v>
      </c>
    </row>
    <row r="3626">
      <c r="B3626" s="2031">
        <v>3624.0</v>
      </c>
      <c r="C3626" s="2031">
        <v>435.0</v>
      </c>
      <c r="D3626" s="2031">
        <v>869.0</v>
      </c>
      <c r="E3626" s="2031">
        <v>580.0</v>
      </c>
      <c r="F3626" s="2031">
        <v>580.0</v>
      </c>
      <c r="G3626" s="2031">
        <v>580.0</v>
      </c>
      <c r="H3626" s="2031">
        <v>580.0</v>
      </c>
    </row>
    <row r="3627">
      <c r="B3627" s="2031">
        <v>3625.0</v>
      </c>
      <c r="C3627" s="2031">
        <v>435.0</v>
      </c>
      <c r="D3627" s="2031">
        <v>870.0</v>
      </c>
      <c r="E3627" s="2031">
        <v>580.0</v>
      </c>
      <c r="F3627" s="2031">
        <v>580.0</v>
      </c>
      <c r="G3627" s="2031">
        <v>580.0</v>
      </c>
      <c r="H3627" s="2031">
        <v>580.0</v>
      </c>
    </row>
    <row r="3628">
      <c r="B3628" s="2031">
        <v>3626.0</v>
      </c>
      <c r="C3628" s="2031">
        <v>435.0</v>
      </c>
      <c r="D3628" s="2031">
        <v>871.0</v>
      </c>
      <c r="E3628" s="2031">
        <v>580.0</v>
      </c>
      <c r="F3628" s="2031">
        <v>580.0</v>
      </c>
      <c r="G3628" s="2031">
        <v>580.0</v>
      </c>
      <c r="H3628" s="2031">
        <v>580.0</v>
      </c>
    </row>
    <row r="3629">
      <c r="B3629" s="2031">
        <v>3627.0</v>
      </c>
      <c r="C3629" s="2031">
        <v>436.0</v>
      </c>
      <c r="D3629" s="2031">
        <v>871.0</v>
      </c>
      <c r="E3629" s="2031">
        <v>580.0</v>
      </c>
      <c r="F3629" s="2031">
        <v>580.0</v>
      </c>
      <c r="G3629" s="2031">
        <v>580.0</v>
      </c>
      <c r="H3629" s="2031">
        <v>580.0</v>
      </c>
    </row>
    <row r="3630">
      <c r="B3630" s="2031">
        <v>3628.0</v>
      </c>
      <c r="C3630" s="2031">
        <v>435.0</v>
      </c>
      <c r="D3630" s="2031">
        <v>871.0</v>
      </c>
      <c r="E3630" s="2031">
        <v>580.0</v>
      </c>
      <c r="F3630" s="2031">
        <v>580.0</v>
      </c>
      <c r="G3630" s="2031">
        <v>581.0</v>
      </c>
      <c r="H3630" s="2031">
        <v>581.0</v>
      </c>
    </row>
    <row r="3631">
      <c r="B3631" s="2031">
        <v>3629.0</v>
      </c>
      <c r="C3631" s="2031">
        <v>436.0</v>
      </c>
      <c r="D3631" s="2031">
        <v>871.0</v>
      </c>
      <c r="E3631" s="2031">
        <v>580.0</v>
      </c>
      <c r="F3631" s="2031">
        <v>580.0</v>
      </c>
      <c r="G3631" s="2031">
        <v>581.0</v>
      </c>
      <c r="H3631" s="2031">
        <v>581.0</v>
      </c>
    </row>
    <row r="3632">
      <c r="B3632" s="2031">
        <v>3630.0</v>
      </c>
      <c r="C3632" s="2031">
        <v>435.0</v>
      </c>
      <c r="D3632" s="2031">
        <v>871.0</v>
      </c>
      <c r="E3632" s="2031">
        <v>581.0</v>
      </c>
      <c r="F3632" s="2031">
        <v>581.0</v>
      </c>
      <c r="G3632" s="2031">
        <v>581.0</v>
      </c>
      <c r="H3632" s="2031">
        <v>581.0</v>
      </c>
    </row>
    <row r="3633">
      <c r="B3633" s="2031">
        <v>3631.0</v>
      </c>
      <c r="C3633" s="2031">
        <v>436.0</v>
      </c>
      <c r="D3633" s="2031">
        <v>871.0</v>
      </c>
      <c r="E3633" s="2031">
        <v>581.0</v>
      </c>
      <c r="F3633" s="2031">
        <v>581.0</v>
      </c>
      <c r="G3633" s="2031">
        <v>581.0</v>
      </c>
      <c r="H3633" s="2031">
        <v>581.0</v>
      </c>
    </row>
    <row r="3634">
      <c r="B3634" s="2031">
        <v>3632.0</v>
      </c>
      <c r="C3634" s="2031">
        <v>436.0</v>
      </c>
      <c r="D3634" s="2031">
        <v>872.0</v>
      </c>
      <c r="E3634" s="2031">
        <v>581.0</v>
      </c>
      <c r="F3634" s="2031">
        <v>581.0</v>
      </c>
      <c r="G3634" s="2031">
        <v>581.0</v>
      </c>
      <c r="H3634" s="2031">
        <v>581.0</v>
      </c>
    </row>
    <row r="3635">
      <c r="B3635" s="2031">
        <v>3633.0</v>
      </c>
      <c r="C3635" s="2031">
        <v>436.0</v>
      </c>
      <c r="D3635" s="2031">
        <v>871.0</v>
      </c>
      <c r="E3635" s="2031">
        <v>581.0</v>
      </c>
      <c r="F3635" s="2031">
        <v>581.0</v>
      </c>
      <c r="G3635" s="2031">
        <v>582.0</v>
      </c>
      <c r="H3635" s="2031">
        <v>582.0</v>
      </c>
    </row>
    <row r="3636">
      <c r="B3636" s="2031">
        <v>3634.0</v>
      </c>
      <c r="C3636" s="2031">
        <v>436.0</v>
      </c>
      <c r="D3636" s="2031">
        <v>872.0</v>
      </c>
      <c r="E3636" s="2031">
        <v>581.0</v>
      </c>
      <c r="F3636" s="2031">
        <v>581.0</v>
      </c>
      <c r="G3636" s="2031">
        <v>582.0</v>
      </c>
      <c r="H3636" s="2031">
        <v>582.0</v>
      </c>
    </row>
    <row r="3637">
      <c r="B3637" s="2031">
        <v>3635.0</v>
      </c>
      <c r="C3637" s="2031">
        <v>436.0</v>
      </c>
      <c r="D3637" s="2031">
        <v>873.0</v>
      </c>
      <c r="E3637" s="2031">
        <v>581.0</v>
      </c>
      <c r="F3637" s="2031">
        <v>581.0</v>
      </c>
      <c r="G3637" s="2031">
        <v>582.0</v>
      </c>
      <c r="H3637" s="2031">
        <v>582.0</v>
      </c>
    </row>
    <row r="3638">
      <c r="B3638" s="2031">
        <v>3636.0</v>
      </c>
      <c r="C3638" s="2031">
        <v>436.0</v>
      </c>
      <c r="D3638" s="2031">
        <v>872.0</v>
      </c>
      <c r="E3638" s="2031">
        <v>582.0</v>
      </c>
      <c r="F3638" s="2031">
        <v>582.0</v>
      </c>
      <c r="G3638" s="2031">
        <v>582.0</v>
      </c>
      <c r="H3638" s="2031">
        <v>582.0</v>
      </c>
    </row>
    <row r="3639">
      <c r="B3639" s="2031">
        <v>3637.0</v>
      </c>
      <c r="C3639" s="2031">
        <v>436.0</v>
      </c>
      <c r="D3639" s="2031">
        <v>873.0</v>
      </c>
      <c r="E3639" s="2031">
        <v>582.0</v>
      </c>
      <c r="F3639" s="2031">
        <v>582.0</v>
      </c>
      <c r="G3639" s="2031">
        <v>582.0</v>
      </c>
      <c r="H3639" s="2031">
        <v>582.0</v>
      </c>
    </row>
    <row r="3640">
      <c r="B3640" s="2031">
        <v>3638.0</v>
      </c>
      <c r="C3640" s="2031">
        <v>437.0</v>
      </c>
      <c r="D3640" s="2031">
        <v>873.0</v>
      </c>
      <c r="E3640" s="2031">
        <v>582.0</v>
      </c>
      <c r="F3640" s="2031">
        <v>582.0</v>
      </c>
      <c r="G3640" s="2031">
        <v>582.0</v>
      </c>
      <c r="H3640" s="2031">
        <v>582.0</v>
      </c>
    </row>
    <row r="3641">
      <c r="B3641" s="2031">
        <v>3639.0</v>
      </c>
      <c r="C3641" s="2031">
        <v>437.0</v>
      </c>
      <c r="D3641" s="2031">
        <v>874.0</v>
      </c>
      <c r="E3641" s="2031">
        <v>582.0</v>
      </c>
      <c r="F3641" s="2031">
        <v>582.0</v>
      </c>
      <c r="G3641" s="2031">
        <v>582.0</v>
      </c>
      <c r="H3641" s="2031">
        <v>582.0</v>
      </c>
    </row>
    <row r="3642">
      <c r="B3642" s="2031">
        <v>3640.0</v>
      </c>
      <c r="C3642" s="2031">
        <v>437.0</v>
      </c>
      <c r="D3642" s="2031">
        <v>873.0</v>
      </c>
      <c r="E3642" s="2031">
        <v>582.0</v>
      </c>
      <c r="F3642" s="2031">
        <v>582.0</v>
      </c>
      <c r="G3642" s="2031">
        <v>583.0</v>
      </c>
      <c r="H3642" s="2031">
        <v>583.0</v>
      </c>
    </row>
    <row r="3643">
      <c r="B3643" s="2031">
        <v>3641.0</v>
      </c>
      <c r="C3643" s="2031">
        <v>437.0</v>
      </c>
      <c r="D3643" s="2031">
        <v>874.0</v>
      </c>
      <c r="E3643" s="2031">
        <v>582.0</v>
      </c>
      <c r="F3643" s="2031">
        <v>582.0</v>
      </c>
      <c r="G3643" s="2031">
        <v>583.0</v>
      </c>
      <c r="H3643" s="2031">
        <v>583.0</v>
      </c>
    </row>
    <row r="3644">
      <c r="B3644" s="2031">
        <v>3642.0</v>
      </c>
      <c r="C3644" s="2031">
        <v>437.0</v>
      </c>
      <c r="D3644" s="2031">
        <v>875.0</v>
      </c>
      <c r="E3644" s="2031">
        <v>582.0</v>
      </c>
      <c r="F3644" s="2031">
        <v>582.0</v>
      </c>
      <c r="G3644" s="2031">
        <v>583.0</v>
      </c>
      <c r="H3644" s="2031">
        <v>583.0</v>
      </c>
    </row>
    <row r="3645">
      <c r="B3645" s="2031">
        <v>3643.0</v>
      </c>
      <c r="C3645" s="2031">
        <v>437.0</v>
      </c>
      <c r="D3645" s="2031">
        <v>874.0</v>
      </c>
      <c r="E3645" s="2031">
        <v>583.0</v>
      </c>
      <c r="F3645" s="2031">
        <v>583.0</v>
      </c>
      <c r="G3645" s="2031">
        <v>583.0</v>
      </c>
      <c r="H3645" s="2031">
        <v>583.0</v>
      </c>
    </row>
    <row r="3646">
      <c r="B3646" s="2031">
        <v>3644.0</v>
      </c>
      <c r="C3646" s="2031">
        <v>437.0</v>
      </c>
      <c r="D3646" s="2031">
        <v>875.0</v>
      </c>
      <c r="E3646" s="2031">
        <v>583.0</v>
      </c>
      <c r="F3646" s="2031">
        <v>583.0</v>
      </c>
      <c r="G3646" s="2031">
        <v>583.0</v>
      </c>
      <c r="H3646" s="2031">
        <v>583.0</v>
      </c>
    </row>
    <row r="3647">
      <c r="B3647" s="2031">
        <v>3645.0</v>
      </c>
      <c r="C3647" s="2031">
        <v>438.0</v>
      </c>
      <c r="D3647" s="2031">
        <v>875.0</v>
      </c>
      <c r="E3647" s="2031">
        <v>583.0</v>
      </c>
      <c r="F3647" s="2031">
        <v>583.0</v>
      </c>
      <c r="G3647" s="2031">
        <v>583.0</v>
      </c>
      <c r="H3647" s="2031">
        <v>583.0</v>
      </c>
    </row>
    <row r="3648">
      <c r="B3648" s="2031">
        <v>3646.0</v>
      </c>
      <c r="C3648" s="2031">
        <v>437.0</v>
      </c>
      <c r="D3648" s="2031">
        <v>875.0</v>
      </c>
      <c r="E3648" s="2031">
        <v>583.0</v>
      </c>
      <c r="F3648" s="2031">
        <v>583.0</v>
      </c>
      <c r="G3648" s="2031">
        <v>584.0</v>
      </c>
      <c r="H3648" s="2031">
        <v>584.0</v>
      </c>
    </row>
    <row r="3649">
      <c r="B3649" s="2031">
        <v>3647.0</v>
      </c>
      <c r="C3649" s="2031">
        <v>438.0</v>
      </c>
      <c r="D3649" s="2031">
        <v>875.0</v>
      </c>
      <c r="E3649" s="2031">
        <v>583.0</v>
      </c>
      <c r="F3649" s="2031">
        <v>583.0</v>
      </c>
      <c r="G3649" s="2031">
        <v>584.0</v>
      </c>
      <c r="H3649" s="2031">
        <v>584.0</v>
      </c>
    </row>
    <row r="3650">
      <c r="B3650" s="2031">
        <v>3648.0</v>
      </c>
      <c r="C3650" s="2031">
        <v>437.0</v>
      </c>
      <c r="D3650" s="2031">
        <v>875.0</v>
      </c>
      <c r="E3650" s="2031">
        <v>584.0</v>
      </c>
      <c r="F3650" s="2031">
        <v>584.0</v>
      </c>
      <c r="G3650" s="2031">
        <v>584.0</v>
      </c>
      <c r="H3650" s="2031">
        <v>584.0</v>
      </c>
    </row>
    <row r="3651">
      <c r="B3651" s="2031">
        <v>3649.0</v>
      </c>
      <c r="C3651" s="2031">
        <v>438.0</v>
      </c>
      <c r="D3651" s="2031">
        <v>875.0</v>
      </c>
      <c r="E3651" s="2031">
        <v>584.0</v>
      </c>
      <c r="F3651" s="2031">
        <v>584.0</v>
      </c>
      <c r="G3651" s="2031">
        <v>584.0</v>
      </c>
      <c r="H3651" s="2031">
        <v>584.0</v>
      </c>
    </row>
    <row r="3652">
      <c r="B3652" s="2031">
        <v>3650.0</v>
      </c>
      <c r="C3652" s="2031">
        <v>438.0</v>
      </c>
      <c r="D3652" s="2031">
        <v>876.0</v>
      </c>
      <c r="E3652" s="2031">
        <v>584.0</v>
      </c>
      <c r="F3652" s="2031">
        <v>584.0</v>
      </c>
      <c r="G3652" s="2031">
        <v>584.0</v>
      </c>
      <c r="H3652" s="2031">
        <v>584.0</v>
      </c>
    </row>
    <row r="3653">
      <c r="B3653" s="2031">
        <v>3651.0</v>
      </c>
      <c r="C3653" s="2031">
        <v>438.0</v>
      </c>
      <c r="D3653" s="2031">
        <v>877.0</v>
      </c>
      <c r="E3653" s="2031">
        <v>584.0</v>
      </c>
      <c r="F3653" s="2031">
        <v>584.0</v>
      </c>
      <c r="G3653" s="2031">
        <v>584.0</v>
      </c>
      <c r="H3653" s="2031">
        <v>584.0</v>
      </c>
    </row>
    <row r="3654">
      <c r="B3654" s="2031">
        <v>3652.0</v>
      </c>
      <c r="C3654" s="2031">
        <v>439.0</v>
      </c>
      <c r="D3654" s="2031">
        <v>877.0</v>
      </c>
      <c r="E3654" s="2031">
        <v>584.0</v>
      </c>
      <c r="F3654" s="2031">
        <v>584.0</v>
      </c>
      <c r="G3654" s="2031">
        <v>584.0</v>
      </c>
      <c r="H3654" s="2031">
        <v>584.0</v>
      </c>
    </row>
    <row r="3655">
      <c r="B3655" s="2031">
        <v>3653.0</v>
      </c>
      <c r="C3655" s="2031">
        <v>438.0</v>
      </c>
      <c r="D3655" s="2031">
        <v>877.0</v>
      </c>
      <c r="E3655" s="2031">
        <v>584.0</v>
      </c>
      <c r="F3655" s="2031">
        <v>584.0</v>
      </c>
      <c r="G3655" s="2031">
        <v>585.0</v>
      </c>
      <c r="H3655" s="2031">
        <v>585.0</v>
      </c>
    </row>
    <row r="3656">
      <c r="B3656" s="2031">
        <v>3654.0</v>
      </c>
      <c r="C3656" s="2031">
        <v>439.0</v>
      </c>
      <c r="D3656" s="2031">
        <v>877.0</v>
      </c>
      <c r="E3656" s="2031">
        <v>584.0</v>
      </c>
      <c r="F3656" s="2031">
        <v>584.0</v>
      </c>
      <c r="G3656" s="2031">
        <v>585.0</v>
      </c>
      <c r="H3656" s="2031">
        <v>585.0</v>
      </c>
    </row>
    <row r="3657">
      <c r="B3657" s="2031">
        <v>3655.0</v>
      </c>
      <c r="C3657" s="2031">
        <v>438.0</v>
      </c>
      <c r="D3657" s="2031">
        <v>877.0</v>
      </c>
      <c r="E3657" s="2031">
        <v>585.0</v>
      </c>
      <c r="F3657" s="2031">
        <v>585.0</v>
      </c>
      <c r="G3657" s="2031">
        <v>585.0</v>
      </c>
      <c r="H3657" s="2031">
        <v>585.0</v>
      </c>
    </row>
    <row r="3658">
      <c r="B3658" s="2031">
        <v>3656.0</v>
      </c>
      <c r="C3658" s="2031">
        <v>439.0</v>
      </c>
      <c r="D3658" s="2031">
        <v>877.0</v>
      </c>
      <c r="E3658" s="2031">
        <v>585.0</v>
      </c>
      <c r="F3658" s="2031">
        <v>585.0</v>
      </c>
      <c r="G3658" s="2031">
        <v>585.0</v>
      </c>
      <c r="H3658" s="2031">
        <v>585.0</v>
      </c>
    </row>
    <row r="3659">
      <c r="B3659" s="2031">
        <v>3657.0</v>
      </c>
      <c r="C3659" s="2031">
        <v>439.0</v>
      </c>
      <c r="D3659" s="2031">
        <v>878.0</v>
      </c>
      <c r="E3659" s="2031">
        <v>585.0</v>
      </c>
      <c r="F3659" s="2031">
        <v>585.0</v>
      </c>
      <c r="G3659" s="2031">
        <v>585.0</v>
      </c>
      <c r="H3659" s="2031">
        <v>585.0</v>
      </c>
    </row>
    <row r="3660">
      <c r="B3660" s="2031">
        <v>3658.0</v>
      </c>
      <c r="C3660" s="2031">
        <v>439.0</v>
      </c>
      <c r="D3660" s="2031">
        <v>877.0</v>
      </c>
      <c r="E3660" s="2031">
        <v>585.0</v>
      </c>
      <c r="F3660" s="2031">
        <v>585.0</v>
      </c>
      <c r="G3660" s="2031">
        <v>586.0</v>
      </c>
      <c r="H3660" s="2031">
        <v>586.0</v>
      </c>
    </row>
    <row r="3661">
      <c r="B3661" s="2031">
        <v>3659.0</v>
      </c>
      <c r="C3661" s="2031">
        <v>439.0</v>
      </c>
      <c r="D3661" s="2031">
        <v>878.0</v>
      </c>
      <c r="E3661" s="2031">
        <v>585.0</v>
      </c>
      <c r="F3661" s="2031">
        <v>585.0</v>
      </c>
      <c r="G3661" s="2031">
        <v>586.0</v>
      </c>
      <c r="H3661" s="2031">
        <v>586.0</v>
      </c>
    </row>
    <row r="3662">
      <c r="B3662" s="2031">
        <v>3660.0</v>
      </c>
      <c r="C3662" s="2031">
        <v>439.0</v>
      </c>
      <c r="D3662" s="2031">
        <v>879.0</v>
      </c>
      <c r="E3662" s="2031">
        <v>585.0</v>
      </c>
      <c r="F3662" s="2031">
        <v>585.0</v>
      </c>
      <c r="G3662" s="2031">
        <v>586.0</v>
      </c>
      <c r="H3662" s="2031">
        <v>586.0</v>
      </c>
    </row>
    <row r="3663">
      <c r="B3663" s="2031">
        <v>3661.0</v>
      </c>
      <c r="C3663" s="2031">
        <v>439.0</v>
      </c>
      <c r="D3663" s="2031">
        <v>878.0</v>
      </c>
      <c r="E3663" s="2031">
        <v>586.0</v>
      </c>
      <c r="F3663" s="2031">
        <v>586.0</v>
      </c>
      <c r="G3663" s="2031">
        <v>586.0</v>
      </c>
      <c r="H3663" s="2031">
        <v>586.0</v>
      </c>
    </row>
    <row r="3664">
      <c r="B3664" s="2031">
        <v>3662.0</v>
      </c>
      <c r="C3664" s="2031">
        <v>439.0</v>
      </c>
      <c r="D3664" s="2031">
        <v>879.0</v>
      </c>
      <c r="E3664" s="2031">
        <v>586.0</v>
      </c>
      <c r="F3664" s="2031">
        <v>586.0</v>
      </c>
      <c r="G3664" s="2031">
        <v>586.0</v>
      </c>
      <c r="H3664" s="2031">
        <v>586.0</v>
      </c>
    </row>
    <row r="3665">
      <c r="B3665" s="2031">
        <v>3663.0</v>
      </c>
      <c r="C3665" s="2031">
        <v>440.0</v>
      </c>
      <c r="D3665" s="2031">
        <v>879.0</v>
      </c>
      <c r="E3665" s="2031">
        <v>586.0</v>
      </c>
      <c r="F3665" s="2031">
        <v>586.0</v>
      </c>
      <c r="G3665" s="2031">
        <v>586.0</v>
      </c>
      <c r="H3665" s="2031">
        <v>586.0</v>
      </c>
    </row>
    <row r="3666">
      <c r="B3666" s="2031">
        <v>3664.0</v>
      </c>
      <c r="C3666" s="2031">
        <v>440.0</v>
      </c>
      <c r="D3666" s="2031">
        <v>880.0</v>
      </c>
      <c r="E3666" s="2031">
        <v>586.0</v>
      </c>
      <c r="F3666" s="2031">
        <v>586.0</v>
      </c>
      <c r="G3666" s="2031">
        <v>586.0</v>
      </c>
      <c r="H3666" s="2031">
        <v>586.0</v>
      </c>
    </row>
    <row r="3667">
      <c r="B3667" s="2031">
        <v>3665.0</v>
      </c>
      <c r="C3667" s="2031">
        <v>440.0</v>
      </c>
      <c r="D3667" s="2031">
        <v>879.0</v>
      </c>
      <c r="E3667" s="2031">
        <v>586.0</v>
      </c>
      <c r="F3667" s="2031">
        <v>586.0</v>
      </c>
      <c r="G3667" s="2031">
        <v>587.0</v>
      </c>
      <c r="H3667" s="2031">
        <v>587.0</v>
      </c>
    </row>
    <row r="3668">
      <c r="B3668" s="2031">
        <v>3666.0</v>
      </c>
      <c r="C3668" s="2031">
        <v>440.0</v>
      </c>
      <c r="D3668" s="2031">
        <v>880.0</v>
      </c>
      <c r="E3668" s="2031">
        <v>586.0</v>
      </c>
      <c r="F3668" s="2031">
        <v>586.0</v>
      </c>
      <c r="G3668" s="2031">
        <v>587.0</v>
      </c>
      <c r="H3668" s="2031">
        <v>587.0</v>
      </c>
    </row>
    <row r="3669">
      <c r="B3669" s="2031">
        <v>3667.0</v>
      </c>
      <c r="C3669" s="2031">
        <v>440.0</v>
      </c>
      <c r="D3669" s="2031">
        <v>881.0</v>
      </c>
      <c r="E3669" s="2031">
        <v>586.0</v>
      </c>
      <c r="F3669" s="2031">
        <v>586.0</v>
      </c>
      <c r="G3669" s="2031">
        <v>587.0</v>
      </c>
      <c r="H3669" s="2031">
        <v>587.0</v>
      </c>
    </row>
    <row r="3670">
      <c r="B3670" s="2031">
        <v>3668.0</v>
      </c>
      <c r="C3670" s="2031">
        <v>440.0</v>
      </c>
      <c r="D3670" s="2031">
        <v>880.0</v>
      </c>
      <c r="E3670" s="2031">
        <v>587.0</v>
      </c>
      <c r="F3670" s="2031">
        <v>587.0</v>
      </c>
      <c r="G3670" s="2031">
        <v>587.0</v>
      </c>
      <c r="H3670" s="2031">
        <v>587.0</v>
      </c>
    </row>
    <row r="3671">
      <c r="B3671" s="2031">
        <v>3669.0</v>
      </c>
      <c r="C3671" s="2031">
        <v>440.0</v>
      </c>
      <c r="D3671" s="2031">
        <v>881.0</v>
      </c>
      <c r="E3671" s="2031">
        <v>587.0</v>
      </c>
      <c r="F3671" s="2031">
        <v>587.0</v>
      </c>
      <c r="G3671" s="2031">
        <v>587.0</v>
      </c>
      <c r="H3671" s="2031">
        <v>587.0</v>
      </c>
    </row>
    <row r="3672">
      <c r="B3672" s="2031">
        <v>3670.0</v>
      </c>
      <c r="C3672" s="2031">
        <v>441.0</v>
      </c>
      <c r="D3672" s="2031">
        <v>881.0</v>
      </c>
      <c r="E3672" s="2031">
        <v>587.0</v>
      </c>
      <c r="F3672" s="2031">
        <v>587.0</v>
      </c>
      <c r="G3672" s="2031">
        <v>587.0</v>
      </c>
      <c r="H3672" s="2031">
        <v>587.0</v>
      </c>
    </row>
    <row r="3673">
      <c r="B3673" s="2031">
        <v>3671.0</v>
      </c>
      <c r="C3673" s="2031">
        <v>440.0</v>
      </c>
      <c r="D3673" s="2031">
        <v>881.0</v>
      </c>
      <c r="E3673" s="2031">
        <v>587.0</v>
      </c>
      <c r="F3673" s="2031">
        <v>587.0</v>
      </c>
      <c r="G3673" s="2031">
        <v>588.0</v>
      </c>
      <c r="H3673" s="2031">
        <v>588.0</v>
      </c>
    </row>
    <row r="3674">
      <c r="B3674" s="2031">
        <v>3672.0</v>
      </c>
      <c r="C3674" s="2031">
        <v>441.0</v>
      </c>
      <c r="D3674" s="2031">
        <v>881.0</v>
      </c>
      <c r="E3674" s="2031">
        <v>587.0</v>
      </c>
      <c r="F3674" s="2031">
        <v>587.0</v>
      </c>
      <c r="G3674" s="2031">
        <v>588.0</v>
      </c>
      <c r="H3674" s="2031">
        <v>588.0</v>
      </c>
    </row>
    <row r="3675">
      <c r="B3675" s="2031">
        <v>3673.0</v>
      </c>
      <c r="C3675" s="2031">
        <v>440.0</v>
      </c>
      <c r="D3675" s="2031">
        <v>881.0</v>
      </c>
      <c r="E3675" s="2031">
        <v>588.0</v>
      </c>
      <c r="F3675" s="2031">
        <v>588.0</v>
      </c>
      <c r="G3675" s="2031">
        <v>588.0</v>
      </c>
      <c r="H3675" s="2031">
        <v>588.0</v>
      </c>
    </row>
    <row r="3676">
      <c r="B3676" s="2031">
        <v>3674.0</v>
      </c>
      <c r="C3676" s="2031">
        <v>441.0</v>
      </c>
      <c r="D3676" s="2031">
        <v>881.0</v>
      </c>
      <c r="E3676" s="2031">
        <v>588.0</v>
      </c>
      <c r="F3676" s="2031">
        <v>588.0</v>
      </c>
      <c r="G3676" s="2031">
        <v>588.0</v>
      </c>
      <c r="H3676" s="2031">
        <v>588.0</v>
      </c>
    </row>
    <row r="3677">
      <c r="B3677" s="2031">
        <v>3675.0</v>
      </c>
      <c r="C3677" s="2031">
        <v>441.0</v>
      </c>
      <c r="D3677" s="2031">
        <v>882.0</v>
      </c>
      <c r="E3677" s="2031">
        <v>588.0</v>
      </c>
      <c r="F3677" s="2031">
        <v>588.0</v>
      </c>
      <c r="G3677" s="2031">
        <v>588.0</v>
      </c>
      <c r="H3677" s="2031">
        <v>588.0</v>
      </c>
    </row>
    <row r="3678">
      <c r="B3678" s="2031">
        <v>3676.0</v>
      </c>
      <c r="C3678" s="2031">
        <v>441.0</v>
      </c>
      <c r="D3678" s="2031">
        <v>883.0</v>
      </c>
      <c r="E3678" s="2031">
        <v>588.0</v>
      </c>
      <c r="F3678" s="2031">
        <v>588.0</v>
      </c>
      <c r="G3678" s="2031">
        <v>588.0</v>
      </c>
      <c r="H3678" s="2031">
        <v>588.0</v>
      </c>
    </row>
    <row r="3679">
      <c r="B3679" s="2031">
        <v>3677.0</v>
      </c>
      <c r="C3679" s="2031">
        <v>442.0</v>
      </c>
      <c r="D3679" s="2031">
        <v>883.0</v>
      </c>
      <c r="E3679" s="2031">
        <v>588.0</v>
      </c>
      <c r="F3679" s="2031">
        <v>588.0</v>
      </c>
      <c r="G3679" s="2031">
        <v>588.0</v>
      </c>
      <c r="H3679" s="2031">
        <v>588.0</v>
      </c>
    </row>
    <row r="3680">
      <c r="B3680" s="2031">
        <v>3678.0</v>
      </c>
      <c r="C3680" s="2031">
        <v>441.0</v>
      </c>
      <c r="D3680" s="2031">
        <v>883.0</v>
      </c>
      <c r="E3680" s="2031">
        <v>588.0</v>
      </c>
      <c r="F3680" s="2031">
        <v>588.0</v>
      </c>
      <c r="G3680" s="2031">
        <v>589.0</v>
      </c>
      <c r="H3680" s="2031">
        <v>589.0</v>
      </c>
    </row>
    <row r="3681">
      <c r="B3681" s="2031">
        <v>3679.0</v>
      </c>
      <c r="C3681" s="2031">
        <v>442.0</v>
      </c>
      <c r="D3681" s="2031">
        <v>883.0</v>
      </c>
      <c r="E3681" s="2031">
        <v>588.0</v>
      </c>
      <c r="F3681" s="2031">
        <v>588.0</v>
      </c>
      <c r="G3681" s="2031">
        <v>589.0</v>
      </c>
      <c r="H3681" s="2031">
        <v>589.0</v>
      </c>
    </row>
    <row r="3682">
      <c r="B3682" s="2031">
        <v>3680.0</v>
      </c>
      <c r="C3682" s="2031">
        <v>441.0</v>
      </c>
      <c r="D3682" s="2031">
        <v>883.0</v>
      </c>
      <c r="E3682" s="2031">
        <v>589.0</v>
      </c>
      <c r="F3682" s="2031">
        <v>589.0</v>
      </c>
      <c r="G3682" s="2031">
        <v>589.0</v>
      </c>
      <c r="H3682" s="2031">
        <v>589.0</v>
      </c>
    </row>
    <row r="3683">
      <c r="B3683" s="2031">
        <v>3681.0</v>
      </c>
      <c r="C3683" s="2031">
        <v>442.0</v>
      </c>
      <c r="D3683" s="2031">
        <v>883.0</v>
      </c>
      <c r="E3683" s="2031">
        <v>589.0</v>
      </c>
      <c r="F3683" s="2031">
        <v>589.0</v>
      </c>
      <c r="G3683" s="2031">
        <v>589.0</v>
      </c>
      <c r="H3683" s="2031">
        <v>589.0</v>
      </c>
    </row>
    <row r="3684">
      <c r="B3684" s="2031">
        <v>3682.0</v>
      </c>
      <c r="C3684" s="2031">
        <v>442.0</v>
      </c>
      <c r="D3684" s="2031">
        <v>884.0</v>
      </c>
      <c r="E3684" s="2031">
        <v>589.0</v>
      </c>
      <c r="F3684" s="2031">
        <v>589.0</v>
      </c>
      <c r="G3684" s="2031">
        <v>589.0</v>
      </c>
      <c r="H3684" s="2031">
        <v>589.0</v>
      </c>
    </row>
    <row r="3685">
      <c r="B3685" s="2031">
        <v>3683.0</v>
      </c>
      <c r="C3685" s="2031">
        <v>442.0</v>
      </c>
      <c r="D3685" s="2031">
        <v>883.0</v>
      </c>
      <c r="E3685" s="2031">
        <v>589.0</v>
      </c>
      <c r="F3685" s="2031">
        <v>589.0</v>
      </c>
      <c r="G3685" s="2031">
        <v>590.0</v>
      </c>
      <c r="H3685" s="2031">
        <v>590.0</v>
      </c>
    </row>
    <row r="3686">
      <c r="B3686" s="2031">
        <v>3684.0</v>
      </c>
      <c r="C3686" s="2031">
        <v>442.0</v>
      </c>
      <c r="D3686" s="2031">
        <v>884.0</v>
      </c>
      <c r="E3686" s="2031">
        <v>589.0</v>
      </c>
      <c r="F3686" s="2031">
        <v>589.0</v>
      </c>
      <c r="G3686" s="2031">
        <v>590.0</v>
      </c>
      <c r="H3686" s="2031">
        <v>590.0</v>
      </c>
    </row>
    <row r="3687">
      <c r="B3687" s="2031">
        <v>3685.0</v>
      </c>
      <c r="C3687" s="2031">
        <v>442.0</v>
      </c>
      <c r="D3687" s="2031">
        <v>885.0</v>
      </c>
      <c r="E3687" s="2031">
        <v>589.0</v>
      </c>
      <c r="F3687" s="2031">
        <v>589.0</v>
      </c>
      <c r="G3687" s="2031">
        <v>590.0</v>
      </c>
      <c r="H3687" s="2031">
        <v>590.0</v>
      </c>
    </row>
    <row r="3688">
      <c r="B3688" s="2031">
        <v>3686.0</v>
      </c>
      <c r="C3688" s="2031">
        <v>442.0</v>
      </c>
      <c r="D3688" s="2031">
        <v>884.0</v>
      </c>
      <c r="E3688" s="2031">
        <v>590.0</v>
      </c>
      <c r="F3688" s="2031">
        <v>590.0</v>
      </c>
      <c r="G3688" s="2031">
        <v>590.0</v>
      </c>
      <c r="H3688" s="2031">
        <v>590.0</v>
      </c>
    </row>
    <row r="3689">
      <c r="B3689" s="2031">
        <v>3687.0</v>
      </c>
      <c r="C3689" s="2031">
        <v>442.0</v>
      </c>
      <c r="D3689" s="2031">
        <v>885.0</v>
      </c>
      <c r="E3689" s="2031">
        <v>590.0</v>
      </c>
      <c r="F3689" s="2031">
        <v>590.0</v>
      </c>
      <c r="G3689" s="2031">
        <v>590.0</v>
      </c>
      <c r="H3689" s="2031">
        <v>590.0</v>
      </c>
    </row>
    <row r="3690">
      <c r="B3690" s="2031">
        <v>3688.0</v>
      </c>
      <c r="C3690" s="2031">
        <v>443.0</v>
      </c>
      <c r="D3690" s="2031">
        <v>885.0</v>
      </c>
      <c r="E3690" s="2031">
        <v>590.0</v>
      </c>
      <c r="F3690" s="2031">
        <v>590.0</v>
      </c>
      <c r="G3690" s="2031">
        <v>590.0</v>
      </c>
      <c r="H3690" s="2031">
        <v>590.0</v>
      </c>
    </row>
    <row r="3691">
      <c r="B3691" s="2031">
        <v>3689.0</v>
      </c>
      <c r="C3691" s="2031">
        <v>443.0</v>
      </c>
      <c r="D3691" s="2031">
        <v>886.0</v>
      </c>
      <c r="E3691" s="2031">
        <v>590.0</v>
      </c>
      <c r="F3691" s="2031">
        <v>590.0</v>
      </c>
      <c r="G3691" s="2031">
        <v>590.0</v>
      </c>
      <c r="H3691" s="2031">
        <v>590.0</v>
      </c>
    </row>
    <row r="3692">
      <c r="B3692" s="2031">
        <v>3690.0</v>
      </c>
      <c r="C3692" s="2031">
        <v>443.0</v>
      </c>
      <c r="D3692" s="2031">
        <v>885.0</v>
      </c>
      <c r="E3692" s="2031">
        <v>590.0</v>
      </c>
      <c r="F3692" s="2031">
        <v>590.0</v>
      </c>
      <c r="G3692" s="2031">
        <v>591.0</v>
      </c>
      <c r="H3692" s="2031">
        <v>591.0</v>
      </c>
    </row>
    <row r="3693">
      <c r="B3693" s="2031">
        <v>3691.0</v>
      </c>
      <c r="C3693" s="2031">
        <v>443.0</v>
      </c>
      <c r="D3693" s="2031">
        <v>886.0</v>
      </c>
      <c r="E3693" s="2031">
        <v>590.0</v>
      </c>
      <c r="F3693" s="2031">
        <v>590.0</v>
      </c>
      <c r="G3693" s="2031">
        <v>591.0</v>
      </c>
      <c r="H3693" s="2031">
        <v>591.0</v>
      </c>
    </row>
    <row r="3694">
      <c r="B3694" s="2031">
        <v>3692.0</v>
      </c>
      <c r="C3694" s="2031">
        <v>443.0</v>
      </c>
      <c r="D3694" s="2031">
        <v>887.0</v>
      </c>
      <c r="E3694" s="2031">
        <v>590.0</v>
      </c>
      <c r="F3694" s="2031">
        <v>590.0</v>
      </c>
      <c r="G3694" s="2031">
        <v>591.0</v>
      </c>
      <c r="H3694" s="2031">
        <v>591.0</v>
      </c>
    </row>
    <row r="3695">
      <c r="B3695" s="2031">
        <v>3693.0</v>
      </c>
      <c r="C3695" s="2031">
        <v>443.0</v>
      </c>
      <c r="D3695" s="2031">
        <v>886.0</v>
      </c>
      <c r="E3695" s="2031">
        <v>591.0</v>
      </c>
      <c r="F3695" s="2031">
        <v>591.0</v>
      </c>
      <c r="G3695" s="2031">
        <v>591.0</v>
      </c>
      <c r="H3695" s="2031">
        <v>591.0</v>
      </c>
    </row>
    <row r="3696">
      <c r="B3696" s="2031">
        <v>3694.0</v>
      </c>
      <c r="C3696" s="2031">
        <v>443.0</v>
      </c>
      <c r="D3696" s="2031">
        <v>887.0</v>
      </c>
      <c r="E3696" s="2031">
        <v>591.0</v>
      </c>
      <c r="F3696" s="2031">
        <v>591.0</v>
      </c>
      <c r="G3696" s="2031">
        <v>591.0</v>
      </c>
      <c r="H3696" s="2031">
        <v>591.0</v>
      </c>
    </row>
    <row r="3697">
      <c r="B3697" s="2031">
        <v>3695.0</v>
      </c>
      <c r="C3697" s="2031">
        <v>444.0</v>
      </c>
      <c r="D3697" s="2031">
        <v>887.0</v>
      </c>
      <c r="E3697" s="2031">
        <v>591.0</v>
      </c>
      <c r="F3697" s="2031">
        <v>591.0</v>
      </c>
      <c r="G3697" s="2031">
        <v>591.0</v>
      </c>
      <c r="H3697" s="2031">
        <v>591.0</v>
      </c>
    </row>
    <row r="3698">
      <c r="B3698" s="2031">
        <v>3696.0</v>
      </c>
      <c r="C3698" s="2031">
        <v>443.0</v>
      </c>
      <c r="D3698" s="2031">
        <v>887.0</v>
      </c>
      <c r="E3698" s="2031">
        <v>591.0</v>
      </c>
      <c r="F3698" s="2031">
        <v>591.0</v>
      </c>
      <c r="G3698" s="2031">
        <v>592.0</v>
      </c>
      <c r="H3698" s="2031">
        <v>592.0</v>
      </c>
    </row>
    <row r="3699">
      <c r="B3699" s="2031">
        <v>3697.0</v>
      </c>
      <c r="C3699" s="2031">
        <v>444.0</v>
      </c>
      <c r="D3699" s="2031">
        <v>887.0</v>
      </c>
      <c r="E3699" s="2031">
        <v>591.0</v>
      </c>
      <c r="F3699" s="2031">
        <v>591.0</v>
      </c>
      <c r="G3699" s="2031">
        <v>592.0</v>
      </c>
      <c r="H3699" s="2031">
        <v>592.0</v>
      </c>
    </row>
    <row r="3700">
      <c r="B3700" s="2031">
        <v>3698.0</v>
      </c>
      <c r="C3700" s="2031">
        <v>443.0</v>
      </c>
      <c r="D3700" s="2031">
        <v>887.0</v>
      </c>
      <c r="E3700" s="2031">
        <v>592.0</v>
      </c>
      <c r="F3700" s="2031">
        <v>592.0</v>
      </c>
      <c r="G3700" s="2031">
        <v>592.0</v>
      </c>
      <c r="H3700" s="2031">
        <v>592.0</v>
      </c>
    </row>
    <row r="3701">
      <c r="B3701" s="2031">
        <v>3699.0</v>
      </c>
      <c r="C3701" s="2031">
        <v>444.0</v>
      </c>
      <c r="D3701" s="2031">
        <v>887.0</v>
      </c>
      <c r="E3701" s="2031">
        <v>592.0</v>
      </c>
      <c r="F3701" s="2031">
        <v>592.0</v>
      </c>
      <c r="G3701" s="2031">
        <v>592.0</v>
      </c>
      <c r="H3701" s="2031">
        <v>592.0</v>
      </c>
    </row>
    <row r="3702">
      <c r="B3702" s="2031">
        <v>3700.0</v>
      </c>
      <c r="C3702" s="2031">
        <v>444.0</v>
      </c>
      <c r="D3702" s="2031">
        <v>888.0</v>
      </c>
      <c r="E3702" s="2031">
        <v>592.0</v>
      </c>
      <c r="F3702" s="2031">
        <v>592.0</v>
      </c>
      <c r="G3702" s="2031">
        <v>592.0</v>
      </c>
      <c r="H3702" s="2031">
        <v>592.0</v>
      </c>
    </row>
    <row r="3703">
      <c r="B3703" s="2031">
        <v>3701.0</v>
      </c>
      <c r="C3703" s="2031">
        <v>444.0</v>
      </c>
      <c r="D3703" s="2031">
        <v>889.0</v>
      </c>
      <c r="E3703" s="2031">
        <v>592.0</v>
      </c>
      <c r="F3703" s="2031">
        <v>592.0</v>
      </c>
      <c r="G3703" s="2031">
        <v>592.0</v>
      </c>
      <c r="H3703" s="2031">
        <v>592.0</v>
      </c>
    </row>
    <row r="3704">
      <c r="B3704" s="2031">
        <v>3702.0</v>
      </c>
      <c r="C3704" s="2031">
        <v>445.0</v>
      </c>
      <c r="D3704" s="2031">
        <v>889.0</v>
      </c>
      <c r="E3704" s="2031">
        <v>592.0</v>
      </c>
      <c r="F3704" s="2031">
        <v>592.0</v>
      </c>
      <c r="G3704" s="2031">
        <v>592.0</v>
      </c>
      <c r="H3704" s="2031">
        <v>592.0</v>
      </c>
    </row>
    <row r="3705">
      <c r="B3705" s="2031">
        <v>3703.0</v>
      </c>
      <c r="C3705" s="2031">
        <v>444.0</v>
      </c>
      <c r="D3705" s="2031">
        <v>889.0</v>
      </c>
      <c r="E3705" s="2031">
        <v>592.0</v>
      </c>
      <c r="F3705" s="2031">
        <v>592.0</v>
      </c>
      <c r="G3705" s="2031">
        <v>593.0</v>
      </c>
      <c r="H3705" s="2031">
        <v>593.0</v>
      </c>
    </row>
    <row r="3706">
      <c r="B3706" s="2031">
        <v>3704.0</v>
      </c>
      <c r="C3706" s="2031">
        <v>445.0</v>
      </c>
      <c r="D3706" s="2031">
        <v>889.0</v>
      </c>
      <c r="E3706" s="2031">
        <v>592.0</v>
      </c>
      <c r="F3706" s="2031">
        <v>592.0</v>
      </c>
      <c r="G3706" s="2031">
        <v>593.0</v>
      </c>
      <c r="H3706" s="2031">
        <v>593.0</v>
      </c>
    </row>
    <row r="3707">
      <c r="B3707" s="2031">
        <v>3705.0</v>
      </c>
      <c r="C3707" s="2031">
        <v>444.0</v>
      </c>
      <c r="D3707" s="2031">
        <v>889.0</v>
      </c>
      <c r="E3707" s="2031">
        <v>593.0</v>
      </c>
      <c r="F3707" s="2031">
        <v>593.0</v>
      </c>
      <c r="G3707" s="2031">
        <v>593.0</v>
      </c>
      <c r="H3707" s="2031">
        <v>593.0</v>
      </c>
    </row>
    <row r="3708">
      <c r="B3708" s="2031">
        <v>3706.0</v>
      </c>
      <c r="C3708" s="2031">
        <v>445.0</v>
      </c>
      <c r="D3708" s="2031">
        <v>889.0</v>
      </c>
      <c r="E3708" s="2031">
        <v>593.0</v>
      </c>
      <c r="F3708" s="2031">
        <v>593.0</v>
      </c>
      <c r="G3708" s="2031">
        <v>593.0</v>
      </c>
      <c r="H3708" s="2031">
        <v>593.0</v>
      </c>
    </row>
    <row r="3709">
      <c r="B3709" s="2031">
        <v>3707.0</v>
      </c>
      <c r="C3709" s="2031">
        <v>445.0</v>
      </c>
      <c r="D3709" s="2031">
        <v>890.0</v>
      </c>
      <c r="E3709" s="2031">
        <v>593.0</v>
      </c>
      <c r="F3709" s="2031">
        <v>593.0</v>
      </c>
      <c r="G3709" s="2031">
        <v>593.0</v>
      </c>
      <c r="H3709" s="2031">
        <v>593.0</v>
      </c>
    </row>
    <row r="3710">
      <c r="B3710" s="2031">
        <v>3708.0</v>
      </c>
      <c r="C3710" s="2031">
        <v>445.0</v>
      </c>
      <c r="D3710" s="2031">
        <v>889.0</v>
      </c>
      <c r="E3710" s="2031">
        <v>593.0</v>
      </c>
      <c r="F3710" s="2031">
        <v>593.0</v>
      </c>
      <c r="G3710" s="2031">
        <v>594.0</v>
      </c>
      <c r="H3710" s="2031">
        <v>594.0</v>
      </c>
    </row>
    <row r="3711">
      <c r="B3711" s="2031">
        <v>3709.0</v>
      </c>
      <c r="C3711" s="2031">
        <v>445.0</v>
      </c>
      <c r="D3711" s="2031">
        <v>890.0</v>
      </c>
      <c r="E3711" s="2031">
        <v>593.0</v>
      </c>
      <c r="F3711" s="2031">
        <v>593.0</v>
      </c>
      <c r="G3711" s="2031">
        <v>594.0</v>
      </c>
      <c r="H3711" s="2031">
        <v>594.0</v>
      </c>
    </row>
    <row r="3712">
      <c r="B3712" s="2031">
        <v>3710.0</v>
      </c>
      <c r="C3712" s="2031">
        <v>445.0</v>
      </c>
      <c r="D3712" s="2031">
        <v>891.0</v>
      </c>
      <c r="E3712" s="2031">
        <v>593.0</v>
      </c>
      <c r="F3712" s="2031">
        <v>593.0</v>
      </c>
      <c r="G3712" s="2031">
        <v>594.0</v>
      </c>
      <c r="H3712" s="2031">
        <v>594.0</v>
      </c>
    </row>
    <row r="3713">
      <c r="B3713" s="2031">
        <v>3711.0</v>
      </c>
      <c r="C3713" s="2031">
        <v>445.0</v>
      </c>
      <c r="D3713" s="2031">
        <v>890.0</v>
      </c>
      <c r="E3713" s="2031">
        <v>594.0</v>
      </c>
      <c r="F3713" s="2031">
        <v>594.0</v>
      </c>
      <c r="G3713" s="2031">
        <v>594.0</v>
      </c>
      <c r="H3713" s="2031">
        <v>594.0</v>
      </c>
    </row>
    <row r="3714">
      <c r="B3714" s="2031">
        <v>3712.0</v>
      </c>
      <c r="C3714" s="2031">
        <v>445.0</v>
      </c>
      <c r="D3714" s="2031">
        <v>891.0</v>
      </c>
      <c r="E3714" s="2031">
        <v>594.0</v>
      </c>
      <c r="F3714" s="2031">
        <v>594.0</v>
      </c>
      <c r="G3714" s="2031">
        <v>594.0</v>
      </c>
      <c r="H3714" s="2031">
        <v>594.0</v>
      </c>
    </row>
    <row r="3715">
      <c r="B3715" s="2031">
        <v>3713.0</v>
      </c>
      <c r="C3715" s="2031">
        <v>446.0</v>
      </c>
      <c r="D3715" s="2031">
        <v>891.0</v>
      </c>
      <c r="E3715" s="2031">
        <v>594.0</v>
      </c>
      <c r="F3715" s="2031">
        <v>594.0</v>
      </c>
      <c r="G3715" s="2031">
        <v>594.0</v>
      </c>
      <c r="H3715" s="2031">
        <v>594.0</v>
      </c>
    </row>
    <row r="3716">
      <c r="B3716" s="2031">
        <v>3714.0</v>
      </c>
      <c r="C3716" s="2031">
        <v>446.0</v>
      </c>
      <c r="D3716" s="2031">
        <v>892.0</v>
      </c>
      <c r="E3716" s="2031">
        <v>594.0</v>
      </c>
      <c r="F3716" s="2031">
        <v>594.0</v>
      </c>
      <c r="G3716" s="2031">
        <v>594.0</v>
      </c>
      <c r="H3716" s="2031">
        <v>594.0</v>
      </c>
    </row>
    <row r="3717">
      <c r="B3717" s="2031">
        <v>3715.0</v>
      </c>
      <c r="C3717" s="2031">
        <v>446.0</v>
      </c>
      <c r="D3717" s="2031">
        <v>891.0</v>
      </c>
      <c r="E3717" s="2031">
        <v>594.0</v>
      </c>
      <c r="F3717" s="2031">
        <v>594.0</v>
      </c>
      <c r="G3717" s="2031">
        <v>595.0</v>
      </c>
      <c r="H3717" s="2031">
        <v>595.0</v>
      </c>
    </row>
    <row r="3718">
      <c r="B3718" s="2031">
        <v>3716.0</v>
      </c>
      <c r="C3718" s="2031">
        <v>446.0</v>
      </c>
      <c r="D3718" s="2031">
        <v>892.0</v>
      </c>
      <c r="E3718" s="2031">
        <v>594.0</v>
      </c>
      <c r="F3718" s="2031">
        <v>594.0</v>
      </c>
      <c r="G3718" s="2031">
        <v>595.0</v>
      </c>
      <c r="H3718" s="2031">
        <v>595.0</v>
      </c>
    </row>
    <row r="3719">
      <c r="B3719" s="2031">
        <v>3717.0</v>
      </c>
      <c r="C3719" s="2031">
        <v>446.0</v>
      </c>
      <c r="D3719" s="2031">
        <v>893.0</v>
      </c>
      <c r="E3719" s="2031">
        <v>594.0</v>
      </c>
      <c r="F3719" s="2031">
        <v>594.0</v>
      </c>
      <c r="G3719" s="2031">
        <v>595.0</v>
      </c>
      <c r="H3719" s="2031">
        <v>595.0</v>
      </c>
    </row>
    <row r="3720">
      <c r="B3720" s="2031">
        <v>3718.0</v>
      </c>
      <c r="C3720" s="2031">
        <v>446.0</v>
      </c>
      <c r="D3720" s="2031">
        <v>892.0</v>
      </c>
      <c r="E3720" s="2031">
        <v>595.0</v>
      </c>
      <c r="F3720" s="2031">
        <v>595.0</v>
      </c>
      <c r="G3720" s="2031">
        <v>595.0</v>
      </c>
      <c r="H3720" s="2031">
        <v>595.0</v>
      </c>
    </row>
    <row r="3721">
      <c r="B3721" s="2031">
        <v>3719.0</v>
      </c>
      <c r="C3721" s="2031">
        <v>446.0</v>
      </c>
      <c r="D3721" s="2031">
        <v>893.0</v>
      </c>
      <c r="E3721" s="2031">
        <v>595.0</v>
      </c>
      <c r="F3721" s="2031">
        <v>595.0</v>
      </c>
      <c r="G3721" s="2031">
        <v>595.0</v>
      </c>
      <c r="H3721" s="2031">
        <v>595.0</v>
      </c>
    </row>
    <row r="3722">
      <c r="B3722" s="2031">
        <v>3720.0</v>
      </c>
      <c r="C3722" s="2031">
        <v>447.0</v>
      </c>
      <c r="D3722" s="2031">
        <v>893.0</v>
      </c>
      <c r="E3722" s="2031">
        <v>595.0</v>
      </c>
      <c r="F3722" s="2031">
        <v>595.0</v>
      </c>
      <c r="G3722" s="2031">
        <v>595.0</v>
      </c>
      <c r="H3722" s="2031">
        <v>595.0</v>
      </c>
    </row>
    <row r="3723">
      <c r="B3723" s="2031">
        <v>3721.0</v>
      </c>
      <c r="C3723" s="2031">
        <v>446.0</v>
      </c>
      <c r="D3723" s="2031">
        <v>893.0</v>
      </c>
      <c r="E3723" s="2031">
        <v>595.0</v>
      </c>
      <c r="F3723" s="2031">
        <v>595.0</v>
      </c>
      <c r="G3723" s="2031">
        <v>596.0</v>
      </c>
      <c r="H3723" s="2031">
        <v>596.0</v>
      </c>
    </row>
    <row r="3724">
      <c r="B3724" s="2031">
        <v>3722.0</v>
      </c>
      <c r="C3724" s="2031">
        <v>447.0</v>
      </c>
      <c r="D3724" s="2031">
        <v>893.0</v>
      </c>
      <c r="E3724" s="2031">
        <v>595.0</v>
      </c>
      <c r="F3724" s="2031">
        <v>595.0</v>
      </c>
      <c r="G3724" s="2031">
        <v>596.0</v>
      </c>
      <c r="H3724" s="2031">
        <v>596.0</v>
      </c>
    </row>
    <row r="3725">
      <c r="B3725" s="2031">
        <v>3723.0</v>
      </c>
      <c r="C3725" s="2031">
        <v>446.0</v>
      </c>
      <c r="D3725" s="2031">
        <v>893.0</v>
      </c>
      <c r="E3725" s="2031">
        <v>596.0</v>
      </c>
      <c r="F3725" s="2031">
        <v>596.0</v>
      </c>
      <c r="G3725" s="2031">
        <v>596.0</v>
      </c>
      <c r="H3725" s="2031">
        <v>596.0</v>
      </c>
    </row>
    <row r="3726">
      <c r="B3726" s="2031">
        <v>3724.0</v>
      </c>
      <c r="C3726" s="2031">
        <v>447.0</v>
      </c>
      <c r="D3726" s="2031">
        <v>893.0</v>
      </c>
      <c r="E3726" s="2031">
        <v>596.0</v>
      </c>
      <c r="F3726" s="2031">
        <v>596.0</v>
      </c>
      <c r="G3726" s="2031">
        <v>596.0</v>
      </c>
      <c r="H3726" s="2031">
        <v>596.0</v>
      </c>
    </row>
    <row r="3727">
      <c r="B3727" s="2031">
        <v>3725.0</v>
      </c>
      <c r="C3727" s="2031">
        <v>447.0</v>
      </c>
      <c r="D3727" s="2031">
        <v>894.0</v>
      </c>
      <c r="E3727" s="2031">
        <v>596.0</v>
      </c>
      <c r="F3727" s="2031">
        <v>596.0</v>
      </c>
      <c r="G3727" s="2031">
        <v>596.0</v>
      </c>
      <c r="H3727" s="2031">
        <v>596.0</v>
      </c>
    </row>
    <row r="3728">
      <c r="B3728" s="2031">
        <v>3726.0</v>
      </c>
      <c r="C3728" s="2031">
        <v>447.0</v>
      </c>
      <c r="D3728" s="2031">
        <v>895.0</v>
      </c>
      <c r="E3728" s="2031">
        <v>596.0</v>
      </c>
      <c r="F3728" s="2031">
        <v>596.0</v>
      </c>
      <c r="G3728" s="2031">
        <v>596.0</v>
      </c>
      <c r="H3728" s="2031">
        <v>596.0</v>
      </c>
    </row>
    <row r="3729">
      <c r="B3729" s="2031">
        <v>3727.0</v>
      </c>
      <c r="C3729" s="2031">
        <v>448.0</v>
      </c>
      <c r="D3729" s="2031">
        <v>895.0</v>
      </c>
      <c r="E3729" s="2031">
        <v>596.0</v>
      </c>
      <c r="F3729" s="2031">
        <v>596.0</v>
      </c>
      <c r="G3729" s="2031">
        <v>596.0</v>
      </c>
      <c r="H3729" s="2031">
        <v>596.0</v>
      </c>
    </row>
    <row r="3730">
      <c r="B3730" s="2031">
        <v>3728.0</v>
      </c>
      <c r="C3730" s="2031">
        <v>447.0</v>
      </c>
      <c r="D3730" s="2031">
        <v>895.0</v>
      </c>
      <c r="E3730" s="2031">
        <v>596.0</v>
      </c>
      <c r="F3730" s="2031">
        <v>596.0</v>
      </c>
      <c r="G3730" s="2031">
        <v>597.0</v>
      </c>
      <c r="H3730" s="2031">
        <v>597.0</v>
      </c>
    </row>
    <row r="3731">
      <c r="B3731" s="2031">
        <v>3729.0</v>
      </c>
      <c r="C3731" s="2031">
        <v>448.0</v>
      </c>
      <c r="D3731" s="2031">
        <v>895.0</v>
      </c>
      <c r="E3731" s="2031">
        <v>596.0</v>
      </c>
      <c r="F3731" s="2031">
        <v>596.0</v>
      </c>
      <c r="G3731" s="2031">
        <v>597.0</v>
      </c>
      <c r="H3731" s="2031">
        <v>597.0</v>
      </c>
    </row>
    <row r="3732">
      <c r="B3732" s="2031">
        <v>3730.0</v>
      </c>
      <c r="C3732" s="2031">
        <v>447.0</v>
      </c>
      <c r="D3732" s="2031">
        <v>895.0</v>
      </c>
      <c r="E3732" s="2031">
        <v>597.0</v>
      </c>
      <c r="F3732" s="2031">
        <v>597.0</v>
      </c>
      <c r="G3732" s="2031">
        <v>597.0</v>
      </c>
      <c r="H3732" s="2031">
        <v>597.0</v>
      </c>
    </row>
    <row r="3733">
      <c r="B3733" s="2031">
        <v>3731.0</v>
      </c>
      <c r="C3733" s="2031">
        <v>448.0</v>
      </c>
      <c r="D3733" s="2031">
        <v>895.0</v>
      </c>
      <c r="E3733" s="2031">
        <v>597.0</v>
      </c>
      <c r="F3733" s="2031">
        <v>597.0</v>
      </c>
      <c r="G3733" s="2031">
        <v>597.0</v>
      </c>
      <c r="H3733" s="2031">
        <v>597.0</v>
      </c>
    </row>
    <row r="3734">
      <c r="B3734" s="2031">
        <v>3732.0</v>
      </c>
      <c r="C3734" s="2031">
        <v>448.0</v>
      </c>
      <c r="D3734" s="2031">
        <v>896.0</v>
      </c>
      <c r="E3734" s="2031">
        <v>597.0</v>
      </c>
      <c r="F3734" s="2031">
        <v>597.0</v>
      </c>
      <c r="G3734" s="2031">
        <v>597.0</v>
      </c>
      <c r="H3734" s="2031">
        <v>597.0</v>
      </c>
    </row>
    <row r="3735">
      <c r="B3735" s="2031">
        <v>3733.0</v>
      </c>
      <c r="C3735" s="2031">
        <v>448.0</v>
      </c>
      <c r="D3735" s="2031">
        <v>895.0</v>
      </c>
      <c r="E3735" s="2031">
        <v>597.0</v>
      </c>
      <c r="F3735" s="2031">
        <v>597.0</v>
      </c>
      <c r="G3735" s="2031">
        <v>598.0</v>
      </c>
      <c r="H3735" s="2031">
        <v>598.0</v>
      </c>
    </row>
    <row r="3736">
      <c r="B3736" s="2031">
        <v>3734.0</v>
      </c>
      <c r="C3736" s="2031">
        <v>448.0</v>
      </c>
      <c r="D3736" s="2031">
        <v>896.0</v>
      </c>
      <c r="E3736" s="2031">
        <v>597.0</v>
      </c>
      <c r="F3736" s="2031">
        <v>597.0</v>
      </c>
      <c r="G3736" s="2031">
        <v>598.0</v>
      </c>
      <c r="H3736" s="2031">
        <v>598.0</v>
      </c>
    </row>
    <row r="3737">
      <c r="B3737" s="2031">
        <v>3735.0</v>
      </c>
      <c r="C3737" s="2031">
        <v>448.0</v>
      </c>
      <c r="D3737" s="2031">
        <v>897.0</v>
      </c>
      <c r="E3737" s="2031">
        <v>597.0</v>
      </c>
      <c r="F3737" s="2031">
        <v>597.0</v>
      </c>
      <c r="G3737" s="2031">
        <v>598.0</v>
      </c>
      <c r="H3737" s="2031">
        <v>598.0</v>
      </c>
    </row>
    <row r="3738">
      <c r="B3738" s="2031">
        <v>3736.0</v>
      </c>
      <c r="C3738" s="2031">
        <v>448.0</v>
      </c>
      <c r="D3738" s="2031">
        <v>896.0</v>
      </c>
      <c r="E3738" s="2031">
        <v>598.0</v>
      </c>
      <c r="F3738" s="2031">
        <v>598.0</v>
      </c>
      <c r="G3738" s="2031">
        <v>598.0</v>
      </c>
      <c r="H3738" s="2031">
        <v>598.0</v>
      </c>
    </row>
    <row r="3739">
      <c r="B3739" s="2031">
        <v>3737.0</v>
      </c>
      <c r="C3739" s="2031">
        <v>448.0</v>
      </c>
      <c r="D3739" s="2031">
        <v>897.0</v>
      </c>
      <c r="E3739" s="2031">
        <v>598.0</v>
      </c>
      <c r="F3739" s="2031">
        <v>598.0</v>
      </c>
      <c r="G3739" s="2031">
        <v>598.0</v>
      </c>
      <c r="H3739" s="2031">
        <v>598.0</v>
      </c>
    </row>
    <row r="3740">
      <c r="B3740" s="2031">
        <v>3738.0</v>
      </c>
      <c r="C3740" s="2031">
        <v>449.0</v>
      </c>
      <c r="D3740" s="2031">
        <v>897.0</v>
      </c>
      <c r="E3740" s="2031">
        <v>598.0</v>
      </c>
      <c r="F3740" s="2031">
        <v>598.0</v>
      </c>
      <c r="G3740" s="2031">
        <v>598.0</v>
      </c>
      <c r="H3740" s="2031">
        <v>598.0</v>
      </c>
    </row>
    <row r="3741">
      <c r="B3741" s="2031">
        <v>3739.0</v>
      </c>
      <c r="C3741" s="2031">
        <v>449.0</v>
      </c>
      <c r="D3741" s="2031">
        <v>898.0</v>
      </c>
      <c r="E3741" s="2031">
        <v>598.0</v>
      </c>
      <c r="F3741" s="2031">
        <v>598.0</v>
      </c>
      <c r="G3741" s="2031">
        <v>598.0</v>
      </c>
      <c r="H3741" s="2031">
        <v>598.0</v>
      </c>
    </row>
    <row r="3742">
      <c r="B3742" s="2031">
        <v>3740.0</v>
      </c>
      <c r="C3742" s="2031">
        <v>449.0</v>
      </c>
      <c r="D3742" s="2031">
        <v>897.0</v>
      </c>
      <c r="E3742" s="2031">
        <v>598.0</v>
      </c>
      <c r="F3742" s="2031">
        <v>598.0</v>
      </c>
      <c r="G3742" s="2031">
        <v>599.0</v>
      </c>
      <c r="H3742" s="2031">
        <v>599.0</v>
      </c>
    </row>
    <row r="3743">
      <c r="B3743" s="2031">
        <v>3741.0</v>
      </c>
      <c r="C3743" s="2031">
        <v>449.0</v>
      </c>
      <c r="D3743" s="2031">
        <v>898.0</v>
      </c>
      <c r="E3743" s="2031">
        <v>598.0</v>
      </c>
      <c r="F3743" s="2031">
        <v>598.0</v>
      </c>
      <c r="G3743" s="2031">
        <v>599.0</v>
      </c>
      <c r="H3743" s="2031">
        <v>599.0</v>
      </c>
    </row>
    <row r="3744">
      <c r="B3744" s="2031">
        <v>3742.0</v>
      </c>
      <c r="C3744" s="2031">
        <v>449.0</v>
      </c>
      <c r="D3744" s="2031">
        <v>899.0</v>
      </c>
      <c r="E3744" s="2031">
        <v>598.0</v>
      </c>
      <c r="F3744" s="2031">
        <v>598.0</v>
      </c>
      <c r="G3744" s="2031">
        <v>599.0</v>
      </c>
      <c r="H3744" s="2031">
        <v>599.0</v>
      </c>
    </row>
    <row r="3745">
      <c r="B3745" s="2031">
        <v>3743.0</v>
      </c>
      <c r="C3745" s="2031">
        <v>449.0</v>
      </c>
      <c r="D3745" s="2031">
        <v>898.0</v>
      </c>
      <c r="E3745" s="2031">
        <v>599.0</v>
      </c>
      <c r="F3745" s="2031">
        <v>599.0</v>
      </c>
      <c r="G3745" s="2031">
        <v>599.0</v>
      </c>
      <c r="H3745" s="2031">
        <v>599.0</v>
      </c>
    </row>
    <row r="3746">
      <c r="B3746" s="2031">
        <v>3744.0</v>
      </c>
      <c r="C3746" s="2031">
        <v>449.0</v>
      </c>
      <c r="D3746" s="2031">
        <v>899.0</v>
      </c>
      <c r="E3746" s="2031">
        <v>599.0</v>
      </c>
      <c r="F3746" s="2031">
        <v>599.0</v>
      </c>
      <c r="G3746" s="2031">
        <v>599.0</v>
      </c>
      <c r="H3746" s="2031">
        <v>599.0</v>
      </c>
    </row>
    <row r="3747">
      <c r="B3747" s="2031">
        <v>3745.0</v>
      </c>
      <c r="C3747" s="2031">
        <v>450.0</v>
      </c>
      <c r="D3747" s="2031">
        <v>899.0</v>
      </c>
      <c r="E3747" s="2031">
        <v>599.0</v>
      </c>
      <c r="F3747" s="2031">
        <v>599.0</v>
      </c>
      <c r="G3747" s="2031">
        <v>599.0</v>
      </c>
      <c r="H3747" s="2031">
        <v>599.0</v>
      </c>
    </row>
    <row r="3748">
      <c r="B3748" s="2031">
        <v>3746.0</v>
      </c>
      <c r="C3748" s="2031">
        <v>449.0</v>
      </c>
      <c r="D3748" s="2031">
        <v>899.0</v>
      </c>
      <c r="E3748" s="2031">
        <v>599.0</v>
      </c>
      <c r="F3748" s="2031">
        <v>599.0</v>
      </c>
      <c r="G3748" s="2031">
        <v>600.0</v>
      </c>
      <c r="H3748" s="2031">
        <v>600.0</v>
      </c>
    </row>
    <row r="3749">
      <c r="B3749" s="2031">
        <v>3747.0</v>
      </c>
      <c r="C3749" s="2031">
        <v>450.0</v>
      </c>
      <c r="D3749" s="2031">
        <v>899.0</v>
      </c>
      <c r="E3749" s="2031">
        <v>599.0</v>
      </c>
      <c r="F3749" s="2031">
        <v>599.0</v>
      </c>
      <c r="G3749" s="2031">
        <v>600.0</v>
      </c>
      <c r="H3749" s="2031">
        <v>600.0</v>
      </c>
    </row>
    <row r="3750">
      <c r="B3750" s="2031">
        <v>3748.0</v>
      </c>
      <c r="C3750" s="2031">
        <v>449.0</v>
      </c>
      <c r="D3750" s="2031">
        <v>899.0</v>
      </c>
      <c r="E3750" s="2031">
        <v>600.0</v>
      </c>
      <c r="F3750" s="2031">
        <v>600.0</v>
      </c>
      <c r="G3750" s="2031">
        <v>600.0</v>
      </c>
      <c r="H3750" s="2031">
        <v>600.0</v>
      </c>
    </row>
    <row r="3751">
      <c r="B3751" s="2031">
        <v>3749.0</v>
      </c>
      <c r="C3751" s="2031">
        <v>450.0</v>
      </c>
      <c r="D3751" s="2031">
        <v>899.0</v>
      </c>
      <c r="E3751" s="2031">
        <v>600.0</v>
      </c>
      <c r="F3751" s="2031">
        <v>600.0</v>
      </c>
      <c r="G3751" s="2031">
        <v>600.0</v>
      </c>
      <c r="H3751" s="2031">
        <v>600.0</v>
      </c>
    </row>
    <row r="3752">
      <c r="B3752" s="2031">
        <v>3750.0</v>
      </c>
      <c r="C3752" s="2031">
        <v>450.0</v>
      </c>
      <c r="D3752" s="2031">
        <v>900.0</v>
      </c>
      <c r="E3752" s="2031">
        <v>600.0</v>
      </c>
      <c r="F3752" s="2031">
        <v>600.0</v>
      </c>
      <c r="G3752" s="2031">
        <v>600.0</v>
      </c>
      <c r="H3752" s="2031">
        <v>600.0</v>
      </c>
    </row>
    <row r="3753">
      <c r="B3753" s="2031">
        <v>3751.0</v>
      </c>
      <c r="C3753" s="2031">
        <v>450.0</v>
      </c>
      <c r="D3753" s="2031">
        <v>901.0</v>
      </c>
      <c r="E3753" s="2031">
        <v>600.0</v>
      </c>
      <c r="F3753" s="2031">
        <v>600.0</v>
      </c>
      <c r="G3753" s="2031">
        <v>600.0</v>
      </c>
      <c r="H3753" s="2031">
        <v>600.0</v>
      </c>
    </row>
    <row r="3754">
      <c r="B3754" s="2031">
        <v>3752.0</v>
      </c>
      <c r="C3754" s="2031">
        <v>451.0</v>
      </c>
      <c r="D3754" s="2031">
        <v>901.0</v>
      </c>
      <c r="E3754" s="2031">
        <v>600.0</v>
      </c>
      <c r="F3754" s="2031">
        <v>600.0</v>
      </c>
      <c r="G3754" s="2031">
        <v>600.0</v>
      </c>
      <c r="H3754" s="2031">
        <v>600.0</v>
      </c>
    </row>
    <row r="3755">
      <c r="B3755" s="2031">
        <v>3753.0</v>
      </c>
      <c r="C3755" s="2031">
        <v>450.0</v>
      </c>
      <c r="D3755" s="2031">
        <v>901.0</v>
      </c>
      <c r="E3755" s="2031">
        <v>600.0</v>
      </c>
      <c r="F3755" s="2031">
        <v>600.0</v>
      </c>
      <c r="G3755" s="2031">
        <v>601.0</v>
      </c>
      <c r="H3755" s="2031">
        <v>601.0</v>
      </c>
    </row>
    <row r="3756">
      <c r="B3756" s="2031">
        <v>3754.0</v>
      </c>
      <c r="C3756" s="2031">
        <v>451.0</v>
      </c>
      <c r="D3756" s="2031">
        <v>901.0</v>
      </c>
      <c r="E3756" s="2031">
        <v>600.0</v>
      </c>
      <c r="F3756" s="2031">
        <v>600.0</v>
      </c>
      <c r="G3756" s="2031">
        <v>601.0</v>
      </c>
      <c r="H3756" s="2031">
        <v>601.0</v>
      </c>
    </row>
    <row r="3757">
      <c r="B3757" s="2031">
        <v>3755.0</v>
      </c>
      <c r="C3757" s="2031">
        <v>450.0</v>
      </c>
      <c r="D3757" s="2031">
        <v>901.0</v>
      </c>
      <c r="E3757" s="2031">
        <v>601.0</v>
      </c>
      <c r="F3757" s="2031">
        <v>601.0</v>
      </c>
      <c r="G3757" s="2031">
        <v>601.0</v>
      </c>
      <c r="H3757" s="2031">
        <v>601.0</v>
      </c>
    </row>
    <row r="3758">
      <c r="B3758" s="2031">
        <v>3756.0</v>
      </c>
      <c r="C3758" s="2031">
        <v>451.0</v>
      </c>
      <c r="D3758" s="2031">
        <v>901.0</v>
      </c>
      <c r="E3758" s="2031">
        <v>601.0</v>
      </c>
      <c r="F3758" s="2031">
        <v>601.0</v>
      </c>
      <c r="G3758" s="2031">
        <v>601.0</v>
      </c>
      <c r="H3758" s="2031">
        <v>601.0</v>
      </c>
    </row>
    <row r="3759">
      <c r="B3759" s="2031">
        <v>3757.0</v>
      </c>
      <c r="C3759" s="2031">
        <v>451.0</v>
      </c>
      <c r="D3759" s="2031">
        <v>902.0</v>
      </c>
      <c r="E3759" s="2031">
        <v>601.0</v>
      </c>
      <c r="F3759" s="2031">
        <v>601.0</v>
      </c>
      <c r="G3759" s="2031">
        <v>601.0</v>
      </c>
      <c r="H3759" s="2031">
        <v>601.0</v>
      </c>
    </row>
    <row r="3760">
      <c r="B3760" s="2031">
        <v>3758.0</v>
      </c>
      <c r="C3760" s="2031">
        <v>451.0</v>
      </c>
      <c r="D3760" s="2031">
        <v>901.0</v>
      </c>
      <c r="E3760" s="2031">
        <v>601.0</v>
      </c>
      <c r="F3760" s="2031">
        <v>601.0</v>
      </c>
      <c r="G3760" s="2031">
        <v>602.0</v>
      </c>
      <c r="H3760" s="2031">
        <v>602.0</v>
      </c>
    </row>
    <row r="3761">
      <c r="B3761" s="2031">
        <v>3759.0</v>
      </c>
      <c r="C3761" s="2031">
        <v>451.0</v>
      </c>
      <c r="D3761" s="2031">
        <v>902.0</v>
      </c>
      <c r="E3761" s="2031">
        <v>601.0</v>
      </c>
      <c r="F3761" s="2031">
        <v>601.0</v>
      </c>
      <c r="G3761" s="2031">
        <v>602.0</v>
      </c>
      <c r="H3761" s="2031">
        <v>602.0</v>
      </c>
    </row>
    <row r="3762">
      <c r="B3762" s="2031">
        <v>3760.0</v>
      </c>
      <c r="C3762" s="2031">
        <v>451.0</v>
      </c>
      <c r="D3762" s="2031">
        <v>903.0</v>
      </c>
      <c r="E3762" s="2031">
        <v>601.0</v>
      </c>
      <c r="F3762" s="2031">
        <v>601.0</v>
      </c>
      <c r="G3762" s="2031">
        <v>602.0</v>
      </c>
      <c r="H3762" s="2031">
        <v>602.0</v>
      </c>
    </row>
    <row r="3763">
      <c r="B3763" s="2031">
        <v>3761.0</v>
      </c>
      <c r="C3763" s="2031">
        <v>451.0</v>
      </c>
      <c r="D3763" s="2031">
        <v>902.0</v>
      </c>
      <c r="E3763" s="2031">
        <v>602.0</v>
      </c>
      <c r="F3763" s="2031">
        <v>602.0</v>
      </c>
      <c r="G3763" s="2031">
        <v>602.0</v>
      </c>
      <c r="H3763" s="2031">
        <v>602.0</v>
      </c>
    </row>
    <row r="3764">
      <c r="B3764" s="2031">
        <v>3762.0</v>
      </c>
      <c r="C3764" s="2031">
        <v>451.0</v>
      </c>
      <c r="D3764" s="2031">
        <v>903.0</v>
      </c>
      <c r="E3764" s="2031">
        <v>602.0</v>
      </c>
      <c r="F3764" s="2031">
        <v>602.0</v>
      </c>
      <c r="G3764" s="2031">
        <v>602.0</v>
      </c>
      <c r="H3764" s="2031">
        <v>602.0</v>
      </c>
    </row>
    <row r="3765">
      <c r="B3765" s="2031">
        <v>3763.0</v>
      </c>
      <c r="C3765" s="2031">
        <v>452.0</v>
      </c>
      <c r="D3765" s="2031">
        <v>903.0</v>
      </c>
      <c r="E3765" s="2031">
        <v>602.0</v>
      </c>
      <c r="F3765" s="2031">
        <v>602.0</v>
      </c>
      <c r="G3765" s="2031">
        <v>602.0</v>
      </c>
      <c r="H3765" s="2031">
        <v>602.0</v>
      </c>
    </row>
    <row r="3766">
      <c r="B3766" s="2031">
        <v>3764.0</v>
      </c>
      <c r="C3766" s="2031">
        <v>452.0</v>
      </c>
      <c r="D3766" s="2031">
        <v>904.0</v>
      </c>
      <c r="E3766" s="2031">
        <v>602.0</v>
      </c>
      <c r="F3766" s="2031">
        <v>602.0</v>
      </c>
      <c r="G3766" s="2031">
        <v>602.0</v>
      </c>
      <c r="H3766" s="2031">
        <v>602.0</v>
      </c>
    </row>
    <row r="3767">
      <c r="B3767" s="2031">
        <v>3765.0</v>
      </c>
      <c r="C3767" s="2031">
        <v>452.0</v>
      </c>
      <c r="D3767" s="2031">
        <v>903.0</v>
      </c>
      <c r="E3767" s="2031">
        <v>602.0</v>
      </c>
      <c r="F3767" s="2031">
        <v>602.0</v>
      </c>
      <c r="G3767" s="2031">
        <v>603.0</v>
      </c>
      <c r="H3767" s="2031">
        <v>603.0</v>
      </c>
    </row>
    <row r="3768">
      <c r="B3768" s="2031">
        <v>3766.0</v>
      </c>
      <c r="C3768" s="2031">
        <v>452.0</v>
      </c>
      <c r="D3768" s="2031">
        <v>904.0</v>
      </c>
      <c r="E3768" s="2031">
        <v>602.0</v>
      </c>
      <c r="F3768" s="2031">
        <v>602.0</v>
      </c>
      <c r="G3768" s="2031">
        <v>603.0</v>
      </c>
      <c r="H3768" s="2031">
        <v>603.0</v>
      </c>
    </row>
    <row r="3769">
      <c r="B3769" s="2031">
        <v>3767.0</v>
      </c>
      <c r="C3769" s="2031">
        <v>452.0</v>
      </c>
      <c r="D3769" s="2031">
        <v>905.0</v>
      </c>
      <c r="E3769" s="2031">
        <v>602.0</v>
      </c>
      <c r="F3769" s="2031">
        <v>602.0</v>
      </c>
      <c r="G3769" s="2031">
        <v>603.0</v>
      </c>
      <c r="H3769" s="2031">
        <v>603.0</v>
      </c>
    </row>
    <row r="3770">
      <c r="B3770" s="2031">
        <v>3768.0</v>
      </c>
      <c r="C3770" s="2031">
        <v>452.0</v>
      </c>
      <c r="D3770" s="2031">
        <v>904.0</v>
      </c>
      <c r="E3770" s="2031">
        <v>603.0</v>
      </c>
      <c r="F3770" s="2031">
        <v>603.0</v>
      </c>
      <c r="G3770" s="2031">
        <v>603.0</v>
      </c>
      <c r="H3770" s="2031">
        <v>603.0</v>
      </c>
    </row>
    <row r="3771">
      <c r="B3771" s="2031">
        <v>3769.0</v>
      </c>
      <c r="C3771" s="2031">
        <v>452.0</v>
      </c>
      <c r="D3771" s="2031">
        <v>905.0</v>
      </c>
      <c r="E3771" s="2031">
        <v>603.0</v>
      </c>
      <c r="F3771" s="2031">
        <v>603.0</v>
      </c>
      <c r="G3771" s="2031">
        <v>603.0</v>
      </c>
      <c r="H3771" s="2031">
        <v>603.0</v>
      </c>
    </row>
    <row r="3772">
      <c r="B3772" s="2031">
        <v>3770.0</v>
      </c>
      <c r="C3772" s="2031">
        <v>453.0</v>
      </c>
      <c r="D3772" s="2031">
        <v>905.0</v>
      </c>
      <c r="E3772" s="2031">
        <v>603.0</v>
      </c>
      <c r="F3772" s="2031">
        <v>603.0</v>
      </c>
      <c r="G3772" s="2031">
        <v>603.0</v>
      </c>
      <c r="H3772" s="2031">
        <v>603.0</v>
      </c>
    </row>
    <row r="3773">
      <c r="B3773" s="2031">
        <v>3771.0</v>
      </c>
      <c r="C3773" s="2031">
        <v>452.0</v>
      </c>
      <c r="D3773" s="2031">
        <v>905.0</v>
      </c>
      <c r="E3773" s="2031">
        <v>603.0</v>
      </c>
      <c r="F3773" s="2031">
        <v>603.0</v>
      </c>
      <c r="G3773" s="2031">
        <v>604.0</v>
      </c>
      <c r="H3773" s="2031">
        <v>604.0</v>
      </c>
    </row>
    <row r="3774">
      <c r="B3774" s="2031">
        <v>3772.0</v>
      </c>
      <c r="C3774" s="2031">
        <v>453.0</v>
      </c>
      <c r="D3774" s="2031">
        <v>905.0</v>
      </c>
      <c r="E3774" s="2031">
        <v>603.0</v>
      </c>
      <c r="F3774" s="2031">
        <v>603.0</v>
      </c>
      <c r="G3774" s="2031">
        <v>604.0</v>
      </c>
      <c r="H3774" s="2031">
        <v>604.0</v>
      </c>
    </row>
    <row r="3775">
      <c r="B3775" s="2031">
        <v>3773.0</v>
      </c>
      <c r="C3775" s="2031">
        <v>452.0</v>
      </c>
      <c r="D3775" s="2031">
        <v>905.0</v>
      </c>
      <c r="E3775" s="2031">
        <v>604.0</v>
      </c>
      <c r="F3775" s="2031">
        <v>604.0</v>
      </c>
      <c r="G3775" s="2031">
        <v>604.0</v>
      </c>
      <c r="H3775" s="2031">
        <v>604.0</v>
      </c>
    </row>
    <row r="3776">
      <c r="B3776" s="2031">
        <v>3774.0</v>
      </c>
      <c r="C3776" s="2031">
        <v>453.0</v>
      </c>
      <c r="D3776" s="2031">
        <v>905.0</v>
      </c>
      <c r="E3776" s="2031">
        <v>604.0</v>
      </c>
      <c r="F3776" s="2031">
        <v>604.0</v>
      </c>
      <c r="G3776" s="2031">
        <v>604.0</v>
      </c>
      <c r="H3776" s="2031">
        <v>604.0</v>
      </c>
    </row>
    <row r="3777">
      <c r="B3777" s="2031">
        <v>3775.0</v>
      </c>
      <c r="C3777" s="2031">
        <v>453.0</v>
      </c>
      <c r="D3777" s="2031">
        <v>906.0</v>
      </c>
      <c r="E3777" s="2031">
        <v>604.0</v>
      </c>
      <c r="F3777" s="2031">
        <v>604.0</v>
      </c>
      <c r="G3777" s="2031">
        <v>604.0</v>
      </c>
      <c r="H3777" s="2031">
        <v>604.0</v>
      </c>
    </row>
    <row r="3778">
      <c r="B3778" s="2031">
        <v>3776.0</v>
      </c>
      <c r="C3778" s="2031">
        <v>453.0</v>
      </c>
      <c r="D3778" s="2031">
        <v>907.0</v>
      </c>
      <c r="E3778" s="2031">
        <v>604.0</v>
      </c>
      <c r="F3778" s="2031">
        <v>604.0</v>
      </c>
      <c r="G3778" s="2031">
        <v>604.0</v>
      </c>
      <c r="H3778" s="2031">
        <v>604.0</v>
      </c>
    </row>
    <row r="3779">
      <c r="B3779" s="2031">
        <v>3777.0</v>
      </c>
      <c r="C3779" s="2031">
        <v>454.0</v>
      </c>
      <c r="D3779" s="2031">
        <v>907.0</v>
      </c>
      <c r="E3779" s="2031">
        <v>604.0</v>
      </c>
      <c r="F3779" s="2031">
        <v>604.0</v>
      </c>
      <c r="G3779" s="2031">
        <v>604.0</v>
      </c>
      <c r="H3779" s="2031">
        <v>604.0</v>
      </c>
    </row>
    <row r="3780">
      <c r="B3780" s="2031">
        <v>3778.0</v>
      </c>
      <c r="C3780" s="2031">
        <v>453.0</v>
      </c>
      <c r="D3780" s="2031">
        <v>907.0</v>
      </c>
      <c r="E3780" s="2031">
        <v>604.0</v>
      </c>
      <c r="F3780" s="2031">
        <v>604.0</v>
      </c>
      <c r="G3780" s="2031">
        <v>605.0</v>
      </c>
      <c r="H3780" s="2031">
        <v>605.0</v>
      </c>
    </row>
    <row r="3781">
      <c r="B3781" s="2031">
        <v>3779.0</v>
      </c>
      <c r="C3781" s="2031">
        <v>454.0</v>
      </c>
      <c r="D3781" s="2031">
        <v>907.0</v>
      </c>
      <c r="E3781" s="2031">
        <v>604.0</v>
      </c>
      <c r="F3781" s="2031">
        <v>604.0</v>
      </c>
      <c r="G3781" s="2031">
        <v>605.0</v>
      </c>
      <c r="H3781" s="2031">
        <v>605.0</v>
      </c>
    </row>
    <row r="3782">
      <c r="B3782" s="2031">
        <v>3780.0</v>
      </c>
      <c r="C3782" s="2031">
        <v>453.0</v>
      </c>
      <c r="D3782" s="2031">
        <v>907.0</v>
      </c>
      <c r="E3782" s="2031">
        <v>605.0</v>
      </c>
      <c r="F3782" s="2031">
        <v>605.0</v>
      </c>
      <c r="G3782" s="2031">
        <v>605.0</v>
      </c>
      <c r="H3782" s="2031">
        <v>605.0</v>
      </c>
    </row>
    <row r="3783">
      <c r="B3783" s="2031">
        <v>3781.0</v>
      </c>
      <c r="C3783" s="2031">
        <v>454.0</v>
      </c>
      <c r="D3783" s="2031">
        <v>907.0</v>
      </c>
      <c r="E3783" s="2031">
        <v>605.0</v>
      </c>
      <c r="F3783" s="2031">
        <v>605.0</v>
      </c>
      <c r="G3783" s="2031">
        <v>605.0</v>
      </c>
      <c r="H3783" s="2031">
        <v>605.0</v>
      </c>
    </row>
    <row r="3784">
      <c r="B3784" s="2031">
        <v>3782.0</v>
      </c>
      <c r="C3784" s="2031">
        <v>454.0</v>
      </c>
      <c r="D3784" s="2031">
        <v>908.0</v>
      </c>
      <c r="E3784" s="2031">
        <v>605.0</v>
      </c>
      <c r="F3784" s="2031">
        <v>605.0</v>
      </c>
      <c r="G3784" s="2031">
        <v>605.0</v>
      </c>
      <c r="H3784" s="2031">
        <v>605.0</v>
      </c>
    </row>
    <row r="3785">
      <c r="B3785" s="2031">
        <v>3783.0</v>
      </c>
      <c r="C3785" s="2031">
        <v>454.0</v>
      </c>
      <c r="D3785" s="2031">
        <v>907.0</v>
      </c>
      <c r="E3785" s="2031">
        <v>605.0</v>
      </c>
      <c r="F3785" s="2031">
        <v>605.0</v>
      </c>
      <c r="G3785" s="2031">
        <v>606.0</v>
      </c>
      <c r="H3785" s="2031">
        <v>606.0</v>
      </c>
    </row>
    <row r="3786">
      <c r="B3786" s="2031">
        <v>3784.0</v>
      </c>
      <c r="C3786" s="2031">
        <v>454.0</v>
      </c>
      <c r="D3786" s="2031">
        <v>908.0</v>
      </c>
      <c r="E3786" s="2031">
        <v>605.0</v>
      </c>
      <c r="F3786" s="2031">
        <v>605.0</v>
      </c>
      <c r="G3786" s="2031">
        <v>606.0</v>
      </c>
      <c r="H3786" s="2031">
        <v>606.0</v>
      </c>
    </row>
    <row r="3787">
      <c r="B3787" s="2031">
        <v>3785.0</v>
      </c>
      <c r="C3787" s="2031">
        <v>454.0</v>
      </c>
      <c r="D3787" s="2031">
        <v>909.0</v>
      </c>
      <c r="E3787" s="2031">
        <v>605.0</v>
      </c>
      <c r="F3787" s="2031">
        <v>605.0</v>
      </c>
      <c r="G3787" s="2031">
        <v>606.0</v>
      </c>
      <c r="H3787" s="2031">
        <v>606.0</v>
      </c>
    </row>
    <row r="3788">
      <c r="B3788" s="2031">
        <v>3786.0</v>
      </c>
      <c r="C3788" s="2031">
        <v>454.0</v>
      </c>
      <c r="D3788" s="2031">
        <v>908.0</v>
      </c>
      <c r="E3788" s="2031">
        <v>606.0</v>
      </c>
      <c r="F3788" s="2031">
        <v>606.0</v>
      </c>
      <c r="G3788" s="2031">
        <v>606.0</v>
      </c>
      <c r="H3788" s="2031">
        <v>606.0</v>
      </c>
    </row>
    <row r="3789">
      <c r="B3789" s="2031">
        <v>3787.0</v>
      </c>
      <c r="C3789" s="2031">
        <v>454.0</v>
      </c>
      <c r="D3789" s="2031">
        <v>909.0</v>
      </c>
      <c r="E3789" s="2031">
        <v>606.0</v>
      </c>
      <c r="F3789" s="2031">
        <v>606.0</v>
      </c>
      <c r="G3789" s="2031">
        <v>606.0</v>
      </c>
      <c r="H3789" s="2031">
        <v>606.0</v>
      </c>
    </row>
    <row r="3790">
      <c r="B3790" s="2031">
        <v>3788.0</v>
      </c>
      <c r="C3790" s="2031">
        <v>455.0</v>
      </c>
      <c r="D3790" s="2031">
        <v>909.0</v>
      </c>
      <c r="E3790" s="2031">
        <v>606.0</v>
      </c>
      <c r="F3790" s="2031">
        <v>606.0</v>
      </c>
      <c r="G3790" s="2031">
        <v>606.0</v>
      </c>
      <c r="H3790" s="2031">
        <v>606.0</v>
      </c>
    </row>
    <row r="3791">
      <c r="B3791" s="2031">
        <v>3789.0</v>
      </c>
      <c r="C3791" s="2031">
        <v>455.0</v>
      </c>
      <c r="D3791" s="2031">
        <v>910.0</v>
      </c>
      <c r="E3791" s="2031">
        <v>606.0</v>
      </c>
      <c r="F3791" s="2031">
        <v>606.0</v>
      </c>
      <c r="G3791" s="2031">
        <v>606.0</v>
      </c>
      <c r="H3791" s="2031">
        <v>606.0</v>
      </c>
    </row>
    <row r="3792">
      <c r="B3792" s="2031">
        <v>3790.0</v>
      </c>
      <c r="C3792" s="2031">
        <v>455.0</v>
      </c>
      <c r="D3792" s="2031">
        <v>909.0</v>
      </c>
      <c r="E3792" s="2031">
        <v>606.0</v>
      </c>
      <c r="F3792" s="2031">
        <v>606.0</v>
      </c>
      <c r="G3792" s="2031">
        <v>607.0</v>
      </c>
      <c r="H3792" s="2031">
        <v>607.0</v>
      </c>
    </row>
    <row r="3793">
      <c r="B3793" s="2031">
        <v>3791.0</v>
      </c>
      <c r="C3793" s="2031">
        <v>455.0</v>
      </c>
      <c r="D3793" s="2031">
        <v>910.0</v>
      </c>
      <c r="E3793" s="2031">
        <v>606.0</v>
      </c>
      <c r="F3793" s="2031">
        <v>606.0</v>
      </c>
      <c r="G3793" s="2031">
        <v>607.0</v>
      </c>
      <c r="H3793" s="2031">
        <v>607.0</v>
      </c>
    </row>
    <row r="3794">
      <c r="B3794" s="2031">
        <v>3792.0</v>
      </c>
      <c r="C3794" s="2031">
        <v>455.0</v>
      </c>
      <c r="D3794" s="2031">
        <v>911.0</v>
      </c>
      <c r="E3794" s="2031">
        <v>606.0</v>
      </c>
      <c r="F3794" s="2031">
        <v>606.0</v>
      </c>
      <c r="G3794" s="2031">
        <v>607.0</v>
      </c>
      <c r="H3794" s="2031">
        <v>607.0</v>
      </c>
    </row>
    <row r="3795">
      <c r="B3795" s="2031">
        <v>3793.0</v>
      </c>
      <c r="C3795" s="2031">
        <v>455.0</v>
      </c>
      <c r="D3795" s="2031">
        <v>910.0</v>
      </c>
      <c r="E3795" s="2031">
        <v>607.0</v>
      </c>
      <c r="F3795" s="2031">
        <v>607.0</v>
      </c>
      <c r="G3795" s="2031">
        <v>607.0</v>
      </c>
      <c r="H3795" s="2031">
        <v>607.0</v>
      </c>
    </row>
    <row r="3796">
      <c r="B3796" s="2031">
        <v>3794.0</v>
      </c>
      <c r="C3796" s="2031">
        <v>455.0</v>
      </c>
      <c r="D3796" s="2031">
        <v>911.0</v>
      </c>
      <c r="E3796" s="2031">
        <v>607.0</v>
      </c>
      <c r="F3796" s="2031">
        <v>607.0</v>
      </c>
      <c r="G3796" s="2031">
        <v>607.0</v>
      </c>
      <c r="H3796" s="2031">
        <v>607.0</v>
      </c>
    </row>
    <row r="3797">
      <c r="B3797" s="2031">
        <v>3795.0</v>
      </c>
      <c r="C3797" s="2031">
        <v>456.0</v>
      </c>
      <c r="D3797" s="2031">
        <v>911.0</v>
      </c>
      <c r="E3797" s="2031">
        <v>607.0</v>
      </c>
      <c r="F3797" s="2031">
        <v>607.0</v>
      </c>
      <c r="G3797" s="2031">
        <v>607.0</v>
      </c>
      <c r="H3797" s="2031">
        <v>607.0</v>
      </c>
    </row>
    <row r="3798">
      <c r="B3798" s="2031">
        <v>3796.0</v>
      </c>
      <c r="C3798" s="2031">
        <v>455.0</v>
      </c>
      <c r="D3798" s="2031">
        <v>911.0</v>
      </c>
      <c r="E3798" s="2031">
        <v>607.0</v>
      </c>
      <c r="F3798" s="2031">
        <v>607.0</v>
      </c>
      <c r="G3798" s="2031">
        <v>608.0</v>
      </c>
      <c r="H3798" s="2031">
        <v>608.0</v>
      </c>
    </row>
    <row r="3799">
      <c r="B3799" s="2031">
        <v>3797.0</v>
      </c>
      <c r="C3799" s="2031">
        <v>456.0</v>
      </c>
      <c r="D3799" s="2031">
        <v>911.0</v>
      </c>
      <c r="E3799" s="2031">
        <v>607.0</v>
      </c>
      <c r="F3799" s="2031">
        <v>607.0</v>
      </c>
      <c r="G3799" s="2031">
        <v>608.0</v>
      </c>
      <c r="H3799" s="2031">
        <v>608.0</v>
      </c>
    </row>
    <row r="3800">
      <c r="B3800" s="2031">
        <v>3798.0</v>
      </c>
      <c r="C3800" s="2031">
        <v>455.0</v>
      </c>
      <c r="D3800" s="2031">
        <v>911.0</v>
      </c>
      <c r="E3800" s="2031">
        <v>608.0</v>
      </c>
      <c r="F3800" s="2031">
        <v>608.0</v>
      </c>
      <c r="G3800" s="2031">
        <v>608.0</v>
      </c>
      <c r="H3800" s="2031">
        <v>608.0</v>
      </c>
    </row>
    <row r="3801">
      <c r="B3801" s="2031">
        <v>3799.0</v>
      </c>
      <c r="C3801" s="2031">
        <v>456.0</v>
      </c>
      <c r="D3801" s="2031">
        <v>911.0</v>
      </c>
      <c r="E3801" s="2031">
        <v>608.0</v>
      </c>
      <c r="F3801" s="2031">
        <v>608.0</v>
      </c>
      <c r="G3801" s="2031">
        <v>608.0</v>
      </c>
      <c r="H3801" s="2031">
        <v>608.0</v>
      </c>
    </row>
    <row r="3802">
      <c r="B3802" s="2031">
        <v>3800.0</v>
      </c>
      <c r="C3802" s="2031">
        <v>456.0</v>
      </c>
      <c r="D3802" s="2031">
        <v>912.0</v>
      </c>
      <c r="E3802" s="2031">
        <v>608.0</v>
      </c>
      <c r="F3802" s="2031">
        <v>608.0</v>
      </c>
      <c r="G3802" s="2031">
        <v>608.0</v>
      </c>
      <c r="H3802" s="2031">
        <v>608.0</v>
      </c>
    </row>
    <row r="3803">
      <c r="B3803" s="2031">
        <v>3801.0</v>
      </c>
      <c r="C3803" s="2031">
        <v>456.0</v>
      </c>
      <c r="D3803" s="2031">
        <v>913.0</v>
      </c>
      <c r="E3803" s="2031">
        <v>608.0</v>
      </c>
      <c r="F3803" s="2031">
        <v>608.0</v>
      </c>
      <c r="G3803" s="2031">
        <v>608.0</v>
      </c>
      <c r="H3803" s="2031">
        <v>608.0</v>
      </c>
    </row>
    <row r="3804">
      <c r="B3804" s="2031">
        <v>3802.0</v>
      </c>
      <c r="C3804" s="2031">
        <v>457.0</v>
      </c>
      <c r="D3804" s="2031">
        <v>913.0</v>
      </c>
      <c r="E3804" s="2031">
        <v>608.0</v>
      </c>
      <c r="F3804" s="2031">
        <v>608.0</v>
      </c>
      <c r="G3804" s="2031">
        <v>608.0</v>
      </c>
      <c r="H3804" s="2031">
        <v>608.0</v>
      </c>
    </row>
    <row r="3805">
      <c r="B3805" s="2031">
        <v>3803.0</v>
      </c>
      <c r="C3805" s="2031">
        <v>456.0</v>
      </c>
      <c r="D3805" s="2031">
        <v>913.0</v>
      </c>
      <c r="E3805" s="2031">
        <v>608.0</v>
      </c>
      <c r="F3805" s="2031">
        <v>608.0</v>
      </c>
      <c r="G3805" s="2031">
        <v>609.0</v>
      </c>
      <c r="H3805" s="2031">
        <v>609.0</v>
      </c>
    </row>
    <row r="3806">
      <c r="B3806" s="2031">
        <v>3804.0</v>
      </c>
      <c r="C3806" s="2031">
        <v>457.0</v>
      </c>
      <c r="D3806" s="2031">
        <v>913.0</v>
      </c>
      <c r="E3806" s="2031">
        <v>608.0</v>
      </c>
      <c r="F3806" s="2031">
        <v>608.0</v>
      </c>
      <c r="G3806" s="2031">
        <v>609.0</v>
      </c>
      <c r="H3806" s="2031">
        <v>609.0</v>
      </c>
    </row>
    <row r="3807">
      <c r="B3807" s="2031">
        <v>3805.0</v>
      </c>
      <c r="C3807" s="2031">
        <v>456.0</v>
      </c>
      <c r="D3807" s="2031">
        <v>913.0</v>
      </c>
      <c r="E3807" s="2031">
        <v>609.0</v>
      </c>
      <c r="F3807" s="2031">
        <v>609.0</v>
      </c>
      <c r="G3807" s="2031">
        <v>609.0</v>
      </c>
      <c r="H3807" s="2031">
        <v>609.0</v>
      </c>
    </row>
    <row r="3808">
      <c r="B3808" s="2031">
        <v>3806.0</v>
      </c>
      <c r="C3808" s="2031">
        <v>457.0</v>
      </c>
      <c r="D3808" s="2031">
        <v>913.0</v>
      </c>
      <c r="E3808" s="2031">
        <v>609.0</v>
      </c>
      <c r="F3808" s="2031">
        <v>609.0</v>
      </c>
      <c r="G3808" s="2031">
        <v>609.0</v>
      </c>
      <c r="H3808" s="2031">
        <v>609.0</v>
      </c>
    </row>
    <row r="3809">
      <c r="B3809" s="2031">
        <v>3807.0</v>
      </c>
      <c r="C3809" s="2031">
        <v>457.0</v>
      </c>
      <c r="D3809" s="2031">
        <v>914.0</v>
      </c>
      <c r="E3809" s="2031">
        <v>609.0</v>
      </c>
      <c r="F3809" s="2031">
        <v>609.0</v>
      </c>
      <c r="G3809" s="2031">
        <v>609.0</v>
      </c>
      <c r="H3809" s="2031">
        <v>609.0</v>
      </c>
    </row>
    <row r="3810">
      <c r="B3810" s="2031">
        <v>3808.0</v>
      </c>
      <c r="C3810" s="2031">
        <v>457.0</v>
      </c>
      <c r="D3810" s="2031">
        <v>913.0</v>
      </c>
      <c r="E3810" s="2031">
        <v>609.0</v>
      </c>
      <c r="F3810" s="2031">
        <v>609.0</v>
      </c>
      <c r="G3810" s="2031">
        <v>610.0</v>
      </c>
      <c r="H3810" s="2031">
        <v>610.0</v>
      </c>
    </row>
    <row r="3811">
      <c r="B3811" s="2031">
        <v>3809.0</v>
      </c>
      <c r="C3811" s="2031">
        <v>457.0</v>
      </c>
      <c r="D3811" s="2031">
        <v>914.0</v>
      </c>
      <c r="E3811" s="2031">
        <v>609.0</v>
      </c>
      <c r="F3811" s="2031">
        <v>609.0</v>
      </c>
      <c r="G3811" s="2031">
        <v>610.0</v>
      </c>
      <c r="H3811" s="2031">
        <v>610.0</v>
      </c>
    </row>
    <row r="3812">
      <c r="B3812" s="2031">
        <v>3810.0</v>
      </c>
      <c r="C3812" s="2031">
        <v>457.0</v>
      </c>
      <c r="D3812" s="2031">
        <v>915.0</v>
      </c>
      <c r="E3812" s="2031">
        <v>609.0</v>
      </c>
      <c r="F3812" s="2031">
        <v>609.0</v>
      </c>
      <c r="G3812" s="2031">
        <v>610.0</v>
      </c>
      <c r="H3812" s="2031">
        <v>610.0</v>
      </c>
    </row>
    <row r="3813">
      <c r="B3813" s="2031">
        <v>3811.0</v>
      </c>
      <c r="C3813" s="2031">
        <v>457.0</v>
      </c>
      <c r="D3813" s="2031">
        <v>914.0</v>
      </c>
      <c r="E3813" s="2031">
        <v>610.0</v>
      </c>
      <c r="F3813" s="2031">
        <v>610.0</v>
      </c>
      <c r="G3813" s="2031">
        <v>610.0</v>
      </c>
      <c r="H3813" s="2031">
        <v>610.0</v>
      </c>
    </row>
    <row r="3814">
      <c r="B3814" s="2031">
        <v>3812.0</v>
      </c>
      <c r="C3814" s="2031">
        <v>457.0</v>
      </c>
      <c r="D3814" s="2031">
        <v>915.0</v>
      </c>
      <c r="E3814" s="2031">
        <v>610.0</v>
      </c>
      <c r="F3814" s="2031">
        <v>610.0</v>
      </c>
      <c r="G3814" s="2031">
        <v>610.0</v>
      </c>
      <c r="H3814" s="2031">
        <v>610.0</v>
      </c>
    </row>
    <row r="3815">
      <c r="B3815" s="2031">
        <v>3813.0</v>
      </c>
      <c r="C3815" s="2031">
        <v>458.0</v>
      </c>
      <c r="D3815" s="2031">
        <v>915.0</v>
      </c>
      <c r="E3815" s="2031">
        <v>610.0</v>
      </c>
      <c r="F3815" s="2031">
        <v>610.0</v>
      </c>
      <c r="G3815" s="2031">
        <v>610.0</v>
      </c>
      <c r="H3815" s="2031">
        <v>610.0</v>
      </c>
    </row>
    <row r="3816">
      <c r="B3816" s="2031">
        <v>3814.0</v>
      </c>
      <c r="C3816" s="2031">
        <v>458.0</v>
      </c>
      <c r="D3816" s="2031">
        <v>916.0</v>
      </c>
      <c r="E3816" s="2031">
        <v>610.0</v>
      </c>
      <c r="F3816" s="2031">
        <v>610.0</v>
      </c>
      <c r="G3816" s="2031">
        <v>610.0</v>
      </c>
      <c r="H3816" s="2031">
        <v>610.0</v>
      </c>
    </row>
    <row r="3817">
      <c r="B3817" s="2031">
        <v>3815.0</v>
      </c>
      <c r="C3817" s="2031">
        <v>458.0</v>
      </c>
      <c r="D3817" s="2031">
        <v>915.0</v>
      </c>
      <c r="E3817" s="2031">
        <v>610.0</v>
      </c>
      <c r="F3817" s="2031">
        <v>610.0</v>
      </c>
      <c r="G3817" s="2031">
        <v>611.0</v>
      </c>
      <c r="H3817" s="2031">
        <v>611.0</v>
      </c>
    </row>
    <row r="3818">
      <c r="B3818" s="2031">
        <v>3816.0</v>
      </c>
      <c r="C3818" s="2031">
        <v>458.0</v>
      </c>
      <c r="D3818" s="2031">
        <v>916.0</v>
      </c>
      <c r="E3818" s="2031">
        <v>610.0</v>
      </c>
      <c r="F3818" s="2031">
        <v>610.0</v>
      </c>
      <c r="G3818" s="2031">
        <v>611.0</v>
      </c>
      <c r="H3818" s="2031">
        <v>611.0</v>
      </c>
    </row>
    <row r="3819">
      <c r="B3819" s="2031">
        <v>3817.0</v>
      </c>
      <c r="C3819" s="2031">
        <v>458.0</v>
      </c>
      <c r="D3819" s="2031">
        <v>917.0</v>
      </c>
      <c r="E3819" s="2031">
        <v>610.0</v>
      </c>
      <c r="F3819" s="2031">
        <v>610.0</v>
      </c>
      <c r="G3819" s="2031">
        <v>611.0</v>
      </c>
      <c r="H3819" s="2031">
        <v>611.0</v>
      </c>
    </row>
    <row r="3820">
      <c r="B3820" s="2031">
        <v>3818.0</v>
      </c>
      <c r="C3820" s="2031">
        <v>458.0</v>
      </c>
      <c r="D3820" s="2031">
        <v>916.0</v>
      </c>
      <c r="E3820" s="2031">
        <v>611.0</v>
      </c>
      <c r="F3820" s="2031">
        <v>611.0</v>
      </c>
      <c r="G3820" s="2031">
        <v>611.0</v>
      </c>
      <c r="H3820" s="2031">
        <v>611.0</v>
      </c>
    </row>
    <row r="3821">
      <c r="B3821" s="2031">
        <v>3819.0</v>
      </c>
      <c r="C3821" s="2031">
        <v>458.0</v>
      </c>
      <c r="D3821" s="2031">
        <v>917.0</v>
      </c>
      <c r="E3821" s="2031">
        <v>611.0</v>
      </c>
      <c r="F3821" s="2031">
        <v>611.0</v>
      </c>
      <c r="G3821" s="2031">
        <v>611.0</v>
      </c>
      <c r="H3821" s="2031">
        <v>611.0</v>
      </c>
    </row>
    <row r="3822">
      <c r="B3822" s="2031">
        <v>3820.0</v>
      </c>
      <c r="C3822" s="2031">
        <v>459.0</v>
      </c>
      <c r="D3822" s="2031">
        <v>917.0</v>
      </c>
      <c r="E3822" s="2031">
        <v>611.0</v>
      </c>
      <c r="F3822" s="2031">
        <v>611.0</v>
      </c>
      <c r="G3822" s="2031">
        <v>611.0</v>
      </c>
      <c r="H3822" s="2031">
        <v>611.0</v>
      </c>
    </row>
    <row r="3823">
      <c r="B3823" s="2031">
        <v>3821.0</v>
      </c>
      <c r="C3823" s="2031">
        <v>458.0</v>
      </c>
      <c r="D3823" s="2031">
        <v>917.0</v>
      </c>
      <c r="E3823" s="2031">
        <v>611.0</v>
      </c>
      <c r="F3823" s="2031">
        <v>611.0</v>
      </c>
      <c r="G3823" s="2031">
        <v>612.0</v>
      </c>
      <c r="H3823" s="2031">
        <v>612.0</v>
      </c>
    </row>
    <row r="3824">
      <c r="B3824" s="2031">
        <v>3822.0</v>
      </c>
      <c r="C3824" s="2031">
        <v>459.0</v>
      </c>
      <c r="D3824" s="2031">
        <v>917.0</v>
      </c>
      <c r="E3824" s="2031">
        <v>611.0</v>
      </c>
      <c r="F3824" s="2031">
        <v>611.0</v>
      </c>
      <c r="G3824" s="2031">
        <v>612.0</v>
      </c>
      <c r="H3824" s="2031">
        <v>612.0</v>
      </c>
    </row>
    <row r="3825">
      <c r="B3825" s="2031">
        <v>3823.0</v>
      </c>
      <c r="C3825" s="2031">
        <v>458.0</v>
      </c>
      <c r="D3825" s="2031">
        <v>917.0</v>
      </c>
      <c r="E3825" s="2031">
        <v>612.0</v>
      </c>
      <c r="F3825" s="2031">
        <v>612.0</v>
      </c>
      <c r="G3825" s="2031">
        <v>612.0</v>
      </c>
      <c r="H3825" s="2031">
        <v>612.0</v>
      </c>
    </row>
    <row r="3826">
      <c r="B3826" s="2031">
        <v>3824.0</v>
      </c>
      <c r="C3826" s="2031">
        <v>459.0</v>
      </c>
      <c r="D3826" s="2031">
        <v>917.0</v>
      </c>
      <c r="E3826" s="2031">
        <v>612.0</v>
      </c>
      <c r="F3826" s="2031">
        <v>612.0</v>
      </c>
      <c r="G3826" s="2031">
        <v>612.0</v>
      </c>
      <c r="H3826" s="2031">
        <v>612.0</v>
      </c>
    </row>
    <row r="3827">
      <c r="B3827" s="2031">
        <v>3825.0</v>
      </c>
      <c r="C3827" s="2031">
        <v>459.0</v>
      </c>
      <c r="D3827" s="2031">
        <v>918.0</v>
      </c>
      <c r="E3827" s="2031">
        <v>612.0</v>
      </c>
      <c r="F3827" s="2031">
        <v>612.0</v>
      </c>
      <c r="G3827" s="2031">
        <v>612.0</v>
      </c>
      <c r="H3827" s="2031">
        <v>612.0</v>
      </c>
    </row>
    <row r="3828">
      <c r="B3828" s="2031">
        <v>3826.0</v>
      </c>
      <c r="C3828" s="2031">
        <v>459.0</v>
      </c>
      <c r="D3828" s="2031">
        <v>919.0</v>
      </c>
      <c r="E3828" s="2031">
        <v>612.0</v>
      </c>
      <c r="F3828" s="2031">
        <v>612.0</v>
      </c>
      <c r="G3828" s="2031">
        <v>612.0</v>
      </c>
      <c r="H3828" s="2031">
        <v>612.0</v>
      </c>
    </row>
    <row r="3829">
      <c r="B3829" s="2031">
        <v>3827.0</v>
      </c>
      <c r="C3829" s="2031">
        <v>460.0</v>
      </c>
      <c r="D3829" s="2031">
        <v>919.0</v>
      </c>
      <c r="E3829" s="2031">
        <v>612.0</v>
      </c>
      <c r="F3829" s="2031">
        <v>612.0</v>
      </c>
      <c r="G3829" s="2031">
        <v>612.0</v>
      </c>
      <c r="H3829" s="2031">
        <v>612.0</v>
      </c>
    </row>
    <row r="3830">
      <c r="B3830" s="2031">
        <v>3828.0</v>
      </c>
      <c r="C3830" s="2031">
        <v>459.0</v>
      </c>
      <c r="D3830" s="2031">
        <v>919.0</v>
      </c>
      <c r="E3830" s="2031">
        <v>612.0</v>
      </c>
      <c r="F3830" s="2031">
        <v>612.0</v>
      </c>
      <c r="G3830" s="2031">
        <v>613.0</v>
      </c>
      <c r="H3830" s="2031">
        <v>613.0</v>
      </c>
    </row>
    <row r="3831">
      <c r="B3831" s="2031">
        <v>3829.0</v>
      </c>
      <c r="C3831" s="2031">
        <v>460.0</v>
      </c>
      <c r="D3831" s="2031">
        <v>919.0</v>
      </c>
      <c r="E3831" s="2031">
        <v>612.0</v>
      </c>
      <c r="F3831" s="2031">
        <v>612.0</v>
      </c>
      <c r="G3831" s="2031">
        <v>613.0</v>
      </c>
      <c r="H3831" s="2031">
        <v>613.0</v>
      </c>
    </row>
    <row r="3832">
      <c r="B3832" s="2031">
        <v>3830.0</v>
      </c>
      <c r="C3832" s="2031">
        <v>459.0</v>
      </c>
      <c r="D3832" s="2031">
        <v>919.0</v>
      </c>
      <c r="E3832" s="2031">
        <v>613.0</v>
      </c>
      <c r="F3832" s="2031">
        <v>613.0</v>
      </c>
      <c r="G3832" s="2031">
        <v>613.0</v>
      </c>
      <c r="H3832" s="2031">
        <v>613.0</v>
      </c>
    </row>
    <row r="3833">
      <c r="B3833" s="2031">
        <v>3831.0</v>
      </c>
      <c r="C3833" s="2031">
        <v>460.0</v>
      </c>
      <c r="D3833" s="2031">
        <v>919.0</v>
      </c>
      <c r="E3833" s="2031">
        <v>613.0</v>
      </c>
      <c r="F3833" s="2031">
        <v>613.0</v>
      </c>
      <c r="G3833" s="2031">
        <v>613.0</v>
      </c>
      <c r="H3833" s="2031">
        <v>613.0</v>
      </c>
    </row>
    <row r="3834">
      <c r="B3834" s="2031">
        <v>3832.0</v>
      </c>
      <c r="C3834" s="2031">
        <v>460.0</v>
      </c>
      <c r="D3834" s="2031">
        <v>920.0</v>
      </c>
      <c r="E3834" s="2031">
        <v>613.0</v>
      </c>
      <c r="F3834" s="2031">
        <v>613.0</v>
      </c>
      <c r="G3834" s="2031">
        <v>613.0</v>
      </c>
      <c r="H3834" s="2031">
        <v>613.0</v>
      </c>
    </row>
    <row r="3835">
      <c r="B3835" s="2031">
        <v>3833.0</v>
      </c>
      <c r="C3835" s="2031">
        <v>460.0</v>
      </c>
      <c r="D3835" s="2031">
        <v>919.0</v>
      </c>
      <c r="E3835" s="2031">
        <v>613.0</v>
      </c>
      <c r="F3835" s="2031">
        <v>613.0</v>
      </c>
      <c r="G3835" s="2031">
        <v>614.0</v>
      </c>
      <c r="H3835" s="2031">
        <v>614.0</v>
      </c>
    </row>
    <row r="3836">
      <c r="B3836" s="2031">
        <v>3834.0</v>
      </c>
      <c r="C3836" s="2031">
        <v>460.0</v>
      </c>
      <c r="D3836" s="2031">
        <v>920.0</v>
      </c>
      <c r="E3836" s="2031">
        <v>613.0</v>
      </c>
      <c r="F3836" s="2031">
        <v>613.0</v>
      </c>
      <c r="G3836" s="2031">
        <v>614.0</v>
      </c>
      <c r="H3836" s="2031">
        <v>614.0</v>
      </c>
    </row>
    <row r="3837">
      <c r="B3837" s="2031">
        <v>3835.0</v>
      </c>
      <c r="C3837" s="2031">
        <v>460.0</v>
      </c>
      <c r="D3837" s="2031">
        <v>921.0</v>
      </c>
      <c r="E3837" s="2031">
        <v>613.0</v>
      </c>
      <c r="F3837" s="2031">
        <v>613.0</v>
      </c>
      <c r="G3837" s="2031">
        <v>614.0</v>
      </c>
      <c r="H3837" s="2031">
        <v>614.0</v>
      </c>
    </row>
    <row r="3838">
      <c r="B3838" s="2031">
        <v>3836.0</v>
      </c>
      <c r="C3838" s="2031">
        <v>460.0</v>
      </c>
      <c r="D3838" s="2031">
        <v>920.0</v>
      </c>
      <c r="E3838" s="2031">
        <v>614.0</v>
      </c>
      <c r="F3838" s="2031">
        <v>614.0</v>
      </c>
      <c r="G3838" s="2031">
        <v>614.0</v>
      </c>
      <c r="H3838" s="2031">
        <v>614.0</v>
      </c>
    </row>
    <row r="3839">
      <c r="B3839" s="2031">
        <v>3837.0</v>
      </c>
      <c r="C3839" s="2031">
        <v>460.0</v>
      </c>
      <c r="D3839" s="2031">
        <v>921.0</v>
      </c>
      <c r="E3839" s="2031">
        <v>614.0</v>
      </c>
      <c r="F3839" s="2031">
        <v>614.0</v>
      </c>
      <c r="G3839" s="2031">
        <v>614.0</v>
      </c>
      <c r="H3839" s="2031">
        <v>614.0</v>
      </c>
    </row>
    <row r="3840">
      <c r="B3840" s="2031">
        <v>3838.0</v>
      </c>
      <c r="C3840" s="2031">
        <v>461.0</v>
      </c>
      <c r="D3840" s="2031">
        <v>921.0</v>
      </c>
      <c r="E3840" s="2031">
        <v>614.0</v>
      </c>
      <c r="F3840" s="2031">
        <v>614.0</v>
      </c>
      <c r="G3840" s="2031">
        <v>614.0</v>
      </c>
      <c r="H3840" s="2031">
        <v>614.0</v>
      </c>
    </row>
    <row r="3841">
      <c r="B3841" s="2031">
        <v>3839.0</v>
      </c>
      <c r="C3841" s="2031">
        <v>461.0</v>
      </c>
      <c r="D3841" s="2031">
        <v>922.0</v>
      </c>
      <c r="E3841" s="2031">
        <v>614.0</v>
      </c>
      <c r="F3841" s="2031">
        <v>614.0</v>
      </c>
      <c r="G3841" s="2031">
        <v>614.0</v>
      </c>
      <c r="H3841" s="2031">
        <v>614.0</v>
      </c>
    </row>
    <row r="3842">
      <c r="B3842" s="2031">
        <v>3840.0</v>
      </c>
      <c r="C3842" s="2031">
        <v>461.0</v>
      </c>
      <c r="D3842" s="2031">
        <v>921.0</v>
      </c>
      <c r="E3842" s="2031">
        <v>614.0</v>
      </c>
      <c r="F3842" s="2031">
        <v>614.0</v>
      </c>
      <c r="G3842" s="2031">
        <v>615.0</v>
      </c>
      <c r="H3842" s="2031">
        <v>615.0</v>
      </c>
    </row>
    <row r="3843">
      <c r="B3843" s="2031">
        <v>3841.0</v>
      </c>
      <c r="C3843" s="2031">
        <v>461.0</v>
      </c>
      <c r="D3843" s="2031">
        <v>922.0</v>
      </c>
      <c r="E3843" s="2031">
        <v>614.0</v>
      </c>
      <c r="F3843" s="2031">
        <v>614.0</v>
      </c>
      <c r="G3843" s="2031">
        <v>615.0</v>
      </c>
      <c r="H3843" s="2031">
        <v>615.0</v>
      </c>
    </row>
    <row r="3844">
      <c r="B3844" s="2031">
        <v>3842.0</v>
      </c>
      <c r="C3844" s="2031">
        <v>461.0</v>
      </c>
      <c r="D3844" s="2031">
        <v>923.0</v>
      </c>
      <c r="E3844" s="2031">
        <v>614.0</v>
      </c>
      <c r="F3844" s="2031">
        <v>614.0</v>
      </c>
      <c r="G3844" s="2031">
        <v>615.0</v>
      </c>
      <c r="H3844" s="2031">
        <v>615.0</v>
      </c>
    </row>
    <row r="3845">
      <c r="B3845" s="2031">
        <v>3843.0</v>
      </c>
      <c r="C3845" s="2031">
        <v>461.0</v>
      </c>
      <c r="D3845" s="2031">
        <v>922.0</v>
      </c>
      <c r="E3845" s="2031">
        <v>615.0</v>
      </c>
      <c r="F3845" s="2031">
        <v>615.0</v>
      </c>
      <c r="G3845" s="2031">
        <v>615.0</v>
      </c>
      <c r="H3845" s="2031">
        <v>615.0</v>
      </c>
    </row>
    <row r="3846">
      <c r="B3846" s="2031">
        <v>3844.0</v>
      </c>
      <c r="C3846" s="2031">
        <v>461.0</v>
      </c>
      <c r="D3846" s="2031">
        <v>923.0</v>
      </c>
      <c r="E3846" s="2031">
        <v>615.0</v>
      </c>
      <c r="F3846" s="2031">
        <v>615.0</v>
      </c>
      <c r="G3846" s="2031">
        <v>615.0</v>
      </c>
      <c r="H3846" s="2031">
        <v>615.0</v>
      </c>
    </row>
    <row r="3847">
      <c r="B3847" s="2031">
        <v>3845.0</v>
      </c>
      <c r="C3847" s="2031">
        <v>462.0</v>
      </c>
      <c r="D3847" s="2031">
        <v>923.0</v>
      </c>
      <c r="E3847" s="2031">
        <v>615.0</v>
      </c>
      <c r="F3847" s="2031">
        <v>615.0</v>
      </c>
      <c r="G3847" s="2031">
        <v>615.0</v>
      </c>
      <c r="H3847" s="2031">
        <v>615.0</v>
      </c>
    </row>
    <row r="3848">
      <c r="B3848" s="2031">
        <v>3846.0</v>
      </c>
      <c r="C3848" s="2031">
        <v>461.0</v>
      </c>
      <c r="D3848" s="2031">
        <v>923.0</v>
      </c>
      <c r="E3848" s="2031">
        <v>615.0</v>
      </c>
      <c r="F3848" s="2031">
        <v>615.0</v>
      </c>
      <c r="G3848" s="2031">
        <v>616.0</v>
      </c>
      <c r="H3848" s="2031">
        <v>616.0</v>
      </c>
    </row>
    <row r="3849">
      <c r="B3849" s="2031">
        <v>3847.0</v>
      </c>
      <c r="C3849" s="2031">
        <v>462.0</v>
      </c>
      <c r="D3849" s="2031">
        <v>923.0</v>
      </c>
      <c r="E3849" s="2031">
        <v>615.0</v>
      </c>
      <c r="F3849" s="2031">
        <v>615.0</v>
      </c>
      <c r="G3849" s="2031">
        <v>616.0</v>
      </c>
      <c r="H3849" s="2031">
        <v>616.0</v>
      </c>
    </row>
    <row r="3850">
      <c r="B3850" s="2031">
        <v>3848.0</v>
      </c>
      <c r="C3850" s="2031">
        <v>461.0</v>
      </c>
      <c r="D3850" s="2031">
        <v>923.0</v>
      </c>
      <c r="E3850" s="2031">
        <v>616.0</v>
      </c>
      <c r="F3850" s="2031">
        <v>616.0</v>
      </c>
      <c r="G3850" s="2031">
        <v>616.0</v>
      </c>
      <c r="H3850" s="2031">
        <v>616.0</v>
      </c>
    </row>
    <row r="3851">
      <c r="B3851" s="2031">
        <v>3849.0</v>
      </c>
      <c r="C3851" s="2031">
        <v>462.0</v>
      </c>
      <c r="D3851" s="2031">
        <v>923.0</v>
      </c>
      <c r="E3851" s="2031">
        <v>616.0</v>
      </c>
      <c r="F3851" s="2031">
        <v>616.0</v>
      </c>
      <c r="G3851" s="2031">
        <v>616.0</v>
      </c>
      <c r="H3851" s="2031">
        <v>616.0</v>
      </c>
    </row>
    <row r="3852">
      <c r="B3852" s="2031">
        <v>3850.0</v>
      </c>
      <c r="C3852" s="2031">
        <v>462.0</v>
      </c>
      <c r="D3852" s="2031">
        <v>924.0</v>
      </c>
      <c r="E3852" s="2031">
        <v>616.0</v>
      </c>
      <c r="F3852" s="2031">
        <v>616.0</v>
      </c>
      <c r="G3852" s="2031">
        <v>616.0</v>
      </c>
      <c r="H3852" s="2031">
        <v>616.0</v>
      </c>
    </row>
    <row r="3853">
      <c r="B3853" s="2031">
        <v>3851.0</v>
      </c>
      <c r="C3853" s="2031">
        <v>462.0</v>
      </c>
      <c r="D3853" s="2031">
        <v>925.0</v>
      </c>
      <c r="E3853" s="2031">
        <v>616.0</v>
      </c>
      <c r="F3853" s="2031">
        <v>616.0</v>
      </c>
      <c r="G3853" s="2031">
        <v>616.0</v>
      </c>
      <c r="H3853" s="2031">
        <v>616.0</v>
      </c>
    </row>
    <row r="3854">
      <c r="B3854" s="2031">
        <v>3852.0</v>
      </c>
      <c r="C3854" s="2031">
        <v>463.0</v>
      </c>
      <c r="D3854" s="2031">
        <v>925.0</v>
      </c>
      <c r="E3854" s="2031">
        <v>616.0</v>
      </c>
      <c r="F3854" s="2031">
        <v>616.0</v>
      </c>
      <c r="G3854" s="2031">
        <v>616.0</v>
      </c>
      <c r="H3854" s="2031">
        <v>616.0</v>
      </c>
    </row>
    <row r="3855">
      <c r="B3855" s="2031">
        <v>3853.0</v>
      </c>
      <c r="C3855" s="2031">
        <v>462.0</v>
      </c>
      <c r="D3855" s="2031">
        <v>925.0</v>
      </c>
      <c r="E3855" s="2031">
        <v>616.0</v>
      </c>
      <c r="F3855" s="2031">
        <v>616.0</v>
      </c>
      <c r="G3855" s="2031">
        <v>617.0</v>
      </c>
      <c r="H3855" s="2031">
        <v>617.0</v>
      </c>
    </row>
    <row r="3856">
      <c r="B3856" s="2031">
        <v>3854.0</v>
      </c>
      <c r="C3856" s="2031">
        <v>463.0</v>
      </c>
      <c r="D3856" s="2031">
        <v>925.0</v>
      </c>
      <c r="E3856" s="2031">
        <v>616.0</v>
      </c>
      <c r="F3856" s="2031">
        <v>616.0</v>
      </c>
      <c r="G3856" s="2031">
        <v>617.0</v>
      </c>
      <c r="H3856" s="2031">
        <v>617.0</v>
      </c>
    </row>
    <row r="3857">
      <c r="B3857" s="2031">
        <v>3855.0</v>
      </c>
      <c r="C3857" s="2031">
        <v>462.0</v>
      </c>
      <c r="D3857" s="2031">
        <v>925.0</v>
      </c>
      <c r="E3857" s="2031">
        <v>617.0</v>
      </c>
      <c r="F3857" s="2031">
        <v>617.0</v>
      </c>
      <c r="G3857" s="2031">
        <v>617.0</v>
      </c>
      <c r="H3857" s="2031">
        <v>617.0</v>
      </c>
    </row>
    <row r="3858">
      <c r="B3858" s="2031">
        <v>3856.0</v>
      </c>
      <c r="C3858" s="2031">
        <v>463.0</v>
      </c>
      <c r="D3858" s="2031">
        <v>925.0</v>
      </c>
      <c r="E3858" s="2031">
        <v>617.0</v>
      </c>
      <c r="F3858" s="2031">
        <v>617.0</v>
      </c>
      <c r="G3858" s="2031">
        <v>617.0</v>
      </c>
      <c r="H3858" s="2031">
        <v>617.0</v>
      </c>
    </row>
    <row r="3859">
      <c r="B3859" s="2031">
        <v>3857.0</v>
      </c>
      <c r="C3859" s="2031">
        <v>463.0</v>
      </c>
      <c r="D3859" s="2031">
        <v>926.0</v>
      </c>
      <c r="E3859" s="2031">
        <v>617.0</v>
      </c>
      <c r="F3859" s="2031">
        <v>617.0</v>
      </c>
      <c r="G3859" s="2031">
        <v>617.0</v>
      </c>
      <c r="H3859" s="2031">
        <v>617.0</v>
      </c>
    </row>
    <row r="3860">
      <c r="B3860" s="2031">
        <v>3858.0</v>
      </c>
      <c r="C3860" s="2031">
        <v>463.0</v>
      </c>
      <c r="D3860" s="2031">
        <v>925.0</v>
      </c>
      <c r="E3860" s="2031">
        <v>617.0</v>
      </c>
      <c r="F3860" s="2031">
        <v>617.0</v>
      </c>
      <c r="G3860" s="2031">
        <v>618.0</v>
      </c>
      <c r="H3860" s="2031">
        <v>618.0</v>
      </c>
    </row>
    <row r="3861">
      <c r="B3861" s="2031">
        <v>3859.0</v>
      </c>
      <c r="C3861" s="2031">
        <v>463.0</v>
      </c>
      <c r="D3861" s="2031">
        <v>926.0</v>
      </c>
      <c r="E3861" s="2031">
        <v>617.0</v>
      </c>
      <c r="F3861" s="2031">
        <v>617.0</v>
      </c>
      <c r="G3861" s="2031">
        <v>618.0</v>
      </c>
      <c r="H3861" s="2031">
        <v>618.0</v>
      </c>
    </row>
    <row r="3862">
      <c r="B3862" s="2031">
        <v>3860.0</v>
      </c>
      <c r="C3862" s="2031">
        <v>463.0</v>
      </c>
      <c r="D3862" s="2031">
        <v>927.0</v>
      </c>
      <c r="E3862" s="2031">
        <v>617.0</v>
      </c>
      <c r="F3862" s="2031">
        <v>617.0</v>
      </c>
      <c r="G3862" s="2031">
        <v>618.0</v>
      </c>
      <c r="H3862" s="2031">
        <v>618.0</v>
      </c>
    </row>
    <row r="3863">
      <c r="B3863" s="2031">
        <v>3861.0</v>
      </c>
      <c r="C3863" s="2031">
        <v>463.0</v>
      </c>
      <c r="D3863" s="2031">
        <v>926.0</v>
      </c>
      <c r="E3863" s="2031">
        <v>618.0</v>
      </c>
      <c r="F3863" s="2031">
        <v>618.0</v>
      </c>
      <c r="G3863" s="2031">
        <v>618.0</v>
      </c>
      <c r="H3863" s="2031">
        <v>618.0</v>
      </c>
    </row>
    <row r="3864">
      <c r="B3864" s="2031">
        <v>3862.0</v>
      </c>
      <c r="C3864" s="2031">
        <v>463.0</v>
      </c>
      <c r="D3864" s="2031">
        <v>927.0</v>
      </c>
      <c r="E3864" s="2031">
        <v>618.0</v>
      </c>
      <c r="F3864" s="2031">
        <v>618.0</v>
      </c>
      <c r="G3864" s="2031">
        <v>618.0</v>
      </c>
      <c r="H3864" s="2031">
        <v>618.0</v>
      </c>
    </row>
    <row r="3865">
      <c r="B3865" s="2031">
        <v>3863.0</v>
      </c>
      <c r="C3865" s="2031">
        <v>464.0</v>
      </c>
      <c r="D3865" s="2031">
        <v>927.0</v>
      </c>
      <c r="E3865" s="2031">
        <v>618.0</v>
      </c>
      <c r="F3865" s="2031">
        <v>618.0</v>
      </c>
      <c r="G3865" s="2031">
        <v>618.0</v>
      </c>
      <c r="H3865" s="2031">
        <v>618.0</v>
      </c>
    </row>
    <row r="3866">
      <c r="B3866" s="2031">
        <v>3864.0</v>
      </c>
      <c r="C3866" s="2031">
        <v>464.0</v>
      </c>
      <c r="D3866" s="2031">
        <v>928.0</v>
      </c>
      <c r="E3866" s="2031">
        <v>618.0</v>
      </c>
      <c r="F3866" s="2031">
        <v>618.0</v>
      </c>
      <c r="G3866" s="2031">
        <v>618.0</v>
      </c>
      <c r="H3866" s="2031">
        <v>618.0</v>
      </c>
    </row>
    <row r="3867">
      <c r="B3867" s="2031">
        <v>3865.0</v>
      </c>
      <c r="C3867" s="2031">
        <v>464.0</v>
      </c>
      <c r="D3867" s="2031">
        <v>927.0</v>
      </c>
      <c r="E3867" s="2031">
        <v>618.0</v>
      </c>
      <c r="F3867" s="2031">
        <v>618.0</v>
      </c>
      <c r="G3867" s="2031">
        <v>619.0</v>
      </c>
      <c r="H3867" s="2031">
        <v>619.0</v>
      </c>
    </row>
    <row r="3868">
      <c r="B3868" s="2031">
        <v>3866.0</v>
      </c>
      <c r="C3868" s="2031">
        <v>464.0</v>
      </c>
      <c r="D3868" s="2031">
        <v>928.0</v>
      </c>
      <c r="E3868" s="2031">
        <v>618.0</v>
      </c>
      <c r="F3868" s="2031">
        <v>618.0</v>
      </c>
      <c r="G3868" s="2031">
        <v>619.0</v>
      </c>
      <c r="H3868" s="2031">
        <v>619.0</v>
      </c>
    </row>
    <row r="3869">
      <c r="B3869" s="2031">
        <v>3867.0</v>
      </c>
      <c r="C3869" s="2031">
        <v>464.0</v>
      </c>
      <c r="D3869" s="2031">
        <v>929.0</v>
      </c>
      <c r="E3869" s="2031">
        <v>618.0</v>
      </c>
      <c r="F3869" s="2031">
        <v>618.0</v>
      </c>
      <c r="G3869" s="2031">
        <v>619.0</v>
      </c>
      <c r="H3869" s="2031">
        <v>619.0</v>
      </c>
    </row>
    <row r="3870">
      <c r="B3870" s="2031">
        <v>3868.0</v>
      </c>
      <c r="C3870" s="2031">
        <v>464.0</v>
      </c>
      <c r="D3870" s="2031">
        <v>928.0</v>
      </c>
      <c r="E3870" s="2031">
        <v>619.0</v>
      </c>
      <c r="F3870" s="2031">
        <v>619.0</v>
      </c>
      <c r="G3870" s="2031">
        <v>619.0</v>
      </c>
      <c r="H3870" s="2031">
        <v>619.0</v>
      </c>
    </row>
    <row r="3871">
      <c r="B3871" s="2031">
        <v>3869.0</v>
      </c>
      <c r="C3871" s="2031">
        <v>464.0</v>
      </c>
      <c r="D3871" s="2031">
        <v>929.0</v>
      </c>
      <c r="E3871" s="2031">
        <v>619.0</v>
      </c>
      <c r="F3871" s="2031">
        <v>619.0</v>
      </c>
      <c r="G3871" s="2031">
        <v>619.0</v>
      </c>
      <c r="H3871" s="2031">
        <v>619.0</v>
      </c>
    </row>
    <row r="3872">
      <c r="B3872" s="2031">
        <v>3870.0</v>
      </c>
      <c r="C3872" s="2031">
        <v>465.0</v>
      </c>
      <c r="D3872" s="2031">
        <v>929.0</v>
      </c>
      <c r="E3872" s="2031">
        <v>619.0</v>
      </c>
      <c r="F3872" s="2031">
        <v>619.0</v>
      </c>
      <c r="G3872" s="2031">
        <v>619.0</v>
      </c>
      <c r="H3872" s="2031">
        <v>619.0</v>
      </c>
    </row>
    <row r="3873">
      <c r="B3873" s="2031">
        <v>3871.0</v>
      </c>
      <c r="C3873" s="2031">
        <v>464.0</v>
      </c>
      <c r="D3873" s="2031">
        <v>929.0</v>
      </c>
      <c r="E3873" s="2031">
        <v>619.0</v>
      </c>
      <c r="F3873" s="2031">
        <v>619.0</v>
      </c>
      <c r="G3873" s="2031">
        <v>620.0</v>
      </c>
      <c r="H3873" s="2031">
        <v>620.0</v>
      </c>
    </row>
    <row r="3874">
      <c r="B3874" s="2031">
        <v>3872.0</v>
      </c>
      <c r="C3874" s="2031">
        <v>465.0</v>
      </c>
      <c r="D3874" s="2031">
        <v>929.0</v>
      </c>
      <c r="E3874" s="2031">
        <v>619.0</v>
      </c>
      <c r="F3874" s="2031">
        <v>619.0</v>
      </c>
      <c r="G3874" s="2031">
        <v>620.0</v>
      </c>
      <c r="H3874" s="2031">
        <v>620.0</v>
      </c>
    </row>
    <row r="3875">
      <c r="B3875" s="2031">
        <v>3873.0</v>
      </c>
      <c r="C3875" s="2031">
        <v>464.0</v>
      </c>
      <c r="D3875" s="2031">
        <v>929.0</v>
      </c>
      <c r="E3875" s="2031">
        <v>620.0</v>
      </c>
      <c r="F3875" s="2031">
        <v>620.0</v>
      </c>
      <c r="G3875" s="2031">
        <v>620.0</v>
      </c>
      <c r="H3875" s="2031">
        <v>620.0</v>
      </c>
    </row>
    <row r="3876">
      <c r="B3876" s="2031">
        <v>3874.0</v>
      </c>
      <c r="C3876" s="2031">
        <v>465.0</v>
      </c>
      <c r="D3876" s="2031">
        <v>929.0</v>
      </c>
      <c r="E3876" s="2031">
        <v>620.0</v>
      </c>
      <c r="F3876" s="2031">
        <v>620.0</v>
      </c>
      <c r="G3876" s="2031">
        <v>620.0</v>
      </c>
      <c r="H3876" s="2031">
        <v>620.0</v>
      </c>
    </row>
    <row r="3877">
      <c r="B3877" s="2031">
        <v>3875.0</v>
      </c>
      <c r="C3877" s="2031">
        <v>465.0</v>
      </c>
      <c r="D3877" s="2031">
        <v>930.0</v>
      </c>
      <c r="E3877" s="2031">
        <v>620.0</v>
      </c>
      <c r="F3877" s="2031">
        <v>620.0</v>
      </c>
      <c r="G3877" s="2031">
        <v>620.0</v>
      </c>
      <c r="H3877" s="2031">
        <v>620.0</v>
      </c>
    </row>
    <row r="3878">
      <c r="B3878" s="2031">
        <v>3876.0</v>
      </c>
      <c r="C3878" s="2031">
        <v>465.0</v>
      </c>
      <c r="D3878" s="2031">
        <v>931.0</v>
      </c>
      <c r="E3878" s="2031">
        <v>620.0</v>
      </c>
      <c r="F3878" s="2031">
        <v>620.0</v>
      </c>
      <c r="G3878" s="2031">
        <v>620.0</v>
      </c>
      <c r="H3878" s="2031">
        <v>620.0</v>
      </c>
    </row>
    <row r="3879">
      <c r="B3879" s="2031">
        <v>3877.0</v>
      </c>
      <c r="C3879" s="2031">
        <v>466.0</v>
      </c>
      <c r="D3879" s="2031">
        <v>931.0</v>
      </c>
      <c r="E3879" s="2031">
        <v>620.0</v>
      </c>
      <c r="F3879" s="2031">
        <v>620.0</v>
      </c>
      <c r="G3879" s="2031">
        <v>620.0</v>
      </c>
      <c r="H3879" s="2031">
        <v>620.0</v>
      </c>
    </row>
    <row r="3880">
      <c r="B3880" s="2031">
        <v>3878.0</v>
      </c>
      <c r="C3880" s="2031">
        <v>465.0</v>
      </c>
      <c r="D3880" s="2031">
        <v>931.0</v>
      </c>
      <c r="E3880" s="2031">
        <v>620.0</v>
      </c>
      <c r="F3880" s="2031">
        <v>620.0</v>
      </c>
      <c r="G3880" s="2031">
        <v>621.0</v>
      </c>
      <c r="H3880" s="2031">
        <v>621.0</v>
      </c>
    </row>
    <row r="3881">
      <c r="B3881" s="2031">
        <v>3879.0</v>
      </c>
      <c r="C3881" s="2031">
        <v>466.0</v>
      </c>
      <c r="D3881" s="2031">
        <v>931.0</v>
      </c>
      <c r="E3881" s="2031">
        <v>620.0</v>
      </c>
      <c r="F3881" s="2031">
        <v>620.0</v>
      </c>
      <c r="G3881" s="2031">
        <v>621.0</v>
      </c>
      <c r="H3881" s="2031">
        <v>621.0</v>
      </c>
    </row>
    <row r="3882">
      <c r="B3882" s="2031">
        <v>3880.0</v>
      </c>
      <c r="C3882" s="2031">
        <v>465.0</v>
      </c>
      <c r="D3882" s="2031">
        <v>931.0</v>
      </c>
      <c r="E3882" s="2031">
        <v>621.0</v>
      </c>
      <c r="F3882" s="2031">
        <v>621.0</v>
      </c>
      <c r="G3882" s="2031">
        <v>621.0</v>
      </c>
      <c r="H3882" s="2031">
        <v>621.0</v>
      </c>
    </row>
    <row r="3883">
      <c r="B3883" s="2031">
        <v>3881.0</v>
      </c>
      <c r="C3883" s="2031">
        <v>466.0</v>
      </c>
      <c r="D3883" s="2031">
        <v>931.0</v>
      </c>
      <c r="E3883" s="2031">
        <v>621.0</v>
      </c>
      <c r="F3883" s="2031">
        <v>621.0</v>
      </c>
      <c r="G3883" s="2031">
        <v>621.0</v>
      </c>
      <c r="H3883" s="2031">
        <v>621.0</v>
      </c>
    </row>
    <row r="3884">
      <c r="B3884" s="2031">
        <v>3882.0</v>
      </c>
      <c r="C3884" s="2031">
        <v>466.0</v>
      </c>
      <c r="D3884" s="2031">
        <v>932.0</v>
      </c>
      <c r="E3884" s="2031">
        <v>621.0</v>
      </c>
      <c r="F3884" s="2031">
        <v>621.0</v>
      </c>
      <c r="G3884" s="2031">
        <v>621.0</v>
      </c>
      <c r="H3884" s="2031">
        <v>621.0</v>
      </c>
    </row>
    <row r="3885">
      <c r="B3885" s="2031">
        <v>3883.0</v>
      </c>
      <c r="C3885" s="2031">
        <v>466.0</v>
      </c>
      <c r="D3885" s="2031">
        <v>931.0</v>
      </c>
      <c r="E3885" s="2031">
        <v>621.0</v>
      </c>
      <c r="F3885" s="2031">
        <v>621.0</v>
      </c>
      <c r="G3885" s="2031">
        <v>622.0</v>
      </c>
      <c r="H3885" s="2031">
        <v>622.0</v>
      </c>
    </row>
    <row r="3886">
      <c r="B3886" s="2031">
        <v>3884.0</v>
      </c>
      <c r="C3886" s="2031">
        <v>466.0</v>
      </c>
      <c r="D3886" s="2031">
        <v>932.0</v>
      </c>
      <c r="E3886" s="2031">
        <v>621.0</v>
      </c>
      <c r="F3886" s="2031">
        <v>621.0</v>
      </c>
      <c r="G3886" s="2031">
        <v>622.0</v>
      </c>
      <c r="H3886" s="2031">
        <v>622.0</v>
      </c>
    </row>
    <row r="3887">
      <c r="B3887" s="2031">
        <v>3885.0</v>
      </c>
      <c r="C3887" s="2031">
        <v>466.0</v>
      </c>
      <c r="D3887" s="2031">
        <v>933.0</v>
      </c>
      <c r="E3887" s="2031">
        <v>621.0</v>
      </c>
      <c r="F3887" s="2031">
        <v>621.0</v>
      </c>
      <c r="G3887" s="2031">
        <v>622.0</v>
      </c>
      <c r="H3887" s="2031">
        <v>622.0</v>
      </c>
    </row>
    <row r="3888">
      <c r="B3888" s="2031">
        <v>3886.0</v>
      </c>
      <c r="C3888" s="2031">
        <v>466.0</v>
      </c>
      <c r="D3888" s="2031">
        <v>932.0</v>
      </c>
      <c r="E3888" s="2031">
        <v>622.0</v>
      </c>
      <c r="F3888" s="2031">
        <v>622.0</v>
      </c>
      <c r="G3888" s="2031">
        <v>622.0</v>
      </c>
      <c r="H3888" s="2031">
        <v>622.0</v>
      </c>
    </row>
    <row r="3889">
      <c r="B3889" s="2031">
        <v>3887.0</v>
      </c>
      <c r="C3889" s="2031">
        <v>466.0</v>
      </c>
      <c r="D3889" s="2031">
        <v>933.0</v>
      </c>
      <c r="E3889" s="2031">
        <v>622.0</v>
      </c>
      <c r="F3889" s="2031">
        <v>622.0</v>
      </c>
      <c r="G3889" s="2031">
        <v>622.0</v>
      </c>
      <c r="H3889" s="2031">
        <v>622.0</v>
      </c>
    </row>
    <row r="3890">
      <c r="B3890" s="2031">
        <v>3888.0</v>
      </c>
      <c r="C3890" s="2031">
        <v>467.0</v>
      </c>
      <c r="D3890" s="2031">
        <v>933.0</v>
      </c>
      <c r="E3890" s="2031">
        <v>622.0</v>
      </c>
      <c r="F3890" s="2031">
        <v>622.0</v>
      </c>
      <c r="G3890" s="2031">
        <v>622.0</v>
      </c>
      <c r="H3890" s="2031">
        <v>622.0</v>
      </c>
    </row>
    <row r="3891">
      <c r="B3891" s="2031">
        <v>3889.0</v>
      </c>
      <c r="C3891" s="2031">
        <v>467.0</v>
      </c>
      <c r="D3891" s="2031">
        <v>934.0</v>
      </c>
      <c r="E3891" s="2031">
        <v>622.0</v>
      </c>
      <c r="F3891" s="2031">
        <v>622.0</v>
      </c>
      <c r="G3891" s="2031">
        <v>622.0</v>
      </c>
      <c r="H3891" s="2031">
        <v>622.0</v>
      </c>
    </row>
    <row r="3892">
      <c r="B3892" s="2031">
        <v>3890.0</v>
      </c>
      <c r="C3892" s="2031">
        <v>467.0</v>
      </c>
      <c r="D3892" s="2031">
        <v>933.0</v>
      </c>
      <c r="E3892" s="2031">
        <v>622.0</v>
      </c>
      <c r="F3892" s="2031">
        <v>622.0</v>
      </c>
      <c r="G3892" s="2031">
        <v>623.0</v>
      </c>
      <c r="H3892" s="2031">
        <v>623.0</v>
      </c>
    </row>
    <row r="3893">
      <c r="B3893" s="2031">
        <v>3891.0</v>
      </c>
      <c r="C3893" s="2031">
        <v>467.0</v>
      </c>
      <c r="D3893" s="2031">
        <v>934.0</v>
      </c>
      <c r="E3893" s="2031">
        <v>622.0</v>
      </c>
      <c r="F3893" s="2031">
        <v>622.0</v>
      </c>
      <c r="G3893" s="2031">
        <v>623.0</v>
      </c>
      <c r="H3893" s="2031">
        <v>623.0</v>
      </c>
    </row>
    <row r="3894">
      <c r="B3894" s="2031">
        <v>3892.0</v>
      </c>
      <c r="C3894" s="2031">
        <v>467.0</v>
      </c>
      <c r="D3894" s="2031">
        <v>935.0</v>
      </c>
      <c r="E3894" s="2031">
        <v>622.0</v>
      </c>
      <c r="F3894" s="2031">
        <v>622.0</v>
      </c>
      <c r="G3894" s="2031">
        <v>623.0</v>
      </c>
      <c r="H3894" s="2031">
        <v>623.0</v>
      </c>
    </row>
    <row r="3895">
      <c r="B3895" s="2031">
        <v>3893.0</v>
      </c>
      <c r="C3895" s="2031">
        <v>467.0</v>
      </c>
      <c r="D3895" s="2031">
        <v>934.0</v>
      </c>
      <c r="E3895" s="2031">
        <v>623.0</v>
      </c>
      <c r="F3895" s="2031">
        <v>623.0</v>
      </c>
      <c r="G3895" s="2031">
        <v>623.0</v>
      </c>
      <c r="H3895" s="2031">
        <v>623.0</v>
      </c>
    </row>
    <row r="3896">
      <c r="B3896" s="2031">
        <v>3894.0</v>
      </c>
      <c r="C3896" s="2031">
        <v>467.0</v>
      </c>
      <c r="D3896" s="2031">
        <v>935.0</v>
      </c>
      <c r="E3896" s="2031">
        <v>623.0</v>
      </c>
      <c r="F3896" s="2031">
        <v>623.0</v>
      </c>
      <c r="G3896" s="2031">
        <v>623.0</v>
      </c>
      <c r="H3896" s="2031">
        <v>623.0</v>
      </c>
    </row>
    <row r="3897">
      <c r="B3897" s="2031">
        <v>3895.0</v>
      </c>
      <c r="C3897" s="2031">
        <v>468.0</v>
      </c>
      <c r="D3897" s="2031">
        <v>935.0</v>
      </c>
      <c r="E3897" s="2031">
        <v>623.0</v>
      </c>
      <c r="F3897" s="2031">
        <v>623.0</v>
      </c>
      <c r="G3897" s="2031">
        <v>623.0</v>
      </c>
      <c r="H3897" s="2031">
        <v>623.0</v>
      </c>
    </row>
    <row r="3898">
      <c r="B3898" s="2031">
        <v>3896.0</v>
      </c>
      <c r="C3898" s="2031">
        <v>467.0</v>
      </c>
      <c r="D3898" s="2031">
        <v>935.0</v>
      </c>
      <c r="E3898" s="2031">
        <v>623.0</v>
      </c>
      <c r="F3898" s="2031">
        <v>623.0</v>
      </c>
      <c r="G3898" s="2031">
        <v>624.0</v>
      </c>
      <c r="H3898" s="2031">
        <v>624.0</v>
      </c>
    </row>
    <row r="3899">
      <c r="B3899" s="2031">
        <v>3897.0</v>
      </c>
      <c r="C3899" s="2031">
        <v>468.0</v>
      </c>
      <c r="D3899" s="2031">
        <v>935.0</v>
      </c>
      <c r="E3899" s="2031">
        <v>623.0</v>
      </c>
      <c r="F3899" s="2031">
        <v>623.0</v>
      </c>
      <c r="G3899" s="2031">
        <v>624.0</v>
      </c>
      <c r="H3899" s="2031">
        <v>624.0</v>
      </c>
    </row>
    <row r="3900">
      <c r="B3900" s="2031">
        <v>3898.0</v>
      </c>
      <c r="C3900" s="2031">
        <v>467.0</v>
      </c>
      <c r="D3900" s="2031">
        <v>935.0</v>
      </c>
      <c r="E3900" s="2031">
        <v>624.0</v>
      </c>
      <c r="F3900" s="2031">
        <v>624.0</v>
      </c>
      <c r="G3900" s="2031">
        <v>624.0</v>
      </c>
      <c r="H3900" s="2031">
        <v>624.0</v>
      </c>
    </row>
    <row r="3901">
      <c r="B3901" s="2031">
        <v>3899.0</v>
      </c>
      <c r="C3901" s="2031">
        <v>468.0</v>
      </c>
      <c r="D3901" s="2031">
        <v>935.0</v>
      </c>
      <c r="E3901" s="2031">
        <v>624.0</v>
      </c>
      <c r="F3901" s="2031">
        <v>624.0</v>
      </c>
      <c r="G3901" s="2031">
        <v>624.0</v>
      </c>
      <c r="H3901" s="2031">
        <v>624.0</v>
      </c>
    </row>
    <row r="3902">
      <c r="B3902" s="2031">
        <v>3900.0</v>
      </c>
      <c r="C3902" s="2031">
        <v>468.0</v>
      </c>
      <c r="D3902" s="2031">
        <v>936.0</v>
      </c>
      <c r="E3902" s="2031">
        <v>624.0</v>
      </c>
      <c r="F3902" s="2031">
        <v>624.0</v>
      </c>
      <c r="G3902" s="2031">
        <v>624.0</v>
      </c>
      <c r="H3902" s="2031">
        <v>624.0</v>
      </c>
    </row>
    <row r="3903">
      <c r="B3903" s="2031">
        <v>3901.0</v>
      </c>
      <c r="C3903" s="2031">
        <v>468.0</v>
      </c>
      <c r="D3903" s="2031">
        <v>937.0</v>
      </c>
      <c r="E3903" s="2031">
        <v>624.0</v>
      </c>
      <c r="F3903" s="2031">
        <v>624.0</v>
      </c>
      <c r="G3903" s="2031">
        <v>624.0</v>
      </c>
      <c r="H3903" s="2031">
        <v>624.0</v>
      </c>
    </row>
    <row r="3904">
      <c r="B3904" s="2031">
        <v>3902.0</v>
      </c>
      <c r="C3904" s="2031">
        <v>469.0</v>
      </c>
      <c r="D3904" s="2031">
        <v>937.0</v>
      </c>
      <c r="E3904" s="2031">
        <v>624.0</v>
      </c>
      <c r="F3904" s="2031">
        <v>624.0</v>
      </c>
      <c r="G3904" s="2031">
        <v>624.0</v>
      </c>
      <c r="H3904" s="2031">
        <v>624.0</v>
      </c>
    </row>
    <row r="3905">
      <c r="B3905" s="2031">
        <v>3903.0</v>
      </c>
      <c r="C3905" s="2031">
        <v>468.0</v>
      </c>
      <c r="D3905" s="2031">
        <v>937.0</v>
      </c>
      <c r="E3905" s="2031">
        <v>624.0</v>
      </c>
      <c r="F3905" s="2031">
        <v>624.0</v>
      </c>
      <c r="G3905" s="2031">
        <v>625.0</v>
      </c>
      <c r="H3905" s="2031">
        <v>625.0</v>
      </c>
    </row>
    <row r="3906">
      <c r="B3906" s="2031">
        <v>3904.0</v>
      </c>
      <c r="C3906" s="2031">
        <v>469.0</v>
      </c>
      <c r="D3906" s="2031">
        <v>937.0</v>
      </c>
      <c r="E3906" s="2031">
        <v>624.0</v>
      </c>
      <c r="F3906" s="2031">
        <v>624.0</v>
      </c>
      <c r="G3906" s="2031">
        <v>625.0</v>
      </c>
      <c r="H3906" s="2031">
        <v>625.0</v>
      </c>
    </row>
    <row r="3907">
      <c r="B3907" s="2031">
        <v>3905.0</v>
      </c>
      <c r="C3907" s="2031">
        <v>468.0</v>
      </c>
      <c r="D3907" s="2031">
        <v>937.0</v>
      </c>
      <c r="E3907" s="2031">
        <v>625.0</v>
      </c>
      <c r="F3907" s="2031">
        <v>625.0</v>
      </c>
      <c r="G3907" s="2031">
        <v>625.0</v>
      </c>
      <c r="H3907" s="2031">
        <v>625.0</v>
      </c>
    </row>
    <row r="3908">
      <c r="B3908" s="2031">
        <v>3906.0</v>
      </c>
      <c r="C3908" s="2031">
        <v>469.0</v>
      </c>
      <c r="D3908" s="2031">
        <v>937.0</v>
      </c>
      <c r="E3908" s="2031">
        <v>625.0</v>
      </c>
      <c r="F3908" s="2031">
        <v>625.0</v>
      </c>
      <c r="G3908" s="2031">
        <v>625.0</v>
      </c>
      <c r="H3908" s="2031">
        <v>625.0</v>
      </c>
    </row>
    <row r="3909">
      <c r="B3909" s="2031">
        <v>3907.0</v>
      </c>
      <c r="C3909" s="2031">
        <v>469.0</v>
      </c>
      <c r="D3909" s="2031">
        <v>938.0</v>
      </c>
      <c r="E3909" s="2031">
        <v>625.0</v>
      </c>
      <c r="F3909" s="2031">
        <v>625.0</v>
      </c>
      <c r="G3909" s="2031">
        <v>625.0</v>
      </c>
      <c r="H3909" s="2031">
        <v>625.0</v>
      </c>
    </row>
    <row r="3910">
      <c r="B3910" s="2031">
        <v>3908.0</v>
      </c>
      <c r="C3910" s="2031">
        <v>469.0</v>
      </c>
      <c r="D3910" s="2031">
        <v>937.0</v>
      </c>
      <c r="E3910" s="2031">
        <v>625.0</v>
      </c>
      <c r="F3910" s="2031">
        <v>625.0</v>
      </c>
      <c r="G3910" s="2031">
        <v>626.0</v>
      </c>
      <c r="H3910" s="2031">
        <v>626.0</v>
      </c>
    </row>
    <row r="3911">
      <c r="B3911" s="2031">
        <v>3909.0</v>
      </c>
      <c r="C3911" s="2031">
        <v>469.0</v>
      </c>
      <c r="D3911" s="2031">
        <v>938.0</v>
      </c>
      <c r="E3911" s="2031">
        <v>625.0</v>
      </c>
      <c r="F3911" s="2031">
        <v>625.0</v>
      </c>
      <c r="G3911" s="2031">
        <v>626.0</v>
      </c>
      <c r="H3911" s="2031">
        <v>626.0</v>
      </c>
    </row>
    <row r="3912">
      <c r="B3912" s="2031">
        <v>3910.0</v>
      </c>
      <c r="C3912" s="2031">
        <v>469.0</v>
      </c>
      <c r="D3912" s="2031">
        <v>939.0</v>
      </c>
      <c r="E3912" s="2031">
        <v>625.0</v>
      </c>
      <c r="F3912" s="2031">
        <v>625.0</v>
      </c>
      <c r="G3912" s="2031">
        <v>626.0</v>
      </c>
      <c r="H3912" s="2031">
        <v>626.0</v>
      </c>
    </row>
    <row r="3913">
      <c r="B3913" s="2031">
        <v>3911.0</v>
      </c>
      <c r="C3913" s="2031">
        <v>469.0</v>
      </c>
      <c r="D3913" s="2031">
        <v>938.0</v>
      </c>
      <c r="E3913" s="2031">
        <v>626.0</v>
      </c>
      <c r="F3913" s="2031">
        <v>626.0</v>
      </c>
      <c r="G3913" s="2031">
        <v>626.0</v>
      </c>
      <c r="H3913" s="2031">
        <v>626.0</v>
      </c>
    </row>
    <row r="3914">
      <c r="B3914" s="2031">
        <v>3912.0</v>
      </c>
      <c r="C3914" s="2031">
        <v>469.0</v>
      </c>
      <c r="D3914" s="2031">
        <v>939.0</v>
      </c>
      <c r="E3914" s="2031">
        <v>626.0</v>
      </c>
      <c r="F3914" s="2031">
        <v>626.0</v>
      </c>
      <c r="G3914" s="2031">
        <v>626.0</v>
      </c>
      <c r="H3914" s="2031">
        <v>626.0</v>
      </c>
    </row>
    <row r="3915">
      <c r="B3915" s="2031">
        <v>3913.0</v>
      </c>
      <c r="C3915" s="2031">
        <v>470.0</v>
      </c>
      <c r="D3915" s="2031">
        <v>939.0</v>
      </c>
      <c r="E3915" s="2031">
        <v>626.0</v>
      </c>
      <c r="F3915" s="2031">
        <v>626.0</v>
      </c>
      <c r="G3915" s="2031">
        <v>626.0</v>
      </c>
      <c r="H3915" s="2031">
        <v>626.0</v>
      </c>
    </row>
    <row r="3916">
      <c r="B3916" s="2031">
        <v>3914.0</v>
      </c>
      <c r="C3916" s="2031">
        <v>470.0</v>
      </c>
      <c r="D3916" s="2031">
        <v>940.0</v>
      </c>
      <c r="E3916" s="2031">
        <v>626.0</v>
      </c>
      <c r="F3916" s="2031">
        <v>626.0</v>
      </c>
      <c r="G3916" s="2031">
        <v>626.0</v>
      </c>
      <c r="H3916" s="2031">
        <v>626.0</v>
      </c>
    </row>
    <row r="3917">
      <c r="B3917" s="2031">
        <v>3915.0</v>
      </c>
      <c r="C3917" s="2031">
        <v>470.0</v>
      </c>
      <c r="D3917" s="2031">
        <v>939.0</v>
      </c>
      <c r="E3917" s="2031">
        <v>626.0</v>
      </c>
      <c r="F3917" s="2031">
        <v>626.0</v>
      </c>
      <c r="G3917" s="2031">
        <v>627.0</v>
      </c>
      <c r="H3917" s="2031">
        <v>627.0</v>
      </c>
    </row>
    <row r="3918">
      <c r="B3918" s="2031">
        <v>3916.0</v>
      </c>
      <c r="C3918" s="2031">
        <v>470.0</v>
      </c>
      <c r="D3918" s="2031">
        <v>940.0</v>
      </c>
      <c r="E3918" s="2031">
        <v>626.0</v>
      </c>
      <c r="F3918" s="2031">
        <v>626.0</v>
      </c>
      <c r="G3918" s="2031">
        <v>627.0</v>
      </c>
      <c r="H3918" s="2031">
        <v>627.0</v>
      </c>
    </row>
    <row r="3919">
      <c r="B3919" s="2031">
        <v>3917.0</v>
      </c>
      <c r="C3919" s="2031">
        <v>470.0</v>
      </c>
      <c r="D3919" s="2031">
        <v>941.0</v>
      </c>
      <c r="E3919" s="2031">
        <v>626.0</v>
      </c>
      <c r="F3919" s="2031">
        <v>626.0</v>
      </c>
      <c r="G3919" s="2031">
        <v>627.0</v>
      </c>
      <c r="H3919" s="2031">
        <v>627.0</v>
      </c>
    </row>
    <row r="3920">
      <c r="B3920" s="2031">
        <v>3918.0</v>
      </c>
      <c r="C3920" s="2031">
        <v>470.0</v>
      </c>
      <c r="D3920" s="2031">
        <v>940.0</v>
      </c>
      <c r="E3920" s="2031">
        <v>627.0</v>
      </c>
      <c r="F3920" s="2031">
        <v>627.0</v>
      </c>
      <c r="G3920" s="2031">
        <v>627.0</v>
      </c>
      <c r="H3920" s="2031">
        <v>627.0</v>
      </c>
    </row>
    <row r="3921">
      <c r="B3921" s="2031">
        <v>3919.0</v>
      </c>
      <c r="C3921" s="2031">
        <v>470.0</v>
      </c>
      <c r="D3921" s="2031">
        <v>941.0</v>
      </c>
      <c r="E3921" s="2031">
        <v>627.0</v>
      </c>
      <c r="F3921" s="2031">
        <v>627.0</v>
      </c>
      <c r="G3921" s="2031">
        <v>627.0</v>
      </c>
      <c r="H3921" s="2031">
        <v>627.0</v>
      </c>
    </row>
    <row r="3922">
      <c r="B3922" s="2031">
        <v>3920.0</v>
      </c>
      <c r="C3922" s="2031">
        <v>471.0</v>
      </c>
      <c r="D3922" s="2031">
        <v>941.0</v>
      </c>
      <c r="E3922" s="2031">
        <v>627.0</v>
      </c>
      <c r="F3922" s="2031">
        <v>627.0</v>
      </c>
      <c r="G3922" s="2031">
        <v>627.0</v>
      </c>
      <c r="H3922" s="2031">
        <v>627.0</v>
      </c>
    </row>
    <row r="3923">
      <c r="B3923" s="2031">
        <v>3921.0</v>
      </c>
      <c r="C3923" s="2031">
        <v>470.0</v>
      </c>
      <c r="D3923" s="2031">
        <v>941.0</v>
      </c>
      <c r="E3923" s="2031">
        <v>627.0</v>
      </c>
      <c r="F3923" s="2031">
        <v>627.0</v>
      </c>
      <c r="G3923" s="2031">
        <v>628.0</v>
      </c>
      <c r="H3923" s="2031">
        <v>628.0</v>
      </c>
    </row>
    <row r="3924">
      <c r="B3924" s="2031">
        <v>3922.0</v>
      </c>
      <c r="C3924" s="2031">
        <v>471.0</v>
      </c>
      <c r="D3924" s="2031">
        <v>941.0</v>
      </c>
      <c r="E3924" s="2031">
        <v>627.0</v>
      </c>
      <c r="F3924" s="2031">
        <v>627.0</v>
      </c>
      <c r="G3924" s="2031">
        <v>628.0</v>
      </c>
      <c r="H3924" s="2031">
        <v>628.0</v>
      </c>
    </row>
    <row r="3925">
      <c r="B3925" s="2031">
        <v>3923.0</v>
      </c>
      <c r="C3925" s="2031">
        <v>470.0</v>
      </c>
      <c r="D3925" s="2031">
        <v>941.0</v>
      </c>
      <c r="E3925" s="2031">
        <v>628.0</v>
      </c>
      <c r="F3925" s="2031">
        <v>628.0</v>
      </c>
      <c r="G3925" s="2031">
        <v>628.0</v>
      </c>
      <c r="H3925" s="2031">
        <v>628.0</v>
      </c>
    </row>
    <row r="3926">
      <c r="B3926" s="2031">
        <v>3924.0</v>
      </c>
      <c r="C3926" s="2031">
        <v>471.0</v>
      </c>
      <c r="D3926" s="2031">
        <v>941.0</v>
      </c>
      <c r="E3926" s="2031">
        <v>628.0</v>
      </c>
      <c r="F3926" s="2031">
        <v>628.0</v>
      </c>
      <c r="G3926" s="2031">
        <v>628.0</v>
      </c>
      <c r="H3926" s="2031">
        <v>628.0</v>
      </c>
    </row>
    <row r="3927">
      <c r="B3927" s="2031">
        <v>3925.0</v>
      </c>
      <c r="C3927" s="2031">
        <v>471.0</v>
      </c>
      <c r="D3927" s="2031">
        <v>942.0</v>
      </c>
      <c r="E3927" s="2031">
        <v>628.0</v>
      </c>
      <c r="F3927" s="2031">
        <v>628.0</v>
      </c>
      <c r="G3927" s="2031">
        <v>628.0</v>
      </c>
      <c r="H3927" s="2031">
        <v>628.0</v>
      </c>
    </row>
    <row r="3928">
      <c r="B3928" s="2031">
        <v>3926.0</v>
      </c>
      <c r="C3928" s="2031">
        <v>471.0</v>
      </c>
      <c r="D3928" s="2031">
        <v>943.0</v>
      </c>
      <c r="E3928" s="2031">
        <v>628.0</v>
      </c>
      <c r="F3928" s="2031">
        <v>628.0</v>
      </c>
      <c r="G3928" s="2031">
        <v>628.0</v>
      </c>
      <c r="H3928" s="2031">
        <v>628.0</v>
      </c>
    </row>
    <row r="3929">
      <c r="B3929" s="2031">
        <v>3927.0</v>
      </c>
      <c r="C3929" s="2031">
        <v>472.0</v>
      </c>
      <c r="D3929" s="2031">
        <v>943.0</v>
      </c>
      <c r="E3929" s="2031">
        <v>628.0</v>
      </c>
      <c r="F3929" s="2031">
        <v>628.0</v>
      </c>
      <c r="G3929" s="2031">
        <v>628.0</v>
      </c>
      <c r="H3929" s="2031">
        <v>628.0</v>
      </c>
    </row>
    <row r="3930">
      <c r="B3930" s="2031">
        <v>3928.0</v>
      </c>
      <c r="C3930" s="2031">
        <v>471.0</v>
      </c>
      <c r="D3930" s="2031">
        <v>943.0</v>
      </c>
      <c r="E3930" s="2031">
        <v>628.0</v>
      </c>
      <c r="F3930" s="2031">
        <v>628.0</v>
      </c>
      <c r="G3930" s="2031">
        <v>629.0</v>
      </c>
      <c r="H3930" s="2031">
        <v>629.0</v>
      </c>
    </row>
    <row r="3931">
      <c r="B3931" s="2031">
        <v>3929.0</v>
      </c>
      <c r="C3931" s="2031">
        <v>472.0</v>
      </c>
      <c r="D3931" s="2031">
        <v>943.0</v>
      </c>
      <c r="E3931" s="2031">
        <v>628.0</v>
      </c>
      <c r="F3931" s="2031">
        <v>628.0</v>
      </c>
      <c r="G3931" s="2031">
        <v>629.0</v>
      </c>
      <c r="H3931" s="2031">
        <v>629.0</v>
      </c>
    </row>
    <row r="3932">
      <c r="B3932" s="2031">
        <v>3930.0</v>
      </c>
      <c r="C3932" s="2031">
        <v>471.0</v>
      </c>
      <c r="D3932" s="2031">
        <v>943.0</v>
      </c>
      <c r="E3932" s="2031">
        <v>629.0</v>
      </c>
      <c r="F3932" s="2031">
        <v>629.0</v>
      </c>
      <c r="G3932" s="2031">
        <v>629.0</v>
      </c>
      <c r="H3932" s="2031">
        <v>629.0</v>
      </c>
    </row>
    <row r="3933">
      <c r="B3933" s="2031">
        <v>3931.0</v>
      </c>
      <c r="C3933" s="2031">
        <v>472.0</v>
      </c>
      <c r="D3933" s="2031">
        <v>943.0</v>
      </c>
      <c r="E3933" s="2031">
        <v>629.0</v>
      </c>
      <c r="F3933" s="2031">
        <v>629.0</v>
      </c>
      <c r="G3933" s="2031">
        <v>629.0</v>
      </c>
      <c r="H3933" s="2031">
        <v>629.0</v>
      </c>
    </row>
    <row r="3934">
      <c r="B3934" s="2031">
        <v>3932.0</v>
      </c>
      <c r="C3934" s="2031">
        <v>472.0</v>
      </c>
      <c r="D3934" s="2031">
        <v>944.0</v>
      </c>
      <c r="E3934" s="2031">
        <v>629.0</v>
      </c>
      <c r="F3934" s="2031">
        <v>629.0</v>
      </c>
      <c r="G3934" s="2031">
        <v>629.0</v>
      </c>
      <c r="H3934" s="2031">
        <v>629.0</v>
      </c>
    </row>
    <row r="3935">
      <c r="B3935" s="2031">
        <v>3933.0</v>
      </c>
      <c r="C3935" s="2031">
        <v>472.0</v>
      </c>
      <c r="D3935" s="2031">
        <v>943.0</v>
      </c>
      <c r="E3935" s="2031">
        <v>629.0</v>
      </c>
      <c r="F3935" s="2031">
        <v>629.0</v>
      </c>
      <c r="G3935" s="2031">
        <v>630.0</v>
      </c>
      <c r="H3935" s="2031">
        <v>630.0</v>
      </c>
    </row>
    <row r="3936">
      <c r="B3936" s="2031">
        <v>3934.0</v>
      </c>
      <c r="C3936" s="2031">
        <v>472.0</v>
      </c>
      <c r="D3936" s="2031">
        <v>944.0</v>
      </c>
      <c r="E3936" s="2031">
        <v>629.0</v>
      </c>
      <c r="F3936" s="2031">
        <v>629.0</v>
      </c>
      <c r="G3936" s="2031">
        <v>630.0</v>
      </c>
      <c r="H3936" s="2031">
        <v>630.0</v>
      </c>
    </row>
    <row r="3937">
      <c r="B3937" s="2031">
        <v>3935.0</v>
      </c>
      <c r="C3937" s="2031">
        <v>472.0</v>
      </c>
      <c r="D3937" s="2031">
        <v>945.0</v>
      </c>
      <c r="E3937" s="2031">
        <v>629.0</v>
      </c>
      <c r="F3937" s="2031">
        <v>629.0</v>
      </c>
      <c r="G3937" s="2031">
        <v>630.0</v>
      </c>
      <c r="H3937" s="2031">
        <v>630.0</v>
      </c>
    </row>
    <row r="3938">
      <c r="B3938" s="2031">
        <v>3936.0</v>
      </c>
      <c r="C3938" s="2031">
        <v>472.0</v>
      </c>
      <c r="D3938" s="2031">
        <v>944.0</v>
      </c>
      <c r="E3938" s="2031">
        <v>630.0</v>
      </c>
      <c r="F3938" s="2031">
        <v>630.0</v>
      </c>
      <c r="G3938" s="2031">
        <v>630.0</v>
      </c>
      <c r="H3938" s="2031">
        <v>630.0</v>
      </c>
    </row>
    <row r="3939">
      <c r="B3939" s="2031">
        <v>3937.0</v>
      </c>
      <c r="C3939" s="2031">
        <v>472.0</v>
      </c>
      <c r="D3939" s="2031">
        <v>945.0</v>
      </c>
      <c r="E3939" s="2031">
        <v>630.0</v>
      </c>
      <c r="F3939" s="2031">
        <v>630.0</v>
      </c>
      <c r="G3939" s="2031">
        <v>630.0</v>
      </c>
      <c r="H3939" s="2031">
        <v>630.0</v>
      </c>
    </row>
    <row r="3940">
      <c r="B3940" s="2031">
        <v>3938.0</v>
      </c>
      <c r="C3940" s="2031">
        <v>473.0</v>
      </c>
      <c r="D3940" s="2031">
        <v>945.0</v>
      </c>
      <c r="E3940" s="2031">
        <v>630.0</v>
      </c>
      <c r="F3940" s="2031">
        <v>630.0</v>
      </c>
      <c r="G3940" s="2031">
        <v>630.0</v>
      </c>
      <c r="H3940" s="2031">
        <v>630.0</v>
      </c>
    </row>
    <row r="3941">
      <c r="B3941" s="2031">
        <v>3939.0</v>
      </c>
      <c r="C3941" s="2031">
        <v>473.0</v>
      </c>
      <c r="D3941" s="2031">
        <v>946.0</v>
      </c>
      <c r="E3941" s="2031">
        <v>630.0</v>
      </c>
      <c r="F3941" s="2031">
        <v>630.0</v>
      </c>
      <c r="G3941" s="2031">
        <v>630.0</v>
      </c>
      <c r="H3941" s="2031">
        <v>630.0</v>
      </c>
    </row>
    <row r="3942">
      <c r="B3942" s="2031">
        <v>3940.0</v>
      </c>
      <c r="C3942" s="2031">
        <v>473.0</v>
      </c>
      <c r="D3942" s="2031">
        <v>945.0</v>
      </c>
      <c r="E3942" s="2031">
        <v>630.0</v>
      </c>
      <c r="F3942" s="2031">
        <v>630.0</v>
      </c>
      <c r="G3942" s="2031">
        <v>631.0</v>
      </c>
      <c r="H3942" s="2031">
        <v>631.0</v>
      </c>
    </row>
    <row r="3943">
      <c r="B3943" s="2031">
        <v>3941.0</v>
      </c>
      <c r="C3943" s="2031">
        <v>473.0</v>
      </c>
      <c r="D3943" s="2031">
        <v>946.0</v>
      </c>
      <c r="E3943" s="2031">
        <v>630.0</v>
      </c>
      <c r="F3943" s="2031">
        <v>630.0</v>
      </c>
      <c r="G3943" s="2031">
        <v>631.0</v>
      </c>
      <c r="H3943" s="2031">
        <v>631.0</v>
      </c>
    </row>
    <row r="3944">
      <c r="B3944" s="2031">
        <v>3942.0</v>
      </c>
      <c r="C3944" s="2031">
        <v>473.0</v>
      </c>
      <c r="D3944" s="2031">
        <v>947.0</v>
      </c>
      <c r="E3944" s="2031">
        <v>630.0</v>
      </c>
      <c r="F3944" s="2031">
        <v>630.0</v>
      </c>
      <c r="G3944" s="2031">
        <v>631.0</v>
      </c>
      <c r="H3944" s="2031">
        <v>631.0</v>
      </c>
    </row>
    <row r="3945">
      <c r="B3945" s="2031">
        <v>3943.0</v>
      </c>
      <c r="C3945" s="2031">
        <v>473.0</v>
      </c>
      <c r="D3945" s="2031">
        <v>946.0</v>
      </c>
      <c r="E3945" s="2031">
        <v>631.0</v>
      </c>
      <c r="F3945" s="2031">
        <v>631.0</v>
      </c>
      <c r="G3945" s="2031">
        <v>631.0</v>
      </c>
      <c r="H3945" s="2031">
        <v>631.0</v>
      </c>
    </row>
    <row r="3946">
      <c r="B3946" s="2031">
        <v>3944.0</v>
      </c>
      <c r="C3946" s="2031">
        <v>473.0</v>
      </c>
      <c r="D3946" s="2031">
        <v>947.0</v>
      </c>
      <c r="E3946" s="2031">
        <v>631.0</v>
      </c>
      <c r="F3946" s="2031">
        <v>631.0</v>
      </c>
      <c r="G3946" s="2031">
        <v>631.0</v>
      </c>
      <c r="H3946" s="2031">
        <v>631.0</v>
      </c>
    </row>
    <row r="3947">
      <c r="B3947" s="2031">
        <v>3945.0</v>
      </c>
      <c r="C3947" s="2031">
        <v>474.0</v>
      </c>
      <c r="D3947" s="2031">
        <v>947.0</v>
      </c>
      <c r="E3947" s="2031">
        <v>631.0</v>
      </c>
      <c r="F3947" s="2031">
        <v>631.0</v>
      </c>
      <c r="G3947" s="2031">
        <v>631.0</v>
      </c>
      <c r="H3947" s="2031">
        <v>631.0</v>
      </c>
    </row>
    <row r="3948">
      <c r="B3948" s="2031">
        <v>3946.0</v>
      </c>
      <c r="C3948" s="2031">
        <v>473.0</v>
      </c>
      <c r="D3948" s="2031">
        <v>947.0</v>
      </c>
      <c r="E3948" s="2031">
        <v>631.0</v>
      </c>
      <c r="F3948" s="2031">
        <v>631.0</v>
      </c>
      <c r="G3948" s="2031">
        <v>632.0</v>
      </c>
      <c r="H3948" s="2031">
        <v>632.0</v>
      </c>
    </row>
    <row r="3949">
      <c r="B3949" s="2031">
        <v>3947.0</v>
      </c>
      <c r="C3949" s="2031">
        <v>474.0</v>
      </c>
      <c r="D3949" s="2031">
        <v>947.0</v>
      </c>
      <c r="E3949" s="2031">
        <v>631.0</v>
      </c>
      <c r="F3949" s="2031">
        <v>631.0</v>
      </c>
      <c r="G3949" s="2031">
        <v>632.0</v>
      </c>
      <c r="H3949" s="2031">
        <v>632.0</v>
      </c>
    </row>
    <row r="3950">
      <c r="B3950" s="2031">
        <v>3948.0</v>
      </c>
      <c r="C3950" s="2031">
        <v>473.0</v>
      </c>
      <c r="D3950" s="2031">
        <v>947.0</v>
      </c>
      <c r="E3950" s="2031">
        <v>632.0</v>
      </c>
      <c r="F3950" s="2031">
        <v>632.0</v>
      </c>
      <c r="G3950" s="2031">
        <v>632.0</v>
      </c>
      <c r="H3950" s="2031">
        <v>632.0</v>
      </c>
    </row>
    <row r="3951">
      <c r="B3951" s="2031">
        <v>3949.0</v>
      </c>
      <c r="C3951" s="2031">
        <v>474.0</v>
      </c>
      <c r="D3951" s="2031">
        <v>947.0</v>
      </c>
      <c r="E3951" s="2031">
        <v>632.0</v>
      </c>
      <c r="F3951" s="2031">
        <v>632.0</v>
      </c>
      <c r="G3951" s="2031">
        <v>632.0</v>
      </c>
      <c r="H3951" s="2031">
        <v>632.0</v>
      </c>
    </row>
    <row r="3952">
      <c r="B3952" s="2031">
        <v>3950.0</v>
      </c>
      <c r="C3952" s="2031">
        <v>474.0</v>
      </c>
      <c r="D3952" s="2031">
        <v>948.0</v>
      </c>
      <c r="E3952" s="2031">
        <v>632.0</v>
      </c>
      <c r="F3952" s="2031">
        <v>632.0</v>
      </c>
      <c r="G3952" s="2031">
        <v>632.0</v>
      </c>
      <c r="H3952" s="2031">
        <v>632.0</v>
      </c>
    </row>
    <row r="3953">
      <c r="B3953" s="2031">
        <v>3951.0</v>
      </c>
      <c r="C3953" s="2031">
        <v>474.0</v>
      </c>
      <c r="D3953" s="2031">
        <v>949.0</v>
      </c>
      <c r="E3953" s="2031">
        <v>632.0</v>
      </c>
      <c r="F3953" s="2031">
        <v>632.0</v>
      </c>
      <c r="G3953" s="2031">
        <v>632.0</v>
      </c>
      <c r="H3953" s="2031">
        <v>632.0</v>
      </c>
    </row>
    <row r="3954">
      <c r="B3954" s="2031">
        <v>3952.0</v>
      </c>
      <c r="C3954" s="2031">
        <v>475.0</v>
      </c>
      <c r="D3954" s="2031">
        <v>949.0</v>
      </c>
      <c r="E3954" s="2031">
        <v>632.0</v>
      </c>
      <c r="F3954" s="2031">
        <v>632.0</v>
      </c>
      <c r="G3954" s="2031">
        <v>632.0</v>
      </c>
      <c r="H3954" s="2031">
        <v>632.0</v>
      </c>
    </row>
    <row r="3955">
      <c r="B3955" s="2031">
        <v>3953.0</v>
      </c>
      <c r="C3955" s="2031">
        <v>474.0</v>
      </c>
      <c r="D3955" s="2031">
        <v>949.0</v>
      </c>
      <c r="E3955" s="2031">
        <v>632.0</v>
      </c>
      <c r="F3955" s="2031">
        <v>632.0</v>
      </c>
      <c r="G3955" s="2031">
        <v>633.0</v>
      </c>
      <c r="H3955" s="2031">
        <v>633.0</v>
      </c>
    </row>
    <row r="3956">
      <c r="B3956" s="2031">
        <v>3954.0</v>
      </c>
      <c r="C3956" s="2031">
        <v>475.0</v>
      </c>
      <c r="D3956" s="2031">
        <v>949.0</v>
      </c>
      <c r="E3956" s="2031">
        <v>632.0</v>
      </c>
      <c r="F3956" s="2031">
        <v>632.0</v>
      </c>
      <c r="G3956" s="2031">
        <v>633.0</v>
      </c>
      <c r="H3956" s="2031">
        <v>633.0</v>
      </c>
    </row>
    <row r="3957">
      <c r="B3957" s="2031">
        <v>3955.0</v>
      </c>
      <c r="C3957" s="2031">
        <v>474.0</v>
      </c>
      <c r="D3957" s="2031">
        <v>949.0</v>
      </c>
      <c r="E3957" s="2031">
        <v>633.0</v>
      </c>
      <c r="F3957" s="2031">
        <v>633.0</v>
      </c>
      <c r="G3957" s="2031">
        <v>633.0</v>
      </c>
      <c r="H3957" s="2031">
        <v>633.0</v>
      </c>
    </row>
    <row r="3958">
      <c r="B3958" s="2031">
        <v>3956.0</v>
      </c>
      <c r="C3958" s="2031">
        <v>475.0</v>
      </c>
      <c r="D3958" s="2031">
        <v>949.0</v>
      </c>
      <c r="E3958" s="2031">
        <v>633.0</v>
      </c>
      <c r="F3958" s="2031">
        <v>633.0</v>
      </c>
      <c r="G3958" s="2031">
        <v>633.0</v>
      </c>
      <c r="H3958" s="2031">
        <v>633.0</v>
      </c>
    </row>
    <row r="3959">
      <c r="B3959" s="2031">
        <v>3957.0</v>
      </c>
      <c r="C3959" s="2031">
        <v>475.0</v>
      </c>
      <c r="D3959" s="2031">
        <v>950.0</v>
      </c>
      <c r="E3959" s="2031">
        <v>633.0</v>
      </c>
      <c r="F3959" s="2031">
        <v>633.0</v>
      </c>
      <c r="G3959" s="2031">
        <v>633.0</v>
      </c>
      <c r="H3959" s="2031">
        <v>633.0</v>
      </c>
    </row>
    <row r="3960">
      <c r="B3960" s="2031">
        <v>3958.0</v>
      </c>
      <c r="C3960" s="2031">
        <v>475.0</v>
      </c>
      <c r="D3960" s="2031">
        <v>949.0</v>
      </c>
      <c r="E3960" s="2031">
        <v>633.0</v>
      </c>
      <c r="F3960" s="2031">
        <v>633.0</v>
      </c>
      <c r="G3960" s="2031">
        <v>634.0</v>
      </c>
      <c r="H3960" s="2031">
        <v>634.0</v>
      </c>
    </row>
    <row r="3961">
      <c r="B3961" s="2031">
        <v>3959.0</v>
      </c>
      <c r="C3961" s="2031">
        <v>475.0</v>
      </c>
      <c r="D3961" s="2031">
        <v>950.0</v>
      </c>
      <c r="E3961" s="2031">
        <v>633.0</v>
      </c>
      <c r="F3961" s="2031">
        <v>633.0</v>
      </c>
      <c r="G3961" s="2031">
        <v>634.0</v>
      </c>
      <c r="H3961" s="2031">
        <v>634.0</v>
      </c>
    </row>
    <row r="3962">
      <c r="B3962" s="2031">
        <v>3960.0</v>
      </c>
      <c r="C3962" s="2031">
        <v>475.0</v>
      </c>
      <c r="D3962" s="2031">
        <v>951.0</v>
      </c>
      <c r="E3962" s="2031">
        <v>633.0</v>
      </c>
      <c r="F3962" s="2031">
        <v>633.0</v>
      </c>
      <c r="G3962" s="2031">
        <v>634.0</v>
      </c>
      <c r="H3962" s="2031">
        <v>634.0</v>
      </c>
    </row>
    <row r="3963">
      <c r="B3963" s="2031">
        <v>3961.0</v>
      </c>
      <c r="C3963" s="2031">
        <v>475.0</v>
      </c>
      <c r="D3963" s="2031">
        <v>950.0</v>
      </c>
      <c r="E3963" s="2031">
        <v>634.0</v>
      </c>
      <c r="F3963" s="2031">
        <v>634.0</v>
      </c>
      <c r="G3963" s="2031">
        <v>634.0</v>
      </c>
      <c r="H3963" s="2031">
        <v>634.0</v>
      </c>
    </row>
    <row r="3964">
      <c r="B3964" s="2031">
        <v>3962.0</v>
      </c>
      <c r="C3964" s="2031">
        <v>475.0</v>
      </c>
      <c r="D3964" s="2031">
        <v>951.0</v>
      </c>
      <c r="E3964" s="2031">
        <v>634.0</v>
      </c>
      <c r="F3964" s="2031">
        <v>634.0</v>
      </c>
      <c r="G3964" s="2031">
        <v>634.0</v>
      </c>
      <c r="H3964" s="2031">
        <v>634.0</v>
      </c>
    </row>
    <row r="3965">
      <c r="B3965" s="2031">
        <v>3963.0</v>
      </c>
      <c r="C3965" s="2031">
        <v>476.0</v>
      </c>
      <c r="D3965" s="2031">
        <v>951.0</v>
      </c>
      <c r="E3965" s="2031">
        <v>634.0</v>
      </c>
      <c r="F3965" s="2031">
        <v>634.0</v>
      </c>
      <c r="G3965" s="2031">
        <v>634.0</v>
      </c>
      <c r="H3965" s="2031">
        <v>634.0</v>
      </c>
    </row>
    <row r="3966">
      <c r="B3966" s="2031">
        <v>3964.0</v>
      </c>
      <c r="C3966" s="2031">
        <v>476.0</v>
      </c>
      <c r="D3966" s="2031">
        <v>952.0</v>
      </c>
      <c r="E3966" s="2031">
        <v>634.0</v>
      </c>
      <c r="F3966" s="2031">
        <v>634.0</v>
      </c>
      <c r="G3966" s="2031">
        <v>634.0</v>
      </c>
      <c r="H3966" s="2031">
        <v>634.0</v>
      </c>
    </row>
    <row r="3967">
      <c r="B3967" s="2031">
        <v>3965.0</v>
      </c>
      <c r="C3967" s="2031">
        <v>476.0</v>
      </c>
      <c r="D3967" s="2031">
        <v>951.0</v>
      </c>
      <c r="E3967" s="2031">
        <v>634.0</v>
      </c>
      <c r="F3967" s="2031">
        <v>634.0</v>
      </c>
      <c r="G3967" s="2031">
        <v>635.0</v>
      </c>
      <c r="H3967" s="2031">
        <v>635.0</v>
      </c>
    </row>
    <row r="3968">
      <c r="B3968" s="2031">
        <v>3966.0</v>
      </c>
      <c r="C3968" s="2031">
        <v>476.0</v>
      </c>
      <c r="D3968" s="2031">
        <v>952.0</v>
      </c>
      <c r="E3968" s="2031">
        <v>634.0</v>
      </c>
      <c r="F3968" s="2031">
        <v>634.0</v>
      </c>
      <c r="G3968" s="2031">
        <v>635.0</v>
      </c>
      <c r="H3968" s="2031">
        <v>635.0</v>
      </c>
    </row>
    <row r="3969">
      <c r="B3969" s="2031">
        <v>3967.0</v>
      </c>
      <c r="C3969" s="2031">
        <v>476.0</v>
      </c>
      <c r="D3969" s="2031">
        <v>953.0</v>
      </c>
      <c r="E3969" s="2031">
        <v>634.0</v>
      </c>
      <c r="F3969" s="2031">
        <v>634.0</v>
      </c>
      <c r="G3969" s="2031">
        <v>635.0</v>
      </c>
      <c r="H3969" s="2031">
        <v>635.0</v>
      </c>
    </row>
    <row r="3970">
      <c r="B3970" s="2031">
        <v>3968.0</v>
      </c>
      <c r="C3970" s="2031">
        <v>476.0</v>
      </c>
      <c r="D3970" s="2031">
        <v>952.0</v>
      </c>
      <c r="E3970" s="2031">
        <v>635.0</v>
      </c>
      <c r="F3970" s="2031">
        <v>635.0</v>
      </c>
      <c r="G3970" s="2031">
        <v>635.0</v>
      </c>
      <c r="H3970" s="2031">
        <v>635.0</v>
      </c>
    </row>
    <row r="3971">
      <c r="B3971" s="2031">
        <v>3969.0</v>
      </c>
      <c r="C3971" s="2031">
        <v>476.0</v>
      </c>
      <c r="D3971" s="2031">
        <v>953.0</v>
      </c>
      <c r="E3971" s="2031">
        <v>635.0</v>
      </c>
      <c r="F3971" s="2031">
        <v>635.0</v>
      </c>
      <c r="G3971" s="2031">
        <v>635.0</v>
      </c>
      <c r="H3971" s="2031">
        <v>635.0</v>
      </c>
    </row>
    <row r="3972">
      <c r="B3972" s="2031">
        <v>3970.0</v>
      </c>
      <c r="C3972" s="2031">
        <v>477.0</v>
      </c>
      <c r="D3972" s="2031">
        <v>953.0</v>
      </c>
      <c r="E3972" s="2031">
        <v>635.0</v>
      </c>
      <c r="F3972" s="2031">
        <v>635.0</v>
      </c>
      <c r="G3972" s="2031">
        <v>635.0</v>
      </c>
      <c r="H3972" s="2031">
        <v>635.0</v>
      </c>
    </row>
    <row r="3973">
      <c r="B3973" s="2031">
        <v>3971.0</v>
      </c>
      <c r="C3973" s="2031">
        <v>476.0</v>
      </c>
      <c r="D3973" s="2031">
        <v>953.0</v>
      </c>
      <c r="E3973" s="2031">
        <v>635.0</v>
      </c>
      <c r="F3973" s="2031">
        <v>635.0</v>
      </c>
      <c r="G3973" s="2031">
        <v>636.0</v>
      </c>
      <c r="H3973" s="2031">
        <v>636.0</v>
      </c>
    </row>
    <row r="3974">
      <c r="B3974" s="2031">
        <v>3972.0</v>
      </c>
      <c r="C3974" s="2031">
        <v>477.0</v>
      </c>
      <c r="D3974" s="2031">
        <v>953.0</v>
      </c>
      <c r="E3974" s="2031">
        <v>635.0</v>
      </c>
      <c r="F3974" s="2031">
        <v>635.0</v>
      </c>
      <c r="G3974" s="2031">
        <v>636.0</v>
      </c>
      <c r="H3974" s="2031">
        <v>636.0</v>
      </c>
    </row>
    <row r="3975">
      <c r="B3975" s="2031">
        <v>3973.0</v>
      </c>
      <c r="C3975" s="2031">
        <v>476.0</v>
      </c>
      <c r="D3975" s="2031">
        <v>953.0</v>
      </c>
      <c r="E3975" s="2031">
        <v>636.0</v>
      </c>
      <c r="F3975" s="2031">
        <v>636.0</v>
      </c>
      <c r="G3975" s="2031">
        <v>636.0</v>
      </c>
      <c r="H3975" s="2031">
        <v>636.0</v>
      </c>
    </row>
    <row r="3976">
      <c r="B3976" s="2031">
        <v>3974.0</v>
      </c>
      <c r="C3976" s="2031">
        <v>477.0</v>
      </c>
      <c r="D3976" s="2031">
        <v>953.0</v>
      </c>
      <c r="E3976" s="2031">
        <v>636.0</v>
      </c>
      <c r="F3976" s="2031">
        <v>636.0</v>
      </c>
      <c r="G3976" s="2031">
        <v>636.0</v>
      </c>
      <c r="H3976" s="2031">
        <v>636.0</v>
      </c>
    </row>
    <row r="3977">
      <c r="B3977" s="2031">
        <v>3975.0</v>
      </c>
      <c r="C3977" s="2031">
        <v>477.0</v>
      </c>
      <c r="D3977" s="2031">
        <v>954.0</v>
      </c>
      <c r="E3977" s="2031">
        <v>636.0</v>
      </c>
      <c r="F3977" s="2031">
        <v>636.0</v>
      </c>
      <c r="G3977" s="2031">
        <v>636.0</v>
      </c>
      <c r="H3977" s="2031">
        <v>636.0</v>
      </c>
    </row>
    <row r="3978">
      <c r="B3978" s="2031">
        <v>3976.0</v>
      </c>
      <c r="C3978" s="2031">
        <v>477.0</v>
      </c>
      <c r="D3978" s="2031">
        <v>955.0</v>
      </c>
      <c r="E3978" s="2031">
        <v>636.0</v>
      </c>
      <c r="F3978" s="2031">
        <v>636.0</v>
      </c>
      <c r="G3978" s="2031">
        <v>636.0</v>
      </c>
      <c r="H3978" s="2031">
        <v>636.0</v>
      </c>
    </row>
    <row r="3979">
      <c r="B3979" s="2031">
        <v>3977.0</v>
      </c>
      <c r="C3979" s="2031">
        <v>478.0</v>
      </c>
      <c r="D3979" s="2031">
        <v>955.0</v>
      </c>
      <c r="E3979" s="2031">
        <v>636.0</v>
      </c>
      <c r="F3979" s="2031">
        <v>636.0</v>
      </c>
      <c r="G3979" s="2031">
        <v>636.0</v>
      </c>
      <c r="H3979" s="2031">
        <v>636.0</v>
      </c>
    </row>
    <row r="3980">
      <c r="B3980" s="2031">
        <v>3978.0</v>
      </c>
      <c r="C3980" s="2031">
        <v>477.0</v>
      </c>
      <c r="D3980" s="2031">
        <v>955.0</v>
      </c>
      <c r="E3980" s="2031">
        <v>636.0</v>
      </c>
      <c r="F3980" s="2031">
        <v>636.0</v>
      </c>
      <c r="G3980" s="2031">
        <v>637.0</v>
      </c>
      <c r="H3980" s="2031">
        <v>637.0</v>
      </c>
    </row>
    <row r="3981">
      <c r="B3981" s="2031">
        <v>3979.0</v>
      </c>
      <c r="C3981" s="2031">
        <v>478.0</v>
      </c>
      <c r="D3981" s="2031">
        <v>955.0</v>
      </c>
      <c r="E3981" s="2031">
        <v>636.0</v>
      </c>
      <c r="F3981" s="2031">
        <v>636.0</v>
      </c>
      <c r="G3981" s="2031">
        <v>637.0</v>
      </c>
      <c r="H3981" s="2031">
        <v>637.0</v>
      </c>
    </row>
    <row r="3982">
      <c r="B3982" s="2031">
        <v>3980.0</v>
      </c>
      <c r="C3982" s="2031">
        <v>477.0</v>
      </c>
      <c r="D3982" s="2031">
        <v>955.0</v>
      </c>
      <c r="E3982" s="2031">
        <v>637.0</v>
      </c>
      <c r="F3982" s="2031">
        <v>637.0</v>
      </c>
      <c r="G3982" s="2031">
        <v>637.0</v>
      </c>
      <c r="H3982" s="2031">
        <v>637.0</v>
      </c>
    </row>
    <row r="3983">
      <c r="B3983" s="2031">
        <v>3981.0</v>
      </c>
      <c r="C3983" s="2031">
        <v>478.0</v>
      </c>
      <c r="D3983" s="2031">
        <v>955.0</v>
      </c>
      <c r="E3983" s="2031">
        <v>637.0</v>
      </c>
      <c r="F3983" s="2031">
        <v>637.0</v>
      </c>
      <c r="G3983" s="2031">
        <v>637.0</v>
      </c>
      <c r="H3983" s="2031">
        <v>637.0</v>
      </c>
    </row>
    <row r="3984">
      <c r="B3984" s="2031">
        <v>3982.0</v>
      </c>
      <c r="C3984" s="2031">
        <v>478.0</v>
      </c>
      <c r="D3984" s="2031">
        <v>956.0</v>
      </c>
      <c r="E3984" s="2031">
        <v>637.0</v>
      </c>
      <c r="F3984" s="2031">
        <v>637.0</v>
      </c>
      <c r="G3984" s="2031">
        <v>637.0</v>
      </c>
      <c r="H3984" s="2031">
        <v>637.0</v>
      </c>
    </row>
    <row r="3985">
      <c r="B3985" s="2031">
        <v>3983.0</v>
      </c>
      <c r="C3985" s="2031">
        <v>478.0</v>
      </c>
      <c r="D3985" s="2031">
        <v>955.0</v>
      </c>
      <c r="E3985" s="2031">
        <v>637.0</v>
      </c>
      <c r="F3985" s="2031">
        <v>637.0</v>
      </c>
      <c r="G3985" s="2031">
        <v>638.0</v>
      </c>
      <c r="H3985" s="2031">
        <v>638.0</v>
      </c>
    </row>
    <row r="3986">
      <c r="B3986" s="2031">
        <v>3984.0</v>
      </c>
      <c r="C3986" s="2031">
        <v>478.0</v>
      </c>
      <c r="D3986" s="2031">
        <v>956.0</v>
      </c>
      <c r="E3986" s="2031">
        <v>637.0</v>
      </c>
      <c r="F3986" s="2031">
        <v>637.0</v>
      </c>
      <c r="G3986" s="2031">
        <v>638.0</v>
      </c>
      <c r="H3986" s="2031">
        <v>638.0</v>
      </c>
    </row>
    <row r="3987">
      <c r="B3987" s="2031">
        <v>3985.0</v>
      </c>
      <c r="C3987" s="2031">
        <v>478.0</v>
      </c>
      <c r="D3987" s="2031">
        <v>957.0</v>
      </c>
      <c r="E3987" s="2031">
        <v>637.0</v>
      </c>
      <c r="F3987" s="2031">
        <v>637.0</v>
      </c>
      <c r="G3987" s="2031">
        <v>638.0</v>
      </c>
      <c r="H3987" s="2031">
        <v>638.0</v>
      </c>
    </row>
    <row r="3988">
      <c r="B3988" s="2031">
        <v>3986.0</v>
      </c>
      <c r="C3988" s="2031">
        <v>478.0</v>
      </c>
      <c r="D3988" s="2031">
        <v>956.0</v>
      </c>
      <c r="E3988" s="2031">
        <v>638.0</v>
      </c>
      <c r="F3988" s="2031">
        <v>638.0</v>
      </c>
      <c r="G3988" s="2031">
        <v>638.0</v>
      </c>
      <c r="H3988" s="2031">
        <v>638.0</v>
      </c>
    </row>
    <row r="3989">
      <c r="B3989" s="2031">
        <v>3987.0</v>
      </c>
      <c r="C3989" s="2031">
        <v>478.0</v>
      </c>
      <c r="D3989" s="2031">
        <v>957.0</v>
      </c>
      <c r="E3989" s="2031">
        <v>638.0</v>
      </c>
      <c r="F3989" s="2031">
        <v>638.0</v>
      </c>
      <c r="G3989" s="2031">
        <v>638.0</v>
      </c>
      <c r="H3989" s="2031">
        <v>638.0</v>
      </c>
    </row>
    <row r="3990">
      <c r="B3990" s="2031">
        <v>3988.0</v>
      </c>
      <c r="C3990" s="2031">
        <v>479.0</v>
      </c>
      <c r="D3990" s="2031">
        <v>957.0</v>
      </c>
      <c r="E3990" s="2031">
        <v>638.0</v>
      </c>
      <c r="F3990" s="2031">
        <v>638.0</v>
      </c>
      <c r="G3990" s="2031">
        <v>638.0</v>
      </c>
      <c r="H3990" s="2031">
        <v>638.0</v>
      </c>
    </row>
    <row r="3991">
      <c r="B3991" s="2031">
        <v>3989.0</v>
      </c>
      <c r="C3991" s="2031">
        <v>479.0</v>
      </c>
      <c r="D3991" s="2031">
        <v>958.0</v>
      </c>
      <c r="E3991" s="2031">
        <v>638.0</v>
      </c>
      <c r="F3991" s="2031">
        <v>638.0</v>
      </c>
      <c r="G3991" s="2031">
        <v>638.0</v>
      </c>
      <c r="H3991" s="2031">
        <v>638.0</v>
      </c>
    </row>
    <row r="3992">
      <c r="B3992" s="2031">
        <v>3990.0</v>
      </c>
      <c r="C3992" s="2031">
        <v>479.0</v>
      </c>
      <c r="D3992" s="2031">
        <v>957.0</v>
      </c>
      <c r="E3992" s="2031">
        <v>638.0</v>
      </c>
      <c r="F3992" s="2031">
        <v>638.0</v>
      </c>
      <c r="G3992" s="2031">
        <v>639.0</v>
      </c>
      <c r="H3992" s="2031">
        <v>639.0</v>
      </c>
    </row>
    <row r="3993">
      <c r="B3993" s="2031">
        <v>3991.0</v>
      </c>
      <c r="C3993" s="2031">
        <v>479.0</v>
      </c>
      <c r="D3993" s="2031">
        <v>958.0</v>
      </c>
      <c r="E3993" s="2031">
        <v>638.0</v>
      </c>
      <c r="F3993" s="2031">
        <v>638.0</v>
      </c>
      <c r="G3993" s="2031">
        <v>639.0</v>
      </c>
      <c r="H3993" s="2031">
        <v>639.0</v>
      </c>
    </row>
    <row r="3994">
      <c r="B3994" s="2031">
        <v>3992.0</v>
      </c>
      <c r="C3994" s="2031">
        <v>479.0</v>
      </c>
      <c r="D3994" s="2031">
        <v>959.0</v>
      </c>
      <c r="E3994" s="2031">
        <v>638.0</v>
      </c>
      <c r="F3994" s="2031">
        <v>638.0</v>
      </c>
      <c r="G3994" s="2031">
        <v>639.0</v>
      </c>
      <c r="H3994" s="2031">
        <v>639.0</v>
      </c>
    </row>
    <row r="3995">
      <c r="B3995" s="2031">
        <v>3993.0</v>
      </c>
      <c r="C3995" s="2031">
        <v>479.0</v>
      </c>
      <c r="D3995" s="2031">
        <v>958.0</v>
      </c>
      <c r="E3995" s="2031">
        <v>639.0</v>
      </c>
      <c r="F3995" s="2031">
        <v>639.0</v>
      </c>
      <c r="G3995" s="2031">
        <v>639.0</v>
      </c>
      <c r="H3995" s="2031">
        <v>639.0</v>
      </c>
    </row>
    <row r="3996">
      <c r="B3996" s="2031">
        <v>3994.0</v>
      </c>
      <c r="C3996" s="2031">
        <v>479.0</v>
      </c>
      <c r="D3996" s="2031">
        <v>959.0</v>
      </c>
      <c r="E3996" s="2031">
        <v>639.0</v>
      </c>
      <c r="F3996" s="2031">
        <v>639.0</v>
      </c>
      <c r="G3996" s="2031">
        <v>639.0</v>
      </c>
      <c r="H3996" s="2031">
        <v>639.0</v>
      </c>
    </row>
    <row r="3997">
      <c r="B3997" s="2031">
        <v>3995.0</v>
      </c>
      <c r="C3997" s="2031">
        <v>480.0</v>
      </c>
      <c r="D3997" s="2031">
        <v>959.0</v>
      </c>
      <c r="E3997" s="2031">
        <v>639.0</v>
      </c>
      <c r="F3997" s="2031">
        <v>639.0</v>
      </c>
      <c r="G3997" s="2031">
        <v>639.0</v>
      </c>
      <c r="H3997" s="2031">
        <v>639.0</v>
      </c>
    </row>
    <row r="3998">
      <c r="B3998" s="2031">
        <v>3996.0</v>
      </c>
      <c r="C3998" s="2031">
        <v>479.0</v>
      </c>
      <c r="D3998" s="2031">
        <v>959.0</v>
      </c>
      <c r="E3998" s="2031">
        <v>639.0</v>
      </c>
      <c r="F3998" s="2031">
        <v>639.0</v>
      </c>
      <c r="G3998" s="2031">
        <v>640.0</v>
      </c>
      <c r="H3998" s="2031">
        <v>640.0</v>
      </c>
    </row>
    <row r="3999">
      <c r="B3999" s="2031">
        <v>3997.0</v>
      </c>
      <c r="C3999" s="2031">
        <v>480.0</v>
      </c>
      <c r="D3999" s="2031">
        <v>959.0</v>
      </c>
      <c r="E3999" s="2031">
        <v>639.0</v>
      </c>
      <c r="F3999" s="2031">
        <v>639.0</v>
      </c>
      <c r="G3999" s="2031">
        <v>640.0</v>
      </c>
      <c r="H3999" s="2031">
        <v>640.0</v>
      </c>
    </row>
    <row r="4000">
      <c r="B4000" s="2031">
        <v>3998.0</v>
      </c>
      <c r="C4000" s="2031">
        <v>479.0</v>
      </c>
      <c r="D4000" s="2031">
        <v>959.0</v>
      </c>
      <c r="E4000" s="2031">
        <v>640.0</v>
      </c>
      <c r="F4000" s="2031">
        <v>640.0</v>
      </c>
      <c r="G4000" s="2031">
        <v>640.0</v>
      </c>
      <c r="H4000" s="2031">
        <v>640.0</v>
      </c>
    </row>
    <row r="4001">
      <c r="B4001" s="2031">
        <v>3999.0</v>
      </c>
      <c r="C4001" s="2031">
        <v>480.0</v>
      </c>
      <c r="D4001" s="2031">
        <v>959.0</v>
      </c>
      <c r="E4001" s="2031">
        <v>640.0</v>
      </c>
      <c r="F4001" s="2031">
        <v>640.0</v>
      </c>
      <c r="G4001" s="2031">
        <v>640.0</v>
      </c>
      <c r="H4001" s="2031">
        <v>640.0</v>
      </c>
    </row>
    <row r="4002">
      <c r="B4002" s="2031">
        <v>4000.0</v>
      </c>
      <c r="C4002" s="2031">
        <v>480.0</v>
      </c>
      <c r="D4002" s="2031">
        <v>960.0</v>
      </c>
      <c r="E4002" s="2031">
        <v>640.0</v>
      </c>
      <c r="F4002" s="2031">
        <v>640.0</v>
      </c>
      <c r="G4002" s="2031">
        <v>640.0</v>
      </c>
      <c r="H4002" s="2031">
        <v>640.0</v>
      </c>
    </row>
    <row r="4003">
      <c r="B4003" s="2031">
        <v>4001.0</v>
      </c>
      <c r="C4003" s="2031">
        <v>480.0</v>
      </c>
      <c r="D4003" s="2031">
        <v>961.0</v>
      </c>
      <c r="E4003" s="2031">
        <v>640.0</v>
      </c>
      <c r="F4003" s="2031">
        <v>640.0</v>
      </c>
      <c r="G4003" s="2031">
        <v>640.0</v>
      </c>
      <c r="H4003" s="2031">
        <v>640.0</v>
      </c>
    </row>
    <row r="4004">
      <c r="B4004" s="2031">
        <v>4002.0</v>
      </c>
      <c r="C4004" s="2031">
        <v>481.0</v>
      </c>
      <c r="D4004" s="2031">
        <v>961.0</v>
      </c>
      <c r="E4004" s="2031">
        <v>640.0</v>
      </c>
      <c r="F4004" s="2031">
        <v>640.0</v>
      </c>
      <c r="G4004" s="2031">
        <v>640.0</v>
      </c>
      <c r="H4004" s="2031">
        <v>640.0</v>
      </c>
    </row>
    <row r="4005">
      <c r="B4005" s="2031">
        <v>4003.0</v>
      </c>
      <c r="C4005" s="2031">
        <v>480.0</v>
      </c>
      <c r="D4005" s="2031">
        <v>961.0</v>
      </c>
      <c r="E4005" s="2031">
        <v>640.0</v>
      </c>
      <c r="F4005" s="2031">
        <v>640.0</v>
      </c>
      <c r="G4005" s="2031">
        <v>641.0</v>
      </c>
      <c r="H4005" s="2031">
        <v>641.0</v>
      </c>
    </row>
    <row r="4006">
      <c r="B4006" s="2031">
        <v>4004.0</v>
      </c>
      <c r="C4006" s="2031">
        <v>481.0</v>
      </c>
      <c r="D4006" s="2031">
        <v>961.0</v>
      </c>
      <c r="E4006" s="2031">
        <v>640.0</v>
      </c>
      <c r="F4006" s="2031">
        <v>640.0</v>
      </c>
      <c r="G4006" s="2031">
        <v>641.0</v>
      </c>
      <c r="H4006" s="2031">
        <v>641.0</v>
      </c>
    </row>
    <row r="4007">
      <c r="B4007" s="2031">
        <v>4005.0</v>
      </c>
      <c r="C4007" s="2031">
        <v>480.0</v>
      </c>
      <c r="D4007" s="2031">
        <v>961.0</v>
      </c>
      <c r="E4007" s="2031">
        <v>641.0</v>
      </c>
      <c r="F4007" s="2031">
        <v>641.0</v>
      </c>
      <c r="G4007" s="2031">
        <v>641.0</v>
      </c>
      <c r="H4007" s="2031">
        <v>641.0</v>
      </c>
    </row>
    <row r="4008">
      <c r="B4008" s="2031">
        <v>4006.0</v>
      </c>
      <c r="C4008" s="2031">
        <v>481.0</v>
      </c>
      <c r="D4008" s="2031">
        <v>961.0</v>
      </c>
      <c r="E4008" s="2031">
        <v>641.0</v>
      </c>
      <c r="F4008" s="2031">
        <v>641.0</v>
      </c>
      <c r="G4008" s="2031">
        <v>641.0</v>
      </c>
      <c r="H4008" s="2031">
        <v>641.0</v>
      </c>
    </row>
    <row r="4009">
      <c r="B4009" s="2031">
        <v>4007.0</v>
      </c>
      <c r="C4009" s="2031">
        <v>481.0</v>
      </c>
      <c r="D4009" s="2031">
        <v>962.0</v>
      </c>
      <c r="E4009" s="2031">
        <v>641.0</v>
      </c>
      <c r="F4009" s="2031">
        <v>641.0</v>
      </c>
      <c r="G4009" s="2031">
        <v>641.0</v>
      </c>
      <c r="H4009" s="2031">
        <v>641.0</v>
      </c>
    </row>
    <row r="4010">
      <c r="B4010" s="2031">
        <v>4008.0</v>
      </c>
      <c r="C4010" s="2031">
        <v>481.0</v>
      </c>
      <c r="D4010" s="2031">
        <v>961.0</v>
      </c>
      <c r="E4010" s="2031">
        <v>641.0</v>
      </c>
      <c r="F4010" s="2031">
        <v>641.0</v>
      </c>
      <c r="G4010" s="2031">
        <v>642.0</v>
      </c>
      <c r="H4010" s="2031">
        <v>642.0</v>
      </c>
    </row>
    <row r="4011">
      <c r="B4011" s="2031">
        <v>4009.0</v>
      </c>
      <c r="C4011" s="2031">
        <v>481.0</v>
      </c>
      <c r="D4011" s="2031">
        <v>962.0</v>
      </c>
      <c r="E4011" s="2031">
        <v>641.0</v>
      </c>
      <c r="F4011" s="2031">
        <v>641.0</v>
      </c>
      <c r="G4011" s="2031">
        <v>642.0</v>
      </c>
      <c r="H4011" s="2031">
        <v>642.0</v>
      </c>
    </row>
    <row r="4012">
      <c r="B4012" s="2031">
        <v>4010.0</v>
      </c>
      <c r="C4012" s="2031">
        <v>481.0</v>
      </c>
      <c r="D4012" s="2031">
        <v>963.0</v>
      </c>
      <c r="E4012" s="2031">
        <v>641.0</v>
      </c>
      <c r="F4012" s="2031">
        <v>641.0</v>
      </c>
      <c r="G4012" s="2031">
        <v>642.0</v>
      </c>
      <c r="H4012" s="2031">
        <v>642.0</v>
      </c>
    </row>
    <row r="4013">
      <c r="B4013" s="2031">
        <v>4011.0</v>
      </c>
      <c r="C4013" s="2031">
        <v>481.0</v>
      </c>
      <c r="D4013" s="2031">
        <v>962.0</v>
      </c>
      <c r="E4013" s="2031">
        <v>642.0</v>
      </c>
      <c r="F4013" s="2031">
        <v>642.0</v>
      </c>
      <c r="G4013" s="2031">
        <v>642.0</v>
      </c>
      <c r="H4013" s="2031">
        <v>642.0</v>
      </c>
    </row>
    <row r="4014">
      <c r="B4014" s="2031">
        <v>4012.0</v>
      </c>
      <c r="C4014" s="2031">
        <v>481.0</v>
      </c>
      <c r="D4014" s="2031">
        <v>963.0</v>
      </c>
      <c r="E4014" s="2031">
        <v>642.0</v>
      </c>
      <c r="F4014" s="2031">
        <v>642.0</v>
      </c>
      <c r="G4014" s="2031">
        <v>642.0</v>
      </c>
      <c r="H4014" s="2031">
        <v>642.0</v>
      </c>
    </row>
    <row r="4015">
      <c r="B4015" s="2031">
        <v>4013.0</v>
      </c>
      <c r="C4015" s="2031">
        <v>482.0</v>
      </c>
      <c r="D4015" s="2031">
        <v>963.0</v>
      </c>
      <c r="E4015" s="2031">
        <v>642.0</v>
      </c>
      <c r="F4015" s="2031">
        <v>642.0</v>
      </c>
      <c r="G4015" s="2031">
        <v>642.0</v>
      </c>
      <c r="H4015" s="2031">
        <v>642.0</v>
      </c>
    </row>
    <row r="4016">
      <c r="B4016" s="2031">
        <v>4014.0</v>
      </c>
      <c r="C4016" s="2031">
        <v>482.0</v>
      </c>
      <c r="D4016" s="2031">
        <v>964.0</v>
      </c>
      <c r="E4016" s="2031">
        <v>642.0</v>
      </c>
      <c r="F4016" s="2031">
        <v>642.0</v>
      </c>
      <c r="G4016" s="2031">
        <v>642.0</v>
      </c>
      <c r="H4016" s="2031">
        <v>642.0</v>
      </c>
    </row>
    <row r="4017">
      <c r="B4017" s="2031">
        <v>4015.0</v>
      </c>
      <c r="C4017" s="2031">
        <v>482.0</v>
      </c>
      <c r="D4017" s="2031">
        <v>963.0</v>
      </c>
      <c r="E4017" s="2031">
        <v>642.0</v>
      </c>
      <c r="F4017" s="2031">
        <v>642.0</v>
      </c>
      <c r="G4017" s="2031">
        <v>643.0</v>
      </c>
      <c r="H4017" s="2031">
        <v>643.0</v>
      </c>
    </row>
    <row r="4018">
      <c r="B4018" s="2031">
        <v>4016.0</v>
      </c>
      <c r="C4018" s="2031">
        <v>482.0</v>
      </c>
      <c r="D4018" s="2031">
        <v>964.0</v>
      </c>
      <c r="E4018" s="2031">
        <v>642.0</v>
      </c>
      <c r="F4018" s="2031">
        <v>642.0</v>
      </c>
      <c r="G4018" s="2031">
        <v>643.0</v>
      </c>
      <c r="H4018" s="2031">
        <v>643.0</v>
      </c>
    </row>
    <row r="4019">
      <c r="B4019" s="2031">
        <v>4017.0</v>
      </c>
      <c r="C4019" s="2031">
        <v>482.0</v>
      </c>
      <c r="D4019" s="2031">
        <v>965.0</v>
      </c>
      <c r="E4019" s="2031">
        <v>642.0</v>
      </c>
      <c r="F4019" s="2031">
        <v>642.0</v>
      </c>
      <c r="G4019" s="2031">
        <v>643.0</v>
      </c>
      <c r="H4019" s="2031">
        <v>643.0</v>
      </c>
    </row>
    <row r="4020">
      <c r="B4020" s="2031">
        <v>4018.0</v>
      </c>
      <c r="C4020" s="2031">
        <v>482.0</v>
      </c>
      <c r="D4020" s="2031">
        <v>964.0</v>
      </c>
      <c r="E4020" s="2031">
        <v>643.0</v>
      </c>
      <c r="F4020" s="2031">
        <v>643.0</v>
      </c>
      <c r="G4020" s="2031">
        <v>643.0</v>
      </c>
      <c r="H4020" s="2031">
        <v>643.0</v>
      </c>
    </row>
    <row r="4021">
      <c r="B4021" s="2031">
        <v>4019.0</v>
      </c>
      <c r="C4021" s="2031">
        <v>482.0</v>
      </c>
      <c r="D4021" s="2031">
        <v>965.0</v>
      </c>
      <c r="E4021" s="2031">
        <v>643.0</v>
      </c>
      <c r="F4021" s="2031">
        <v>643.0</v>
      </c>
      <c r="G4021" s="2031">
        <v>643.0</v>
      </c>
      <c r="H4021" s="2031">
        <v>643.0</v>
      </c>
    </row>
    <row r="4022">
      <c r="B4022" s="2031">
        <v>4020.0</v>
      </c>
      <c r="C4022" s="2031">
        <v>483.0</v>
      </c>
      <c r="D4022" s="2031">
        <v>965.0</v>
      </c>
      <c r="E4022" s="2031">
        <v>643.0</v>
      </c>
      <c r="F4022" s="2031">
        <v>643.0</v>
      </c>
      <c r="G4022" s="2031">
        <v>643.0</v>
      </c>
      <c r="H4022" s="2031">
        <v>643.0</v>
      </c>
    </row>
    <row r="4023">
      <c r="B4023" s="2031">
        <v>4021.0</v>
      </c>
      <c r="C4023" s="2031">
        <v>482.0</v>
      </c>
      <c r="D4023" s="2031">
        <v>965.0</v>
      </c>
      <c r="E4023" s="2031">
        <v>643.0</v>
      </c>
      <c r="F4023" s="2031">
        <v>643.0</v>
      </c>
      <c r="G4023" s="2031">
        <v>644.0</v>
      </c>
      <c r="H4023" s="2031">
        <v>644.0</v>
      </c>
    </row>
    <row r="4024">
      <c r="B4024" s="2031">
        <v>4022.0</v>
      </c>
      <c r="C4024" s="2031">
        <v>483.0</v>
      </c>
      <c r="D4024" s="2031">
        <v>965.0</v>
      </c>
      <c r="E4024" s="2031">
        <v>643.0</v>
      </c>
      <c r="F4024" s="2031">
        <v>643.0</v>
      </c>
      <c r="G4024" s="2031">
        <v>644.0</v>
      </c>
      <c r="H4024" s="2031">
        <v>644.0</v>
      </c>
    </row>
    <row r="4025">
      <c r="B4025" s="2031">
        <v>4023.0</v>
      </c>
      <c r="C4025" s="2031">
        <v>482.0</v>
      </c>
      <c r="D4025" s="2031">
        <v>965.0</v>
      </c>
      <c r="E4025" s="2031">
        <v>644.0</v>
      </c>
      <c r="F4025" s="2031">
        <v>644.0</v>
      </c>
      <c r="G4025" s="2031">
        <v>644.0</v>
      </c>
      <c r="H4025" s="2031">
        <v>644.0</v>
      </c>
    </row>
    <row r="4026">
      <c r="B4026" s="2031">
        <v>4024.0</v>
      </c>
      <c r="C4026" s="2031">
        <v>483.0</v>
      </c>
      <c r="D4026" s="2031">
        <v>965.0</v>
      </c>
      <c r="E4026" s="2031">
        <v>644.0</v>
      </c>
      <c r="F4026" s="2031">
        <v>644.0</v>
      </c>
      <c r="G4026" s="2031">
        <v>644.0</v>
      </c>
      <c r="H4026" s="2031">
        <v>644.0</v>
      </c>
    </row>
    <row r="4027">
      <c r="B4027" s="2031">
        <v>4025.0</v>
      </c>
      <c r="C4027" s="2031">
        <v>483.0</v>
      </c>
      <c r="D4027" s="2031">
        <v>966.0</v>
      </c>
      <c r="E4027" s="2031">
        <v>644.0</v>
      </c>
      <c r="F4027" s="2031">
        <v>644.0</v>
      </c>
      <c r="G4027" s="2031">
        <v>644.0</v>
      </c>
      <c r="H4027" s="2031">
        <v>644.0</v>
      </c>
    </row>
    <row r="4028">
      <c r="B4028" s="2031">
        <v>4026.0</v>
      </c>
      <c r="C4028" s="2031">
        <v>483.0</v>
      </c>
      <c r="D4028" s="2031">
        <v>967.0</v>
      </c>
      <c r="E4028" s="2031">
        <v>644.0</v>
      </c>
      <c r="F4028" s="2031">
        <v>644.0</v>
      </c>
      <c r="G4028" s="2031">
        <v>644.0</v>
      </c>
      <c r="H4028" s="2031">
        <v>644.0</v>
      </c>
    </row>
    <row r="4029">
      <c r="B4029" s="2031">
        <v>4027.0</v>
      </c>
      <c r="C4029" s="2031">
        <v>484.0</v>
      </c>
      <c r="D4029" s="2031">
        <v>967.0</v>
      </c>
      <c r="E4029" s="2031">
        <v>644.0</v>
      </c>
      <c r="F4029" s="2031">
        <v>644.0</v>
      </c>
      <c r="G4029" s="2031">
        <v>644.0</v>
      </c>
      <c r="H4029" s="2031">
        <v>644.0</v>
      </c>
    </row>
    <row r="4030">
      <c r="B4030" s="2031">
        <v>4028.0</v>
      </c>
      <c r="C4030" s="2031">
        <v>483.0</v>
      </c>
      <c r="D4030" s="2031">
        <v>967.0</v>
      </c>
      <c r="E4030" s="2031">
        <v>644.0</v>
      </c>
      <c r="F4030" s="2031">
        <v>644.0</v>
      </c>
      <c r="G4030" s="2031">
        <v>645.0</v>
      </c>
      <c r="H4030" s="2031">
        <v>645.0</v>
      </c>
    </row>
    <row r="4031">
      <c r="B4031" s="2031">
        <v>4029.0</v>
      </c>
      <c r="C4031" s="2031">
        <v>484.0</v>
      </c>
      <c r="D4031" s="2031">
        <v>967.0</v>
      </c>
      <c r="E4031" s="2031">
        <v>644.0</v>
      </c>
      <c r="F4031" s="2031">
        <v>644.0</v>
      </c>
      <c r="G4031" s="2031">
        <v>645.0</v>
      </c>
      <c r="H4031" s="2031">
        <v>645.0</v>
      </c>
    </row>
    <row r="4032">
      <c r="B4032" s="2031">
        <v>4030.0</v>
      </c>
      <c r="C4032" s="2031">
        <v>483.0</v>
      </c>
      <c r="D4032" s="2031">
        <v>967.0</v>
      </c>
      <c r="E4032" s="2031">
        <v>645.0</v>
      </c>
      <c r="F4032" s="2031">
        <v>645.0</v>
      </c>
      <c r="G4032" s="2031">
        <v>645.0</v>
      </c>
      <c r="H4032" s="2031">
        <v>645.0</v>
      </c>
    </row>
    <row r="4033">
      <c r="B4033" s="2031">
        <v>4031.0</v>
      </c>
      <c r="C4033" s="2031">
        <v>484.0</v>
      </c>
      <c r="D4033" s="2031">
        <v>967.0</v>
      </c>
      <c r="E4033" s="2031">
        <v>645.0</v>
      </c>
      <c r="F4033" s="2031">
        <v>645.0</v>
      </c>
      <c r="G4033" s="2031">
        <v>645.0</v>
      </c>
      <c r="H4033" s="2031">
        <v>645.0</v>
      </c>
    </row>
    <row r="4034">
      <c r="B4034" s="2031">
        <v>4032.0</v>
      </c>
      <c r="C4034" s="2031">
        <v>484.0</v>
      </c>
      <c r="D4034" s="2031">
        <v>968.0</v>
      </c>
      <c r="E4034" s="2031">
        <v>645.0</v>
      </c>
      <c r="F4034" s="2031">
        <v>645.0</v>
      </c>
      <c r="G4034" s="2031">
        <v>645.0</v>
      </c>
      <c r="H4034" s="2031">
        <v>645.0</v>
      </c>
    </row>
    <row r="4035">
      <c r="B4035" s="2031">
        <v>4033.0</v>
      </c>
      <c r="C4035" s="2031">
        <v>484.0</v>
      </c>
      <c r="D4035" s="2031">
        <v>967.0</v>
      </c>
      <c r="E4035" s="2031">
        <v>645.0</v>
      </c>
      <c r="F4035" s="2031">
        <v>645.0</v>
      </c>
      <c r="G4035" s="2031">
        <v>646.0</v>
      </c>
      <c r="H4035" s="2031">
        <v>646.0</v>
      </c>
    </row>
    <row r="4036">
      <c r="B4036" s="2031">
        <v>4034.0</v>
      </c>
      <c r="C4036" s="2031">
        <v>484.0</v>
      </c>
      <c r="D4036" s="2031">
        <v>968.0</v>
      </c>
      <c r="E4036" s="2031">
        <v>645.0</v>
      </c>
      <c r="F4036" s="2031">
        <v>645.0</v>
      </c>
      <c r="G4036" s="2031">
        <v>646.0</v>
      </c>
      <c r="H4036" s="2031">
        <v>646.0</v>
      </c>
    </row>
    <row r="4037">
      <c r="B4037" s="2031">
        <v>4035.0</v>
      </c>
      <c r="C4037" s="2031">
        <v>484.0</v>
      </c>
      <c r="D4037" s="2031">
        <v>969.0</v>
      </c>
      <c r="E4037" s="2031">
        <v>645.0</v>
      </c>
      <c r="F4037" s="2031">
        <v>645.0</v>
      </c>
      <c r="G4037" s="2031">
        <v>646.0</v>
      </c>
      <c r="H4037" s="2031">
        <v>646.0</v>
      </c>
    </row>
    <row r="4038">
      <c r="B4038" s="2031">
        <v>4036.0</v>
      </c>
      <c r="C4038" s="2031">
        <v>484.0</v>
      </c>
      <c r="D4038" s="2031">
        <v>968.0</v>
      </c>
      <c r="E4038" s="2031">
        <v>646.0</v>
      </c>
      <c r="F4038" s="2031">
        <v>646.0</v>
      </c>
      <c r="G4038" s="2031">
        <v>646.0</v>
      </c>
      <c r="H4038" s="2031">
        <v>646.0</v>
      </c>
    </row>
    <row r="4039">
      <c r="B4039" s="2031">
        <v>4037.0</v>
      </c>
      <c r="C4039" s="2031">
        <v>484.0</v>
      </c>
      <c r="D4039" s="2031">
        <v>969.0</v>
      </c>
      <c r="E4039" s="2031">
        <v>646.0</v>
      </c>
      <c r="F4039" s="2031">
        <v>646.0</v>
      </c>
      <c r="G4039" s="2031">
        <v>646.0</v>
      </c>
      <c r="H4039" s="2031">
        <v>646.0</v>
      </c>
    </row>
    <row r="4040">
      <c r="B4040" s="2031">
        <v>4038.0</v>
      </c>
      <c r="C4040" s="2031">
        <v>485.0</v>
      </c>
      <c r="D4040" s="2031">
        <v>969.0</v>
      </c>
      <c r="E4040" s="2031">
        <v>646.0</v>
      </c>
      <c r="F4040" s="2031">
        <v>646.0</v>
      </c>
      <c r="G4040" s="2031">
        <v>646.0</v>
      </c>
      <c r="H4040" s="2031">
        <v>646.0</v>
      </c>
    </row>
    <row r="4041">
      <c r="B4041" s="2031">
        <v>4039.0</v>
      </c>
      <c r="C4041" s="2031">
        <v>485.0</v>
      </c>
      <c r="D4041" s="2031">
        <v>970.0</v>
      </c>
      <c r="E4041" s="2031">
        <v>646.0</v>
      </c>
      <c r="F4041" s="2031">
        <v>646.0</v>
      </c>
      <c r="G4041" s="2031">
        <v>646.0</v>
      </c>
      <c r="H4041" s="2031">
        <v>646.0</v>
      </c>
    </row>
    <row r="4042">
      <c r="B4042" s="2031">
        <v>4040.0</v>
      </c>
      <c r="C4042" s="2031">
        <v>485.0</v>
      </c>
      <c r="D4042" s="2031">
        <v>969.0</v>
      </c>
      <c r="E4042" s="2031">
        <v>646.0</v>
      </c>
      <c r="F4042" s="2031">
        <v>646.0</v>
      </c>
      <c r="G4042" s="2031">
        <v>647.0</v>
      </c>
      <c r="H4042" s="2031">
        <v>647.0</v>
      </c>
    </row>
    <row r="4043">
      <c r="B4043" s="2031">
        <v>4041.0</v>
      </c>
      <c r="C4043" s="2031">
        <v>485.0</v>
      </c>
      <c r="D4043" s="2031">
        <v>970.0</v>
      </c>
      <c r="E4043" s="2031">
        <v>646.0</v>
      </c>
      <c r="F4043" s="2031">
        <v>646.0</v>
      </c>
      <c r="G4043" s="2031">
        <v>647.0</v>
      </c>
      <c r="H4043" s="2031">
        <v>647.0</v>
      </c>
    </row>
    <row r="4044">
      <c r="B4044" s="2031">
        <v>4042.0</v>
      </c>
      <c r="C4044" s="2031">
        <v>485.0</v>
      </c>
      <c r="D4044" s="2031">
        <v>971.0</v>
      </c>
      <c r="E4044" s="2031">
        <v>646.0</v>
      </c>
      <c r="F4044" s="2031">
        <v>646.0</v>
      </c>
      <c r="G4044" s="2031">
        <v>647.0</v>
      </c>
      <c r="H4044" s="2031">
        <v>647.0</v>
      </c>
    </row>
    <row r="4045">
      <c r="B4045" s="2031">
        <v>4043.0</v>
      </c>
      <c r="C4045" s="2031">
        <v>485.0</v>
      </c>
      <c r="D4045" s="2031">
        <v>970.0</v>
      </c>
      <c r="E4045" s="2031">
        <v>647.0</v>
      </c>
      <c r="F4045" s="2031">
        <v>647.0</v>
      </c>
      <c r="G4045" s="2031">
        <v>647.0</v>
      </c>
      <c r="H4045" s="2031">
        <v>647.0</v>
      </c>
    </row>
    <row r="4046">
      <c r="B4046" s="2031">
        <v>4044.0</v>
      </c>
      <c r="C4046" s="2031">
        <v>485.0</v>
      </c>
      <c r="D4046" s="2031">
        <v>971.0</v>
      </c>
      <c r="E4046" s="2031">
        <v>647.0</v>
      </c>
      <c r="F4046" s="2031">
        <v>647.0</v>
      </c>
      <c r="G4046" s="2031">
        <v>647.0</v>
      </c>
      <c r="H4046" s="2031">
        <v>647.0</v>
      </c>
    </row>
    <row r="4047">
      <c r="B4047" s="2031">
        <v>4045.0</v>
      </c>
      <c r="C4047" s="2031">
        <v>486.0</v>
      </c>
      <c r="D4047" s="2031">
        <v>971.0</v>
      </c>
      <c r="E4047" s="2031">
        <v>647.0</v>
      </c>
      <c r="F4047" s="2031">
        <v>647.0</v>
      </c>
      <c r="G4047" s="2031">
        <v>647.0</v>
      </c>
      <c r="H4047" s="2031">
        <v>647.0</v>
      </c>
    </row>
    <row r="4048">
      <c r="B4048" s="2031">
        <v>4046.0</v>
      </c>
      <c r="C4048" s="2031">
        <v>485.0</v>
      </c>
      <c r="D4048" s="2031">
        <v>971.0</v>
      </c>
      <c r="E4048" s="2031">
        <v>647.0</v>
      </c>
      <c r="F4048" s="2031">
        <v>647.0</v>
      </c>
      <c r="G4048" s="2031">
        <v>648.0</v>
      </c>
      <c r="H4048" s="2031">
        <v>648.0</v>
      </c>
    </row>
    <row r="4049">
      <c r="B4049" s="2031">
        <v>4047.0</v>
      </c>
      <c r="C4049" s="2031">
        <v>486.0</v>
      </c>
      <c r="D4049" s="2031">
        <v>971.0</v>
      </c>
      <c r="E4049" s="2031">
        <v>647.0</v>
      </c>
      <c r="F4049" s="2031">
        <v>647.0</v>
      </c>
      <c r="G4049" s="2031">
        <v>648.0</v>
      </c>
      <c r="H4049" s="2031">
        <v>648.0</v>
      </c>
    </row>
    <row r="4050">
      <c r="B4050" s="2031">
        <v>4048.0</v>
      </c>
      <c r="C4050" s="2031">
        <v>485.0</v>
      </c>
      <c r="D4050" s="2031">
        <v>971.0</v>
      </c>
      <c r="E4050" s="2031">
        <v>648.0</v>
      </c>
      <c r="F4050" s="2031">
        <v>648.0</v>
      </c>
      <c r="G4050" s="2031">
        <v>648.0</v>
      </c>
      <c r="H4050" s="2031">
        <v>648.0</v>
      </c>
    </row>
    <row r="4051">
      <c r="B4051" s="2031">
        <v>4049.0</v>
      </c>
      <c r="C4051" s="2031">
        <v>486.0</v>
      </c>
      <c r="D4051" s="2031">
        <v>971.0</v>
      </c>
      <c r="E4051" s="2031">
        <v>648.0</v>
      </c>
      <c r="F4051" s="2031">
        <v>648.0</v>
      </c>
      <c r="G4051" s="2031">
        <v>648.0</v>
      </c>
      <c r="H4051" s="2031">
        <v>648.0</v>
      </c>
    </row>
    <row r="4052">
      <c r="B4052" s="2031">
        <v>4050.0</v>
      </c>
      <c r="C4052" s="2031">
        <v>486.0</v>
      </c>
      <c r="D4052" s="2031">
        <v>972.0</v>
      </c>
      <c r="E4052" s="2031">
        <v>648.0</v>
      </c>
      <c r="F4052" s="2031">
        <v>648.0</v>
      </c>
      <c r="G4052" s="2031">
        <v>648.0</v>
      </c>
      <c r="H4052" s="2031">
        <v>648.0</v>
      </c>
    </row>
    <row r="4053">
      <c r="B4053" s="2031">
        <v>4051.0</v>
      </c>
      <c r="C4053" s="2031">
        <v>486.0</v>
      </c>
      <c r="D4053" s="2031">
        <v>973.0</v>
      </c>
      <c r="E4053" s="2031">
        <v>648.0</v>
      </c>
      <c r="F4053" s="2031">
        <v>648.0</v>
      </c>
      <c r="G4053" s="2031">
        <v>648.0</v>
      </c>
      <c r="H4053" s="2031">
        <v>648.0</v>
      </c>
    </row>
    <row r="4054">
      <c r="B4054" s="2031">
        <v>4052.0</v>
      </c>
      <c r="C4054" s="2031">
        <v>487.0</v>
      </c>
      <c r="D4054" s="2031">
        <v>973.0</v>
      </c>
      <c r="E4054" s="2031">
        <v>648.0</v>
      </c>
      <c r="F4054" s="2031">
        <v>648.0</v>
      </c>
      <c r="G4054" s="2031">
        <v>648.0</v>
      </c>
      <c r="H4054" s="2031">
        <v>648.0</v>
      </c>
    </row>
    <row r="4055">
      <c r="B4055" s="2031">
        <v>4053.0</v>
      </c>
      <c r="C4055" s="2031">
        <v>486.0</v>
      </c>
      <c r="D4055" s="2031">
        <v>973.0</v>
      </c>
      <c r="E4055" s="2031">
        <v>648.0</v>
      </c>
      <c r="F4055" s="2031">
        <v>648.0</v>
      </c>
      <c r="G4055" s="2031">
        <v>649.0</v>
      </c>
      <c r="H4055" s="2031">
        <v>649.0</v>
      </c>
    </row>
    <row r="4056">
      <c r="B4056" s="2031">
        <v>4054.0</v>
      </c>
      <c r="C4056" s="2031">
        <v>487.0</v>
      </c>
      <c r="D4056" s="2031">
        <v>973.0</v>
      </c>
      <c r="E4056" s="2031">
        <v>648.0</v>
      </c>
      <c r="F4056" s="2031">
        <v>648.0</v>
      </c>
      <c r="G4056" s="2031">
        <v>649.0</v>
      </c>
      <c r="H4056" s="2031">
        <v>649.0</v>
      </c>
    </row>
    <row r="4057">
      <c r="B4057" s="2031">
        <v>4055.0</v>
      </c>
      <c r="C4057" s="2031">
        <v>486.0</v>
      </c>
      <c r="D4057" s="2031">
        <v>973.0</v>
      </c>
      <c r="E4057" s="2031">
        <v>649.0</v>
      </c>
      <c r="F4057" s="2031">
        <v>649.0</v>
      </c>
      <c r="G4057" s="2031">
        <v>649.0</v>
      </c>
      <c r="H4057" s="2031">
        <v>649.0</v>
      </c>
    </row>
    <row r="4058">
      <c r="B4058" s="2031">
        <v>4056.0</v>
      </c>
      <c r="C4058" s="2031">
        <v>487.0</v>
      </c>
      <c r="D4058" s="2031">
        <v>973.0</v>
      </c>
      <c r="E4058" s="2031">
        <v>649.0</v>
      </c>
      <c r="F4058" s="2031">
        <v>649.0</v>
      </c>
      <c r="G4058" s="2031">
        <v>649.0</v>
      </c>
      <c r="H4058" s="2031">
        <v>649.0</v>
      </c>
    </row>
    <row r="4059">
      <c r="B4059" s="2031">
        <v>4057.0</v>
      </c>
      <c r="C4059" s="2031">
        <v>487.0</v>
      </c>
      <c r="D4059" s="2031">
        <v>974.0</v>
      </c>
      <c r="E4059" s="2031">
        <v>649.0</v>
      </c>
      <c r="F4059" s="2031">
        <v>649.0</v>
      </c>
      <c r="G4059" s="2031">
        <v>649.0</v>
      </c>
      <c r="H4059" s="2031">
        <v>649.0</v>
      </c>
    </row>
    <row r="4060">
      <c r="B4060" s="2031">
        <v>4058.0</v>
      </c>
      <c r="C4060" s="2031">
        <v>487.0</v>
      </c>
      <c r="D4060" s="2031">
        <v>973.0</v>
      </c>
      <c r="E4060" s="2031">
        <v>649.0</v>
      </c>
      <c r="F4060" s="2031">
        <v>649.0</v>
      </c>
      <c r="G4060" s="2031">
        <v>650.0</v>
      </c>
      <c r="H4060" s="2031">
        <v>650.0</v>
      </c>
    </row>
    <row r="4061">
      <c r="B4061" s="2031">
        <v>4059.0</v>
      </c>
      <c r="C4061" s="2031">
        <v>487.0</v>
      </c>
      <c r="D4061" s="2031">
        <v>974.0</v>
      </c>
      <c r="E4061" s="2031">
        <v>649.0</v>
      </c>
      <c r="F4061" s="2031">
        <v>649.0</v>
      </c>
      <c r="G4061" s="2031">
        <v>650.0</v>
      </c>
      <c r="H4061" s="2031">
        <v>650.0</v>
      </c>
    </row>
    <row r="4062">
      <c r="B4062" s="2031">
        <v>4060.0</v>
      </c>
      <c r="C4062" s="2031">
        <v>487.0</v>
      </c>
      <c r="D4062" s="2031">
        <v>975.0</v>
      </c>
      <c r="E4062" s="2031">
        <v>649.0</v>
      </c>
      <c r="F4062" s="2031">
        <v>649.0</v>
      </c>
      <c r="G4062" s="2031">
        <v>650.0</v>
      </c>
      <c r="H4062" s="2031">
        <v>650.0</v>
      </c>
    </row>
    <row r="4063">
      <c r="B4063" s="2031">
        <v>4061.0</v>
      </c>
      <c r="C4063" s="2031">
        <v>487.0</v>
      </c>
      <c r="D4063" s="2031">
        <v>974.0</v>
      </c>
      <c r="E4063" s="2031">
        <v>650.0</v>
      </c>
      <c r="F4063" s="2031">
        <v>650.0</v>
      </c>
      <c r="G4063" s="2031">
        <v>650.0</v>
      </c>
      <c r="H4063" s="2031">
        <v>650.0</v>
      </c>
    </row>
    <row r="4064">
      <c r="B4064" s="2031">
        <v>4062.0</v>
      </c>
      <c r="C4064" s="2031">
        <v>487.0</v>
      </c>
      <c r="D4064" s="2031">
        <v>975.0</v>
      </c>
      <c r="E4064" s="2031">
        <v>650.0</v>
      </c>
      <c r="F4064" s="2031">
        <v>650.0</v>
      </c>
      <c r="G4064" s="2031">
        <v>650.0</v>
      </c>
      <c r="H4064" s="2031">
        <v>650.0</v>
      </c>
    </row>
    <row r="4065">
      <c r="B4065" s="2031">
        <v>4063.0</v>
      </c>
      <c r="C4065" s="2031">
        <v>488.0</v>
      </c>
      <c r="D4065" s="2031">
        <v>975.0</v>
      </c>
      <c r="E4065" s="2031">
        <v>650.0</v>
      </c>
      <c r="F4065" s="2031">
        <v>650.0</v>
      </c>
      <c r="G4065" s="2031">
        <v>650.0</v>
      </c>
      <c r="H4065" s="2031">
        <v>650.0</v>
      </c>
    </row>
    <row r="4066">
      <c r="B4066" s="2031">
        <v>4064.0</v>
      </c>
      <c r="C4066" s="2031">
        <v>488.0</v>
      </c>
      <c r="D4066" s="2031">
        <v>976.0</v>
      </c>
      <c r="E4066" s="2031">
        <v>650.0</v>
      </c>
      <c r="F4066" s="2031">
        <v>650.0</v>
      </c>
      <c r="G4066" s="2031">
        <v>650.0</v>
      </c>
      <c r="H4066" s="2031">
        <v>650.0</v>
      </c>
    </row>
    <row r="4067">
      <c r="B4067" s="2031">
        <v>4065.0</v>
      </c>
      <c r="C4067" s="2031">
        <v>488.0</v>
      </c>
      <c r="D4067" s="2031">
        <v>975.0</v>
      </c>
      <c r="E4067" s="2031">
        <v>650.0</v>
      </c>
      <c r="F4067" s="2031">
        <v>650.0</v>
      </c>
      <c r="G4067" s="2031">
        <v>651.0</v>
      </c>
      <c r="H4067" s="2031">
        <v>651.0</v>
      </c>
    </row>
    <row r="4068">
      <c r="B4068" s="2031">
        <v>4066.0</v>
      </c>
      <c r="C4068" s="2031">
        <v>488.0</v>
      </c>
      <c r="D4068" s="2031">
        <v>976.0</v>
      </c>
      <c r="E4068" s="2031">
        <v>650.0</v>
      </c>
      <c r="F4068" s="2031">
        <v>650.0</v>
      </c>
      <c r="G4068" s="2031">
        <v>651.0</v>
      </c>
      <c r="H4068" s="2031">
        <v>651.0</v>
      </c>
    </row>
    <row r="4069">
      <c r="B4069" s="2031">
        <v>4067.0</v>
      </c>
      <c r="C4069" s="2031">
        <v>488.0</v>
      </c>
      <c r="D4069" s="2031">
        <v>977.0</v>
      </c>
      <c r="E4069" s="2031">
        <v>650.0</v>
      </c>
      <c r="F4069" s="2031">
        <v>650.0</v>
      </c>
      <c r="G4069" s="2031">
        <v>651.0</v>
      </c>
      <c r="H4069" s="2031">
        <v>651.0</v>
      </c>
    </row>
    <row r="4070">
      <c r="B4070" s="2031">
        <v>4068.0</v>
      </c>
      <c r="C4070" s="2031">
        <v>488.0</v>
      </c>
      <c r="D4070" s="2031">
        <v>976.0</v>
      </c>
      <c r="E4070" s="2031">
        <v>651.0</v>
      </c>
      <c r="F4070" s="2031">
        <v>651.0</v>
      </c>
      <c r="G4070" s="2031">
        <v>651.0</v>
      </c>
      <c r="H4070" s="2031">
        <v>651.0</v>
      </c>
    </row>
    <row r="4071">
      <c r="B4071" s="2031">
        <v>4069.0</v>
      </c>
      <c r="C4071" s="2031">
        <v>488.0</v>
      </c>
      <c r="D4071" s="2031">
        <v>977.0</v>
      </c>
      <c r="E4071" s="2031">
        <v>651.0</v>
      </c>
      <c r="F4071" s="2031">
        <v>651.0</v>
      </c>
      <c r="G4071" s="2031">
        <v>651.0</v>
      </c>
      <c r="H4071" s="2031">
        <v>651.0</v>
      </c>
    </row>
    <row r="4072">
      <c r="B4072" s="2031">
        <v>4070.0</v>
      </c>
      <c r="C4072" s="2031">
        <v>489.0</v>
      </c>
      <c r="D4072" s="2031">
        <v>977.0</v>
      </c>
      <c r="E4072" s="2031">
        <v>651.0</v>
      </c>
      <c r="F4072" s="2031">
        <v>651.0</v>
      </c>
      <c r="G4072" s="2031">
        <v>651.0</v>
      </c>
      <c r="H4072" s="2031">
        <v>651.0</v>
      </c>
    </row>
    <row r="4073">
      <c r="B4073" s="2031">
        <v>4071.0</v>
      </c>
      <c r="C4073" s="2031">
        <v>488.0</v>
      </c>
      <c r="D4073" s="2031">
        <v>977.0</v>
      </c>
      <c r="E4073" s="2031">
        <v>651.0</v>
      </c>
      <c r="F4073" s="2031">
        <v>651.0</v>
      </c>
      <c r="G4073" s="2031">
        <v>652.0</v>
      </c>
      <c r="H4073" s="2031">
        <v>652.0</v>
      </c>
    </row>
    <row r="4074">
      <c r="B4074" s="2031">
        <v>4072.0</v>
      </c>
      <c r="C4074" s="2031">
        <v>489.0</v>
      </c>
      <c r="D4074" s="2031">
        <v>977.0</v>
      </c>
      <c r="E4074" s="2031">
        <v>651.0</v>
      </c>
      <c r="F4074" s="2031">
        <v>651.0</v>
      </c>
      <c r="G4074" s="2031">
        <v>652.0</v>
      </c>
      <c r="H4074" s="2031">
        <v>652.0</v>
      </c>
    </row>
    <row r="4075">
      <c r="B4075" s="2031">
        <v>4073.0</v>
      </c>
      <c r="C4075" s="2031">
        <v>488.0</v>
      </c>
      <c r="D4075" s="2031">
        <v>977.0</v>
      </c>
      <c r="E4075" s="2031">
        <v>652.0</v>
      </c>
      <c r="F4075" s="2031">
        <v>652.0</v>
      </c>
      <c r="G4075" s="2031">
        <v>652.0</v>
      </c>
      <c r="H4075" s="2031">
        <v>652.0</v>
      </c>
    </row>
    <row r="4076">
      <c r="B4076" s="2031">
        <v>4074.0</v>
      </c>
      <c r="C4076" s="2031">
        <v>489.0</v>
      </c>
      <c r="D4076" s="2031">
        <v>977.0</v>
      </c>
      <c r="E4076" s="2031">
        <v>652.0</v>
      </c>
      <c r="F4076" s="2031">
        <v>652.0</v>
      </c>
      <c r="G4076" s="2031">
        <v>652.0</v>
      </c>
      <c r="H4076" s="2031">
        <v>652.0</v>
      </c>
    </row>
    <row r="4077">
      <c r="B4077" s="2031">
        <v>4075.0</v>
      </c>
      <c r="C4077" s="2031">
        <v>489.0</v>
      </c>
      <c r="D4077" s="2031">
        <v>978.0</v>
      </c>
      <c r="E4077" s="2031">
        <v>652.0</v>
      </c>
      <c r="F4077" s="2031">
        <v>652.0</v>
      </c>
      <c r="G4077" s="2031">
        <v>652.0</v>
      </c>
      <c r="H4077" s="2031">
        <v>652.0</v>
      </c>
    </row>
    <row r="4078">
      <c r="B4078" s="2031">
        <v>4076.0</v>
      </c>
      <c r="C4078" s="2031">
        <v>489.0</v>
      </c>
      <c r="D4078" s="2031">
        <v>979.0</v>
      </c>
      <c r="E4078" s="2031">
        <v>652.0</v>
      </c>
      <c r="F4078" s="2031">
        <v>652.0</v>
      </c>
      <c r="G4078" s="2031">
        <v>652.0</v>
      </c>
      <c r="H4078" s="2031">
        <v>652.0</v>
      </c>
    </row>
    <row r="4079">
      <c r="B4079" s="2031">
        <v>4077.0</v>
      </c>
      <c r="C4079" s="2031">
        <v>490.0</v>
      </c>
      <c r="D4079" s="2031">
        <v>979.0</v>
      </c>
      <c r="E4079" s="2031">
        <v>652.0</v>
      </c>
      <c r="F4079" s="2031">
        <v>652.0</v>
      </c>
      <c r="G4079" s="2031">
        <v>652.0</v>
      </c>
      <c r="H4079" s="2031">
        <v>652.0</v>
      </c>
    </row>
    <row r="4080">
      <c r="B4080" s="2031">
        <v>4078.0</v>
      </c>
      <c r="C4080" s="2031">
        <v>489.0</v>
      </c>
      <c r="D4080" s="2031">
        <v>979.0</v>
      </c>
      <c r="E4080" s="2031">
        <v>652.0</v>
      </c>
      <c r="F4080" s="2031">
        <v>652.0</v>
      </c>
      <c r="G4080" s="2031">
        <v>653.0</v>
      </c>
      <c r="H4080" s="2031">
        <v>653.0</v>
      </c>
    </row>
    <row r="4081">
      <c r="B4081" s="2031">
        <v>4079.0</v>
      </c>
      <c r="C4081" s="2031">
        <v>490.0</v>
      </c>
      <c r="D4081" s="2031">
        <v>979.0</v>
      </c>
      <c r="E4081" s="2031">
        <v>652.0</v>
      </c>
      <c r="F4081" s="2031">
        <v>652.0</v>
      </c>
      <c r="G4081" s="2031">
        <v>653.0</v>
      </c>
      <c r="H4081" s="2031">
        <v>653.0</v>
      </c>
    </row>
    <row r="4082">
      <c r="B4082" s="2031">
        <v>4080.0</v>
      </c>
      <c r="C4082" s="2031">
        <v>489.0</v>
      </c>
      <c r="D4082" s="2031">
        <v>979.0</v>
      </c>
      <c r="E4082" s="2031">
        <v>653.0</v>
      </c>
      <c r="F4082" s="2031">
        <v>653.0</v>
      </c>
      <c r="G4082" s="2031">
        <v>653.0</v>
      </c>
      <c r="H4082" s="2031">
        <v>653.0</v>
      </c>
    </row>
    <row r="4083">
      <c r="B4083" s="2031">
        <v>4081.0</v>
      </c>
      <c r="C4083" s="2031">
        <v>490.0</v>
      </c>
      <c r="D4083" s="2031">
        <v>979.0</v>
      </c>
      <c r="E4083" s="2031">
        <v>653.0</v>
      </c>
      <c r="F4083" s="2031">
        <v>653.0</v>
      </c>
      <c r="G4083" s="2031">
        <v>653.0</v>
      </c>
      <c r="H4083" s="2031">
        <v>653.0</v>
      </c>
    </row>
    <row r="4084">
      <c r="B4084" s="2031">
        <v>4082.0</v>
      </c>
      <c r="C4084" s="2031">
        <v>490.0</v>
      </c>
      <c r="D4084" s="2031">
        <v>980.0</v>
      </c>
      <c r="E4084" s="2031">
        <v>653.0</v>
      </c>
      <c r="F4084" s="2031">
        <v>653.0</v>
      </c>
      <c r="G4084" s="2031">
        <v>653.0</v>
      </c>
      <c r="H4084" s="2031">
        <v>653.0</v>
      </c>
    </row>
    <row r="4085">
      <c r="B4085" s="2031">
        <v>4083.0</v>
      </c>
      <c r="C4085" s="2031">
        <v>490.0</v>
      </c>
      <c r="D4085" s="2031">
        <v>979.0</v>
      </c>
      <c r="E4085" s="2031">
        <v>653.0</v>
      </c>
      <c r="F4085" s="2031">
        <v>653.0</v>
      </c>
      <c r="G4085" s="2031">
        <v>654.0</v>
      </c>
      <c r="H4085" s="2031">
        <v>654.0</v>
      </c>
    </row>
    <row r="4086">
      <c r="B4086" s="2031">
        <v>4084.0</v>
      </c>
      <c r="C4086" s="2031">
        <v>490.0</v>
      </c>
      <c r="D4086" s="2031">
        <v>980.0</v>
      </c>
      <c r="E4086" s="2031">
        <v>653.0</v>
      </c>
      <c r="F4086" s="2031">
        <v>653.0</v>
      </c>
      <c r="G4086" s="2031">
        <v>654.0</v>
      </c>
      <c r="H4086" s="2031">
        <v>654.0</v>
      </c>
    </row>
    <row r="4087">
      <c r="B4087" s="2031">
        <v>4085.0</v>
      </c>
      <c r="C4087" s="2031">
        <v>490.0</v>
      </c>
      <c r="D4087" s="2031">
        <v>981.0</v>
      </c>
      <c r="E4087" s="2031">
        <v>653.0</v>
      </c>
      <c r="F4087" s="2031">
        <v>653.0</v>
      </c>
      <c r="G4087" s="2031">
        <v>654.0</v>
      </c>
      <c r="H4087" s="2031">
        <v>654.0</v>
      </c>
    </row>
    <row r="4088">
      <c r="B4088" s="2031">
        <v>4086.0</v>
      </c>
      <c r="C4088" s="2031">
        <v>490.0</v>
      </c>
      <c r="D4088" s="2031">
        <v>980.0</v>
      </c>
      <c r="E4088" s="2031">
        <v>654.0</v>
      </c>
      <c r="F4088" s="2031">
        <v>654.0</v>
      </c>
      <c r="G4088" s="2031">
        <v>654.0</v>
      </c>
      <c r="H4088" s="2031">
        <v>654.0</v>
      </c>
    </row>
    <row r="4089">
      <c r="B4089" s="2031">
        <v>4087.0</v>
      </c>
      <c r="C4089" s="2031">
        <v>490.0</v>
      </c>
      <c r="D4089" s="2031">
        <v>981.0</v>
      </c>
      <c r="E4089" s="2031">
        <v>654.0</v>
      </c>
      <c r="F4089" s="2031">
        <v>654.0</v>
      </c>
      <c r="G4089" s="2031">
        <v>654.0</v>
      </c>
      <c r="H4089" s="2031">
        <v>654.0</v>
      </c>
    </row>
    <row r="4090">
      <c r="B4090" s="2031">
        <v>4088.0</v>
      </c>
      <c r="C4090" s="2031">
        <v>491.0</v>
      </c>
      <c r="D4090" s="2031">
        <v>981.0</v>
      </c>
      <c r="E4090" s="2031">
        <v>654.0</v>
      </c>
      <c r="F4090" s="2031">
        <v>654.0</v>
      </c>
      <c r="G4090" s="2031">
        <v>654.0</v>
      </c>
      <c r="H4090" s="2031">
        <v>654.0</v>
      </c>
    </row>
    <row r="4091">
      <c r="B4091" s="2031">
        <v>4089.0</v>
      </c>
      <c r="C4091" s="2031">
        <v>491.0</v>
      </c>
      <c r="D4091" s="2031">
        <v>982.0</v>
      </c>
      <c r="E4091" s="2031">
        <v>654.0</v>
      </c>
      <c r="F4091" s="2031">
        <v>654.0</v>
      </c>
      <c r="G4091" s="2031">
        <v>654.0</v>
      </c>
      <c r="H4091" s="2031">
        <v>654.0</v>
      </c>
    </row>
    <row r="4092">
      <c r="B4092" s="2031">
        <v>4090.0</v>
      </c>
      <c r="C4092" s="2031">
        <v>491.0</v>
      </c>
      <c r="D4092" s="2031">
        <v>981.0</v>
      </c>
      <c r="E4092" s="2031">
        <v>654.0</v>
      </c>
      <c r="F4092" s="2031">
        <v>654.0</v>
      </c>
      <c r="G4092" s="2031">
        <v>655.0</v>
      </c>
      <c r="H4092" s="2031">
        <v>655.0</v>
      </c>
    </row>
    <row r="4093">
      <c r="B4093" s="2031">
        <v>4091.0</v>
      </c>
      <c r="C4093" s="2031">
        <v>491.0</v>
      </c>
      <c r="D4093" s="2031">
        <v>982.0</v>
      </c>
      <c r="E4093" s="2031">
        <v>654.0</v>
      </c>
      <c r="F4093" s="2031">
        <v>654.0</v>
      </c>
      <c r="G4093" s="2031">
        <v>655.0</v>
      </c>
      <c r="H4093" s="2031">
        <v>655.0</v>
      </c>
    </row>
    <row r="4094">
      <c r="B4094" s="2031">
        <v>4092.0</v>
      </c>
      <c r="C4094" s="2031">
        <v>491.0</v>
      </c>
      <c r="D4094" s="2031">
        <v>983.0</v>
      </c>
      <c r="E4094" s="2031">
        <v>654.0</v>
      </c>
      <c r="F4094" s="2031">
        <v>654.0</v>
      </c>
      <c r="G4094" s="2031">
        <v>655.0</v>
      </c>
      <c r="H4094" s="2031">
        <v>655.0</v>
      </c>
    </row>
    <row r="4095">
      <c r="B4095" s="2031">
        <v>4093.0</v>
      </c>
      <c r="C4095" s="2031">
        <v>491.0</v>
      </c>
      <c r="D4095" s="2031">
        <v>982.0</v>
      </c>
      <c r="E4095" s="2031">
        <v>655.0</v>
      </c>
      <c r="F4095" s="2031">
        <v>655.0</v>
      </c>
      <c r="G4095" s="2031">
        <v>655.0</v>
      </c>
      <c r="H4095" s="2031">
        <v>655.0</v>
      </c>
    </row>
    <row r="4096">
      <c r="B4096" s="2031">
        <v>4094.0</v>
      </c>
      <c r="C4096" s="2031">
        <v>491.0</v>
      </c>
      <c r="D4096" s="2031">
        <v>983.0</v>
      </c>
      <c r="E4096" s="2031">
        <v>655.0</v>
      </c>
      <c r="F4096" s="2031">
        <v>655.0</v>
      </c>
      <c r="G4096" s="2031">
        <v>655.0</v>
      </c>
      <c r="H4096" s="2031">
        <v>655.0</v>
      </c>
    </row>
    <row r="4097">
      <c r="B4097" s="2031">
        <v>4095.0</v>
      </c>
      <c r="C4097" s="2031">
        <v>492.0</v>
      </c>
      <c r="D4097" s="2031">
        <v>983.0</v>
      </c>
      <c r="E4097" s="2031">
        <v>655.0</v>
      </c>
      <c r="F4097" s="2031">
        <v>655.0</v>
      </c>
      <c r="G4097" s="2031">
        <v>655.0</v>
      </c>
      <c r="H4097" s="2031">
        <v>655.0</v>
      </c>
    </row>
    <row r="4098">
      <c r="B4098" s="2031">
        <v>4096.0</v>
      </c>
      <c r="C4098" s="2031">
        <v>491.0</v>
      </c>
      <c r="D4098" s="2031">
        <v>983.0</v>
      </c>
      <c r="E4098" s="2031">
        <v>655.0</v>
      </c>
      <c r="F4098" s="2031">
        <v>655.0</v>
      </c>
      <c r="G4098" s="2031">
        <v>656.0</v>
      </c>
      <c r="H4098" s="2031">
        <v>656.0</v>
      </c>
    </row>
    <row r="4099">
      <c r="B4099" s="2031">
        <v>4097.0</v>
      </c>
      <c r="C4099" s="2031">
        <v>492.0</v>
      </c>
      <c r="D4099" s="2031">
        <v>983.0</v>
      </c>
      <c r="E4099" s="2031">
        <v>655.0</v>
      </c>
      <c r="F4099" s="2031">
        <v>655.0</v>
      </c>
      <c r="G4099" s="2031">
        <v>656.0</v>
      </c>
      <c r="H4099" s="2031">
        <v>656.0</v>
      </c>
    </row>
    <row r="4100">
      <c r="B4100" s="2031">
        <v>4098.0</v>
      </c>
      <c r="C4100" s="2031">
        <v>491.0</v>
      </c>
      <c r="D4100" s="2031">
        <v>983.0</v>
      </c>
      <c r="E4100" s="2031">
        <v>656.0</v>
      </c>
      <c r="F4100" s="2031">
        <v>656.0</v>
      </c>
      <c r="G4100" s="2031">
        <v>656.0</v>
      </c>
      <c r="H4100" s="2031">
        <v>656.0</v>
      </c>
    </row>
    <row r="4101">
      <c r="B4101" s="2031">
        <v>4099.0</v>
      </c>
      <c r="C4101" s="2031">
        <v>492.0</v>
      </c>
      <c r="D4101" s="2031">
        <v>983.0</v>
      </c>
      <c r="E4101" s="2031">
        <v>656.0</v>
      </c>
      <c r="F4101" s="2031">
        <v>656.0</v>
      </c>
      <c r="G4101" s="2031">
        <v>656.0</v>
      </c>
      <c r="H4101" s="2031">
        <v>656.0</v>
      </c>
    </row>
    <row r="4102">
      <c r="B4102" s="2031">
        <v>4100.0</v>
      </c>
      <c r="C4102" s="2031">
        <v>492.0</v>
      </c>
      <c r="D4102" s="2031">
        <v>984.0</v>
      </c>
      <c r="E4102" s="2031">
        <v>656.0</v>
      </c>
      <c r="F4102" s="2031">
        <v>656.0</v>
      </c>
      <c r="G4102" s="2031">
        <v>656.0</v>
      </c>
      <c r="H4102" s="2031">
        <v>656.0</v>
      </c>
    </row>
    <row r="4103">
      <c r="B4103" s="2031">
        <v>4101.0</v>
      </c>
      <c r="C4103" s="2031">
        <v>492.0</v>
      </c>
      <c r="D4103" s="2031">
        <v>985.0</v>
      </c>
      <c r="E4103" s="2031">
        <v>656.0</v>
      </c>
      <c r="F4103" s="2031">
        <v>656.0</v>
      </c>
      <c r="G4103" s="2031">
        <v>656.0</v>
      </c>
      <c r="H4103" s="2031">
        <v>656.0</v>
      </c>
    </row>
    <row r="4104">
      <c r="B4104" s="2031">
        <v>4102.0</v>
      </c>
      <c r="C4104" s="2031">
        <v>493.0</v>
      </c>
      <c r="D4104" s="2031">
        <v>985.0</v>
      </c>
      <c r="E4104" s="2031">
        <v>656.0</v>
      </c>
      <c r="F4104" s="2031">
        <v>656.0</v>
      </c>
      <c r="G4104" s="2031">
        <v>656.0</v>
      </c>
      <c r="H4104" s="2031">
        <v>656.0</v>
      </c>
    </row>
    <row r="4105">
      <c r="B4105" s="2031">
        <v>4103.0</v>
      </c>
      <c r="C4105" s="2031">
        <v>492.0</v>
      </c>
      <c r="D4105" s="2031">
        <v>985.0</v>
      </c>
      <c r="E4105" s="2031">
        <v>656.0</v>
      </c>
      <c r="F4105" s="2031">
        <v>656.0</v>
      </c>
      <c r="G4105" s="2031">
        <v>657.0</v>
      </c>
      <c r="H4105" s="2031">
        <v>657.0</v>
      </c>
    </row>
    <row r="4106">
      <c r="B4106" s="2031">
        <v>4104.0</v>
      </c>
      <c r="C4106" s="2031">
        <v>493.0</v>
      </c>
      <c r="D4106" s="2031">
        <v>985.0</v>
      </c>
      <c r="E4106" s="2031">
        <v>656.0</v>
      </c>
      <c r="F4106" s="2031">
        <v>656.0</v>
      </c>
      <c r="G4106" s="2031">
        <v>657.0</v>
      </c>
      <c r="H4106" s="2031">
        <v>657.0</v>
      </c>
    </row>
    <row r="4107">
      <c r="B4107" s="2031">
        <v>4105.0</v>
      </c>
      <c r="C4107" s="2031">
        <v>492.0</v>
      </c>
      <c r="D4107" s="2031">
        <v>985.0</v>
      </c>
      <c r="E4107" s="2031">
        <v>657.0</v>
      </c>
      <c r="F4107" s="2031">
        <v>657.0</v>
      </c>
      <c r="G4107" s="2031">
        <v>657.0</v>
      </c>
      <c r="H4107" s="2031">
        <v>657.0</v>
      </c>
    </row>
    <row r="4108">
      <c r="B4108" s="2031">
        <v>4106.0</v>
      </c>
      <c r="C4108" s="2031">
        <v>493.0</v>
      </c>
      <c r="D4108" s="2031">
        <v>985.0</v>
      </c>
      <c r="E4108" s="2031">
        <v>657.0</v>
      </c>
      <c r="F4108" s="2031">
        <v>657.0</v>
      </c>
      <c r="G4108" s="2031">
        <v>657.0</v>
      </c>
      <c r="H4108" s="2031">
        <v>657.0</v>
      </c>
    </row>
    <row r="4109">
      <c r="B4109" s="2031">
        <v>4107.0</v>
      </c>
      <c r="C4109" s="2031">
        <v>493.0</v>
      </c>
      <c r="D4109" s="2031">
        <v>986.0</v>
      </c>
      <c r="E4109" s="2031">
        <v>657.0</v>
      </c>
      <c r="F4109" s="2031">
        <v>657.0</v>
      </c>
      <c r="G4109" s="2031">
        <v>657.0</v>
      </c>
      <c r="H4109" s="2031">
        <v>657.0</v>
      </c>
    </row>
    <row r="4110">
      <c r="B4110" s="2031">
        <v>4108.0</v>
      </c>
      <c r="C4110" s="2031">
        <v>493.0</v>
      </c>
      <c r="D4110" s="2031">
        <v>985.0</v>
      </c>
      <c r="E4110" s="2031">
        <v>657.0</v>
      </c>
      <c r="F4110" s="2031">
        <v>657.0</v>
      </c>
      <c r="G4110" s="2031">
        <v>658.0</v>
      </c>
      <c r="H4110" s="2031">
        <v>658.0</v>
      </c>
    </row>
    <row r="4111">
      <c r="B4111" s="2031">
        <v>4109.0</v>
      </c>
      <c r="C4111" s="2031">
        <v>493.0</v>
      </c>
      <c r="D4111" s="2031">
        <v>986.0</v>
      </c>
      <c r="E4111" s="2031">
        <v>657.0</v>
      </c>
      <c r="F4111" s="2031">
        <v>657.0</v>
      </c>
      <c r="G4111" s="2031">
        <v>658.0</v>
      </c>
      <c r="H4111" s="2031">
        <v>658.0</v>
      </c>
    </row>
    <row r="4112">
      <c r="B4112" s="2031">
        <v>4110.0</v>
      </c>
      <c r="C4112" s="2031">
        <v>493.0</v>
      </c>
      <c r="D4112" s="2031">
        <v>987.0</v>
      </c>
      <c r="E4112" s="2031">
        <v>657.0</v>
      </c>
      <c r="F4112" s="2031">
        <v>657.0</v>
      </c>
      <c r="G4112" s="2031">
        <v>658.0</v>
      </c>
      <c r="H4112" s="2031">
        <v>658.0</v>
      </c>
    </row>
    <row r="4113">
      <c r="B4113" s="2031">
        <v>4111.0</v>
      </c>
      <c r="C4113" s="2031">
        <v>493.0</v>
      </c>
      <c r="D4113" s="2031">
        <v>986.0</v>
      </c>
      <c r="E4113" s="2031">
        <v>658.0</v>
      </c>
      <c r="F4113" s="2031">
        <v>658.0</v>
      </c>
      <c r="G4113" s="2031">
        <v>658.0</v>
      </c>
      <c r="H4113" s="2031">
        <v>658.0</v>
      </c>
    </row>
    <row r="4114">
      <c r="B4114" s="2031">
        <v>4112.0</v>
      </c>
      <c r="C4114" s="2031">
        <v>493.0</v>
      </c>
      <c r="D4114" s="2031">
        <v>987.0</v>
      </c>
      <c r="E4114" s="2031">
        <v>658.0</v>
      </c>
      <c r="F4114" s="2031">
        <v>658.0</v>
      </c>
      <c r="G4114" s="2031">
        <v>658.0</v>
      </c>
      <c r="H4114" s="2031">
        <v>658.0</v>
      </c>
    </row>
    <row r="4115">
      <c r="B4115" s="2031">
        <v>4113.0</v>
      </c>
      <c r="C4115" s="2031">
        <v>494.0</v>
      </c>
      <c r="D4115" s="2031">
        <v>987.0</v>
      </c>
      <c r="E4115" s="2031">
        <v>658.0</v>
      </c>
      <c r="F4115" s="2031">
        <v>658.0</v>
      </c>
      <c r="G4115" s="2031">
        <v>658.0</v>
      </c>
      <c r="H4115" s="2031">
        <v>658.0</v>
      </c>
    </row>
    <row r="4116">
      <c r="B4116" s="2031">
        <v>4114.0</v>
      </c>
      <c r="C4116" s="2031">
        <v>494.0</v>
      </c>
      <c r="D4116" s="2031">
        <v>988.0</v>
      </c>
      <c r="E4116" s="2031">
        <v>658.0</v>
      </c>
      <c r="F4116" s="2031">
        <v>658.0</v>
      </c>
      <c r="G4116" s="2031">
        <v>658.0</v>
      </c>
      <c r="H4116" s="2031">
        <v>658.0</v>
      </c>
    </row>
    <row r="4117">
      <c r="B4117" s="2031">
        <v>4115.0</v>
      </c>
      <c r="C4117" s="2031">
        <v>494.0</v>
      </c>
      <c r="D4117" s="2031">
        <v>987.0</v>
      </c>
      <c r="E4117" s="2031">
        <v>658.0</v>
      </c>
      <c r="F4117" s="2031">
        <v>658.0</v>
      </c>
      <c r="G4117" s="2031">
        <v>659.0</v>
      </c>
      <c r="H4117" s="2031">
        <v>659.0</v>
      </c>
    </row>
    <row r="4118">
      <c r="B4118" s="2031">
        <v>4116.0</v>
      </c>
      <c r="C4118" s="2031">
        <v>494.0</v>
      </c>
      <c r="D4118" s="2031">
        <v>988.0</v>
      </c>
      <c r="E4118" s="2031">
        <v>658.0</v>
      </c>
      <c r="F4118" s="2031">
        <v>658.0</v>
      </c>
      <c r="G4118" s="2031">
        <v>659.0</v>
      </c>
      <c r="H4118" s="2031">
        <v>659.0</v>
      </c>
    </row>
    <row r="4119">
      <c r="B4119" s="2031">
        <v>4117.0</v>
      </c>
      <c r="C4119" s="2031">
        <v>494.0</v>
      </c>
      <c r="D4119" s="2031">
        <v>989.0</v>
      </c>
      <c r="E4119" s="2031">
        <v>658.0</v>
      </c>
      <c r="F4119" s="2031">
        <v>658.0</v>
      </c>
      <c r="G4119" s="2031">
        <v>659.0</v>
      </c>
      <c r="H4119" s="2031">
        <v>659.0</v>
      </c>
    </row>
    <row r="4120">
      <c r="B4120" s="2031">
        <v>4118.0</v>
      </c>
      <c r="C4120" s="2031">
        <v>494.0</v>
      </c>
      <c r="D4120" s="2031">
        <v>988.0</v>
      </c>
      <c r="E4120" s="2031">
        <v>659.0</v>
      </c>
      <c r="F4120" s="2031">
        <v>659.0</v>
      </c>
      <c r="G4120" s="2031">
        <v>659.0</v>
      </c>
      <c r="H4120" s="2031">
        <v>659.0</v>
      </c>
    </row>
    <row r="4121">
      <c r="B4121" s="2031">
        <v>4119.0</v>
      </c>
      <c r="C4121" s="2031">
        <v>494.0</v>
      </c>
      <c r="D4121" s="2031">
        <v>989.0</v>
      </c>
      <c r="E4121" s="2031">
        <v>659.0</v>
      </c>
      <c r="F4121" s="2031">
        <v>659.0</v>
      </c>
      <c r="G4121" s="2031">
        <v>659.0</v>
      </c>
      <c r="H4121" s="2031">
        <v>659.0</v>
      </c>
    </row>
    <row r="4122">
      <c r="B4122" s="2031">
        <v>4120.0</v>
      </c>
      <c r="C4122" s="2031">
        <v>495.0</v>
      </c>
      <c r="D4122" s="2031">
        <v>989.0</v>
      </c>
      <c r="E4122" s="2031">
        <v>659.0</v>
      </c>
      <c r="F4122" s="2031">
        <v>659.0</v>
      </c>
      <c r="G4122" s="2031">
        <v>659.0</v>
      </c>
      <c r="H4122" s="2031">
        <v>659.0</v>
      </c>
    </row>
    <row r="4123">
      <c r="B4123" s="2031">
        <v>4121.0</v>
      </c>
      <c r="C4123" s="2031">
        <v>494.0</v>
      </c>
      <c r="D4123" s="2031">
        <v>989.0</v>
      </c>
      <c r="E4123" s="2031">
        <v>659.0</v>
      </c>
      <c r="F4123" s="2031">
        <v>659.0</v>
      </c>
      <c r="G4123" s="2031">
        <v>660.0</v>
      </c>
      <c r="H4123" s="2031">
        <v>660.0</v>
      </c>
    </row>
    <row r="4124">
      <c r="B4124" s="2031">
        <v>4122.0</v>
      </c>
      <c r="C4124" s="2031">
        <v>495.0</v>
      </c>
      <c r="D4124" s="2031">
        <v>989.0</v>
      </c>
      <c r="E4124" s="2031">
        <v>659.0</v>
      </c>
      <c r="F4124" s="2031">
        <v>659.0</v>
      </c>
      <c r="G4124" s="2031">
        <v>660.0</v>
      </c>
      <c r="H4124" s="2031">
        <v>660.0</v>
      </c>
    </row>
    <row r="4125">
      <c r="B4125" s="2031">
        <v>4123.0</v>
      </c>
      <c r="C4125" s="2031">
        <v>494.0</v>
      </c>
      <c r="D4125" s="2031">
        <v>989.0</v>
      </c>
      <c r="E4125" s="2031">
        <v>660.0</v>
      </c>
      <c r="F4125" s="2031">
        <v>660.0</v>
      </c>
      <c r="G4125" s="2031">
        <v>660.0</v>
      </c>
      <c r="H4125" s="2031">
        <v>660.0</v>
      </c>
    </row>
    <row r="4126">
      <c r="B4126" s="2031">
        <v>4124.0</v>
      </c>
      <c r="C4126" s="2031">
        <v>495.0</v>
      </c>
      <c r="D4126" s="2031">
        <v>989.0</v>
      </c>
      <c r="E4126" s="2031">
        <v>660.0</v>
      </c>
      <c r="F4126" s="2031">
        <v>660.0</v>
      </c>
      <c r="G4126" s="2031">
        <v>660.0</v>
      </c>
      <c r="H4126" s="2031">
        <v>660.0</v>
      </c>
    </row>
    <row r="4127">
      <c r="B4127" s="2031">
        <v>4125.0</v>
      </c>
      <c r="C4127" s="2031">
        <v>495.0</v>
      </c>
      <c r="D4127" s="2031">
        <v>990.0</v>
      </c>
      <c r="E4127" s="2031">
        <v>660.0</v>
      </c>
      <c r="F4127" s="2031">
        <v>660.0</v>
      </c>
      <c r="G4127" s="2031">
        <v>660.0</v>
      </c>
      <c r="H4127" s="2031">
        <v>660.0</v>
      </c>
    </row>
    <row r="4128">
      <c r="B4128" s="2031">
        <v>4126.0</v>
      </c>
      <c r="C4128" s="2031">
        <v>495.0</v>
      </c>
      <c r="D4128" s="2031">
        <v>991.0</v>
      </c>
      <c r="E4128" s="2031">
        <v>660.0</v>
      </c>
      <c r="F4128" s="2031">
        <v>660.0</v>
      </c>
      <c r="G4128" s="2031">
        <v>660.0</v>
      </c>
      <c r="H4128" s="2031">
        <v>660.0</v>
      </c>
    </row>
    <row r="4129">
      <c r="B4129" s="2031">
        <v>4127.0</v>
      </c>
      <c r="C4129" s="2031">
        <v>496.0</v>
      </c>
      <c r="D4129" s="2031">
        <v>991.0</v>
      </c>
      <c r="E4129" s="2031">
        <v>660.0</v>
      </c>
      <c r="F4129" s="2031">
        <v>660.0</v>
      </c>
      <c r="G4129" s="2031">
        <v>660.0</v>
      </c>
      <c r="H4129" s="2031">
        <v>660.0</v>
      </c>
    </row>
    <row r="4130">
      <c r="B4130" s="2031">
        <v>4128.0</v>
      </c>
      <c r="C4130" s="2031">
        <v>495.0</v>
      </c>
      <c r="D4130" s="2031">
        <v>991.0</v>
      </c>
      <c r="E4130" s="2031">
        <v>660.0</v>
      </c>
      <c r="F4130" s="2031">
        <v>660.0</v>
      </c>
      <c r="G4130" s="2031">
        <v>661.0</v>
      </c>
      <c r="H4130" s="2031">
        <v>661.0</v>
      </c>
    </row>
    <row r="4131">
      <c r="B4131" s="2031">
        <v>4129.0</v>
      </c>
      <c r="C4131" s="2031">
        <v>496.0</v>
      </c>
      <c r="D4131" s="2031">
        <v>991.0</v>
      </c>
      <c r="E4131" s="2031">
        <v>660.0</v>
      </c>
      <c r="F4131" s="2031">
        <v>660.0</v>
      </c>
      <c r="G4131" s="2031">
        <v>661.0</v>
      </c>
      <c r="H4131" s="2031">
        <v>661.0</v>
      </c>
    </row>
    <row r="4132">
      <c r="B4132" s="2031">
        <v>4130.0</v>
      </c>
      <c r="C4132" s="2031">
        <v>495.0</v>
      </c>
      <c r="D4132" s="2031">
        <v>991.0</v>
      </c>
      <c r="E4132" s="2031">
        <v>661.0</v>
      </c>
      <c r="F4132" s="2031">
        <v>661.0</v>
      </c>
      <c r="G4132" s="2031">
        <v>661.0</v>
      </c>
      <c r="H4132" s="2031">
        <v>661.0</v>
      </c>
    </row>
    <row r="4133">
      <c r="B4133" s="2031">
        <v>4131.0</v>
      </c>
      <c r="C4133" s="2031">
        <v>496.0</v>
      </c>
      <c r="D4133" s="2031">
        <v>991.0</v>
      </c>
      <c r="E4133" s="2031">
        <v>661.0</v>
      </c>
      <c r="F4133" s="2031">
        <v>661.0</v>
      </c>
      <c r="G4133" s="2031">
        <v>661.0</v>
      </c>
      <c r="H4133" s="2031">
        <v>661.0</v>
      </c>
    </row>
    <row r="4134">
      <c r="B4134" s="2031">
        <v>4132.0</v>
      </c>
      <c r="C4134" s="2031">
        <v>496.0</v>
      </c>
      <c r="D4134" s="2031">
        <v>992.0</v>
      </c>
      <c r="E4134" s="2031">
        <v>661.0</v>
      </c>
      <c r="F4134" s="2031">
        <v>661.0</v>
      </c>
      <c r="G4134" s="2031">
        <v>661.0</v>
      </c>
      <c r="H4134" s="2031">
        <v>661.0</v>
      </c>
    </row>
    <row r="4135">
      <c r="B4135" s="2031">
        <v>4133.0</v>
      </c>
      <c r="C4135" s="2031">
        <v>496.0</v>
      </c>
      <c r="D4135" s="2031">
        <v>991.0</v>
      </c>
      <c r="E4135" s="2031">
        <v>661.0</v>
      </c>
      <c r="F4135" s="2031">
        <v>661.0</v>
      </c>
      <c r="G4135" s="2031">
        <v>662.0</v>
      </c>
      <c r="H4135" s="2031">
        <v>662.0</v>
      </c>
    </row>
    <row r="4136">
      <c r="B4136" s="2031">
        <v>4134.0</v>
      </c>
      <c r="C4136" s="2031">
        <v>496.0</v>
      </c>
      <c r="D4136" s="2031">
        <v>992.0</v>
      </c>
      <c r="E4136" s="2031">
        <v>661.0</v>
      </c>
      <c r="F4136" s="2031">
        <v>661.0</v>
      </c>
      <c r="G4136" s="2031">
        <v>662.0</v>
      </c>
      <c r="H4136" s="2031">
        <v>662.0</v>
      </c>
    </row>
    <row r="4137">
      <c r="B4137" s="2031">
        <v>4135.0</v>
      </c>
      <c r="C4137" s="2031">
        <v>496.0</v>
      </c>
      <c r="D4137" s="2031">
        <v>993.0</v>
      </c>
      <c r="E4137" s="2031">
        <v>661.0</v>
      </c>
      <c r="F4137" s="2031">
        <v>661.0</v>
      </c>
      <c r="G4137" s="2031">
        <v>662.0</v>
      </c>
      <c r="H4137" s="2031">
        <v>662.0</v>
      </c>
    </row>
    <row r="4138">
      <c r="B4138" s="2031">
        <v>4136.0</v>
      </c>
      <c r="C4138" s="2031">
        <v>496.0</v>
      </c>
      <c r="D4138" s="2031">
        <v>992.0</v>
      </c>
      <c r="E4138" s="2031">
        <v>662.0</v>
      </c>
      <c r="F4138" s="2031">
        <v>662.0</v>
      </c>
      <c r="G4138" s="2031">
        <v>662.0</v>
      </c>
      <c r="H4138" s="2031">
        <v>662.0</v>
      </c>
    </row>
    <row r="4139">
      <c r="B4139" s="2031">
        <v>4137.0</v>
      </c>
      <c r="C4139" s="2031">
        <v>496.0</v>
      </c>
      <c r="D4139" s="2031">
        <v>993.0</v>
      </c>
      <c r="E4139" s="2031">
        <v>662.0</v>
      </c>
      <c r="F4139" s="2031">
        <v>662.0</v>
      </c>
      <c r="G4139" s="2031">
        <v>662.0</v>
      </c>
      <c r="H4139" s="2031">
        <v>662.0</v>
      </c>
    </row>
    <row r="4140">
      <c r="B4140" s="2031">
        <v>4138.0</v>
      </c>
      <c r="C4140" s="2031">
        <v>497.0</v>
      </c>
      <c r="D4140" s="2031">
        <v>993.0</v>
      </c>
      <c r="E4140" s="2031">
        <v>662.0</v>
      </c>
      <c r="F4140" s="2031">
        <v>662.0</v>
      </c>
      <c r="G4140" s="2031">
        <v>662.0</v>
      </c>
      <c r="H4140" s="2031">
        <v>662.0</v>
      </c>
    </row>
    <row r="4141">
      <c r="B4141" s="2031">
        <v>4139.0</v>
      </c>
      <c r="C4141" s="2031">
        <v>497.0</v>
      </c>
      <c r="D4141" s="2031">
        <v>994.0</v>
      </c>
      <c r="E4141" s="2031">
        <v>662.0</v>
      </c>
      <c r="F4141" s="2031">
        <v>662.0</v>
      </c>
      <c r="G4141" s="2031">
        <v>662.0</v>
      </c>
      <c r="H4141" s="2031">
        <v>662.0</v>
      </c>
    </row>
    <row r="4142">
      <c r="B4142" s="2031">
        <v>4140.0</v>
      </c>
      <c r="C4142" s="2031">
        <v>497.0</v>
      </c>
      <c r="D4142" s="2031">
        <v>993.0</v>
      </c>
      <c r="E4142" s="2031">
        <v>662.0</v>
      </c>
      <c r="F4142" s="2031">
        <v>662.0</v>
      </c>
      <c r="G4142" s="2031">
        <v>663.0</v>
      </c>
      <c r="H4142" s="2031">
        <v>663.0</v>
      </c>
    </row>
    <row r="4143">
      <c r="B4143" s="2031">
        <v>4141.0</v>
      </c>
      <c r="C4143" s="2031">
        <v>497.0</v>
      </c>
      <c r="D4143" s="2031">
        <v>994.0</v>
      </c>
      <c r="E4143" s="2031">
        <v>662.0</v>
      </c>
      <c r="F4143" s="2031">
        <v>662.0</v>
      </c>
      <c r="G4143" s="2031">
        <v>663.0</v>
      </c>
      <c r="H4143" s="2031">
        <v>663.0</v>
      </c>
    </row>
    <row r="4144">
      <c r="B4144" s="2031">
        <v>4142.0</v>
      </c>
      <c r="C4144" s="2031">
        <v>497.0</v>
      </c>
      <c r="D4144" s="2031">
        <v>995.0</v>
      </c>
      <c r="E4144" s="2031">
        <v>662.0</v>
      </c>
      <c r="F4144" s="2031">
        <v>662.0</v>
      </c>
      <c r="G4144" s="2031">
        <v>663.0</v>
      </c>
      <c r="H4144" s="2031">
        <v>663.0</v>
      </c>
    </row>
    <row r="4145">
      <c r="B4145" s="2031">
        <v>4143.0</v>
      </c>
      <c r="C4145" s="2031">
        <v>497.0</v>
      </c>
      <c r="D4145" s="2031">
        <v>994.0</v>
      </c>
      <c r="E4145" s="2031">
        <v>663.0</v>
      </c>
      <c r="F4145" s="2031">
        <v>663.0</v>
      </c>
      <c r="G4145" s="2031">
        <v>663.0</v>
      </c>
      <c r="H4145" s="2031">
        <v>663.0</v>
      </c>
    </row>
    <row r="4146">
      <c r="B4146" s="2031">
        <v>4144.0</v>
      </c>
      <c r="C4146" s="2031">
        <v>497.0</v>
      </c>
      <c r="D4146" s="2031">
        <v>995.0</v>
      </c>
      <c r="E4146" s="2031">
        <v>663.0</v>
      </c>
      <c r="F4146" s="2031">
        <v>663.0</v>
      </c>
      <c r="G4146" s="2031">
        <v>663.0</v>
      </c>
      <c r="H4146" s="2031">
        <v>663.0</v>
      </c>
    </row>
    <row r="4147">
      <c r="B4147" s="2031">
        <v>4145.0</v>
      </c>
      <c r="C4147" s="2031">
        <v>498.0</v>
      </c>
      <c r="D4147" s="2031">
        <v>995.0</v>
      </c>
      <c r="E4147" s="2031">
        <v>663.0</v>
      </c>
      <c r="F4147" s="2031">
        <v>663.0</v>
      </c>
      <c r="G4147" s="2031">
        <v>663.0</v>
      </c>
      <c r="H4147" s="2031">
        <v>663.0</v>
      </c>
    </row>
    <row r="4148">
      <c r="B4148" s="2031">
        <v>4146.0</v>
      </c>
      <c r="C4148" s="2031">
        <v>497.0</v>
      </c>
      <c r="D4148" s="2031">
        <v>995.0</v>
      </c>
      <c r="E4148" s="2031">
        <v>663.0</v>
      </c>
      <c r="F4148" s="2031">
        <v>663.0</v>
      </c>
      <c r="G4148" s="2031">
        <v>664.0</v>
      </c>
      <c r="H4148" s="2031">
        <v>664.0</v>
      </c>
    </row>
    <row r="4149">
      <c r="B4149" s="2031">
        <v>4147.0</v>
      </c>
      <c r="C4149" s="2031">
        <v>498.0</v>
      </c>
      <c r="D4149" s="2031">
        <v>995.0</v>
      </c>
      <c r="E4149" s="2031">
        <v>663.0</v>
      </c>
      <c r="F4149" s="2031">
        <v>663.0</v>
      </c>
      <c r="G4149" s="2031">
        <v>664.0</v>
      </c>
      <c r="H4149" s="2031">
        <v>664.0</v>
      </c>
    </row>
    <row r="4150">
      <c r="B4150" s="2031">
        <v>4148.0</v>
      </c>
      <c r="C4150" s="2031">
        <v>497.0</v>
      </c>
      <c r="D4150" s="2031">
        <v>995.0</v>
      </c>
      <c r="E4150" s="2031">
        <v>664.0</v>
      </c>
      <c r="F4150" s="2031">
        <v>664.0</v>
      </c>
      <c r="G4150" s="2031">
        <v>664.0</v>
      </c>
      <c r="H4150" s="2031">
        <v>664.0</v>
      </c>
    </row>
    <row r="4151">
      <c r="B4151" s="2031">
        <v>4149.0</v>
      </c>
      <c r="C4151" s="2031">
        <v>498.0</v>
      </c>
      <c r="D4151" s="2031">
        <v>995.0</v>
      </c>
      <c r="E4151" s="2031">
        <v>664.0</v>
      </c>
      <c r="F4151" s="2031">
        <v>664.0</v>
      </c>
      <c r="G4151" s="2031">
        <v>664.0</v>
      </c>
      <c r="H4151" s="2031">
        <v>664.0</v>
      </c>
    </row>
    <row r="4152">
      <c r="B4152" s="2031">
        <v>4150.0</v>
      </c>
      <c r="C4152" s="2031">
        <v>498.0</v>
      </c>
      <c r="D4152" s="2031">
        <v>996.0</v>
      </c>
      <c r="E4152" s="2031">
        <v>664.0</v>
      </c>
      <c r="F4152" s="2031">
        <v>664.0</v>
      </c>
      <c r="G4152" s="2031">
        <v>664.0</v>
      </c>
      <c r="H4152" s="2031">
        <v>664.0</v>
      </c>
    </row>
    <row r="4153">
      <c r="B4153" s="2031">
        <v>4151.0</v>
      </c>
      <c r="C4153" s="2031">
        <v>498.0</v>
      </c>
      <c r="D4153" s="2031">
        <v>997.0</v>
      </c>
      <c r="E4153" s="2031">
        <v>664.0</v>
      </c>
      <c r="F4153" s="2031">
        <v>664.0</v>
      </c>
      <c r="G4153" s="2031">
        <v>664.0</v>
      </c>
      <c r="H4153" s="2031">
        <v>664.0</v>
      </c>
    </row>
    <row r="4154">
      <c r="B4154" s="2031">
        <v>4152.0</v>
      </c>
      <c r="C4154" s="2031">
        <v>499.0</v>
      </c>
      <c r="D4154" s="2031">
        <v>997.0</v>
      </c>
      <c r="E4154" s="2031">
        <v>664.0</v>
      </c>
      <c r="F4154" s="2031">
        <v>664.0</v>
      </c>
      <c r="G4154" s="2031">
        <v>664.0</v>
      </c>
      <c r="H4154" s="2031">
        <v>664.0</v>
      </c>
    </row>
    <row r="4155">
      <c r="B4155" s="2031">
        <v>4153.0</v>
      </c>
      <c r="C4155" s="2031">
        <v>498.0</v>
      </c>
      <c r="D4155" s="2031">
        <v>997.0</v>
      </c>
      <c r="E4155" s="2031">
        <v>664.0</v>
      </c>
      <c r="F4155" s="2031">
        <v>664.0</v>
      </c>
      <c r="G4155" s="2031">
        <v>665.0</v>
      </c>
      <c r="H4155" s="2031">
        <v>665.0</v>
      </c>
    </row>
    <row r="4156">
      <c r="B4156" s="2031">
        <v>4154.0</v>
      </c>
      <c r="C4156" s="2031">
        <v>499.0</v>
      </c>
      <c r="D4156" s="2031">
        <v>997.0</v>
      </c>
      <c r="E4156" s="2031">
        <v>664.0</v>
      </c>
      <c r="F4156" s="2031">
        <v>664.0</v>
      </c>
      <c r="G4156" s="2031">
        <v>665.0</v>
      </c>
      <c r="H4156" s="2031">
        <v>665.0</v>
      </c>
    </row>
    <row r="4157">
      <c r="B4157" s="2031">
        <v>4155.0</v>
      </c>
      <c r="C4157" s="2031">
        <v>498.0</v>
      </c>
      <c r="D4157" s="2031">
        <v>997.0</v>
      </c>
      <c r="E4157" s="2031">
        <v>665.0</v>
      </c>
      <c r="F4157" s="2031">
        <v>665.0</v>
      </c>
      <c r="G4157" s="2031">
        <v>665.0</v>
      </c>
      <c r="H4157" s="2031">
        <v>665.0</v>
      </c>
    </row>
    <row r="4158">
      <c r="B4158" s="2031">
        <v>4156.0</v>
      </c>
      <c r="C4158" s="2031">
        <v>499.0</v>
      </c>
      <c r="D4158" s="2031">
        <v>997.0</v>
      </c>
      <c r="E4158" s="2031">
        <v>665.0</v>
      </c>
      <c r="F4158" s="2031">
        <v>665.0</v>
      </c>
      <c r="G4158" s="2031">
        <v>665.0</v>
      </c>
      <c r="H4158" s="2031">
        <v>665.0</v>
      </c>
    </row>
    <row r="4159">
      <c r="B4159" s="2031">
        <v>4157.0</v>
      </c>
      <c r="C4159" s="2031">
        <v>499.0</v>
      </c>
      <c r="D4159" s="2031">
        <v>998.0</v>
      </c>
      <c r="E4159" s="2031">
        <v>665.0</v>
      </c>
      <c r="F4159" s="2031">
        <v>665.0</v>
      </c>
      <c r="G4159" s="2031">
        <v>665.0</v>
      </c>
      <c r="H4159" s="2031">
        <v>665.0</v>
      </c>
    </row>
    <row r="4160">
      <c r="B4160" s="2031">
        <v>4158.0</v>
      </c>
      <c r="C4160" s="2031">
        <v>499.0</v>
      </c>
      <c r="D4160" s="2031">
        <v>997.0</v>
      </c>
      <c r="E4160" s="2031">
        <v>665.0</v>
      </c>
      <c r="F4160" s="2031">
        <v>665.0</v>
      </c>
      <c r="G4160" s="2031">
        <v>666.0</v>
      </c>
      <c r="H4160" s="2031">
        <v>666.0</v>
      </c>
    </row>
    <row r="4161">
      <c r="B4161" s="2031">
        <v>4159.0</v>
      </c>
      <c r="C4161" s="2031">
        <v>499.0</v>
      </c>
      <c r="D4161" s="2031">
        <v>998.0</v>
      </c>
      <c r="E4161" s="2031">
        <v>665.0</v>
      </c>
      <c r="F4161" s="2031">
        <v>665.0</v>
      </c>
      <c r="G4161" s="2031">
        <v>666.0</v>
      </c>
      <c r="H4161" s="2031">
        <v>666.0</v>
      </c>
    </row>
    <row r="4162">
      <c r="B4162" s="2031">
        <v>4160.0</v>
      </c>
      <c r="C4162" s="2031">
        <v>499.0</v>
      </c>
      <c r="D4162" s="2031">
        <v>999.0</v>
      </c>
      <c r="E4162" s="2031">
        <v>665.0</v>
      </c>
      <c r="F4162" s="2031">
        <v>665.0</v>
      </c>
      <c r="G4162" s="2031">
        <v>666.0</v>
      </c>
      <c r="H4162" s="2031">
        <v>666.0</v>
      </c>
    </row>
    <row r="4163">
      <c r="B4163" s="2031">
        <v>4161.0</v>
      </c>
      <c r="C4163" s="2031">
        <v>499.0</v>
      </c>
      <c r="D4163" s="2031">
        <v>998.0</v>
      </c>
      <c r="E4163" s="2031">
        <v>666.0</v>
      </c>
      <c r="F4163" s="2031">
        <v>666.0</v>
      </c>
      <c r="G4163" s="2031">
        <v>666.0</v>
      </c>
      <c r="H4163" s="2031">
        <v>666.0</v>
      </c>
    </row>
    <row r="4164">
      <c r="B4164" s="2031">
        <v>4162.0</v>
      </c>
      <c r="C4164" s="2031">
        <v>499.0</v>
      </c>
      <c r="D4164" s="2031">
        <v>999.0</v>
      </c>
      <c r="E4164" s="2031">
        <v>666.0</v>
      </c>
      <c r="F4164" s="2031">
        <v>666.0</v>
      </c>
      <c r="G4164" s="2031">
        <v>666.0</v>
      </c>
      <c r="H4164" s="2031">
        <v>666.0</v>
      </c>
    </row>
    <row r="4165">
      <c r="B4165" s="2031">
        <v>4163.0</v>
      </c>
      <c r="C4165" s="2031">
        <v>500.0</v>
      </c>
      <c r="D4165" s="2031">
        <v>999.0</v>
      </c>
      <c r="E4165" s="2031">
        <v>666.0</v>
      </c>
      <c r="F4165" s="2031">
        <v>666.0</v>
      </c>
      <c r="G4165" s="2031">
        <v>666.0</v>
      </c>
      <c r="H4165" s="2031">
        <v>666.0</v>
      </c>
    </row>
    <row r="4166">
      <c r="B4166" s="2031">
        <v>4164.0</v>
      </c>
      <c r="C4166" s="2031">
        <v>500.0</v>
      </c>
      <c r="D4166" s="2031">
        <v>1000.0</v>
      </c>
      <c r="E4166" s="2031">
        <v>666.0</v>
      </c>
      <c r="F4166" s="2031">
        <v>666.0</v>
      </c>
      <c r="G4166" s="2031">
        <v>666.0</v>
      </c>
      <c r="H4166" s="2031">
        <v>666.0</v>
      </c>
    </row>
    <row r="4167">
      <c r="B4167" s="2031">
        <v>4165.0</v>
      </c>
      <c r="C4167" s="2031">
        <v>500.0</v>
      </c>
      <c r="D4167" s="2031">
        <v>999.0</v>
      </c>
      <c r="E4167" s="2031">
        <v>666.0</v>
      </c>
      <c r="F4167" s="2031">
        <v>666.0</v>
      </c>
      <c r="G4167" s="2031">
        <v>667.0</v>
      </c>
      <c r="H4167" s="2031">
        <v>667.0</v>
      </c>
    </row>
    <row r="4168">
      <c r="B4168" s="2031">
        <v>4166.0</v>
      </c>
      <c r="C4168" s="2031">
        <v>500.0</v>
      </c>
      <c r="D4168" s="2031">
        <v>1000.0</v>
      </c>
      <c r="E4168" s="2031">
        <v>666.0</v>
      </c>
      <c r="F4168" s="2031">
        <v>666.0</v>
      </c>
      <c r="G4168" s="2031">
        <v>667.0</v>
      </c>
      <c r="H4168" s="2031">
        <v>667.0</v>
      </c>
    </row>
    <row r="4169">
      <c r="B4169" s="2031">
        <v>4167.0</v>
      </c>
      <c r="C4169" s="2031">
        <v>500.0</v>
      </c>
      <c r="D4169" s="2031">
        <v>1001.0</v>
      </c>
      <c r="E4169" s="2031">
        <v>666.0</v>
      </c>
      <c r="F4169" s="2031">
        <v>666.0</v>
      </c>
      <c r="G4169" s="2031">
        <v>667.0</v>
      </c>
      <c r="H4169" s="2031">
        <v>667.0</v>
      </c>
    </row>
    <row r="4170">
      <c r="B4170" s="2031">
        <v>4168.0</v>
      </c>
      <c r="C4170" s="2031">
        <v>500.0</v>
      </c>
      <c r="D4170" s="2031">
        <v>1000.0</v>
      </c>
      <c r="E4170" s="2031">
        <v>667.0</v>
      </c>
      <c r="F4170" s="2031">
        <v>667.0</v>
      </c>
      <c r="G4170" s="2031">
        <v>667.0</v>
      </c>
      <c r="H4170" s="2031">
        <v>667.0</v>
      </c>
    </row>
    <row r="4171">
      <c r="B4171" s="2031">
        <v>4169.0</v>
      </c>
      <c r="C4171" s="2031">
        <v>500.0</v>
      </c>
      <c r="D4171" s="2031">
        <v>1001.0</v>
      </c>
      <c r="E4171" s="2031">
        <v>667.0</v>
      </c>
      <c r="F4171" s="2031">
        <v>667.0</v>
      </c>
      <c r="G4171" s="2031">
        <v>667.0</v>
      </c>
      <c r="H4171" s="2031">
        <v>667.0</v>
      </c>
    </row>
    <row r="4172">
      <c r="B4172" s="2031">
        <v>4170.0</v>
      </c>
      <c r="C4172" s="2031">
        <v>501.0</v>
      </c>
      <c r="D4172" s="2031">
        <v>1001.0</v>
      </c>
      <c r="E4172" s="2031">
        <v>667.0</v>
      </c>
      <c r="F4172" s="2031">
        <v>667.0</v>
      </c>
      <c r="G4172" s="2031">
        <v>667.0</v>
      </c>
      <c r="H4172" s="2031">
        <v>667.0</v>
      </c>
    </row>
    <row r="4173">
      <c r="B4173" s="2031">
        <v>4171.0</v>
      </c>
      <c r="C4173" s="2031">
        <v>500.0</v>
      </c>
      <c r="D4173" s="2031">
        <v>1001.0</v>
      </c>
      <c r="E4173" s="2031">
        <v>667.0</v>
      </c>
      <c r="F4173" s="2031">
        <v>667.0</v>
      </c>
      <c r="G4173" s="2031">
        <v>668.0</v>
      </c>
      <c r="H4173" s="2031">
        <v>668.0</v>
      </c>
    </row>
    <row r="4174">
      <c r="B4174" s="2031">
        <v>4172.0</v>
      </c>
      <c r="C4174" s="2031">
        <v>501.0</v>
      </c>
      <c r="D4174" s="2031">
        <v>1001.0</v>
      </c>
      <c r="E4174" s="2031">
        <v>667.0</v>
      </c>
      <c r="F4174" s="2031">
        <v>667.0</v>
      </c>
      <c r="G4174" s="2031">
        <v>668.0</v>
      </c>
      <c r="H4174" s="2031">
        <v>668.0</v>
      </c>
    </row>
    <row r="4175">
      <c r="B4175" s="2031">
        <v>4173.0</v>
      </c>
      <c r="C4175" s="2031">
        <v>500.0</v>
      </c>
      <c r="D4175" s="2031">
        <v>1001.0</v>
      </c>
      <c r="E4175" s="2031">
        <v>668.0</v>
      </c>
      <c r="F4175" s="2031">
        <v>668.0</v>
      </c>
      <c r="G4175" s="2031">
        <v>668.0</v>
      </c>
      <c r="H4175" s="2031">
        <v>668.0</v>
      </c>
    </row>
    <row r="4176">
      <c r="B4176" s="2031">
        <v>4174.0</v>
      </c>
      <c r="C4176" s="2031">
        <v>501.0</v>
      </c>
      <c r="D4176" s="2031">
        <v>1001.0</v>
      </c>
      <c r="E4176" s="2031">
        <v>668.0</v>
      </c>
      <c r="F4176" s="2031">
        <v>668.0</v>
      </c>
      <c r="G4176" s="2031">
        <v>668.0</v>
      </c>
      <c r="H4176" s="2031">
        <v>668.0</v>
      </c>
    </row>
    <row r="4177">
      <c r="B4177" s="2031">
        <v>4175.0</v>
      </c>
      <c r="C4177" s="2031">
        <v>501.0</v>
      </c>
      <c r="D4177" s="2031">
        <v>1002.0</v>
      </c>
      <c r="E4177" s="2031">
        <v>668.0</v>
      </c>
      <c r="F4177" s="2031">
        <v>668.0</v>
      </c>
      <c r="G4177" s="2031">
        <v>668.0</v>
      </c>
      <c r="H4177" s="2031">
        <v>668.0</v>
      </c>
    </row>
    <row r="4178">
      <c r="B4178" s="2031">
        <v>4176.0</v>
      </c>
      <c r="C4178" s="2031">
        <v>501.0</v>
      </c>
      <c r="D4178" s="2031">
        <v>1003.0</v>
      </c>
      <c r="E4178" s="2031">
        <v>668.0</v>
      </c>
      <c r="F4178" s="2031">
        <v>668.0</v>
      </c>
      <c r="G4178" s="2031">
        <v>668.0</v>
      </c>
      <c r="H4178" s="2031">
        <v>668.0</v>
      </c>
    </row>
    <row r="4179">
      <c r="B4179" s="2031">
        <v>4177.0</v>
      </c>
      <c r="C4179" s="2031">
        <v>502.0</v>
      </c>
      <c r="D4179" s="2031">
        <v>1003.0</v>
      </c>
      <c r="E4179" s="2031">
        <v>668.0</v>
      </c>
      <c r="F4179" s="2031">
        <v>668.0</v>
      </c>
      <c r="G4179" s="2031">
        <v>668.0</v>
      </c>
      <c r="H4179" s="2031">
        <v>668.0</v>
      </c>
    </row>
    <row r="4180">
      <c r="B4180" s="2031">
        <v>4178.0</v>
      </c>
      <c r="C4180" s="2031">
        <v>501.0</v>
      </c>
      <c r="D4180" s="2031">
        <v>1003.0</v>
      </c>
      <c r="E4180" s="2031">
        <v>668.0</v>
      </c>
      <c r="F4180" s="2031">
        <v>668.0</v>
      </c>
      <c r="G4180" s="2031">
        <v>669.0</v>
      </c>
      <c r="H4180" s="2031">
        <v>669.0</v>
      </c>
    </row>
    <row r="4181">
      <c r="B4181" s="2031">
        <v>4179.0</v>
      </c>
      <c r="C4181" s="2031">
        <v>502.0</v>
      </c>
      <c r="D4181" s="2031">
        <v>1003.0</v>
      </c>
      <c r="E4181" s="2031">
        <v>668.0</v>
      </c>
      <c r="F4181" s="2031">
        <v>668.0</v>
      </c>
      <c r="G4181" s="2031">
        <v>669.0</v>
      </c>
      <c r="H4181" s="2031">
        <v>669.0</v>
      </c>
    </row>
    <row r="4182">
      <c r="B4182" s="2031">
        <v>4180.0</v>
      </c>
      <c r="C4182" s="2031">
        <v>501.0</v>
      </c>
      <c r="D4182" s="2031">
        <v>1003.0</v>
      </c>
      <c r="E4182" s="2031">
        <v>669.0</v>
      </c>
      <c r="F4182" s="2031">
        <v>669.0</v>
      </c>
      <c r="G4182" s="2031">
        <v>669.0</v>
      </c>
      <c r="H4182" s="2031">
        <v>669.0</v>
      </c>
    </row>
    <row r="4183">
      <c r="B4183" s="2031">
        <v>4181.0</v>
      </c>
      <c r="C4183" s="2031">
        <v>502.0</v>
      </c>
      <c r="D4183" s="2031">
        <v>1003.0</v>
      </c>
      <c r="E4183" s="2031">
        <v>669.0</v>
      </c>
      <c r="F4183" s="2031">
        <v>669.0</v>
      </c>
      <c r="G4183" s="2031">
        <v>669.0</v>
      </c>
      <c r="H4183" s="2031">
        <v>669.0</v>
      </c>
    </row>
    <row r="4184">
      <c r="B4184" s="2031">
        <v>4182.0</v>
      </c>
      <c r="C4184" s="2031">
        <v>502.0</v>
      </c>
      <c r="D4184" s="2031">
        <v>1004.0</v>
      </c>
      <c r="E4184" s="2031">
        <v>669.0</v>
      </c>
      <c r="F4184" s="2031">
        <v>669.0</v>
      </c>
      <c r="G4184" s="2031">
        <v>669.0</v>
      </c>
      <c r="H4184" s="2031">
        <v>669.0</v>
      </c>
    </row>
    <row r="4185">
      <c r="B4185" s="2031">
        <v>4183.0</v>
      </c>
      <c r="C4185" s="2031">
        <v>502.0</v>
      </c>
      <c r="D4185" s="2031">
        <v>1003.0</v>
      </c>
      <c r="E4185" s="2031">
        <v>669.0</v>
      </c>
      <c r="F4185" s="2031">
        <v>669.0</v>
      </c>
      <c r="G4185" s="2031">
        <v>670.0</v>
      </c>
      <c r="H4185" s="2031">
        <v>670.0</v>
      </c>
    </row>
    <row r="4186">
      <c r="B4186" s="2031">
        <v>4184.0</v>
      </c>
      <c r="C4186" s="2031">
        <v>502.0</v>
      </c>
      <c r="D4186" s="2031">
        <v>1004.0</v>
      </c>
      <c r="E4186" s="2031">
        <v>669.0</v>
      </c>
      <c r="F4186" s="2031">
        <v>669.0</v>
      </c>
      <c r="G4186" s="2031">
        <v>670.0</v>
      </c>
      <c r="H4186" s="2031">
        <v>670.0</v>
      </c>
    </row>
    <row r="4187">
      <c r="B4187" s="2031">
        <v>4185.0</v>
      </c>
      <c r="C4187" s="2031">
        <v>502.0</v>
      </c>
      <c r="D4187" s="2031">
        <v>1005.0</v>
      </c>
      <c r="E4187" s="2031">
        <v>669.0</v>
      </c>
      <c r="F4187" s="2031">
        <v>669.0</v>
      </c>
      <c r="G4187" s="2031">
        <v>670.0</v>
      </c>
      <c r="H4187" s="2031">
        <v>670.0</v>
      </c>
    </row>
    <row r="4188">
      <c r="B4188" s="2031">
        <v>4186.0</v>
      </c>
      <c r="C4188" s="2031">
        <v>502.0</v>
      </c>
      <c r="D4188" s="2031">
        <v>1004.0</v>
      </c>
      <c r="E4188" s="2031">
        <v>670.0</v>
      </c>
      <c r="F4188" s="2031">
        <v>670.0</v>
      </c>
      <c r="G4188" s="2031">
        <v>670.0</v>
      </c>
      <c r="H4188" s="2031">
        <v>670.0</v>
      </c>
    </row>
    <row r="4189">
      <c r="B4189" s="2031">
        <v>4187.0</v>
      </c>
      <c r="C4189" s="2031">
        <v>502.0</v>
      </c>
      <c r="D4189" s="2031">
        <v>1005.0</v>
      </c>
      <c r="E4189" s="2031">
        <v>670.0</v>
      </c>
      <c r="F4189" s="2031">
        <v>670.0</v>
      </c>
      <c r="G4189" s="2031">
        <v>670.0</v>
      </c>
      <c r="H4189" s="2031">
        <v>670.0</v>
      </c>
    </row>
    <row r="4190">
      <c r="B4190" s="2031">
        <v>4188.0</v>
      </c>
      <c r="C4190" s="2031">
        <v>503.0</v>
      </c>
      <c r="D4190" s="2031">
        <v>1005.0</v>
      </c>
      <c r="E4190" s="2031">
        <v>670.0</v>
      </c>
      <c r="F4190" s="2031">
        <v>670.0</v>
      </c>
      <c r="G4190" s="2031">
        <v>670.0</v>
      </c>
      <c r="H4190" s="2031">
        <v>670.0</v>
      </c>
    </row>
    <row r="4191">
      <c r="B4191" s="2031">
        <v>4189.0</v>
      </c>
      <c r="C4191" s="2031">
        <v>503.0</v>
      </c>
      <c r="D4191" s="2031">
        <v>1006.0</v>
      </c>
      <c r="E4191" s="2031">
        <v>670.0</v>
      </c>
      <c r="F4191" s="2031">
        <v>670.0</v>
      </c>
      <c r="G4191" s="2031">
        <v>670.0</v>
      </c>
      <c r="H4191" s="2031">
        <v>670.0</v>
      </c>
    </row>
    <row r="4192">
      <c r="B4192" s="2031">
        <v>4190.0</v>
      </c>
      <c r="C4192" s="2031">
        <v>503.0</v>
      </c>
      <c r="D4192" s="2031">
        <v>1005.0</v>
      </c>
      <c r="E4192" s="2031">
        <v>670.0</v>
      </c>
      <c r="F4192" s="2031">
        <v>670.0</v>
      </c>
      <c r="G4192" s="2031">
        <v>671.0</v>
      </c>
      <c r="H4192" s="2031">
        <v>671.0</v>
      </c>
    </row>
    <row r="4193">
      <c r="B4193" s="2031">
        <v>4191.0</v>
      </c>
      <c r="C4193" s="2031">
        <v>503.0</v>
      </c>
      <c r="D4193" s="2031">
        <v>1006.0</v>
      </c>
      <c r="E4193" s="2031">
        <v>670.0</v>
      </c>
      <c r="F4193" s="2031">
        <v>670.0</v>
      </c>
      <c r="G4193" s="2031">
        <v>671.0</v>
      </c>
      <c r="H4193" s="2031">
        <v>671.0</v>
      </c>
    </row>
    <row r="4194">
      <c r="B4194" s="2031">
        <v>4192.0</v>
      </c>
      <c r="C4194" s="2031">
        <v>503.0</v>
      </c>
      <c r="D4194" s="2031">
        <v>1007.0</v>
      </c>
      <c r="E4194" s="2031">
        <v>670.0</v>
      </c>
      <c r="F4194" s="2031">
        <v>670.0</v>
      </c>
      <c r="G4194" s="2031">
        <v>671.0</v>
      </c>
      <c r="H4194" s="2031">
        <v>671.0</v>
      </c>
    </row>
    <row r="4195">
      <c r="B4195" s="2031">
        <v>4193.0</v>
      </c>
      <c r="C4195" s="2031">
        <v>503.0</v>
      </c>
      <c r="D4195" s="2031">
        <v>1006.0</v>
      </c>
      <c r="E4195" s="2031">
        <v>671.0</v>
      </c>
      <c r="F4195" s="2031">
        <v>671.0</v>
      </c>
      <c r="G4195" s="2031">
        <v>671.0</v>
      </c>
      <c r="H4195" s="2031">
        <v>671.0</v>
      </c>
    </row>
    <row r="4196">
      <c r="B4196" s="2031">
        <v>4194.0</v>
      </c>
      <c r="C4196" s="2031">
        <v>503.0</v>
      </c>
      <c r="D4196" s="2031">
        <v>1007.0</v>
      </c>
      <c r="E4196" s="2031">
        <v>671.0</v>
      </c>
      <c r="F4196" s="2031">
        <v>671.0</v>
      </c>
      <c r="G4196" s="2031">
        <v>671.0</v>
      </c>
      <c r="H4196" s="2031">
        <v>671.0</v>
      </c>
    </row>
    <row r="4197">
      <c r="B4197" s="2031">
        <v>4195.0</v>
      </c>
      <c r="C4197" s="2031">
        <v>504.0</v>
      </c>
      <c r="D4197" s="2031">
        <v>1007.0</v>
      </c>
      <c r="E4197" s="2031">
        <v>671.0</v>
      </c>
      <c r="F4197" s="2031">
        <v>671.0</v>
      </c>
      <c r="G4197" s="2031">
        <v>671.0</v>
      </c>
      <c r="H4197" s="2031">
        <v>671.0</v>
      </c>
    </row>
    <row r="4198">
      <c r="B4198" s="2031">
        <v>4196.0</v>
      </c>
      <c r="C4198" s="2031">
        <v>503.0</v>
      </c>
      <c r="D4198" s="2031">
        <v>1007.0</v>
      </c>
      <c r="E4198" s="2031">
        <v>671.0</v>
      </c>
      <c r="F4198" s="2031">
        <v>671.0</v>
      </c>
      <c r="G4198" s="2031">
        <v>672.0</v>
      </c>
      <c r="H4198" s="2031">
        <v>672.0</v>
      </c>
    </row>
    <row r="4199">
      <c r="B4199" s="2031">
        <v>4197.0</v>
      </c>
      <c r="C4199" s="2031">
        <v>504.0</v>
      </c>
      <c r="D4199" s="2031">
        <v>1007.0</v>
      </c>
      <c r="E4199" s="2031">
        <v>671.0</v>
      </c>
      <c r="F4199" s="2031">
        <v>671.0</v>
      </c>
      <c r="G4199" s="2031">
        <v>672.0</v>
      </c>
      <c r="H4199" s="2031">
        <v>672.0</v>
      </c>
    </row>
    <row r="4200">
      <c r="B4200" s="2031">
        <v>4198.0</v>
      </c>
      <c r="C4200" s="2031">
        <v>503.0</v>
      </c>
      <c r="D4200" s="2031">
        <v>1007.0</v>
      </c>
      <c r="E4200" s="2031">
        <v>672.0</v>
      </c>
      <c r="F4200" s="2031">
        <v>672.0</v>
      </c>
      <c r="G4200" s="2031">
        <v>672.0</v>
      </c>
      <c r="H4200" s="2031">
        <v>672.0</v>
      </c>
    </row>
    <row r="4201">
      <c r="B4201" s="2031">
        <v>4199.0</v>
      </c>
      <c r="C4201" s="2031">
        <v>504.0</v>
      </c>
      <c r="D4201" s="2031">
        <v>1007.0</v>
      </c>
      <c r="E4201" s="2031">
        <v>672.0</v>
      </c>
      <c r="F4201" s="2031">
        <v>672.0</v>
      </c>
      <c r="G4201" s="2031">
        <v>672.0</v>
      </c>
      <c r="H4201" s="2031">
        <v>672.0</v>
      </c>
    </row>
    <row r="4202">
      <c r="B4202" s="2031">
        <v>4200.0</v>
      </c>
      <c r="C4202" s="2031">
        <v>504.0</v>
      </c>
      <c r="D4202" s="2031">
        <v>1008.0</v>
      </c>
      <c r="E4202" s="2031">
        <v>672.0</v>
      </c>
      <c r="F4202" s="2031">
        <v>672.0</v>
      </c>
      <c r="G4202" s="2031">
        <v>672.0</v>
      </c>
      <c r="H4202" s="2031">
        <v>672.0</v>
      </c>
    </row>
    <row r="4203">
      <c r="B4203" s="2031">
        <v>4201.0</v>
      </c>
      <c r="C4203" s="2031">
        <v>504.0</v>
      </c>
      <c r="D4203" s="2031">
        <v>1009.0</v>
      </c>
      <c r="E4203" s="2031">
        <v>672.0</v>
      </c>
      <c r="F4203" s="2031">
        <v>672.0</v>
      </c>
      <c r="G4203" s="2031">
        <v>672.0</v>
      </c>
      <c r="H4203" s="2031">
        <v>672.0</v>
      </c>
    </row>
    <row r="4204">
      <c r="B4204" s="2031">
        <v>4202.0</v>
      </c>
      <c r="C4204" s="2031">
        <v>505.0</v>
      </c>
      <c r="D4204" s="2031">
        <v>1009.0</v>
      </c>
      <c r="E4204" s="2031">
        <v>672.0</v>
      </c>
      <c r="F4204" s="2031">
        <v>672.0</v>
      </c>
      <c r="G4204" s="2031">
        <v>672.0</v>
      </c>
      <c r="H4204" s="2031">
        <v>672.0</v>
      </c>
    </row>
    <row r="4205">
      <c r="B4205" s="2031">
        <v>4203.0</v>
      </c>
      <c r="C4205" s="2031">
        <v>504.0</v>
      </c>
      <c r="D4205" s="2031">
        <v>1009.0</v>
      </c>
      <c r="E4205" s="2031">
        <v>672.0</v>
      </c>
      <c r="F4205" s="2031">
        <v>672.0</v>
      </c>
      <c r="G4205" s="2031">
        <v>673.0</v>
      </c>
      <c r="H4205" s="2031">
        <v>673.0</v>
      </c>
    </row>
    <row r="4206">
      <c r="B4206" s="2031">
        <v>4204.0</v>
      </c>
      <c r="C4206" s="2031">
        <v>505.0</v>
      </c>
      <c r="D4206" s="2031">
        <v>1009.0</v>
      </c>
      <c r="E4206" s="2031">
        <v>672.0</v>
      </c>
      <c r="F4206" s="2031">
        <v>672.0</v>
      </c>
      <c r="G4206" s="2031">
        <v>673.0</v>
      </c>
      <c r="H4206" s="2031">
        <v>673.0</v>
      </c>
    </row>
    <row r="4207">
      <c r="B4207" s="2031">
        <v>4205.0</v>
      </c>
      <c r="C4207" s="2031">
        <v>504.0</v>
      </c>
      <c r="D4207" s="2031">
        <v>1009.0</v>
      </c>
      <c r="E4207" s="2031">
        <v>673.0</v>
      </c>
      <c r="F4207" s="2031">
        <v>673.0</v>
      </c>
      <c r="G4207" s="2031">
        <v>673.0</v>
      </c>
      <c r="H4207" s="2031">
        <v>673.0</v>
      </c>
    </row>
    <row r="4208">
      <c r="B4208" s="2031">
        <v>4206.0</v>
      </c>
      <c r="C4208" s="2031">
        <v>505.0</v>
      </c>
      <c r="D4208" s="2031">
        <v>1009.0</v>
      </c>
      <c r="E4208" s="2031">
        <v>673.0</v>
      </c>
      <c r="F4208" s="2031">
        <v>673.0</v>
      </c>
      <c r="G4208" s="2031">
        <v>673.0</v>
      </c>
      <c r="H4208" s="2031">
        <v>673.0</v>
      </c>
    </row>
    <row r="4209">
      <c r="B4209" s="2031">
        <v>4207.0</v>
      </c>
      <c r="C4209" s="2031">
        <v>505.0</v>
      </c>
      <c r="D4209" s="2031">
        <v>1010.0</v>
      </c>
      <c r="E4209" s="2031">
        <v>673.0</v>
      </c>
      <c r="F4209" s="2031">
        <v>673.0</v>
      </c>
      <c r="G4209" s="2031">
        <v>673.0</v>
      </c>
      <c r="H4209" s="2031">
        <v>673.0</v>
      </c>
    </row>
    <row r="4210">
      <c r="B4210" s="2031">
        <v>4208.0</v>
      </c>
      <c r="C4210" s="2031">
        <v>505.0</v>
      </c>
      <c r="D4210" s="2031">
        <v>1009.0</v>
      </c>
      <c r="E4210" s="2031">
        <v>673.0</v>
      </c>
      <c r="F4210" s="2031">
        <v>673.0</v>
      </c>
      <c r="G4210" s="2031">
        <v>674.0</v>
      </c>
      <c r="H4210" s="2031">
        <v>674.0</v>
      </c>
    </row>
    <row r="4211">
      <c r="B4211" s="2031">
        <v>4209.0</v>
      </c>
      <c r="C4211" s="2031">
        <v>505.0</v>
      </c>
      <c r="D4211" s="2031">
        <v>1010.0</v>
      </c>
      <c r="E4211" s="2031">
        <v>673.0</v>
      </c>
      <c r="F4211" s="2031">
        <v>673.0</v>
      </c>
      <c r="G4211" s="2031">
        <v>674.0</v>
      </c>
      <c r="H4211" s="2031">
        <v>674.0</v>
      </c>
    </row>
    <row r="4212">
      <c r="B4212" s="2031">
        <v>4210.0</v>
      </c>
      <c r="C4212" s="2031">
        <v>505.0</v>
      </c>
      <c r="D4212" s="2031">
        <v>1011.0</v>
      </c>
      <c r="E4212" s="2031">
        <v>673.0</v>
      </c>
      <c r="F4212" s="2031">
        <v>673.0</v>
      </c>
      <c r="G4212" s="2031">
        <v>674.0</v>
      </c>
      <c r="H4212" s="2031">
        <v>674.0</v>
      </c>
    </row>
    <row r="4213">
      <c r="B4213" s="2031">
        <v>4211.0</v>
      </c>
      <c r="C4213" s="2031">
        <v>505.0</v>
      </c>
      <c r="D4213" s="2031">
        <v>1010.0</v>
      </c>
      <c r="E4213" s="2031">
        <v>674.0</v>
      </c>
      <c r="F4213" s="2031">
        <v>674.0</v>
      </c>
      <c r="G4213" s="2031">
        <v>674.0</v>
      </c>
      <c r="H4213" s="2031">
        <v>674.0</v>
      </c>
    </row>
    <row r="4214">
      <c r="B4214" s="2031">
        <v>4212.0</v>
      </c>
      <c r="C4214" s="2031">
        <v>505.0</v>
      </c>
      <c r="D4214" s="2031">
        <v>1011.0</v>
      </c>
      <c r="E4214" s="2031">
        <v>674.0</v>
      </c>
      <c r="F4214" s="2031">
        <v>674.0</v>
      </c>
      <c r="G4214" s="2031">
        <v>674.0</v>
      </c>
      <c r="H4214" s="2031">
        <v>674.0</v>
      </c>
    </row>
    <row r="4215">
      <c r="B4215" s="2031">
        <v>4213.0</v>
      </c>
      <c r="C4215" s="2031">
        <v>506.0</v>
      </c>
      <c r="D4215" s="2031">
        <v>1011.0</v>
      </c>
      <c r="E4215" s="2031">
        <v>674.0</v>
      </c>
      <c r="F4215" s="2031">
        <v>674.0</v>
      </c>
      <c r="G4215" s="2031">
        <v>674.0</v>
      </c>
      <c r="H4215" s="2031">
        <v>674.0</v>
      </c>
    </row>
    <row r="4216">
      <c r="B4216" s="2031">
        <v>4214.0</v>
      </c>
      <c r="C4216" s="2031">
        <v>506.0</v>
      </c>
      <c r="D4216" s="2031">
        <v>1012.0</v>
      </c>
      <c r="E4216" s="2031">
        <v>674.0</v>
      </c>
      <c r="F4216" s="2031">
        <v>674.0</v>
      </c>
      <c r="G4216" s="2031">
        <v>674.0</v>
      </c>
      <c r="H4216" s="2031">
        <v>674.0</v>
      </c>
    </row>
    <row r="4217">
      <c r="B4217" s="2031">
        <v>4215.0</v>
      </c>
      <c r="C4217" s="2031">
        <v>506.0</v>
      </c>
      <c r="D4217" s="2031">
        <v>1011.0</v>
      </c>
      <c r="E4217" s="2031">
        <v>674.0</v>
      </c>
      <c r="F4217" s="2031">
        <v>674.0</v>
      </c>
      <c r="G4217" s="2031">
        <v>675.0</v>
      </c>
      <c r="H4217" s="2031">
        <v>675.0</v>
      </c>
    </row>
    <row r="4218">
      <c r="B4218" s="2031">
        <v>4216.0</v>
      </c>
      <c r="C4218" s="2031">
        <v>506.0</v>
      </c>
      <c r="D4218" s="2031">
        <v>1012.0</v>
      </c>
      <c r="E4218" s="2031">
        <v>674.0</v>
      </c>
      <c r="F4218" s="2031">
        <v>674.0</v>
      </c>
      <c r="G4218" s="2031">
        <v>675.0</v>
      </c>
      <c r="H4218" s="2031">
        <v>675.0</v>
      </c>
    </row>
    <row r="4219">
      <c r="B4219" s="2031">
        <v>4217.0</v>
      </c>
      <c r="C4219" s="2031">
        <v>506.0</v>
      </c>
      <c r="D4219" s="2031">
        <v>1013.0</v>
      </c>
      <c r="E4219" s="2031">
        <v>674.0</v>
      </c>
      <c r="F4219" s="2031">
        <v>674.0</v>
      </c>
      <c r="G4219" s="2031">
        <v>675.0</v>
      </c>
      <c r="H4219" s="2031">
        <v>675.0</v>
      </c>
    </row>
    <row r="4220">
      <c r="B4220" s="2031">
        <v>4218.0</v>
      </c>
      <c r="C4220" s="2031">
        <v>506.0</v>
      </c>
      <c r="D4220" s="2031">
        <v>1012.0</v>
      </c>
      <c r="E4220" s="2031">
        <v>675.0</v>
      </c>
      <c r="F4220" s="2031">
        <v>675.0</v>
      </c>
      <c r="G4220" s="2031">
        <v>675.0</v>
      </c>
      <c r="H4220" s="2031">
        <v>675.0</v>
      </c>
    </row>
    <row r="4221">
      <c r="B4221" s="2031">
        <v>4219.0</v>
      </c>
      <c r="C4221" s="2031">
        <v>506.0</v>
      </c>
      <c r="D4221" s="2031">
        <v>1013.0</v>
      </c>
      <c r="E4221" s="2031">
        <v>675.0</v>
      </c>
      <c r="F4221" s="2031">
        <v>675.0</v>
      </c>
      <c r="G4221" s="2031">
        <v>675.0</v>
      </c>
      <c r="H4221" s="2031">
        <v>675.0</v>
      </c>
    </row>
    <row r="4222">
      <c r="B4222" s="2031">
        <v>4220.0</v>
      </c>
      <c r="C4222" s="2031">
        <v>507.0</v>
      </c>
      <c r="D4222" s="2031">
        <v>1013.0</v>
      </c>
      <c r="E4222" s="2031">
        <v>675.0</v>
      </c>
      <c r="F4222" s="2031">
        <v>675.0</v>
      </c>
      <c r="G4222" s="2031">
        <v>675.0</v>
      </c>
      <c r="H4222" s="2031">
        <v>675.0</v>
      </c>
    </row>
    <row r="4223">
      <c r="B4223" s="2031">
        <v>4221.0</v>
      </c>
      <c r="C4223" s="2031">
        <v>506.0</v>
      </c>
      <c r="D4223" s="2031">
        <v>1013.0</v>
      </c>
      <c r="E4223" s="2031">
        <v>675.0</v>
      </c>
      <c r="F4223" s="2031">
        <v>675.0</v>
      </c>
      <c r="G4223" s="2031">
        <v>676.0</v>
      </c>
      <c r="H4223" s="2031">
        <v>676.0</v>
      </c>
    </row>
    <row r="4224">
      <c r="B4224" s="2031">
        <v>4222.0</v>
      </c>
      <c r="C4224" s="2031">
        <v>507.0</v>
      </c>
      <c r="D4224" s="2031">
        <v>1013.0</v>
      </c>
      <c r="E4224" s="2031">
        <v>675.0</v>
      </c>
      <c r="F4224" s="2031">
        <v>675.0</v>
      </c>
      <c r="G4224" s="2031">
        <v>676.0</v>
      </c>
      <c r="H4224" s="2031">
        <v>676.0</v>
      </c>
    </row>
    <row r="4225">
      <c r="B4225" s="2031">
        <v>4223.0</v>
      </c>
      <c r="C4225" s="2031">
        <v>506.0</v>
      </c>
      <c r="D4225" s="2031">
        <v>1013.0</v>
      </c>
      <c r="E4225" s="2031">
        <v>676.0</v>
      </c>
      <c r="F4225" s="2031">
        <v>676.0</v>
      </c>
      <c r="G4225" s="2031">
        <v>676.0</v>
      </c>
      <c r="H4225" s="2031">
        <v>676.0</v>
      </c>
    </row>
    <row r="4226">
      <c r="B4226" s="2031">
        <v>4224.0</v>
      </c>
      <c r="C4226" s="2031">
        <v>507.0</v>
      </c>
      <c r="D4226" s="2031">
        <v>1013.0</v>
      </c>
      <c r="E4226" s="2031">
        <v>676.0</v>
      </c>
      <c r="F4226" s="2031">
        <v>676.0</v>
      </c>
      <c r="G4226" s="2031">
        <v>676.0</v>
      </c>
      <c r="H4226" s="2031">
        <v>676.0</v>
      </c>
    </row>
    <row r="4227">
      <c r="B4227" s="2031">
        <v>4225.0</v>
      </c>
      <c r="C4227" s="2031">
        <v>507.0</v>
      </c>
      <c r="D4227" s="2031">
        <v>1014.0</v>
      </c>
      <c r="E4227" s="2031">
        <v>676.0</v>
      </c>
      <c r="F4227" s="2031">
        <v>676.0</v>
      </c>
      <c r="G4227" s="2031">
        <v>676.0</v>
      </c>
      <c r="H4227" s="2031">
        <v>676.0</v>
      </c>
    </row>
    <row r="4228">
      <c r="B4228" s="2031">
        <v>4226.0</v>
      </c>
      <c r="C4228" s="2031">
        <v>507.0</v>
      </c>
      <c r="D4228" s="2031">
        <v>1015.0</v>
      </c>
      <c r="E4228" s="2031">
        <v>676.0</v>
      </c>
      <c r="F4228" s="2031">
        <v>676.0</v>
      </c>
      <c r="G4228" s="2031">
        <v>676.0</v>
      </c>
      <c r="H4228" s="2031">
        <v>676.0</v>
      </c>
    </row>
    <row r="4229">
      <c r="B4229" s="2031">
        <v>4227.0</v>
      </c>
      <c r="C4229" s="2031">
        <v>508.0</v>
      </c>
      <c r="D4229" s="2031">
        <v>1015.0</v>
      </c>
      <c r="E4229" s="2031">
        <v>676.0</v>
      </c>
      <c r="F4229" s="2031">
        <v>676.0</v>
      </c>
      <c r="G4229" s="2031">
        <v>676.0</v>
      </c>
      <c r="H4229" s="2031">
        <v>676.0</v>
      </c>
    </row>
    <row r="4230">
      <c r="B4230" s="2031">
        <v>4228.0</v>
      </c>
      <c r="C4230" s="2031">
        <v>507.0</v>
      </c>
      <c r="D4230" s="2031">
        <v>1015.0</v>
      </c>
      <c r="E4230" s="2031">
        <v>676.0</v>
      </c>
      <c r="F4230" s="2031">
        <v>676.0</v>
      </c>
      <c r="G4230" s="2031">
        <v>677.0</v>
      </c>
      <c r="H4230" s="2031">
        <v>677.0</v>
      </c>
    </row>
    <row r="4231">
      <c r="B4231" s="2031">
        <v>4229.0</v>
      </c>
      <c r="C4231" s="2031">
        <v>508.0</v>
      </c>
      <c r="D4231" s="2031">
        <v>1015.0</v>
      </c>
      <c r="E4231" s="2031">
        <v>676.0</v>
      </c>
      <c r="F4231" s="2031">
        <v>676.0</v>
      </c>
      <c r="G4231" s="2031">
        <v>677.0</v>
      </c>
      <c r="H4231" s="2031">
        <v>677.0</v>
      </c>
    </row>
    <row r="4232">
      <c r="B4232" s="2031">
        <v>4230.0</v>
      </c>
      <c r="C4232" s="2031">
        <v>507.0</v>
      </c>
      <c r="D4232" s="2031">
        <v>1015.0</v>
      </c>
      <c r="E4232" s="2031">
        <v>677.0</v>
      </c>
      <c r="F4232" s="2031">
        <v>677.0</v>
      </c>
      <c r="G4232" s="2031">
        <v>677.0</v>
      </c>
      <c r="H4232" s="2031">
        <v>677.0</v>
      </c>
    </row>
    <row r="4233">
      <c r="B4233" s="2031">
        <v>4231.0</v>
      </c>
      <c r="C4233" s="2031">
        <v>508.0</v>
      </c>
      <c r="D4233" s="2031">
        <v>1015.0</v>
      </c>
      <c r="E4233" s="2031">
        <v>677.0</v>
      </c>
      <c r="F4233" s="2031">
        <v>677.0</v>
      </c>
      <c r="G4233" s="2031">
        <v>677.0</v>
      </c>
      <c r="H4233" s="2031">
        <v>677.0</v>
      </c>
    </row>
    <row r="4234">
      <c r="B4234" s="2031">
        <v>4232.0</v>
      </c>
      <c r="C4234" s="2031">
        <v>508.0</v>
      </c>
      <c r="D4234" s="2031">
        <v>1016.0</v>
      </c>
      <c r="E4234" s="2031">
        <v>677.0</v>
      </c>
      <c r="F4234" s="2031">
        <v>677.0</v>
      </c>
      <c r="G4234" s="2031">
        <v>677.0</v>
      </c>
      <c r="H4234" s="2031">
        <v>677.0</v>
      </c>
    </row>
    <row r="4235">
      <c r="B4235" s="2031">
        <v>4233.0</v>
      </c>
      <c r="C4235" s="2031">
        <v>508.0</v>
      </c>
      <c r="D4235" s="2031">
        <v>1015.0</v>
      </c>
      <c r="E4235" s="2031">
        <v>677.0</v>
      </c>
      <c r="F4235" s="2031">
        <v>677.0</v>
      </c>
      <c r="G4235" s="2031">
        <v>678.0</v>
      </c>
      <c r="H4235" s="2031">
        <v>678.0</v>
      </c>
    </row>
    <row r="4236">
      <c r="B4236" s="2031">
        <v>4234.0</v>
      </c>
      <c r="C4236" s="2031">
        <v>508.0</v>
      </c>
      <c r="D4236" s="2031">
        <v>1016.0</v>
      </c>
      <c r="E4236" s="2031">
        <v>677.0</v>
      </c>
      <c r="F4236" s="2031">
        <v>677.0</v>
      </c>
      <c r="G4236" s="2031">
        <v>678.0</v>
      </c>
      <c r="H4236" s="2031">
        <v>678.0</v>
      </c>
    </row>
    <row r="4237">
      <c r="B4237" s="2031">
        <v>4235.0</v>
      </c>
      <c r="C4237" s="2031">
        <v>508.0</v>
      </c>
      <c r="D4237" s="2031">
        <v>1017.0</v>
      </c>
      <c r="E4237" s="2031">
        <v>677.0</v>
      </c>
      <c r="F4237" s="2031">
        <v>677.0</v>
      </c>
      <c r="G4237" s="2031">
        <v>678.0</v>
      </c>
      <c r="H4237" s="2031">
        <v>678.0</v>
      </c>
    </row>
    <row r="4238">
      <c r="B4238" s="2031">
        <v>4236.0</v>
      </c>
      <c r="C4238" s="2031">
        <v>508.0</v>
      </c>
      <c r="D4238" s="2031">
        <v>1016.0</v>
      </c>
      <c r="E4238" s="2031">
        <v>678.0</v>
      </c>
      <c r="F4238" s="2031">
        <v>678.0</v>
      </c>
      <c r="G4238" s="2031">
        <v>678.0</v>
      </c>
      <c r="H4238" s="2031">
        <v>678.0</v>
      </c>
    </row>
    <row r="4239">
      <c r="B4239" s="2031">
        <v>4237.0</v>
      </c>
      <c r="C4239" s="2031">
        <v>508.0</v>
      </c>
      <c r="D4239" s="2031">
        <v>1017.0</v>
      </c>
      <c r="E4239" s="2031">
        <v>678.0</v>
      </c>
      <c r="F4239" s="2031">
        <v>678.0</v>
      </c>
      <c r="G4239" s="2031">
        <v>678.0</v>
      </c>
      <c r="H4239" s="2031">
        <v>678.0</v>
      </c>
    </row>
    <row r="4240">
      <c r="B4240" s="2031">
        <v>4238.0</v>
      </c>
      <c r="C4240" s="2031">
        <v>509.0</v>
      </c>
      <c r="D4240" s="2031">
        <v>1017.0</v>
      </c>
      <c r="E4240" s="2031">
        <v>678.0</v>
      </c>
      <c r="F4240" s="2031">
        <v>678.0</v>
      </c>
      <c r="G4240" s="2031">
        <v>678.0</v>
      </c>
      <c r="H4240" s="2031">
        <v>678.0</v>
      </c>
    </row>
    <row r="4241">
      <c r="B4241" s="2031">
        <v>4239.0</v>
      </c>
      <c r="C4241" s="2031">
        <v>509.0</v>
      </c>
      <c r="D4241" s="2031">
        <v>1018.0</v>
      </c>
      <c r="E4241" s="2031">
        <v>678.0</v>
      </c>
      <c r="F4241" s="2031">
        <v>678.0</v>
      </c>
      <c r="G4241" s="2031">
        <v>678.0</v>
      </c>
      <c r="H4241" s="2031">
        <v>678.0</v>
      </c>
    </row>
    <row r="4242">
      <c r="B4242" s="2031">
        <v>4240.0</v>
      </c>
      <c r="C4242" s="2031">
        <v>509.0</v>
      </c>
      <c r="D4242" s="2031">
        <v>1017.0</v>
      </c>
      <c r="E4242" s="2031">
        <v>678.0</v>
      </c>
      <c r="F4242" s="2031">
        <v>678.0</v>
      </c>
      <c r="G4242" s="2031">
        <v>679.0</v>
      </c>
      <c r="H4242" s="2031">
        <v>679.0</v>
      </c>
    </row>
    <row r="4243">
      <c r="B4243" s="2031">
        <v>4241.0</v>
      </c>
      <c r="C4243" s="2031">
        <v>509.0</v>
      </c>
      <c r="D4243" s="2031">
        <v>1018.0</v>
      </c>
      <c r="E4243" s="2031">
        <v>678.0</v>
      </c>
      <c r="F4243" s="2031">
        <v>678.0</v>
      </c>
      <c r="G4243" s="2031">
        <v>679.0</v>
      </c>
      <c r="H4243" s="2031">
        <v>679.0</v>
      </c>
    </row>
    <row r="4244">
      <c r="B4244" s="2031">
        <v>4242.0</v>
      </c>
      <c r="C4244" s="2031">
        <v>509.0</v>
      </c>
      <c r="D4244" s="2031">
        <v>1019.0</v>
      </c>
      <c r="E4244" s="2031">
        <v>678.0</v>
      </c>
      <c r="F4244" s="2031">
        <v>678.0</v>
      </c>
      <c r="G4244" s="2031">
        <v>679.0</v>
      </c>
      <c r="H4244" s="2031">
        <v>679.0</v>
      </c>
    </row>
    <row r="4245">
      <c r="B4245" s="2031">
        <v>4243.0</v>
      </c>
      <c r="C4245" s="2031">
        <v>509.0</v>
      </c>
      <c r="D4245" s="2031">
        <v>1018.0</v>
      </c>
      <c r="E4245" s="2031">
        <v>679.0</v>
      </c>
      <c r="F4245" s="2031">
        <v>679.0</v>
      </c>
      <c r="G4245" s="2031">
        <v>679.0</v>
      </c>
      <c r="H4245" s="2031">
        <v>679.0</v>
      </c>
    </row>
    <row r="4246">
      <c r="B4246" s="2031">
        <v>4244.0</v>
      </c>
      <c r="C4246" s="2031">
        <v>509.0</v>
      </c>
      <c r="D4246" s="2031">
        <v>1019.0</v>
      </c>
      <c r="E4246" s="2031">
        <v>679.0</v>
      </c>
      <c r="F4246" s="2031">
        <v>679.0</v>
      </c>
      <c r="G4246" s="2031">
        <v>679.0</v>
      </c>
      <c r="H4246" s="2031">
        <v>679.0</v>
      </c>
    </row>
    <row r="4247">
      <c r="B4247" s="2031">
        <v>4245.0</v>
      </c>
      <c r="C4247" s="2031">
        <v>510.0</v>
      </c>
      <c r="D4247" s="2031">
        <v>1019.0</v>
      </c>
      <c r="E4247" s="2031">
        <v>679.0</v>
      </c>
      <c r="F4247" s="2031">
        <v>679.0</v>
      </c>
      <c r="G4247" s="2031">
        <v>679.0</v>
      </c>
      <c r="H4247" s="2031">
        <v>679.0</v>
      </c>
    </row>
    <row r="4248">
      <c r="B4248" s="2031">
        <v>4246.0</v>
      </c>
      <c r="C4248" s="2031">
        <v>509.0</v>
      </c>
      <c r="D4248" s="2031">
        <v>1019.0</v>
      </c>
      <c r="E4248" s="2031">
        <v>679.0</v>
      </c>
      <c r="F4248" s="2031">
        <v>679.0</v>
      </c>
      <c r="G4248" s="2031">
        <v>680.0</v>
      </c>
      <c r="H4248" s="2031">
        <v>680.0</v>
      </c>
    </row>
    <row r="4249">
      <c r="B4249" s="2031">
        <v>4247.0</v>
      </c>
      <c r="C4249" s="2031">
        <v>510.0</v>
      </c>
      <c r="D4249" s="2031">
        <v>1019.0</v>
      </c>
      <c r="E4249" s="2031">
        <v>679.0</v>
      </c>
      <c r="F4249" s="2031">
        <v>679.0</v>
      </c>
      <c r="G4249" s="2031">
        <v>680.0</v>
      </c>
      <c r="H4249" s="2031">
        <v>680.0</v>
      </c>
    </row>
    <row r="4250">
      <c r="B4250" s="2031">
        <v>4248.0</v>
      </c>
      <c r="C4250" s="2031">
        <v>509.0</v>
      </c>
      <c r="D4250" s="2031">
        <v>1019.0</v>
      </c>
      <c r="E4250" s="2031">
        <v>680.0</v>
      </c>
      <c r="F4250" s="2031">
        <v>680.0</v>
      </c>
      <c r="G4250" s="2031">
        <v>680.0</v>
      </c>
      <c r="H4250" s="2031">
        <v>680.0</v>
      </c>
    </row>
    <row r="4251">
      <c r="B4251" s="2031">
        <v>4249.0</v>
      </c>
      <c r="C4251" s="2031">
        <v>510.0</v>
      </c>
      <c r="D4251" s="2031">
        <v>1019.0</v>
      </c>
      <c r="E4251" s="2031">
        <v>680.0</v>
      </c>
      <c r="F4251" s="2031">
        <v>680.0</v>
      </c>
      <c r="G4251" s="2031">
        <v>680.0</v>
      </c>
      <c r="H4251" s="2031">
        <v>680.0</v>
      </c>
    </row>
    <row r="4252">
      <c r="B4252" s="2031">
        <v>4250.0</v>
      </c>
      <c r="C4252" s="2031">
        <v>510.0</v>
      </c>
      <c r="D4252" s="2031">
        <v>1020.0</v>
      </c>
      <c r="E4252" s="2031">
        <v>680.0</v>
      </c>
      <c r="F4252" s="2031">
        <v>680.0</v>
      </c>
      <c r="G4252" s="2031">
        <v>680.0</v>
      </c>
      <c r="H4252" s="2031">
        <v>680.0</v>
      </c>
    </row>
    <row r="4253">
      <c r="B4253" s="2031">
        <v>4251.0</v>
      </c>
      <c r="C4253" s="2031">
        <v>510.0</v>
      </c>
      <c r="D4253" s="2031">
        <v>1021.0</v>
      </c>
      <c r="E4253" s="2031">
        <v>680.0</v>
      </c>
      <c r="F4253" s="2031">
        <v>680.0</v>
      </c>
      <c r="G4253" s="2031">
        <v>680.0</v>
      </c>
      <c r="H4253" s="2031">
        <v>680.0</v>
      </c>
    </row>
    <row r="4254">
      <c r="B4254" s="2031">
        <v>4252.0</v>
      </c>
      <c r="C4254" s="2031">
        <v>511.0</v>
      </c>
      <c r="D4254" s="2031">
        <v>1021.0</v>
      </c>
      <c r="E4254" s="2031">
        <v>680.0</v>
      </c>
      <c r="F4254" s="2031">
        <v>680.0</v>
      </c>
      <c r="G4254" s="2031">
        <v>680.0</v>
      </c>
      <c r="H4254" s="2031">
        <v>680.0</v>
      </c>
    </row>
    <row r="4255">
      <c r="B4255" s="2031">
        <v>4253.0</v>
      </c>
      <c r="C4255" s="2031">
        <v>510.0</v>
      </c>
      <c r="D4255" s="2031">
        <v>1021.0</v>
      </c>
      <c r="E4255" s="2031">
        <v>680.0</v>
      </c>
      <c r="F4255" s="2031">
        <v>680.0</v>
      </c>
      <c r="G4255" s="2031">
        <v>681.0</v>
      </c>
      <c r="H4255" s="2031">
        <v>681.0</v>
      </c>
    </row>
    <row r="4256">
      <c r="B4256" s="2031">
        <v>4254.0</v>
      </c>
      <c r="C4256" s="2031">
        <v>511.0</v>
      </c>
      <c r="D4256" s="2031">
        <v>1021.0</v>
      </c>
      <c r="E4256" s="2031">
        <v>680.0</v>
      </c>
      <c r="F4256" s="2031">
        <v>680.0</v>
      </c>
      <c r="G4256" s="2031">
        <v>681.0</v>
      </c>
      <c r="H4256" s="2031">
        <v>681.0</v>
      </c>
    </row>
    <row r="4257">
      <c r="B4257" s="2031">
        <v>4255.0</v>
      </c>
      <c r="C4257" s="2031">
        <v>510.0</v>
      </c>
      <c r="D4257" s="2031">
        <v>1021.0</v>
      </c>
      <c r="E4257" s="2031">
        <v>681.0</v>
      </c>
      <c r="F4257" s="2031">
        <v>681.0</v>
      </c>
      <c r="G4257" s="2031">
        <v>681.0</v>
      </c>
      <c r="H4257" s="2031">
        <v>681.0</v>
      </c>
    </row>
    <row r="4258">
      <c r="B4258" s="2031">
        <v>4256.0</v>
      </c>
      <c r="C4258" s="2031">
        <v>511.0</v>
      </c>
      <c r="D4258" s="2031">
        <v>1021.0</v>
      </c>
      <c r="E4258" s="2031">
        <v>681.0</v>
      </c>
      <c r="F4258" s="2031">
        <v>681.0</v>
      </c>
      <c r="G4258" s="2031">
        <v>681.0</v>
      </c>
      <c r="H4258" s="2031">
        <v>681.0</v>
      </c>
    </row>
    <row r="4259">
      <c r="B4259" s="2031">
        <v>4257.0</v>
      </c>
      <c r="C4259" s="2031">
        <v>511.0</v>
      </c>
      <c r="D4259" s="2031">
        <v>1022.0</v>
      </c>
      <c r="E4259" s="2031">
        <v>681.0</v>
      </c>
      <c r="F4259" s="2031">
        <v>681.0</v>
      </c>
      <c r="G4259" s="2031">
        <v>681.0</v>
      </c>
      <c r="H4259" s="2031">
        <v>681.0</v>
      </c>
    </row>
    <row r="4260">
      <c r="B4260" s="2031">
        <v>4258.0</v>
      </c>
      <c r="C4260" s="2031">
        <v>511.0</v>
      </c>
      <c r="D4260" s="2031">
        <v>1021.0</v>
      </c>
      <c r="E4260" s="2031">
        <v>681.0</v>
      </c>
      <c r="F4260" s="2031">
        <v>681.0</v>
      </c>
      <c r="G4260" s="2031">
        <v>682.0</v>
      </c>
      <c r="H4260" s="2031">
        <v>682.0</v>
      </c>
    </row>
    <row r="4261">
      <c r="B4261" s="2031">
        <v>4259.0</v>
      </c>
      <c r="C4261" s="2031">
        <v>511.0</v>
      </c>
      <c r="D4261" s="2031">
        <v>1022.0</v>
      </c>
      <c r="E4261" s="2031">
        <v>681.0</v>
      </c>
      <c r="F4261" s="2031">
        <v>681.0</v>
      </c>
      <c r="G4261" s="2031">
        <v>682.0</v>
      </c>
      <c r="H4261" s="2031">
        <v>682.0</v>
      </c>
    </row>
    <row r="4262">
      <c r="B4262" s="2031">
        <v>4260.0</v>
      </c>
      <c r="C4262" s="2031">
        <v>511.0</v>
      </c>
      <c r="D4262" s="2031">
        <v>1023.0</v>
      </c>
      <c r="E4262" s="2031">
        <v>681.0</v>
      </c>
      <c r="F4262" s="2031">
        <v>681.0</v>
      </c>
      <c r="G4262" s="2031">
        <v>682.0</v>
      </c>
      <c r="H4262" s="2031">
        <v>682.0</v>
      </c>
    </row>
    <row r="4263">
      <c r="B4263" s="2031">
        <v>4261.0</v>
      </c>
      <c r="C4263" s="2031">
        <v>511.0</v>
      </c>
      <c r="D4263" s="2031">
        <v>1022.0</v>
      </c>
      <c r="E4263" s="2031">
        <v>682.0</v>
      </c>
      <c r="F4263" s="2031">
        <v>682.0</v>
      </c>
      <c r="G4263" s="2031">
        <v>682.0</v>
      </c>
      <c r="H4263" s="2031">
        <v>682.0</v>
      </c>
    </row>
    <row r="4264">
      <c r="B4264" s="2031">
        <v>4262.0</v>
      </c>
      <c r="C4264" s="2031">
        <v>511.0</v>
      </c>
      <c r="D4264" s="2031">
        <v>1023.0</v>
      </c>
      <c r="E4264" s="2031">
        <v>682.0</v>
      </c>
      <c r="F4264" s="2031">
        <v>682.0</v>
      </c>
      <c r="G4264" s="2031">
        <v>682.0</v>
      </c>
      <c r="H4264" s="2031">
        <v>682.0</v>
      </c>
    </row>
    <row r="4265">
      <c r="B4265" s="2031">
        <v>4263.0</v>
      </c>
      <c r="C4265" s="2031">
        <v>512.0</v>
      </c>
      <c r="D4265" s="2031">
        <v>1023.0</v>
      </c>
      <c r="E4265" s="2031">
        <v>682.0</v>
      </c>
      <c r="F4265" s="2031">
        <v>682.0</v>
      </c>
      <c r="G4265" s="2031">
        <v>682.0</v>
      </c>
      <c r="H4265" s="2031">
        <v>682.0</v>
      </c>
    </row>
    <row r="4266">
      <c r="B4266" s="2031">
        <v>4264.0</v>
      </c>
      <c r="C4266" s="2031">
        <v>512.0</v>
      </c>
      <c r="D4266" s="2031">
        <v>1024.0</v>
      </c>
      <c r="E4266" s="2031">
        <v>682.0</v>
      </c>
      <c r="F4266" s="2031">
        <v>682.0</v>
      </c>
      <c r="G4266" s="2031">
        <v>682.0</v>
      </c>
      <c r="H4266" s="2031">
        <v>682.0</v>
      </c>
    </row>
    <row r="4267">
      <c r="B4267" s="2031">
        <v>4265.0</v>
      </c>
      <c r="C4267" s="2031">
        <v>512.0</v>
      </c>
      <c r="D4267" s="2031">
        <v>1023.0</v>
      </c>
      <c r="E4267" s="2031">
        <v>682.0</v>
      </c>
      <c r="F4267" s="2031">
        <v>682.0</v>
      </c>
      <c r="G4267" s="2031">
        <v>683.0</v>
      </c>
      <c r="H4267" s="2031">
        <v>683.0</v>
      </c>
    </row>
    <row r="4268">
      <c r="B4268" s="2031">
        <v>4266.0</v>
      </c>
      <c r="C4268" s="2031">
        <v>512.0</v>
      </c>
      <c r="D4268" s="2031">
        <v>1024.0</v>
      </c>
      <c r="E4268" s="2031">
        <v>682.0</v>
      </c>
      <c r="F4268" s="2031">
        <v>682.0</v>
      </c>
      <c r="G4268" s="2031">
        <v>683.0</v>
      </c>
      <c r="H4268" s="2031">
        <v>683.0</v>
      </c>
    </row>
    <row r="4269">
      <c r="B4269" s="2031">
        <v>4267.0</v>
      </c>
      <c r="C4269" s="2031">
        <v>512.0</v>
      </c>
      <c r="D4269" s="2031">
        <v>1025.0</v>
      </c>
      <c r="E4269" s="2031">
        <v>682.0</v>
      </c>
      <c r="F4269" s="2031">
        <v>682.0</v>
      </c>
      <c r="G4269" s="2031">
        <v>683.0</v>
      </c>
      <c r="H4269" s="2031">
        <v>683.0</v>
      </c>
    </row>
    <row r="4270">
      <c r="B4270" s="2031">
        <v>4268.0</v>
      </c>
      <c r="C4270" s="2031">
        <v>512.0</v>
      </c>
      <c r="D4270" s="2031">
        <v>1024.0</v>
      </c>
      <c r="E4270" s="2031">
        <v>683.0</v>
      </c>
      <c r="F4270" s="2031">
        <v>683.0</v>
      </c>
      <c r="G4270" s="2031">
        <v>683.0</v>
      </c>
      <c r="H4270" s="2031">
        <v>683.0</v>
      </c>
    </row>
    <row r="4271">
      <c r="B4271" s="2031">
        <v>4269.0</v>
      </c>
      <c r="C4271" s="2031">
        <v>512.0</v>
      </c>
      <c r="D4271" s="2031">
        <v>1025.0</v>
      </c>
      <c r="E4271" s="2031">
        <v>683.0</v>
      </c>
      <c r="F4271" s="2031">
        <v>683.0</v>
      </c>
      <c r="G4271" s="2031">
        <v>683.0</v>
      </c>
      <c r="H4271" s="2031">
        <v>683.0</v>
      </c>
    </row>
    <row r="4272">
      <c r="B4272" s="2031">
        <v>4270.0</v>
      </c>
      <c r="C4272" s="2031">
        <v>513.0</v>
      </c>
      <c r="D4272" s="2031">
        <v>1025.0</v>
      </c>
      <c r="E4272" s="2031">
        <v>683.0</v>
      </c>
      <c r="F4272" s="2031">
        <v>683.0</v>
      </c>
      <c r="G4272" s="2031">
        <v>683.0</v>
      </c>
      <c r="H4272" s="2031">
        <v>683.0</v>
      </c>
    </row>
    <row r="4273">
      <c r="B4273" s="2031">
        <v>4271.0</v>
      </c>
      <c r="C4273" s="2031">
        <v>512.0</v>
      </c>
      <c r="D4273" s="2031">
        <v>1025.0</v>
      </c>
      <c r="E4273" s="2031">
        <v>683.0</v>
      </c>
      <c r="F4273" s="2031">
        <v>683.0</v>
      </c>
      <c r="G4273" s="2031">
        <v>684.0</v>
      </c>
      <c r="H4273" s="2031">
        <v>684.0</v>
      </c>
    </row>
    <row r="4274">
      <c r="B4274" s="2031">
        <v>4272.0</v>
      </c>
      <c r="C4274" s="2031">
        <v>513.0</v>
      </c>
      <c r="D4274" s="2031">
        <v>1025.0</v>
      </c>
      <c r="E4274" s="2031">
        <v>683.0</v>
      </c>
      <c r="F4274" s="2031">
        <v>683.0</v>
      </c>
      <c r="G4274" s="2031">
        <v>684.0</v>
      </c>
      <c r="H4274" s="2031">
        <v>684.0</v>
      </c>
    </row>
    <row r="4275">
      <c r="B4275" s="2031">
        <v>4273.0</v>
      </c>
      <c r="C4275" s="2031">
        <v>512.0</v>
      </c>
      <c r="D4275" s="2031">
        <v>1025.0</v>
      </c>
      <c r="E4275" s="2031">
        <v>684.0</v>
      </c>
      <c r="F4275" s="2031">
        <v>684.0</v>
      </c>
      <c r="G4275" s="2031">
        <v>684.0</v>
      </c>
      <c r="H4275" s="2031">
        <v>684.0</v>
      </c>
    </row>
    <row r="4276">
      <c r="B4276" s="2031">
        <v>4274.0</v>
      </c>
      <c r="C4276" s="2031">
        <v>513.0</v>
      </c>
      <c r="D4276" s="2031">
        <v>1025.0</v>
      </c>
      <c r="E4276" s="2031">
        <v>684.0</v>
      </c>
      <c r="F4276" s="2031">
        <v>684.0</v>
      </c>
      <c r="G4276" s="2031">
        <v>684.0</v>
      </c>
      <c r="H4276" s="2031">
        <v>684.0</v>
      </c>
    </row>
    <row r="4277">
      <c r="B4277" s="2031">
        <v>4275.0</v>
      </c>
      <c r="C4277" s="2031">
        <v>513.0</v>
      </c>
      <c r="D4277" s="2031">
        <v>1026.0</v>
      </c>
      <c r="E4277" s="2031">
        <v>684.0</v>
      </c>
      <c r="F4277" s="2031">
        <v>684.0</v>
      </c>
      <c r="G4277" s="2031">
        <v>684.0</v>
      </c>
      <c r="H4277" s="2031">
        <v>684.0</v>
      </c>
    </row>
    <row r="4278">
      <c r="B4278" s="2031">
        <v>4276.0</v>
      </c>
      <c r="C4278" s="2031">
        <v>513.0</v>
      </c>
      <c r="D4278" s="2031">
        <v>1027.0</v>
      </c>
      <c r="E4278" s="2031">
        <v>684.0</v>
      </c>
      <c r="F4278" s="2031">
        <v>684.0</v>
      </c>
      <c r="G4278" s="2031">
        <v>684.0</v>
      </c>
      <c r="H4278" s="2031">
        <v>684.0</v>
      </c>
    </row>
    <row r="4279">
      <c r="B4279" s="2031">
        <v>4277.0</v>
      </c>
      <c r="C4279" s="2031">
        <v>514.0</v>
      </c>
      <c r="D4279" s="2031">
        <v>1027.0</v>
      </c>
      <c r="E4279" s="2031">
        <v>684.0</v>
      </c>
      <c r="F4279" s="2031">
        <v>684.0</v>
      </c>
      <c r="G4279" s="2031">
        <v>684.0</v>
      </c>
      <c r="H4279" s="2031">
        <v>684.0</v>
      </c>
    </row>
    <row r="4280">
      <c r="B4280" s="2031">
        <v>4278.0</v>
      </c>
      <c r="C4280" s="2031">
        <v>513.0</v>
      </c>
      <c r="D4280" s="2031">
        <v>1027.0</v>
      </c>
      <c r="E4280" s="2031">
        <v>684.0</v>
      </c>
      <c r="F4280" s="2031">
        <v>684.0</v>
      </c>
      <c r="G4280" s="2031">
        <v>685.0</v>
      </c>
      <c r="H4280" s="2031">
        <v>685.0</v>
      </c>
    </row>
    <row r="4281">
      <c r="B4281" s="2031">
        <v>4279.0</v>
      </c>
      <c r="C4281" s="2031">
        <v>514.0</v>
      </c>
      <c r="D4281" s="2031">
        <v>1027.0</v>
      </c>
      <c r="E4281" s="2031">
        <v>684.0</v>
      </c>
      <c r="F4281" s="2031">
        <v>684.0</v>
      </c>
      <c r="G4281" s="2031">
        <v>685.0</v>
      </c>
      <c r="H4281" s="2031">
        <v>685.0</v>
      </c>
    </row>
    <row r="4282">
      <c r="B4282" s="2031">
        <v>4280.0</v>
      </c>
      <c r="C4282" s="2031">
        <v>513.0</v>
      </c>
      <c r="D4282" s="2031">
        <v>1027.0</v>
      </c>
      <c r="E4282" s="2031">
        <v>685.0</v>
      </c>
      <c r="F4282" s="2031">
        <v>685.0</v>
      </c>
      <c r="G4282" s="2031">
        <v>685.0</v>
      </c>
      <c r="H4282" s="2031">
        <v>685.0</v>
      </c>
    </row>
    <row r="4283">
      <c r="B4283" s="2031">
        <v>4281.0</v>
      </c>
      <c r="C4283" s="2031">
        <v>514.0</v>
      </c>
      <c r="D4283" s="2031">
        <v>1027.0</v>
      </c>
      <c r="E4283" s="2031">
        <v>685.0</v>
      </c>
      <c r="F4283" s="2031">
        <v>685.0</v>
      </c>
      <c r="G4283" s="2031">
        <v>685.0</v>
      </c>
      <c r="H4283" s="2031">
        <v>685.0</v>
      </c>
    </row>
    <row r="4284">
      <c r="B4284" s="2031">
        <v>4282.0</v>
      </c>
      <c r="C4284" s="2031">
        <v>514.0</v>
      </c>
      <c r="D4284" s="2031">
        <v>1028.0</v>
      </c>
      <c r="E4284" s="2031">
        <v>685.0</v>
      </c>
      <c r="F4284" s="2031">
        <v>685.0</v>
      </c>
      <c r="G4284" s="2031">
        <v>685.0</v>
      </c>
      <c r="H4284" s="2031">
        <v>685.0</v>
      </c>
    </row>
    <row r="4285">
      <c r="B4285" s="2031">
        <v>4283.0</v>
      </c>
      <c r="C4285" s="2031">
        <v>514.0</v>
      </c>
      <c r="D4285" s="2031">
        <v>1027.0</v>
      </c>
      <c r="E4285" s="2031">
        <v>685.0</v>
      </c>
      <c r="F4285" s="2031">
        <v>685.0</v>
      </c>
      <c r="G4285" s="2031">
        <v>686.0</v>
      </c>
      <c r="H4285" s="2031">
        <v>686.0</v>
      </c>
    </row>
    <row r="4286">
      <c r="B4286" s="2031">
        <v>4284.0</v>
      </c>
      <c r="C4286" s="2031">
        <v>514.0</v>
      </c>
      <c r="D4286" s="2031">
        <v>1028.0</v>
      </c>
      <c r="E4286" s="2031">
        <v>685.0</v>
      </c>
      <c r="F4286" s="2031">
        <v>685.0</v>
      </c>
      <c r="G4286" s="2031">
        <v>686.0</v>
      </c>
      <c r="H4286" s="2031">
        <v>686.0</v>
      </c>
    </row>
    <row r="4287">
      <c r="B4287" s="2031">
        <v>4285.0</v>
      </c>
      <c r="C4287" s="2031">
        <v>514.0</v>
      </c>
      <c r="D4287" s="2031">
        <v>1029.0</v>
      </c>
      <c r="E4287" s="2031">
        <v>685.0</v>
      </c>
      <c r="F4287" s="2031">
        <v>685.0</v>
      </c>
      <c r="G4287" s="2031">
        <v>686.0</v>
      </c>
      <c r="H4287" s="2031">
        <v>686.0</v>
      </c>
    </row>
    <row r="4288">
      <c r="B4288" s="2031">
        <v>4286.0</v>
      </c>
      <c r="C4288" s="2031">
        <v>514.0</v>
      </c>
      <c r="D4288" s="2031">
        <v>1028.0</v>
      </c>
      <c r="E4288" s="2031">
        <v>686.0</v>
      </c>
      <c r="F4288" s="2031">
        <v>686.0</v>
      </c>
      <c r="G4288" s="2031">
        <v>686.0</v>
      </c>
      <c r="H4288" s="2031">
        <v>686.0</v>
      </c>
    </row>
    <row r="4289">
      <c r="B4289" s="2031">
        <v>4287.0</v>
      </c>
      <c r="C4289" s="2031">
        <v>514.0</v>
      </c>
      <c r="D4289" s="2031">
        <v>1029.0</v>
      </c>
      <c r="E4289" s="2031">
        <v>686.0</v>
      </c>
      <c r="F4289" s="2031">
        <v>686.0</v>
      </c>
      <c r="G4289" s="2031">
        <v>686.0</v>
      </c>
      <c r="H4289" s="2031">
        <v>686.0</v>
      </c>
    </row>
    <row r="4290">
      <c r="B4290" s="2031">
        <v>4288.0</v>
      </c>
      <c r="C4290" s="2031">
        <v>515.0</v>
      </c>
      <c r="D4290" s="2031">
        <v>1029.0</v>
      </c>
      <c r="E4290" s="2031">
        <v>686.0</v>
      </c>
      <c r="F4290" s="2031">
        <v>686.0</v>
      </c>
      <c r="G4290" s="2031">
        <v>686.0</v>
      </c>
      <c r="H4290" s="2031">
        <v>686.0</v>
      </c>
    </row>
    <row r="4291">
      <c r="B4291" s="2031">
        <v>4289.0</v>
      </c>
      <c r="C4291" s="2031">
        <v>515.0</v>
      </c>
      <c r="D4291" s="2031">
        <v>1030.0</v>
      </c>
      <c r="E4291" s="2031">
        <v>686.0</v>
      </c>
      <c r="F4291" s="2031">
        <v>686.0</v>
      </c>
      <c r="G4291" s="2031">
        <v>686.0</v>
      </c>
      <c r="H4291" s="2031">
        <v>686.0</v>
      </c>
    </row>
    <row r="4292">
      <c r="B4292" s="2031">
        <v>4290.0</v>
      </c>
      <c r="C4292" s="2031">
        <v>515.0</v>
      </c>
      <c r="D4292" s="2031">
        <v>1029.0</v>
      </c>
      <c r="E4292" s="2031">
        <v>686.0</v>
      </c>
      <c r="F4292" s="2031">
        <v>686.0</v>
      </c>
      <c r="G4292" s="2031">
        <v>687.0</v>
      </c>
      <c r="H4292" s="2031">
        <v>687.0</v>
      </c>
    </row>
    <row r="4293">
      <c r="B4293" s="2031">
        <v>4291.0</v>
      </c>
      <c r="C4293" s="2031">
        <v>515.0</v>
      </c>
      <c r="D4293" s="2031">
        <v>1030.0</v>
      </c>
      <c r="E4293" s="2031">
        <v>686.0</v>
      </c>
      <c r="F4293" s="2031">
        <v>686.0</v>
      </c>
      <c r="G4293" s="2031">
        <v>687.0</v>
      </c>
      <c r="H4293" s="2031">
        <v>687.0</v>
      </c>
    </row>
    <row r="4294">
      <c r="B4294" s="2031">
        <v>4292.0</v>
      </c>
      <c r="C4294" s="2031">
        <v>515.0</v>
      </c>
      <c r="D4294" s="2031">
        <v>1031.0</v>
      </c>
      <c r="E4294" s="2031">
        <v>686.0</v>
      </c>
      <c r="F4294" s="2031">
        <v>686.0</v>
      </c>
      <c r="G4294" s="2031">
        <v>687.0</v>
      </c>
      <c r="H4294" s="2031">
        <v>687.0</v>
      </c>
    </row>
    <row r="4295">
      <c r="B4295" s="2031">
        <v>4293.0</v>
      </c>
      <c r="C4295" s="2031">
        <v>515.0</v>
      </c>
      <c r="D4295" s="2031">
        <v>1030.0</v>
      </c>
      <c r="E4295" s="2031">
        <v>687.0</v>
      </c>
      <c r="F4295" s="2031">
        <v>687.0</v>
      </c>
      <c r="G4295" s="2031">
        <v>687.0</v>
      </c>
      <c r="H4295" s="2031">
        <v>687.0</v>
      </c>
    </row>
    <row r="4296">
      <c r="B4296" s="2031">
        <v>4294.0</v>
      </c>
      <c r="C4296" s="2031">
        <v>515.0</v>
      </c>
      <c r="D4296" s="2031">
        <v>1031.0</v>
      </c>
      <c r="E4296" s="2031">
        <v>687.0</v>
      </c>
      <c r="F4296" s="2031">
        <v>687.0</v>
      </c>
      <c r="G4296" s="2031">
        <v>687.0</v>
      </c>
      <c r="H4296" s="2031">
        <v>687.0</v>
      </c>
    </row>
    <row r="4297">
      <c r="B4297" s="2031">
        <v>4295.0</v>
      </c>
      <c r="C4297" s="2031">
        <v>516.0</v>
      </c>
      <c r="D4297" s="2031">
        <v>1031.0</v>
      </c>
      <c r="E4297" s="2031">
        <v>687.0</v>
      </c>
      <c r="F4297" s="2031">
        <v>687.0</v>
      </c>
      <c r="G4297" s="2031">
        <v>687.0</v>
      </c>
      <c r="H4297" s="2031">
        <v>687.0</v>
      </c>
    </row>
    <row r="4298">
      <c r="B4298" s="2031">
        <v>4296.0</v>
      </c>
      <c r="C4298" s="2031">
        <v>515.0</v>
      </c>
      <c r="D4298" s="2031">
        <v>1031.0</v>
      </c>
      <c r="E4298" s="2031">
        <v>687.0</v>
      </c>
      <c r="F4298" s="2031">
        <v>687.0</v>
      </c>
      <c r="G4298" s="2031">
        <v>688.0</v>
      </c>
      <c r="H4298" s="2031">
        <v>688.0</v>
      </c>
    </row>
    <row r="4299">
      <c r="B4299" s="2031">
        <v>4297.0</v>
      </c>
      <c r="C4299" s="2031">
        <v>516.0</v>
      </c>
      <c r="D4299" s="2031">
        <v>1031.0</v>
      </c>
      <c r="E4299" s="2031">
        <v>687.0</v>
      </c>
      <c r="F4299" s="2031">
        <v>687.0</v>
      </c>
      <c r="G4299" s="2031">
        <v>688.0</v>
      </c>
      <c r="H4299" s="2031">
        <v>688.0</v>
      </c>
    </row>
    <row r="4300">
      <c r="B4300" s="2031">
        <v>4298.0</v>
      </c>
      <c r="C4300" s="2031">
        <v>515.0</v>
      </c>
      <c r="D4300" s="2031">
        <v>1031.0</v>
      </c>
      <c r="E4300" s="2031">
        <v>688.0</v>
      </c>
      <c r="F4300" s="2031">
        <v>688.0</v>
      </c>
      <c r="G4300" s="2031">
        <v>688.0</v>
      </c>
      <c r="H4300" s="2031">
        <v>688.0</v>
      </c>
    </row>
    <row r="4301">
      <c r="B4301" s="2031">
        <v>4299.0</v>
      </c>
      <c r="C4301" s="2031">
        <v>516.0</v>
      </c>
      <c r="D4301" s="2031">
        <v>1031.0</v>
      </c>
      <c r="E4301" s="2031">
        <v>688.0</v>
      </c>
      <c r="F4301" s="2031">
        <v>688.0</v>
      </c>
      <c r="G4301" s="2031">
        <v>688.0</v>
      </c>
      <c r="H4301" s="2031">
        <v>688.0</v>
      </c>
    </row>
    <row r="4302">
      <c r="B4302" s="2031">
        <v>4300.0</v>
      </c>
      <c r="C4302" s="2031">
        <v>516.0</v>
      </c>
      <c r="D4302" s="2031">
        <v>1032.0</v>
      </c>
      <c r="E4302" s="2031">
        <v>688.0</v>
      </c>
      <c r="F4302" s="2031">
        <v>688.0</v>
      </c>
      <c r="G4302" s="2031">
        <v>688.0</v>
      </c>
      <c r="H4302" s="2031">
        <v>688.0</v>
      </c>
    </row>
    <row r="4303">
      <c r="B4303" s="2031">
        <v>4301.0</v>
      </c>
      <c r="C4303" s="2031">
        <v>516.0</v>
      </c>
      <c r="D4303" s="2031">
        <v>1033.0</v>
      </c>
      <c r="E4303" s="2031">
        <v>688.0</v>
      </c>
      <c r="F4303" s="2031">
        <v>688.0</v>
      </c>
      <c r="G4303" s="2031">
        <v>688.0</v>
      </c>
      <c r="H4303" s="2031">
        <v>688.0</v>
      </c>
    </row>
    <row r="4304">
      <c r="B4304" s="2031">
        <v>4302.0</v>
      </c>
      <c r="C4304" s="2031">
        <v>517.0</v>
      </c>
      <c r="D4304" s="2031">
        <v>1033.0</v>
      </c>
      <c r="E4304" s="2031">
        <v>688.0</v>
      </c>
      <c r="F4304" s="2031">
        <v>688.0</v>
      </c>
      <c r="G4304" s="2031">
        <v>688.0</v>
      </c>
      <c r="H4304" s="2031">
        <v>688.0</v>
      </c>
    </row>
    <row r="4305">
      <c r="B4305" s="2031">
        <v>4303.0</v>
      </c>
      <c r="C4305" s="2031">
        <v>516.0</v>
      </c>
      <c r="D4305" s="2031">
        <v>1033.0</v>
      </c>
      <c r="E4305" s="2031">
        <v>688.0</v>
      </c>
      <c r="F4305" s="2031">
        <v>688.0</v>
      </c>
      <c r="G4305" s="2031">
        <v>689.0</v>
      </c>
      <c r="H4305" s="2031">
        <v>689.0</v>
      </c>
    </row>
    <row r="4306">
      <c r="B4306" s="2031">
        <v>4304.0</v>
      </c>
      <c r="C4306" s="2031">
        <v>517.0</v>
      </c>
      <c r="D4306" s="2031">
        <v>1033.0</v>
      </c>
      <c r="E4306" s="2031">
        <v>688.0</v>
      </c>
      <c r="F4306" s="2031">
        <v>688.0</v>
      </c>
      <c r="G4306" s="2031">
        <v>689.0</v>
      </c>
      <c r="H4306" s="2031">
        <v>689.0</v>
      </c>
    </row>
    <row r="4307">
      <c r="B4307" s="2031">
        <v>4305.0</v>
      </c>
      <c r="C4307" s="2031">
        <v>516.0</v>
      </c>
      <c r="D4307" s="2031">
        <v>1033.0</v>
      </c>
      <c r="E4307" s="2031">
        <v>689.0</v>
      </c>
      <c r="F4307" s="2031">
        <v>689.0</v>
      </c>
      <c r="G4307" s="2031">
        <v>689.0</v>
      </c>
      <c r="H4307" s="2031">
        <v>689.0</v>
      </c>
    </row>
    <row r="4308">
      <c r="B4308" s="2031">
        <v>4306.0</v>
      </c>
      <c r="C4308" s="2031">
        <v>517.0</v>
      </c>
      <c r="D4308" s="2031">
        <v>1033.0</v>
      </c>
      <c r="E4308" s="2031">
        <v>689.0</v>
      </c>
      <c r="F4308" s="2031">
        <v>689.0</v>
      </c>
      <c r="G4308" s="2031">
        <v>689.0</v>
      </c>
      <c r="H4308" s="2031">
        <v>689.0</v>
      </c>
    </row>
    <row r="4309">
      <c r="B4309" s="2031">
        <v>4307.0</v>
      </c>
      <c r="C4309" s="2031">
        <v>517.0</v>
      </c>
      <c r="D4309" s="2031">
        <v>1034.0</v>
      </c>
      <c r="E4309" s="2031">
        <v>689.0</v>
      </c>
      <c r="F4309" s="2031">
        <v>689.0</v>
      </c>
      <c r="G4309" s="2031">
        <v>689.0</v>
      </c>
      <c r="H4309" s="2031">
        <v>689.0</v>
      </c>
    </row>
    <row r="4310">
      <c r="B4310" s="2031">
        <v>4308.0</v>
      </c>
      <c r="C4310" s="2031">
        <v>517.0</v>
      </c>
      <c r="D4310" s="2031">
        <v>1033.0</v>
      </c>
      <c r="E4310" s="2031">
        <v>689.0</v>
      </c>
      <c r="F4310" s="2031">
        <v>689.0</v>
      </c>
      <c r="G4310" s="2031">
        <v>690.0</v>
      </c>
      <c r="H4310" s="2031">
        <v>690.0</v>
      </c>
    </row>
    <row r="4311">
      <c r="B4311" s="2031">
        <v>4309.0</v>
      </c>
      <c r="C4311" s="2031">
        <v>517.0</v>
      </c>
      <c r="D4311" s="2031">
        <v>1034.0</v>
      </c>
      <c r="E4311" s="2031">
        <v>689.0</v>
      </c>
      <c r="F4311" s="2031">
        <v>689.0</v>
      </c>
      <c r="G4311" s="2031">
        <v>690.0</v>
      </c>
      <c r="H4311" s="2031">
        <v>690.0</v>
      </c>
    </row>
    <row r="4312">
      <c r="B4312" s="2031">
        <v>4310.0</v>
      </c>
      <c r="C4312" s="2031">
        <v>517.0</v>
      </c>
      <c r="D4312" s="2031">
        <v>1035.0</v>
      </c>
      <c r="E4312" s="2031">
        <v>689.0</v>
      </c>
      <c r="F4312" s="2031">
        <v>689.0</v>
      </c>
      <c r="G4312" s="2031">
        <v>690.0</v>
      </c>
      <c r="H4312" s="2031">
        <v>690.0</v>
      </c>
    </row>
    <row r="4313">
      <c r="B4313" s="2031">
        <v>4311.0</v>
      </c>
      <c r="C4313" s="2031">
        <v>517.0</v>
      </c>
      <c r="D4313" s="2031">
        <v>1034.0</v>
      </c>
      <c r="E4313" s="2031">
        <v>690.0</v>
      </c>
      <c r="F4313" s="2031">
        <v>690.0</v>
      </c>
      <c r="G4313" s="2031">
        <v>690.0</v>
      </c>
      <c r="H4313" s="2031">
        <v>690.0</v>
      </c>
    </row>
    <row r="4314">
      <c r="B4314" s="2031">
        <v>4312.0</v>
      </c>
      <c r="C4314" s="2031">
        <v>517.0</v>
      </c>
      <c r="D4314" s="2031">
        <v>1035.0</v>
      </c>
      <c r="E4314" s="2031">
        <v>690.0</v>
      </c>
      <c r="F4314" s="2031">
        <v>690.0</v>
      </c>
      <c r="G4314" s="2031">
        <v>690.0</v>
      </c>
      <c r="H4314" s="2031">
        <v>690.0</v>
      </c>
    </row>
    <row r="4315">
      <c r="B4315" s="2031">
        <v>4313.0</v>
      </c>
      <c r="C4315" s="2031">
        <v>518.0</v>
      </c>
      <c r="D4315" s="2031">
        <v>1035.0</v>
      </c>
      <c r="E4315" s="2031">
        <v>690.0</v>
      </c>
      <c r="F4315" s="2031">
        <v>690.0</v>
      </c>
      <c r="G4315" s="2031">
        <v>690.0</v>
      </c>
      <c r="H4315" s="2031">
        <v>690.0</v>
      </c>
    </row>
    <row r="4316">
      <c r="B4316" s="2031">
        <v>4314.0</v>
      </c>
      <c r="C4316" s="2031">
        <v>518.0</v>
      </c>
      <c r="D4316" s="2031">
        <v>1036.0</v>
      </c>
      <c r="E4316" s="2031">
        <v>690.0</v>
      </c>
      <c r="F4316" s="2031">
        <v>690.0</v>
      </c>
      <c r="G4316" s="2031">
        <v>690.0</v>
      </c>
      <c r="H4316" s="2031">
        <v>690.0</v>
      </c>
    </row>
    <row r="4317">
      <c r="B4317" s="2031">
        <v>4315.0</v>
      </c>
      <c r="C4317" s="2031">
        <v>518.0</v>
      </c>
      <c r="D4317" s="2031">
        <v>1035.0</v>
      </c>
      <c r="E4317" s="2031">
        <v>690.0</v>
      </c>
      <c r="F4317" s="2031">
        <v>690.0</v>
      </c>
      <c r="G4317" s="2031">
        <v>691.0</v>
      </c>
      <c r="H4317" s="2031">
        <v>691.0</v>
      </c>
    </row>
    <row r="4318">
      <c r="B4318" s="2031">
        <v>4316.0</v>
      </c>
      <c r="C4318" s="2031">
        <v>518.0</v>
      </c>
      <c r="D4318" s="2031">
        <v>1036.0</v>
      </c>
      <c r="E4318" s="2031">
        <v>690.0</v>
      </c>
      <c r="F4318" s="2031">
        <v>690.0</v>
      </c>
      <c r="G4318" s="2031">
        <v>691.0</v>
      </c>
      <c r="H4318" s="2031">
        <v>691.0</v>
      </c>
    </row>
    <row r="4319">
      <c r="B4319" s="2031">
        <v>4317.0</v>
      </c>
      <c r="C4319" s="2031">
        <v>518.0</v>
      </c>
      <c r="D4319" s="2031">
        <v>1037.0</v>
      </c>
      <c r="E4319" s="2031">
        <v>690.0</v>
      </c>
      <c r="F4319" s="2031">
        <v>690.0</v>
      </c>
      <c r="G4319" s="2031">
        <v>691.0</v>
      </c>
      <c r="H4319" s="2031">
        <v>691.0</v>
      </c>
    </row>
    <row r="4320">
      <c r="B4320" s="2031">
        <v>4318.0</v>
      </c>
      <c r="C4320" s="2031">
        <v>518.0</v>
      </c>
      <c r="D4320" s="2031">
        <v>1036.0</v>
      </c>
      <c r="E4320" s="2031">
        <v>691.0</v>
      </c>
      <c r="F4320" s="2031">
        <v>691.0</v>
      </c>
      <c r="G4320" s="2031">
        <v>691.0</v>
      </c>
      <c r="H4320" s="2031">
        <v>691.0</v>
      </c>
    </row>
    <row r="4321">
      <c r="B4321" s="2031">
        <v>4319.0</v>
      </c>
      <c r="C4321" s="2031">
        <v>518.0</v>
      </c>
      <c r="D4321" s="2031">
        <v>1037.0</v>
      </c>
      <c r="E4321" s="2031">
        <v>691.0</v>
      </c>
      <c r="F4321" s="2031">
        <v>691.0</v>
      </c>
      <c r="G4321" s="2031">
        <v>691.0</v>
      </c>
      <c r="H4321" s="2031">
        <v>691.0</v>
      </c>
    </row>
    <row r="4322">
      <c r="B4322" s="2031">
        <v>4320.0</v>
      </c>
      <c r="C4322" s="2031">
        <v>519.0</v>
      </c>
      <c r="D4322" s="2031">
        <v>1037.0</v>
      </c>
      <c r="E4322" s="2031">
        <v>691.0</v>
      </c>
      <c r="F4322" s="2031">
        <v>691.0</v>
      </c>
      <c r="G4322" s="2031">
        <v>691.0</v>
      </c>
      <c r="H4322" s="2031">
        <v>691.0</v>
      </c>
    </row>
    <row r="4323">
      <c r="B4323" s="2031">
        <v>4321.0</v>
      </c>
      <c r="C4323" s="2031">
        <v>518.0</v>
      </c>
      <c r="D4323" s="2031">
        <v>1037.0</v>
      </c>
      <c r="E4323" s="2031">
        <v>691.0</v>
      </c>
      <c r="F4323" s="2031">
        <v>691.0</v>
      </c>
      <c r="G4323" s="2031">
        <v>692.0</v>
      </c>
      <c r="H4323" s="2031">
        <v>692.0</v>
      </c>
    </row>
    <row r="4324">
      <c r="B4324" s="2031">
        <v>4322.0</v>
      </c>
      <c r="C4324" s="2031">
        <v>519.0</v>
      </c>
      <c r="D4324" s="2031">
        <v>1037.0</v>
      </c>
      <c r="E4324" s="2031">
        <v>691.0</v>
      </c>
      <c r="F4324" s="2031">
        <v>691.0</v>
      </c>
      <c r="G4324" s="2031">
        <v>692.0</v>
      </c>
      <c r="H4324" s="2031">
        <v>692.0</v>
      </c>
    </row>
    <row r="4325">
      <c r="B4325" s="2031">
        <v>4323.0</v>
      </c>
      <c r="C4325" s="2031">
        <v>518.0</v>
      </c>
      <c r="D4325" s="2031">
        <v>1037.0</v>
      </c>
      <c r="E4325" s="2031">
        <v>692.0</v>
      </c>
      <c r="F4325" s="2031">
        <v>692.0</v>
      </c>
      <c r="G4325" s="2031">
        <v>692.0</v>
      </c>
      <c r="H4325" s="2031">
        <v>692.0</v>
      </c>
    </row>
    <row r="4326">
      <c r="B4326" s="2031">
        <v>4324.0</v>
      </c>
      <c r="C4326" s="2031">
        <v>519.0</v>
      </c>
      <c r="D4326" s="2031">
        <v>1037.0</v>
      </c>
      <c r="E4326" s="2031">
        <v>692.0</v>
      </c>
      <c r="F4326" s="2031">
        <v>692.0</v>
      </c>
      <c r="G4326" s="2031">
        <v>692.0</v>
      </c>
      <c r="H4326" s="2031">
        <v>692.0</v>
      </c>
    </row>
    <row r="4327">
      <c r="B4327" s="2031">
        <v>4325.0</v>
      </c>
      <c r="C4327" s="2031">
        <v>519.0</v>
      </c>
      <c r="D4327" s="2031">
        <v>1038.0</v>
      </c>
      <c r="E4327" s="2031">
        <v>692.0</v>
      </c>
      <c r="F4327" s="2031">
        <v>692.0</v>
      </c>
      <c r="G4327" s="2031">
        <v>692.0</v>
      </c>
      <c r="H4327" s="2031">
        <v>692.0</v>
      </c>
    </row>
    <row r="4328">
      <c r="B4328" s="2031">
        <v>4326.0</v>
      </c>
      <c r="C4328" s="2031">
        <v>519.0</v>
      </c>
      <c r="D4328" s="2031">
        <v>1039.0</v>
      </c>
      <c r="E4328" s="2031">
        <v>692.0</v>
      </c>
      <c r="F4328" s="2031">
        <v>692.0</v>
      </c>
      <c r="G4328" s="2031">
        <v>692.0</v>
      </c>
      <c r="H4328" s="2031">
        <v>692.0</v>
      </c>
    </row>
    <row r="4329">
      <c r="B4329" s="2031">
        <v>4327.0</v>
      </c>
      <c r="C4329" s="2031">
        <v>520.0</v>
      </c>
      <c r="D4329" s="2031">
        <v>1039.0</v>
      </c>
      <c r="E4329" s="2031">
        <v>692.0</v>
      </c>
      <c r="F4329" s="2031">
        <v>692.0</v>
      </c>
      <c r="G4329" s="2031">
        <v>692.0</v>
      </c>
      <c r="H4329" s="2031">
        <v>692.0</v>
      </c>
    </row>
    <row r="4330">
      <c r="B4330" s="2031">
        <v>4328.0</v>
      </c>
      <c r="C4330" s="2031">
        <v>519.0</v>
      </c>
      <c r="D4330" s="2031">
        <v>1039.0</v>
      </c>
      <c r="E4330" s="2031">
        <v>692.0</v>
      </c>
      <c r="F4330" s="2031">
        <v>692.0</v>
      </c>
      <c r="G4330" s="2031">
        <v>693.0</v>
      </c>
      <c r="H4330" s="2031">
        <v>693.0</v>
      </c>
    </row>
    <row r="4331">
      <c r="B4331" s="2031">
        <v>4329.0</v>
      </c>
      <c r="C4331" s="2031">
        <v>520.0</v>
      </c>
      <c r="D4331" s="2031">
        <v>1039.0</v>
      </c>
      <c r="E4331" s="2031">
        <v>692.0</v>
      </c>
      <c r="F4331" s="2031">
        <v>692.0</v>
      </c>
      <c r="G4331" s="2031">
        <v>693.0</v>
      </c>
      <c r="H4331" s="2031">
        <v>693.0</v>
      </c>
    </row>
    <row r="4332">
      <c r="B4332" s="2031">
        <v>4330.0</v>
      </c>
      <c r="C4332" s="2031">
        <v>519.0</v>
      </c>
      <c r="D4332" s="2031">
        <v>1039.0</v>
      </c>
      <c r="E4332" s="2031">
        <v>693.0</v>
      </c>
      <c r="F4332" s="2031">
        <v>693.0</v>
      </c>
      <c r="G4332" s="2031">
        <v>693.0</v>
      </c>
      <c r="H4332" s="2031">
        <v>693.0</v>
      </c>
    </row>
    <row r="4333">
      <c r="B4333" s="2031">
        <v>4331.0</v>
      </c>
      <c r="C4333" s="2031">
        <v>520.0</v>
      </c>
      <c r="D4333" s="2031">
        <v>1039.0</v>
      </c>
      <c r="E4333" s="2031">
        <v>693.0</v>
      </c>
      <c r="F4333" s="2031">
        <v>693.0</v>
      </c>
      <c r="G4333" s="2031">
        <v>693.0</v>
      </c>
      <c r="H4333" s="2031">
        <v>693.0</v>
      </c>
    </row>
    <row r="4334">
      <c r="B4334" s="2031">
        <v>4332.0</v>
      </c>
      <c r="C4334" s="2031">
        <v>520.0</v>
      </c>
      <c r="D4334" s="2031">
        <v>1040.0</v>
      </c>
      <c r="E4334" s="2031">
        <v>693.0</v>
      </c>
      <c r="F4334" s="2031">
        <v>693.0</v>
      </c>
      <c r="G4334" s="2031">
        <v>693.0</v>
      </c>
      <c r="H4334" s="2031">
        <v>693.0</v>
      </c>
    </row>
    <row r="4335">
      <c r="B4335" s="2031">
        <v>4333.0</v>
      </c>
      <c r="C4335" s="2031">
        <v>520.0</v>
      </c>
      <c r="D4335" s="2031">
        <v>1039.0</v>
      </c>
      <c r="E4335" s="2031">
        <v>693.0</v>
      </c>
      <c r="F4335" s="2031">
        <v>693.0</v>
      </c>
      <c r="G4335" s="2031">
        <v>694.0</v>
      </c>
      <c r="H4335" s="2031">
        <v>694.0</v>
      </c>
    </row>
    <row r="4336">
      <c r="B4336" s="2031">
        <v>4334.0</v>
      </c>
      <c r="C4336" s="2031">
        <v>520.0</v>
      </c>
      <c r="D4336" s="2031">
        <v>1040.0</v>
      </c>
      <c r="E4336" s="2031">
        <v>693.0</v>
      </c>
      <c r="F4336" s="2031">
        <v>693.0</v>
      </c>
      <c r="G4336" s="2031">
        <v>694.0</v>
      </c>
      <c r="H4336" s="2031">
        <v>694.0</v>
      </c>
    </row>
    <row r="4337">
      <c r="B4337" s="2031">
        <v>4335.0</v>
      </c>
      <c r="C4337" s="2031">
        <v>520.0</v>
      </c>
      <c r="D4337" s="2031">
        <v>1041.0</v>
      </c>
      <c r="E4337" s="2031">
        <v>693.0</v>
      </c>
      <c r="F4337" s="2031">
        <v>693.0</v>
      </c>
      <c r="G4337" s="2031">
        <v>694.0</v>
      </c>
      <c r="H4337" s="2031">
        <v>694.0</v>
      </c>
    </row>
    <row r="4338">
      <c r="B4338" s="2031">
        <v>4336.0</v>
      </c>
      <c r="C4338" s="2031">
        <v>520.0</v>
      </c>
      <c r="D4338" s="2031">
        <v>1040.0</v>
      </c>
      <c r="E4338" s="2031">
        <v>694.0</v>
      </c>
      <c r="F4338" s="2031">
        <v>694.0</v>
      </c>
      <c r="G4338" s="2031">
        <v>694.0</v>
      </c>
      <c r="H4338" s="2031">
        <v>694.0</v>
      </c>
    </row>
    <row r="4339">
      <c r="B4339" s="2031">
        <v>4337.0</v>
      </c>
      <c r="C4339" s="2031">
        <v>520.0</v>
      </c>
      <c r="D4339" s="2031">
        <v>1041.0</v>
      </c>
      <c r="E4339" s="2031">
        <v>694.0</v>
      </c>
      <c r="F4339" s="2031">
        <v>694.0</v>
      </c>
      <c r="G4339" s="2031">
        <v>694.0</v>
      </c>
      <c r="H4339" s="2031">
        <v>694.0</v>
      </c>
    </row>
    <row r="4340">
      <c r="B4340" s="2031">
        <v>4338.0</v>
      </c>
      <c r="C4340" s="2031">
        <v>521.0</v>
      </c>
      <c r="D4340" s="2031">
        <v>1041.0</v>
      </c>
      <c r="E4340" s="2031">
        <v>694.0</v>
      </c>
      <c r="F4340" s="2031">
        <v>694.0</v>
      </c>
      <c r="G4340" s="2031">
        <v>694.0</v>
      </c>
      <c r="H4340" s="2031">
        <v>694.0</v>
      </c>
    </row>
    <row r="4341">
      <c r="B4341" s="2031">
        <v>4339.0</v>
      </c>
      <c r="C4341" s="2031">
        <v>521.0</v>
      </c>
      <c r="D4341" s="2031">
        <v>1042.0</v>
      </c>
      <c r="E4341" s="2031">
        <v>694.0</v>
      </c>
      <c r="F4341" s="2031">
        <v>694.0</v>
      </c>
      <c r="G4341" s="2031">
        <v>694.0</v>
      </c>
      <c r="H4341" s="2031">
        <v>694.0</v>
      </c>
    </row>
    <row r="4342">
      <c r="B4342" s="2031">
        <v>4340.0</v>
      </c>
      <c r="C4342" s="2031">
        <v>521.0</v>
      </c>
      <c r="D4342" s="2031">
        <v>1041.0</v>
      </c>
      <c r="E4342" s="2031">
        <v>694.0</v>
      </c>
      <c r="F4342" s="2031">
        <v>694.0</v>
      </c>
      <c r="G4342" s="2031">
        <v>695.0</v>
      </c>
      <c r="H4342" s="2031">
        <v>695.0</v>
      </c>
    </row>
    <row r="4343">
      <c r="B4343" s="2031">
        <v>4341.0</v>
      </c>
      <c r="C4343" s="2031">
        <v>521.0</v>
      </c>
      <c r="D4343" s="2031">
        <v>1042.0</v>
      </c>
      <c r="E4343" s="2031">
        <v>694.0</v>
      </c>
      <c r="F4343" s="2031">
        <v>694.0</v>
      </c>
      <c r="G4343" s="2031">
        <v>695.0</v>
      </c>
      <c r="H4343" s="2031">
        <v>695.0</v>
      </c>
    </row>
    <row r="4344">
      <c r="B4344" s="2031">
        <v>4342.0</v>
      </c>
      <c r="C4344" s="2031">
        <v>521.0</v>
      </c>
      <c r="D4344" s="2031">
        <v>1043.0</v>
      </c>
      <c r="E4344" s="2031">
        <v>694.0</v>
      </c>
      <c r="F4344" s="2031">
        <v>694.0</v>
      </c>
      <c r="G4344" s="2031">
        <v>695.0</v>
      </c>
      <c r="H4344" s="2031">
        <v>695.0</v>
      </c>
    </row>
    <row r="4345">
      <c r="B4345" s="2031">
        <v>4343.0</v>
      </c>
      <c r="C4345" s="2031">
        <v>521.0</v>
      </c>
      <c r="D4345" s="2031">
        <v>1042.0</v>
      </c>
      <c r="E4345" s="2031">
        <v>695.0</v>
      </c>
      <c r="F4345" s="2031">
        <v>695.0</v>
      </c>
      <c r="G4345" s="2031">
        <v>695.0</v>
      </c>
      <c r="H4345" s="2031">
        <v>695.0</v>
      </c>
    </row>
    <row r="4346">
      <c r="B4346" s="2031">
        <v>4344.0</v>
      </c>
      <c r="C4346" s="2031">
        <v>521.0</v>
      </c>
      <c r="D4346" s="2031">
        <v>1043.0</v>
      </c>
      <c r="E4346" s="2031">
        <v>695.0</v>
      </c>
      <c r="F4346" s="2031">
        <v>695.0</v>
      </c>
      <c r="G4346" s="2031">
        <v>695.0</v>
      </c>
      <c r="H4346" s="2031">
        <v>695.0</v>
      </c>
    </row>
    <row r="4347">
      <c r="B4347" s="2031">
        <v>4345.0</v>
      </c>
      <c r="C4347" s="2031">
        <v>522.0</v>
      </c>
      <c r="D4347" s="2031">
        <v>1043.0</v>
      </c>
      <c r="E4347" s="2031">
        <v>695.0</v>
      </c>
      <c r="F4347" s="2031">
        <v>695.0</v>
      </c>
      <c r="G4347" s="2031">
        <v>695.0</v>
      </c>
      <c r="H4347" s="2031">
        <v>695.0</v>
      </c>
    </row>
    <row r="4348">
      <c r="B4348" s="2031">
        <v>4346.0</v>
      </c>
      <c r="C4348" s="2031">
        <v>521.0</v>
      </c>
      <c r="D4348" s="2031">
        <v>1043.0</v>
      </c>
      <c r="E4348" s="2031">
        <v>695.0</v>
      </c>
      <c r="F4348" s="2031">
        <v>695.0</v>
      </c>
      <c r="G4348" s="2031">
        <v>696.0</v>
      </c>
      <c r="H4348" s="2031">
        <v>696.0</v>
      </c>
    </row>
    <row r="4349">
      <c r="B4349" s="2031">
        <v>4347.0</v>
      </c>
      <c r="C4349" s="2031">
        <v>522.0</v>
      </c>
      <c r="D4349" s="2031">
        <v>1043.0</v>
      </c>
      <c r="E4349" s="2031">
        <v>695.0</v>
      </c>
      <c r="F4349" s="2031">
        <v>695.0</v>
      </c>
      <c r="G4349" s="2031">
        <v>696.0</v>
      </c>
      <c r="H4349" s="2031">
        <v>696.0</v>
      </c>
    </row>
    <row r="4350">
      <c r="B4350" s="2031">
        <v>4348.0</v>
      </c>
      <c r="C4350" s="2031">
        <v>521.0</v>
      </c>
      <c r="D4350" s="2031">
        <v>1043.0</v>
      </c>
      <c r="E4350" s="2031">
        <v>696.0</v>
      </c>
      <c r="F4350" s="2031">
        <v>696.0</v>
      </c>
      <c r="G4350" s="2031">
        <v>696.0</v>
      </c>
      <c r="H4350" s="2031">
        <v>696.0</v>
      </c>
    </row>
    <row r="4351">
      <c r="B4351" s="2031">
        <v>4349.0</v>
      </c>
      <c r="C4351" s="2031">
        <v>522.0</v>
      </c>
      <c r="D4351" s="2031">
        <v>1043.0</v>
      </c>
      <c r="E4351" s="2031">
        <v>696.0</v>
      </c>
      <c r="F4351" s="2031">
        <v>696.0</v>
      </c>
      <c r="G4351" s="2031">
        <v>696.0</v>
      </c>
      <c r="H4351" s="2031">
        <v>696.0</v>
      </c>
    </row>
    <row r="4352">
      <c r="B4352" s="2031">
        <v>4350.0</v>
      </c>
      <c r="C4352" s="2031">
        <v>522.0</v>
      </c>
      <c r="D4352" s="2031">
        <v>1044.0</v>
      </c>
      <c r="E4352" s="2031">
        <v>696.0</v>
      </c>
      <c r="F4352" s="2031">
        <v>696.0</v>
      </c>
      <c r="G4352" s="2031">
        <v>696.0</v>
      </c>
      <c r="H4352" s="2031">
        <v>696.0</v>
      </c>
    </row>
    <row r="4353">
      <c r="B4353" s="2031">
        <v>4351.0</v>
      </c>
      <c r="C4353" s="2031">
        <v>522.0</v>
      </c>
      <c r="D4353" s="2031">
        <v>1045.0</v>
      </c>
      <c r="E4353" s="2031">
        <v>696.0</v>
      </c>
      <c r="F4353" s="2031">
        <v>696.0</v>
      </c>
      <c r="G4353" s="2031">
        <v>696.0</v>
      </c>
      <c r="H4353" s="2031">
        <v>696.0</v>
      </c>
    </row>
    <row r="4354">
      <c r="B4354" s="2031">
        <v>4352.0</v>
      </c>
      <c r="C4354" s="2031">
        <v>523.0</v>
      </c>
      <c r="D4354" s="2031">
        <v>1045.0</v>
      </c>
      <c r="E4354" s="2031">
        <v>696.0</v>
      </c>
      <c r="F4354" s="2031">
        <v>696.0</v>
      </c>
      <c r="G4354" s="2031">
        <v>696.0</v>
      </c>
      <c r="H4354" s="2031">
        <v>696.0</v>
      </c>
    </row>
    <row r="4355">
      <c r="B4355" s="2031">
        <v>4353.0</v>
      </c>
      <c r="C4355" s="2031">
        <v>522.0</v>
      </c>
      <c r="D4355" s="2031">
        <v>1045.0</v>
      </c>
      <c r="E4355" s="2031">
        <v>696.0</v>
      </c>
      <c r="F4355" s="2031">
        <v>696.0</v>
      </c>
      <c r="G4355" s="2031">
        <v>697.0</v>
      </c>
      <c r="H4355" s="2031">
        <v>697.0</v>
      </c>
    </row>
    <row r="4356">
      <c r="B4356" s="2031">
        <v>4354.0</v>
      </c>
      <c r="C4356" s="2031">
        <v>523.0</v>
      </c>
      <c r="D4356" s="2031">
        <v>1045.0</v>
      </c>
      <c r="E4356" s="2031">
        <v>696.0</v>
      </c>
      <c r="F4356" s="2031">
        <v>696.0</v>
      </c>
      <c r="G4356" s="2031">
        <v>697.0</v>
      </c>
      <c r="H4356" s="2031">
        <v>697.0</v>
      </c>
    </row>
    <row r="4357">
      <c r="B4357" s="2031">
        <v>4355.0</v>
      </c>
      <c r="C4357" s="2031">
        <v>522.0</v>
      </c>
      <c r="D4357" s="2031">
        <v>1045.0</v>
      </c>
      <c r="E4357" s="2031">
        <v>697.0</v>
      </c>
      <c r="F4357" s="2031">
        <v>697.0</v>
      </c>
      <c r="G4357" s="2031">
        <v>697.0</v>
      </c>
      <c r="H4357" s="2031">
        <v>697.0</v>
      </c>
    </row>
    <row r="4358">
      <c r="B4358" s="2031">
        <v>4356.0</v>
      </c>
      <c r="C4358" s="2031">
        <v>523.0</v>
      </c>
      <c r="D4358" s="2031">
        <v>1045.0</v>
      </c>
      <c r="E4358" s="2031">
        <v>697.0</v>
      </c>
      <c r="F4358" s="2031">
        <v>697.0</v>
      </c>
      <c r="G4358" s="2031">
        <v>697.0</v>
      </c>
      <c r="H4358" s="2031">
        <v>697.0</v>
      </c>
    </row>
    <row r="4359">
      <c r="B4359" s="2031">
        <v>4357.0</v>
      </c>
      <c r="C4359" s="2031">
        <v>523.0</v>
      </c>
      <c r="D4359" s="2031">
        <v>1046.0</v>
      </c>
      <c r="E4359" s="2031">
        <v>697.0</v>
      </c>
      <c r="F4359" s="2031">
        <v>697.0</v>
      </c>
      <c r="G4359" s="2031">
        <v>697.0</v>
      </c>
      <c r="H4359" s="2031">
        <v>697.0</v>
      </c>
    </row>
    <row r="4360">
      <c r="B4360" s="2031">
        <v>4358.0</v>
      </c>
      <c r="C4360" s="2031">
        <v>523.0</v>
      </c>
      <c r="D4360" s="2031">
        <v>1045.0</v>
      </c>
      <c r="E4360" s="2031">
        <v>697.0</v>
      </c>
      <c r="F4360" s="2031">
        <v>697.0</v>
      </c>
      <c r="G4360" s="2031">
        <v>698.0</v>
      </c>
      <c r="H4360" s="2031">
        <v>698.0</v>
      </c>
    </row>
    <row r="4361">
      <c r="B4361" s="2031">
        <v>4359.0</v>
      </c>
      <c r="C4361" s="2031">
        <v>523.0</v>
      </c>
      <c r="D4361" s="2031">
        <v>1046.0</v>
      </c>
      <c r="E4361" s="2031">
        <v>697.0</v>
      </c>
      <c r="F4361" s="2031">
        <v>697.0</v>
      </c>
      <c r="G4361" s="2031">
        <v>698.0</v>
      </c>
      <c r="H4361" s="2031">
        <v>698.0</v>
      </c>
    </row>
    <row r="4362">
      <c r="B4362" s="2031">
        <v>4360.0</v>
      </c>
      <c r="C4362" s="2031">
        <v>523.0</v>
      </c>
      <c r="D4362" s="2031">
        <v>1047.0</v>
      </c>
      <c r="E4362" s="2031">
        <v>697.0</v>
      </c>
      <c r="F4362" s="2031">
        <v>697.0</v>
      </c>
      <c r="G4362" s="2031">
        <v>698.0</v>
      </c>
      <c r="H4362" s="2031">
        <v>698.0</v>
      </c>
    </row>
    <row r="4363">
      <c r="B4363" s="2031">
        <v>4361.0</v>
      </c>
      <c r="C4363" s="2031">
        <v>523.0</v>
      </c>
      <c r="D4363" s="2031">
        <v>1046.0</v>
      </c>
      <c r="E4363" s="2031">
        <v>698.0</v>
      </c>
      <c r="F4363" s="2031">
        <v>698.0</v>
      </c>
      <c r="G4363" s="2031">
        <v>698.0</v>
      </c>
      <c r="H4363" s="2031">
        <v>698.0</v>
      </c>
    </row>
    <row r="4364">
      <c r="B4364" s="2031">
        <v>4362.0</v>
      </c>
      <c r="C4364" s="2031">
        <v>523.0</v>
      </c>
      <c r="D4364" s="2031">
        <v>1047.0</v>
      </c>
      <c r="E4364" s="2031">
        <v>698.0</v>
      </c>
      <c r="F4364" s="2031">
        <v>698.0</v>
      </c>
      <c r="G4364" s="2031">
        <v>698.0</v>
      </c>
      <c r="H4364" s="2031">
        <v>698.0</v>
      </c>
    </row>
    <row r="4365">
      <c r="B4365" s="2031">
        <v>4363.0</v>
      </c>
      <c r="C4365" s="2031">
        <v>524.0</v>
      </c>
      <c r="D4365" s="2031">
        <v>1047.0</v>
      </c>
      <c r="E4365" s="2031">
        <v>698.0</v>
      </c>
      <c r="F4365" s="2031">
        <v>698.0</v>
      </c>
      <c r="G4365" s="2031">
        <v>698.0</v>
      </c>
      <c r="H4365" s="2031">
        <v>698.0</v>
      </c>
    </row>
    <row r="4366">
      <c r="B4366" s="2031">
        <v>4364.0</v>
      </c>
      <c r="C4366" s="2031">
        <v>524.0</v>
      </c>
      <c r="D4366" s="2031">
        <v>1048.0</v>
      </c>
      <c r="E4366" s="2031">
        <v>698.0</v>
      </c>
      <c r="F4366" s="2031">
        <v>698.0</v>
      </c>
      <c r="G4366" s="2031">
        <v>698.0</v>
      </c>
      <c r="H4366" s="2031">
        <v>698.0</v>
      </c>
    </row>
    <row r="4367">
      <c r="B4367" s="2031">
        <v>4365.0</v>
      </c>
      <c r="C4367" s="2031">
        <v>524.0</v>
      </c>
      <c r="D4367" s="2031">
        <v>1047.0</v>
      </c>
      <c r="E4367" s="2031">
        <v>698.0</v>
      </c>
      <c r="F4367" s="2031">
        <v>698.0</v>
      </c>
      <c r="G4367" s="2031">
        <v>699.0</v>
      </c>
      <c r="H4367" s="2031">
        <v>699.0</v>
      </c>
    </row>
    <row r="4368">
      <c r="B4368" s="2031">
        <v>4366.0</v>
      </c>
      <c r="C4368" s="2031">
        <v>524.0</v>
      </c>
      <c r="D4368" s="2031">
        <v>1048.0</v>
      </c>
      <c r="E4368" s="2031">
        <v>698.0</v>
      </c>
      <c r="F4368" s="2031">
        <v>698.0</v>
      </c>
      <c r="G4368" s="2031">
        <v>699.0</v>
      </c>
      <c r="H4368" s="2031">
        <v>699.0</v>
      </c>
    </row>
    <row r="4369">
      <c r="B4369" s="2031">
        <v>4367.0</v>
      </c>
      <c r="C4369" s="2031">
        <v>524.0</v>
      </c>
      <c r="D4369" s="2031">
        <v>1049.0</v>
      </c>
      <c r="E4369" s="2031">
        <v>698.0</v>
      </c>
      <c r="F4369" s="2031">
        <v>698.0</v>
      </c>
      <c r="G4369" s="2031">
        <v>699.0</v>
      </c>
      <c r="H4369" s="2031">
        <v>699.0</v>
      </c>
    </row>
    <row r="4370">
      <c r="B4370" s="2031">
        <v>4368.0</v>
      </c>
      <c r="C4370" s="2031">
        <v>524.0</v>
      </c>
      <c r="D4370" s="2031">
        <v>1048.0</v>
      </c>
      <c r="E4370" s="2031">
        <v>699.0</v>
      </c>
      <c r="F4370" s="2031">
        <v>699.0</v>
      </c>
      <c r="G4370" s="2031">
        <v>699.0</v>
      </c>
      <c r="H4370" s="2031">
        <v>699.0</v>
      </c>
    </row>
    <row r="4371">
      <c r="B4371" s="2031">
        <v>4369.0</v>
      </c>
      <c r="C4371" s="2031">
        <v>524.0</v>
      </c>
      <c r="D4371" s="2031">
        <v>1049.0</v>
      </c>
      <c r="E4371" s="2031">
        <v>699.0</v>
      </c>
      <c r="F4371" s="2031">
        <v>699.0</v>
      </c>
      <c r="G4371" s="2031">
        <v>699.0</v>
      </c>
      <c r="H4371" s="2031">
        <v>699.0</v>
      </c>
    </row>
    <row r="4372">
      <c r="B4372" s="2031">
        <v>4370.0</v>
      </c>
      <c r="C4372" s="2031">
        <v>525.0</v>
      </c>
      <c r="D4372" s="2031">
        <v>1049.0</v>
      </c>
      <c r="E4372" s="2031">
        <v>699.0</v>
      </c>
      <c r="F4372" s="2031">
        <v>699.0</v>
      </c>
      <c r="G4372" s="2031">
        <v>699.0</v>
      </c>
      <c r="H4372" s="2031">
        <v>699.0</v>
      </c>
    </row>
    <row r="4373">
      <c r="B4373" s="2031">
        <v>4371.0</v>
      </c>
      <c r="C4373" s="2031">
        <v>524.0</v>
      </c>
      <c r="D4373" s="2031">
        <v>1049.0</v>
      </c>
      <c r="E4373" s="2031">
        <v>699.0</v>
      </c>
      <c r="F4373" s="2031">
        <v>699.0</v>
      </c>
      <c r="G4373" s="2031">
        <v>700.0</v>
      </c>
      <c r="H4373" s="2031">
        <v>700.0</v>
      </c>
    </row>
    <row r="4374">
      <c r="B4374" s="2031">
        <v>4372.0</v>
      </c>
      <c r="C4374" s="2031">
        <v>525.0</v>
      </c>
      <c r="D4374" s="2031">
        <v>1049.0</v>
      </c>
      <c r="E4374" s="2031">
        <v>699.0</v>
      </c>
      <c r="F4374" s="2031">
        <v>699.0</v>
      </c>
      <c r="G4374" s="2031">
        <v>700.0</v>
      </c>
      <c r="H4374" s="2031">
        <v>700.0</v>
      </c>
    </row>
    <row r="4375">
      <c r="B4375" s="2031">
        <v>4373.0</v>
      </c>
      <c r="C4375" s="2031">
        <v>524.0</v>
      </c>
      <c r="D4375" s="2031">
        <v>1049.0</v>
      </c>
      <c r="E4375" s="2031">
        <v>700.0</v>
      </c>
      <c r="F4375" s="2031">
        <v>700.0</v>
      </c>
      <c r="G4375" s="2031">
        <v>700.0</v>
      </c>
      <c r="H4375" s="2031">
        <v>700.0</v>
      </c>
    </row>
    <row r="4376">
      <c r="B4376" s="2031">
        <v>4374.0</v>
      </c>
      <c r="C4376" s="2031">
        <v>525.0</v>
      </c>
      <c r="D4376" s="2031">
        <v>1049.0</v>
      </c>
      <c r="E4376" s="2031">
        <v>700.0</v>
      </c>
      <c r="F4376" s="2031">
        <v>700.0</v>
      </c>
      <c r="G4376" s="2031">
        <v>700.0</v>
      </c>
      <c r="H4376" s="2031">
        <v>700.0</v>
      </c>
    </row>
    <row r="4377">
      <c r="B4377" s="2031">
        <v>4375.0</v>
      </c>
      <c r="C4377" s="2031">
        <v>525.0</v>
      </c>
      <c r="D4377" s="2031">
        <v>1050.0</v>
      </c>
      <c r="E4377" s="2031">
        <v>700.0</v>
      </c>
      <c r="F4377" s="2031">
        <v>700.0</v>
      </c>
      <c r="G4377" s="2031">
        <v>700.0</v>
      </c>
      <c r="H4377" s="2031">
        <v>700.0</v>
      </c>
    </row>
    <row r="4378">
      <c r="B4378" s="2031">
        <v>4376.0</v>
      </c>
      <c r="C4378" s="2031">
        <v>525.0</v>
      </c>
      <c r="D4378" s="2031">
        <v>1051.0</v>
      </c>
      <c r="E4378" s="2031">
        <v>700.0</v>
      </c>
      <c r="F4378" s="2031">
        <v>700.0</v>
      </c>
      <c r="G4378" s="2031">
        <v>700.0</v>
      </c>
      <c r="H4378" s="2031">
        <v>700.0</v>
      </c>
    </row>
    <row r="4379">
      <c r="B4379" s="2031">
        <v>4377.0</v>
      </c>
      <c r="C4379" s="2031">
        <v>526.0</v>
      </c>
      <c r="D4379" s="2031">
        <v>1051.0</v>
      </c>
      <c r="E4379" s="2031">
        <v>700.0</v>
      </c>
      <c r="F4379" s="2031">
        <v>700.0</v>
      </c>
      <c r="G4379" s="2031">
        <v>700.0</v>
      </c>
      <c r="H4379" s="2031">
        <v>700.0</v>
      </c>
    </row>
    <row r="4380">
      <c r="B4380" s="2031">
        <v>4378.0</v>
      </c>
      <c r="C4380" s="2031">
        <v>525.0</v>
      </c>
      <c r="D4380" s="2031">
        <v>1051.0</v>
      </c>
      <c r="E4380" s="2031">
        <v>700.0</v>
      </c>
      <c r="F4380" s="2031">
        <v>700.0</v>
      </c>
      <c r="G4380" s="2031">
        <v>701.0</v>
      </c>
      <c r="H4380" s="2031">
        <v>701.0</v>
      </c>
    </row>
    <row r="4381">
      <c r="B4381" s="2031">
        <v>4379.0</v>
      </c>
      <c r="C4381" s="2031">
        <v>526.0</v>
      </c>
      <c r="D4381" s="2031">
        <v>1051.0</v>
      </c>
      <c r="E4381" s="2031">
        <v>700.0</v>
      </c>
      <c r="F4381" s="2031">
        <v>700.0</v>
      </c>
      <c r="G4381" s="2031">
        <v>701.0</v>
      </c>
      <c r="H4381" s="2031">
        <v>701.0</v>
      </c>
    </row>
    <row r="4382">
      <c r="B4382" s="2031">
        <v>4380.0</v>
      </c>
      <c r="C4382" s="2031">
        <v>525.0</v>
      </c>
      <c r="D4382" s="2031">
        <v>1051.0</v>
      </c>
      <c r="E4382" s="2031">
        <v>701.0</v>
      </c>
      <c r="F4382" s="2031">
        <v>701.0</v>
      </c>
      <c r="G4382" s="2031">
        <v>701.0</v>
      </c>
      <c r="H4382" s="2031">
        <v>701.0</v>
      </c>
    </row>
    <row r="4383">
      <c r="B4383" s="2031">
        <v>4381.0</v>
      </c>
      <c r="C4383" s="2031">
        <v>526.0</v>
      </c>
      <c r="D4383" s="2031">
        <v>1051.0</v>
      </c>
      <c r="E4383" s="2031">
        <v>701.0</v>
      </c>
      <c r="F4383" s="2031">
        <v>701.0</v>
      </c>
      <c r="G4383" s="2031">
        <v>701.0</v>
      </c>
      <c r="H4383" s="2031">
        <v>701.0</v>
      </c>
    </row>
    <row r="4384">
      <c r="B4384" s="2031">
        <v>4382.0</v>
      </c>
      <c r="C4384" s="2031">
        <v>526.0</v>
      </c>
      <c r="D4384" s="2031">
        <v>1052.0</v>
      </c>
      <c r="E4384" s="2031">
        <v>701.0</v>
      </c>
      <c r="F4384" s="2031">
        <v>701.0</v>
      </c>
      <c r="G4384" s="2031">
        <v>701.0</v>
      </c>
      <c r="H4384" s="2031">
        <v>701.0</v>
      </c>
    </row>
    <row r="4385">
      <c r="B4385" s="2031">
        <v>4383.0</v>
      </c>
      <c r="C4385" s="2031">
        <v>526.0</v>
      </c>
      <c r="D4385" s="2031">
        <v>1051.0</v>
      </c>
      <c r="E4385" s="2031">
        <v>701.0</v>
      </c>
      <c r="F4385" s="2031">
        <v>701.0</v>
      </c>
      <c r="G4385" s="2031">
        <v>702.0</v>
      </c>
      <c r="H4385" s="2031">
        <v>702.0</v>
      </c>
    </row>
    <row r="4386">
      <c r="B4386" s="2031">
        <v>4384.0</v>
      </c>
      <c r="C4386" s="2031">
        <v>526.0</v>
      </c>
      <c r="D4386" s="2031">
        <v>1052.0</v>
      </c>
      <c r="E4386" s="2031">
        <v>701.0</v>
      </c>
      <c r="F4386" s="2031">
        <v>701.0</v>
      </c>
      <c r="G4386" s="2031">
        <v>702.0</v>
      </c>
      <c r="H4386" s="2031">
        <v>702.0</v>
      </c>
    </row>
    <row r="4387">
      <c r="B4387" s="2031">
        <v>4385.0</v>
      </c>
      <c r="C4387" s="2031">
        <v>526.0</v>
      </c>
      <c r="D4387" s="2031">
        <v>1053.0</v>
      </c>
      <c r="E4387" s="2031">
        <v>701.0</v>
      </c>
      <c r="F4387" s="2031">
        <v>701.0</v>
      </c>
      <c r="G4387" s="2031">
        <v>702.0</v>
      </c>
      <c r="H4387" s="2031">
        <v>702.0</v>
      </c>
    </row>
    <row r="4388">
      <c r="B4388" s="2031">
        <v>4386.0</v>
      </c>
      <c r="C4388" s="2031">
        <v>526.0</v>
      </c>
      <c r="D4388" s="2031">
        <v>1052.0</v>
      </c>
      <c r="E4388" s="2031">
        <v>702.0</v>
      </c>
      <c r="F4388" s="2031">
        <v>702.0</v>
      </c>
      <c r="G4388" s="2031">
        <v>702.0</v>
      </c>
      <c r="H4388" s="2031">
        <v>702.0</v>
      </c>
    </row>
    <row r="4389">
      <c r="B4389" s="2031">
        <v>4387.0</v>
      </c>
      <c r="C4389" s="2031">
        <v>526.0</v>
      </c>
      <c r="D4389" s="2031">
        <v>1053.0</v>
      </c>
      <c r="E4389" s="2031">
        <v>702.0</v>
      </c>
      <c r="F4389" s="2031">
        <v>702.0</v>
      </c>
      <c r="G4389" s="2031">
        <v>702.0</v>
      </c>
      <c r="H4389" s="2031">
        <v>702.0</v>
      </c>
    </row>
    <row r="4390">
      <c r="B4390" s="2031">
        <v>4388.0</v>
      </c>
      <c r="C4390" s="2031">
        <v>527.0</v>
      </c>
      <c r="D4390" s="2031">
        <v>1053.0</v>
      </c>
      <c r="E4390" s="2031">
        <v>702.0</v>
      </c>
      <c r="F4390" s="2031">
        <v>702.0</v>
      </c>
      <c r="G4390" s="2031">
        <v>702.0</v>
      </c>
      <c r="H4390" s="2031">
        <v>702.0</v>
      </c>
    </row>
    <row r="4391">
      <c r="B4391" s="2031">
        <v>4389.0</v>
      </c>
      <c r="C4391" s="2031">
        <v>527.0</v>
      </c>
      <c r="D4391" s="2031">
        <v>1054.0</v>
      </c>
      <c r="E4391" s="2031">
        <v>702.0</v>
      </c>
      <c r="F4391" s="2031">
        <v>702.0</v>
      </c>
      <c r="G4391" s="2031">
        <v>702.0</v>
      </c>
      <c r="H4391" s="2031">
        <v>702.0</v>
      </c>
    </row>
    <row r="4392">
      <c r="B4392" s="2031">
        <v>4390.0</v>
      </c>
      <c r="C4392" s="2031">
        <v>527.0</v>
      </c>
      <c r="D4392" s="2031">
        <v>1053.0</v>
      </c>
      <c r="E4392" s="2031">
        <v>702.0</v>
      </c>
      <c r="F4392" s="2031">
        <v>702.0</v>
      </c>
      <c r="G4392" s="2031">
        <v>703.0</v>
      </c>
      <c r="H4392" s="2031">
        <v>703.0</v>
      </c>
    </row>
    <row r="4393">
      <c r="B4393" s="2031">
        <v>4391.0</v>
      </c>
      <c r="C4393" s="2031">
        <v>527.0</v>
      </c>
      <c r="D4393" s="2031">
        <v>1054.0</v>
      </c>
      <c r="E4393" s="2031">
        <v>702.0</v>
      </c>
      <c r="F4393" s="2031">
        <v>702.0</v>
      </c>
      <c r="G4393" s="2031">
        <v>703.0</v>
      </c>
      <c r="H4393" s="2031">
        <v>703.0</v>
      </c>
    </row>
    <row r="4394">
      <c r="B4394" s="2031">
        <v>4392.0</v>
      </c>
      <c r="C4394" s="2031">
        <v>527.0</v>
      </c>
      <c r="D4394" s="2031">
        <v>1055.0</v>
      </c>
      <c r="E4394" s="2031">
        <v>702.0</v>
      </c>
      <c r="F4394" s="2031">
        <v>702.0</v>
      </c>
      <c r="G4394" s="2031">
        <v>703.0</v>
      </c>
      <c r="H4394" s="2031">
        <v>703.0</v>
      </c>
    </row>
    <row r="4395">
      <c r="B4395" s="2031">
        <v>4393.0</v>
      </c>
      <c r="C4395" s="2031">
        <v>527.0</v>
      </c>
      <c r="D4395" s="2031">
        <v>1054.0</v>
      </c>
      <c r="E4395" s="2031">
        <v>703.0</v>
      </c>
      <c r="F4395" s="2031">
        <v>703.0</v>
      </c>
      <c r="G4395" s="2031">
        <v>703.0</v>
      </c>
      <c r="H4395" s="2031">
        <v>703.0</v>
      </c>
    </row>
    <row r="4396">
      <c r="B4396" s="2031">
        <v>4394.0</v>
      </c>
      <c r="C4396" s="2031">
        <v>527.0</v>
      </c>
      <c r="D4396" s="2031">
        <v>1055.0</v>
      </c>
      <c r="E4396" s="2031">
        <v>703.0</v>
      </c>
      <c r="F4396" s="2031">
        <v>703.0</v>
      </c>
      <c r="G4396" s="2031">
        <v>703.0</v>
      </c>
      <c r="H4396" s="2031">
        <v>703.0</v>
      </c>
    </row>
    <row r="4397">
      <c r="B4397" s="2031">
        <v>4395.0</v>
      </c>
      <c r="C4397" s="2031">
        <v>528.0</v>
      </c>
      <c r="D4397" s="2031">
        <v>1055.0</v>
      </c>
      <c r="E4397" s="2031">
        <v>703.0</v>
      </c>
      <c r="F4397" s="2031">
        <v>703.0</v>
      </c>
      <c r="G4397" s="2031">
        <v>703.0</v>
      </c>
      <c r="H4397" s="2031">
        <v>703.0</v>
      </c>
    </row>
    <row r="4398">
      <c r="B4398" s="2031">
        <v>4396.0</v>
      </c>
      <c r="C4398" s="2031">
        <v>527.0</v>
      </c>
      <c r="D4398" s="2031">
        <v>1055.0</v>
      </c>
      <c r="E4398" s="2031">
        <v>703.0</v>
      </c>
      <c r="F4398" s="2031">
        <v>703.0</v>
      </c>
      <c r="G4398" s="2031">
        <v>704.0</v>
      </c>
      <c r="H4398" s="2031">
        <v>704.0</v>
      </c>
    </row>
    <row r="4399">
      <c r="B4399" s="2031">
        <v>4397.0</v>
      </c>
      <c r="C4399" s="2031">
        <v>528.0</v>
      </c>
      <c r="D4399" s="2031">
        <v>1055.0</v>
      </c>
      <c r="E4399" s="2031">
        <v>703.0</v>
      </c>
      <c r="F4399" s="2031">
        <v>703.0</v>
      </c>
      <c r="G4399" s="2031">
        <v>704.0</v>
      </c>
      <c r="H4399" s="2031">
        <v>704.0</v>
      </c>
    </row>
    <row r="4400">
      <c r="B4400" s="2031">
        <v>4398.0</v>
      </c>
      <c r="C4400" s="2031">
        <v>527.0</v>
      </c>
      <c r="D4400" s="2031">
        <v>1055.0</v>
      </c>
      <c r="E4400" s="2031">
        <v>704.0</v>
      </c>
      <c r="F4400" s="2031">
        <v>704.0</v>
      </c>
      <c r="G4400" s="2031">
        <v>704.0</v>
      </c>
      <c r="H4400" s="2031">
        <v>704.0</v>
      </c>
    </row>
    <row r="4401">
      <c r="B4401" s="2031">
        <v>4399.0</v>
      </c>
      <c r="C4401" s="2031">
        <v>528.0</v>
      </c>
      <c r="D4401" s="2031">
        <v>1055.0</v>
      </c>
      <c r="E4401" s="2031">
        <v>704.0</v>
      </c>
      <c r="F4401" s="2031">
        <v>704.0</v>
      </c>
      <c r="G4401" s="2031">
        <v>704.0</v>
      </c>
      <c r="H4401" s="2031">
        <v>704.0</v>
      </c>
    </row>
    <row r="4402">
      <c r="B4402" s="2031">
        <v>4400.0</v>
      </c>
      <c r="C4402" s="2031">
        <v>528.0</v>
      </c>
      <c r="D4402" s="2031">
        <v>1056.0</v>
      </c>
      <c r="E4402" s="2031">
        <v>704.0</v>
      </c>
      <c r="F4402" s="2031">
        <v>704.0</v>
      </c>
      <c r="G4402" s="2031">
        <v>704.0</v>
      </c>
      <c r="H4402" s="2031">
        <v>704.0</v>
      </c>
    </row>
    <row r="4403">
      <c r="B4403" s="2031">
        <v>4401.0</v>
      </c>
      <c r="C4403" s="2031">
        <v>528.0</v>
      </c>
      <c r="D4403" s="2031">
        <v>1057.0</v>
      </c>
      <c r="E4403" s="2031">
        <v>704.0</v>
      </c>
      <c r="F4403" s="2031">
        <v>704.0</v>
      </c>
      <c r="G4403" s="2031">
        <v>704.0</v>
      </c>
      <c r="H4403" s="2031">
        <v>704.0</v>
      </c>
    </row>
    <row r="4404">
      <c r="B4404" s="2031">
        <v>4402.0</v>
      </c>
      <c r="C4404" s="2031">
        <v>529.0</v>
      </c>
      <c r="D4404" s="2031">
        <v>1057.0</v>
      </c>
      <c r="E4404" s="2031">
        <v>704.0</v>
      </c>
      <c r="F4404" s="2031">
        <v>704.0</v>
      </c>
      <c r="G4404" s="2031">
        <v>704.0</v>
      </c>
      <c r="H4404" s="2031">
        <v>704.0</v>
      </c>
    </row>
    <row r="4405">
      <c r="B4405" s="2031">
        <v>4403.0</v>
      </c>
      <c r="C4405" s="2031">
        <v>528.0</v>
      </c>
      <c r="D4405" s="2031">
        <v>1057.0</v>
      </c>
      <c r="E4405" s="2031">
        <v>704.0</v>
      </c>
      <c r="F4405" s="2031">
        <v>704.0</v>
      </c>
      <c r="G4405" s="2031">
        <v>705.0</v>
      </c>
      <c r="H4405" s="2031">
        <v>705.0</v>
      </c>
    </row>
    <row r="4406">
      <c r="B4406" s="2031">
        <v>4404.0</v>
      </c>
      <c r="C4406" s="2031">
        <v>529.0</v>
      </c>
      <c r="D4406" s="2031">
        <v>1057.0</v>
      </c>
      <c r="E4406" s="2031">
        <v>704.0</v>
      </c>
      <c r="F4406" s="2031">
        <v>704.0</v>
      </c>
      <c r="G4406" s="2031">
        <v>705.0</v>
      </c>
      <c r="H4406" s="2031">
        <v>705.0</v>
      </c>
    </row>
    <row r="4407">
      <c r="B4407" s="2031">
        <v>4405.0</v>
      </c>
      <c r="C4407" s="2031">
        <v>528.0</v>
      </c>
      <c r="D4407" s="2031">
        <v>1057.0</v>
      </c>
      <c r="E4407" s="2031">
        <v>705.0</v>
      </c>
      <c r="F4407" s="2031">
        <v>705.0</v>
      </c>
      <c r="G4407" s="2031">
        <v>705.0</v>
      </c>
      <c r="H4407" s="2031">
        <v>705.0</v>
      </c>
    </row>
    <row r="4408">
      <c r="B4408" s="2031">
        <v>4406.0</v>
      </c>
      <c r="C4408" s="2031">
        <v>529.0</v>
      </c>
      <c r="D4408" s="2031">
        <v>1057.0</v>
      </c>
      <c r="E4408" s="2031">
        <v>705.0</v>
      </c>
      <c r="F4408" s="2031">
        <v>705.0</v>
      </c>
      <c r="G4408" s="2031">
        <v>705.0</v>
      </c>
      <c r="H4408" s="2031">
        <v>705.0</v>
      </c>
    </row>
    <row r="4409">
      <c r="B4409" s="2031">
        <v>4407.0</v>
      </c>
      <c r="C4409" s="2031">
        <v>529.0</v>
      </c>
      <c r="D4409" s="2031">
        <v>1058.0</v>
      </c>
      <c r="E4409" s="2031">
        <v>705.0</v>
      </c>
      <c r="F4409" s="2031">
        <v>705.0</v>
      </c>
      <c r="G4409" s="2031">
        <v>705.0</v>
      </c>
      <c r="H4409" s="2031">
        <v>705.0</v>
      </c>
    </row>
    <row r="4410">
      <c r="B4410" s="2031">
        <v>4408.0</v>
      </c>
      <c r="C4410" s="2031">
        <v>529.0</v>
      </c>
      <c r="D4410" s="2031">
        <v>1057.0</v>
      </c>
      <c r="E4410" s="2031">
        <v>705.0</v>
      </c>
      <c r="F4410" s="2031">
        <v>705.0</v>
      </c>
      <c r="G4410" s="2031">
        <v>706.0</v>
      </c>
      <c r="H4410" s="2031">
        <v>706.0</v>
      </c>
    </row>
    <row r="4411">
      <c r="B4411" s="2031">
        <v>4409.0</v>
      </c>
      <c r="C4411" s="2031">
        <v>529.0</v>
      </c>
      <c r="D4411" s="2031">
        <v>1058.0</v>
      </c>
      <c r="E4411" s="2031">
        <v>705.0</v>
      </c>
      <c r="F4411" s="2031">
        <v>705.0</v>
      </c>
      <c r="G4411" s="2031">
        <v>706.0</v>
      </c>
      <c r="H4411" s="2031">
        <v>706.0</v>
      </c>
    </row>
    <row r="4412">
      <c r="B4412" s="2031">
        <v>4410.0</v>
      </c>
      <c r="C4412" s="2031">
        <v>529.0</v>
      </c>
      <c r="D4412" s="2031">
        <v>1059.0</v>
      </c>
      <c r="E4412" s="2031">
        <v>705.0</v>
      </c>
      <c r="F4412" s="2031">
        <v>705.0</v>
      </c>
      <c r="G4412" s="2031">
        <v>706.0</v>
      </c>
      <c r="H4412" s="2031">
        <v>706.0</v>
      </c>
    </row>
    <row r="4413">
      <c r="B4413" s="2031">
        <v>4411.0</v>
      </c>
      <c r="C4413" s="2031">
        <v>529.0</v>
      </c>
      <c r="D4413" s="2031">
        <v>1058.0</v>
      </c>
      <c r="E4413" s="2031">
        <v>706.0</v>
      </c>
      <c r="F4413" s="2031">
        <v>706.0</v>
      </c>
      <c r="G4413" s="2031">
        <v>706.0</v>
      </c>
      <c r="H4413" s="2031">
        <v>706.0</v>
      </c>
    </row>
    <row r="4414">
      <c r="B4414" s="2031">
        <v>4412.0</v>
      </c>
      <c r="C4414" s="2031">
        <v>529.0</v>
      </c>
      <c r="D4414" s="2031">
        <v>1059.0</v>
      </c>
      <c r="E4414" s="2031">
        <v>706.0</v>
      </c>
      <c r="F4414" s="2031">
        <v>706.0</v>
      </c>
      <c r="G4414" s="2031">
        <v>706.0</v>
      </c>
      <c r="H4414" s="2031">
        <v>706.0</v>
      </c>
    </row>
    <row r="4415">
      <c r="B4415" s="2031">
        <v>4413.0</v>
      </c>
      <c r="C4415" s="2031">
        <v>530.0</v>
      </c>
      <c r="D4415" s="2031">
        <v>1059.0</v>
      </c>
      <c r="E4415" s="2031">
        <v>706.0</v>
      </c>
      <c r="F4415" s="2031">
        <v>706.0</v>
      </c>
      <c r="G4415" s="2031">
        <v>706.0</v>
      </c>
      <c r="H4415" s="2031">
        <v>706.0</v>
      </c>
    </row>
    <row r="4416">
      <c r="B4416" s="2031">
        <v>4414.0</v>
      </c>
      <c r="C4416" s="2031">
        <v>530.0</v>
      </c>
      <c r="D4416" s="2031">
        <v>1060.0</v>
      </c>
      <c r="E4416" s="2031">
        <v>706.0</v>
      </c>
      <c r="F4416" s="2031">
        <v>706.0</v>
      </c>
      <c r="G4416" s="2031">
        <v>706.0</v>
      </c>
      <c r="H4416" s="2031">
        <v>706.0</v>
      </c>
    </row>
    <row r="4417">
      <c r="B4417" s="2031">
        <v>4415.0</v>
      </c>
      <c r="C4417" s="2031">
        <v>530.0</v>
      </c>
      <c r="D4417" s="2031">
        <v>1059.0</v>
      </c>
      <c r="E4417" s="2031">
        <v>706.0</v>
      </c>
      <c r="F4417" s="2031">
        <v>706.0</v>
      </c>
      <c r="G4417" s="2031">
        <v>707.0</v>
      </c>
      <c r="H4417" s="2031">
        <v>707.0</v>
      </c>
    </row>
    <row r="4418">
      <c r="B4418" s="2031">
        <v>4416.0</v>
      </c>
      <c r="C4418" s="2031">
        <v>530.0</v>
      </c>
      <c r="D4418" s="2031">
        <v>1060.0</v>
      </c>
      <c r="E4418" s="2031">
        <v>706.0</v>
      </c>
      <c r="F4418" s="2031">
        <v>706.0</v>
      </c>
      <c r="G4418" s="2031">
        <v>707.0</v>
      </c>
      <c r="H4418" s="2031">
        <v>707.0</v>
      </c>
    </row>
    <row r="4419">
      <c r="B4419" s="2031">
        <v>4417.0</v>
      </c>
      <c r="C4419" s="2031">
        <v>530.0</v>
      </c>
      <c r="D4419" s="2031">
        <v>1061.0</v>
      </c>
      <c r="E4419" s="2031">
        <v>706.0</v>
      </c>
      <c r="F4419" s="2031">
        <v>706.0</v>
      </c>
      <c r="G4419" s="2031">
        <v>707.0</v>
      </c>
      <c r="H4419" s="2031">
        <v>707.0</v>
      </c>
    </row>
    <row r="4420">
      <c r="B4420" s="2031">
        <v>4418.0</v>
      </c>
      <c r="C4420" s="2031">
        <v>530.0</v>
      </c>
      <c r="D4420" s="2031">
        <v>1060.0</v>
      </c>
      <c r="E4420" s="2031">
        <v>707.0</v>
      </c>
      <c r="F4420" s="2031">
        <v>707.0</v>
      </c>
      <c r="G4420" s="2031">
        <v>707.0</v>
      </c>
      <c r="H4420" s="2031">
        <v>707.0</v>
      </c>
    </row>
    <row r="4421">
      <c r="B4421" s="2031">
        <v>4419.0</v>
      </c>
      <c r="C4421" s="2031">
        <v>530.0</v>
      </c>
      <c r="D4421" s="2031">
        <v>1061.0</v>
      </c>
      <c r="E4421" s="2031">
        <v>707.0</v>
      </c>
      <c r="F4421" s="2031">
        <v>707.0</v>
      </c>
      <c r="G4421" s="2031">
        <v>707.0</v>
      </c>
      <c r="H4421" s="2031">
        <v>707.0</v>
      </c>
    </row>
    <row r="4422">
      <c r="B4422" s="2031">
        <v>4420.0</v>
      </c>
      <c r="C4422" s="2031">
        <v>531.0</v>
      </c>
      <c r="D4422" s="2031">
        <v>1061.0</v>
      </c>
      <c r="E4422" s="2031">
        <v>707.0</v>
      </c>
      <c r="F4422" s="2031">
        <v>707.0</v>
      </c>
      <c r="G4422" s="2031">
        <v>707.0</v>
      </c>
      <c r="H4422" s="2031">
        <v>707.0</v>
      </c>
    </row>
    <row r="4423">
      <c r="B4423" s="2031">
        <v>4421.0</v>
      </c>
      <c r="C4423" s="2031">
        <v>530.0</v>
      </c>
      <c r="D4423" s="2031">
        <v>1061.0</v>
      </c>
      <c r="E4423" s="2031">
        <v>707.0</v>
      </c>
      <c r="F4423" s="2031">
        <v>707.0</v>
      </c>
      <c r="G4423" s="2031">
        <v>708.0</v>
      </c>
      <c r="H4423" s="2031">
        <v>708.0</v>
      </c>
    </row>
    <row r="4424">
      <c r="B4424" s="2031">
        <v>4422.0</v>
      </c>
      <c r="C4424" s="2031">
        <v>531.0</v>
      </c>
      <c r="D4424" s="2031">
        <v>1061.0</v>
      </c>
      <c r="E4424" s="2031">
        <v>707.0</v>
      </c>
      <c r="F4424" s="2031">
        <v>707.0</v>
      </c>
      <c r="G4424" s="2031">
        <v>708.0</v>
      </c>
      <c r="H4424" s="2031">
        <v>708.0</v>
      </c>
    </row>
    <row r="4425">
      <c r="B4425" s="2031">
        <v>4423.0</v>
      </c>
      <c r="C4425" s="2031">
        <v>530.0</v>
      </c>
      <c r="D4425" s="2031">
        <v>1061.0</v>
      </c>
      <c r="E4425" s="2031">
        <v>708.0</v>
      </c>
      <c r="F4425" s="2031">
        <v>708.0</v>
      </c>
      <c r="G4425" s="2031">
        <v>708.0</v>
      </c>
      <c r="H4425" s="2031">
        <v>708.0</v>
      </c>
    </row>
    <row r="4426">
      <c r="B4426" s="2031">
        <v>4424.0</v>
      </c>
      <c r="C4426" s="2031">
        <v>531.0</v>
      </c>
      <c r="D4426" s="2031">
        <v>1061.0</v>
      </c>
      <c r="E4426" s="2031">
        <v>708.0</v>
      </c>
      <c r="F4426" s="2031">
        <v>708.0</v>
      </c>
      <c r="G4426" s="2031">
        <v>708.0</v>
      </c>
      <c r="H4426" s="2031">
        <v>708.0</v>
      </c>
    </row>
    <row r="4427">
      <c r="B4427" s="2031">
        <v>4425.0</v>
      </c>
      <c r="C4427" s="2031">
        <v>531.0</v>
      </c>
      <c r="D4427" s="2031">
        <v>1062.0</v>
      </c>
      <c r="E4427" s="2031">
        <v>708.0</v>
      </c>
      <c r="F4427" s="2031">
        <v>708.0</v>
      </c>
      <c r="G4427" s="2031">
        <v>708.0</v>
      </c>
      <c r="H4427" s="2031">
        <v>708.0</v>
      </c>
    </row>
    <row r="4428">
      <c r="B4428" s="2031">
        <v>4426.0</v>
      </c>
      <c r="C4428" s="2031">
        <v>531.0</v>
      </c>
      <c r="D4428" s="2031">
        <v>1063.0</v>
      </c>
      <c r="E4428" s="2031">
        <v>708.0</v>
      </c>
      <c r="F4428" s="2031">
        <v>708.0</v>
      </c>
      <c r="G4428" s="2031">
        <v>708.0</v>
      </c>
      <c r="H4428" s="2031">
        <v>708.0</v>
      </c>
    </row>
    <row r="4429">
      <c r="B4429" s="2031">
        <v>4427.0</v>
      </c>
      <c r="C4429" s="2031">
        <v>532.0</v>
      </c>
      <c r="D4429" s="2031">
        <v>1063.0</v>
      </c>
      <c r="E4429" s="2031">
        <v>708.0</v>
      </c>
      <c r="F4429" s="2031">
        <v>708.0</v>
      </c>
      <c r="G4429" s="2031">
        <v>708.0</v>
      </c>
      <c r="H4429" s="2031">
        <v>708.0</v>
      </c>
    </row>
    <row r="4430">
      <c r="B4430" s="2031">
        <v>4428.0</v>
      </c>
      <c r="C4430" s="2031">
        <v>531.0</v>
      </c>
      <c r="D4430" s="2031">
        <v>1063.0</v>
      </c>
      <c r="E4430" s="2031">
        <v>708.0</v>
      </c>
      <c r="F4430" s="2031">
        <v>708.0</v>
      </c>
      <c r="G4430" s="2031">
        <v>709.0</v>
      </c>
      <c r="H4430" s="2031">
        <v>709.0</v>
      </c>
    </row>
    <row r="4431">
      <c r="B4431" s="2031">
        <v>4429.0</v>
      </c>
      <c r="C4431" s="2031">
        <v>532.0</v>
      </c>
      <c r="D4431" s="2031">
        <v>1063.0</v>
      </c>
      <c r="E4431" s="2031">
        <v>708.0</v>
      </c>
      <c r="F4431" s="2031">
        <v>708.0</v>
      </c>
      <c r="G4431" s="2031">
        <v>709.0</v>
      </c>
      <c r="H4431" s="2031">
        <v>709.0</v>
      </c>
    </row>
    <row r="4432">
      <c r="B4432" s="2031">
        <v>4430.0</v>
      </c>
      <c r="C4432" s="2031">
        <v>531.0</v>
      </c>
      <c r="D4432" s="2031">
        <v>1063.0</v>
      </c>
      <c r="E4432" s="2031">
        <v>709.0</v>
      </c>
      <c r="F4432" s="2031">
        <v>709.0</v>
      </c>
      <c r="G4432" s="2031">
        <v>709.0</v>
      </c>
      <c r="H4432" s="2031">
        <v>709.0</v>
      </c>
    </row>
    <row r="4433">
      <c r="B4433" s="2031">
        <v>4431.0</v>
      </c>
      <c r="C4433" s="2031">
        <v>532.0</v>
      </c>
      <c r="D4433" s="2031">
        <v>1063.0</v>
      </c>
      <c r="E4433" s="2031">
        <v>709.0</v>
      </c>
      <c r="F4433" s="2031">
        <v>709.0</v>
      </c>
      <c r="G4433" s="2031">
        <v>709.0</v>
      </c>
      <c r="H4433" s="2031">
        <v>709.0</v>
      </c>
    </row>
    <row r="4434">
      <c r="B4434" s="2031">
        <v>4432.0</v>
      </c>
      <c r="C4434" s="2031">
        <v>532.0</v>
      </c>
      <c r="D4434" s="2031">
        <v>1064.0</v>
      </c>
      <c r="E4434" s="2031">
        <v>709.0</v>
      </c>
      <c r="F4434" s="2031">
        <v>709.0</v>
      </c>
      <c r="G4434" s="2031">
        <v>709.0</v>
      </c>
      <c r="H4434" s="2031">
        <v>709.0</v>
      </c>
    </row>
    <row r="4435">
      <c r="B4435" s="2031">
        <v>4433.0</v>
      </c>
      <c r="C4435" s="2031">
        <v>532.0</v>
      </c>
      <c r="D4435" s="2031">
        <v>1063.0</v>
      </c>
      <c r="E4435" s="2031">
        <v>709.0</v>
      </c>
      <c r="F4435" s="2031">
        <v>709.0</v>
      </c>
      <c r="G4435" s="2031">
        <v>710.0</v>
      </c>
      <c r="H4435" s="2031">
        <v>710.0</v>
      </c>
    </row>
    <row r="4436">
      <c r="B4436" s="2031">
        <v>4434.0</v>
      </c>
      <c r="C4436" s="2031">
        <v>532.0</v>
      </c>
      <c r="D4436" s="2031">
        <v>1064.0</v>
      </c>
      <c r="E4436" s="2031">
        <v>709.0</v>
      </c>
      <c r="F4436" s="2031">
        <v>709.0</v>
      </c>
      <c r="G4436" s="2031">
        <v>710.0</v>
      </c>
      <c r="H4436" s="2031">
        <v>710.0</v>
      </c>
    </row>
    <row r="4437">
      <c r="B4437" s="2031">
        <v>4435.0</v>
      </c>
      <c r="C4437" s="2031">
        <v>532.0</v>
      </c>
      <c r="D4437" s="2031">
        <v>1065.0</v>
      </c>
      <c r="E4437" s="2031">
        <v>709.0</v>
      </c>
      <c r="F4437" s="2031">
        <v>709.0</v>
      </c>
      <c r="G4437" s="2031">
        <v>710.0</v>
      </c>
      <c r="H4437" s="2031">
        <v>710.0</v>
      </c>
    </row>
    <row r="4438">
      <c r="B4438" s="2031">
        <v>4436.0</v>
      </c>
      <c r="C4438" s="2031">
        <v>532.0</v>
      </c>
      <c r="D4438" s="2031">
        <v>1064.0</v>
      </c>
      <c r="E4438" s="2031">
        <v>710.0</v>
      </c>
      <c r="F4438" s="2031">
        <v>710.0</v>
      </c>
      <c r="G4438" s="2031">
        <v>710.0</v>
      </c>
      <c r="H4438" s="2031">
        <v>710.0</v>
      </c>
    </row>
    <row r="4439">
      <c r="B4439" s="2031">
        <v>4437.0</v>
      </c>
      <c r="C4439" s="2031">
        <v>532.0</v>
      </c>
      <c r="D4439" s="2031">
        <v>1065.0</v>
      </c>
      <c r="E4439" s="2031">
        <v>710.0</v>
      </c>
      <c r="F4439" s="2031">
        <v>710.0</v>
      </c>
      <c r="G4439" s="2031">
        <v>710.0</v>
      </c>
      <c r="H4439" s="2031">
        <v>710.0</v>
      </c>
    </row>
    <row r="4440">
      <c r="B4440" s="2031">
        <v>4438.0</v>
      </c>
      <c r="C4440" s="2031">
        <v>533.0</v>
      </c>
      <c r="D4440" s="2031">
        <v>1065.0</v>
      </c>
      <c r="E4440" s="2031">
        <v>710.0</v>
      </c>
      <c r="F4440" s="2031">
        <v>710.0</v>
      </c>
      <c r="G4440" s="2031">
        <v>710.0</v>
      </c>
      <c r="H4440" s="2031">
        <v>710.0</v>
      </c>
    </row>
    <row r="4441">
      <c r="B4441" s="2031">
        <v>4439.0</v>
      </c>
      <c r="C4441" s="2031">
        <v>533.0</v>
      </c>
      <c r="D4441" s="2031">
        <v>1066.0</v>
      </c>
      <c r="E4441" s="2031">
        <v>710.0</v>
      </c>
      <c r="F4441" s="2031">
        <v>710.0</v>
      </c>
      <c r="G4441" s="2031">
        <v>710.0</v>
      </c>
      <c r="H4441" s="2031">
        <v>710.0</v>
      </c>
    </row>
    <row r="4442">
      <c r="B4442" s="2031">
        <v>4440.0</v>
      </c>
      <c r="C4442" s="2031">
        <v>533.0</v>
      </c>
      <c r="D4442" s="2031">
        <v>1065.0</v>
      </c>
      <c r="E4442" s="2031">
        <v>710.0</v>
      </c>
      <c r="F4442" s="2031">
        <v>710.0</v>
      </c>
      <c r="G4442" s="2031">
        <v>711.0</v>
      </c>
      <c r="H4442" s="2031">
        <v>711.0</v>
      </c>
    </row>
    <row r="4443">
      <c r="B4443" s="2031">
        <v>4441.0</v>
      </c>
      <c r="C4443" s="2031">
        <v>533.0</v>
      </c>
      <c r="D4443" s="2031">
        <v>1066.0</v>
      </c>
      <c r="E4443" s="2031">
        <v>710.0</v>
      </c>
      <c r="F4443" s="2031">
        <v>710.0</v>
      </c>
      <c r="G4443" s="2031">
        <v>711.0</v>
      </c>
      <c r="H4443" s="2031">
        <v>711.0</v>
      </c>
    </row>
    <row r="4444">
      <c r="B4444" s="2031">
        <v>4442.0</v>
      </c>
      <c r="C4444" s="2031">
        <v>533.0</v>
      </c>
      <c r="D4444" s="2031">
        <v>1067.0</v>
      </c>
      <c r="E4444" s="2031">
        <v>710.0</v>
      </c>
      <c r="F4444" s="2031">
        <v>710.0</v>
      </c>
      <c r="G4444" s="2031">
        <v>711.0</v>
      </c>
      <c r="H4444" s="2031">
        <v>711.0</v>
      </c>
    </row>
    <row r="4445">
      <c r="B4445" s="2031">
        <v>4443.0</v>
      </c>
      <c r="C4445" s="2031">
        <v>533.0</v>
      </c>
      <c r="D4445" s="2031">
        <v>1066.0</v>
      </c>
      <c r="E4445" s="2031">
        <v>711.0</v>
      </c>
      <c r="F4445" s="2031">
        <v>711.0</v>
      </c>
      <c r="G4445" s="2031">
        <v>711.0</v>
      </c>
      <c r="H4445" s="2031">
        <v>711.0</v>
      </c>
    </row>
    <row r="4446">
      <c r="B4446" s="2031">
        <v>4444.0</v>
      </c>
      <c r="C4446" s="2031">
        <v>533.0</v>
      </c>
      <c r="D4446" s="2031">
        <v>1067.0</v>
      </c>
      <c r="E4446" s="2031">
        <v>711.0</v>
      </c>
      <c r="F4446" s="2031">
        <v>711.0</v>
      </c>
      <c r="G4446" s="2031">
        <v>711.0</v>
      </c>
      <c r="H4446" s="2031">
        <v>711.0</v>
      </c>
    </row>
    <row r="4447">
      <c r="B4447" s="2031">
        <v>4445.0</v>
      </c>
      <c r="C4447" s="2031">
        <v>534.0</v>
      </c>
      <c r="D4447" s="2031">
        <v>1067.0</v>
      </c>
      <c r="E4447" s="2031">
        <v>711.0</v>
      </c>
      <c r="F4447" s="2031">
        <v>711.0</v>
      </c>
      <c r="G4447" s="2031">
        <v>711.0</v>
      </c>
      <c r="H4447" s="2031">
        <v>711.0</v>
      </c>
    </row>
    <row r="4448">
      <c r="B4448" s="2031">
        <v>4446.0</v>
      </c>
      <c r="C4448" s="2031">
        <v>533.0</v>
      </c>
      <c r="D4448" s="2031">
        <v>1067.0</v>
      </c>
      <c r="E4448" s="2031">
        <v>711.0</v>
      </c>
      <c r="F4448" s="2031">
        <v>711.0</v>
      </c>
      <c r="G4448" s="2031">
        <v>712.0</v>
      </c>
      <c r="H4448" s="2031">
        <v>712.0</v>
      </c>
    </row>
    <row r="4449">
      <c r="B4449" s="2031">
        <v>4447.0</v>
      </c>
      <c r="C4449" s="2031">
        <v>534.0</v>
      </c>
      <c r="D4449" s="2031">
        <v>1067.0</v>
      </c>
      <c r="E4449" s="2031">
        <v>711.0</v>
      </c>
      <c r="F4449" s="2031">
        <v>711.0</v>
      </c>
      <c r="G4449" s="2031">
        <v>712.0</v>
      </c>
      <c r="H4449" s="2031">
        <v>712.0</v>
      </c>
    </row>
    <row r="4450">
      <c r="B4450" s="2031">
        <v>4448.0</v>
      </c>
      <c r="C4450" s="2031">
        <v>533.0</v>
      </c>
      <c r="D4450" s="2031">
        <v>1067.0</v>
      </c>
      <c r="E4450" s="2031">
        <v>712.0</v>
      </c>
      <c r="F4450" s="2031">
        <v>712.0</v>
      </c>
      <c r="G4450" s="2031">
        <v>712.0</v>
      </c>
      <c r="H4450" s="2031">
        <v>712.0</v>
      </c>
    </row>
    <row r="4451">
      <c r="B4451" s="2031">
        <v>4449.0</v>
      </c>
      <c r="C4451" s="2031">
        <v>534.0</v>
      </c>
      <c r="D4451" s="2031">
        <v>1067.0</v>
      </c>
      <c r="E4451" s="2031">
        <v>712.0</v>
      </c>
      <c r="F4451" s="2031">
        <v>712.0</v>
      </c>
      <c r="G4451" s="2031">
        <v>712.0</v>
      </c>
      <c r="H4451" s="2031">
        <v>712.0</v>
      </c>
    </row>
    <row r="4452">
      <c r="B4452" s="2031">
        <v>4450.0</v>
      </c>
      <c r="C4452" s="2031">
        <v>534.0</v>
      </c>
      <c r="D4452" s="2031">
        <v>1068.0</v>
      </c>
      <c r="E4452" s="2031">
        <v>712.0</v>
      </c>
      <c r="F4452" s="2031">
        <v>712.0</v>
      </c>
      <c r="G4452" s="2031">
        <v>712.0</v>
      </c>
      <c r="H4452" s="2031">
        <v>712.0</v>
      </c>
    </row>
    <row r="4453">
      <c r="B4453" s="2031">
        <v>4451.0</v>
      </c>
      <c r="C4453" s="2031">
        <v>534.0</v>
      </c>
      <c r="D4453" s="2031">
        <v>1069.0</v>
      </c>
      <c r="E4453" s="2031">
        <v>712.0</v>
      </c>
      <c r="F4453" s="2031">
        <v>712.0</v>
      </c>
      <c r="G4453" s="2031">
        <v>712.0</v>
      </c>
      <c r="H4453" s="2031">
        <v>712.0</v>
      </c>
    </row>
    <row r="4454">
      <c r="B4454" s="2031">
        <v>4452.0</v>
      </c>
      <c r="C4454" s="2031">
        <v>535.0</v>
      </c>
      <c r="D4454" s="2031">
        <v>1069.0</v>
      </c>
      <c r="E4454" s="2031">
        <v>712.0</v>
      </c>
      <c r="F4454" s="2031">
        <v>712.0</v>
      </c>
      <c r="G4454" s="2031">
        <v>712.0</v>
      </c>
      <c r="H4454" s="2031">
        <v>712.0</v>
      </c>
    </row>
    <row r="4455">
      <c r="B4455" s="2031">
        <v>4453.0</v>
      </c>
      <c r="C4455" s="2031">
        <v>534.0</v>
      </c>
      <c r="D4455" s="2031">
        <v>1069.0</v>
      </c>
      <c r="E4455" s="2031">
        <v>712.0</v>
      </c>
      <c r="F4455" s="2031">
        <v>712.0</v>
      </c>
      <c r="G4455" s="2031">
        <v>713.0</v>
      </c>
      <c r="H4455" s="2031">
        <v>713.0</v>
      </c>
    </row>
    <row r="4456">
      <c r="B4456" s="2031">
        <v>4454.0</v>
      </c>
      <c r="C4456" s="2031">
        <v>535.0</v>
      </c>
      <c r="D4456" s="2031">
        <v>1069.0</v>
      </c>
      <c r="E4456" s="2031">
        <v>712.0</v>
      </c>
      <c r="F4456" s="2031">
        <v>712.0</v>
      </c>
      <c r="G4456" s="2031">
        <v>713.0</v>
      </c>
      <c r="H4456" s="2031">
        <v>713.0</v>
      </c>
    </row>
    <row r="4457">
      <c r="B4457" s="2031">
        <v>4455.0</v>
      </c>
      <c r="C4457" s="2031">
        <v>534.0</v>
      </c>
      <c r="D4457" s="2031">
        <v>1069.0</v>
      </c>
      <c r="E4457" s="2031">
        <v>713.0</v>
      </c>
      <c r="F4457" s="2031">
        <v>713.0</v>
      </c>
      <c r="G4457" s="2031">
        <v>713.0</v>
      </c>
      <c r="H4457" s="2031">
        <v>713.0</v>
      </c>
    </row>
    <row r="4458">
      <c r="B4458" s="2031">
        <v>4456.0</v>
      </c>
      <c r="C4458" s="2031">
        <v>535.0</v>
      </c>
      <c r="D4458" s="2031">
        <v>1069.0</v>
      </c>
      <c r="E4458" s="2031">
        <v>713.0</v>
      </c>
      <c r="F4458" s="2031">
        <v>713.0</v>
      </c>
      <c r="G4458" s="2031">
        <v>713.0</v>
      </c>
      <c r="H4458" s="2031">
        <v>713.0</v>
      </c>
    </row>
    <row r="4459">
      <c r="B4459" s="2031">
        <v>4457.0</v>
      </c>
      <c r="C4459" s="2031">
        <v>535.0</v>
      </c>
      <c r="D4459" s="2031">
        <v>1070.0</v>
      </c>
      <c r="E4459" s="2031">
        <v>713.0</v>
      </c>
      <c r="F4459" s="2031">
        <v>713.0</v>
      </c>
      <c r="G4459" s="2031">
        <v>713.0</v>
      </c>
      <c r="H4459" s="2031">
        <v>713.0</v>
      </c>
    </row>
    <row r="4460">
      <c r="B4460" s="2031">
        <v>4458.0</v>
      </c>
      <c r="C4460" s="2031">
        <v>535.0</v>
      </c>
      <c r="D4460" s="2031">
        <v>1069.0</v>
      </c>
      <c r="E4460" s="2031">
        <v>713.0</v>
      </c>
      <c r="F4460" s="2031">
        <v>713.0</v>
      </c>
      <c r="G4460" s="2031">
        <v>714.0</v>
      </c>
      <c r="H4460" s="2031">
        <v>714.0</v>
      </c>
    </row>
    <row r="4461">
      <c r="B4461" s="2031">
        <v>4459.0</v>
      </c>
      <c r="C4461" s="2031">
        <v>535.0</v>
      </c>
      <c r="D4461" s="2031">
        <v>1070.0</v>
      </c>
      <c r="E4461" s="2031">
        <v>713.0</v>
      </c>
      <c r="F4461" s="2031">
        <v>713.0</v>
      </c>
      <c r="G4461" s="2031">
        <v>714.0</v>
      </c>
      <c r="H4461" s="2031">
        <v>714.0</v>
      </c>
    </row>
    <row r="4462">
      <c r="B4462" s="2031">
        <v>4460.0</v>
      </c>
      <c r="C4462" s="2031">
        <v>535.0</v>
      </c>
      <c r="D4462" s="2031">
        <v>1071.0</v>
      </c>
      <c r="E4462" s="2031">
        <v>713.0</v>
      </c>
      <c r="F4462" s="2031">
        <v>713.0</v>
      </c>
      <c r="G4462" s="2031">
        <v>714.0</v>
      </c>
      <c r="H4462" s="2031">
        <v>714.0</v>
      </c>
    </row>
    <row r="4463">
      <c r="B4463" s="2031">
        <v>4461.0</v>
      </c>
      <c r="C4463" s="2031">
        <v>535.0</v>
      </c>
      <c r="D4463" s="2031">
        <v>1070.0</v>
      </c>
      <c r="E4463" s="2031">
        <v>714.0</v>
      </c>
      <c r="F4463" s="2031">
        <v>714.0</v>
      </c>
      <c r="G4463" s="2031">
        <v>714.0</v>
      </c>
      <c r="H4463" s="2031">
        <v>714.0</v>
      </c>
    </row>
    <row r="4464">
      <c r="B4464" s="2031">
        <v>4462.0</v>
      </c>
      <c r="C4464" s="2031">
        <v>535.0</v>
      </c>
      <c r="D4464" s="2031">
        <v>1071.0</v>
      </c>
      <c r="E4464" s="2031">
        <v>714.0</v>
      </c>
      <c r="F4464" s="2031">
        <v>714.0</v>
      </c>
      <c r="G4464" s="2031">
        <v>714.0</v>
      </c>
      <c r="H4464" s="2031">
        <v>714.0</v>
      </c>
    </row>
    <row r="4465">
      <c r="B4465" s="2031">
        <v>4463.0</v>
      </c>
      <c r="C4465" s="2031">
        <v>536.0</v>
      </c>
      <c r="D4465" s="2031">
        <v>1071.0</v>
      </c>
      <c r="E4465" s="2031">
        <v>714.0</v>
      </c>
      <c r="F4465" s="2031">
        <v>714.0</v>
      </c>
      <c r="G4465" s="2031">
        <v>714.0</v>
      </c>
      <c r="H4465" s="2031">
        <v>714.0</v>
      </c>
    </row>
    <row r="4466">
      <c r="B4466" s="2031">
        <v>4464.0</v>
      </c>
      <c r="C4466" s="2031">
        <v>536.0</v>
      </c>
      <c r="D4466" s="2031">
        <v>1072.0</v>
      </c>
      <c r="E4466" s="2031">
        <v>714.0</v>
      </c>
      <c r="F4466" s="2031">
        <v>714.0</v>
      </c>
      <c r="G4466" s="2031">
        <v>714.0</v>
      </c>
      <c r="H4466" s="2031">
        <v>714.0</v>
      </c>
    </row>
    <row r="4467">
      <c r="B4467" s="2031">
        <v>4465.0</v>
      </c>
      <c r="C4467" s="2031">
        <v>536.0</v>
      </c>
      <c r="D4467" s="2031">
        <v>1071.0</v>
      </c>
      <c r="E4467" s="2031">
        <v>714.0</v>
      </c>
      <c r="F4467" s="2031">
        <v>714.0</v>
      </c>
      <c r="G4467" s="2031">
        <v>715.0</v>
      </c>
      <c r="H4467" s="2031">
        <v>715.0</v>
      </c>
    </row>
    <row r="4468">
      <c r="B4468" s="2031">
        <v>4466.0</v>
      </c>
      <c r="C4468" s="2031">
        <v>536.0</v>
      </c>
      <c r="D4468" s="2031">
        <v>1072.0</v>
      </c>
      <c r="E4468" s="2031">
        <v>714.0</v>
      </c>
      <c r="F4468" s="2031">
        <v>714.0</v>
      </c>
      <c r="G4468" s="2031">
        <v>715.0</v>
      </c>
      <c r="H4468" s="2031">
        <v>715.0</v>
      </c>
    </row>
    <row r="4469">
      <c r="B4469" s="2031">
        <v>4467.0</v>
      </c>
      <c r="C4469" s="2031">
        <v>536.0</v>
      </c>
      <c r="D4469" s="2031">
        <v>1073.0</v>
      </c>
      <c r="E4469" s="2031">
        <v>714.0</v>
      </c>
      <c r="F4469" s="2031">
        <v>714.0</v>
      </c>
      <c r="G4469" s="2031">
        <v>715.0</v>
      </c>
      <c r="H4469" s="2031">
        <v>715.0</v>
      </c>
    </row>
    <row r="4470">
      <c r="B4470" s="2031">
        <v>4468.0</v>
      </c>
      <c r="C4470" s="2031">
        <v>536.0</v>
      </c>
      <c r="D4470" s="2031">
        <v>1072.0</v>
      </c>
      <c r="E4470" s="2031">
        <v>715.0</v>
      </c>
      <c r="F4470" s="2031">
        <v>715.0</v>
      </c>
      <c r="G4470" s="2031">
        <v>715.0</v>
      </c>
      <c r="H4470" s="2031">
        <v>715.0</v>
      </c>
    </row>
    <row r="4471">
      <c r="B4471" s="2031">
        <v>4469.0</v>
      </c>
      <c r="C4471" s="2031">
        <v>536.0</v>
      </c>
      <c r="D4471" s="2031">
        <v>1073.0</v>
      </c>
      <c r="E4471" s="2031">
        <v>715.0</v>
      </c>
      <c r="F4471" s="2031">
        <v>715.0</v>
      </c>
      <c r="G4471" s="2031">
        <v>715.0</v>
      </c>
      <c r="H4471" s="2031">
        <v>715.0</v>
      </c>
    </row>
    <row r="4472">
      <c r="B4472" s="2031">
        <v>4470.0</v>
      </c>
      <c r="C4472" s="2031">
        <v>537.0</v>
      </c>
      <c r="D4472" s="2031">
        <v>1073.0</v>
      </c>
      <c r="E4472" s="2031">
        <v>715.0</v>
      </c>
      <c r="F4472" s="2031">
        <v>715.0</v>
      </c>
      <c r="G4472" s="2031">
        <v>715.0</v>
      </c>
      <c r="H4472" s="2031">
        <v>715.0</v>
      </c>
    </row>
    <row r="4473">
      <c r="B4473" s="2031">
        <v>4471.0</v>
      </c>
      <c r="C4473" s="2031">
        <v>536.0</v>
      </c>
      <c r="D4473" s="2031">
        <v>1073.0</v>
      </c>
      <c r="E4473" s="2031">
        <v>715.0</v>
      </c>
      <c r="F4473" s="2031">
        <v>715.0</v>
      </c>
      <c r="G4473" s="2031">
        <v>716.0</v>
      </c>
      <c r="H4473" s="2031">
        <v>716.0</v>
      </c>
    </row>
    <row r="4474">
      <c r="B4474" s="2031">
        <v>4472.0</v>
      </c>
      <c r="C4474" s="2031">
        <v>537.0</v>
      </c>
      <c r="D4474" s="2031">
        <v>1073.0</v>
      </c>
      <c r="E4474" s="2031">
        <v>715.0</v>
      </c>
      <c r="F4474" s="2031">
        <v>715.0</v>
      </c>
      <c r="G4474" s="2031">
        <v>716.0</v>
      </c>
      <c r="H4474" s="2031">
        <v>716.0</v>
      </c>
    </row>
    <row r="4475">
      <c r="B4475" s="2031">
        <v>4473.0</v>
      </c>
      <c r="C4475" s="2031">
        <v>536.0</v>
      </c>
      <c r="D4475" s="2031">
        <v>1073.0</v>
      </c>
      <c r="E4475" s="2031">
        <v>716.0</v>
      </c>
      <c r="F4475" s="2031">
        <v>716.0</v>
      </c>
      <c r="G4475" s="2031">
        <v>716.0</v>
      </c>
      <c r="H4475" s="2031">
        <v>716.0</v>
      </c>
    </row>
    <row r="4476">
      <c r="B4476" s="2031">
        <v>4474.0</v>
      </c>
      <c r="C4476" s="2031">
        <v>537.0</v>
      </c>
      <c r="D4476" s="2031">
        <v>1073.0</v>
      </c>
      <c r="E4476" s="2031">
        <v>716.0</v>
      </c>
      <c r="F4476" s="2031">
        <v>716.0</v>
      </c>
      <c r="G4476" s="2031">
        <v>716.0</v>
      </c>
      <c r="H4476" s="2031">
        <v>716.0</v>
      </c>
    </row>
    <row r="4477">
      <c r="B4477" s="2031">
        <v>4475.0</v>
      </c>
      <c r="C4477" s="2031">
        <v>537.0</v>
      </c>
      <c r="D4477" s="2031">
        <v>1074.0</v>
      </c>
      <c r="E4477" s="2031">
        <v>716.0</v>
      </c>
      <c r="F4477" s="2031">
        <v>716.0</v>
      </c>
      <c r="G4477" s="2031">
        <v>716.0</v>
      </c>
      <c r="H4477" s="2031">
        <v>716.0</v>
      </c>
    </row>
    <row r="4478">
      <c r="B4478" s="2031">
        <v>4476.0</v>
      </c>
      <c r="C4478" s="2031">
        <v>537.0</v>
      </c>
      <c r="D4478" s="2031">
        <v>1075.0</v>
      </c>
      <c r="E4478" s="2031">
        <v>716.0</v>
      </c>
      <c r="F4478" s="2031">
        <v>716.0</v>
      </c>
      <c r="G4478" s="2031">
        <v>716.0</v>
      </c>
      <c r="H4478" s="2031">
        <v>716.0</v>
      </c>
    </row>
    <row r="4479">
      <c r="B4479" s="2031">
        <v>4477.0</v>
      </c>
      <c r="C4479" s="2031">
        <v>538.0</v>
      </c>
      <c r="D4479" s="2031">
        <v>1075.0</v>
      </c>
      <c r="E4479" s="2031">
        <v>716.0</v>
      </c>
      <c r="F4479" s="2031">
        <v>716.0</v>
      </c>
      <c r="G4479" s="2031">
        <v>716.0</v>
      </c>
      <c r="H4479" s="2031">
        <v>716.0</v>
      </c>
    </row>
    <row r="4480">
      <c r="B4480" s="2031">
        <v>4478.0</v>
      </c>
      <c r="C4480" s="2031">
        <v>537.0</v>
      </c>
      <c r="D4480" s="2031">
        <v>1075.0</v>
      </c>
      <c r="E4480" s="2031">
        <v>716.0</v>
      </c>
      <c r="F4480" s="2031">
        <v>716.0</v>
      </c>
      <c r="G4480" s="2031">
        <v>717.0</v>
      </c>
      <c r="H4480" s="2031">
        <v>717.0</v>
      </c>
    </row>
    <row r="4481">
      <c r="B4481" s="2031">
        <v>4479.0</v>
      </c>
      <c r="C4481" s="2031">
        <v>538.0</v>
      </c>
      <c r="D4481" s="2031">
        <v>1075.0</v>
      </c>
      <c r="E4481" s="2031">
        <v>716.0</v>
      </c>
      <c r="F4481" s="2031">
        <v>716.0</v>
      </c>
      <c r="G4481" s="2031">
        <v>717.0</v>
      </c>
      <c r="H4481" s="2031">
        <v>717.0</v>
      </c>
    </row>
    <row r="4482">
      <c r="B4482" s="2031">
        <v>4480.0</v>
      </c>
      <c r="C4482" s="2031">
        <v>537.0</v>
      </c>
      <c r="D4482" s="2031">
        <v>1075.0</v>
      </c>
      <c r="E4482" s="2031">
        <v>717.0</v>
      </c>
      <c r="F4482" s="2031">
        <v>717.0</v>
      </c>
      <c r="G4482" s="2031">
        <v>717.0</v>
      </c>
      <c r="H4482" s="2031">
        <v>717.0</v>
      </c>
    </row>
    <row r="4483">
      <c r="B4483" s="2031">
        <v>4481.0</v>
      </c>
      <c r="C4483" s="2031">
        <v>538.0</v>
      </c>
      <c r="D4483" s="2031">
        <v>1075.0</v>
      </c>
      <c r="E4483" s="2031">
        <v>717.0</v>
      </c>
      <c r="F4483" s="2031">
        <v>717.0</v>
      </c>
      <c r="G4483" s="2031">
        <v>717.0</v>
      </c>
      <c r="H4483" s="2031">
        <v>717.0</v>
      </c>
    </row>
    <row r="4484">
      <c r="B4484" s="2031">
        <v>4482.0</v>
      </c>
      <c r="C4484" s="2031">
        <v>538.0</v>
      </c>
      <c r="D4484" s="2031">
        <v>1076.0</v>
      </c>
      <c r="E4484" s="2031">
        <v>717.0</v>
      </c>
      <c r="F4484" s="2031">
        <v>717.0</v>
      </c>
      <c r="G4484" s="2031">
        <v>717.0</v>
      </c>
      <c r="H4484" s="2031">
        <v>717.0</v>
      </c>
    </row>
    <row r="4485">
      <c r="B4485" s="2031">
        <v>4483.0</v>
      </c>
      <c r="C4485" s="2031">
        <v>538.0</v>
      </c>
      <c r="D4485" s="2031">
        <v>1075.0</v>
      </c>
      <c r="E4485" s="2031">
        <v>717.0</v>
      </c>
      <c r="F4485" s="2031">
        <v>717.0</v>
      </c>
      <c r="G4485" s="2031">
        <v>718.0</v>
      </c>
      <c r="H4485" s="2031">
        <v>718.0</v>
      </c>
    </row>
    <row r="4486">
      <c r="B4486" s="2031">
        <v>4484.0</v>
      </c>
      <c r="C4486" s="2031">
        <v>538.0</v>
      </c>
      <c r="D4486" s="2031">
        <v>1076.0</v>
      </c>
      <c r="E4486" s="2031">
        <v>717.0</v>
      </c>
      <c r="F4486" s="2031">
        <v>717.0</v>
      </c>
      <c r="G4486" s="2031">
        <v>718.0</v>
      </c>
      <c r="H4486" s="2031">
        <v>718.0</v>
      </c>
    </row>
    <row r="4487">
      <c r="B4487" s="2031">
        <v>4485.0</v>
      </c>
      <c r="C4487" s="2031">
        <v>538.0</v>
      </c>
      <c r="D4487" s="2031">
        <v>1077.0</v>
      </c>
      <c r="E4487" s="2031">
        <v>717.0</v>
      </c>
      <c r="F4487" s="2031">
        <v>717.0</v>
      </c>
      <c r="G4487" s="2031">
        <v>718.0</v>
      </c>
      <c r="H4487" s="2031">
        <v>718.0</v>
      </c>
    </row>
    <row r="4488">
      <c r="B4488" s="2031">
        <v>4486.0</v>
      </c>
      <c r="C4488" s="2031">
        <v>538.0</v>
      </c>
      <c r="D4488" s="2031">
        <v>1076.0</v>
      </c>
      <c r="E4488" s="2031">
        <v>718.0</v>
      </c>
      <c r="F4488" s="2031">
        <v>718.0</v>
      </c>
      <c r="G4488" s="2031">
        <v>718.0</v>
      </c>
      <c r="H4488" s="2031">
        <v>718.0</v>
      </c>
    </row>
    <row r="4489">
      <c r="B4489" s="2031">
        <v>4487.0</v>
      </c>
      <c r="C4489" s="2031">
        <v>538.0</v>
      </c>
      <c r="D4489" s="2031">
        <v>1077.0</v>
      </c>
      <c r="E4489" s="2031">
        <v>718.0</v>
      </c>
      <c r="F4489" s="2031">
        <v>718.0</v>
      </c>
      <c r="G4489" s="2031">
        <v>718.0</v>
      </c>
      <c r="H4489" s="2031">
        <v>718.0</v>
      </c>
    </row>
    <row r="4490">
      <c r="B4490" s="2031">
        <v>4488.0</v>
      </c>
      <c r="C4490" s="2031">
        <v>539.0</v>
      </c>
      <c r="D4490" s="2031">
        <v>1077.0</v>
      </c>
      <c r="E4490" s="2031">
        <v>718.0</v>
      </c>
      <c r="F4490" s="2031">
        <v>718.0</v>
      </c>
      <c r="G4490" s="2031">
        <v>718.0</v>
      </c>
      <c r="H4490" s="2031">
        <v>718.0</v>
      </c>
    </row>
    <row r="4491">
      <c r="B4491" s="2031">
        <v>4489.0</v>
      </c>
      <c r="C4491" s="2031">
        <v>539.0</v>
      </c>
      <c r="D4491" s="2031">
        <v>1078.0</v>
      </c>
      <c r="E4491" s="2031">
        <v>718.0</v>
      </c>
      <c r="F4491" s="2031">
        <v>718.0</v>
      </c>
      <c r="G4491" s="2031">
        <v>718.0</v>
      </c>
      <c r="H4491" s="2031">
        <v>718.0</v>
      </c>
    </row>
    <row r="4492">
      <c r="B4492" s="2031">
        <v>4490.0</v>
      </c>
      <c r="C4492" s="2031">
        <v>539.0</v>
      </c>
      <c r="D4492" s="2031">
        <v>1077.0</v>
      </c>
      <c r="E4492" s="2031">
        <v>718.0</v>
      </c>
      <c r="F4492" s="2031">
        <v>718.0</v>
      </c>
      <c r="G4492" s="2031">
        <v>719.0</v>
      </c>
      <c r="H4492" s="2031">
        <v>719.0</v>
      </c>
    </row>
    <row r="4493">
      <c r="B4493" s="2031">
        <v>4491.0</v>
      </c>
      <c r="C4493" s="2031">
        <v>539.0</v>
      </c>
      <c r="D4493" s="2031">
        <v>1078.0</v>
      </c>
      <c r="E4493" s="2031">
        <v>718.0</v>
      </c>
      <c r="F4493" s="2031">
        <v>718.0</v>
      </c>
      <c r="G4493" s="2031">
        <v>719.0</v>
      </c>
      <c r="H4493" s="2031">
        <v>719.0</v>
      </c>
    </row>
    <row r="4494">
      <c r="B4494" s="2031">
        <v>4492.0</v>
      </c>
      <c r="C4494" s="2031">
        <v>539.0</v>
      </c>
      <c r="D4494" s="2031">
        <v>1079.0</v>
      </c>
      <c r="E4494" s="2031">
        <v>718.0</v>
      </c>
      <c r="F4494" s="2031">
        <v>718.0</v>
      </c>
      <c r="G4494" s="2031">
        <v>719.0</v>
      </c>
      <c r="H4494" s="2031">
        <v>719.0</v>
      </c>
    </row>
    <row r="4495">
      <c r="B4495" s="2031">
        <v>4493.0</v>
      </c>
      <c r="C4495" s="2031">
        <v>539.0</v>
      </c>
      <c r="D4495" s="2031">
        <v>1078.0</v>
      </c>
      <c r="E4495" s="2031">
        <v>719.0</v>
      </c>
      <c r="F4495" s="2031">
        <v>719.0</v>
      </c>
      <c r="G4495" s="2031">
        <v>719.0</v>
      </c>
      <c r="H4495" s="2031">
        <v>719.0</v>
      </c>
    </row>
    <row r="4496">
      <c r="B4496" s="2031">
        <v>4494.0</v>
      </c>
      <c r="C4496" s="2031">
        <v>539.0</v>
      </c>
      <c r="D4496" s="2031">
        <v>1079.0</v>
      </c>
      <c r="E4496" s="2031">
        <v>719.0</v>
      </c>
      <c r="F4496" s="2031">
        <v>719.0</v>
      </c>
      <c r="G4496" s="2031">
        <v>719.0</v>
      </c>
      <c r="H4496" s="2031">
        <v>719.0</v>
      </c>
    </row>
    <row r="4497">
      <c r="B4497" s="2031">
        <v>4495.0</v>
      </c>
      <c r="C4497" s="2031">
        <v>540.0</v>
      </c>
      <c r="D4497" s="2031">
        <v>1079.0</v>
      </c>
      <c r="E4497" s="2031">
        <v>719.0</v>
      </c>
      <c r="F4497" s="2031">
        <v>719.0</v>
      </c>
      <c r="G4497" s="2031">
        <v>719.0</v>
      </c>
      <c r="H4497" s="2031">
        <v>719.0</v>
      </c>
    </row>
    <row r="4498">
      <c r="B4498" s="2031">
        <v>4496.0</v>
      </c>
      <c r="C4498" s="2031">
        <v>539.0</v>
      </c>
      <c r="D4498" s="2031">
        <v>1079.0</v>
      </c>
      <c r="E4498" s="2031">
        <v>719.0</v>
      </c>
      <c r="F4498" s="2031">
        <v>719.0</v>
      </c>
      <c r="G4498" s="2031">
        <v>720.0</v>
      </c>
      <c r="H4498" s="2031">
        <v>720.0</v>
      </c>
    </row>
    <row r="4499">
      <c r="B4499" s="2031">
        <v>4497.0</v>
      </c>
      <c r="C4499" s="2031">
        <v>540.0</v>
      </c>
      <c r="D4499" s="2031">
        <v>1079.0</v>
      </c>
      <c r="E4499" s="2031">
        <v>719.0</v>
      </c>
      <c r="F4499" s="2031">
        <v>719.0</v>
      </c>
      <c r="G4499" s="2031">
        <v>720.0</v>
      </c>
      <c r="H4499" s="2031">
        <v>720.0</v>
      </c>
    </row>
    <row r="4500">
      <c r="B4500" s="2031">
        <v>4498.0</v>
      </c>
      <c r="C4500" s="2031">
        <v>539.0</v>
      </c>
      <c r="D4500" s="2031">
        <v>1079.0</v>
      </c>
      <c r="E4500" s="2031">
        <v>720.0</v>
      </c>
      <c r="F4500" s="2031">
        <v>720.0</v>
      </c>
      <c r="G4500" s="2031">
        <v>720.0</v>
      </c>
      <c r="H4500" s="2031">
        <v>720.0</v>
      </c>
    </row>
    <row r="4501">
      <c r="B4501" s="2031">
        <v>4499.0</v>
      </c>
      <c r="C4501" s="2031">
        <v>540.0</v>
      </c>
      <c r="D4501" s="2031">
        <v>1079.0</v>
      </c>
      <c r="E4501" s="2031">
        <v>720.0</v>
      </c>
      <c r="F4501" s="2031">
        <v>720.0</v>
      </c>
      <c r="G4501" s="2031">
        <v>720.0</v>
      </c>
      <c r="H4501" s="2031">
        <v>720.0</v>
      </c>
    </row>
    <row r="4502">
      <c r="B4502" s="2031">
        <v>4500.0</v>
      </c>
      <c r="C4502" s="2031">
        <v>540.0</v>
      </c>
      <c r="D4502" s="2031">
        <v>1080.0</v>
      </c>
      <c r="E4502" s="2031">
        <v>720.0</v>
      </c>
      <c r="F4502" s="2031">
        <v>720.0</v>
      </c>
      <c r="G4502" s="2031">
        <v>720.0</v>
      </c>
      <c r="H4502" s="2031">
        <v>720.0</v>
      </c>
    </row>
    <row r="4503">
      <c r="B4503" s="2031">
        <v>4501.0</v>
      </c>
      <c r="C4503" s="2031">
        <v>540.0</v>
      </c>
      <c r="D4503" s="2031">
        <v>1081.0</v>
      </c>
      <c r="E4503" s="2031">
        <v>720.0</v>
      </c>
      <c r="F4503" s="2031">
        <v>720.0</v>
      </c>
      <c r="G4503" s="2031">
        <v>720.0</v>
      </c>
      <c r="H4503" s="2031">
        <v>720.0</v>
      </c>
    </row>
    <row r="4504">
      <c r="B4504" s="2031">
        <v>4502.0</v>
      </c>
      <c r="C4504" s="2031">
        <v>541.0</v>
      </c>
      <c r="D4504" s="2031">
        <v>1081.0</v>
      </c>
      <c r="E4504" s="2031">
        <v>720.0</v>
      </c>
      <c r="F4504" s="2031">
        <v>720.0</v>
      </c>
      <c r="G4504" s="2031">
        <v>720.0</v>
      </c>
      <c r="H4504" s="2031">
        <v>720.0</v>
      </c>
    </row>
    <row r="4505">
      <c r="B4505" s="2031">
        <v>4503.0</v>
      </c>
      <c r="C4505" s="2031">
        <v>540.0</v>
      </c>
      <c r="D4505" s="2031">
        <v>1081.0</v>
      </c>
      <c r="E4505" s="2031">
        <v>720.0</v>
      </c>
      <c r="F4505" s="2031">
        <v>720.0</v>
      </c>
      <c r="G4505" s="2031">
        <v>721.0</v>
      </c>
      <c r="H4505" s="2031">
        <v>721.0</v>
      </c>
    </row>
    <row r="4506">
      <c r="B4506" s="2031">
        <v>4504.0</v>
      </c>
      <c r="C4506" s="2031">
        <v>541.0</v>
      </c>
      <c r="D4506" s="2031">
        <v>1081.0</v>
      </c>
      <c r="E4506" s="2031">
        <v>720.0</v>
      </c>
      <c r="F4506" s="2031">
        <v>720.0</v>
      </c>
      <c r="G4506" s="2031">
        <v>721.0</v>
      </c>
      <c r="H4506" s="2031">
        <v>721.0</v>
      </c>
    </row>
    <row r="4507">
      <c r="B4507" s="2031">
        <v>4505.0</v>
      </c>
      <c r="C4507" s="2031">
        <v>540.0</v>
      </c>
      <c r="D4507" s="2031">
        <v>1081.0</v>
      </c>
      <c r="E4507" s="2031">
        <v>721.0</v>
      </c>
      <c r="F4507" s="2031">
        <v>721.0</v>
      </c>
      <c r="G4507" s="2031">
        <v>721.0</v>
      </c>
      <c r="H4507" s="2031">
        <v>721.0</v>
      </c>
    </row>
    <row r="4508">
      <c r="B4508" s="2031">
        <v>4506.0</v>
      </c>
      <c r="C4508" s="2031">
        <v>541.0</v>
      </c>
      <c r="D4508" s="2031">
        <v>1081.0</v>
      </c>
      <c r="E4508" s="2031">
        <v>721.0</v>
      </c>
      <c r="F4508" s="2031">
        <v>721.0</v>
      </c>
      <c r="G4508" s="2031">
        <v>721.0</v>
      </c>
      <c r="H4508" s="2031">
        <v>721.0</v>
      </c>
    </row>
    <row r="4509">
      <c r="B4509" s="2031">
        <v>4507.0</v>
      </c>
      <c r="C4509" s="2031">
        <v>541.0</v>
      </c>
      <c r="D4509" s="2031">
        <v>1082.0</v>
      </c>
      <c r="E4509" s="2031">
        <v>721.0</v>
      </c>
      <c r="F4509" s="2031">
        <v>721.0</v>
      </c>
      <c r="G4509" s="2031">
        <v>721.0</v>
      </c>
      <c r="H4509" s="2031">
        <v>721.0</v>
      </c>
    </row>
    <row r="4510">
      <c r="B4510" s="2031">
        <v>4508.0</v>
      </c>
      <c r="C4510" s="2031">
        <v>541.0</v>
      </c>
      <c r="D4510" s="2031">
        <v>1081.0</v>
      </c>
      <c r="E4510" s="2031">
        <v>721.0</v>
      </c>
      <c r="F4510" s="2031">
        <v>721.0</v>
      </c>
      <c r="G4510" s="2031">
        <v>722.0</v>
      </c>
      <c r="H4510" s="2031">
        <v>722.0</v>
      </c>
    </row>
    <row r="4511">
      <c r="B4511" s="2031">
        <v>4509.0</v>
      </c>
      <c r="C4511" s="2031">
        <v>541.0</v>
      </c>
      <c r="D4511" s="2031">
        <v>1082.0</v>
      </c>
      <c r="E4511" s="2031">
        <v>721.0</v>
      </c>
      <c r="F4511" s="2031">
        <v>721.0</v>
      </c>
      <c r="G4511" s="2031">
        <v>722.0</v>
      </c>
      <c r="H4511" s="2031">
        <v>722.0</v>
      </c>
    </row>
    <row r="4512">
      <c r="B4512" s="2031">
        <v>4510.0</v>
      </c>
      <c r="C4512" s="2031">
        <v>541.0</v>
      </c>
      <c r="D4512" s="2031">
        <v>1083.0</v>
      </c>
      <c r="E4512" s="2031">
        <v>721.0</v>
      </c>
      <c r="F4512" s="2031">
        <v>721.0</v>
      </c>
      <c r="G4512" s="2031">
        <v>722.0</v>
      </c>
      <c r="H4512" s="2031">
        <v>722.0</v>
      </c>
    </row>
    <row r="4513">
      <c r="B4513" s="2031">
        <v>4511.0</v>
      </c>
      <c r="C4513" s="2031">
        <v>541.0</v>
      </c>
      <c r="D4513" s="2031">
        <v>1082.0</v>
      </c>
      <c r="E4513" s="2031">
        <v>722.0</v>
      </c>
      <c r="F4513" s="2031">
        <v>722.0</v>
      </c>
      <c r="G4513" s="2031">
        <v>722.0</v>
      </c>
      <c r="H4513" s="2031">
        <v>722.0</v>
      </c>
    </row>
    <row r="4514">
      <c r="B4514" s="2031">
        <v>4512.0</v>
      </c>
      <c r="C4514" s="2031">
        <v>541.0</v>
      </c>
      <c r="D4514" s="2031">
        <v>1083.0</v>
      </c>
      <c r="E4514" s="2031">
        <v>722.0</v>
      </c>
      <c r="F4514" s="2031">
        <v>722.0</v>
      </c>
      <c r="G4514" s="2031">
        <v>722.0</v>
      </c>
      <c r="H4514" s="2031">
        <v>722.0</v>
      </c>
    </row>
    <row r="4515">
      <c r="B4515" s="2031">
        <v>4513.0</v>
      </c>
      <c r="C4515" s="2031">
        <v>542.0</v>
      </c>
      <c r="D4515" s="2031">
        <v>1083.0</v>
      </c>
      <c r="E4515" s="2031">
        <v>722.0</v>
      </c>
      <c r="F4515" s="2031">
        <v>722.0</v>
      </c>
      <c r="G4515" s="2031">
        <v>722.0</v>
      </c>
      <c r="H4515" s="2031">
        <v>722.0</v>
      </c>
    </row>
    <row r="4516">
      <c r="B4516" s="2031">
        <v>4514.0</v>
      </c>
      <c r="C4516" s="2031">
        <v>542.0</v>
      </c>
      <c r="D4516" s="2031">
        <v>1084.0</v>
      </c>
      <c r="E4516" s="2031">
        <v>722.0</v>
      </c>
      <c r="F4516" s="2031">
        <v>722.0</v>
      </c>
      <c r="G4516" s="2031">
        <v>722.0</v>
      </c>
      <c r="H4516" s="2031">
        <v>722.0</v>
      </c>
    </row>
    <row r="4517">
      <c r="B4517" s="2031">
        <v>4515.0</v>
      </c>
      <c r="C4517" s="2031">
        <v>542.0</v>
      </c>
      <c r="D4517" s="2031">
        <v>1083.0</v>
      </c>
      <c r="E4517" s="2031">
        <v>722.0</v>
      </c>
      <c r="F4517" s="2031">
        <v>722.0</v>
      </c>
      <c r="G4517" s="2031">
        <v>723.0</v>
      </c>
      <c r="H4517" s="2031">
        <v>723.0</v>
      </c>
    </row>
    <row r="4518">
      <c r="B4518" s="2031">
        <v>4516.0</v>
      </c>
      <c r="C4518" s="2031">
        <v>542.0</v>
      </c>
      <c r="D4518" s="2031">
        <v>1084.0</v>
      </c>
      <c r="E4518" s="2031">
        <v>722.0</v>
      </c>
      <c r="F4518" s="2031">
        <v>722.0</v>
      </c>
      <c r="G4518" s="2031">
        <v>723.0</v>
      </c>
      <c r="H4518" s="2031">
        <v>723.0</v>
      </c>
    </row>
    <row r="4519">
      <c r="B4519" s="2031">
        <v>4517.0</v>
      </c>
      <c r="C4519" s="2031">
        <v>542.0</v>
      </c>
      <c r="D4519" s="2031">
        <v>1085.0</v>
      </c>
      <c r="E4519" s="2031">
        <v>722.0</v>
      </c>
      <c r="F4519" s="2031">
        <v>722.0</v>
      </c>
      <c r="G4519" s="2031">
        <v>723.0</v>
      </c>
      <c r="H4519" s="2031">
        <v>723.0</v>
      </c>
    </row>
    <row r="4520">
      <c r="B4520" s="2031">
        <v>4518.0</v>
      </c>
      <c r="C4520" s="2031">
        <v>542.0</v>
      </c>
      <c r="D4520" s="2031">
        <v>1084.0</v>
      </c>
      <c r="E4520" s="2031">
        <v>723.0</v>
      </c>
      <c r="F4520" s="2031">
        <v>723.0</v>
      </c>
      <c r="G4520" s="2031">
        <v>723.0</v>
      </c>
      <c r="H4520" s="2031">
        <v>723.0</v>
      </c>
    </row>
    <row r="4521">
      <c r="B4521" s="2031">
        <v>4519.0</v>
      </c>
      <c r="C4521" s="2031">
        <v>542.0</v>
      </c>
      <c r="D4521" s="2031">
        <v>1085.0</v>
      </c>
      <c r="E4521" s="2031">
        <v>723.0</v>
      </c>
      <c r="F4521" s="2031">
        <v>723.0</v>
      </c>
      <c r="G4521" s="2031">
        <v>723.0</v>
      </c>
      <c r="H4521" s="2031">
        <v>723.0</v>
      </c>
    </row>
    <row r="4522">
      <c r="B4522" s="2031">
        <v>4520.0</v>
      </c>
      <c r="C4522" s="2031">
        <v>543.0</v>
      </c>
      <c r="D4522" s="2031">
        <v>1085.0</v>
      </c>
      <c r="E4522" s="2031">
        <v>723.0</v>
      </c>
      <c r="F4522" s="2031">
        <v>723.0</v>
      </c>
      <c r="G4522" s="2031">
        <v>723.0</v>
      </c>
      <c r="H4522" s="2031">
        <v>723.0</v>
      </c>
    </row>
    <row r="4523">
      <c r="B4523" s="2031">
        <v>4521.0</v>
      </c>
      <c r="C4523" s="2031">
        <v>542.0</v>
      </c>
      <c r="D4523" s="2031">
        <v>1085.0</v>
      </c>
      <c r="E4523" s="2031">
        <v>723.0</v>
      </c>
      <c r="F4523" s="2031">
        <v>723.0</v>
      </c>
      <c r="G4523" s="2031">
        <v>724.0</v>
      </c>
      <c r="H4523" s="2031">
        <v>724.0</v>
      </c>
    </row>
    <row r="4524">
      <c r="B4524" s="2031">
        <v>4522.0</v>
      </c>
      <c r="C4524" s="2031">
        <v>543.0</v>
      </c>
      <c r="D4524" s="2031">
        <v>1085.0</v>
      </c>
      <c r="E4524" s="2031">
        <v>723.0</v>
      </c>
      <c r="F4524" s="2031">
        <v>723.0</v>
      </c>
      <c r="G4524" s="2031">
        <v>724.0</v>
      </c>
      <c r="H4524" s="2031">
        <v>724.0</v>
      </c>
    </row>
    <row r="4525">
      <c r="B4525" s="2031">
        <v>4523.0</v>
      </c>
      <c r="C4525" s="2031">
        <v>542.0</v>
      </c>
      <c r="D4525" s="2031">
        <v>1085.0</v>
      </c>
      <c r="E4525" s="2031">
        <v>724.0</v>
      </c>
      <c r="F4525" s="2031">
        <v>724.0</v>
      </c>
      <c r="G4525" s="2031">
        <v>724.0</v>
      </c>
      <c r="H4525" s="2031">
        <v>724.0</v>
      </c>
    </row>
    <row r="4526">
      <c r="B4526" s="2031">
        <v>4524.0</v>
      </c>
      <c r="C4526" s="2031">
        <v>543.0</v>
      </c>
      <c r="D4526" s="2031">
        <v>1085.0</v>
      </c>
      <c r="E4526" s="2031">
        <v>724.0</v>
      </c>
      <c r="F4526" s="2031">
        <v>724.0</v>
      </c>
      <c r="G4526" s="2031">
        <v>724.0</v>
      </c>
      <c r="H4526" s="2031">
        <v>724.0</v>
      </c>
    </row>
    <row r="4527">
      <c r="B4527" s="2031">
        <v>4525.0</v>
      </c>
      <c r="C4527" s="2031">
        <v>543.0</v>
      </c>
      <c r="D4527" s="2031">
        <v>1086.0</v>
      </c>
      <c r="E4527" s="2031">
        <v>724.0</v>
      </c>
      <c r="F4527" s="2031">
        <v>724.0</v>
      </c>
      <c r="G4527" s="2031">
        <v>724.0</v>
      </c>
      <c r="H4527" s="2031">
        <v>724.0</v>
      </c>
    </row>
    <row r="4528">
      <c r="B4528" s="2031">
        <v>4526.0</v>
      </c>
      <c r="C4528" s="2031">
        <v>543.0</v>
      </c>
      <c r="D4528" s="2031">
        <v>1087.0</v>
      </c>
      <c r="E4528" s="2031">
        <v>724.0</v>
      </c>
      <c r="F4528" s="2031">
        <v>724.0</v>
      </c>
      <c r="G4528" s="2031">
        <v>724.0</v>
      </c>
      <c r="H4528" s="2031">
        <v>724.0</v>
      </c>
    </row>
    <row r="4529">
      <c r="B4529" s="2031">
        <v>4527.0</v>
      </c>
      <c r="C4529" s="2031">
        <v>544.0</v>
      </c>
      <c r="D4529" s="2031">
        <v>1087.0</v>
      </c>
      <c r="E4529" s="2031">
        <v>724.0</v>
      </c>
      <c r="F4529" s="2031">
        <v>724.0</v>
      </c>
      <c r="G4529" s="2031">
        <v>724.0</v>
      </c>
      <c r="H4529" s="2031">
        <v>724.0</v>
      </c>
    </row>
    <row r="4530">
      <c r="B4530" s="2031">
        <v>4528.0</v>
      </c>
      <c r="C4530" s="2031">
        <v>543.0</v>
      </c>
      <c r="D4530" s="2031">
        <v>1087.0</v>
      </c>
      <c r="E4530" s="2031">
        <v>724.0</v>
      </c>
      <c r="F4530" s="2031">
        <v>724.0</v>
      </c>
      <c r="G4530" s="2031">
        <v>725.0</v>
      </c>
      <c r="H4530" s="2031">
        <v>725.0</v>
      </c>
    </row>
    <row r="4531">
      <c r="B4531" s="2031">
        <v>4529.0</v>
      </c>
      <c r="C4531" s="2031">
        <v>544.0</v>
      </c>
      <c r="D4531" s="2031">
        <v>1087.0</v>
      </c>
      <c r="E4531" s="2031">
        <v>724.0</v>
      </c>
      <c r="F4531" s="2031">
        <v>724.0</v>
      </c>
      <c r="G4531" s="2031">
        <v>725.0</v>
      </c>
      <c r="H4531" s="2031">
        <v>725.0</v>
      </c>
    </row>
    <row r="4532">
      <c r="B4532" s="2031">
        <v>4530.0</v>
      </c>
      <c r="C4532" s="2031">
        <v>543.0</v>
      </c>
      <c r="D4532" s="2031">
        <v>1087.0</v>
      </c>
      <c r="E4532" s="2031">
        <v>725.0</v>
      </c>
      <c r="F4532" s="2031">
        <v>725.0</v>
      </c>
      <c r="G4532" s="2031">
        <v>725.0</v>
      </c>
      <c r="H4532" s="2031">
        <v>725.0</v>
      </c>
    </row>
    <row r="4533">
      <c r="B4533" s="2031">
        <v>4531.0</v>
      </c>
      <c r="C4533" s="2031">
        <v>544.0</v>
      </c>
      <c r="D4533" s="2031">
        <v>1087.0</v>
      </c>
      <c r="E4533" s="2031">
        <v>725.0</v>
      </c>
      <c r="F4533" s="2031">
        <v>725.0</v>
      </c>
      <c r="G4533" s="2031">
        <v>725.0</v>
      </c>
      <c r="H4533" s="2031">
        <v>725.0</v>
      </c>
    </row>
    <row r="4534">
      <c r="B4534" s="2031">
        <v>4532.0</v>
      </c>
      <c r="C4534" s="2031">
        <v>544.0</v>
      </c>
      <c r="D4534" s="2031">
        <v>1088.0</v>
      </c>
      <c r="E4534" s="2031">
        <v>725.0</v>
      </c>
      <c r="F4534" s="2031">
        <v>725.0</v>
      </c>
      <c r="G4534" s="2031">
        <v>725.0</v>
      </c>
      <c r="H4534" s="2031">
        <v>725.0</v>
      </c>
    </row>
    <row r="4535">
      <c r="B4535" s="2031">
        <v>4533.0</v>
      </c>
      <c r="C4535" s="2031">
        <v>544.0</v>
      </c>
      <c r="D4535" s="2031">
        <v>1087.0</v>
      </c>
      <c r="E4535" s="2031">
        <v>725.0</v>
      </c>
      <c r="F4535" s="2031">
        <v>725.0</v>
      </c>
      <c r="G4535" s="2031">
        <v>726.0</v>
      </c>
      <c r="H4535" s="2031">
        <v>726.0</v>
      </c>
    </row>
    <row r="4536">
      <c r="B4536" s="2031">
        <v>4534.0</v>
      </c>
      <c r="C4536" s="2031">
        <v>544.0</v>
      </c>
      <c r="D4536" s="2031">
        <v>1088.0</v>
      </c>
      <c r="E4536" s="2031">
        <v>725.0</v>
      </c>
      <c r="F4536" s="2031">
        <v>725.0</v>
      </c>
      <c r="G4536" s="2031">
        <v>726.0</v>
      </c>
      <c r="H4536" s="2031">
        <v>726.0</v>
      </c>
    </row>
    <row r="4537">
      <c r="B4537" s="2031">
        <v>4535.0</v>
      </c>
      <c r="C4537" s="2031">
        <v>544.0</v>
      </c>
      <c r="D4537" s="2031">
        <v>1089.0</v>
      </c>
      <c r="E4537" s="2031">
        <v>725.0</v>
      </c>
      <c r="F4537" s="2031">
        <v>725.0</v>
      </c>
      <c r="G4537" s="2031">
        <v>726.0</v>
      </c>
      <c r="H4537" s="2031">
        <v>726.0</v>
      </c>
    </row>
    <row r="4538">
      <c r="B4538" s="2031">
        <v>4536.0</v>
      </c>
      <c r="C4538" s="2031">
        <v>544.0</v>
      </c>
      <c r="D4538" s="2031">
        <v>1088.0</v>
      </c>
      <c r="E4538" s="2031">
        <v>726.0</v>
      </c>
      <c r="F4538" s="2031">
        <v>726.0</v>
      </c>
      <c r="G4538" s="2031">
        <v>726.0</v>
      </c>
      <c r="H4538" s="2031">
        <v>726.0</v>
      </c>
    </row>
    <row r="4539">
      <c r="B4539" s="2031">
        <v>4537.0</v>
      </c>
      <c r="C4539" s="2031">
        <v>544.0</v>
      </c>
      <c r="D4539" s="2031">
        <v>1089.0</v>
      </c>
      <c r="E4539" s="2031">
        <v>726.0</v>
      </c>
      <c r="F4539" s="2031">
        <v>726.0</v>
      </c>
      <c r="G4539" s="2031">
        <v>726.0</v>
      </c>
      <c r="H4539" s="2031">
        <v>726.0</v>
      </c>
    </row>
    <row r="4540">
      <c r="B4540" s="2031">
        <v>4538.0</v>
      </c>
      <c r="C4540" s="2031">
        <v>545.0</v>
      </c>
      <c r="D4540" s="2031">
        <v>1089.0</v>
      </c>
      <c r="E4540" s="2031">
        <v>726.0</v>
      </c>
      <c r="F4540" s="2031">
        <v>726.0</v>
      </c>
      <c r="G4540" s="2031">
        <v>726.0</v>
      </c>
      <c r="H4540" s="2031">
        <v>726.0</v>
      </c>
    </row>
    <row r="4541">
      <c r="B4541" s="2031">
        <v>4539.0</v>
      </c>
      <c r="C4541" s="2031">
        <v>545.0</v>
      </c>
      <c r="D4541" s="2031">
        <v>1090.0</v>
      </c>
      <c r="E4541" s="2031">
        <v>726.0</v>
      </c>
      <c r="F4541" s="2031">
        <v>726.0</v>
      </c>
      <c r="G4541" s="2031">
        <v>726.0</v>
      </c>
      <c r="H4541" s="2031">
        <v>726.0</v>
      </c>
    </row>
    <row r="4542">
      <c r="B4542" s="2031">
        <v>4540.0</v>
      </c>
      <c r="C4542" s="2031">
        <v>545.0</v>
      </c>
      <c r="D4542" s="2031">
        <v>1089.0</v>
      </c>
      <c r="E4542" s="2031">
        <v>726.0</v>
      </c>
      <c r="F4542" s="2031">
        <v>726.0</v>
      </c>
      <c r="G4542" s="2031">
        <v>727.0</v>
      </c>
      <c r="H4542" s="2031">
        <v>727.0</v>
      </c>
    </row>
    <row r="4543">
      <c r="B4543" s="2031">
        <v>4541.0</v>
      </c>
      <c r="C4543" s="2031">
        <v>545.0</v>
      </c>
      <c r="D4543" s="2031">
        <v>1090.0</v>
      </c>
      <c r="E4543" s="2031">
        <v>726.0</v>
      </c>
      <c r="F4543" s="2031">
        <v>726.0</v>
      </c>
      <c r="G4543" s="2031">
        <v>727.0</v>
      </c>
      <c r="H4543" s="2031">
        <v>727.0</v>
      </c>
    </row>
    <row r="4544">
      <c r="B4544" s="2031">
        <v>4542.0</v>
      </c>
      <c r="C4544" s="2031">
        <v>545.0</v>
      </c>
      <c r="D4544" s="2031">
        <v>1091.0</v>
      </c>
      <c r="E4544" s="2031">
        <v>726.0</v>
      </c>
      <c r="F4544" s="2031">
        <v>726.0</v>
      </c>
      <c r="G4544" s="2031">
        <v>727.0</v>
      </c>
      <c r="H4544" s="2031">
        <v>727.0</v>
      </c>
    </row>
    <row r="4545">
      <c r="B4545" s="2031">
        <v>4543.0</v>
      </c>
      <c r="C4545" s="2031">
        <v>545.0</v>
      </c>
      <c r="D4545" s="2031">
        <v>1090.0</v>
      </c>
      <c r="E4545" s="2031">
        <v>727.0</v>
      </c>
      <c r="F4545" s="2031">
        <v>727.0</v>
      </c>
      <c r="G4545" s="2031">
        <v>727.0</v>
      </c>
      <c r="H4545" s="2031">
        <v>727.0</v>
      </c>
    </row>
    <row r="4546">
      <c r="B4546" s="2031">
        <v>4544.0</v>
      </c>
      <c r="C4546" s="2031">
        <v>545.0</v>
      </c>
      <c r="D4546" s="2031">
        <v>1091.0</v>
      </c>
      <c r="E4546" s="2031">
        <v>727.0</v>
      </c>
      <c r="F4546" s="2031">
        <v>727.0</v>
      </c>
      <c r="G4546" s="2031">
        <v>727.0</v>
      </c>
      <c r="H4546" s="2031">
        <v>727.0</v>
      </c>
    </row>
    <row r="4547">
      <c r="B4547" s="2031">
        <v>4545.0</v>
      </c>
      <c r="C4547" s="2031">
        <v>546.0</v>
      </c>
      <c r="D4547" s="2031">
        <v>1091.0</v>
      </c>
      <c r="E4547" s="2031">
        <v>727.0</v>
      </c>
      <c r="F4547" s="2031">
        <v>727.0</v>
      </c>
      <c r="G4547" s="2031">
        <v>727.0</v>
      </c>
      <c r="H4547" s="2031">
        <v>727.0</v>
      </c>
    </row>
    <row r="4548">
      <c r="B4548" s="2031">
        <v>4546.0</v>
      </c>
      <c r="C4548" s="2031">
        <v>545.0</v>
      </c>
      <c r="D4548" s="2031">
        <v>1091.0</v>
      </c>
      <c r="E4548" s="2031">
        <v>727.0</v>
      </c>
      <c r="F4548" s="2031">
        <v>727.0</v>
      </c>
      <c r="G4548" s="2031">
        <v>728.0</v>
      </c>
      <c r="H4548" s="2031">
        <v>728.0</v>
      </c>
    </row>
    <row r="4549">
      <c r="B4549" s="2031">
        <v>4547.0</v>
      </c>
      <c r="C4549" s="2031">
        <v>546.0</v>
      </c>
      <c r="D4549" s="2031">
        <v>1091.0</v>
      </c>
      <c r="E4549" s="2031">
        <v>727.0</v>
      </c>
      <c r="F4549" s="2031">
        <v>727.0</v>
      </c>
      <c r="G4549" s="2031">
        <v>728.0</v>
      </c>
      <c r="H4549" s="2031">
        <v>728.0</v>
      </c>
    </row>
    <row r="4550">
      <c r="B4550" s="2031">
        <v>4548.0</v>
      </c>
      <c r="C4550" s="2031">
        <v>545.0</v>
      </c>
      <c r="D4550" s="2031">
        <v>1091.0</v>
      </c>
      <c r="E4550" s="2031">
        <v>728.0</v>
      </c>
      <c r="F4550" s="2031">
        <v>728.0</v>
      </c>
      <c r="G4550" s="2031">
        <v>728.0</v>
      </c>
      <c r="H4550" s="2031">
        <v>728.0</v>
      </c>
    </row>
    <row r="4551">
      <c r="B4551" s="2031">
        <v>4549.0</v>
      </c>
      <c r="C4551" s="2031">
        <v>546.0</v>
      </c>
      <c r="D4551" s="2031">
        <v>1091.0</v>
      </c>
      <c r="E4551" s="2031">
        <v>728.0</v>
      </c>
      <c r="F4551" s="2031">
        <v>728.0</v>
      </c>
      <c r="G4551" s="2031">
        <v>728.0</v>
      </c>
      <c r="H4551" s="2031">
        <v>728.0</v>
      </c>
    </row>
    <row r="4552">
      <c r="B4552" s="2031">
        <v>4550.0</v>
      </c>
      <c r="C4552" s="2031">
        <v>546.0</v>
      </c>
      <c r="D4552" s="2031">
        <v>1092.0</v>
      </c>
      <c r="E4552" s="2031">
        <v>728.0</v>
      </c>
      <c r="F4552" s="2031">
        <v>728.0</v>
      </c>
      <c r="G4552" s="2031">
        <v>728.0</v>
      </c>
      <c r="H4552" s="2031">
        <v>728.0</v>
      </c>
    </row>
    <row r="4553">
      <c r="B4553" s="2031">
        <v>4551.0</v>
      </c>
      <c r="C4553" s="2031">
        <v>546.0</v>
      </c>
      <c r="D4553" s="2031">
        <v>1093.0</v>
      </c>
      <c r="E4553" s="2031">
        <v>728.0</v>
      </c>
      <c r="F4553" s="2031">
        <v>728.0</v>
      </c>
      <c r="G4553" s="2031">
        <v>728.0</v>
      </c>
      <c r="H4553" s="2031">
        <v>728.0</v>
      </c>
    </row>
    <row r="4554">
      <c r="B4554" s="2031">
        <v>4552.0</v>
      </c>
      <c r="C4554" s="2031">
        <v>547.0</v>
      </c>
      <c r="D4554" s="2031">
        <v>1093.0</v>
      </c>
      <c r="E4554" s="2031">
        <v>728.0</v>
      </c>
      <c r="F4554" s="2031">
        <v>728.0</v>
      </c>
      <c r="G4554" s="2031">
        <v>728.0</v>
      </c>
      <c r="H4554" s="2031">
        <v>728.0</v>
      </c>
    </row>
    <row r="4555">
      <c r="B4555" s="2031">
        <v>4553.0</v>
      </c>
      <c r="C4555" s="2031">
        <v>546.0</v>
      </c>
      <c r="D4555" s="2031">
        <v>1093.0</v>
      </c>
      <c r="E4555" s="2031">
        <v>728.0</v>
      </c>
      <c r="F4555" s="2031">
        <v>728.0</v>
      </c>
      <c r="G4555" s="2031">
        <v>729.0</v>
      </c>
      <c r="H4555" s="2031">
        <v>729.0</v>
      </c>
    </row>
    <row r="4556">
      <c r="B4556" s="2031">
        <v>4554.0</v>
      </c>
      <c r="C4556" s="2031">
        <v>547.0</v>
      </c>
      <c r="D4556" s="2031">
        <v>1093.0</v>
      </c>
      <c r="E4556" s="2031">
        <v>728.0</v>
      </c>
      <c r="F4556" s="2031">
        <v>728.0</v>
      </c>
      <c r="G4556" s="2031">
        <v>729.0</v>
      </c>
      <c r="H4556" s="2031">
        <v>729.0</v>
      </c>
    </row>
    <row r="4557">
      <c r="B4557" s="2031">
        <v>4555.0</v>
      </c>
      <c r="C4557" s="2031">
        <v>546.0</v>
      </c>
      <c r="D4557" s="2031">
        <v>1093.0</v>
      </c>
      <c r="E4557" s="2031">
        <v>729.0</v>
      </c>
      <c r="F4557" s="2031">
        <v>729.0</v>
      </c>
      <c r="G4557" s="2031">
        <v>729.0</v>
      </c>
      <c r="H4557" s="2031">
        <v>729.0</v>
      </c>
    </row>
    <row r="4558">
      <c r="B4558" s="2031">
        <v>4556.0</v>
      </c>
      <c r="C4558" s="2031">
        <v>547.0</v>
      </c>
      <c r="D4558" s="2031">
        <v>1093.0</v>
      </c>
      <c r="E4558" s="2031">
        <v>729.0</v>
      </c>
      <c r="F4558" s="2031">
        <v>729.0</v>
      </c>
      <c r="G4558" s="2031">
        <v>729.0</v>
      </c>
      <c r="H4558" s="2031">
        <v>729.0</v>
      </c>
    </row>
    <row r="4559">
      <c r="B4559" s="2031">
        <v>4557.0</v>
      </c>
      <c r="C4559" s="2031">
        <v>547.0</v>
      </c>
      <c r="D4559" s="2031">
        <v>1094.0</v>
      </c>
      <c r="E4559" s="2031">
        <v>729.0</v>
      </c>
      <c r="F4559" s="2031">
        <v>729.0</v>
      </c>
      <c r="G4559" s="2031">
        <v>729.0</v>
      </c>
      <c r="H4559" s="2031">
        <v>729.0</v>
      </c>
    </row>
    <row r="4560">
      <c r="B4560" s="2031">
        <v>4558.0</v>
      </c>
      <c r="C4560" s="2031">
        <v>547.0</v>
      </c>
      <c r="D4560" s="2031">
        <v>1093.0</v>
      </c>
      <c r="E4560" s="2031">
        <v>729.0</v>
      </c>
      <c r="F4560" s="2031">
        <v>729.0</v>
      </c>
      <c r="G4560" s="2031">
        <v>730.0</v>
      </c>
      <c r="H4560" s="2031">
        <v>730.0</v>
      </c>
    </row>
    <row r="4561">
      <c r="B4561" s="2031">
        <v>4559.0</v>
      </c>
      <c r="C4561" s="2031">
        <v>547.0</v>
      </c>
      <c r="D4561" s="2031">
        <v>1094.0</v>
      </c>
      <c r="E4561" s="2031">
        <v>729.0</v>
      </c>
      <c r="F4561" s="2031">
        <v>729.0</v>
      </c>
      <c r="G4561" s="2031">
        <v>730.0</v>
      </c>
      <c r="H4561" s="2031">
        <v>730.0</v>
      </c>
    </row>
    <row r="4562">
      <c r="B4562" s="2031">
        <v>4560.0</v>
      </c>
      <c r="C4562" s="2031">
        <v>547.0</v>
      </c>
      <c r="D4562" s="2031">
        <v>1095.0</v>
      </c>
      <c r="E4562" s="2031">
        <v>729.0</v>
      </c>
      <c r="F4562" s="2031">
        <v>729.0</v>
      </c>
      <c r="G4562" s="2031">
        <v>730.0</v>
      </c>
      <c r="H4562" s="2031">
        <v>730.0</v>
      </c>
    </row>
    <row r="4563">
      <c r="B4563" s="2031">
        <v>4561.0</v>
      </c>
      <c r="C4563" s="2031">
        <v>547.0</v>
      </c>
      <c r="D4563" s="2031">
        <v>1094.0</v>
      </c>
      <c r="E4563" s="2031">
        <v>730.0</v>
      </c>
      <c r="F4563" s="2031">
        <v>730.0</v>
      </c>
      <c r="G4563" s="2031">
        <v>730.0</v>
      </c>
      <c r="H4563" s="2031">
        <v>730.0</v>
      </c>
    </row>
    <row r="4564">
      <c r="B4564" s="2031">
        <v>4562.0</v>
      </c>
      <c r="C4564" s="2031">
        <v>547.0</v>
      </c>
      <c r="D4564" s="2031">
        <v>1095.0</v>
      </c>
      <c r="E4564" s="2031">
        <v>730.0</v>
      </c>
      <c r="F4564" s="2031">
        <v>730.0</v>
      </c>
      <c r="G4564" s="2031">
        <v>730.0</v>
      </c>
      <c r="H4564" s="2031">
        <v>730.0</v>
      </c>
    </row>
    <row r="4565">
      <c r="B4565" s="2031">
        <v>4563.0</v>
      </c>
      <c r="C4565" s="2031">
        <v>548.0</v>
      </c>
      <c r="D4565" s="2031">
        <v>1095.0</v>
      </c>
      <c r="E4565" s="2031">
        <v>730.0</v>
      </c>
      <c r="F4565" s="2031">
        <v>730.0</v>
      </c>
      <c r="G4565" s="2031">
        <v>730.0</v>
      </c>
      <c r="H4565" s="2031">
        <v>730.0</v>
      </c>
    </row>
    <row r="4566">
      <c r="B4566" s="2031">
        <v>4564.0</v>
      </c>
      <c r="C4566" s="2031">
        <v>548.0</v>
      </c>
      <c r="D4566" s="2031">
        <v>1096.0</v>
      </c>
      <c r="E4566" s="2031">
        <v>730.0</v>
      </c>
      <c r="F4566" s="2031">
        <v>730.0</v>
      </c>
      <c r="G4566" s="2031">
        <v>730.0</v>
      </c>
      <c r="H4566" s="2031">
        <v>730.0</v>
      </c>
    </row>
    <row r="4567">
      <c r="B4567" s="2031">
        <v>4565.0</v>
      </c>
      <c r="C4567" s="2031">
        <v>548.0</v>
      </c>
      <c r="D4567" s="2031">
        <v>1095.0</v>
      </c>
      <c r="E4567" s="2031">
        <v>730.0</v>
      </c>
      <c r="F4567" s="2031">
        <v>730.0</v>
      </c>
      <c r="G4567" s="2031">
        <v>731.0</v>
      </c>
      <c r="H4567" s="2031">
        <v>731.0</v>
      </c>
    </row>
    <row r="4568">
      <c r="B4568" s="2031">
        <v>4566.0</v>
      </c>
      <c r="C4568" s="2031">
        <v>548.0</v>
      </c>
      <c r="D4568" s="2031">
        <v>1096.0</v>
      </c>
      <c r="E4568" s="2031">
        <v>730.0</v>
      </c>
      <c r="F4568" s="2031">
        <v>730.0</v>
      </c>
      <c r="G4568" s="2031">
        <v>731.0</v>
      </c>
      <c r="H4568" s="2031">
        <v>731.0</v>
      </c>
    </row>
    <row r="4569">
      <c r="B4569" s="2031">
        <v>4567.0</v>
      </c>
      <c r="C4569" s="2031">
        <v>548.0</v>
      </c>
      <c r="D4569" s="2031">
        <v>1097.0</v>
      </c>
      <c r="E4569" s="2031">
        <v>730.0</v>
      </c>
      <c r="F4569" s="2031">
        <v>730.0</v>
      </c>
      <c r="G4569" s="2031">
        <v>731.0</v>
      </c>
      <c r="H4569" s="2031">
        <v>731.0</v>
      </c>
    </row>
    <row r="4570">
      <c r="B4570" s="2031">
        <v>4568.0</v>
      </c>
      <c r="C4570" s="2031">
        <v>548.0</v>
      </c>
      <c r="D4570" s="2031">
        <v>1096.0</v>
      </c>
      <c r="E4570" s="2031">
        <v>731.0</v>
      </c>
      <c r="F4570" s="2031">
        <v>731.0</v>
      </c>
      <c r="G4570" s="2031">
        <v>731.0</v>
      </c>
      <c r="H4570" s="2031">
        <v>731.0</v>
      </c>
    </row>
    <row r="4571">
      <c r="B4571" s="2031">
        <v>4569.0</v>
      </c>
      <c r="C4571" s="2031">
        <v>548.0</v>
      </c>
      <c r="D4571" s="2031">
        <v>1097.0</v>
      </c>
      <c r="E4571" s="2031">
        <v>731.0</v>
      </c>
      <c r="F4571" s="2031">
        <v>731.0</v>
      </c>
      <c r="G4571" s="2031">
        <v>731.0</v>
      </c>
      <c r="H4571" s="2031">
        <v>731.0</v>
      </c>
    </row>
    <row r="4572">
      <c r="B4572" s="2031">
        <v>4570.0</v>
      </c>
      <c r="C4572" s="2031">
        <v>549.0</v>
      </c>
      <c r="D4572" s="2031">
        <v>1097.0</v>
      </c>
      <c r="E4572" s="2031">
        <v>731.0</v>
      </c>
      <c r="F4572" s="2031">
        <v>731.0</v>
      </c>
      <c r="G4572" s="2031">
        <v>731.0</v>
      </c>
      <c r="H4572" s="2031">
        <v>731.0</v>
      </c>
    </row>
    <row r="4573">
      <c r="B4573" s="2031">
        <v>4571.0</v>
      </c>
      <c r="C4573" s="2031">
        <v>548.0</v>
      </c>
      <c r="D4573" s="2031">
        <v>1097.0</v>
      </c>
      <c r="E4573" s="2031">
        <v>731.0</v>
      </c>
      <c r="F4573" s="2031">
        <v>731.0</v>
      </c>
      <c r="G4573" s="2031">
        <v>732.0</v>
      </c>
      <c r="H4573" s="2031">
        <v>732.0</v>
      </c>
    </row>
    <row r="4574">
      <c r="B4574" s="2031">
        <v>4572.0</v>
      </c>
      <c r="C4574" s="2031">
        <v>549.0</v>
      </c>
      <c r="D4574" s="2031">
        <v>1097.0</v>
      </c>
      <c r="E4574" s="2031">
        <v>731.0</v>
      </c>
      <c r="F4574" s="2031">
        <v>731.0</v>
      </c>
      <c r="G4574" s="2031">
        <v>732.0</v>
      </c>
      <c r="H4574" s="2031">
        <v>732.0</v>
      </c>
    </row>
    <row r="4575">
      <c r="B4575" s="2031">
        <v>4573.0</v>
      </c>
      <c r="C4575" s="2031">
        <v>548.0</v>
      </c>
      <c r="D4575" s="2031">
        <v>1097.0</v>
      </c>
      <c r="E4575" s="2031">
        <v>732.0</v>
      </c>
      <c r="F4575" s="2031">
        <v>732.0</v>
      </c>
      <c r="G4575" s="2031">
        <v>732.0</v>
      </c>
      <c r="H4575" s="2031">
        <v>732.0</v>
      </c>
    </row>
    <row r="4576">
      <c r="B4576" s="2031">
        <v>4574.0</v>
      </c>
      <c r="C4576" s="2031">
        <v>549.0</v>
      </c>
      <c r="D4576" s="2031">
        <v>1097.0</v>
      </c>
      <c r="E4576" s="2031">
        <v>732.0</v>
      </c>
      <c r="F4576" s="2031">
        <v>732.0</v>
      </c>
      <c r="G4576" s="2031">
        <v>732.0</v>
      </c>
      <c r="H4576" s="2031">
        <v>732.0</v>
      </c>
    </row>
    <row r="4577">
      <c r="B4577" s="2031">
        <v>4575.0</v>
      </c>
      <c r="C4577" s="2031">
        <v>549.0</v>
      </c>
      <c r="D4577" s="2031">
        <v>1098.0</v>
      </c>
      <c r="E4577" s="2031">
        <v>732.0</v>
      </c>
      <c r="F4577" s="2031">
        <v>732.0</v>
      </c>
      <c r="G4577" s="2031">
        <v>732.0</v>
      </c>
      <c r="H4577" s="2031">
        <v>732.0</v>
      </c>
    </row>
    <row r="4578">
      <c r="B4578" s="2031">
        <v>4576.0</v>
      </c>
      <c r="C4578" s="2031">
        <v>549.0</v>
      </c>
      <c r="D4578" s="2031">
        <v>1099.0</v>
      </c>
      <c r="E4578" s="2031">
        <v>732.0</v>
      </c>
      <c r="F4578" s="2031">
        <v>732.0</v>
      </c>
      <c r="G4578" s="2031">
        <v>732.0</v>
      </c>
      <c r="H4578" s="2031">
        <v>732.0</v>
      </c>
    </row>
    <row r="4579">
      <c r="B4579" s="2031">
        <v>4577.0</v>
      </c>
      <c r="C4579" s="2031">
        <v>550.0</v>
      </c>
      <c r="D4579" s="2031">
        <v>1099.0</v>
      </c>
      <c r="E4579" s="2031">
        <v>732.0</v>
      </c>
      <c r="F4579" s="2031">
        <v>732.0</v>
      </c>
      <c r="G4579" s="2031">
        <v>732.0</v>
      </c>
      <c r="H4579" s="2031">
        <v>732.0</v>
      </c>
    </row>
    <row r="4580">
      <c r="B4580" s="2031">
        <v>4578.0</v>
      </c>
      <c r="C4580" s="2031">
        <v>549.0</v>
      </c>
      <c r="D4580" s="2031">
        <v>1099.0</v>
      </c>
      <c r="E4580" s="2031">
        <v>732.0</v>
      </c>
      <c r="F4580" s="2031">
        <v>732.0</v>
      </c>
      <c r="G4580" s="2031">
        <v>733.0</v>
      </c>
      <c r="H4580" s="2031">
        <v>733.0</v>
      </c>
    </row>
    <row r="4581">
      <c r="B4581" s="2031">
        <v>4579.0</v>
      </c>
      <c r="C4581" s="2031">
        <v>550.0</v>
      </c>
      <c r="D4581" s="2031">
        <v>1099.0</v>
      </c>
      <c r="E4581" s="2031">
        <v>732.0</v>
      </c>
      <c r="F4581" s="2031">
        <v>732.0</v>
      </c>
      <c r="G4581" s="2031">
        <v>733.0</v>
      </c>
      <c r="H4581" s="2031">
        <v>733.0</v>
      </c>
    </row>
    <row r="4582">
      <c r="B4582" s="2031">
        <v>4580.0</v>
      </c>
      <c r="C4582" s="2031">
        <v>549.0</v>
      </c>
      <c r="D4582" s="2031">
        <v>1099.0</v>
      </c>
      <c r="E4582" s="2031">
        <v>733.0</v>
      </c>
      <c r="F4582" s="2031">
        <v>733.0</v>
      </c>
      <c r="G4582" s="2031">
        <v>733.0</v>
      </c>
      <c r="H4582" s="2031">
        <v>733.0</v>
      </c>
    </row>
    <row r="4583">
      <c r="B4583" s="2031">
        <v>4581.0</v>
      </c>
      <c r="C4583" s="2031">
        <v>550.0</v>
      </c>
      <c r="D4583" s="2031">
        <v>1099.0</v>
      </c>
      <c r="E4583" s="2031">
        <v>733.0</v>
      </c>
      <c r="F4583" s="2031">
        <v>733.0</v>
      </c>
      <c r="G4583" s="2031">
        <v>733.0</v>
      </c>
      <c r="H4583" s="2031">
        <v>733.0</v>
      </c>
    </row>
    <row r="4584">
      <c r="B4584" s="2031">
        <v>4582.0</v>
      </c>
      <c r="C4584" s="2031">
        <v>550.0</v>
      </c>
      <c r="D4584" s="2031">
        <v>1100.0</v>
      </c>
      <c r="E4584" s="2031">
        <v>733.0</v>
      </c>
      <c r="F4584" s="2031">
        <v>733.0</v>
      </c>
      <c r="G4584" s="2031">
        <v>733.0</v>
      </c>
      <c r="H4584" s="2031">
        <v>733.0</v>
      </c>
    </row>
    <row r="4585">
      <c r="B4585" s="2031">
        <v>4583.0</v>
      </c>
      <c r="C4585" s="2031">
        <v>550.0</v>
      </c>
      <c r="D4585" s="2031">
        <v>1099.0</v>
      </c>
      <c r="E4585" s="2031">
        <v>733.0</v>
      </c>
      <c r="F4585" s="2031">
        <v>733.0</v>
      </c>
      <c r="G4585" s="2031">
        <v>734.0</v>
      </c>
      <c r="H4585" s="2031">
        <v>734.0</v>
      </c>
    </row>
    <row r="4586">
      <c r="B4586" s="2031">
        <v>4584.0</v>
      </c>
      <c r="C4586" s="2031">
        <v>550.0</v>
      </c>
      <c r="D4586" s="2031">
        <v>1100.0</v>
      </c>
      <c r="E4586" s="2031">
        <v>733.0</v>
      </c>
      <c r="F4586" s="2031">
        <v>733.0</v>
      </c>
      <c r="G4586" s="2031">
        <v>734.0</v>
      </c>
      <c r="H4586" s="2031">
        <v>734.0</v>
      </c>
    </row>
    <row r="4587">
      <c r="B4587" s="2031">
        <v>4585.0</v>
      </c>
      <c r="C4587" s="2031">
        <v>550.0</v>
      </c>
      <c r="D4587" s="2031">
        <v>1101.0</v>
      </c>
      <c r="E4587" s="2031">
        <v>733.0</v>
      </c>
      <c r="F4587" s="2031">
        <v>733.0</v>
      </c>
      <c r="G4587" s="2031">
        <v>734.0</v>
      </c>
      <c r="H4587" s="2031">
        <v>734.0</v>
      </c>
    </row>
    <row r="4588">
      <c r="B4588" s="2031">
        <v>4586.0</v>
      </c>
      <c r="C4588" s="2031">
        <v>550.0</v>
      </c>
      <c r="D4588" s="2031">
        <v>1100.0</v>
      </c>
      <c r="E4588" s="2031">
        <v>734.0</v>
      </c>
      <c r="F4588" s="2031">
        <v>734.0</v>
      </c>
      <c r="G4588" s="2031">
        <v>734.0</v>
      </c>
      <c r="H4588" s="2031">
        <v>734.0</v>
      </c>
    </row>
    <row r="4589">
      <c r="B4589" s="2031">
        <v>4587.0</v>
      </c>
      <c r="C4589" s="2031">
        <v>550.0</v>
      </c>
      <c r="D4589" s="2031">
        <v>1101.0</v>
      </c>
      <c r="E4589" s="2031">
        <v>734.0</v>
      </c>
      <c r="F4589" s="2031">
        <v>734.0</v>
      </c>
      <c r="G4589" s="2031">
        <v>734.0</v>
      </c>
      <c r="H4589" s="2031">
        <v>734.0</v>
      </c>
    </row>
    <row r="4590">
      <c r="B4590" s="2031">
        <v>4588.0</v>
      </c>
      <c r="C4590" s="2031">
        <v>551.0</v>
      </c>
      <c r="D4590" s="2031">
        <v>1101.0</v>
      </c>
      <c r="E4590" s="2031">
        <v>734.0</v>
      </c>
      <c r="F4590" s="2031">
        <v>734.0</v>
      </c>
      <c r="G4590" s="2031">
        <v>734.0</v>
      </c>
      <c r="H4590" s="2031">
        <v>734.0</v>
      </c>
    </row>
    <row r="4591">
      <c r="B4591" s="2031">
        <v>4589.0</v>
      </c>
      <c r="C4591" s="2031">
        <v>551.0</v>
      </c>
      <c r="D4591" s="2031">
        <v>1102.0</v>
      </c>
      <c r="E4591" s="2031">
        <v>734.0</v>
      </c>
      <c r="F4591" s="2031">
        <v>734.0</v>
      </c>
      <c r="G4591" s="2031">
        <v>734.0</v>
      </c>
      <c r="H4591" s="2031">
        <v>734.0</v>
      </c>
    </row>
    <row r="4592">
      <c r="B4592" s="2031">
        <v>4590.0</v>
      </c>
      <c r="C4592" s="2031">
        <v>551.0</v>
      </c>
      <c r="D4592" s="2031">
        <v>1101.0</v>
      </c>
      <c r="E4592" s="2031">
        <v>734.0</v>
      </c>
      <c r="F4592" s="2031">
        <v>734.0</v>
      </c>
      <c r="G4592" s="2031">
        <v>735.0</v>
      </c>
      <c r="H4592" s="2031">
        <v>735.0</v>
      </c>
    </row>
    <row r="4593">
      <c r="B4593" s="2031">
        <v>4591.0</v>
      </c>
      <c r="C4593" s="2031">
        <v>551.0</v>
      </c>
      <c r="D4593" s="2031">
        <v>1102.0</v>
      </c>
      <c r="E4593" s="2031">
        <v>734.0</v>
      </c>
      <c r="F4593" s="2031">
        <v>734.0</v>
      </c>
      <c r="G4593" s="2031">
        <v>735.0</v>
      </c>
      <c r="H4593" s="2031">
        <v>735.0</v>
      </c>
    </row>
    <row r="4594">
      <c r="B4594" s="2031">
        <v>4592.0</v>
      </c>
      <c r="C4594" s="2031">
        <v>551.0</v>
      </c>
      <c r="D4594" s="2031">
        <v>1103.0</v>
      </c>
      <c r="E4594" s="2031">
        <v>734.0</v>
      </c>
      <c r="F4594" s="2031">
        <v>734.0</v>
      </c>
      <c r="G4594" s="2031">
        <v>735.0</v>
      </c>
      <c r="H4594" s="2031">
        <v>735.0</v>
      </c>
    </row>
    <row r="4595">
      <c r="B4595" s="2031">
        <v>4593.0</v>
      </c>
      <c r="C4595" s="2031">
        <v>551.0</v>
      </c>
      <c r="D4595" s="2031">
        <v>1102.0</v>
      </c>
      <c r="E4595" s="2031">
        <v>735.0</v>
      </c>
      <c r="F4595" s="2031">
        <v>735.0</v>
      </c>
      <c r="G4595" s="2031">
        <v>735.0</v>
      </c>
      <c r="H4595" s="2031">
        <v>735.0</v>
      </c>
    </row>
    <row r="4596">
      <c r="B4596" s="2031">
        <v>4594.0</v>
      </c>
      <c r="C4596" s="2031">
        <v>551.0</v>
      </c>
      <c r="D4596" s="2031">
        <v>1103.0</v>
      </c>
      <c r="E4596" s="2031">
        <v>735.0</v>
      </c>
      <c r="F4596" s="2031">
        <v>735.0</v>
      </c>
      <c r="G4596" s="2031">
        <v>735.0</v>
      </c>
      <c r="H4596" s="2031">
        <v>735.0</v>
      </c>
    </row>
    <row r="4597">
      <c r="B4597" s="2031">
        <v>4595.0</v>
      </c>
      <c r="C4597" s="2031">
        <v>552.0</v>
      </c>
      <c r="D4597" s="2031">
        <v>1103.0</v>
      </c>
      <c r="E4597" s="2031">
        <v>735.0</v>
      </c>
      <c r="F4597" s="2031">
        <v>735.0</v>
      </c>
      <c r="G4597" s="2031">
        <v>735.0</v>
      </c>
      <c r="H4597" s="2031">
        <v>735.0</v>
      </c>
    </row>
    <row r="4598">
      <c r="B4598" s="2031">
        <v>4596.0</v>
      </c>
      <c r="C4598" s="2031">
        <v>551.0</v>
      </c>
      <c r="D4598" s="2031">
        <v>1103.0</v>
      </c>
      <c r="E4598" s="2031">
        <v>735.0</v>
      </c>
      <c r="F4598" s="2031">
        <v>735.0</v>
      </c>
      <c r="G4598" s="2031">
        <v>736.0</v>
      </c>
      <c r="H4598" s="2031">
        <v>736.0</v>
      </c>
    </row>
    <row r="4599">
      <c r="B4599" s="2031">
        <v>4597.0</v>
      </c>
      <c r="C4599" s="2031">
        <v>552.0</v>
      </c>
      <c r="D4599" s="2031">
        <v>1103.0</v>
      </c>
      <c r="E4599" s="2031">
        <v>735.0</v>
      </c>
      <c r="F4599" s="2031">
        <v>735.0</v>
      </c>
      <c r="G4599" s="2031">
        <v>736.0</v>
      </c>
      <c r="H4599" s="2031">
        <v>736.0</v>
      </c>
    </row>
    <row r="4600">
      <c r="B4600" s="2031">
        <v>4598.0</v>
      </c>
      <c r="C4600" s="2031">
        <v>551.0</v>
      </c>
      <c r="D4600" s="2031">
        <v>1103.0</v>
      </c>
      <c r="E4600" s="2031">
        <v>736.0</v>
      </c>
      <c r="F4600" s="2031">
        <v>736.0</v>
      </c>
      <c r="G4600" s="2031">
        <v>736.0</v>
      </c>
      <c r="H4600" s="2031">
        <v>736.0</v>
      </c>
    </row>
    <row r="4601">
      <c r="B4601" s="2031">
        <v>4599.0</v>
      </c>
      <c r="C4601" s="2031">
        <v>552.0</v>
      </c>
      <c r="D4601" s="2031">
        <v>1103.0</v>
      </c>
      <c r="E4601" s="2031">
        <v>736.0</v>
      </c>
      <c r="F4601" s="2031">
        <v>736.0</v>
      </c>
      <c r="G4601" s="2031">
        <v>736.0</v>
      </c>
      <c r="H4601" s="2031">
        <v>736.0</v>
      </c>
    </row>
    <row r="4602">
      <c r="B4602" s="2031">
        <v>4600.0</v>
      </c>
      <c r="C4602" s="2031">
        <v>552.0</v>
      </c>
      <c r="D4602" s="2031">
        <v>1104.0</v>
      </c>
      <c r="E4602" s="2031">
        <v>736.0</v>
      </c>
      <c r="F4602" s="2031">
        <v>736.0</v>
      </c>
      <c r="G4602" s="2031">
        <v>736.0</v>
      </c>
      <c r="H4602" s="2031">
        <v>736.0</v>
      </c>
    </row>
    <row r="4603">
      <c r="B4603" s="2031">
        <v>4601.0</v>
      </c>
      <c r="C4603" s="2031">
        <v>552.0</v>
      </c>
      <c r="D4603" s="2031">
        <v>1105.0</v>
      </c>
      <c r="E4603" s="2031">
        <v>736.0</v>
      </c>
      <c r="F4603" s="2031">
        <v>736.0</v>
      </c>
      <c r="G4603" s="2031">
        <v>736.0</v>
      </c>
      <c r="H4603" s="2031">
        <v>736.0</v>
      </c>
    </row>
    <row r="4604">
      <c r="B4604" s="2031">
        <v>4602.0</v>
      </c>
      <c r="C4604" s="2031">
        <v>553.0</v>
      </c>
      <c r="D4604" s="2031">
        <v>1105.0</v>
      </c>
      <c r="E4604" s="2031">
        <v>736.0</v>
      </c>
      <c r="F4604" s="2031">
        <v>736.0</v>
      </c>
      <c r="G4604" s="2031">
        <v>736.0</v>
      </c>
      <c r="H4604" s="2031">
        <v>736.0</v>
      </c>
    </row>
    <row r="4605">
      <c r="B4605" s="2031">
        <v>4603.0</v>
      </c>
      <c r="C4605" s="2031">
        <v>552.0</v>
      </c>
      <c r="D4605" s="2031">
        <v>1105.0</v>
      </c>
      <c r="E4605" s="2031">
        <v>736.0</v>
      </c>
      <c r="F4605" s="2031">
        <v>736.0</v>
      </c>
      <c r="G4605" s="2031">
        <v>737.0</v>
      </c>
      <c r="H4605" s="2031">
        <v>737.0</v>
      </c>
    </row>
    <row r="4606">
      <c r="B4606" s="2031">
        <v>4604.0</v>
      </c>
      <c r="C4606" s="2031">
        <v>553.0</v>
      </c>
      <c r="D4606" s="2031">
        <v>1105.0</v>
      </c>
      <c r="E4606" s="2031">
        <v>736.0</v>
      </c>
      <c r="F4606" s="2031">
        <v>736.0</v>
      </c>
      <c r="G4606" s="2031">
        <v>737.0</v>
      </c>
      <c r="H4606" s="2031">
        <v>737.0</v>
      </c>
    </row>
    <row r="4607">
      <c r="B4607" s="2031">
        <v>4605.0</v>
      </c>
      <c r="C4607" s="2031">
        <v>552.0</v>
      </c>
      <c r="D4607" s="2031">
        <v>1105.0</v>
      </c>
      <c r="E4607" s="2031">
        <v>737.0</v>
      </c>
      <c r="F4607" s="2031">
        <v>737.0</v>
      </c>
      <c r="G4607" s="2031">
        <v>737.0</v>
      </c>
      <c r="H4607" s="2031">
        <v>737.0</v>
      </c>
    </row>
    <row r="4608">
      <c r="B4608" s="2031">
        <v>4606.0</v>
      </c>
      <c r="C4608" s="2031">
        <v>553.0</v>
      </c>
      <c r="D4608" s="2031">
        <v>1105.0</v>
      </c>
      <c r="E4608" s="2031">
        <v>737.0</v>
      </c>
      <c r="F4608" s="2031">
        <v>737.0</v>
      </c>
      <c r="G4608" s="2031">
        <v>737.0</v>
      </c>
      <c r="H4608" s="2031">
        <v>737.0</v>
      </c>
    </row>
    <row r="4609">
      <c r="B4609" s="2031">
        <v>4607.0</v>
      </c>
      <c r="C4609" s="2031">
        <v>553.0</v>
      </c>
      <c r="D4609" s="2031">
        <v>1106.0</v>
      </c>
      <c r="E4609" s="2031">
        <v>737.0</v>
      </c>
      <c r="F4609" s="2031">
        <v>737.0</v>
      </c>
      <c r="G4609" s="2031">
        <v>737.0</v>
      </c>
      <c r="H4609" s="2031">
        <v>737.0</v>
      </c>
    </row>
    <row r="4610">
      <c r="B4610" s="2031">
        <v>4608.0</v>
      </c>
      <c r="C4610" s="2031">
        <v>553.0</v>
      </c>
      <c r="D4610" s="2031">
        <v>1105.0</v>
      </c>
      <c r="E4610" s="2031">
        <v>737.0</v>
      </c>
      <c r="F4610" s="2031">
        <v>737.0</v>
      </c>
      <c r="G4610" s="2031">
        <v>738.0</v>
      </c>
      <c r="H4610" s="2031">
        <v>738.0</v>
      </c>
    </row>
    <row r="4611">
      <c r="B4611" s="2031">
        <v>4609.0</v>
      </c>
      <c r="C4611" s="2031">
        <v>553.0</v>
      </c>
      <c r="D4611" s="2031">
        <v>1106.0</v>
      </c>
      <c r="E4611" s="2031">
        <v>737.0</v>
      </c>
      <c r="F4611" s="2031">
        <v>737.0</v>
      </c>
      <c r="G4611" s="2031">
        <v>738.0</v>
      </c>
      <c r="H4611" s="2031">
        <v>738.0</v>
      </c>
    </row>
    <row r="4612">
      <c r="B4612" s="2031">
        <v>4610.0</v>
      </c>
      <c r="C4612" s="2031">
        <v>553.0</v>
      </c>
      <c r="D4612" s="2031">
        <v>1107.0</v>
      </c>
      <c r="E4612" s="2031">
        <v>737.0</v>
      </c>
      <c r="F4612" s="2031">
        <v>737.0</v>
      </c>
      <c r="G4612" s="2031">
        <v>738.0</v>
      </c>
      <c r="H4612" s="2031">
        <v>738.0</v>
      </c>
    </row>
    <row r="4613">
      <c r="B4613" s="2031">
        <v>4611.0</v>
      </c>
      <c r="C4613" s="2031">
        <v>553.0</v>
      </c>
      <c r="D4613" s="2031">
        <v>1106.0</v>
      </c>
      <c r="E4613" s="2031">
        <v>738.0</v>
      </c>
      <c r="F4613" s="2031">
        <v>738.0</v>
      </c>
      <c r="G4613" s="2031">
        <v>738.0</v>
      </c>
      <c r="H4613" s="2031">
        <v>738.0</v>
      </c>
    </row>
    <row r="4614">
      <c r="B4614" s="2031">
        <v>4612.0</v>
      </c>
      <c r="C4614" s="2031">
        <v>553.0</v>
      </c>
      <c r="D4614" s="2031">
        <v>1107.0</v>
      </c>
      <c r="E4614" s="2031">
        <v>738.0</v>
      </c>
      <c r="F4614" s="2031">
        <v>738.0</v>
      </c>
      <c r="G4614" s="2031">
        <v>738.0</v>
      </c>
      <c r="H4614" s="2031">
        <v>738.0</v>
      </c>
    </row>
    <row r="4615">
      <c r="B4615" s="2031">
        <v>4613.0</v>
      </c>
      <c r="C4615" s="2031">
        <v>554.0</v>
      </c>
      <c r="D4615" s="2031">
        <v>1107.0</v>
      </c>
      <c r="E4615" s="2031">
        <v>738.0</v>
      </c>
      <c r="F4615" s="2031">
        <v>738.0</v>
      </c>
      <c r="G4615" s="2031">
        <v>738.0</v>
      </c>
      <c r="H4615" s="2031">
        <v>738.0</v>
      </c>
    </row>
    <row r="4616">
      <c r="B4616" s="2031">
        <v>4614.0</v>
      </c>
      <c r="C4616" s="2031">
        <v>554.0</v>
      </c>
      <c r="D4616" s="2031">
        <v>1108.0</v>
      </c>
      <c r="E4616" s="2031">
        <v>738.0</v>
      </c>
      <c r="F4616" s="2031">
        <v>738.0</v>
      </c>
      <c r="G4616" s="2031">
        <v>738.0</v>
      </c>
      <c r="H4616" s="2031">
        <v>738.0</v>
      </c>
    </row>
    <row r="4617">
      <c r="B4617" s="2031">
        <v>4615.0</v>
      </c>
      <c r="C4617" s="2031">
        <v>554.0</v>
      </c>
      <c r="D4617" s="2031">
        <v>1107.0</v>
      </c>
      <c r="E4617" s="2031">
        <v>738.0</v>
      </c>
      <c r="F4617" s="2031">
        <v>738.0</v>
      </c>
      <c r="G4617" s="2031">
        <v>739.0</v>
      </c>
      <c r="H4617" s="2031">
        <v>739.0</v>
      </c>
    </row>
    <row r="4618">
      <c r="B4618" s="2031">
        <v>4616.0</v>
      </c>
      <c r="C4618" s="2031">
        <v>554.0</v>
      </c>
      <c r="D4618" s="2031">
        <v>1108.0</v>
      </c>
      <c r="E4618" s="2031">
        <v>738.0</v>
      </c>
      <c r="F4618" s="2031">
        <v>738.0</v>
      </c>
      <c r="G4618" s="2031">
        <v>739.0</v>
      </c>
      <c r="H4618" s="2031">
        <v>739.0</v>
      </c>
    </row>
    <row r="4619">
      <c r="B4619" s="2031">
        <v>4617.0</v>
      </c>
      <c r="C4619" s="2031">
        <v>554.0</v>
      </c>
      <c r="D4619" s="2031">
        <v>1109.0</v>
      </c>
      <c r="E4619" s="2031">
        <v>738.0</v>
      </c>
      <c r="F4619" s="2031">
        <v>738.0</v>
      </c>
      <c r="G4619" s="2031">
        <v>739.0</v>
      </c>
      <c r="H4619" s="2031">
        <v>739.0</v>
      </c>
    </row>
    <row r="4620">
      <c r="B4620" s="2031">
        <v>4618.0</v>
      </c>
      <c r="C4620" s="2031">
        <v>554.0</v>
      </c>
      <c r="D4620" s="2031">
        <v>1108.0</v>
      </c>
      <c r="E4620" s="2031">
        <v>739.0</v>
      </c>
      <c r="F4620" s="2031">
        <v>739.0</v>
      </c>
      <c r="G4620" s="2031">
        <v>739.0</v>
      </c>
      <c r="H4620" s="2031">
        <v>739.0</v>
      </c>
    </row>
    <row r="4621">
      <c r="B4621" s="2031">
        <v>4619.0</v>
      </c>
      <c r="C4621" s="2031">
        <v>554.0</v>
      </c>
      <c r="D4621" s="2031">
        <v>1109.0</v>
      </c>
      <c r="E4621" s="2031">
        <v>739.0</v>
      </c>
      <c r="F4621" s="2031">
        <v>739.0</v>
      </c>
      <c r="G4621" s="2031">
        <v>739.0</v>
      </c>
      <c r="H4621" s="2031">
        <v>739.0</v>
      </c>
    </row>
    <row r="4622">
      <c r="B4622" s="2031">
        <v>4620.0</v>
      </c>
      <c r="C4622" s="2031">
        <v>555.0</v>
      </c>
      <c r="D4622" s="2031">
        <v>1109.0</v>
      </c>
      <c r="E4622" s="2031">
        <v>739.0</v>
      </c>
      <c r="F4622" s="2031">
        <v>739.0</v>
      </c>
      <c r="G4622" s="2031">
        <v>739.0</v>
      </c>
      <c r="H4622" s="2031">
        <v>739.0</v>
      </c>
    </row>
    <row r="4623">
      <c r="B4623" s="2031">
        <v>4621.0</v>
      </c>
      <c r="C4623" s="2031">
        <v>554.0</v>
      </c>
      <c r="D4623" s="2031">
        <v>1109.0</v>
      </c>
      <c r="E4623" s="2031">
        <v>739.0</v>
      </c>
      <c r="F4623" s="2031">
        <v>739.0</v>
      </c>
      <c r="G4623" s="2031">
        <v>740.0</v>
      </c>
      <c r="H4623" s="2031">
        <v>740.0</v>
      </c>
    </row>
    <row r="4624">
      <c r="B4624" s="2031">
        <v>4622.0</v>
      </c>
      <c r="C4624" s="2031">
        <v>555.0</v>
      </c>
      <c r="D4624" s="2031">
        <v>1109.0</v>
      </c>
      <c r="E4624" s="2031">
        <v>739.0</v>
      </c>
      <c r="F4624" s="2031">
        <v>739.0</v>
      </c>
      <c r="G4624" s="2031">
        <v>740.0</v>
      </c>
      <c r="H4624" s="2031">
        <v>740.0</v>
      </c>
    </row>
    <row r="4625">
      <c r="B4625" s="2031">
        <v>4623.0</v>
      </c>
      <c r="C4625" s="2031">
        <v>554.0</v>
      </c>
      <c r="D4625" s="2031">
        <v>1109.0</v>
      </c>
      <c r="E4625" s="2031">
        <v>740.0</v>
      </c>
      <c r="F4625" s="2031">
        <v>740.0</v>
      </c>
      <c r="G4625" s="2031">
        <v>740.0</v>
      </c>
      <c r="H4625" s="2031">
        <v>740.0</v>
      </c>
    </row>
    <row r="4626">
      <c r="B4626" s="2031">
        <v>4624.0</v>
      </c>
      <c r="C4626" s="2031">
        <v>555.0</v>
      </c>
      <c r="D4626" s="2031">
        <v>1109.0</v>
      </c>
      <c r="E4626" s="2031">
        <v>740.0</v>
      </c>
      <c r="F4626" s="2031">
        <v>740.0</v>
      </c>
      <c r="G4626" s="2031">
        <v>740.0</v>
      </c>
      <c r="H4626" s="2031">
        <v>740.0</v>
      </c>
    </row>
    <row r="4627">
      <c r="B4627" s="2031">
        <v>4625.0</v>
      </c>
      <c r="C4627" s="2031">
        <v>555.0</v>
      </c>
      <c r="D4627" s="2031">
        <v>1110.0</v>
      </c>
      <c r="E4627" s="2031">
        <v>740.0</v>
      </c>
      <c r="F4627" s="2031">
        <v>740.0</v>
      </c>
      <c r="G4627" s="2031">
        <v>740.0</v>
      </c>
      <c r="H4627" s="2031">
        <v>740.0</v>
      </c>
    </row>
    <row r="4628">
      <c r="B4628" s="2031">
        <v>4626.0</v>
      </c>
      <c r="C4628" s="2031">
        <v>555.0</v>
      </c>
      <c r="D4628" s="2031">
        <v>1111.0</v>
      </c>
      <c r="E4628" s="2031">
        <v>740.0</v>
      </c>
      <c r="F4628" s="2031">
        <v>740.0</v>
      </c>
      <c r="G4628" s="2031">
        <v>740.0</v>
      </c>
      <c r="H4628" s="2031">
        <v>740.0</v>
      </c>
    </row>
    <row r="4629">
      <c r="B4629" s="2031">
        <v>4627.0</v>
      </c>
      <c r="C4629" s="2031">
        <v>556.0</v>
      </c>
      <c r="D4629" s="2031">
        <v>1111.0</v>
      </c>
      <c r="E4629" s="2031">
        <v>740.0</v>
      </c>
      <c r="F4629" s="2031">
        <v>740.0</v>
      </c>
      <c r="G4629" s="2031">
        <v>740.0</v>
      </c>
      <c r="H4629" s="2031">
        <v>740.0</v>
      </c>
    </row>
    <row r="4630">
      <c r="B4630" s="2031">
        <v>4628.0</v>
      </c>
      <c r="C4630" s="2031">
        <v>555.0</v>
      </c>
      <c r="D4630" s="2031">
        <v>1111.0</v>
      </c>
      <c r="E4630" s="2031">
        <v>740.0</v>
      </c>
      <c r="F4630" s="2031">
        <v>740.0</v>
      </c>
      <c r="G4630" s="2031">
        <v>741.0</v>
      </c>
      <c r="H4630" s="2031">
        <v>741.0</v>
      </c>
    </row>
    <row r="4631">
      <c r="B4631" s="2031">
        <v>4629.0</v>
      </c>
      <c r="C4631" s="2031">
        <v>556.0</v>
      </c>
      <c r="D4631" s="2031">
        <v>1111.0</v>
      </c>
      <c r="E4631" s="2031">
        <v>740.0</v>
      </c>
      <c r="F4631" s="2031">
        <v>740.0</v>
      </c>
      <c r="G4631" s="2031">
        <v>741.0</v>
      </c>
      <c r="H4631" s="2031">
        <v>741.0</v>
      </c>
    </row>
    <row r="4632">
      <c r="B4632" s="2031">
        <v>4630.0</v>
      </c>
      <c r="C4632" s="2031">
        <v>555.0</v>
      </c>
      <c r="D4632" s="2031">
        <v>1111.0</v>
      </c>
      <c r="E4632" s="2031">
        <v>741.0</v>
      </c>
      <c r="F4632" s="2031">
        <v>741.0</v>
      </c>
      <c r="G4632" s="2031">
        <v>741.0</v>
      </c>
      <c r="H4632" s="2031">
        <v>741.0</v>
      </c>
    </row>
    <row r="4633">
      <c r="B4633" s="2031">
        <v>4631.0</v>
      </c>
      <c r="C4633" s="2031">
        <v>556.0</v>
      </c>
      <c r="D4633" s="2031">
        <v>1111.0</v>
      </c>
      <c r="E4633" s="2031">
        <v>741.0</v>
      </c>
      <c r="F4633" s="2031">
        <v>741.0</v>
      </c>
      <c r="G4633" s="2031">
        <v>741.0</v>
      </c>
      <c r="H4633" s="2031">
        <v>741.0</v>
      </c>
    </row>
    <row r="4634">
      <c r="B4634" s="2031">
        <v>4632.0</v>
      </c>
      <c r="C4634" s="2031">
        <v>556.0</v>
      </c>
      <c r="D4634" s="2031">
        <v>1112.0</v>
      </c>
      <c r="E4634" s="2031">
        <v>741.0</v>
      </c>
      <c r="F4634" s="2031">
        <v>741.0</v>
      </c>
      <c r="G4634" s="2031">
        <v>741.0</v>
      </c>
      <c r="H4634" s="2031">
        <v>741.0</v>
      </c>
    </row>
    <row r="4635">
      <c r="B4635" s="2031">
        <v>4633.0</v>
      </c>
      <c r="C4635" s="2031">
        <v>556.0</v>
      </c>
      <c r="D4635" s="2031">
        <v>1111.0</v>
      </c>
      <c r="E4635" s="2031">
        <v>741.0</v>
      </c>
      <c r="F4635" s="2031">
        <v>741.0</v>
      </c>
      <c r="G4635" s="2031">
        <v>742.0</v>
      </c>
      <c r="H4635" s="2031">
        <v>742.0</v>
      </c>
    </row>
    <row r="4636">
      <c r="B4636" s="2031">
        <v>4634.0</v>
      </c>
      <c r="C4636" s="2031">
        <v>556.0</v>
      </c>
      <c r="D4636" s="2031">
        <v>1112.0</v>
      </c>
      <c r="E4636" s="2031">
        <v>741.0</v>
      </c>
      <c r="F4636" s="2031">
        <v>741.0</v>
      </c>
      <c r="G4636" s="2031">
        <v>742.0</v>
      </c>
      <c r="H4636" s="2031">
        <v>742.0</v>
      </c>
    </row>
    <row r="4637">
      <c r="B4637" s="2031">
        <v>4635.0</v>
      </c>
      <c r="C4637" s="2031">
        <v>556.0</v>
      </c>
      <c r="D4637" s="2031">
        <v>1113.0</v>
      </c>
      <c r="E4637" s="2031">
        <v>741.0</v>
      </c>
      <c r="F4637" s="2031">
        <v>741.0</v>
      </c>
      <c r="G4637" s="2031">
        <v>742.0</v>
      </c>
      <c r="H4637" s="2031">
        <v>742.0</v>
      </c>
    </row>
    <row r="4638">
      <c r="B4638" s="2031">
        <v>4636.0</v>
      </c>
      <c r="C4638" s="2031">
        <v>556.0</v>
      </c>
      <c r="D4638" s="2031">
        <v>1112.0</v>
      </c>
      <c r="E4638" s="2031">
        <v>742.0</v>
      </c>
      <c r="F4638" s="2031">
        <v>742.0</v>
      </c>
      <c r="G4638" s="2031">
        <v>742.0</v>
      </c>
      <c r="H4638" s="2031">
        <v>742.0</v>
      </c>
    </row>
    <row r="4639">
      <c r="B4639" s="2031">
        <v>4637.0</v>
      </c>
      <c r="C4639" s="2031">
        <v>556.0</v>
      </c>
      <c r="D4639" s="2031">
        <v>1113.0</v>
      </c>
      <c r="E4639" s="2031">
        <v>742.0</v>
      </c>
      <c r="F4639" s="2031">
        <v>742.0</v>
      </c>
      <c r="G4639" s="2031">
        <v>742.0</v>
      </c>
      <c r="H4639" s="2031">
        <v>742.0</v>
      </c>
    </row>
    <row r="4640">
      <c r="B4640" s="2031">
        <v>4638.0</v>
      </c>
      <c r="C4640" s="2031">
        <v>557.0</v>
      </c>
      <c r="D4640" s="2031">
        <v>1113.0</v>
      </c>
      <c r="E4640" s="2031">
        <v>742.0</v>
      </c>
      <c r="F4640" s="2031">
        <v>742.0</v>
      </c>
      <c r="G4640" s="2031">
        <v>742.0</v>
      </c>
      <c r="H4640" s="2031">
        <v>742.0</v>
      </c>
    </row>
    <row r="4641">
      <c r="B4641" s="2031">
        <v>4639.0</v>
      </c>
      <c r="C4641" s="2031">
        <v>557.0</v>
      </c>
      <c r="D4641" s="2031">
        <v>1114.0</v>
      </c>
      <c r="E4641" s="2031">
        <v>742.0</v>
      </c>
      <c r="F4641" s="2031">
        <v>742.0</v>
      </c>
      <c r="G4641" s="2031">
        <v>742.0</v>
      </c>
      <c r="H4641" s="2031">
        <v>742.0</v>
      </c>
    </row>
    <row r="4642">
      <c r="B4642" s="2031">
        <v>4640.0</v>
      </c>
      <c r="C4642" s="2031">
        <v>557.0</v>
      </c>
      <c r="D4642" s="2031">
        <v>1113.0</v>
      </c>
      <c r="E4642" s="2031">
        <v>742.0</v>
      </c>
      <c r="F4642" s="2031">
        <v>742.0</v>
      </c>
      <c r="G4642" s="2031">
        <v>743.0</v>
      </c>
      <c r="H4642" s="2031">
        <v>743.0</v>
      </c>
    </row>
    <row r="4643">
      <c r="B4643" s="2031">
        <v>4641.0</v>
      </c>
      <c r="C4643" s="2031">
        <v>557.0</v>
      </c>
      <c r="D4643" s="2031">
        <v>1114.0</v>
      </c>
      <c r="E4643" s="2031">
        <v>742.0</v>
      </c>
      <c r="F4643" s="2031">
        <v>742.0</v>
      </c>
      <c r="G4643" s="2031">
        <v>743.0</v>
      </c>
      <c r="H4643" s="2031">
        <v>743.0</v>
      </c>
    </row>
    <row r="4644">
      <c r="B4644" s="2031">
        <v>4642.0</v>
      </c>
      <c r="C4644" s="2031">
        <v>557.0</v>
      </c>
      <c r="D4644" s="2031">
        <v>1115.0</v>
      </c>
      <c r="E4644" s="2031">
        <v>742.0</v>
      </c>
      <c r="F4644" s="2031">
        <v>742.0</v>
      </c>
      <c r="G4644" s="2031">
        <v>743.0</v>
      </c>
      <c r="H4644" s="2031">
        <v>743.0</v>
      </c>
    </row>
    <row r="4645">
      <c r="B4645" s="2031">
        <v>4643.0</v>
      </c>
      <c r="C4645" s="2031">
        <v>557.0</v>
      </c>
      <c r="D4645" s="2031">
        <v>1114.0</v>
      </c>
      <c r="E4645" s="2031">
        <v>743.0</v>
      </c>
      <c r="F4645" s="2031">
        <v>743.0</v>
      </c>
      <c r="G4645" s="2031">
        <v>743.0</v>
      </c>
      <c r="H4645" s="2031">
        <v>743.0</v>
      </c>
    </row>
    <row r="4646">
      <c r="B4646" s="2031">
        <v>4644.0</v>
      </c>
      <c r="C4646" s="2031">
        <v>557.0</v>
      </c>
      <c r="D4646" s="2031">
        <v>1115.0</v>
      </c>
      <c r="E4646" s="2031">
        <v>743.0</v>
      </c>
      <c r="F4646" s="2031">
        <v>743.0</v>
      </c>
      <c r="G4646" s="2031">
        <v>743.0</v>
      </c>
      <c r="H4646" s="2031">
        <v>743.0</v>
      </c>
    </row>
    <row r="4647">
      <c r="B4647" s="2031">
        <v>4645.0</v>
      </c>
      <c r="C4647" s="2031">
        <v>558.0</v>
      </c>
      <c r="D4647" s="2031">
        <v>1115.0</v>
      </c>
      <c r="E4647" s="2031">
        <v>743.0</v>
      </c>
      <c r="F4647" s="2031">
        <v>743.0</v>
      </c>
      <c r="G4647" s="2031">
        <v>743.0</v>
      </c>
      <c r="H4647" s="2031">
        <v>743.0</v>
      </c>
    </row>
    <row r="4648">
      <c r="B4648" s="2031">
        <v>4646.0</v>
      </c>
      <c r="C4648" s="2031">
        <v>557.0</v>
      </c>
      <c r="D4648" s="2031">
        <v>1115.0</v>
      </c>
      <c r="E4648" s="2031">
        <v>743.0</v>
      </c>
      <c r="F4648" s="2031">
        <v>743.0</v>
      </c>
      <c r="G4648" s="2031">
        <v>744.0</v>
      </c>
      <c r="H4648" s="2031">
        <v>744.0</v>
      </c>
    </row>
    <row r="4649">
      <c r="B4649" s="2031">
        <v>4647.0</v>
      </c>
      <c r="C4649" s="2031">
        <v>558.0</v>
      </c>
      <c r="D4649" s="2031">
        <v>1115.0</v>
      </c>
      <c r="E4649" s="2031">
        <v>743.0</v>
      </c>
      <c r="F4649" s="2031">
        <v>743.0</v>
      </c>
      <c r="G4649" s="2031">
        <v>744.0</v>
      </c>
      <c r="H4649" s="2031">
        <v>744.0</v>
      </c>
    </row>
    <row r="4650">
      <c r="B4650" s="2031">
        <v>4648.0</v>
      </c>
      <c r="C4650" s="2031">
        <v>557.0</v>
      </c>
      <c r="D4650" s="2031">
        <v>1115.0</v>
      </c>
      <c r="E4650" s="2031">
        <v>744.0</v>
      </c>
      <c r="F4650" s="2031">
        <v>744.0</v>
      </c>
      <c r="G4650" s="2031">
        <v>744.0</v>
      </c>
      <c r="H4650" s="2031">
        <v>744.0</v>
      </c>
    </row>
    <row r="4651">
      <c r="B4651" s="2031">
        <v>4649.0</v>
      </c>
      <c r="C4651" s="2031">
        <v>558.0</v>
      </c>
      <c r="D4651" s="2031">
        <v>1115.0</v>
      </c>
      <c r="E4651" s="2031">
        <v>744.0</v>
      </c>
      <c r="F4651" s="2031">
        <v>744.0</v>
      </c>
      <c r="G4651" s="2031">
        <v>744.0</v>
      </c>
      <c r="H4651" s="2031">
        <v>744.0</v>
      </c>
    </row>
    <row r="4652">
      <c r="B4652" s="2031">
        <v>4650.0</v>
      </c>
      <c r="C4652" s="2031">
        <v>558.0</v>
      </c>
      <c r="D4652" s="2031">
        <v>1116.0</v>
      </c>
      <c r="E4652" s="2031">
        <v>744.0</v>
      </c>
      <c r="F4652" s="2031">
        <v>744.0</v>
      </c>
      <c r="G4652" s="2031">
        <v>744.0</v>
      </c>
      <c r="H4652" s="2031">
        <v>744.0</v>
      </c>
    </row>
    <row r="4653">
      <c r="B4653" s="2031">
        <v>4651.0</v>
      </c>
      <c r="C4653" s="2031">
        <v>558.0</v>
      </c>
      <c r="D4653" s="2031">
        <v>1117.0</v>
      </c>
      <c r="E4653" s="2031">
        <v>744.0</v>
      </c>
      <c r="F4653" s="2031">
        <v>744.0</v>
      </c>
      <c r="G4653" s="2031">
        <v>744.0</v>
      </c>
      <c r="H4653" s="2031">
        <v>744.0</v>
      </c>
    </row>
    <row r="4654">
      <c r="B4654" s="2031">
        <v>4652.0</v>
      </c>
      <c r="C4654" s="2031">
        <v>559.0</v>
      </c>
      <c r="D4654" s="2031">
        <v>1117.0</v>
      </c>
      <c r="E4654" s="2031">
        <v>744.0</v>
      </c>
      <c r="F4654" s="2031">
        <v>744.0</v>
      </c>
      <c r="G4654" s="2031">
        <v>744.0</v>
      </c>
      <c r="H4654" s="2031">
        <v>744.0</v>
      </c>
    </row>
    <row r="4655">
      <c r="B4655" s="2031">
        <v>4653.0</v>
      </c>
      <c r="C4655" s="2031">
        <v>558.0</v>
      </c>
      <c r="D4655" s="2031">
        <v>1117.0</v>
      </c>
      <c r="E4655" s="2031">
        <v>744.0</v>
      </c>
      <c r="F4655" s="2031">
        <v>744.0</v>
      </c>
      <c r="G4655" s="2031">
        <v>745.0</v>
      </c>
      <c r="H4655" s="2031">
        <v>745.0</v>
      </c>
    </row>
    <row r="4656">
      <c r="B4656" s="2031">
        <v>4654.0</v>
      </c>
      <c r="C4656" s="2031">
        <v>559.0</v>
      </c>
      <c r="D4656" s="2031">
        <v>1117.0</v>
      </c>
      <c r="E4656" s="2031">
        <v>744.0</v>
      </c>
      <c r="F4656" s="2031">
        <v>744.0</v>
      </c>
      <c r="G4656" s="2031">
        <v>745.0</v>
      </c>
      <c r="H4656" s="2031">
        <v>745.0</v>
      </c>
    </row>
    <row r="4657">
      <c r="B4657" s="2031">
        <v>4655.0</v>
      </c>
      <c r="C4657" s="2031">
        <v>558.0</v>
      </c>
      <c r="D4657" s="2031">
        <v>1117.0</v>
      </c>
      <c r="E4657" s="2031">
        <v>745.0</v>
      </c>
      <c r="F4657" s="2031">
        <v>745.0</v>
      </c>
      <c r="G4657" s="2031">
        <v>745.0</v>
      </c>
      <c r="H4657" s="2031">
        <v>745.0</v>
      </c>
    </row>
    <row r="4658">
      <c r="B4658" s="2031">
        <v>4656.0</v>
      </c>
      <c r="C4658" s="2031">
        <v>559.0</v>
      </c>
      <c r="D4658" s="2031">
        <v>1117.0</v>
      </c>
      <c r="E4658" s="2031">
        <v>745.0</v>
      </c>
      <c r="F4658" s="2031">
        <v>745.0</v>
      </c>
      <c r="G4658" s="2031">
        <v>745.0</v>
      </c>
      <c r="H4658" s="2031">
        <v>745.0</v>
      </c>
    </row>
    <row r="4659">
      <c r="B4659" s="2031">
        <v>4657.0</v>
      </c>
      <c r="C4659" s="2031">
        <v>559.0</v>
      </c>
      <c r="D4659" s="2031">
        <v>1118.0</v>
      </c>
      <c r="E4659" s="2031">
        <v>745.0</v>
      </c>
      <c r="F4659" s="2031">
        <v>745.0</v>
      </c>
      <c r="G4659" s="2031">
        <v>745.0</v>
      </c>
      <c r="H4659" s="2031">
        <v>745.0</v>
      </c>
    </row>
    <row r="4660">
      <c r="B4660" s="2031">
        <v>4658.0</v>
      </c>
      <c r="C4660" s="2031">
        <v>559.0</v>
      </c>
      <c r="D4660" s="2031">
        <v>1117.0</v>
      </c>
      <c r="E4660" s="2031">
        <v>745.0</v>
      </c>
      <c r="F4660" s="2031">
        <v>745.0</v>
      </c>
      <c r="G4660" s="2031">
        <v>746.0</v>
      </c>
      <c r="H4660" s="2031">
        <v>746.0</v>
      </c>
    </row>
    <row r="4661">
      <c r="B4661" s="2031">
        <v>4659.0</v>
      </c>
      <c r="C4661" s="2031">
        <v>559.0</v>
      </c>
      <c r="D4661" s="2031">
        <v>1118.0</v>
      </c>
      <c r="E4661" s="2031">
        <v>745.0</v>
      </c>
      <c r="F4661" s="2031">
        <v>745.0</v>
      </c>
      <c r="G4661" s="2031">
        <v>746.0</v>
      </c>
      <c r="H4661" s="2031">
        <v>746.0</v>
      </c>
    </row>
    <row r="4662">
      <c r="B4662" s="2031">
        <v>4660.0</v>
      </c>
      <c r="C4662" s="2031">
        <v>559.0</v>
      </c>
      <c r="D4662" s="2031">
        <v>1119.0</v>
      </c>
      <c r="E4662" s="2031">
        <v>745.0</v>
      </c>
      <c r="F4662" s="2031">
        <v>745.0</v>
      </c>
      <c r="G4662" s="2031">
        <v>746.0</v>
      </c>
      <c r="H4662" s="2031">
        <v>746.0</v>
      </c>
    </row>
    <row r="4663">
      <c r="B4663" s="2031">
        <v>4661.0</v>
      </c>
      <c r="C4663" s="2031">
        <v>559.0</v>
      </c>
      <c r="D4663" s="2031">
        <v>1118.0</v>
      </c>
      <c r="E4663" s="2031">
        <v>746.0</v>
      </c>
      <c r="F4663" s="2031">
        <v>746.0</v>
      </c>
      <c r="G4663" s="2031">
        <v>746.0</v>
      </c>
      <c r="H4663" s="2031">
        <v>746.0</v>
      </c>
    </row>
    <row r="4664">
      <c r="B4664" s="2031">
        <v>4662.0</v>
      </c>
      <c r="C4664" s="2031">
        <v>559.0</v>
      </c>
      <c r="D4664" s="2031">
        <v>1119.0</v>
      </c>
      <c r="E4664" s="2031">
        <v>746.0</v>
      </c>
      <c r="F4664" s="2031">
        <v>746.0</v>
      </c>
      <c r="G4664" s="2031">
        <v>746.0</v>
      </c>
      <c r="H4664" s="2031">
        <v>746.0</v>
      </c>
    </row>
    <row r="4665">
      <c r="B4665" s="2031">
        <v>4663.0</v>
      </c>
      <c r="C4665" s="2031">
        <v>560.0</v>
      </c>
      <c r="D4665" s="2031">
        <v>1119.0</v>
      </c>
      <c r="E4665" s="2031">
        <v>746.0</v>
      </c>
      <c r="F4665" s="2031">
        <v>746.0</v>
      </c>
      <c r="G4665" s="2031">
        <v>746.0</v>
      </c>
      <c r="H4665" s="2031">
        <v>746.0</v>
      </c>
    </row>
    <row r="4666">
      <c r="B4666" s="2031">
        <v>4664.0</v>
      </c>
      <c r="C4666" s="2031">
        <v>560.0</v>
      </c>
      <c r="D4666" s="2031">
        <v>1120.0</v>
      </c>
      <c r="E4666" s="2031">
        <v>746.0</v>
      </c>
      <c r="F4666" s="2031">
        <v>746.0</v>
      </c>
      <c r="G4666" s="2031">
        <v>746.0</v>
      </c>
      <c r="H4666" s="2031">
        <v>746.0</v>
      </c>
    </row>
    <row r="4667">
      <c r="B4667" s="2031">
        <v>4665.0</v>
      </c>
      <c r="C4667" s="2031">
        <v>560.0</v>
      </c>
      <c r="D4667" s="2031">
        <v>1119.0</v>
      </c>
      <c r="E4667" s="2031">
        <v>746.0</v>
      </c>
      <c r="F4667" s="2031">
        <v>746.0</v>
      </c>
      <c r="G4667" s="2031">
        <v>747.0</v>
      </c>
      <c r="H4667" s="2031">
        <v>747.0</v>
      </c>
    </row>
    <row r="4668">
      <c r="B4668" s="2031">
        <v>4666.0</v>
      </c>
      <c r="C4668" s="2031">
        <v>560.0</v>
      </c>
      <c r="D4668" s="2031">
        <v>1120.0</v>
      </c>
      <c r="E4668" s="2031">
        <v>746.0</v>
      </c>
      <c r="F4668" s="2031">
        <v>746.0</v>
      </c>
      <c r="G4668" s="2031">
        <v>747.0</v>
      </c>
      <c r="H4668" s="2031">
        <v>747.0</v>
      </c>
    </row>
    <row r="4669">
      <c r="B4669" s="2031">
        <v>4667.0</v>
      </c>
      <c r="C4669" s="2031">
        <v>560.0</v>
      </c>
      <c r="D4669" s="2031">
        <v>1121.0</v>
      </c>
      <c r="E4669" s="2031">
        <v>746.0</v>
      </c>
      <c r="F4669" s="2031">
        <v>746.0</v>
      </c>
      <c r="G4669" s="2031">
        <v>747.0</v>
      </c>
      <c r="H4669" s="2031">
        <v>747.0</v>
      </c>
    </row>
    <row r="4670">
      <c r="B4670" s="2031">
        <v>4668.0</v>
      </c>
      <c r="C4670" s="2031">
        <v>560.0</v>
      </c>
      <c r="D4670" s="2031">
        <v>1120.0</v>
      </c>
      <c r="E4670" s="2031">
        <v>747.0</v>
      </c>
      <c r="F4670" s="2031">
        <v>747.0</v>
      </c>
      <c r="G4670" s="2031">
        <v>747.0</v>
      </c>
      <c r="H4670" s="2031">
        <v>747.0</v>
      </c>
    </row>
    <row r="4671">
      <c r="B4671" s="2031">
        <v>4669.0</v>
      </c>
      <c r="C4671" s="2031">
        <v>560.0</v>
      </c>
      <c r="D4671" s="2031">
        <v>1121.0</v>
      </c>
      <c r="E4671" s="2031">
        <v>747.0</v>
      </c>
      <c r="F4671" s="2031">
        <v>747.0</v>
      </c>
      <c r="G4671" s="2031">
        <v>747.0</v>
      </c>
      <c r="H4671" s="2031">
        <v>747.0</v>
      </c>
    </row>
    <row r="4672">
      <c r="B4672" s="2031">
        <v>4670.0</v>
      </c>
      <c r="C4672" s="2031">
        <v>561.0</v>
      </c>
      <c r="D4672" s="2031">
        <v>1121.0</v>
      </c>
      <c r="E4672" s="2031">
        <v>747.0</v>
      </c>
      <c r="F4672" s="2031">
        <v>747.0</v>
      </c>
      <c r="G4672" s="2031">
        <v>747.0</v>
      </c>
      <c r="H4672" s="2031">
        <v>747.0</v>
      </c>
    </row>
    <row r="4673">
      <c r="B4673" s="2031">
        <v>4671.0</v>
      </c>
      <c r="C4673" s="2031">
        <v>560.0</v>
      </c>
      <c r="D4673" s="2031">
        <v>1121.0</v>
      </c>
      <c r="E4673" s="2031">
        <v>747.0</v>
      </c>
      <c r="F4673" s="2031">
        <v>747.0</v>
      </c>
      <c r="G4673" s="2031">
        <v>748.0</v>
      </c>
      <c r="H4673" s="2031">
        <v>748.0</v>
      </c>
    </row>
    <row r="4674">
      <c r="B4674" s="2031">
        <v>4672.0</v>
      </c>
      <c r="C4674" s="2031">
        <v>561.0</v>
      </c>
      <c r="D4674" s="2031">
        <v>1121.0</v>
      </c>
      <c r="E4674" s="2031">
        <v>747.0</v>
      </c>
      <c r="F4674" s="2031">
        <v>747.0</v>
      </c>
      <c r="G4674" s="2031">
        <v>748.0</v>
      </c>
      <c r="H4674" s="2031">
        <v>748.0</v>
      </c>
    </row>
    <row r="4675">
      <c r="B4675" s="2031">
        <v>4673.0</v>
      </c>
      <c r="C4675" s="2031">
        <v>560.0</v>
      </c>
      <c r="D4675" s="2031">
        <v>1121.0</v>
      </c>
      <c r="E4675" s="2031">
        <v>748.0</v>
      </c>
      <c r="F4675" s="2031">
        <v>748.0</v>
      </c>
      <c r="G4675" s="2031">
        <v>748.0</v>
      </c>
      <c r="H4675" s="2031">
        <v>748.0</v>
      </c>
    </row>
    <row r="4676">
      <c r="B4676" s="2031">
        <v>4674.0</v>
      </c>
      <c r="C4676" s="2031">
        <v>561.0</v>
      </c>
      <c r="D4676" s="2031">
        <v>1121.0</v>
      </c>
      <c r="E4676" s="2031">
        <v>748.0</v>
      </c>
      <c r="F4676" s="2031">
        <v>748.0</v>
      </c>
      <c r="G4676" s="2031">
        <v>748.0</v>
      </c>
      <c r="H4676" s="2031">
        <v>748.0</v>
      </c>
    </row>
    <row r="4677">
      <c r="B4677" s="2031">
        <v>4675.0</v>
      </c>
      <c r="C4677" s="2031">
        <v>561.0</v>
      </c>
      <c r="D4677" s="2031">
        <v>1122.0</v>
      </c>
      <c r="E4677" s="2031">
        <v>748.0</v>
      </c>
      <c r="F4677" s="2031">
        <v>748.0</v>
      </c>
      <c r="G4677" s="2031">
        <v>748.0</v>
      </c>
      <c r="H4677" s="2031">
        <v>748.0</v>
      </c>
    </row>
    <row r="4678">
      <c r="B4678" s="2031">
        <v>4676.0</v>
      </c>
      <c r="C4678" s="2031">
        <v>561.0</v>
      </c>
      <c r="D4678" s="2031">
        <v>1123.0</v>
      </c>
      <c r="E4678" s="2031">
        <v>748.0</v>
      </c>
      <c r="F4678" s="2031">
        <v>748.0</v>
      </c>
      <c r="G4678" s="2031">
        <v>748.0</v>
      </c>
      <c r="H4678" s="2031">
        <v>748.0</v>
      </c>
    </row>
    <row r="4679">
      <c r="B4679" s="2031">
        <v>4677.0</v>
      </c>
      <c r="C4679" s="2031">
        <v>562.0</v>
      </c>
      <c r="D4679" s="2031">
        <v>1123.0</v>
      </c>
      <c r="E4679" s="2031">
        <v>748.0</v>
      </c>
      <c r="F4679" s="2031">
        <v>748.0</v>
      </c>
      <c r="G4679" s="2031">
        <v>748.0</v>
      </c>
      <c r="H4679" s="2031">
        <v>748.0</v>
      </c>
    </row>
    <row r="4680">
      <c r="B4680" s="2031">
        <v>4678.0</v>
      </c>
      <c r="C4680" s="2031">
        <v>561.0</v>
      </c>
      <c r="D4680" s="2031">
        <v>1123.0</v>
      </c>
      <c r="E4680" s="2031">
        <v>748.0</v>
      </c>
      <c r="F4680" s="2031">
        <v>748.0</v>
      </c>
      <c r="G4680" s="2031">
        <v>749.0</v>
      </c>
      <c r="H4680" s="2031">
        <v>749.0</v>
      </c>
    </row>
    <row r="4681">
      <c r="B4681" s="2031">
        <v>4679.0</v>
      </c>
      <c r="C4681" s="2031">
        <v>562.0</v>
      </c>
      <c r="D4681" s="2031">
        <v>1123.0</v>
      </c>
      <c r="E4681" s="2031">
        <v>748.0</v>
      </c>
      <c r="F4681" s="2031">
        <v>748.0</v>
      </c>
      <c r="G4681" s="2031">
        <v>749.0</v>
      </c>
      <c r="H4681" s="2031">
        <v>749.0</v>
      </c>
    </row>
    <row r="4682">
      <c r="B4682" s="2031">
        <v>4680.0</v>
      </c>
      <c r="C4682" s="2031">
        <v>561.0</v>
      </c>
      <c r="D4682" s="2031">
        <v>1123.0</v>
      </c>
      <c r="E4682" s="2031">
        <v>749.0</v>
      </c>
      <c r="F4682" s="2031">
        <v>749.0</v>
      </c>
      <c r="G4682" s="2031">
        <v>749.0</v>
      </c>
      <c r="H4682" s="2031">
        <v>749.0</v>
      </c>
    </row>
    <row r="4683">
      <c r="B4683" s="2031">
        <v>4681.0</v>
      </c>
      <c r="C4683" s="2031">
        <v>562.0</v>
      </c>
      <c r="D4683" s="2031">
        <v>1123.0</v>
      </c>
      <c r="E4683" s="2031">
        <v>749.0</v>
      </c>
      <c r="F4683" s="2031">
        <v>749.0</v>
      </c>
      <c r="G4683" s="2031">
        <v>749.0</v>
      </c>
      <c r="H4683" s="2031">
        <v>749.0</v>
      </c>
    </row>
    <row r="4684">
      <c r="B4684" s="2031">
        <v>4682.0</v>
      </c>
      <c r="C4684" s="2031">
        <v>562.0</v>
      </c>
      <c r="D4684" s="2031">
        <v>1124.0</v>
      </c>
      <c r="E4684" s="2031">
        <v>749.0</v>
      </c>
      <c r="F4684" s="2031">
        <v>749.0</v>
      </c>
      <c r="G4684" s="2031">
        <v>749.0</v>
      </c>
      <c r="H4684" s="2031">
        <v>749.0</v>
      </c>
    </row>
    <row r="4685">
      <c r="B4685" s="2031">
        <v>4683.0</v>
      </c>
      <c r="C4685" s="2031">
        <v>562.0</v>
      </c>
      <c r="D4685" s="2031">
        <v>1123.0</v>
      </c>
      <c r="E4685" s="2031">
        <v>749.0</v>
      </c>
      <c r="F4685" s="2031">
        <v>749.0</v>
      </c>
      <c r="G4685" s="2031">
        <v>750.0</v>
      </c>
      <c r="H4685" s="2031">
        <v>750.0</v>
      </c>
    </row>
    <row r="4686">
      <c r="B4686" s="2031">
        <v>4684.0</v>
      </c>
      <c r="C4686" s="2031">
        <v>562.0</v>
      </c>
      <c r="D4686" s="2031">
        <v>1124.0</v>
      </c>
      <c r="E4686" s="2031">
        <v>749.0</v>
      </c>
      <c r="F4686" s="2031">
        <v>749.0</v>
      </c>
      <c r="G4686" s="2031">
        <v>750.0</v>
      </c>
      <c r="H4686" s="2031">
        <v>750.0</v>
      </c>
    </row>
    <row r="4687">
      <c r="B4687" s="2031">
        <v>4685.0</v>
      </c>
      <c r="C4687" s="2031">
        <v>562.0</v>
      </c>
      <c r="D4687" s="2031">
        <v>1125.0</v>
      </c>
      <c r="E4687" s="2031">
        <v>749.0</v>
      </c>
      <c r="F4687" s="2031">
        <v>749.0</v>
      </c>
      <c r="G4687" s="2031">
        <v>750.0</v>
      </c>
      <c r="H4687" s="2031">
        <v>750.0</v>
      </c>
    </row>
    <row r="4688">
      <c r="B4688" s="2031">
        <v>4686.0</v>
      </c>
      <c r="C4688" s="2031">
        <v>562.0</v>
      </c>
      <c r="D4688" s="2031">
        <v>1124.0</v>
      </c>
      <c r="E4688" s="2031">
        <v>750.0</v>
      </c>
      <c r="F4688" s="2031">
        <v>750.0</v>
      </c>
      <c r="G4688" s="2031">
        <v>750.0</v>
      </c>
      <c r="H4688" s="2031">
        <v>750.0</v>
      </c>
    </row>
    <row r="4689">
      <c r="B4689" s="2031">
        <v>4687.0</v>
      </c>
      <c r="C4689" s="2031">
        <v>562.0</v>
      </c>
      <c r="D4689" s="2031">
        <v>1125.0</v>
      </c>
      <c r="E4689" s="2031">
        <v>750.0</v>
      </c>
      <c r="F4689" s="2031">
        <v>750.0</v>
      </c>
      <c r="G4689" s="2031">
        <v>750.0</v>
      </c>
      <c r="H4689" s="2031">
        <v>750.0</v>
      </c>
    </row>
    <row r="4690">
      <c r="B4690" s="2031">
        <v>4688.0</v>
      </c>
      <c r="C4690" s="2031">
        <v>563.0</v>
      </c>
      <c r="D4690" s="2031">
        <v>1125.0</v>
      </c>
      <c r="E4690" s="2031">
        <v>750.0</v>
      </c>
      <c r="F4690" s="2031">
        <v>750.0</v>
      </c>
      <c r="G4690" s="2031">
        <v>750.0</v>
      </c>
      <c r="H4690" s="2031">
        <v>750.0</v>
      </c>
    </row>
    <row r="4691">
      <c r="B4691" s="2031">
        <v>4689.0</v>
      </c>
      <c r="C4691" s="2031">
        <v>563.0</v>
      </c>
      <c r="D4691" s="2031">
        <v>1126.0</v>
      </c>
      <c r="E4691" s="2031">
        <v>750.0</v>
      </c>
      <c r="F4691" s="2031">
        <v>750.0</v>
      </c>
      <c r="G4691" s="2031">
        <v>750.0</v>
      </c>
      <c r="H4691" s="2031">
        <v>750.0</v>
      </c>
    </row>
    <row r="4692">
      <c r="B4692" s="2031">
        <v>4690.0</v>
      </c>
      <c r="C4692" s="2031">
        <v>563.0</v>
      </c>
      <c r="D4692" s="2031">
        <v>1125.0</v>
      </c>
      <c r="E4692" s="2031">
        <v>750.0</v>
      </c>
      <c r="F4692" s="2031">
        <v>750.0</v>
      </c>
      <c r="G4692" s="2031">
        <v>751.0</v>
      </c>
      <c r="H4692" s="2031">
        <v>751.0</v>
      </c>
    </row>
    <row r="4693">
      <c r="B4693" s="2031">
        <v>4691.0</v>
      </c>
      <c r="C4693" s="2031">
        <v>563.0</v>
      </c>
      <c r="D4693" s="2031">
        <v>1126.0</v>
      </c>
      <c r="E4693" s="2031">
        <v>750.0</v>
      </c>
      <c r="F4693" s="2031">
        <v>750.0</v>
      </c>
      <c r="G4693" s="2031">
        <v>751.0</v>
      </c>
      <c r="H4693" s="2031">
        <v>751.0</v>
      </c>
    </row>
    <row r="4694">
      <c r="B4694" s="2031">
        <v>4692.0</v>
      </c>
      <c r="C4694" s="2031">
        <v>563.0</v>
      </c>
      <c r="D4694" s="2031">
        <v>1127.0</v>
      </c>
      <c r="E4694" s="2031">
        <v>750.0</v>
      </c>
      <c r="F4694" s="2031">
        <v>750.0</v>
      </c>
      <c r="G4694" s="2031">
        <v>751.0</v>
      </c>
      <c r="H4694" s="2031">
        <v>751.0</v>
      </c>
    </row>
    <row r="4695">
      <c r="B4695" s="2031">
        <v>4693.0</v>
      </c>
      <c r="C4695" s="2031">
        <v>563.0</v>
      </c>
      <c r="D4695" s="2031">
        <v>1126.0</v>
      </c>
      <c r="E4695" s="2031">
        <v>751.0</v>
      </c>
      <c r="F4695" s="2031">
        <v>751.0</v>
      </c>
      <c r="G4695" s="2031">
        <v>751.0</v>
      </c>
      <c r="H4695" s="2031">
        <v>751.0</v>
      </c>
    </row>
    <row r="4696">
      <c r="B4696" s="2031">
        <v>4694.0</v>
      </c>
      <c r="C4696" s="2031">
        <v>563.0</v>
      </c>
      <c r="D4696" s="2031">
        <v>1127.0</v>
      </c>
      <c r="E4696" s="2031">
        <v>751.0</v>
      </c>
      <c r="F4696" s="2031">
        <v>751.0</v>
      </c>
      <c r="G4696" s="2031">
        <v>751.0</v>
      </c>
      <c r="H4696" s="2031">
        <v>751.0</v>
      </c>
    </row>
    <row r="4697">
      <c r="B4697" s="2031">
        <v>4695.0</v>
      </c>
      <c r="C4697" s="2031">
        <v>564.0</v>
      </c>
      <c r="D4697" s="2031">
        <v>1127.0</v>
      </c>
      <c r="E4697" s="2031">
        <v>751.0</v>
      </c>
      <c r="F4697" s="2031">
        <v>751.0</v>
      </c>
      <c r="G4697" s="2031">
        <v>751.0</v>
      </c>
      <c r="H4697" s="2031">
        <v>751.0</v>
      </c>
    </row>
    <row r="4698">
      <c r="B4698" s="2031">
        <v>4696.0</v>
      </c>
      <c r="C4698" s="2031">
        <v>563.0</v>
      </c>
      <c r="D4698" s="2031">
        <v>1127.0</v>
      </c>
      <c r="E4698" s="2031">
        <v>751.0</v>
      </c>
      <c r="F4698" s="2031">
        <v>751.0</v>
      </c>
      <c r="G4698" s="2031">
        <v>752.0</v>
      </c>
      <c r="H4698" s="2031">
        <v>752.0</v>
      </c>
    </row>
    <row r="4699">
      <c r="B4699" s="2031">
        <v>4697.0</v>
      </c>
      <c r="C4699" s="2031">
        <v>564.0</v>
      </c>
      <c r="D4699" s="2031">
        <v>1127.0</v>
      </c>
      <c r="E4699" s="2031">
        <v>751.0</v>
      </c>
      <c r="F4699" s="2031">
        <v>751.0</v>
      </c>
      <c r="G4699" s="2031">
        <v>752.0</v>
      </c>
      <c r="H4699" s="2031">
        <v>752.0</v>
      </c>
    </row>
    <row r="4700">
      <c r="B4700" s="2031">
        <v>4698.0</v>
      </c>
      <c r="C4700" s="2031">
        <v>563.0</v>
      </c>
      <c r="D4700" s="2031">
        <v>1127.0</v>
      </c>
      <c r="E4700" s="2031">
        <v>752.0</v>
      </c>
      <c r="F4700" s="2031">
        <v>752.0</v>
      </c>
      <c r="G4700" s="2031">
        <v>752.0</v>
      </c>
      <c r="H4700" s="2031">
        <v>752.0</v>
      </c>
    </row>
    <row r="4701">
      <c r="B4701" s="2031">
        <v>4699.0</v>
      </c>
      <c r="C4701" s="2031">
        <v>564.0</v>
      </c>
      <c r="D4701" s="2031">
        <v>1127.0</v>
      </c>
      <c r="E4701" s="2031">
        <v>752.0</v>
      </c>
      <c r="F4701" s="2031">
        <v>752.0</v>
      </c>
      <c r="G4701" s="2031">
        <v>752.0</v>
      </c>
      <c r="H4701" s="2031">
        <v>752.0</v>
      </c>
    </row>
    <row r="4702">
      <c r="B4702" s="2031">
        <v>4700.0</v>
      </c>
      <c r="C4702" s="2031">
        <v>564.0</v>
      </c>
      <c r="D4702" s="2031">
        <v>1128.0</v>
      </c>
      <c r="E4702" s="2031">
        <v>752.0</v>
      </c>
      <c r="F4702" s="2031">
        <v>752.0</v>
      </c>
      <c r="G4702" s="2031">
        <v>752.0</v>
      </c>
      <c r="H4702" s="2031">
        <v>752.0</v>
      </c>
    </row>
    <row r="4703">
      <c r="B4703" s="2031">
        <v>4701.0</v>
      </c>
      <c r="C4703" s="2031">
        <v>564.0</v>
      </c>
      <c r="D4703" s="2031">
        <v>1129.0</v>
      </c>
      <c r="E4703" s="2031">
        <v>752.0</v>
      </c>
      <c r="F4703" s="2031">
        <v>752.0</v>
      </c>
      <c r="G4703" s="2031">
        <v>752.0</v>
      </c>
      <c r="H4703" s="2031">
        <v>752.0</v>
      </c>
    </row>
    <row r="4704">
      <c r="B4704" s="2031">
        <v>4702.0</v>
      </c>
      <c r="C4704" s="2031">
        <v>565.0</v>
      </c>
      <c r="D4704" s="2031">
        <v>1129.0</v>
      </c>
      <c r="E4704" s="2031">
        <v>752.0</v>
      </c>
      <c r="F4704" s="2031">
        <v>752.0</v>
      </c>
      <c r="G4704" s="2031">
        <v>752.0</v>
      </c>
      <c r="H4704" s="2031">
        <v>752.0</v>
      </c>
    </row>
    <row r="4705">
      <c r="B4705" s="2031">
        <v>4703.0</v>
      </c>
      <c r="C4705" s="2031">
        <v>564.0</v>
      </c>
      <c r="D4705" s="2031">
        <v>1129.0</v>
      </c>
      <c r="E4705" s="2031">
        <v>752.0</v>
      </c>
      <c r="F4705" s="2031">
        <v>752.0</v>
      </c>
      <c r="G4705" s="2031">
        <v>753.0</v>
      </c>
      <c r="H4705" s="2031">
        <v>753.0</v>
      </c>
    </row>
    <row r="4706">
      <c r="B4706" s="2031">
        <v>4704.0</v>
      </c>
      <c r="C4706" s="2031">
        <v>565.0</v>
      </c>
      <c r="D4706" s="2031">
        <v>1129.0</v>
      </c>
      <c r="E4706" s="2031">
        <v>752.0</v>
      </c>
      <c r="F4706" s="2031">
        <v>752.0</v>
      </c>
      <c r="G4706" s="2031">
        <v>753.0</v>
      </c>
      <c r="H4706" s="2031">
        <v>753.0</v>
      </c>
    </row>
    <row r="4707">
      <c r="B4707" s="2031">
        <v>4705.0</v>
      </c>
      <c r="C4707" s="2031">
        <v>564.0</v>
      </c>
      <c r="D4707" s="2031">
        <v>1129.0</v>
      </c>
      <c r="E4707" s="2031">
        <v>753.0</v>
      </c>
      <c r="F4707" s="2031">
        <v>753.0</v>
      </c>
      <c r="G4707" s="2031">
        <v>753.0</v>
      </c>
      <c r="H4707" s="2031">
        <v>753.0</v>
      </c>
    </row>
    <row r="4708">
      <c r="B4708" s="2031">
        <v>4706.0</v>
      </c>
      <c r="C4708" s="2031">
        <v>565.0</v>
      </c>
      <c r="D4708" s="2031">
        <v>1129.0</v>
      </c>
      <c r="E4708" s="2031">
        <v>753.0</v>
      </c>
      <c r="F4708" s="2031">
        <v>753.0</v>
      </c>
      <c r="G4708" s="2031">
        <v>753.0</v>
      </c>
      <c r="H4708" s="2031">
        <v>753.0</v>
      </c>
    </row>
    <row r="4709">
      <c r="B4709" s="2031">
        <v>4707.0</v>
      </c>
      <c r="C4709" s="2031">
        <v>565.0</v>
      </c>
      <c r="D4709" s="2031">
        <v>1130.0</v>
      </c>
      <c r="E4709" s="2031">
        <v>753.0</v>
      </c>
      <c r="F4709" s="2031">
        <v>753.0</v>
      </c>
      <c r="G4709" s="2031">
        <v>753.0</v>
      </c>
      <c r="H4709" s="2031">
        <v>753.0</v>
      </c>
    </row>
    <row r="4710">
      <c r="B4710" s="2031">
        <v>4708.0</v>
      </c>
      <c r="C4710" s="2031">
        <v>565.0</v>
      </c>
      <c r="D4710" s="2031">
        <v>1129.0</v>
      </c>
      <c r="E4710" s="2031">
        <v>753.0</v>
      </c>
      <c r="F4710" s="2031">
        <v>753.0</v>
      </c>
      <c r="G4710" s="2031">
        <v>754.0</v>
      </c>
      <c r="H4710" s="2031">
        <v>754.0</v>
      </c>
    </row>
    <row r="4711">
      <c r="B4711" s="2031">
        <v>4709.0</v>
      </c>
      <c r="C4711" s="2031">
        <v>565.0</v>
      </c>
      <c r="D4711" s="2031">
        <v>1130.0</v>
      </c>
      <c r="E4711" s="2031">
        <v>753.0</v>
      </c>
      <c r="F4711" s="2031">
        <v>753.0</v>
      </c>
      <c r="G4711" s="2031">
        <v>754.0</v>
      </c>
      <c r="H4711" s="2031">
        <v>754.0</v>
      </c>
    </row>
    <row r="4712">
      <c r="B4712" s="2031">
        <v>4710.0</v>
      </c>
      <c r="C4712" s="2031">
        <v>565.0</v>
      </c>
      <c r="D4712" s="2031">
        <v>1131.0</v>
      </c>
      <c r="E4712" s="2031">
        <v>753.0</v>
      </c>
      <c r="F4712" s="2031">
        <v>753.0</v>
      </c>
      <c r="G4712" s="2031">
        <v>754.0</v>
      </c>
      <c r="H4712" s="2031">
        <v>754.0</v>
      </c>
    </row>
    <row r="4713">
      <c r="B4713" s="2031">
        <v>4711.0</v>
      </c>
      <c r="C4713" s="2031">
        <v>565.0</v>
      </c>
      <c r="D4713" s="2031">
        <v>1130.0</v>
      </c>
      <c r="E4713" s="2031">
        <v>754.0</v>
      </c>
      <c r="F4713" s="2031">
        <v>754.0</v>
      </c>
      <c r="G4713" s="2031">
        <v>754.0</v>
      </c>
      <c r="H4713" s="2031">
        <v>754.0</v>
      </c>
    </row>
    <row r="4714">
      <c r="B4714" s="2031">
        <v>4712.0</v>
      </c>
      <c r="C4714" s="2031">
        <v>565.0</v>
      </c>
      <c r="D4714" s="2031">
        <v>1131.0</v>
      </c>
      <c r="E4714" s="2031">
        <v>754.0</v>
      </c>
      <c r="F4714" s="2031">
        <v>754.0</v>
      </c>
      <c r="G4714" s="2031">
        <v>754.0</v>
      </c>
      <c r="H4714" s="2031">
        <v>754.0</v>
      </c>
    </row>
    <row r="4715">
      <c r="B4715" s="2031">
        <v>4713.0</v>
      </c>
      <c r="C4715" s="2031">
        <v>566.0</v>
      </c>
      <c r="D4715" s="2031">
        <v>1131.0</v>
      </c>
      <c r="E4715" s="2031">
        <v>754.0</v>
      </c>
      <c r="F4715" s="2031">
        <v>754.0</v>
      </c>
      <c r="G4715" s="2031">
        <v>754.0</v>
      </c>
      <c r="H4715" s="2031">
        <v>754.0</v>
      </c>
    </row>
    <row r="4716">
      <c r="B4716" s="2031">
        <v>4714.0</v>
      </c>
      <c r="C4716" s="2031">
        <v>566.0</v>
      </c>
      <c r="D4716" s="2031">
        <v>1132.0</v>
      </c>
      <c r="E4716" s="2031">
        <v>754.0</v>
      </c>
      <c r="F4716" s="2031">
        <v>754.0</v>
      </c>
      <c r="G4716" s="2031">
        <v>754.0</v>
      </c>
      <c r="H4716" s="2031">
        <v>754.0</v>
      </c>
    </row>
    <row r="4717">
      <c r="B4717" s="2031">
        <v>4715.0</v>
      </c>
      <c r="C4717" s="2031">
        <v>566.0</v>
      </c>
      <c r="D4717" s="2031">
        <v>1131.0</v>
      </c>
      <c r="E4717" s="2031">
        <v>754.0</v>
      </c>
      <c r="F4717" s="2031">
        <v>754.0</v>
      </c>
      <c r="G4717" s="2031">
        <v>755.0</v>
      </c>
      <c r="H4717" s="2031">
        <v>755.0</v>
      </c>
    </row>
    <row r="4718">
      <c r="B4718" s="2031">
        <v>4716.0</v>
      </c>
      <c r="C4718" s="2031">
        <v>566.0</v>
      </c>
      <c r="D4718" s="2031">
        <v>1132.0</v>
      </c>
      <c r="E4718" s="2031">
        <v>754.0</v>
      </c>
      <c r="F4718" s="2031">
        <v>754.0</v>
      </c>
      <c r="G4718" s="2031">
        <v>755.0</v>
      </c>
      <c r="H4718" s="2031">
        <v>755.0</v>
      </c>
    </row>
    <row r="4719">
      <c r="B4719" s="2031">
        <v>4717.0</v>
      </c>
      <c r="C4719" s="2031">
        <v>566.0</v>
      </c>
      <c r="D4719" s="2031">
        <v>1133.0</v>
      </c>
      <c r="E4719" s="2031">
        <v>754.0</v>
      </c>
      <c r="F4719" s="2031">
        <v>754.0</v>
      </c>
      <c r="G4719" s="2031">
        <v>755.0</v>
      </c>
      <c r="H4719" s="2031">
        <v>755.0</v>
      </c>
    </row>
    <row r="4720">
      <c r="B4720" s="2031">
        <v>4718.0</v>
      </c>
      <c r="C4720" s="2031">
        <v>566.0</v>
      </c>
      <c r="D4720" s="2031">
        <v>1132.0</v>
      </c>
      <c r="E4720" s="2031">
        <v>755.0</v>
      </c>
      <c r="F4720" s="2031">
        <v>755.0</v>
      </c>
      <c r="G4720" s="2031">
        <v>755.0</v>
      </c>
      <c r="H4720" s="2031">
        <v>755.0</v>
      </c>
    </row>
    <row r="4721">
      <c r="B4721" s="2031">
        <v>4719.0</v>
      </c>
      <c r="C4721" s="2031">
        <v>566.0</v>
      </c>
      <c r="D4721" s="2031">
        <v>1133.0</v>
      </c>
      <c r="E4721" s="2031">
        <v>755.0</v>
      </c>
      <c r="F4721" s="2031">
        <v>755.0</v>
      </c>
      <c r="G4721" s="2031">
        <v>755.0</v>
      </c>
      <c r="H4721" s="2031">
        <v>755.0</v>
      </c>
    </row>
    <row r="4722">
      <c r="B4722" s="2031">
        <v>4720.0</v>
      </c>
      <c r="C4722" s="2031">
        <v>567.0</v>
      </c>
      <c r="D4722" s="2031">
        <v>1133.0</v>
      </c>
      <c r="E4722" s="2031">
        <v>755.0</v>
      </c>
      <c r="F4722" s="2031">
        <v>755.0</v>
      </c>
      <c r="G4722" s="2031">
        <v>755.0</v>
      </c>
      <c r="H4722" s="2031">
        <v>755.0</v>
      </c>
    </row>
    <row r="4723">
      <c r="B4723" s="2031">
        <v>4721.0</v>
      </c>
      <c r="C4723" s="2031">
        <v>566.0</v>
      </c>
      <c r="D4723" s="2031">
        <v>1133.0</v>
      </c>
      <c r="E4723" s="2031">
        <v>755.0</v>
      </c>
      <c r="F4723" s="2031">
        <v>755.0</v>
      </c>
      <c r="G4723" s="2031">
        <v>756.0</v>
      </c>
      <c r="H4723" s="2031">
        <v>756.0</v>
      </c>
    </row>
    <row r="4724">
      <c r="B4724" s="2031">
        <v>4722.0</v>
      </c>
      <c r="C4724" s="2031">
        <v>567.0</v>
      </c>
      <c r="D4724" s="2031">
        <v>1133.0</v>
      </c>
      <c r="E4724" s="2031">
        <v>755.0</v>
      </c>
      <c r="F4724" s="2031">
        <v>755.0</v>
      </c>
      <c r="G4724" s="2031">
        <v>756.0</v>
      </c>
      <c r="H4724" s="2031">
        <v>756.0</v>
      </c>
    </row>
    <row r="4725">
      <c r="B4725" s="2031">
        <v>4723.0</v>
      </c>
      <c r="C4725" s="2031">
        <v>566.0</v>
      </c>
      <c r="D4725" s="2031">
        <v>1133.0</v>
      </c>
      <c r="E4725" s="2031">
        <v>756.0</v>
      </c>
      <c r="F4725" s="2031">
        <v>756.0</v>
      </c>
      <c r="G4725" s="2031">
        <v>756.0</v>
      </c>
      <c r="H4725" s="2031">
        <v>756.0</v>
      </c>
    </row>
    <row r="4726">
      <c r="B4726" s="2031">
        <v>4724.0</v>
      </c>
      <c r="C4726" s="2031">
        <v>567.0</v>
      </c>
      <c r="D4726" s="2031">
        <v>1133.0</v>
      </c>
      <c r="E4726" s="2031">
        <v>756.0</v>
      </c>
      <c r="F4726" s="2031">
        <v>756.0</v>
      </c>
      <c r="G4726" s="2031">
        <v>756.0</v>
      </c>
      <c r="H4726" s="2031">
        <v>756.0</v>
      </c>
    </row>
    <row r="4727">
      <c r="B4727" s="2031">
        <v>4725.0</v>
      </c>
      <c r="C4727" s="2031">
        <v>567.0</v>
      </c>
      <c r="D4727" s="2031">
        <v>1134.0</v>
      </c>
      <c r="E4727" s="2031">
        <v>756.0</v>
      </c>
      <c r="F4727" s="2031">
        <v>756.0</v>
      </c>
      <c r="G4727" s="2031">
        <v>756.0</v>
      </c>
      <c r="H4727" s="2031">
        <v>756.0</v>
      </c>
    </row>
    <row r="4728">
      <c r="B4728" s="2031">
        <v>4726.0</v>
      </c>
      <c r="C4728" s="2031">
        <v>567.0</v>
      </c>
      <c r="D4728" s="2031">
        <v>1135.0</v>
      </c>
      <c r="E4728" s="2031">
        <v>756.0</v>
      </c>
      <c r="F4728" s="2031">
        <v>756.0</v>
      </c>
      <c r="G4728" s="2031">
        <v>756.0</v>
      </c>
      <c r="H4728" s="2031">
        <v>756.0</v>
      </c>
    </row>
    <row r="4729">
      <c r="B4729" s="2031">
        <v>4727.0</v>
      </c>
      <c r="C4729" s="2031">
        <v>568.0</v>
      </c>
      <c r="D4729" s="2031">
        <v>1135.0</v>
      </c>
      <c r="E4729" s="2031">
        <v>756.0</v>
      </c>
      <c r="F4729" s="2031">
        <v>756.0</v>
      </c>
      <c r="G4729" s="2031">
        <v>756.0</v>
      </c>
      <c r="H4729" s="2031">
        <v>756.0</v>
      </c>
    </row>
    <row r="4730">
      <c r="B4730" s="2031">
        <v>4728.0</v>
      </c>
      <c r="C4730" s="2031">
        <v>567.0</v>
      </c>
      <c r="D4730" s="2031">
        <v>1135.0</v>
      </c>
      <c r="E4730" s="2031">
        <v>756.0</v>
      </c>
      <c r="F4730" s="2031">
        <v>756.0</v>
      </c>
      <c r="G4730" s="2031">
        <v>757.0</v>
      </c>
      <c r="H4730" s="2031">
        <v>757.0</v>
      </c>
    </row>
    <row r="4731">
      <c r="B4731" s="2031">
        <v>4729.0</v>
      </c>
      <c r="C4731" s="2031">
        <v>568.0</v>
      </c>
      <c r="D4731" s="2031">
        <v>1135.0</v>
      </c>
      <c r="E4731" s="2031">
        <v>756.0</v>
      </c>
      <c r="F4731" s="2031">
        <v>756.0</v>
      </c>
      <c r="G4731" s="2031">
        <v>757.0</v>
      </c>
      <c r="H4731" s="2031">
        <v>757.0</v>
      </c>
    </row>
    <row r="4732">
      <c r="B4732" s="2031">
        <v>4730.0</v>
      </c>
      <c r="C4732" s="2031">
        <v>567.0</v>
      </c>
      <c r="D4732" s="2031">
        <v>1135.0</v>
      </c>
      <c r="E4732" s="2031">
        <v>757.0</v>
      </c>
      <c r="F4732" s="2031">
        <v>757.0</v>
      </c>
      <c r="G4732" s="2031">
        <v>757.0</v>
      </c>
      <c r="H4732" s="2031">
        <v>757.0</v>
      </c>
    </row>
    <row r="4733">
      <c r="B4733" s="2031">
        <v>4731.0</v>
      </c>
      <c r="C4733" s="2031">
        <v>568.0</v>
      </c>
      <c r="D4733" s="2031">
        <v>1135.0</v>
      </c>
      <c r="E4733" s="2031">
        <v>757.0</v>
      </c>
      <c r="F4733" s="2031">
        <v>757.0</v>
      </c>
      <c r="G4733" s="2031">
        <v>757.0</v>
      </c>
      <c r="H4733" s="2031">
        <v>757.0</v>
      </c>
    </row>
    <row r="4734">
      <c r="B4734" s="2031">
        <v>4732.0</v>
      </c>
      <c r="C4734" s="2031">
        <v>568.0</v>
      </c>
      <c r="D4734" s="2031">
        <v>1136.0</v>
      </c>
      <c r="E4734" s="2031">
        <v>757.0</v>
      </c>
      <c r="F4734" s="2031">
        <v>757.0</v>
      </c>
      <c r="G4734" s="2031">
        <v>757.0</v>
      </c>
      <c r="H4734" s="2031">
        <v>757.0</v>
      </c>
    </row>
    <row r="4735">
      <c r="B4735" s="2031">
        <v>4733.0</v>
      </c>
      <c r="C4735" s="2031">
        <v>568.0</v>
      </c>
      <c r="D4735" s="2031">
        <v>1135.0</v>
      </c>
      <c r="E4735" s="2031">
        <v>757.0</v>
      </c>
      <c r="F4735" s="2031">
        <v>757.0</v>
      </c>
      <c r="G4735" s="2031">
        <v>758.0</v>
      </c>
      <c r="H4735" s="2031">
        <v>758.0</v>
      </c>
    </row>
    <row r="4736">
      <c r="B4736" s="2031">
        <v>4734.0</v>
      </c>
      <c r="C4736" s="2031">
        <v>568.0</v>
      </c>
      <c r="D4736" s="2031">
        <v>1136.0</v>
      </c>
      <c r="E4736" s="2031">
        <v>757.0</v>
      </c>
      <c r="F4736" s="2031">
        <v>757.0</v>
      </c>
      <c r="G4736" s="2031">
        <v>758.0</v>
      </c>
      <c r="H4736" s="2031">
        <v>758.0</v>
      </c>
    </row>
    <row r="4737">
      <c r="B4737" s="2031">
        <v>4735.0</v>
      </c>
      <c r="C4737" s="2031">
        <v>568.0</v>
      </c>
      <c r="D4737" s="2031">
        <v>1137.0</v>
      </c>
      <c r="E4737" s="2031">
        <v>757.0</v>
      </c>
      <c r="F4737" s="2031">
        <v>757.0</v>
      </c>
      <c r="G4737" s="2031">
        <v>758.0</v>
      </c>
      <c r="H4737" s="2031">
        <v>758.0</v>
      </c>
    </row>
    <row r="4738">
      <c r="B4738" s="2031">
        <v>4736.0</v>
      </c>
      <c r="C4738" s="2031">
        <v>568.0</v>
      </c>
      <c r="D4738" s="2031">
        <v>1136.0</v>
      </c>
      <c r="E4738" s="2031">
        <v>758.0</v>
      </c>
      <c r="F4738" s="2031">
        <v>758.0</v>
      </c>
      <c r="G4738" s="2031">
        <v>758.0</v>
      </c>
      <c r="H4738" s="2031">
        <v>758.0</v>
      </c>
    </row>
    <row r="4739">
      <c r="B4739" s="2031">
        <v>4737.0</v>
      </c>
      <c r="C4739" s="2031">
        <v>568.0</v>
      </c>
      <c r="D4739" s="2031">
        <v>1137.0</v>
      </c>
      <c r="E4739" s="2031">
        <v>758.0</v>
      </c>
      <c r="F4739" s="2031">
        <v>758.0</v>
      </c>
      <c r="G4739" s="2031">
        <v>758.0</v>
      </c>
      <c r="H4739" s="2031">
        <v>758.0</v>
      </c>
    </row>
    <row r="4740">
      <c r="B4740" s="2031">
        <v>4738.0</v>
      </c>
      <c r="C4740" s="2031">
        <v>569.0</v>
      </c>
      <c r="D4740" s="2031">
        <v>1137.0</v>
      </c>
      <c r="E4740" s="2031">
        <v>758.0</v>
      </c>
      <c r="F4740" s="2031">
        <v>758.0</v>
      </c>
      <c r="G4740" s="2031">
        <v>758.0</v>
      </c>
      <c r="H4740" s="2031">
        <v>758.0</v>
      </c>
    </row>
    <row r="4741">
      <c r="B4741" s="2031">
        <v>4739.0</v>
      </c>
      <c r="C4741" s="2031">
        <v>569.0</v>
      </c>
      <c r="D4741" s="2031">
        <v>1138.0</v>
      </c>
      <c r="E4741" s="2031">
        <v>758.0</v>
      </c>
      <c r="F4741" s="2031">
        <v>758.0</v>
      </c>
      <c r="G4741" s="2031">
        <v>758.0</v>
      </c>
      <c r="H4741" s="2031">
        <v>758.0</v>
      </c>
    </row>
    <row r="4742">
      <c r="B4742" s="2031">
        <v>4740.0</v>
      </c>
      <c r="C4742" s="2031">
        <v>569.0</v>
      </c>
      <c r="D4742" s="2031">
        <v>1137.0</v>
      </c>
      <c r="E4742" s="2031">
        <v>758.0</v>
      </c>
      <c r="F4742" s="2031">
        <v>758.0</v>
      </c>
      <c r="G4742" s="2031">
        <v>759.0</v>
      </c>
      <c r="H4742" s="2031">
        <v>759.0</v>
      </c>
    </row>
    <row r="4743">
      <c r="B4743" s="2031">
        <v>4741.0</v>
      </c>
      <c r="C4743" s="2031">
        <v>569.0</v>
      </c>
      <c r="D4743" s="2031">
        <v>1138.0</v>
      </c>
      <c r="E4743" s="2031">
        <v>758.0</v>
      </c>
      <c r="F4743" s="2031">
        <v>758.0</v>
      </c>
      <c r="G4743" s="2031">
        <v>759.0</v>
      </c>
      <c r="H4743" s="2031">
        <v>759.0</v>
      </c>
    </row>
    <row r="4744">
      <c r="B4744" s="2031">
        <v>4742.0</v>
      </c>
      <c r="C4744" s="2031">
        <v>569.0</v>
      </c>
      <c r="D4744" s="2031">
        <v>1139.0</v>
      </c>
      <c r="E4744" s="2031">
        <v>758.0</v>
      </c>
      <c r="F4744" s="2031">
        <v>758.0</v>
      </c>
      <c r="G4744" s="2031">
        <v>759.0</v>
      </c>
      <c r="H4744" s="2031">
        <v>759.0</v>
      </c>
    </row>
    <row r="4745">
      <c r="B4745" s="2031">
        <v>4743.0</v>
      </c>
      <c r="C4745" s="2031">
        <v>569.0</v>
      </c>
      <c r="D4745" s="2031">
        <v>1138.0</v>
      </c>
      <c r="E4745" s="2031">
        <v>759.0</v>
      </c>
      <c r="F4745" s="2031">
        <v>759.0</v>
      </c>
      <c r="G4745" s="2031">
        <v>759.0</v>
      </c>
      <c r="H4745" s="2031">
        <v>759.0</v>
      </c>
    </row>
    <row r="4746">
      <c r="B4746" s="2031">
        <v>4744.0</v>
      </c>
      <c r="C4746" s="2031">
        <v>569.0</v>
      </c>
      <c r="D4746" s="2031">
        <v>1139.0</v>
      </c>
      <c r="E4746" s="2031">
        <v>759.0</v>
      </c>
      <c r="F4746" s="2031">
        <v>759.0</v>
      </c>
      <c r="G4746" s="2031">
        <v>759.0</v>
      </c>
      <c r="H4746" s="2031">
        <v>759.0</v>
      </c>
    </row>
    <row r="4747">
      <c r="B4747" s="2031">
        <v>4745.0</v>
      </c>
      <c r="C4747" s="2031">
        <v>570.0</v>
      </c>
      <c r="D4747" s="2031">
        <v>1139.0</v>
      </c>
      <c r="E4747" s="2031">
        <v>759.0</v>
      </c>
      <c r="F4747" s="2031">
        <v>759.0</v>
      </c>
      <c r="G4747" s="2031">
        <v>759.0</v>
      </c>
      <c r="H4747" s="2031">
        <v>759.0</v>
      </c>
    </row>
    <row r="4748">
      <c r="B4748" s="2031">
        <v>4746.0</v>
      </c>
      <c r="C4748" s="2031">
        <v>569.0</v>
      </c>
      <c r="D4748" s="2031">
        <v>1139.0</v>
      </c>
      <c r="E4748" s="2031">
        <v>759.0</v>
      </c>
      <c r="F4748" s="2031">
        <v>759.0</v>
      </c>
      <c r="G4748" s="2031">
        <v>760.0</v>
      </c>
      <c r="H4748" s="2031">
        <v>760.0</v>
      </c>
    </row>
    <row r="4749">
      <c r="B4749" s="2031">
        <v>4747.0</v>
      </c>
      <c r="C4749" s="2031">
        <v>570.0</v>
      </c>
      <c r="D4749" s="2031">
        <v>1139.0</v>
      </c>
      <c r="E4749" s="2031">
        <v>759.0</v>
      </c>
      <c r="F4749" s="2031">
        <v>759.0</v>
      </c>
      <c r="G4749" s="2031">
        <v>760.0</v>
      </c>
      <c r="H4749" s="2031">
        <v>760.0</v>
      </c>
    </row>
    <row r="4750">
      <c r="B4750" s="2031">
        <v>4748.0</v>
      </c>
      <c r="C4750" s="2031">
        <v>569.0</v>
      </c>
      <c r="D4750" s="2031">
        <v>1139.0</v>
      </c>
      <c r="E4750" s="2031">
        <v>760.0</v>
      </c>
      <c r="F4750" s="2031">
        <v>760.0</v>
      </c>
      <c r="G4750" s="2031">
        <v>760.0</v>
      </c>
      <c r="H4750" s="2031">
        <v>760.0</v>
      </c>
    </row>
    <row r="4751">
      <c r="B4751" s="2031">
        <v>4749.0</v>
      </c>
      <c r="C4751" s="2031">
        <v>570.0</v>
      </c>
      <c r="D4751" s="2031">
        <v>1139.0</v>
      </c>
      <c r="E4751" s="2031">
        <v>760.0</v>
      </c>
      <c r="F4751" s="2031">
        <v>760.0</v>
      </c>
      <c r="G4751" s="2031">
        <v>760.0</v>
      </c>
      <c r="H4751" s="2031">
        <v>760.0</v>
      </c>
    </row>
    <row r="4752">
      <c r="B4752" s="2031">
        <v>4750.0</v>
      </c>
      <c r="C4752" s="2031">
        <v>570.0</v>
      </c>
      <c r="D4752" s="2031">
        <v>1140.0</v>
      </c>
      <c r="E4752" s="2031">
        <v>760.0</v>
      </c>
      <c r="F4752" s="2031">
        <v>760.0</v>
      </c>
      <c r="G4752" s="2031">
        <v>760.0</v>
      </c>
      <c r="H4752" s="2031">
        <v>760.0</v>
      </c>
    </row>
    <row r="4753">
      <c r="B4753" s="2031">
        <v>4751.0</v>
      </c>
      <c r="C4753" s="2031">
        <v>570.0</v>
      </c>
      <c r="D4753" s="2031">
        <v>1141.0</v>
      </c>
      <c r="E4753" s="2031">
        <v>760.0</v>
      </c>
      <c r="F4753" s="2031">
        <v>760.0</v>
      </c>
      <c r="G4753" s="2031">
        <v>760.0</v>
      </c>
      <c r="H4753" s="2031">
        <v>760.0</v>
      </c>
    </row>
    <row r="4754">
      <c r="B4754" s="2031">
        <v>4752.0</v>
      </c>
      <c r="C4754" s="2031">
        <v>571.0</v>
      </c>
      <c r="D4754" s="2031">
        <v>1141.0</v>
      </c>
      <c r="E4754" s="2031">
        <v>760.0</v>
      </c>
      <c r="F4754" s="2031">
        <v>760.0</v>
      </c>
      <c r="G4754" s="2031">
        <v>760.0</v>
      </c>
      <c r="H4754" s="2031">
        <v>760.0</v>
      </c>
    </row>
    <row r="4755">
      <c r="B4755" s="2031">
        <v>4753.0</v>
      </c>
      <c r="C4755" s="2031">
        <v>570.0</v>
      </c>
      <c r="D4755" s="2031">
        <v>1141.0</v>
      </c>
      <c r="E4755" s="2031">
        <v>760.0</v>
      </c>
      <c r="F4755" s="2031">
        <v>760.0</v>
      </c>
      <c r="G4755" s="2031">
        <v>761.0</v>
      </c>
      <c r="H4755" s="2031">
        <v>761.0</v>
      </c>
    </row>
    <row r="4756">
      <c r="B4756" s="2031">
        <v>4754.0</v>
      </c>
      <c r="C4756" s="2031">
        <v>571.0</v>
      </c>
      <c r="D4756" s="2031">
        <v>1141.0</v>
      </c>
      <c r="E4756" s="2031">
        <v>760.0</v>
      </c>
      <c r="F4756" s="2031">
        <v>760.0</v>
      </c>
      <c r="G4756" s="2031">
        <v>761.0</v>
      </c>
      <c r="H4756" s="2031">
        <v>761.0</v>
      </c>
    </row>
    <row r="4757">
      <c r="B4757" s="2031">
        <v>4755.0</v>
      </c>
      <c r="C4757" s="2031">
        <v>570.0</v>
      </c>
      <c r="D4757" s="2031">
        <v>1141.0</v>
      </c>
      <c r="E4757" s="2031">
        <v>761.0</v>
      </c>
      <c r="F4757" s="2031">
        <v>761.0</v>
      </c>
      <c r="G4757" s="2031">
        <v>761.0</v>
      </c>
      <c r="H4757" s="2031">
        <v>761.0</v>
      </c>
    </row>
    <row r="4758">
      <c r="B4758" s="2031">
        <v>4756.0</v>
      </c>
      <c r="C4758" s="2031">
        <v>571.0</v>
      </c>
      <c r="D4758" s="2031">
        <v>1141.0</v>
      </c>
      <c r="E4758" s="2031">
        <v>761.0</v>
      </c>
      <c r="F4758" s="2031">
        <v>761.0</v>
      </c>
      <c r="G4758" s="2031">
        <v>761.0</v>
      </c>
      <c r="H4758" s="2031">
        <v>761.0</v>
      </c>
    </row>
    <row r="4759">
      <c r="B4759" s="2031">
        <v>4757.0</v>
      </c>
      <c r="C4759" s="2031">
        <v>571.0</v>
      </c>
      <c r="D4759" s="2031">
        <v>1142.0</v>
      </c>
      <c r="E4759" s="2031">
        <v>761.0</v>
      </c>
      <c r="F4759" s="2031">
        <v>761.0</v>
      </c>
      <c r="G4759" s="2031">
        <v>761.0</v>
      </c>
      <c r="H4759" s="2031">
        <v>761.0</v>
      </c>
    </row>
    <row r="4760">
      <c r="B4760" s="2031">
        <v>4758.0</v>
      </c>
      <c r="C4760" s="2031">
        <v>571.0</v>
      </c>
      <c r="D4760" s="2031">
        <v>1141.0</v>
      </c>
      <c r="E4760" s="2031">
        <v>761.0</v>
      </c>
      <c r="F4760" s="2031">
        <v>761.0</v>
      </c>
      <c r="G4760" s="2031">
        <v>762.0</v>
      </c>
      <c r="H4760" s="2031">
        <v>762.0</v>
      </c>
    </row>
    <row r="4761">
      <c r="B4761" s="2031">
        <v>4759.0</v>
      </c>
      <c r="C4761" s="2031">
        <v>571.0</v>
      </c>
      <c r="D4761" s="2031">
        <v>1142.0</v>
      </c>
      <c r="E4761" s="2031">
        <v>761.0</v>
      </c>
      <c r="F4761" s="2031">
        <v>761.0</v>
      </c>
      <c r="G4761" s="2031">
        <v>762.0</v>
      </c>
      <c r="H4761" s="2031">
        <v>762.0</v>
      </c>
    </row>
    <row r="4762">
      <c r="B4762" s="2031">
        <v>4760.0</v>
      </c>
      <c r="C4762" s="2031">
        <v>571.0</v>
      </c>
      <c r="D4762" s="2031">
        <v>1143.0</v>
      </c>
      <c r="E4762" s="2031">
        <v>761.0</v>
      </c>
      <c r="F4762" s="2031">
        <v>761.0</v>
      </c>
      <c r="G4762" s="2031">
        <v>762.0</v>
      </c>
      <c r="H4762" s="2031">
        <v>762.0</v>
      </c>
    </row>
    <row r="4763">
      <c r="B4763" s="2031">
        <v>4761.0</v>
      </c>
      <c r="C4763" s="2031">
        <v>571.0</v>
      </c>
      <c r="D4763" s="2031">
        <v>1142.0</v>
      </c>
      <c r="E4763" s="2031">
        <v>762.0</v>
      </c>
      <c r="F4763" s="2031">
        <v>762.0</v>
      </c>
      <c r="G4763" s="2031">
        <v>762.0</v>
      </c>
      <c r="H4763" s="2031">
        <v>762.0</v>
      </c>
    </row>
    <row r="4764">
      <c r="B4764" s="2031">
        <v>4762.0</v>
      </c>
      <c r="C4764" s="2031">
        <v>571.0</v>
      </c>
      <c r="D4764" s="2031">
        <v>1143.0</v>
      </c>
      <c r="E4764" s="2031">
        <v>762.0</v>
      </c>
      <c r="F4764" s="2031">
        <v>762.0</v>
      </c>
      <c r="G4764" s="2031">
        <v>762.0</v>
      </c>
      <c r="H4764" s="2031">
        <v>762.0</v>
      </c>
    </row>
    <row r="4765">
      <c r="B4765" s="2031">
        <v>4763.0</v>
      </c>
      <c r="C4765" s="2031">
        <v>572.0</v>
      </c>
      <c r="D4765" s="2031">
        <v>1143.0</v>
      </c>
      <c r="E4765" s="2031">
        <v>762.0</v>
      </c>
      <c r="F4765" s="2031">
        <v>762.0</v>
      </c>
      <c r="G4765" s="2031">
        <v>762.0</v>
      </c>
      <c r="H4765" s="2031">
        <v>762.0</v>
      </c>
    </row>
    <row r="4766">
      <c r="B4766" s="2031">
        <v>4764.0</v>
      </c>
      <c r="C4766" s="2031">
        <v>572.0</v>
      </c>
      <c r="D4766" s="2031">
        <v>1144.0</v>
      </c>
      <c r="E4766" s="2031">
        <v>762.0</v>
      </c>
      <c r="F4766" s="2031">
        <v>762.0</v>
      </c>
      <c r="G4766" s="2031">
        <v>762.0</v>
      </c>
      <c r="H4766" s="2031">
        <v>762.0</v>
      </c>
    </row>
    <row r="4767">
      <c r="B4767" s="2031">
        <v>4765.0</v>
      </c>
      <c r="C4767" s="2031">
        <v>572.0</v>
      </c>
      <c r="D4767" s="2031">
        <v>1143.0</v>
      </c>
      <c r="E4767" s="2031">
        <v>762.0</v>
      </c>
      <c r="F4767" s="2031">
        <v>762.0</v>
      </c>
      <c r="G4767" s="2031">
        <v>763.0</v>
      </c>
      <c r="H4767" s="2031">
        <v>763.0</v>
      </c>
    </row>
    <row r="4768">
      <c r="B4768" s="2031">
        <v>4766.0</v>
      </c>
      <c r="C4768" s="2031">
        <v>572.0</v>
      </c>
      <c r="D4768" s="2031">
        <v>1144.0</v>
      </c>
      <c r="E4768" s="2031">
        <v>762.0</v>
      </c>
      <c r="F4768" s="2031">
        <v>762.0</v>
      </c>
      <c r="G4768" s="2031">
        <v>763.0</v>
      </c>
      <c r="H4768" s="2031">
        <v>763.0</v>
      </c>
    </row>
    <row r="4769">
      <c r="B4769" s="2031">
        <v>4767.0</v>
      </c>
      <c r="C4769" s="2031">
        <v>572.0</v>
      </c>
      <c r="D4769" s="2031">
        <v>1145.0</v>
      </c>
      <c r="E4769" s="2031">
        <v>762.0</v>
      </c>
      <c r="F4769" s="2031">
        <v>762.0</v>
      </c>
      <c r="G4769" s="2031">
        <v>763.0</v>
      </c>
      <c r="H4769" s="2031">
        <v>763.0</v>
      </c>
    </row>
    <row r="4770">
      <c r="B4770" s="2031">
        <v>4768.0</v>
      </c>
      <c r="C4770" s="2031">
        <v>572.0</v>
      </c>
      <c r="D4770" s="2031">
        <v>1144.0</v>
      </c>
      <c r="E4770" s="2031">
        <v>763.0</v>
      </c>
      <c r="F4770" s="2031">
        <v>763.0</v>
      </c>
      <c r="G4770" s="2031">
        <v>763.0</v>
      </c>
      <c r="H4770" s="2031">
        <v>763.0</v>
      </c>
    </row>
    <row r="4771">
      <c r="B4771" s="2031">
        <v>4769.0</v>
      </c>
      <c r="C4771" s="2031">
        <v>572.0</v>
      </c>
      <c r="D4771" s="2031">
        <v>1145.0</v>
      </c>
      <c r="E4771" s="2031">
        <v>763.0</v>
      </c>
      <c r="F4771" s="2031">
        <v>763.0</v>
      </c>
      <c r="G4771" s="2031">
        <v>763.0</v>
      </c>
      <c r="H4771" s="2031">
        <v>763.0</v>
      </c>
    </row>
    <row r="4772">
      <c r="B4772" s="2031">
        <v>4770.0</v>
      </c>
      <c r="C4772" s="2031">
        <v>573.0</v>
      </c>
      <c r="D4772" s="2031">
        <v>1145.0</v>
      </c>
      <c r="E4772" s="2031">
        <v>763.0</v>
      </c>
      <c r="F4772" s="2031">
        <v>763.0</v>
      </c>
      <c r="G4772" s="2031">
        <v>763.0</v>
      </c>
      <c r="H4772" s="2031">
        <v>763.0</v>
      </c>
    </row>
    <row r="4773">
      <c r="B4773" s="2031">
        <v>4771.0</v>
      </c>
      <c r="C4773" s="2031">
        <v>572.0</v>
      </c>
      <c r="D4773" s="2031">
        <v>1145.0</v>
      </c>
      <c r="E4773" s="2031">
        <v>763.0</v>
      </c>
      <c r="F4773" s="2031">
        <v>763.0</v>
      </c>
      <c r="G4773" s="2031">
        <v>764.0</v>
      </c>
      <c r="H4773" s="2031">
        <v>764.0</v>
      </c>
    </row>
    <row r="4774">
      <c r="B4774" s="2031">
        <v>4772.0</v>
      </c>
      <c r="C4774" s="2031">
        <v>573.0</v>
      </c>
      <c r="D4774" s="2031">
        <v>1145.0</v>
      </c>
      <c r="E4774" s="2031">
        <v>763.0</v>
      </c>
      <c r="F4774" s="2031">
        <v>763.0</v>
      </c>
      <c r="G4774" s="2031">
        <v>764.0</v>
      </c>
      <c r="H4774" s="2031">
        <v>764.0</v>
      </c>
    </row>
    <row r="4775">
      <c r="B4775" s="2031">
        <v>4773.0</v>
      </c>
      <c r="C4775" s="2031">
        <v>572.0</v>
      </c>
      <c r="D4775" s="2031">
        <v>1145.0</v>
      </c>
      <c r="E4775" s="2031">
        <v>764.0</v>
      </c>
      <c r="F4775" s="2031">
        <v>764.0</v>
      </c>
      <c r="G4775" s="2031">
        <v>764.0</v>
      </c>
      <c r="H4775" s="2031">
        <v>764.0</v>
      </c>
    </row>
    <row r="4776">
      <c r="B4776" s="2031">
        <v>4774.0</v>
      </c>
      <c r="C4776" s="2031">
        <v>573.0</v>
      </c>
      <c r="D4776" s="2031">
        <v>1145.0</v>
      </c>
      <c r="E4776" s="2031">
        <v>764.0</v>
      </c>
      <c r="F4776" s="2031">
        <v>764.0</v>
      </c>
      <c r="G4776" s="2031">
        <v>764.0</v>
      </c>
      <c r="H4776" s="2031">
        <v>764.0</v>
      </c>
    </row>
    <row r="4777">
      <c r="B4777" s="2031">
        <v>4775.0</v>
      </c>
      <c r="C4777" s="2031">
        <v>573.0</v>
      </c>
      <c r="D4777" s="2031">
        <v>1146.0</v>
      </c>
      <c r="E4777" s="2031">
        <v>764.0</v>
      </c>
      <c r="F4777" s="2031">
        <v>764.0</v>
      </c>
      <c r="G4777" s="2031">
        <v>764.0</v>
      </c>
      <c r="H4777" s="2031">
        <v>764.0</v>
      </c>
    </row>
    <row r="4778">
      <c r="B4778" s="2031">
        <v>4776.0</v>
      </c>
      <c r="C4778" s="2031">
        <v>573.0</v>
      </c>
      <c r="D4778" s="2031">
        <v>1147.0</v>
      </c>
      <c r="E4778" s="2031">
        <v>764.0</v>
      </c>
      <c r="F4778" s="2031">
        <v>764.0</v>
      </c>
      <c r="G4778" s="2031">
        <v>764.0</v>
      </c>
      <c r="H4778" s="2031">
        <v>764.0</v>
      </c>
    </row>
    <row r="4779">
      <c r="B4779" s="2031">
        <v>4777.0</v>
      </c>
      <c r="C4779" s="2031">
        <v>574.0</v>
      </c>
      <c r="D4779" s="2031">
        <v>1147.0</v>
      </c>
      <c r="E4779" s="2031">
        <v>764.0</v>
      </c>
      <c r="F4779" s="2031">
        <v>764.0</v>
      </c>
      <c r="G4779" s="2031">
        <v>764.0</v>
      </c>
      <c r="H4779" s="2031">
        <v>764.0</v>
      </c>
    </row>
    <row r="4780">
      <c r="B4780" s="2031">
        <v>4778.0</v>
      </c>
      <c r="C4780" s="2031">
        <v>573.0</v>
      </c>
      <c r="D4780" s="2031">
        <v>1147.0</v>
      </c>
      <c r="E4780" s="2031">
        <v>764.0</v>
      </c>
      <c r="F4780" s="2031">
        <v>764.0</v>
      </c>
      <c r="G4780" s="2031">
        <v>765.0</v>
      </c>
      <c r="H4780" s="2031">
        <v>765.0</v>
      </c>
    </row>
    <row r="4781">
      <c r="B4781" s="2031">
        <v>4779.0</v>
      </c>
      <c r="C4781" s="2031">
        <v>574.0</v>
      </c>
      <c r="D4781" s="2031">
        <v>1147.0</v>
      </c>
      <c r="E4781" s="2031">
        <v>764.0</v>
      </c>
      <c r="F4781" s="2031">
        <v>764.0</v>
      </c>
      <c r="G4781" s="2031">
        <v>765.0</v>
      </c>
      <c r="H4781" s="2031">
        <v>765.0</v>
      </c>
    </row>
    <row r="4782">
      <c r="B4782" s="2031">
        <v>4780.0</v>
      </c>
      <c r="C4782" s="2031">
        <v>573.0</v>
      </c>
      <c r="D4782" s="2031">
        <v>1147.0</v>
      </c>
      <c r="E4782" s="2031">
        <v>765.0</v>
      </c>
      <c r="F4782" s="2031">
        <v>765.0</v>
      </c>
      <c r="G4782" s="2031">
        <v>765.0</v>
      </c>
      <c r="H4782" s="2031">
        <v>765.0</v>
      </c>
    </row>
    <row r="4783">
      <c r="B4783" s="2031">
        <v>4781.0</v>
      </c>
      <c r="C4783" s="2031">
        <v>574.0</v>
      </c>
      <c r="D4783" s="2031">
        <v>1147.0</v>
      </c>
      <c r="E4783" s="2031">
        <v>765.0</v>
      </c>
      <c r="F4783" s="2031">
        <v>765.0</v>
      </c>
      <c r="G4783" s="2031">
        <v>765.0</v>
      </c>
      <c r="H4783" s="2031">
        <v>765.0</v>
      </c>
    </row>
    <row r="4784">
      <c r="B4784" s="2031">
        <v>4782.0</v>
      </c>
      <c r="C4784" s="2031">
        <v>574.0</v>
      </c>
      <c r="D4784" s="2031">
        <v>1148.0</v>
      </c>
      <c r="E4784" s="2031">
        <v>765.0</v>
      </c>
      <c r="F4784" s="2031">
        <v>765.0</v>
      </c>
      <c r="G4784" s="2031">
        <v>765.0</v>
      </c>
      <c r="H4784" s="2031">
        <v>765.0</v>
      </c>
    </row>
    <row r="4785">
      <c r="B4785" s="2031">
        <v>4783.0</v>
      </c>
      <c r="C4785" s="2031">
        <v>574.0</v>
      </c>
      <c r="D4785" s="2031">
        <v>1147.0</v>
      </c>
      <c r="E4785" s="2031">
        <v>765.0</v>
      </c>
      <c r="F4785" s="2031">
        <v>765.0</v>
      </c>
      <c r="G4785" s="2031">
        <v>766.0</v>
      </c>
      <c r="H4785" s="2031">
        <v>766.0</v>
      </c>
    </row>
    <row r="4786">
      <c r="B4786" s="2031">
        <v>4784.0</v>
      </c>
      <c r="C4786" s="2031">
        <v>574.0</v>
      </c>
      <c r="D4786" s="2031">
        <v>1148.0</v>
      </c>
      <c r="E4786" s="2031">
        <v>765.0</v>
      </c>
      <c r="F4786" s="2031">
        <v>765.0</v>
      </c>
      <c r="G4786" s="2031">
        <v>766.0</v>
      </c>
      <c r="H4786" s="2031">
        <v>766.0</v>
      </c>
    </row>
    <row r="4787">
      <c r="B4787" s="2031">
        <v>4785.0</v>
      </c>
      <c r="C4787" s="2031">
        <v>574.0</v>
      </c>
      <c r="D4787" s="2031">
        <v>1149.0</v>
      </c>
      <c r="E4787" s="2031">
        <v>765.0</v>
      </c>
      <c r="F4787" s="2031">
        <v>765.0</v>
      </c>
      <c r="G4787" s="2031">
        <v>766.0</v>
      </c>
      <c r="H4787" s="2031">
        <v>766.0</v>
      </c>
    </row>
    <row r="4788">
      <c r="B4788" s="2031">
        <v>4786.0</v>
      </c>
      <c r="C4788" s="2031">
        <v>574.0</v>
      </c>
      <c r="D4788" s="2031">
        <v>1148.0</v>
      </c>
      <c r="E4788" s="2031">
        <v>766.0</v>
      </c>
      <c r="F4788" s="2031">
        <v>766.0</v>
      </c>
      <c r="G4788" s="2031">
        <v>766.0</v>
      </c>
      <c r="H4788" s="2031">
        <v>766.0</v>
      </c>
    </row>
    <row r="4789">
      <c r="B4789" s="2031">
        <v>4787.0</v>
      </c>
      <c r="C4789" s="2031">
        <v>574.0</v>
      </c>
      <c r="D4789" s="2031">
        <v>1149.0</v>
      </c>
      <c r="E4789" s="2031">
        <v>766.0</v>
      </c>
      <c r="F4789" s="2031">
        <v>766.0</v>
      </c>
      <c r="G4789" s="2031">
        <v>766.0</v>
      </c>
      <c r="H4789" s="2031">
        <v>766.0</v>
      </c>
    </row>
    <row r="4790">
      <c r="B4790" s="2031">
        <v>4788.0</v>
      </c>
      <c r="C4790" s="2031">
        <v>575.0</v>
      </c>
      <c r="D4790" s="2031">
        <v>1149.0</v>
      </c>
      <c r="E4790" s="2031">
        <v>766.0</v>
      </c>
      <c r="F4790" s="2031">
        <v>766.0</v>
      </c>
      <c r="G4790" s="2031">
        <v>766.0</v>
      </c>
      <c r="H4790" s="2031">
        <v>766.0</v>
      </c>
    </row>
    <row r="4791">
      <c r="B4791" s="2031">
        <v>4789.0</v>
      </c>
      <c r="C4791" s="2031">
        <v>575.0</v>
      </c>
      <c r="D4791" s="2031">
        <v>1150.0</v>
      </c>
      <c r="E4791" s="2031">
        <v>766.0</v>
      </c>
      <c r="F4791" s="2031">
        <v>766.0</v>
      </c>
      <c r="G4791" s="2031">
        <v>766.0</v>
      </c>
      <c r="H4791" s="2031">
        <v>766.0</v>
      </c>
    </row>
    <row r="4792">
      <c r="B4792" s="2031">
        <v>4790.0</v>
      </c>
      <c r="C4792" s="2031">
        <v>575.0</v>
      </c>
      <c r="D4792" s="2031">
        <v>1149.0</v>
      </c>
      <c r="E4792" s="2031">
        <v>766.0</v>
      </c>
      <c r="F4792" s="2031">
        <v>766.0</v>
      </c>
      <c r="G4792" s="2031">
        <v>767.0</v>
      </c>
      <c r="H4792" s="2031">
        <v>767.0</v>
      </c>
    </row>
    <row r="4793">
      <c r="B4793" s="2031">
        <v>4791.0</v>
      </c>
      <c r="C4793" s="2031">
        <v>575.0</v>
      </c>
      <c r="D4793" s="2031">
        <v>1150.0</v>
      </c>
      <c r="E4793" s="2031">
        <v>766.0</v>
      </c>
      <c r="F4793" s="2031">
        <v>766.0</v>
      </c>
      <c r="G4793" s="2031">
        <v>767.0</v>
      </c>
      <c r="H4793" s="2031">
        <v>767.0</v>
      </c>
    </row>
    <row r="4794">
      <c r="B4794" s="2031">
        <v>4792.0</v>
      </c>
      <c r="C4794" s="2031">
        <v>575.0</v>
      </c>
      <c r="D4794" s="2031">
        <v>1151.0</v>
      </c>
      <c r="E4794" s="2031">
        <v>766.0</v>
      </c>
      <c r="F4794" s="2031">
        <v>766.0</v>
      </c>
      <c r="G4794" s="2031">
        <v>767.0</v>
      </c>
      <c r="H4794" s="2031">
        <v>767.0</v>
      </c>
    </row>
    <row r="4795">
      <c r="B4795" s="2031">
        <v>4793.0</v>
      </c>
      <c r="C4795" s="2031">
        <v>575.0</v>
      </c>
      <c r="D4795" s="2031">
        <v>1150.0</v>
      </c>
      <c r="E4795" s="2031">
        <v>767.0</v>
      </c>
      <c r="F4795" s="2031">
        <v>767.0</v>
      </c>
      <c r="G4795" s="2031">
        <v>767.0</v>
      </c>
      <c r="H4795" s="2031">
        <v>767.0</v>
      </c>
    </row>
    <row r="4796">
      <c r="B4796" s="2031">
        <v>4794.0</v>
      </c>
      <c r="C4796" s="2031">
        <v>575.0</v>
      </c>
      <c r="D4796" s="2031">
        <v>1151.0</v>
      </c>
      <c r="E4796" s="2031">
        <v>767.0</v>
      </c>
      <c r="F4796" s="2031">
        <v>767.0</v>
      </c>
      <c r="G4796" s="2031">
        <v>767.0</v>
      </c>
      <c r="H4796" s="2031">
        <v>767.0</v>
      </c>
    </row>
    <row r="4797">
      <c r="B4797" s="2031">
        <v>4795.0</v>
      </c>
      <c r="C4797" s="2031">
        <v>576.0</v>
      </c>
      <c r="D4797" s="2031">
        <v>1151.0</v>
      </c>
      <c r="E4797" s="2031">
        <v>767.0</v>
      </c>
      <c r="F4797" s="2031">
        <v>767.0</v>
      </c>
      <c r="G4797" s="2031">
        <v>767.0</v>
      </c>
      <c r="H4797" s="2031">
        <v>767.0</v>
      </c>
    </row>
    <row r="4798">
      <c r="B4798" s="2031">
        <v>4796.0</v>
      </c>
      <c r="C4798" s="2031">
        <v>575.0</v>
      </c>
      <c r="D4798" s="2031">
        <v>1151.0</v>
      </c>
      <c r="E4798" s="2031">
        <v>767.0</v>
      </c>
      <c r="F4798" s="2031">
        <v>767.0</v>
      </c>
      <c r="G4798" s="2031">
        <v>768.0</v>
      </c>
      <c r="H4798" s="2031">
        <v>768.0</v>
      </c>
    </row>
    <row r="4799">
      <c r="B4799" s="2031">
        <v>4797.0</v>
      </c>
      <c r="C4799" s="2031">
        <v>576.0</v>
      </c>
      <c r="D4799" s="2031">
        <v>1151.0</v>
      </c>
      <c r="E4799" s="2031">
        <v>767.0</v>
      </c>
      <c r="F4799" s="2031">
        <v>767.0</v>
      </c>
      <c r="G4799" s="2031">
        <v>768.0</v>
      </c>
      <c r="H4799" s="2031">
        <v>768.0</v>
      </c>
    </row>
    <row r="4800">
      <c r="B4800" s="2031">
        <v>4798.0</v>
      </c>
      <c r="C4800" s="2031">
        <v>575.0</v>
      </c>
      <c r="D4800" s="2031">
        <v>1151.0</v>
      </c>
      <c r="E4800" s="2031">
        <v>768.0</v>
      </c>
      <c r="F4800" s="2031">
        <v>768.0</v>
      </c>
      <c r="G4800" s="2031">
        <v>768.0</v>
      </c>
      <c r="H4800" s="2031">
        <v>768.0</v>
      </c>
    </row>
    <row r="4801">
      <c r="B4801" s="2031">
        <v>4799.0</v>
      </c>
      <c r="C4801" s="2031">
        <v>576.0</v>
      </c>
      <c r="D4801" s="2031">
        <v>1151.0</v>
      </c>
      <c r="E4801" s="2031">
        <v>768.0</v>
      </c>
      <c r="F4801" s="2031">
        <v>768.0</v>
      </c>
      <c r="G4801" s="2031">
        <v>768.0</v>
      </c>
      <c r="H4801" s="2031">
        <v>768.0</v>
      </c>
    </row>
    <row r="4802">
      <c r="B4802" s="2031">
        <v>4800.0</v>
      </c>
      <c r="C4802" s="2031">
        <v>576.0</v>
      </c>
      <c r="D4802" s="2031">
        <v>1152.0</v>
      </c>
      <c r="E4802" s="2031">
        <v>768.0</v>
      </c>
      <c r="F4802" s="2031">
        <v>768.0</v>
      </c>
      <c r="G4802" s="2031">
        <v>768.0</v>
      </c>
      <c r="H4802" s="2031">
        <v>768.0</v>
      </c>
    </row>
    <row r="4803">
      <c r="B4803" s="2031">
        <v>4801.0</v>
      </c>
      <c r="C4803" s="2031">
        <v>576.0</v>
      </c>
      <c r="D4803" s="2031">
        <v>1153.0</v>
      </c>
      <c r="E4803" s="2031">
        <v>768.0</v>
      </c>
      <c r="F4803" s="2031">
        <v>768.0</v>
      </c>
      <c r="G4803" s="2031">
        <v>768.0</v>
      </c>
      <c r="H4803" s="2031">
        <v>768.0</v>
      </c>
    </row>
    <row r="4804">
      <c r="B4804" s="2031">
        <v>4802.0</v>
      </c>
      <c r="C4804" s="2031">
        <v>577.0</v>
      </c>
      <c r="D4804" s="2031">
        <v>1153.0</v>
      </c>
      <c r="E4804" s="2031">
        <v>768.0</v>
      </c>
      <c r="F4804" s="2031">
        <v>768.0</v>
      </c>
      <c r="G4804" s="2031">
        <v>768.0</v>
      </c>
      <c r="H4804" s="2031">
        <v>768.0</v>
      </c>
    </row>
    <row r="4805">
      <c r="B4805" s="2031">
        <v>4803.0</v>
      </c>
      <c r="C4805" s="2031">
        <v>576.0</v>
      </c>
      <c r="D4805" s="2031">
        <v>1153.0</v>
      </c>
      <c r="E4805" s="2031">
        <v>768.0</v>
      </c>
      <c r="F4805" s="2031">
        <v>768.0</v>
      </c>
      <c r="G4805" s="2031">
        <v>769.0</v>
      </c>
      <c r="H4805" s="2031">
        <v>769.0</v>
      </c>
    </row>
    <row r="4806">
      <c r="B4806" s="2031">
        <v>4804.0</v>
      </c>
      <c r="C4806" s="2031">
        <v>577.0</v>
      </c>
      <c r="D4806" s="2031">
        <v>1153.0</v>
      </c>
      <c r="E4806" s="2031">
        <v>768.0</v>
      </c>
      <c r="F4806" s="2031">
        <v>768.0</v>
      </c>
      <c r="G4806" s="2031">
        <v>769.0</v>
      </c>
      <c r="H4806" s="2031">
        <v>769.0</v>
      </c>
    </row>
    <row r="4807">
      <c r="B4807" s="2031">
        <v>4805.0</v>
      </c>
      <c r="C4807" s="2031">
        <v>576.0</v>
      </c>
      <c r="D4807" s="2031">
        <v>1153.0</v>
      </c>
      <c r="E4807" s="2031">
        <v>769.0</v>
      </c>
      <c r="F4807" s="2031">
        <v>769.0</v>
      </c>
      <c r="G4807" s="2031">
        <v>769.0</v>
      </c>
      <c r="H4807" s="2031">
        <v>769.0</v>
      </c>
    </row>
    <row r="4808">
      <c r="B4808" s="2031">
        <v>4806.0</v>
      </c>
      <c r="C4808" s="2031">
        <v>577.0</v>
      </c>
      <c r="D4808" s="2031">
        <v>1153.0</v>
      </c>
      <c r="E4808" s="2031">
        <v>769.0</v>
      </c>
      <c r="F4808" s="2031">
        <v>769.0</v>
      </c>
      <c r="G4808" s="2031">
        <v>769.0</v>
      </c>
      <c r="H4808" s="2031">
        <v>769.0</v>
      </c>
    </row>
    <row r="4809">
      <c r="B4809" s="2031">
        <v>4807.0</v>
      </c>
      <c r="C4809" s="2031">
        <v>577.0</v>
      </c>
      <c r="D4809" s="2031">
        <v>1154.0</v>
      </c>
      <c r="E4809" s="2031">
        <v>769.0</v>
      </c>
      <c r="F4809" s="2031">
        <v>769.0</v>
      </c>
      <c r="G4809" s="2031">
        <v>769.0</v>
      </c>
      <c r="H4809" s="2031">
        <v>769.0</v>
      </c>
    </row>
    <row r="4810">
      <c r="B4810" s="2031">
        <v>4808.0</v>
      </c>
      <c r="C4810" s="2031">
        <v>577.0</v>
      </c>
      <c r="D4810" s="2031">
        <v>1153.0</v>
      </c>
      <c r="E4810" s="2031">
        <v>769.0</v>
      </c>
      <c r="F4810" s="2031">
        <v>769.0</v>
      </c>
      <c r="G4810" s="2031">
        <v>770.0</v>
      </c>
      <c r="H4810" s="2031">
        <v>770.0</v>
      </c>
    </row>
    <row r="4811">
      <c r="B4811" s="2031">
        <v>4809.0</v>
      </c>
      <c r="C4811" s="2031">
        <v>577.0</v>
      </c>
      <c r="D4811" s="2031">
        <v>1154.0</v>
      </c>
      <c r="E4811" s="2031">
        <v>769.0</v>
      </c>
      <c r="F4811" s="2031">
        <v>769.0</v>
      </c>
      <c r="G4811" s="2031">
        <v>770.0</v>
      </c>
      <c r="H4811" s="2031">
        <v>770.0</v>
      </c>
    </row>
    <row r="4812">
      <c r="B4812" s="2031">
        <v>4810.0</v>
      </c>
      <c r="C4812" s="2031">
        <v>577.0</v>
      </c>
      <c r="D4812" s="2031">
        <v>1155.0</v>
      </c>
      <c r="E4812" s="2031">
        <v>769.0</v>
      </c>
      <c r="F4812" s="2031">
        <v>769.0</v>
      </c>
      <c r="G4812" s="2031">
        <v>770.0</v>
      </c>
      <c r="H4812" s="2031">
        <v>770.0</v>
      </c>
    </row>
    <row r="4813">
      <c r="B4813" s="2031">
        <v>4811.0</v>
      </c>
      <c r="C4813" s="2031">
        <v>577.0</v>
      </c>
      <c r="D4813" s="2031">
        <v>1154.0</v>
      </c>
      <c r="E4813" s="2031">
        <v>770.0</v>
      </c>
      <c r="F4813" s="2031">
        <v>770.0</v>
      </c>
      <c r="G4813" s="2031">
        <v>770.0</v>
      </c>
      <c r="H4813" s="2031">
        <v>770.0</v>
      </c>
    </row>
    <row r="4814">
      <c r="B4814" s="2031">
        <v>4812.0</v>
      </c>
      <c r="C4814" s="2031">
        <v>577.0</v>
      </c>
      <c r="D4814" s="2031">
        <v>1155.0</v>
      </c>
      <c r="E4814" s="2031">
        <v>770.0</v>
      </c>
      <c r="F4814" s="2031">
        <v>770.0</v>
      </c>
      <c r="G4814" s="2031">
        <v>770.0</v>
      </c>
      <c r="H4814" s="2031">
        <v>770.0</v>
      </c>
    </row>
    <row r="4815">
      <c r="B4815" s="2031">
        <v>4813.0</v>
      </c>
      <c r="C4815" s="2031">
        <v>578.0</v>
      </c>
      <c r="D4815" s="2031">
        <v>1155.0</v>
      </c>
      <c r="E4815" s="2031">
        <v>770.0</v>
      </c>
      <c r="F4815" s="2031">
        <v>770.0</v>
      </c>
      <c r="G4815" s="2031">
        <v>770.0</v>
      </c>
      <c r="H4815" s="2031">
        <v>770.0</v>
      </c>
    </row>
    <row r="4816">
      <c r="B4816" s="2031">
        <v>4814.0</v>
      </c>
      <c r="C4816" s="2031">
        <v>578.0</v>
      </c>
      <c r="D4816" s="2031">
        <v>1156.0</v>
      </c>
      <c r="E4816" s="2031">
        <v>770.0</v>
      </c>
      <c r="F4816" s="2031">
        <v>770.0</v>
      </c>
      <c r="G4816" s="2031">
        <v>770.0</v>
      </c>
      <c r="H4816" s="2031">
        <v>770.0</v>
      </c>
    </row>
    <row r="4817">
      <c r="B4817" s="2031">
        <v>4815.0</v>
      </c>
      <c r="C4817" s="2031">
        <v>578.0</v>
      </c>
      <c r="D4817" s="2031">
        <v>1155.0</v>
      </c>
      <c r="E4817" s="2031">
        <v>770.0</v>
      </c>
      <c r="F4817" s="2031">
        <v>770.0</v>
      </c>
      <c r="G4817" s="2031">
        <v>771.0</v>
      </c>
      <c r="H4817" s="2031">
        <v>771.0</v>
      </c>
    </row>
    <row r="4818">
      <c r="B4818" s="2031">
        <v>4816.0</v>
      </c>
      <c r="C4818" s="2031">
        <v>578.0</v>
      </c>
      <c r="D4818" s="2031">
        <v>1156.0</v>
      </c>
      <c r="E4818" s="2031">
        <v>770.0</v>
      </c>
      <c r="F4818" s="2031">
        <v>770.0</v>
      </c>
      <c r="G4818" s="2031">
        <v>771.0</v>
      </c>
      <c r="H4818" s="2031">
        <v>771.0</v>
      </c>
    </row>
    <row r="4819">
      <c r="B4819" s="2031">
        <v>4817.0</v>
      </c>
      <c r="C4819" s="2031">
        <v>578.0</v>
      </c>
      <c r="D4819" s="2031">
        <v>1157.0</v>
      </c>
      <c r="E4819" s="2031">
        <v>770.0</v>
      </c>
      <c r="F4819" s="2031">
        <v>770.0</v>
      </c>
      <c r="G4819" s="2031">
        <v>771.0</v>
      </c>
      <c r="H4819" s="2031">
        <v>771.0</v>
      </c>
    </row>
    <row r="4820">
      <c r="B4820" s="2031">
        <v>4818.0</v>
      </c>
      <c r="C4820" s="2031">
        <v>578.0</v>
      </c>
      <c r="D4820" s="2031">
        <v>1156.0</v>
      </c>
      <c r="E4820" s="2031">
        <v>771.0</v>
      </c>
      <c r="F4820" s="2031">
        <v>771.0</v>
      </c>
      <c r="G4820" s="2031">
        <v>771.0</v>
      </c>
      <c r="H4820" s="2031">
        <v>771.0</v>
      </c>
    </row>
    <row r="4821">
      <c r="B4821" s="2031">
        <v>4819.0</v>
      </c>
      <c r="C4821" s="2031">
        <v>578.0</v>
      </c>
      <c r="D4821" s="2031">
        <v>1157.0</v>
      </c>
      <c r="E4821" s="2031">
        <v>771.0</v>
      </c>
      <c r="F4821" s="2031">
        <v>771.0</v>
      </c>
      <c r="G4821" s="2031">
        <v>771.0</v>
      </c>
      <c r="H4821" s="2031">
        <v>771.0</v>
      </c>
    </row>
    <row r="4822">
      <c r="B4822" s="2031">
        <v>4820.0</v>
      </c>
      <c r="C4822" s="2031">
        <v>579.0</v>
      </c>
      <c r="D4822" s="2031">
        <v>1157.0</v>
      </c>
      <c r="E4822" s="2031">
        <v>771.0</v>
      </c>
      <c r="F4822" s="2031">
        <v>771.0</v>
      </c>
      <c r="G4822" s="2031">
        <v>771.0</v>
      </c>
      <c r="H4822" s="2031">
        <v>771.0</v>
      </c>
    </row>
    <row r="4823">
      <c r="B4823" s="2031">
        <v>4821.0</v>
      </c>
      <c r="C4823" s="2031">
        <v>578.0</v>
      </c>
      <c r="D4823" s="2031">
        <v>1157.0</v>
      </c>
      <c r="E4823" s="2031">
        <v>771.0</v>
      </c>
      <c r="F4823" s="2031">
        <v>771.0</v>
      </c>
      <c r="G4823" s="2031">
        <v>772.0</v>
      </c>
      <c r="H4823" s="2031">
        <v>772.0</v>
      </c>
    </row>
    <row r="4824">
      <c r="B4824" s="2031">
        <v>4822.0</v>
      </c>
      <c r="C4824" s="2031">
        <v>579.0</v>
      </c>
      <c r="D4824" s="2031">
        <v>1157.0</v>
      </c>
      <c r="E4824" s="2031">
        <v>771.0</v>
      </c>
      <c r="F4824" s="2031">
        <v>771.0</v>
      </c>
      <c r="G4824" s="2031">
        <v>772.0</v>
      </c>
      <c r="H4824" s="2031">
        <v>772.0</v>
      </c>
    </row>
    <row r="4825">
      <c r="B4825" s="2031">
        <v>4823.0</v>
      </c>
      <c r="C4825" s="2031">
        <v>578.0</v>
      </c>
      <c r="D4825" s="2031">
        <v>1157.0</v>
      </c>
      <c r="E4825" s="2031">
        <v>772.0</v>
      </c>
      <c r="F4825" s="2031">
        <v>772.0</v>
      </c>
      <c r="G4825" s="2031">
        <v>772.0</v>
      </c>
      <c r="H4825" s="2031">
        <v>772.0</v>
      </c>
    </row>
    <row r="4826">
      <c r="B4826" s="2031">
        <v>4824.0</v>
      </c>
      <c r="C4826" s="2031">
        <v>579.0</v>
      </c>
      <c r="D4826" s="2031">
        <v>1157.0</v>
      </c>
      <c r="E4826" s="2031">
        <v>772.0</v>
      </c>
      <c r="F4826" s="2031">
        <v>772.0</v>
      </c>
      <c r="G4826" s="2031">
        <v>772.0</v>
      </c>
      <c r="H4826" s="2031">
        <v>772.0</v>
      </c>
    </row>
    <row r="4827">
      <c r="B4827" s="2031">
        <v>4825.0</v>
      </c>
      <c r="C4827" s="2031">
        <v>579.0</v>
      </c>
      <c r="D4827" s="2031">
        <v>1158.0</v>
      </c>
      <c r="E4827" s="2031">
        <v>772.0</v>
      </c>
      <c r="F4827" s="2031">
        <v>772.0</v>
      </c>
      <c r="G4827" s="2031">
        <v>772.0</v>
      </c>
      <c r="H4827" s="2031">
        <v>772.0</v>
      </c>
    </row>
    <row r="4828">
      <c r="B4828" s="2031">
        <v>4826.0</v>
      </c>
      <c r="C4828" s="2031">
        <v>579.0</v>
      </c>
      <c r="D4828" s="2031">
        <v>1159.0</v>
      </c>
      <c r="E4828" s="2031">
        <v>772.0</v>
      </c>
      <c r="F4828" s="2031">
        <v>772.0</v>
      </c>
      <c r="G4828" s="2031">
        <v>772.0</v>
      </c>
      <c r="H4828" s="2031">
        <v>772.0</v>
      </c>
    </row>
    <row r="4829">
      <c r="B4829" s="2031">
        <v>4827.0</v>
      </c>
      <c r="C4829" s="2031">
        <v>580.0</v>
      </c>
      <c r="D4829" s="2031">
        <v>1159.0</v>
      </c>
      <c r="E4829" s="2031">
        <v>772.0</v>
      </c>
      <c r="F4829" s="2031">
        <v>772.0</v>
      </c>
      <c r="G4829" s="2031">
        <v>772.0</v>
      </c>
      <c r="H4829" s="2031">
        <v>772.0</v>
      </c>
    </row>
    <row r="4830">
      <c r="B4830" s="2031">
        <v>4828.0</v>
      </c>
      <c r="C4830" s="2031">
        <v>579.0</v>
      </c>
      <c r="D4830" s="2031">
        <v>1159.0</v>
      </c>
      <c r="E4830" s="2031">
        <v>772.0</v>
      </c>
      <c r="F4830" s="2031">
        <v>772.0</v>
      </c>
      <c r="G4830" s="2031">
        <v>773.0</v>
      </c>
      <c r="H4830" s="2031">
        <v>773.0</v>
      </c>
    </row>
    <row r="4831">
      <c r="B4831" s="2031">
        <v>4829.0</v>
      </c>
      <c r="C4831" s="2031">
        <v>580.0</v>
      </c>
      <c r="D4831" s="2031">
        <v>1159.0</v>
      </c>
      <c r="E4831" s="2031">
        <v>772.0</v>
      </c>
      <c r="F4831" s="2031">
        <v>772.0</v>
      </c>
      <c r="G4831" s="2031">
        <v>773.0</v>
      </c>
      <c r="H4831" s="2031">
        <v>773.0</v>
      </c>
    </row>
    <row r="4832">
      <c r="B4832" s="2031">
        <v>4830.0</v>
      </c>
      <c r="C4832" s="2031">
        <v>579.0</v>
      </c>
      <c r="D4832" s="2031">
        <v>1159.0</v>
      </c>
      <c r="E4832" s="2031">
        <v>773.0</v>
      </c>
      <c r="F4832" s="2031">
        <v>773.0</v>
      </c>
      <c r="G4832" s="2031">
        <v>773.0</v>
      </c>
      <c r="H4832" s="2031">
        <v>773.0</v>
      </c>
    </row>
    <row r="4833">
      <c r="B4833" s="2031">
        <v>4831.0</v>
      </c>
      <c r="C4833" s="2031">
        <v>580.0</v>
      </c>
      <c r="D4833" s="2031">
        <v>1159.0</v>
      </c>
      <c r="E4833" s="2031">
        <v>773.0</v>
      </c>
      <c r="F4833" s="2031">
        <v>773.0</v>
      </c>
      <c r="G4833" s="2031">
        <v>773.0</v>
      </c>
      <c r="H4833" s="2031">
        <v>773.0</v>
      </c>
    </row>
    <row r="4834">
      <c r="B4834" s="2031">
        <v>4832.0</v>
      </c>
      <c r="C4834" s="2031">
        <v>580.0</v>
      </c>
      <c r="D4834" s="2031">
        <v>1160.0</v>
      </c>
      <c r="E4834" s="2031">
        <v>773.0</v>
      </c>
      <c r="F4834" s="2031">
        <v>773.0</v>
      </c>
      <c r="G4834" s="2031">
        <v>773.0</v>
      </c>
      <c r="H4834" s="2031">
        <v>773.0</v>
      </c>
    </row>
    <row r="4835">
      <c r="B4835" s="2031">
        <v>4833.0</v>
      </c>
      <c r="C4835" s="2031">
        <v>580.0</v>
      </c>
      <c r="D4835" s="2031">
        <v>1159.0</v>
      </c>
      <c r="E4835" s="2031">
        <v>773.0</v>
      </c>
      <c r="F4835" s="2031">
        <v>773.0</v>
      </c>
      <c r="G4835" s="2031">
        <v>774.0</v>
      </c>
      <c r="H4835" s="2031">
        <v>774.0</v>
      </c>
    </row>
    <row r="4836">
      <c r="B4836" s="2031">
        <v>4834.0</v>
      </c>
      <c r="C4836" s="2031">
        <v>580.0</v>
      </c>
      <c r="D4836" s="2031">
        <v>1160.0</v>
      </c>
      <c r="E4836" s="2031">
        <v>773.0</v>
      </c>
      <c r="F4836" s="2031">
        <v>773.0</v>
      </c>
      <c r="G4836" s="2031">
        <v>774.0</v>
      </c>
      <c r="H4836" s="2031">
        <v>774.0</v>
      </c>
    </row>
    <row r="4837">
      <c r="B4837" s="2031">
        <v>4835.0</v>
      </c>
      <c r="C4837" s="2031">
        <v>580.0</v>
      </c>
      <c r="D4837" s="2031">
        <v>1161.0</v>
      </c>
      <c r="E4837" s="2031">
        <v>773.0</v>
      </c>
      <c r="F4837" s="2031">
        <v>773.0</v>
      </c>
      <c r="G4837" s="2031">
        <v>774.0</v>
      </c>
      <c r="H4837" s="2031">
        <v>774.0</v>
      </c>
    </row>
    <row r="4838">
      <c r="B4838" s="2031">
        <v>4836.0</v>
      </c>
      <c r="C4838" s="2031">
        <v>580.0</v>
      </c>
      <c r="D4838" s="2031">
        <v>1160.0</v>
      </c>
      <c r="E4838" s="2031">
        <v>774.0</v>
      </c>
      <c r="F4838" s="2031">
        <v>774.0</v>
      </c>
      <c r="G4838" s="2031">
        <v>774.0</v>
      </c>
      <c r="H4838" s="2031">
        <v>774.0</v>
      </c>
    </row>
    <row r="4839">
      <c r="B4839" s="2031">
        <v>4837.0</v>
      </c>
      <c r="C4839" s="2031">
        <v>580.0</v>
      </c>
      <c r="D4839" s="2031">
        <v>1161.0</v>
      </c>
      <c r="E4839" s="2031">
        <v>774.0</v>
      </c>
      <c r="F4839" s="2031">
        <v>774.0</v>
      </c>
      <c r="G4839" s="2031">
        <v>774.0</v>
      </c>
      <c r="H4839" s="2031">
        <v>774.0</v>
      </c>
    </row>
    <row r="4840">
      <c r="B4840" s="2031">
        <v>4838.0</v>
      </c>
      <c r="C4840" s="2031">
        <v>581.0</v>
      </c>
      <c r="D4840" s="2031">
        <v>1161.0</v>
      </c>
      <c r="E4840" s="2031">
        <v>774.0</v>
      </c>
      <c r="F4840" s="2031">
        <v>774.0</v>
      </c>
      <c r="G4840" s="2031">
        <v>774.0</v>
      </c>
      <c r="H4840" s="2031">
        <v>774.0</v>
      </c>
    </row>
    <row r="4841">
      <c r="B4841" s="2031">
        <v>4839.0</v>
      </c>
      <c r="C4841" s="2031">
        <v>581.0</v>
      </c>
      <c r="D4841" s="2031">
        <v>1162.0</v>
      </c>
      <c r="E4841" s="2031">
        <v>774.0</v>
      </c>
      <c r="F4841" s="2031">
        <v>774.0</v>
      </c>
      <c r="G4841" s="2031">
        <v>774.0</v>
      </c>
      <c r="H4841" s="2031">
        <v>774.0</v>
      </c>
    </row>
    <row r="4842">
      <c r="B4842" s="2031">
        <v>4840.0</v>
      </c>
      <c r="C4842" s="2031">
        <v>581.0</v>
      </c>
      <c r="D4842" s="2031">
        <v>1161.0</v>
      </c>
      <c r="E4842" s="2031">
        <v>774.0</v>
      </c>
      <c r="F4842" s="2031">
        <v>774.0</v>
      </c>
      <c r="G4842" s="2031">
        <v>775.0</v>
      </c>
      <c r="H4842" s="2031">
        <v>775.0</v>
      </c>
    </row>
    <row r="4843">
      <c r="B4843" s="2031">
        <v>4841.0</v>
      </c>
      <c r="C4843" s="2031">
        <v>581.0</v>
      </c>
      <c r="D4843" s="2031">
        <v>1162.0</v>
      </c>
      <c r="E4843" s="2031">
        <v>774.0</v>
      </c>
      <c r="F4843" s="2031">
        <v>774.0</v>
      </c>
      <c r="G4843" s="2031">
        <v>775.0</v>
      </c>
      <c r="H4843" s="2031">
        <v>775.0</v>
      </c>
    </row>
    <row r="4844">
      <c r="B4844" s="2031">
        <v>4842.0</v>
      </c>
      <c r="C4844" s="2031">
        <v>581.0</v>
      </c>
      <c r="D4844" s="2031">
        <v>1163.0</v>
      </c>
      <c r="E4844" s="2031">
        <v>774.0</v>
      </c>
      <c r="F4844" s="2031">
        <v>774.0</v>
      </c>
      <c r="G4844" s="2031">
        <v>775.0</v>
      </c>
      <c r="H4844" s="2031">
        <v>775.0</v>
      </c>
    </row>
    <row r="4845">
      <c r="B4845" s="2031">
        <v>4843.0</v>
      </c>
      <c r="C4845" s="2031">
        <v>581.0</v>
      </c>
      <c r="D4845" s="2031">
        <v>1162.0</v>
      </c>
      <c r="E4845" s="2031">
        <v>775.0</v>
      </c>
      <c r="F4845" s="2031">
        <v>775.0</v>
      </c>
      <c r="G4845" s="2031">
        <v>775.0</v>
      </c>
      <c r="H4845" s="2031">
        <v>775.0</v>
      </c>
    </row>
    <row r="4846">
      <c r="B4846" s="2031">
        <v>4844.0</v>
      </c>
      <c r="C4846" s="2031">
        <v>581.0</v>
      </c>
      <c r="D4846" s="2031">
        <v>1163.0</v>
      </c>
      <c r="E4846" s="2031">
        <v>775.0</v>
      </c>
      <c r="F4846" s="2031">
        <v>775.0</v>
      </c>
      <c r="G4846" s="2031">
        <v>775.0</v>
      </c>
      <c r="H4846" s="2031">
        <v>775.0</v>
      </c>
    </row>
    <row r="4847">
      <c r="B4847" s="2031">
        <v>4845.0</v>
      </c>
      <c r="C4847" s="2031">
        <v>582.0</v>
      </c>
      <c r="D4847" s="2031">
        <v>1163.0</v>
      </c>
      <c r="E4847" s="2031">
        <v>775.0</v>
      </c>
      <c r="F4847" s="2031">
        <v>775.0</v>
      </c>
      <c r="G4847" s="2031">
        <v>775.0</v>
      </c>
      <c r="H4847" s="2031">
        <v>775.0</v>
      </c>
    </row>
    <row r="4848">
      <c r="B4848" s="2031">
        <v>4846.0</v>
      </c>
      <c r="C4848" s="2031">
        <v>581.0</v>
      </c>
      <c r="D4848" s="2031">
        <v>1163.0</v>
      </c>
      <c r="E4848" s="2031">
        <v>775.0</v>
      </c>
      <c r="F4848" s="2031">
        <v>775.0</v>
      </c>
      <c r="G4848" s="2031">
        <v>776.0</v>
      </c>
      <c r="H4848" s="2031">
        <v>776.0</v>
      </c>
    </row>
    <row r="4849">
      <c r="B4849" s="2031">
        <v>4847.0</v>
      </c>
      <c r="C4849" s="2031">
        <v>582.0</v>
      </c>
      <c r="D4849" s="2031">
        <v>1163.0</v>
      </c>
      <c r="E4849" s="2031">
        <v>775.0</v>
      </c>
      <c r="F4849" s="2031">
        <v>775.0</v>
      </c>
      <c r="G4849" s="2031">
        <v>776.0</v>
      </c>
      <c r="H4849" s="2031">
        <v>776.0</v>
      </c>
    </row>
    <row r="4850">
      <c r="B4850" s="2031">
        <v>4848.0</v>
      </c>
      <c r="C4850" s="2031">
        <v>581.0</v>
      </c>
      <c r="D4850" s="2031">
        <v>1163.0</v>
      </c>
      <c r="E4850" s="2031">
        <v>776.0</v>
      </c>
      <c r="F4850" s="2031">
        <v>776.0</v>
      </c>
      <c r="G4850" s="2031">
        <v>776.0</v>
      </c>
      <c r="H4850" s="2031">
        <v>776.0</v>
      </c>
    </row>
    <row r="4851">
      <c r="B4851" s="2031">
        <v>4849.0</v>
      </c>
      <c r="C4851" s="2031">
        <v>582.0</v>
      </c>
      <c r="D4851" s="2031">
        <v>1163.0</v>
      </c>
      <c r="E4851" s="2031">
        <v>776.0</v>
      </c>
      <c r="F4851" s="2031">
        <v>776.0</v>
      </c>
      <c r="G4851" s="2031">
        <v>776.0</v>
      </c>
      <c r="H4851" s="2031">
        <v>776.0</v>
      </c>
    </row>
    <row r="4852">
      <c r="B4852" s="2031">
        <v>4850.0</v>
      </c>
      <c r="C4852" s="2031">
        <v>582.0</v>
      </c>
      <c r="D4852" s="2031">
        <v>1164.0</v>
      </c>
      <c r="E4852" s="2031">
        <v>776.0</v>
      </c>
      <c r="F4852" s="2031">
        <v>776.0</v>
      </c>
      <c r="G4852" s="2031">
        <v>776.0</v>
      </c>
      <c r="H4852" s="2031">
        <v>776.0</v>
      </c>
    </row>
    <row r="4853">
      <c r="B4853" s="2031">
        <v>4851.0</v>
      </c>
      <c r="C4853" s="2031">
        <v>582.0</v>
      </c>
      <c r="D4853" s="2031">
        <v>1165.0</v>
      </c>
      <c r="E4853" s="2031">
        <v>776.0</v>
      </c>
      <c r="F4853" s="2031">
        <v>776.0</v>
      </c>
      <c r="G4853" s="2031">
        <v>776.0</v>
      </c>
      <c r="H4853" s="2031">
        <v>776.0</v>
      </c>
    </row>
    <row r="4854">
      <c r="B4854" s="2031">
        <v>4852.0</v>
      </c>
      <c r="C4854" s="2031">
        <v>583.0</v>
      </c>
      <c r="D4854" s="2031">
        <v>1165.0</v>
      </c>
      <c r="E4854" s="2031">
        <v>776.0</v>
      </c>
      <c r="F4854" s="2031">
        <v>776.0</v>
      </c>
      <c r="G4854" s="2031">
        <v>776.0</v>
      </c>
      <c r="H4854" s="2031">
        <v>776.0</v>
      </c>
    </row>
    <row r="4855">
      <c r="B4855" s="2031">
        <v>4853.0</v>
      </c>
      <c r="C4855" s="2031">
        <v>582.0</v>
      </c>
      <c r="D4855" s="2031">
        <v>1165.0</v>
      </c>
      <c r="E4855" s="2031">
        <v>776.0</v>
      </c>
      <c r="F4855" s="2031">
        <v>776.0</v>
      </c>
      <c r="G4855" s="2031">
        <v>777.0</v>
      </c>
      <c r="H4855" s="2031">
        <v>777.0</v>
      </c>
    </row>
    <row r="4856">
      <c r="B4856" s="2031">
        <v>4854.0</v>
      </c>
      <c r="C4856" s="2031">
        <v>583.0</v>
      </c>
      <c r="D4856" s="2031">
        <v>1165.0</v>
      </c>
      <c r="E4856" s="2031">
        <v>776.0</v>
      </c>
      <c r="F4856" s="2031">
        <v>776.0</v>
      </c>
      <c r="G4856" s="2031">
        <v>777.0</v>
      </c>
      <c r="H4856" s="2031">
        <v>777.0</v>
      </c>
    </row>
    <row r="4857">
      <c r="B4857" s="2031">
        <v>4855.0</v>
      </c>
      <c r="C4857" s="2031">
        <v>582.0</v>
      </c>
      <c r="D4857" s="2031">
        <v>1165.0</v>
      </c>
      <c r="E4857" s="2031">
        <v>777.0</v>
      </c>
      <c r="F4857" s="2031">
        <v>777.0</v>
      </c>
      <c r="G4857" s="2031">
        <v>777.0</v>
      </c>
      <c r="H4857" s="2031">
        <v>777.0</v>
      </c>
    </row>
    <row r="4858">
      <c r="B4858" s="2031">
        <v>4856.0</v>
      </c>
      <c r="C4858" s="2031">
        <v>583.0</v>
      </c>
      <c r="D4858" s="2031">
        <v>1165.0</v>
      </c>
      <c r="E4858" s="2031">
        <v>777.0</v>
      </c>
      <c r="F4858" s="2031">
        <v>777.0</v>
      </c>
      <c r="G4858" s="2031">
        <v>777.0</v>
      </c>
      <c r="H4858" s="2031">
        <v>777.0</v>
      </c>
    </row>
    <row r="4859">
      <c r="B4859" s="2031">
        <v>4857.0</v>
      </c>
      <c r="C4859" s="2031">
        <v>583.0</v>
      </c>
      <c r="D4859" s="2031">
        <v>1166.0</v>
      </c>
      <c r="E4859" s="2031">
        <v>777.0</v>
      </c>
      <c r="F4859" s="2031">
        <v>777.0</v>
      </c>
      <c r="G4859" s="2031">
        <v>777.0</v>
      </c>
      <c r="H4859" s="2031">
        <v>777.0</v>
      </c>
    </row>
    <row r="4860">
      <c r="B4860" s="2031">
        <v>4858.0</v>
      </c>
      <c r="C4860" s="2031">
        <v>583.0</v>
      </c>
      <c r="D4860" s="2031">
        <v>1165.0</v>
      </c>
      <c r="E4860" s="2031">
        <v>777.0</v>
      </c>
      <c r="F4860" s="2031">
        <v>777.0</v>
      </c>
      <c r="G4860" s="2031">
        <v>778.0</v>
      </c>
      <c r="H4860" s="2031">
        <v>778.0</v>
      </c>
    </row>
    <row r="4861">
      <c r="B4861" s="2031">
        <v>4859.0</v>
      </c>
      <c r="C4861" s="2031">
        <v>583.0</v>
      </c>
      <c r="D4861" s="2031">
        <v>1166.0</v>
      </c>
      <c r="E4861" s="2031">
        <v>777.0</v>
      </c>
      <c r="F4861" s="2031">
        <v>777.0</v>
      </c>
      <c r="G4861" s="2031">
        <v>778.0</v>
      </c>
      <c r="H4861" s="2031">
        <v>778.0</v>
      </c>
    </row>
    <row r="4862">
      <c r="B4862" s="2031">
        <v>4860.0</v>
      </c>
      <c r="C4862" s="2031">
        <v>583.0</v>
      </c>
      <c r="D4862" s="2031">
        <v>1167.0</v>
      </c>
      <c r="E4862" s="2031">
        <v>777.0</v>
      </c>
      <c r="F4862" s="2031">
        <v>777.0</v>
      </c>
      <c r="G4862" s="2031">
        <v>778.0</v>
      </c>
      <c r="H4862" s="2031">
        <v>778.0</v>
      </c>
    </row>
    <row r="4863">
      <c r="B4863" s="2031">
        <v>4861.0</v>
      </c>
      <c r="C4863" s="2031">
        <v>583.0</v>
      </c>
      <c r="D4863" s="2031">
        <v>1166.0</v>
      </c>
      <c r="E4863" s="2031">
        <v>778.0</v>
      </c>
      <c r="F4863" s="2031">
        <v>778.0</v>
      </c>
      <c r="G4863" s="2031">
        <v>778.0</v>
      </c>
      <c r="H4863" s="2031">
        <v>778.0</v>
      </c>
    </row>
    <row r="4864">
      <c r="B4864" s="2031">
        <v>4862.0</v>
      </c>
      <c r="C4864" s="2031">
        <v>583.0</v>
      </c>
      <c r="D4864" s="2031">
        <v>1167.0</v>
      </c>
      <c r="E4864" s="2031">
        <v>778.0</v>
      </c>
      <c r="F4864" s="2031">
        <v>778.0</v>
      </c>
      <c r="G4864" s="2031">
        <v>778.0</v>
      </c>
      <c r="H4864" s="2031">
        <v>778.0</v>
      </c>
    </row>
    <row r="4865">
      <c r="B4865" s="2031">
        <v>4863.0</v>
      </c>
      <c r="C4865" s="2031">
        <v>584.0</v>
      </c>
      <c r="D4865" s="2031">
        <v>1167.0</v>
      </c>
      <c r="E4865" s="2031">
        <v>778.0</v>
      </c>
      <c r="F4865" s="2031">
        <v>778.0</v>
      </c>
      <c r="G4865" s="2031">
        <v>778.0</v>
      </c>
      <c r="H4865" s="2031">
        <v>778.0</v>
      </c>
    </row>
    <row r="4866">
      <c r="B4866" s="2031">
        <v>4864.0</v>
      </c>
      <c r="C4866" s="2031">
        <v>584.0</v>
      </c>
      <c r="D4866" s="2031">
        <v>1168.0</v>
      </c>
      <c r="E4866" s="2031">
        <v>778.0</v>
      </c>
      <c r="F4866" s="2031">
        <v>778.0</v>
      </c>
      <c r="G4866" s="2031">
        <v>778.0</v>
      </c>
      <c r="H4866" s="2031">
        <v>778.0</v>
      </c>
    </row>
    <row r="4867">
      <c r="B4867" s="2031">
        <v>4865.0</v>
      </c>
      <c r="C4867" s="2031">
        <v>584.0</v>
      </c>
      <c r="D4867" s="2031">
        <v>1167.0</v>
      </c>
      <c r="E4867" s="2031">
        <v>778.0</v>
      </c>
      <c r="F4867" s="2031">
        <v>778.0</v>
      </c>
      <c r="G4867" s="2031">
        <v>779.0</v>
      </c>
      <c r="H4867" s="2031">
        <v>779.0</v>
      </c>
    </row>
    <row r="4868">
      <c r="B4868" s="2031">
        <v>4866.0</v>
      </c>
      <c r="C4868" s="2031">
        <v>584.0</v>
      </c>
      <c r="D4868" s="2031">
        <v>1168.0</v>
      </c>
      <c r="E4868" s="2031">
        <v>778.0</v>
      </c>
      <c r="F4868" s="2031">
        <v>778.0</v>
      </c>
      <c r="G4868" s="2031">
        <v>779.0</v>
      </c>
      <c r="H4868" s="2031">
        <v>779.0</v>
      </c>
    </row>
    <row r="4869">
      <c r="B4869" s="2031">
        <v>4867.0</v>
      </c>
      <c r="C4869" s="2031">
        <v>584.0</v>
      </c>
      <c r="D4869" s="2031">
        <v>1169.0</v>
      </c>
      <c r="E4869" s="2031">
        <v>778.0</v>
      </c>
      <c r="F4869" s="2031">
        <v>778.0</v>
      </c>
      <c r="G4869" s="2031">
        <v>779.0</v>
      </c>
      <c r="H4869" s="2031">
        <v>779.0</v>
      </c>
    </row>
    <row r="4870">
      <c r="B4870" s="2031">
        <v>4868.0</v>
      </c>
      <c r="C4870" s="2031">
        <v>584.0</v>
      </c>
      <c r="D4870" s="2031">
        <v>1168.0</v>
      </c>
      <c r="E4870" s="2031">
        <v>779.0</v>
      </c>
      <c r="F4870" s="2031">
        <v>779.0</v>
      </c>
      <c r="G4870" s="2031">
        <v>779.0</v>
      </c>
      <c r="H4870" s="2031">
        <v>779.0</v>
      </c>
    </row>
    <row r="4871">
      <c r="B4871" s="2031">
        <v>4869.0</v>
      </c>
      <c r="C4871" s="2031">
        <v>584.0</v>
      </c>
      <c r="D4871" s="2031">
        <v>1169.0</v>
      </c>
      <c r="E4871" s="2031">
        <v>779.0</v>
      </c>
      <c r="F4871" s="2031">
        <v>779.0</v>
      </c>
      <c r="G4871" s="2031">
        <v>779.0</v>
      </c>
      <c r="H4871" s="2031">
        <v>779.0</v>
      </c>
    </row>
    <row r="4872">
      <c r="B4872" s="2031">
        <v>4870.0</v>
      </c>
      <c r="C4872" s="2031">
        <v>585.0</v>
      </c>
      <c r="D4872" s="2031">
        <v>1169.0</v>
      </c>
      <c r="E4872" s="2031">
        <v>779.0</v>
      </c>
      <c r="F4872" s="2031">
        <v>779.0</v>
      </c>
      <c r="G4872" s="2031">
        <v>779.0</v>
      </c>
      <c r="H4872" s="2031">
        <v>779.0</v>
      </c>
    </row>
    <row r="4873">
      <c r="B4873" s="2031">
        <v>4871.0</v>
      </c>
      <c r="C4873" s="2031">
        <v>584.0</v>
      </c>
      <c r="D4873" s="2031">
        <v>1169.0</v>
      </c>
      <c r="E4873" s="2031">
        <v>779.0</v>
      </c>
      <c r="F4873" s="2031">
        <v>779.0</v>
      </c>
      <c r="G4873" s="2031">
        <v>780.0</v>
      </c>
      <c r="H4873" s="2031">
        <v>780.0</v>
      </c>
    </row>
    <row r="4874">
      <c r="B4874" s="2031">
        <v>4872.0</v>
      </c>
      <c r="C4874" s="2031">
        <v>585.0</v>
      </c>
      <c r="D4874" s="2031">
        <v>1169.0</v>
      </c>
      <c r="E4874" s="2031">
        <v>779.0</v>
      </c>
      <c r="F4874" s="2031">
        <v>779.0</v>
      </c>
      <c r="G4874" s="2031">
        <v>780.0</v>
      </c>
      <c r="H4874" s="2031">
        <v>780.0</v>
      </c>
    </row>
    <row r="4875">
      <c r="B4875" s="2031">
        <v>4873.0</v>
      </c>
      <c r="C4875" s="2031">
        <v>584.0</v>
      </c>
      <c r="D4875" s="2031">
        <v>1169.0</v>
      </c>
      <c r="E4875" s="2031">
        <v>780.0</v>
      </c>
      <c r="F4875" s="2031">
        <v>780.0</v>
      </c>
      <c r="G4875" s="2031">
        <v>780.0</v>
      </c>
      <c r="H4875" s="2031">
        <v>780.0</v>
      </c>
    </row>
    <row r="4876">
      <c r="B4876" s="2031">
        <v>4874.0</v>
      </c>
      <c r="C4876" s="2031">
        <v>585.0</v>
      </c>
      <c r="D4876" s="2031">
        <v>1169.0</v>
      </c>
      <c r="E4876" s="2031">
        <v>780.0</v>
      </c>
      <c r="F4876" s="2031">
        <v>780.0</v>
      </c>
      <c r="G4876" s="2031">
        <v>780.0</v>
      </c>
      <c r="H4876" s="2031">
        <v>780.0</v>
      </c>
    </row>
    <row r="4877">
      <c r="B4877" s="2031">
        <v>4875.0</v>
      </c>
      <c r="C4877" s="2031">
        <v>585.0</v>
      </c>
      <c r="D4877" s="2031">
        <v>1170.0</v>
      </c>
      <c r="E4877" s="2031">
        <v>780.0</v>
      </c>
      <c r="F4877" s="2031">
        <v>780.0</v>
      </c>
      <c r="G4877" s="2031">
        <v>780.0</v>
      </c>
      <c r="H4877" s="2031">
        <v>780.0</v>
      </c>
    </row>
    <row r="4878">
      <c r="B4878" s="2031">
        <v>4876.0</v>
      </c>
      <c r="C4878" s="2031">
        <v>585.0</v>
      </c>
      <c r="D4878" s="2031">
        <v>1171.0</v>
      </c>
      <c r="E4878" s="2031">
        <v>780.0</v>
      </c>
      <c r="F4878" s="2031">
        <v>780.0</v>
      </c>
      <c r="G4878" s="2031">
        <v>780.0</v>
      </c>
      <c r="H4878" s="2031">
        <v>780.0</v>
      </c>
    </row>
    <row r="4879">
      <c r="B4879" s="2031">
        <v>4877.0</v>
      </c>
      <c r="C4879" s="2031">
        <v>586.0</v>
      </c>
      <c r="D4879" s="2031">
        <v>1171.0</v>
      </c>
      <c r="E4879" s="2031">
        <v>780.0</v>
      </c>
      <c r="F4879" s="2031">
        <v>780.0</v>
      </c>
      <c r="G4879" s="2031">
        <v>780.0</v>
      </c>
      <c r="H4879" s="2031">
        <v>780.0</v>
      </c>
    </row>
    <row r="4880">
      <c r="B4880" s="2031">
        <v>4878.0</v>
      </c>
      <c r="C4880" s="2031">
        <v>585.0</v>
      </c>
      <c r="D4880" s="2031">
        <v>1171.0</v>
      </c>
      <c r="E4880" s="2031">
        <v>780.0</v>
      </c>
      <c r="F4880" s="2031">
        <v>780.0</v>
      </c>
      <c r="G4880" s="2031">
        <v>781.0</v>
      </c>
      <c r="H4880" s="2031">
        <v>781.0</v>
      </c>
    </row>
    <row r="4881">
      <c r="B4881" s="2031">
        <v>4879.0</v>
      </c>
      <c r="C4881" s="2031">
        <v>586.0</v>
      </c>
      <c r="D4881" s="2031">
        <v>1171.0</v>
      </c>
      <c r="E4881" s="2031">
        <v>780.0</v>
      </c>
      <c r="F4881" s="2031">
        <v>780.0</v>
      </c>
      <c r="G4881" s="2031">
        <v>781.0</v>
      </c>
      <c r="H4881" s="2031">
        <v>781.0</v>
      </c>
    </row>
    <row r="4882">
      <c r="B4882" s="2031">
        <v>4880.0</v>
      </c>
      <c r="C4882" s="2031">
        <v>585.0</v>
      </c>
      <c r="D4882" s="2031">
        <v>1171.0</v>
      </c>
      <c r="E4882" s="2031">
        <v>781.0</v>
      </c>
      <c r="F4882" s="2031">
        <v>781.0</v>
      </c>
      <c r="G4882" s="2031">
        <v>781.0</v>
      </c>
      <c r="H4882" s="2031">
        <v>781.0</v>
      </c>
    </row>
    <row r="4883">
      <c r="B4883" s="2031">
        <v>4881.0</v>
      </c>
      <c r="C4883" s="2031">
        <v>586.0</v>
      </c>
      <c r="D4883" s="2031">
        <v>1171.0</v>
      </c>
      <c r="E4883" s="2031">
        <v>781.0</v>
      </c>
      <c r="F4883" s="2031">
        <v>781.0</v>
      </c>
      <c r="G4883" s="2031">
        <v>781.0</v>
      </c>
      <c r="H4883" s="2031">
        <v>781.0</v>
      </c>
    </row>
    <row r="4884">
      <c r="B4884" s="2031">
        <v>4882.0</v>
      </c>
      <c r="C4884" s="2031">
        <v>586.0</v>
      </c>
      <c r="D4884" s="2031">
        <v>1172.0</v>
      </c>
      <c r="E4884" s="2031">
        <v>781.0</v>
      </c>
      <c r="F4884" s="2031">
        <v>781.0</v>
      </c>
      <c r="G4884" s="2031">
        <v>781.0</v>
      </c>
      <c r="H4884" s="2031">
        <v>781.0</v>
      </c>
    </row>
    <row r="4885">
      <c r="B4885" s="2031">
        <v>4883.0</v>
      </c>
      <c r="C4885" s="2031">
        <v>586.0</v>
      </c>
      <c r="D4885" s="2031">
        <v>1171.0</v>
      </c>
      <c r="E4885" s="2031">
        <v>781.0</v>
      </c>
      <c r="F4885" s="2031">
        <v>781.0</v>
      </c>
      <c r="G4885" s="2031">
        <v>782.0</v>
      </c>
      <c r="H4885" s="2031">
        <v>782.0</v>
      </c>
    </row>
    <row r="4886">
      <c r="B4886" s="2031">
        <v>4884.0</v>
      </c>
      <c r="C4886" s="2031">
        <v>586.0</v>
      </c>
      <c r="D4886" s="2031">
        <v>1172.0</v>
      </c>
      <c r="E4886" s="2031">
        <v>781.0</v>
      </c>
      <c r="F4886" s="2031">
        <v>781.0</v>
      </c>
      <c r="G4886" s="2031">
        <v>782.0</v>
      </c>
      <c r="H4886" s="2031">
        <v>782.0</v>
      </c>
    </row>
    <row r="4887">
      <c r="B4887" s="2031">
        <v>4885.0</v>
      </c>
      <c r="C4887" s="2031">
        <v>586.0</v>
      </c>
      <c r="D4887" s="2031">
        <v>1173.0</v>
      </c>
      <c r="E4887" s="2031">
        <v>781.0</v>
      </c>
      <c r="F4887" s="2031">
        <v>781.0</v>
      </c>
      <c r="G4887" s="2031">
        <v>782.0</v>
      </c>
      <c r="H4887" s="2031">
        <v>782.0</v>
      </c>
    </row>
    <row r="4888">
      <c r="B4888" s="2031">
        <v>4886.0</v>
      </c>
      <c r="C4888" s="2031">
        <v>586.0</v>
      </c>
      <c r="D4888" s="2031">
        <v>1172.0</v>
      </c>
      <c r="E4888" s="2031">
        <v>782.0</v>
      </c>
      <c r="F4888" s="2031">
        <v>782.0</v>
      </c>
      <c r="G4888" s="2031">
        <v>782.0</v>
      </c>
      <c r="H4888" s="2031">
        <v>782.0</v>
      </c>
    </row>
    <row r="4889">
      <c r="B4889" s="2031">
        <v>4887.0</v>
      </c>
      <c r="C4889" s="2031">
        <v>586.0</v>
      </c>
      <c r="D4889" s="2031">
        <v>1173.0</v>
      </c>
      <c r="E4889" s="2031">
        <v>782.0</v>
      </c>
      <c r="F4889" s="2031">
        <v>782.0</v>
      </c>
      <c r="G4889" s="2031">
        <v>782.0</v>
      </c>
      <c r="H4889" s="2031">
        <v>782.0</v>
      </c>
    </row>
    <row r="4890">
      <c r="B4890" s="2031">
        <v>4888.0</v>
      </c>
      <c r="C4890" s="2031">
        <v>587.0</v>
      </c>
      <c r="D4890" s="2031">
        <v>1173.0</v>
      </c>
      <c r="E4890" s="2031">
        <v>782.0</v>
      </c>
      <c r="F4890" s="2031">
        <v>782.0</v>
      </c>
      <c r="G4890" s="2031">
        <v>782.0</v>
      </c>
      <c r="H4890" s="2031">
        <v>782.0</v>
      </c>
    </row>
    <row r="4891">
      <c r="B4891" s="2031">
        <v>4889.0</v>
      </c>
      <c r="C4891" s="2031">
        <v>587.0</v>
      </c>
      <c r="D4891" s="2031">
        <v>1174.0</v>
      </c>
      <c r="E4891" s="2031">
        <v>782.0</v>
      </c>
      <c r="F4891" s="2031">
        <v>782.0</v>
      </c>
      <c r="G4891" s="2031">
        <v>782.0</v>
      </c>
      <c r="H4891" s="2031">
        <v>782.0</v>
      </c>
    </row>
    <row r="4892">
      <c r="B4892" s="2031">
        <v>4890.0</v>
      </c>
      <c r="C4892" s="2031">
        <v>587.0</v>
      </c>
      <c r="D4892" s="2031">
        <v>1173.0</v>
      </c>
      <c r="E4892" s="2031">
        <v>782.0</v>
      </c>
      <c r="F4892" s="2031">
        <v>782.0</v>
      </c>
      <c r="G4892" s="2031">
        <v>783.0</v>
      </c>
      <c r="H4892" s="2031">
        <v>783.0</v>
      </c>
    </row>
    <row r="4893">
      <c r="B4893" s="2031">
        <v>4891.0</v>
      </c>
      <c r="C4893" s="2031">
        <v>587.0</v>
      </c>
      <c r="D4893" s="2031">
        <v>1174.0</v>
      </c>
      <c r="E4893" s="2031">
        <v>782.0</v>
      </c>
      <c r="F4893" s="2031">
        <v>782.0</v>
      </c>
      <c r="G4893" s="2031">
        <v>783.0</v>
      </c>
      <c r="H4893" s="2031">
        <v>783.0</v>
      </c>
    </row>
    <row r="4894">
      <c r="B4894" s="2031">
        <v>4892.0</v>
      </c>
      <c r="C4894" s="2031">
        <v>587.0</v>
      </c>
      <c r="D4894" s="2031">
        <v>1175.0</v>
      </c>
      <c r="E4894" s="2031">
        <v>782.0</v>
      </c>
      <c r="F4894" s="2031">
        <v>782.0</v>
      </c>
      <c r="G4894" s="2031">
        <v>783.0</v>
      </c>
      <c r="H4894" s="2031">
        <v>783.0</v>
      </c>
    </row>
    <row r="4895">
      <c r="B4895" s="2031">
        <v>4893.0</v>
      </c>
      <c r="C4895" s="2031">
        <v>587.0</v>
      </c>
      <c r="D4895" s="2031">
        <v>1174.0</v>
      </c>
      <c r="E4895" s="2031">
        <v>783.0</v>
      </c>
      <c r="F4895" s="2031">
        <v>783.0</v>
      </c>
      <c r="G4895" s="2031">
        <v>783.0</v>
      </c>
      <c r="H4895" s="2031">
        <v>783.0</v>
      </c>
    </row>
    <row r="4896">
      <c r="B4896" s="2031">
        <v>4894.0</v>
      </c>
      <c r="C4896" s="2031">
        <v>587.0</v>
      </c>
      <c r="D4896" s="2031">
        <v>1175.0</v>
      </c>
      <c r="E4896" s="2031">
        <v>783.0</v>
      </c>
      <c r="F4896" s="2031">
        <v>783.0</v>
      </c>
      <c r="G4896" s="2031">
        <v>783.0</v>
      </c>
      <c r="H4896" s="2031">
        <v>783.0</v>
      </c>
    </row>
    <row r="4897">
      <c r="B4897" s="2031">
        <v>4895.0</v>
      </c>
      <c r="C4897" s="2031">
        <v>588.0</v>
      </c>
      <c r="D4897" s="2031">
        <v>1175.0</v>
      </c>
      <c r="E4897" s="2031">
        <v>783.0</v>
      </c>
      <c r="F4897" s="2031">
        <v>783.0</v>
      </c>
      <c r="G4897" s="2031">
        <v>783.0</v>
      </c>
      <c r="H4897" s="2031">
        <v>783.0</v>
      </c>
    </row>
    <row r="4898">
      <c r="B4898" s="2031">
        <v>4896.0</v>
      </c>
      <c r="C4898" s="2031">
        <v>587.0</v>
      </c>
      <c r="D4898" s="2031">
        <v>1175.0</v>
      </c>
      <c r="E4898" s="2031">
        <v>783.0</v>
      </c>
      <c r="F4898" s="2031">
        <v>783.0</v>
      </c>
      <c r="G4898" s="2031">
        <v>784.0</v>
      </c>
      <c r="H4898" s="2031">
        <v>784.0</v>
      </c>
    </row>
    <row r="4899">
      <c r="B4899" s="2031">
        <v>4897.0</v>
      </c>
      <c r="C4899" s="2031">
        <v>588.0</v>
      </c>
      <c r="D4899" s="2031">
        <v>1175.0</v>
      </c>
      <c r="E4899" s="2031">
        <v>783.0</v>
      </c>
      <c r="F4899" s="2031">
        <v>783.0</v>
      </c>
      <c r="G4899" s="2031">
        <v>784.0</v>
      </c>
      <c r="H4899" s="2031">
        <v>784.0</v>
      </c>
    </row>
    <row r="4900">
      <c r="B4900" s="2031">
        <v>4898.0</v>
      </c>
      <c r="C4900" s="2031">
        <v>587.0</v>
      </c>
      <c r="D4900" s="2031">
        <v>1175.0</v>
      </c>
      <c r="E4900" s="2031">
        <v>784.0</v>
      </c>
      <c r="F4900" s="2031">
        <v>784.0</v>
      </c>
      <c r="G4900" s="2031">
        <v>784.0</v>
      </c>
      <c r="H4900" s="2031">
        <v>784.0</v>
      </c>
    </row>
    <row r="4901">
      <c r="B4901" s="2031">
        <v>4899.0</v>
      </c>
      <c r="C4901" s="2031">
        <v>588.0</v>
      </c>
      <c r="D4901" s="2031">
        <v>1175.0</v>
      </c>
      <c r="E4901" s="2031">
        <v>784.0</v>
      </c>
      <c r="F4901" s="2031">
        <v>784.0</v>
      </c>
      <c r="G4901" s="2031">
        <v>784.0</v>
      </c>
      <c r="H4901" s="2031">
        <v>784.0</v>
      </c>
    </row>
    <row r="4902">
      <c r="B4902" s="2031">
        <v>4900.0</v>
      </c>
      <c r="C4902" s="2031">
        <v>588.0</v>
      </c>
      <c r="D4902" s="2031">
        <v>1176.0</v>
      </c>
      <c r="E4902" s="2031">
        <v>784.0</v>
      </c>
      <c r="F4902" s="2031">
        <v>784.0</v>
      </c>
      <c r="G4902" s="2031">
        <v>784.0</v>
      </c>
      <c r="H4902" s="2031">
        <v>784.0</v>
      </c>
    </row>
    <row r="4903">
      <c r="B4903" s="2031">
        <v>4901.0</v>
      </c>
      <c r="C4903" s="2031">
        <v>588.0</v>
      </c>
      <c r="D4903" s="2031">
        <v>1177.0</v>
      </c>
      <c r="E4903" s="2031">
        <v>784.0</v>
      </c>
      <c r="F4903" s="2031">
        <v>784.0</v>
      </c>
      <c r="G4903" s="2031">
        <v>784.0</v>
      </c>
      <c r="H4903" s="2031">
        <v>784.0</v>
      </c>
    </row>
    <row r="4904">
      <c r="B4904" s="2031">
        <v>4902.0</v>
      </c>
      <c r="C4904" s="2031">
        <v>589.0</v>
      </c>
      <c r="D4904" s="2031">
        <v>1177.0</v>
      </c>
      <c r="E4904" s="2031">
        <v>784.0</v>
      </c>
      <c r="F4904" s="2031">
        <v>784.0</v>
      </c>
      <c r="G4904" s="2031">
        <v>784.0</v>
      </c>
      <c r="H4904" s="2031">
        <v>784.0</v>
      </c>
    </row>
    <row r="4905">
      <c r="B4905" s="2031">
        <v>4903.0</v>
      </c>
      <c r="C4905" s="2031">
        <v>588.0</v>
      </c>
      <c r="D4905" s="2031">
        <v>1177.0</v>
      </c>
      <c r="E4905" s="2031">
        <v>784.0</v>
      </c>
      <c r="F4905" s="2031">
        <v>784.0</v>
      </c>
      <c r="G4905" s="2031">
        <v>785.0</v>
      </c>
      <c r="H4905" s="2031">
        <v>785.0</v>
      </c>
    </row>
    <row r="4906">
      <c r="B4906" s="2031">
        <v>4904.0</v>
      </c>
      <c r="C4906" s="2031">
        <v>589.0</v>
      </c>
      <c r="D4906" s="2031">
        <v>1177.0</v>
      </c>
      <c r="E4906" s="2031">
        <v>784.0</v>
      </c>
      <c r="F4906" s="2031">
        <v>784.0</v>
      </c>
      <c r="G4906" s="2031">
        <v>785.0</v>
      </c>
      <c r="H4906" s="2031">
        <v>785.0</v>
      </c>
    </row>
    <row r="4907">
      <c r="B4907" s="2031">
        <v>4905.0</v>
      </c>
      <c r="C4907" s="2031">
        <v>588.0</v>
      </c>
      <c r="D4907" s="2031">
        <v>1177.0</v>
      </c>
      <c r="E4907" s="2031">
        <v>785.0</v>
      </c>
      <c r="F4907" s="2031">
        <v>785.0</v>
      </c>
      <c r="G4907" s="2031">
        <v>785.0</v>
      </c>
      <c r="H4907" s="2031">
        <v>785.0</v>
      </c>
    </row>
    <row r="4908">
      <c r="B4908" s="2031">
        <v>4906.0</v>
      </c>
      <c r="C4908" s="2031">
        <v>589.0</v>
      </c>
      <c r="D4908" s="2031">
        <v>1177.0</v>
      </c>
      <c r="E4908" s="2031">
        <v>785.0</v>
      </c>
      <c r="F4908" s="2031">
        <v>785.0</v>
      </c>
      <c r="G4908" s="2031">
        <v>785.0</v>
      </c>
      <c r="H4908" s="2031">
        <v>785.0</v>
      </c>
    </row>
    <row r="4909">
      <c r="B4909" s="2031">
        <v>4907.0</v>
      </c>
      <c r="C4909" s="2031">
        <v>589.0</v>
      </c>
      <c r="D4909" s="2031">
        <v>1178.0</v>
      </c>
      <c r="E4909" s="2031">
        <v>785.0</v>
      </c>
      <c r="F4909" s="2031">
        <v>785.0</v>
      </c>
      <c r="G4909" s="2031">
        <v>785.0</v>
      </c>
      <c r="H4909" s="2031">
        <v>785.0</v>
      </c>
    </row>
    <row r="4910">
      <c r="B4910" s="2031">
        <v>4908.0</v>
      </c>
      <c r="C4910" s="2031">
        <v>589.0</v>
      </c>
      <c r="D4910" s="2031">
        <v>1177.0</v>
      </c>
      <c r="E4910" s="2031">
        <v>785.0</v>
      </c>
      <c r="F4910" s="2031">
        <v>785.0</v>
      </c>
      <c r="G4910" s="2031">
        <v>786.0</v>
      </c>
      <c r="H4910" s="2031">
        <v>786.0</v>
      </c>
    </row>
    <row r="4911">
      <c r="B4911" s="2031">
        <v>4909.0</v>
      </c>
      <c r="C4911" s="2031">
        <v>589.0</v>
      </c>
      <c r="D4911" s="2031">
        <v>1178.0</v>
      </c>
      <c r="E4911" s="2031">
        <v>785.0</v>
      </c>
      <c r="F4911" s="2031">
        <v>785.0</v>
      </c>
      <c r="G4911" s="2031">
        <v>786.0</v>
      </c>
      <c r="H4911" s="2031">
        <v>786.0</v>
      </c>
    </row>
    <row r="4912">
      <c r="B4912" s="2031">
        <v>4910.0</v>
      </c>
      <c r="C4912" s="2031">
        <v>589.0</v>
      </c>
      <c r="D4912" s="2031">
        <v>1179.0</v>
      </c>
      <c r="E4912" s="2031">
        <v>785.0</v>
      </c>
      <c r="F4912" s="2031">
        <v>785.0</v>
      </c>
      <c r="G4912" s="2031">
        <v>786.0</v>
      </c>
      <c r="H4912" s="2031">
        <v>786.0</v>
      </c>
    </row>
    <row r="4913">
      <c r="B4913" s="2031">
        <v>4911.0</v>
      </c>
      <c r="C4913" s="2031">
        <v>589.0</v>
      </c>
      <c r="D4913" s="2031">
        <v>1178.0</v>
      </c>
      <c r="E4913" s="2031">
        <v>786.0</v>
      </c>
      <c r="F4913" s="2031">
        <v>786.0</v>
      </c>
      <c r="G4913" s="2031">
        <v>786.0</v>
      </c>
      <c r="H4913" s="2031">
        <v>786.0</v>
      </c>
    </row>
    <row r="4914">
      <c r="B4914" s="2031">
        <v>4912.0</v>
      </c>
      <c r="C4914" s="2031">
        <v>589.0</v>
      </c>
      <c r="D4914" s="2031">
        <v>1179.0</v>
      </c>
      <c r="E4914" s="2031">
        <v>786.0</v>
      </c>
      <c r="F4914" s="2031">
        <v>786.0</v>
      </c>
      <c r="G4914" s="2031">
        <v>786.0</v>
      </c>
      <c r="H4914" s="2031">
        <v>786.0</v>
      </c>
    </row>
    <row r="4915">
      <c r="B4915" s="2031">
        <v>4913.0</v>
      </c>
      <c r="C4915" s="2031">
        <v>590.0</v>
      </c>
      <c r="D4915" s="2031">
        <v>1179.0</v>
      </c>
      <c r="E4915" s="2031">
        <v>786.0</v>
      </c>
      <c r="F4915" s="2031">
        <v>786.0</v>
      </c>
      <c r="G4915" s="2031">
        <v>786.0</v>
      </c>
      <c r="H4915" s="2031">
        <v>786.0</v>
      </c>
    </row>
    <row r="4916">
      <c r="B4916" s="2031">
        <v>4914.0</v>
      </c>
      <c r="C4916" s="2031">
        <v>590.0</v>
      </c>
      <c r="D4916" s="2031">
        <v>1180.0</v>
      </c>
      <c r="E4916" s="2031">
        <v>786.0</v>
      </c>
      <c r="F4916" s="2031">
        <v>786.0</v>
      </c>
      <c r="G4916" s="2031">
        <v>786.0</v>
      </c>
      <c r="H4916" s="2031">
        <v>786.0</v>
      </c>
    </row>
    <row r="4917">
      <c r="B4917" s="2031">
        <v>4915.0</v>
      </c>
      <c r="C4917" s="2031">
        <v>590.0</v>
      </c>
      <c r="D4917" s="2031">
        <v>1179.0</v>
      </c>
      <c r="E4917" s="2031">
        <v>786.0</v>
      </c>
      <c r="F4917" s="2031">
        <v>786.0</v>
      </c>
      <c r="G4917" s="2031">
        <v>787.0</v>
      </c>
      <c r="H4917" s="2031">
        <v>787.0</v>
      </c>
    </row>
    <row r="4918">
      <c r="B4918" s="2031">
        <v>4916.0</v>
      </c>
      <c r="C4918" s="2031">
        <v>590.0</v>
      </c>
      <c r="D4918" s="2031">
        <v>1180.0</v>
      </c>
      <c r="E4918" s="2031">
        <v>786.0</v>
      </c>
      <c r="F4918" s="2031">
        <v>786.0</v>
      </c>
      <c r="G4918" s="2031">
        <v>787.0</v>
      </c>
      <c r="H4918" s="2031">
        <v>787.0</v>
      </c>
    </row>
    <row r="4919">
      <c r="B4919" s="2031">
        <v>4917.0</v>
      </c>
      <c r="C4919" s="2031">
        <v>590.0</v>
      </c>
      <c r="D4919" s="2031">
        <v>1181.0</v>
      </c>
      <c r="E4919" s="2031">
        <v>786.0</v>
      </c>
      <c r="F4919" s="2031">
        <v>786.0</v>
      </c>
      <c r="G4919" s="2031">
        <v>787.0</v>
      </c>
      <c r="H4919" s="2031">
        <v>787.0</v>
      </c>
    </row>
    <row r="4920">
      <c r="B4920" s="2031">
        <v>4918.0</v>
      </c>
      <c r="C4920" s="2031">
        <v>590.0</v>
      </c>
      <c r="D4920" s="2031">
        <v>1180.0</v>
      </c>
      <c r="E4920" s="2031">
        <v>787.0</v>
      </c>
      <c r="F4920" s="2031">
        <v>787.0</v>
      </c>
      <c r="G4920" s="2031">
        <v>787.0</v>
      </c>
      <c r="H4920" s="2031">
        <v>787.0</v>
      </c>
    </row>
    <row r="4921">
      <c r="B4921" s="2031">
        <v>4919.0</v>
      </c>
      <c r="C4921" s="2031">
        <v>590.0</v>
      </c>
      <c r="D4921" s="2031">
        <v>1181.0</v>
      </c>
      <c r="E4921" s="2031">
        <v>787.0</v>
      </c>
      <c r="F4921" s="2031">
        <v>787.0</v>
      </c>
      <c r="G4921" s="2031">
        <v>787.0</v>
      </c>
      <c r="H4921" s="2031">
        <v>787.0</v>
      </c>
    </row>
    <row r="4922">
      <c r="B4922" s="2031">
        <v>4920.0</v>
      </c>
      <c r="C4922" s="2031">
        <v>591.0</v>
      </c>
      <c r="D4922" s="2031">
        <v>1181.0</v>
      </c>
      <c r="E4922" s="2031">
        <v>787.0</v>
      </c>
      <c r="F4922" s="2031">
        <v>787.0</v>
      </c>
      <c r="G4922" s="2031">
        <v>787.0</v>
      </c>
      <c r="H4922" s="2031">
        <v>787.0</v>
      </c>
    </row>
    <row r="4923">
      <c r="B4923" s="2031">
        <v>4921.0</v>
      </c>
      <c r="C4923" s="2031">
        <v>590.0</v>
      </c>
      <c r="D4923" s="2031">
        <v>1181.0</v>
      </c>
      <c r="E4923" s="2031">
        <v>787.0</v>
      </c>
      <c r="F4923" s="2031">
        <v>787.0</v>
      </c>
      <c r="G4923" s="2031">
        <v>788.0</v>
      </c>
      <c r="H4923" s="2031">
        <v>788.0</v>
      </c>
    </row>
    <row r="4924">
      <c r="B4924" s="2031">
        <v>4922.0</v>
      </c>
      <c r="C4924" s="2031">
        <v>591.0</v>
      </c>
      <c r="D4924" s="2031">
        <v>1181.0</v>
      </c>
      <c r="E4924" s="2031">
        <v>787.0</v>
      </c>
      <c r="F4924" s="2031">
        <v>787.0</v>
      </c>
      <c r="G4924" s="2031">
        <v>788.0</v>
      </c>
      <c r="H4924" s="2031">
        <v>788.0</v>
      </c>
    </row>
    <row r="4925">
      <c r="B4925" s="2031">
        <v>4923.0</v>
      </c>
      <c r="C4925" s="2031">
        <v>590.0</v>
      </c>
      <c r="D4925" s="2031">
        <v>1181.0</v>
      </c>
      <c r="E4925" s="2031">
        <v>788.0</v>
      </c>
      <c r="F4925" s="2031">
        <v>788.0</v>
      </c>
      <c r="G4925" s="2031">
        <v>788.0</v>
      </c>
      <c r="H4925" s="2031">
        <v>788.0</v>
      </c>
    </row>
    <row r="4926">
      <c r="B4926" s="2031">
        <v>4924.0</v>
      </c>
      <c r="C4926" s="2031">
        <v>591.0</v>
      </c>
      <c r="D4926" s="2031">
        <v>1181.0</v>
      </c>
      <c r="E4926" s="2031">
        <v>788.0</v>
      </c>
      <c r="F4926" s="2031">
        <v>788.0</v>
      </c>
      <c r="G4926" s="2031">
        <v>788.0</v>
      </c>
      <c r="H4926" s="2031">
        <v>788.0</v>
      </c>
    </row>
    <row r="4927">
      <c r="B4927" s="2031">
        <v>4925.0</v>
      </c>
      <c r="C4927" s="2031">
        <v>591.0</v>
      </c>
      <c r="D4927" s="2031">
        <v>1182.0</v>
      </c>
      <c r="E4927" s="2031">
        <v>788.0</v>
      </c>
      <c r="F4927" s="2031">
        <v>788.0</v>
      </c>
      <c r="G4927" s="2031">
        <v>788.0</v>
      </c>
      <c r="H4927" s="2031">
        <v>788.0</v>
      </c>
    </row>
    <row r="4928">
      <c r="B4928" s="2031">
        <v>4926.0</v>
      </c>
      <c r="C4928" s="2031">
        <v>591.0</v>
      </c>
      <c r="D4928" s="2031">
        <v>1183.0</v>
      </c>
      <c r="E4928" s="2031">
        <v>788.0</v>
      </c>
      <c r="F4928" s="2031">
        <v>788.0</v>
      </c>
      <c r="G4928" s="2031">
        <v>788.0</v>
      </c>
      <c r="H4928" s="2031">
        <v>788.0</v>
      </c>
    </row>
    <row r="4929">
      <c r="B4929" s="2031">
        <v>4927.0</v>
      </c>
      <c r="C4929" s="2031">
        <v>592.0</v>
      </c>
      <c r="D4929" s="2031">
        <v>1183.0</v>
      </c>
      <c r="E4929" s="2031">
        <v>788.0</v>
      </c>
      <c r="F4929" s="2031">
        <v>788.0</v>
      </c>
      <c r="G4929" s="2031">
        <v>788.0</v>
      </c>
      <c r="H4929" s="2031">
        <v>788.0</v>
      </c>
    </row>
    <row r="4930">
      <c r="B4930" s="2031">
        <v>4928.0</v>
      </c>
      <c r="C4930" s="2031">
        <v>591.0</v>
      </c>
      <c r="D4930" s="2031">
        <v>1183.0</v>
      </c>
      <c r="E4930" s="2031">
        <v>788.0</v>
      </c>
      <c r="F4930" s="2031">
        <v>788.0</v>
      </c>
      <c r="G4930" s="2031">
        <v>789.0</v>
      </c>
      <c r="H4930" s="2031">
        <v>789.0</v>
      </c>
    </row>
    <row r="4931">
      <c r="B4931" s="2031">
        <v>4929.0</v>
      </c>
      <c r="C4931" s="2031">
        <v>592.0</v>
      </c>
      <c r="D4931" s="2031">
        <v>1183.0</v>
      </c>
      <c r="E4931" s="2031">
        <v>788.0</v>
      </c>
      <c r="F4931" s="2031">
        <v>788.0</v>
      </c>
      <c r="G4931" s="2031">
        <v>789.0</v>
      </c>
      <c r="H4931" s="2031">
        <v>789.0</v>
      </c>
    </row>
    <row r="4932">
      <c r="B4932" s="2031">
        <v>4930.0</v>
      </c>
      <c r="C4932" s="2031">
        <v>591.0</v>
      </c>
      <c r="D4932" s="2031">
        <v>1183.0</v>
      </c>
      <c r="E4932" s="2031">
        <v>789.0</v>
      </c>
      <c r="F4932" s="2031">
        <v>789.0</v>
      </c>
      <c r="G4932" s="2031">
        <v>789.0</v>
      </c>
      <c r="H4932" s="2031">
        <v>789.0</v>
      </c>
    </row>
    <row r="4933">
      <c r="B4933" s="2031">
        <v>4931.0</v>
      </c>
      <c r="C4933" s="2031">
        <v>592.0</v>
      </c>
      <c r="D4933" s="2031">
        <v>1183.0</v>
      </c>
      <c r="E4933" s="2031">
        <v>789.0</v>
      </c>
      <c r="F4933" s="2031">
        <v>789.0</v>
      </c>
      <c r="G4933" s="2031">
        <v>789.0</v>
      </c>
      <c r="H4933" s="2031">
        <v>789.0</v>
      </c>
    </row>
    <row r="4934">
      <c r="B4934" s="2031">
        <v>4932.0</v>
      </c>
      <c r="C4934" s="2031">
        <v>592.0</v>
      </c>
      <c r="D4934" s="2031">
        <v>1184.0</v>
      </c>
      <c r="E4934" s="2031">
        <v>789.0</v>
      </c>
      <c r="F4934" s="2031">
        <v>789.0</v>
      </c>
      <c r="G4934" s="2031">
        <v>789.0</v>
      </c>
      <c r="H4934" s="2031">
        <v>789.0</v>
      </c>
    </row>
    <row r="4935">
      <c r="B4935" s="2031">
        <v>4933.0</v>
      </c>
      <c r="C4935" s="2031">
        <v>592.0</v>
      </c>
      <c r="D4935" s="2031">
        <v>1183.0</v>
      </c>
      <c r="E4935" s="2031">
        <v>789.0</v>
      </c>
      <c r="F4935" s="2031">
        <v>789.0</v>
      </c>
      <c r="G4935" s="2031">
        <v>790.0</v>
      </c>
      <c r="H4935" s="2031">
        <v>790.0</v>
      </c>
    </row>
    <row r="4936">
      <c r="B4936" s="2031">
        <v>4934.0</v>
      </c>
      <c r="C4936" s="2031">
        <v>592.0</v>
      </c>
      <c r="D4936" s="2031">
        <v>1184.0</v>
      </c>
      <c r="E4936" s="2031">
        <v>789.0</v>
      </c>
      <c r="F4936" s="2031">
        <v>789.0</v>
      </c>
      <c r="G4936" s="2031">
        <v>790.0</v>
      </c>
      <c r="H4936" s="2031">
        <v>790.0</v>
      </c>
    </row>
    <row r="4937">
      <c r="B4937" s="2031">
        <v>4935.0</v>
      </c>
      <c r="C4937" s="2031">
        <v>592.0</v>
      </c>
      <c r="D4937" s="2031">
        <v>1185.0</v>
      </c>
      <c r="E4937" s="2031">
        <v>789.0</v>
      </c>
      <c r="F4937" s="2031">
        <v>789.0</v>
      </c>
      <c r="G4937" s="2031">
        <v>790.0</v>
      </c>
      <c r="H4937" s="2031">
        <v>790.0</v>
      </c>
    </row>
    <row r="4938">
      <c r="B4938" s="2031">
        <v>4936.0</v>
      </c>
      <c r="C4938" s="2031">
        <v>592.0</v>
      </c>
      <c r="D4938" s="2031">
        <v>1184.0</v>
      </c>
      <c r="E4938" s="2031">
        <v>790.0</v>
      </c>
      <c r="F4938" s="2031">
        <v>790.0</v>
      </c>
      <c r="G4938" s="2031">
        <v>790.0</v>
      </c>
      <c r="H4938" s="2031">
        <v>790.0</v>
      </c>
    </row>
    <row r="4939">
      <c r="B4939" s="2031">
        <v>4937.0</v>
      </c>
      <c r="C4939" s="2031">
        <v>592.0</v>
      </c>
      <c r="D4939" s="2031">
        <v>1185.0</v>
      </c>
      <c r="E4939" s="2031">
        <v>790.0</v>
      </c>
      <c r="F4939" s="2031">
        <v>790.0</v>
      </c>
      <c r="G4939" s="2031">
        <v>790.0</v>
      </c>
      <c r="H4939" s="2031">
        <v>790.0</v>
      </c>
    </row>
    <row r="4940">
      <c r="B4940" s="2031">
        <v>4938.0</v>
      </c>
      <c r="C4940" s="2031">
        <v>593.0</v>
      </c>
      <c r="D4940" s="2031">
        <v>1185.0</v>
      </c>
      <c r="E4940" s="2031">
        <v>790.0</v>
      </c>
      <c r="F4940" s="2031">
        <v>790.0</v>
      </c>
      <c r="G4940" s="2031">
        <v>790.0</v>
      </c>
      <c r="H4940" s="2031">
        <v>790.0</v>
      </c>
    </row>
    <row r="4941">
      <c r="B4941" s="2031">
        <v>4939.0</v>
      </c>
      <c r="C4941" s="2031">
        <v>593.0</v>
      </c>
      <c r="D4941" s="2031">
        <v>1186.0</v>
      </c>
      <c r="E4941" s="2031">
        <v>790.0</v>
      </c>
      <c r="F4941" s="2031">
        <v>790.0</v>
      </c>
      <c r="G4941" s="2031">
        <v>790.0</v>
      </c>
      <c r="H4941" s="2031">
        <v>790.0</v>
      </c>
    </row>
    <row r="4942">
      <c r="B4942" s="2031">
        <v>4940.0</v>
      </c>
      <c r="C4942" s="2031">
        <v>593.0</v>
      </c>
      <c r="D4942" s="2031">
        <v>1185.0</v>
      </c>
      <c r="E4942" s="2031">
        <v>790.0</v>
      </c>
      <c r="F4942" s="2031">
        <v>790.0</v>
      </c>
      <c r="G4942" s="2031">
        <v>791.0</v>
      </c>
      <c r="H4942" s="2031">
        <v>791.0</v>
      </c>
    </row>
    <row r="4943">
      <c r="B4943" s="2031">
        <v>4941.0</v>
      </c>
      <c r="C4943" s="2031">
        <v>593.0</v>
      </c>
      <c r="D4943" s="2031">
        <v>1186.0</v>
      </c>
      <c r="E4943" s="2031">
        <v>790.0</v>
      </c>
      <c r="F4943" s="2031">
        <v>790.0</v>
      </c>
      <c r="G4943" s="2031">
        <v>791.0</v>
      </c>
      <c r="H4943" s="2031">
        <v>791.0</v>
      </c>
    </row>
    <row r="4944">
      <c r="B4944" s="2031">
        <v>4942.0</v>
      </c>
      <c r="C4944" s="2031">
        <v>593.0</v>
      </c>
      <c r="D4944" s="2031">
        <v>1187.0</v>
      </c>
      <c r="E4944" s="2031">
        <v>790.0</v>
      </c>
      <c r="F4944" s="2031">
        <v>790.0</v>
      </c>
      <c r="G4944" s="2031">
        <v>791.0</v>
      </c>
      <c r="H4944" s="2031">
        <v>791.0</v>
      </c>
    </row>
    <row r="4945">
      <c r="B4945" s="2031">
        <v>4943.0</v>
      </c>
      <c r="C4945" s="2031">
        <v>593.0</v>
      </c>
      <c r="D4945" s="2031">
        <v>1186.0</v>
      </c>
      <c r="E4945" s="2031">
        <v>791.0</v>
      </c>
      <c r="F4945" s="2031">
        <v>791.0</v>
      </c>
      <c r="G4945" s="2031">
        <v>791.0</v>
      </c>
      <c r="H4945" s="2031">
        <v>791.0</v>
      </c>
    </row>
    <row r="4946">
      <c r="B4946" s="2031">
        <v>4944.0</v>
      </c>
      <c r="C4946" s="2031">
        <v>593.0</v>
      </c>
      <c r="D4946" s="2031">
        <v>1187.0</v>
      </c>
      <c r="E4946" s="2031">
        <v>791.0</v>
      </c>
      <c r="F4946" s="2031">
        <v>791.0</v>
      </c>
      <c r="G4946" s="2031">
        <v>791.0</v>
      </c>
      <c r="H4946" s="2031">
        <v>791.0</v>
      </c>
    </row>
    <row r="4947">
      <c r="B4947" s="2031">
        <v>4945.0</v>
      </c>
      <c r="C4947" s="2031">
        <v>594.0</v>
      </c>
      <c r="D4947" s="2031">
        <v>1187.0</v>
      </c>
      <c r="E4947" s="2031">
        <v>791.0</v>
      </c>
      <c r="F4947" s="2031">
        <v>791.0</v>
      </c>
      <c r="G4947" s="2031">
        <v>791.0</v>
      </c>
      <c r="H4947" s="2031">
        <v>791.0</v>
      </c>
    </row>
    <row r="4948">
      <c r="B4948" s="2031">
        <v>4946.0</v>
      </c>
      <c r="C4948" s="2031">
        <v>593.0</v>
      </c>
      <c r="D4948" s="2031">
        <v>1187.0</v>
      </c>
      <c r="E4948" s="2031">
        <v>791.0</v>
      </c>
      <c r="F4948" s="2031">
        <v>791.0</v>
      </c>
      <c r="G4948" s="2031">
        <v>792.0</v>
      </c>
      <c r="H4948" s="2031">
        <v>792.0</v>
      </c>
    </row>
    <row r="4949">
      <c r="B4949" s="2031">
        <v>4947.0</v>
      </c>
      <c r="C4949" s="2031">
        <v>594.0</v>
      </c>
      <c r="D4949" s="2031">
        <v>1187.0</v>
      </c>
      <c r="E4949" s="2031">
        <v>791.0</v>
      </c>
      <c r="F4949" s="2031">
        <v>791.0</v>
      </c>
      <c r="G4949" s="2031">
        <v>792.0</v>
      </c>
      <c r="H4949" s="2031">
        <v>792.0</v>
      </c>
    </row>
    <row r="4950">
      <c r="B4950" s="2031">
        <v>4948.0</v>
      </c>
      <c r="C4950" s="2031">
        <v>593.0</v>
      </c>
      <c r="D4950" s="2031">
        <v>1187.0</v>
      </c>
      <c r="E4950" s="2031">
        <v>792.0</v>
      </c>
      <c r="F4950" s="2031">
        <v>792.0</v>
      </c>
      <c r="G4950" s="2031">
        <v>792.0</v>
      </c>
      <c r="H4950" s="2031">
        <v>792.0</v>
      </c>
    </row>
    <row r="4951">
      <c r="B4951" s="2031">
        <v>4949.0</v>
      </c>
      <c r="C4951" s="2031">
        <v>594.0</v>
      </c>
      <c r="D4951" s="2031">
        <v>1187.0</v>
      </c>
      <c r="E4951" s="2031">
        <v>792.0</v>
      </c>
      <c r="F4951" s="2031">
        <v>792.0</v>
      </c>
      <c r="G4951" s="2031">
        <v>792.0</v>
      </c>
      <c r="H4951" s="2031">
        <v>792.0</v>
      </c>
    </row>
    <row r="4952">
      <c r="B4952" s="2031">
        <v>4950.0</v>
      </c>
      <c r="C4952" s="2031">
        <v>594.0</v>
      </c>
      <c r="D4952" s="2031">
        <v>1188.0</v>
      </c>
      <c r="E4952" s="2031">
        <v>792.0</v>
      </c>
      <c r="F4952" s="2031">
        <v>792.0</v>
      </c>
      <c r="G4952" s="2031">
        <v>792.0</v>
      </c>
      <c r="H4952" s="2031">
        <v>792.0</v>
      </c>
    </row>
    <row r="4953">
      <c r="B4953" s="2031">
        <v>4951.0</v>
      </c>
      <c r="C4953" s="2031">
        <v>594.0</v>
      </c>
      <c r="D4953" s="2031">
        <v>1189.0</v>
      </c>
      <c r="E4953" s="2031">
        <v>792.0</v>
      </c>
      <c r="F4953" s="2031">
        <v>792.0</v>
      </c>
      <c r="G4953" s="2031">
        <v>792.0</v>
      </c>
      <c r="H4953" s="2031">
        <v>792.0</v>
      </c>
    </row>
    <row r="4954">
      <c r="B4954" s="2031">
        <v>4952.0</v>
      </c>
      <c r="C4954" s="2031">
        <v>595.0</v>
      </c>
      <c r="D4954" s="2031">
        <v>1189.0</v>
      </c>
      <c r="E4954" s="2031">
        <v>792.0</v>
      </c>
      <c r="F4954" s="2031">
        <v>792.0</v>
      </c>
      <c r="G4954" s="2031">
        <v>792.0</v>
      </c>
      <c r="H4954" s="2031">
        <v>792.0</v>
      </c>
    </row>
    <row r="4955">
      <c r="B4955" s="2031">
        <v>4953.0</v>
      </c>
      <c r="C4955" s="2031">
        <v>594.0</v>
      </c>
      <c r="D4955" s="2031">
        <v>1189.0</v>
      </c>
      <c r="E4955" s="2031">
        <v>792.0</v>
      </c>
      <c r="F4955" s="2031">
        <v>792.0</v>
      </c>
      <c r="G4955" s="2031">
        <v>793.0</v>
      </c>
      <c r="H4955" s="2031">
        <v>793.0</v>
      </c>
    </row>
    <row r="4956">
      <c r="B4956" s="2031">
        <v>4954.0</v>
      </c>
      <c r="C4956" s="2031">
        <v>595.0</v>
      </c>
      <c r="D4956" s="2031">
        <v>1189.0</v>
      </c>
      <c r="E4956" s="2031">
        <v>792.0</v>
      </c>
      <c r="F4956" s="2031">
        <v>792.0</v>
      </c>
      <c r="G4956" s="2031">
        <v>793.0</v>
      </c>
      <c r="H4956" s="2031">
        <v>793.0</v>
      </c>
    </row>
    <row r="4957">
      <c r="B4957" s="2031">
        <v>4955.0</v>
      </c>
      <c r="C4957" s="2031">
        <v>594.0</v>
      </c>
      <c r="D4957" s="2031">
        <v>1189.0</v>
      </c>
      <c r="E4957" s="2031">
        <v>793.0</v>
      </c>
      <c r="F4957" s="2031">
        <v>793.0</v>
      </c>
      <c r="G4957" s="2031">
        <v>793.0</v>
      </c>
      <c r="H4957" s="2031">
        <v>793.0</v>
      </c>
    </row>
    <row r="4958">
      <c r="B4958" s="2031">
        <v>4956.0</v>
      </c>
      <c r="C4958" s="2031">
        <v>595.0</v>
      </c>
      <c r="D4958" s="2031">
        <v>1189.0</v>
      </c>
      <c r="E4958" s="2031">
        <v>793.0</v>
      </c>
      <c r="F4958" s="2031">
        <v>793.0</v>
      </c>
      <c r="G4958" s="2031">
        <v>793.0</v>
      </c>
      <c r="H4958" s="2031">
        <v>793.0</v>
      </c>
    </row>
    <row r="4959">
      <c r="B4959" s="2031">
        <v>4957.0</v>
      </c>
      <c r="C4959" s="2031">
        <v>595.0</v>
      </c>
      <c r="D4959" s="2031">
        <v>1190.0</v>
      </c>
      <c r="E4959" s="2031">
        <v>793.0</v>
      </c>
      <c r="F4959" s="2031">
        <v>793.0</v>
      </c>
      <c r="G4959" s="2031">
        <v>793.0</v>
      </c>
      <c r="H4959" s="2031">
        <v>793.0</v>
      </c>
    </row>
    <row r="4960">
      <c r="B4960" s="2031">
        <v>4958.0</v>
      </c>
      <c r="C4960" s="2031">
        <v>595.0</v>
      </c>
      <c r="D4960" s="2031">
        <v>1189.0</v>
      </c>
      <c r="E4960" s="2031">
        <v>793.0</v>
      </c>
      <c r="F4960" s="2031">
        <v>793.0</v>
      </c>
      <c r="G4960" s="2031">
        <v>794.0</v>
      </c>
      <c r="H4960" s="2031">
        <v>794.0</v>
      </c>
    </row>
    <row r="4961">
      <c r="B4961" s="2031">
        <v>4959.0</v>
      </c>
      <c r="C4961" s="2031">
        <v>595.0</v>
      </c>
      <c r="D4961" s="2031">
        <v>1190.0</v>
      </c>
      <c r="E4961" s="2031">
        <v>793.0</v>
      </c>
      <c r="F4961" s="2031">
        <v>793.0</v>
      </c>
      <c r="G4961" s="2031">
        <v>794.0</v>
      </c>
      <c r="H4961" s="2031">
        <v>794.0</v>
      </c>
    </row>
    <row r="4962">
      <c r="B4962" s="2031">
        <v>4960.0</v>
      </c>
      <c r="C4962" s="2031">
        <v>595.0</v>
      </c>
      <c r="D4962" s="2031">
        <v>1191.0</v>
      </c>
      <c r="E4962" s="2031">
        <v>793.0</v>
      </c>
      <c r="F4962" s="2031">
        <v>793.0</v>
      </c>
      <c r="G4962" s="2031">
        <v>794.0</v>
      </c>
      <c r="H4962" s="2031">
        <v>794.0</v>
      </c>
    </row>
    <row r="4963">
      <c r="B4963" s="2031">
        <v>4961.0</v>
      </c>
      <c r="C4963" s="2031">
        <v>595.0</v>
      </c>
      <c r="D4963" s="2031">
        <v>1190.0</v>
      </c>
      <c r="E4963" s="2031">
        <v>794.0</v>
      </c>
      <c r="F4963" s="2031">
        <v>794.0</v>
      </c>
      <c r="G4963" s="2031">
        <v>794.0</v>
      </c>
      <c r="H4963" s="2031">
        <v>794.0</v>
      </c>
    </row>
    <row r="4964">
      <c r="B4964" s="2031">
        <v>4962.0</v>
      </c>
      <c r="C4964" s="2031">
        <v>595.0</v>
      </c>
      <c r="D4964" s="2031">
        <v>1191.0</v>
      </c>
      <c r="E4964" s="2031">
        <v>794.0</v>
      </c>
      <c r="F4964" s="2031">
        <v>794.0</v>
      </c>
      <c r="G4964" s="2031">
        <v>794.0</v>
      </c>
      <c r="H4964" s="2031">
        <v>794.0</v>
      </c>
    </row>
    <row r="4965">
      <c r="B4965" s="2031">
        <v>4963.0</v>
      </c>
      <c r="C4965" s="2031">
        <v>596.0</v>
      </c>
      <c r="D4965" s="2031">
        <v>1191.0</v>
      </c>
      <c r="E4965" s="2031">
        <v>794.0</v>
      </c>
      <c r="F4965" s="2031">
        <v>794.0</v>
      </c>
      <c r="G4965" s="2031">
        <v>794.0</v>
      </c>
      <c r="H4965" s="2031">
        <v>794.0</v>
      </c>
    </row>
    <row r="4966">
      <c r="B4966" s="2031">
        <v>4964.0</v>
      </c>
      <c r="C4966" s="2031">
        <v>596.0</v>
      </c>
      <c r="D4966" s="2031">
        <v>1192.0</v>
      </c>
      <c r="E4966" s="2031">
        <v>794.0</v>
      </c>
      <c r="F4966" s="2031">
        <v>794.0</v>
      </c>
      <c r="G4966" s="2031">
        <v>794.0</v>
      </c>
      <c r="H4966" s="2031">
        <v>794.0</v>
      </c>
    </row>
    <row r="4967">
      <c r="B4967" s="2031">
        <v>4965.0</v>
      </c>
      <c r="C4967" s="2031">
        <v>596.0</v>
      </c>
      <c r="D4967" s="2031">
        <v>1191.0</v>
      </c>
      <c r="E4967" s="2031">
        <v>794.0</v>
      </c>
      <c r="F4967" s="2031">
        <v>794.0</v>
      </c>
      <c r="G4967" s="2031">
        <v>795.0</v>
      </c>
      <c r="H4967" s="2031">
        <v>795.0</v>
      </c>
    </row>
    <row r="4968">
      <c r="B4968" s="2031">
        <v>4966.0</v>
      </c>
      <c r="C4968" s="2031">
        <v>596.0</v>
      </c>
      <c r="D4968" s="2031">
        <v>1192.0</v>
      </c>
      <c r="E4968" s="2031">
        <v>794.0</v>
      </c>
      <c r="F4968" s="2031">
        <v>794.0</v>
      </c>
      <c r="G4968" s="2031">
        <v>795.0</v>
      </c>
      <c r="H4968" s="2031">
        <v>795.0</v>
      </c>
    </row>
    <row r="4969">
      <c r="B4969" s="2031">
        <v>4967.0</v>
      </c>
      <c r="C4969" s="2031">
        <v>596.0</v>
      </c>
      <c r="D4969" s="2031">
        <v>1193.0</v>
      </c>
      <c r="E4969" s="2031">
        <v>794.0</v>
      </c>
      <c r="F4969" s="2031">
        <v>794.0</v>
      </c>
      <c r="G4969" s="2031">
        <v>795.0</v>
      </c>
      <c r="H4969" s="2031">
        <v>795.0</v>
      </c>
    </row>
    <row r="4970">
      <c r="B4970" s="2031">
        <v>4968.0</v>
      </c>
      <c r="C4970" s="2031">
        <v>596.0</v>
      </c>
      <c r="D4970" s="2031">
        <v>1192.0</v>
      </c>
      <c r="E4970" s="2031">
        <v>795.0</v>
      </c>
      <c r="F4970" s="2031">
        <v>795.0</v>
      </c>
      <c r="G4970" s="2031">
        <v>795.0</v>
      </c>
      <c r="H4970" s="2031">
        <v>795.0</v>
      </c>
    </row>
    <row r="4971">
      <c r="B4971" s="2031">
        <v>4969.0</v>
      </c>
      <c r="C4971" s="2031">
        <v>596.0</v>
      </c>
      <c r="D4971" s="2031">
        <v>1193.0</v>
      </c>
      <c r="E4971" s="2031">
        <v>795.0</v>
      </c>
      <c r="F4971" s="2031">
        <v>795.0</v>
      </c>
      <c r="G4971" s="2031">
        <v>795.0</v>
      </c>
      <c r="H4971" s="2031">
        <v>795.0</v>
      </c>
    </row>
    <row r="4972">
      <c r="B4972" s="2031">
        <v>4970.0</v>
      </c>
      <c r="C4972" s="2031">
        <v>597.0</v>
      </c>
      <c r="D4972" s="2031">
        <v>1193.0</v>
      </c>
      <c r="E4972" s="2031">
        <v>795.0</v>
      </c>
      <c r="F4972" s="2031">
        <v>795.0</v>
      </c>
      <c r="G4972" s="2031">
        <v>795.0</v>
      </c>
      <c r="H4972" s="2031">
        <v>795.0</v>
      </c>
    </row>
    <row r="4973">
      <c r="B4973" s="2031">
        <v>4971.0</v>
      </c>
      <c r="C4973" s="2031">
        <v>596.0</v>
      </c>
      <c r="D4973" s="2031">
        <v>1193.0</v>
      </c>
      <c r="E4973" s="2031">
        <v>795.0</v>
      </c>
      <c r="F4973" s="2031">
        <v>795.0</v>
      </c>
      <c r="G4973" s="2031">
        <v>796.0</v>
      </c>
      <c r="H4973" s="2031">
        <v>796.0</v>
      </c>
    </row>
    <row r="4974">
      <c r="B4974" s="2031">
        <v>4972.0</v>
      </c>
      <c r="C4974" s="2031">
        <v>597.0</v>
      </c>
      <c r="D4974" s="2031">
        <v>1193.0</v>
      </c>
      <c r="E4974" s="2031">
        <v>795.0</v>
      </c>
      <c r="F4974" s="2031">
        <v>795.0</v>
      </c>
      <c r="G4974" s="2031">
        <v>796.0</v>
      </c>
      <c r="H4974" s="2031">
        <v>796.0</v>
      </c>
    </row>
    <row r="4975">
      <c r="B4975" s="2031">
        <v>4973.0</v>
      </c>
      <c r="C4975" s="2031">
        <v>596.0</v>
      </c>
      <c r="D4975" s="2031">
        <v>1193.0</v>
      </c>
      <c r="E4975" s="2031">
        <v>796.0</v>
      </c>
      <c r="F4975" s="2031">
        <v>796.0</v>
      </c>
      <c r="G4975" s="2031">
        <v>796.0</v>
      </c>
      <c r="H4975" s="2031">
        <v>796.0</v>
      </c>
    </row>
    <row r="4976">
      <c r="B4976" s="2031">
        <v>4974.0</v>
      </c>
      <c r="C4976" s="2031">
        <v>597.0</v>
      </c>
      <c r="D4976" s="2031">
        <v>1193.0</v>
      </c>
      <c r="E4976" s="2031">
        <v>796.0</v>
      </c>
      <c r="F4976" s="2031">
        <v>796.0</v>
      </c>
      <c r="G4976" s="2031">
        <v>796.0</v>
      </c>
      <c r="H4976" s="2031">
        <v>796.0</v>
      </c>
    </row>
    <row r="4977">
      <c r="B4977" s="2031">
        <v>4975.0</v>
      </c>
      <c r="C4977" s="2031">
        <v>597.0</v>
      </c>
      <c r="D4977" s="2031">
        <v>1194.0</v>
      </c>
      <c r="E4977" s="2031">
        <v>796.0</v>
      </c>
      <c r="F4977" s="2031">
        <v>796.0</v>
      </c>
      <c r="G4977" s="2031">
        <v>796.0</v>
      </c>
      <c r="H4977" s="2031">
        <v>796.0</v>
      </c>
    </row>
    <row r="4978">
      <c r="B4978" s="2031">
        <v>4976.0</v>
      </c>
      <c r="C4978" s="2031">
        <v>597.0</v>
      </c>
      <c r="D4978" s="2031">
        <v>1195.0</v>
      </c>
      <c r="E4978" s="2031">
        <v>796.0</v>
      </c>
      <c r="F4978" s="2031">
        <v>796.0</v>
      </c>
      <c r="G4978" s="2031">
        <v>796.0</v>
      </c>
      <c r="H4978" s="2031">
        <v>796.0</v>
      </c>
    </row>
    <row r="4979">
      <c r="B4979" s="2031">
        <v>4977.0</v>
      </c>
      <c r="C4979" s="2031">
        <v>598.0</v>
      </c>
      <c r="D4979" s="2031">
        <v>1195.0</v>
      </c>
      <c r="E4979" s="2031">
        <v>796.0</v>
      </c>
      <c r="F4979" s="2031">
        <v>796.0</v>
      </c>
      <c r="G4979" s="2031">
        <v>796.0</v>
      </c>
      <c r="H4979" s="2031">
        <v>796.0</v>
      </c>
    </row>
    <row r="4980">
      <c r="B4980" s="2031">
        <v>4978.0</v>
      </c>
      <c r="C4980" s="2031">
        <v>597.0</v>
      </c>
      <c r="D4980" s="2031">
        <v>1195.0</v>
      </c>
      <c r="E4980" s="2031">
        <v>796.0</v>
      </c>
      <c r="F4980" s="2031">
        <v>796.0</v>
      </c>
      <c r="G4980" s="2031">
        <v>797.0</v>
      </c>
      <c r="H4980" s="2031">
        <v>797.0</v>
      </c>
    </row>
    <row r="4981">
      <c r="B4981" s="2031">
        <v>4979.0</v>
      </c>
      <c r="C4981" s="2031">
        <v>598.0</v>
      </c>
      <c r="D4981" s="2031">
        <v>1195.0</v>
      </c>
      <c r="E4981" s="2031">
        <v>796.0</v>
      </c>
      <c r="F4981" s="2031">
        <v>796.0</v>
      </c>
      <c r="G4981" s="2031">
        <v>797.0</v>
      </c>
      <c r="H4981" s="2031">
        <v>797.0</v>
      </c>
    </row>
    <row r="4982">
      <c r="B4982" s="2031">
        <v>4980.0</v>
      </c>
      <c r="C4982" s="2031">
        <v>597.0</v>
      </c>
      <c r="D4982" s="2031">
        <v>1195.0</v>
      </c>
      <c r="E4982" s="2031">
        <v>797.0</v>
      </c>
      <c r="F4982" s="2031">
        <v>797.0</v>
      </c>
      <c r="G4982" s="2031">
        <v>797.0</v>
      </c>
      <c r="H4982" s="2031">
        <v>797.0</v>
      </c>
    </row>
    <row r="4983">
      <c r="B4983" s="2031">
        <v>4981.0</v>
      </c>
      <c r="C4983" s="2031">
        <v>598.0</v>
      </c>
      <c r="D4983" s="2031">
        <v>1195.0</v>
      </c>
      <c r="E4983" s="2031">
        <v>797.0</v>
      </c>
      <c r="F4983" s="2031">
        <v>797.0</v>
      </c>
      <c r="G4983" s="2031">
        <v>797.0</v>
      </c>
      <c r="H4983" s="2031">
        <v>797.0</v>
      </c>
    </row>
    <row r="4984">
      <c r="B4984" s="2031">
        <v>4982.0</v>
      </c>
      <c r="C4984" s="2031">
        <v>598.0</v>
      </c>
      <c r="D4984" s="2031">
        <v>1196.0</v>
      </c>
      <c r="E4984" s="2031">
        <v>797.0</v>
      </c>
      <c r="F4984" s="2031">
        <v>797.0</v>
      </c>
      <c r="G4984" s="2031">
        <v>797.0</v>
      </c>
      <c r="H4984" s="2031">
        <v>797.0</v>
      </c>
    </row>
    <row r="4985">
      <c r="B4985" s="2031">
        <v>4983.0</v>
      </c>
      <c r="C4985" s="2031">
        <v>598.0</v>
      </c>
      <c r="D4985" s="2031">
        <v>1195.0</v>
      </c>
      <c r="E4985" s="2031">
        <v>797.0</v>
      </c>
      <c r="F4985" s="2031">
        <v>797.0</v>
      </c>
      <c r="G4985" s="2031">
        <v>798.0</v>
      </c>
      <c r="H4985" s="2031">
        <v>798.0</v>
      </c>
    </row>
    <row r="4986">
      <c r="B4986" s="2031">
        <v>4984.0</v>
      </c>
      <c r="C4986" s="2031">
        <v>598.0</v>
      </c>
      <c r="D4986" s="2031">
        <v>1196.0</v>
      </c>
      <c r="E4986" s="2031">
        <v>797.0</v>
      </c>
      <c r="F4986" s="2031">
        <v>797.0</v>
      </c>
      <c r="G4986" s="2031">
        <v>798.0</v>
      </c>
      <c r="H4986" s="2031">
        <v>798.0</v>
      </c>
    </row>
    <row r="4987">
      <c r="B4987" s="2031">
        <v>4985.0</v>
      </c>
      <c r="C4987" s="2031">
        <v>598.0</v>
      </c>
      <c r="D4987" s="2031">
        <v>1197.0</v>
      </c>
      <c r="E4987" s="2031">
        <v>797.0</v>
      </c>
      <c r="F4987" s="2031">
        <v>797.0</v>
      </c>
      <c r="G4987" s="2031">
        <v>798.0</v>
      </c>
      <c r="H4987" s="2031">
        <v>798.0</v>
      </c>
    </row>
    <row r="4988">
      <c r="B4988" s="2031">
        <v>4986.0</v>
      </c>
      <c r="C4988" s="2031">
        <v>598.0</v>
      </c>
      <c r="D4988" s="2031">
        <v>1196.0</v>
      </c>
      <c r="E4988" s="2031">
        <v>798.0</v>
      </c>
      <c r="F4988" s="2031">
        <v>798.0</v>
      </c>
      <c r="G4988" s="2031">
        <v>798.0</v>
      </c>
      <c r="H4988" s="2031">
        <v>798.0</v>
      </c>
    </row>
    <row r="4989">
      <c r="B4989" s="2031">
        <v>4987.0</v>
      </c>
      <c r="C4989" s="2031">
        <v>598.0</v>
      </c>
      <c r="D4989" s="2031">
        <v>1197.0</v>
      </c>
      <c r="E4989" s="2031">
        <v>798.0</v>
      </c>
      <c r="F4989" s="2031">
        <v>798.0</v>
      </c>
      <c r="G4989" s="2031">
        <v>798.0</v>
      </c>
      <c r="H4989" s="2031">
        <v>798.0</v>
      </c>
    </row>
    <row r="4990">
      <c r="B4990" s="2031">
        <v>4988.0</v>
      </c>
      <c r="C4990" s="2031">
        <v>599.0</v>
      </c>
      <c r="D4990" s="2031">
        <v>1197.0</v>
      </c>
      <c r="E4990" s="2031">
        <v>798.0</v>
      </c>
      <c r="F4990" s="2031">
        <v>798.0</v>
      </c>
      <c r="G4990" s="2031">
        <v>798.0</v>
      </c>
      <c r="H4990" s="2031">
        <v>798.0</v>
      </c>
    </row>
    <row r="4991">
      <c r="B4991" s="2031">
        <v>4989.0</v>
      </c>
      <c r="C4991" s="2031">
        <v>599.0</v>
      </c>
      <c r="D4991" s="2031">
        <v>1198.0</v>
      </c>
      <c r="E4991" s="2031">
        <v>798.0</v>
      </c>
      <c r="F4991" s="2031">
        <v>798.0</v>
      </c>
      <c r="G4991" s="2031">
        <v>798.0</v>
      </c>
      <c r="H4991" s="2031">
        <v>798.0</v>
      </c>
    </row>
    <row r="4992">
      <c r="B4992" s="2031">
        <v>4990.0</v>
      </c>
      <c r="C4992" s="2031">
        <v>599.0</v>
      </c>
      <c r="D4992" s="2031">
        <v>1197.0</v>
      </c>
      <c r="E4992" s="2031">
        <v>798.0</v>
      </c>
      <c r="F4992" s="2031">
        <v>798.0</v>
      </c>
      <c r="G4992" s="2031">
        <v>799.0</v>
      </c>
      <c r="H4992" s="2031">
        <v>799.0</v>
      </c>
    </row>
    <row r="4993">
      <c r="B4993" s="2031">
        <v>4991.0</v>
      </c>
      <c r="C4993" s="2031">
        <v>599.0</v>
      </c>
      <c r="D4993" s="2031">
        <v>1198.0</v>
      </c>
      <c r="E4993" s="2031">
        <v>798.0</v>
      </c>
      <c r="F4993" s="2031">
        <v>798.0</v>
      </c>
      <c r="G4993" s="2031">
        <v>799.0</v>
      </c>
      <c r="H4993" s="2031">
        <v>799.0</v>
      </c>
    </row>
    <row r="4994">
      <c r="B4994" s="2031">
        <v>4992.0</v>
      </c>
      <c r="C4994" s="2031">
        <v>599.0</v>
      </c>
      <c r="D4994" s="2031">
        <v>1199.0</v>
      </c>
      <c r="E4994" s="2031">
        <v>798.0</v>
      </c>
      <c r="F4994" s="2031">
        <v>798.0</v>
      </c>
      <c r="G4994" s="2031">
        <v>799.0</v>
      </c>
      <c r="H4994" s="2031">
        <v>799.0</v>
      </c>
    </row>
    <row r="4995">
      <c r="B4995" s="2031">
        <v>4993.0</v>
      </c>
      <c r="C4995" s="2031">
        <v>599.0</v>
      </c>
      <c r="D4995" s="2031">
        <v>1198.0</v>
      </c>
      <c r="E4995" s="2031">
        <v>799.0</v>
      </c>
      <c r="F4995" s="2031">
        <v>799.0</v>
      </c>
      <c r="G4995" s="2031">
        <v>799.0</v>
      </c>
      <c r="H4995" s="2031">
        <v>799.0</v>
      </c>
    </row>
    <row r="4996">
      <c r="B4996" s="2031">
        <v>4994.0</v>
      </c>
      <c r="C4996" s="2031">
        <v>599.0</v>
      </c>
      <c r="D4996" s="2031">
        <v>1199.0</v>
      </c>
      <c r="E4996" s="2031">
        <v>799.0</v>
      </c>
      <c r="F4996" s="2031">
        <v>799.0</v>
      </c>
      <c r="G4996" s="2031">
        <v>799.0</v>
      </c>
      <c r="H4996" s="2031">
        <v>799.0</v>
      </c>
    </row>
    <row r="4997">
      <c r="B4997" s="2031">
        <v>4995.0</v>
      </c>
      <c r="C4997" s="2031">
        <v>600.0</v>
      </c>
      <c r="D4997" s="2031">
        <v>1199.0</v>
      </c>
      <c r="E4997" s="2031">
        <v>799.0</v>
      </c>
      <c r="F4997" s="2031">
        <v>799.0</v>
      </c>
      <c r="G4997" s="2031">
        <v>799.0</v>
      </c>
      <c r="H4997" s="2031">
        <v>799.0</v>
      </c>
    </row>
    <row r="4998">
      <c r="B4998" s="2031">
        <v>4996.0</v>
      </c>
      <c r="C4998" s="2031">
        <v>599.0</v>
      </c>
      <c r="D4998" s="2031">
        <v>1199.0</v>
      </c>
      <c r="E4998" s="2031">
        <v>799.0</v>
      </c>
      <c r="F4998" s="2031">
        <v>799.0</v>
      </c>
      <c r="G4998" s="2031">
        <v>800.0</v>
      </c>
      <c r="H4998" s="2031">
        <v>800.0</v>
      </c>
    </row>
    <row r="4999">
      <c r="B4999" s="2031">
        <v>4997.0</v>
      </c>
      <c r="C4999" s="2031">
        <v>600.0</v>
      </c>
      <c r="D4999" s="2031">
        <v>1199.0</v>
      </c>
      <c r="E4999" s="2031">
        <v>799.0</v>
      </c>
      <c r="F4999" s="2031">
        <v>799.0</v>
      </c>
      <c r="G4999" s="2031">
        <v>800.0</v>
      </c>
      <c r="H4999" s="2031">
        <v>800.0</v>
      </c>
    </row>
    <row r="5000">
      <c r="B5000" s="2031">
        <v>4998.0</v>
      </c>
      <c r="C5000" s="2031">
        <v>599.0</v>
      </c>
      <c r="D5000" s="2031">
        <v>1199.0</v>
      </c>
      <c r="E5000" s="2031">
        <v>800.0</v>
      </c>
      <c r="F5000" s="2031">
        <v>800.0</v>
      </c>
      <c r="G5000" s="2031">
        <v>800.0</v>
      </c>
      <c r="H5000" s="2031">
        <v>800.0</v>
      </c>
    </row>
    <row r="5001">
      <c r="B5001" s="2031">
        <v>4999.0</v>
      </c>
      <c r="C5001" s="2031">
        <v>600.0</v>
      </c>
      <c r="D5001" s="2031">
        <v>1199.0</v>
      </c>
      <c r="E5001" s="2031">
        <v>800.0</v>
      </c>
      <c r="F5001" s="2031">
        <v>800.0</v>
      </c>
      <c r="G5001" s="2031">
        <v>800.0</v>
      </c>
      <c r="H5001" s="2031">
        <v>800.0</v>
      </c>
    </row>
    <row r="5002">
      <c r="B5002" s="2031">
        <v>5000.0</v>
      </c>
      <c r="C5002" s="2031">
        <v>600.0</v>
      </c>
      <c r="D5002" s="2031">
        <v>1200.0</v>
      </c>
      <c r="E5002" s="2031">
        <v>800.0</v>
      </c>
      <c r="F5002" s="2031">
        <v>800.0</v>
      </c>
      <c r="G5002" s="2031">
        <v>800.0</v>
      </c>
      <c r="H5002" s="2031">
        <v>800.0</v>
      </c>
    </row>
  </sheetData>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4" width="7.63"/>
    <col customWidth="1" min="5" max="5" width="3.0"/>
    <col customWidth="1" min="6" max="6" width="16.75"/>
    <col customWidth="1" min="7" max="7" width="10.75"/>
    <col customWidth="1" min="8" max="26" width="7.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c r="G10" s="2032"/>
      <c r="H10" s="2032"/>
      <c r="I10" s="2032"/>
      <c r="J10" s="2032"/>
      <c r="K10" s="2032"/>
      <c r="L10" s="2032"/>
      <c r="M10" s="2032"/>
      <c r="N10" s="2032"/>
      <c r="O10" s="2032"/>
      <c r="P10" s="2032"/>
      <c r="Q10" s="2032"/>
      <c r="R10" s="2032"/>
      <c r="S10" s="2032"/>
      <c r="T10" s="2032"/>
      <c r="U10" s="2032"/>
      <c r="V10" s="2032"/>
      <c r="W10" s="2032"/>
      <c r="X10" s="2032"/>
      <c r="Y10" s="2032"/>
      <c r="Z10" s="2032"/>
    </row>
    <row r="11" ht="12.75" customHeight="1">
      <c r="G11" s="2032"/>
      <c r="H11" s="2032"/>
      <c r="I11" s="2032"/>
      <c r="J11" s="2032"/>
      <c r="K11" s="2032"/>
      <c r="L11" s="2032"/>
      <c r="M11" s="2032"/>
      <c r="N11" s="2032"/>
      <c r="O11" s="2032"/>
      <c r="P11" s="2032"/>
      <c r="Q11" s="2032"/>
      <c r="R11" s="2032"/>
      <c r="S11" s="2032"/>
      <c r="T11" s="2032"/>
      <c r="U11" s="2032"/>
      <c r="V11" s="2032"/>
      <c r="W11" s="2032"/>
      <c r="X11" s="2032"/>
      <c r="Y11" s="2032"/>
      <c r="Z11" s="2032"/>
    </row>
    <row r="12" ht="12.75" customHeight="1">
      <c r="G12" s="2032"/>
      <c r="H12" s="2032"/>
      <c r="I12" s="2032"/>
      <c r="J12" s="2032"/>
      <c r="K12" s="2032"/>
      <c r="L12" s="2032"/>
      <c r="M12" s="2032"/>
      <c r="N12" s="2032"/>
      <c r="O12" s="2032"/>
      <c r="P12" s="2032"/>
      <c r="Q12" s="2032"/>
      <c r="R12" s="2032"/>
      <c r="S12" s="2032"/>
      <c r="T12" s="2032"/>
      <c r="U12" s="2032"/>
      <c r="V12" s="2032"/>
      <c r="W12" s="2032"/>
      <c r="X12" s="2032"/>
      <c r="Y12" s="2032"/>
      <c r="Z12" s="2032"/>
    </row>
    <row r="13" ht="12.75" customHeight="1">
      <c r="G13" s="2033"/>
      <c r="H13" s="2032"/>
      <c r="I13" s="2032"/>
      <c r="J13" s="2032"/>
      <c r="K13" s="2032"/>
      <c r="L13" s="2032"/>
      <c r="M13" s="2032"/>
      <c r="N13" s="2032"/>
      <c r="O13" s="2032"/>
      <c r="P13" s="2032"/>
      <c r="Q13" s="2032"/>
      <c r="R13" s="2032"/>
      <c r="S13" s="2032"/>
      <c r="T13" s="2032"/>
      <c r="U13" s="2032"/>
      <c r="V13" s="2032"/>
      <c r="W13" s="2032"/>
      <c r="X13" s="2032"/>
      <c r="Y13" s="2032"/>
      <c r="Z13" s="2032"/>
    </row>
    <row r="14" ht="12.75" customHeight="1">
      <c r="G14" s="2033"/>
      <c r="H14" s="2032"/>
      <c r="I14" s="2032"/>
      <c r="J14" s="2032"/>
      <c r="K14" s="2032"/>
      <c r="L14" s="2032"/>
      <c r="M14" s="2032"/>
      <c r="N14" s="2032"/>
      <c r="O14" s="2032"/>
      <c r="P14" s="2032"/>
      <c r="Q14" s="2032"/>
      <c r="R14" s="2032"/>
      <c r="S14" s="2032"/>
      <c r="T14" s="2032"/>
      <c r="U14" s="2032"/>
      <c r="V14" s="2032"/>
      <c r="W14" s="2032"/>
      <c r="X14" s="2032"/>
      <c r="Y14" s="2032"/>
      <c r="Z14" s="2032"/>
    </row>
    <row r="15" ht="12.75" customHeight="1"/>
    <row r="16" ht="12.75" customHeight="1">
      <c r="H16" s="2034"/>
    </row>
    <row r="17" ht="12.75" customHeight="1"/>
    <row r="18" ht="12.75" customHeight="1"/>
    <row r="19" ht="12.75" customHeight="1"/>
    <row r="20" ht="12.75" customHeight="1">
      <c r="G20" s="2032"/>
      <c r="H20" s="2032"/>
      <c r="I20" s="2032"/>
      <c r="J20" s="2032"/>
      <c r="K20" s="2032"/>
      <c r="L20" s="2032"/>
      <c r="M20" s="2032"/>
      <c r="N20" s="2032"/>
      <c r="O20" s="2032"/>
      <c r="P20" s="2032"/>
      <c r="Q20" s="2032"/>
      <c r="R20" s="2032"/>
      <c r="S20" s="2032"/>
      <c r="T20" s="2032"/>
      <c r="U20" s="2032"/>
      <c r="V20" s="2032"/>
      <c r="W20" s="2032"/>
      <c r="X20" s="2032"/>
      <c r="Y20" s="2032"/>
      <c r="Z20" s="2032"/>
    </row>
    <row r="21" ht="12.75" customHeight="1">
      <c r="G21" s="2035"/>
      <c r="H21" s="2035"/>
      <c r="I21" s="2035"/>
      <c r="J21" s="2035"/>
      <c r="K21" s="2035"/>
      <c r="L21" s="2035"/>
      <c r="M21" s="2035"/>
      <c r="N21" s="2035"/>
      <c r="O21" s="2035"/>
      <c r="P21" s="2035"/>
      <c r="Q21" s="2035"/>
      <c r="R21" s="2035"/>
      <c r="S21" s="2035"/>
      <c r="T21" s="2035"/>
      <c r="U21" s="2035"/>
      <c r="V21" s="2035"/>
      <c r="W21" s="2035"/>
      <c r="X21" s="2035"/>
      <c r="Y21" s="2035"/>
      <c r="Z21" s="2035"/>
    </row>
    <row r="22" ht="12.75" customHeight="1">
      <c r="G22" s="2035"/>
      <c r="H22" s="2035"/>
      <c r="I22" s="2035"/>
      <c r="J22" s="2035"/>
      <c r="K22" s="2035"/>
      <c r="L22" s="2035"/>
      <c r="M22" s="2035"/>
      <c r="N22" s="2035"/>
      <c r="O22" s="2035"/>
      <c r="P22" s="2035"/>
      <c r="Q22" s="2035"/>
      <c r="R22" s="2035"/>
      <c r="S22" s="2035"/>
      <c r="T22" s="2035"/>
      <c r="U22" s="2035"/>
      <c r="V22" s="2035"/>
      <c r="W22" s="2035"/>
      <c r="X22" s="2035"/>
      <c r="Y22" s="2035"/>
      <c r="Z22" s="2035"/>
    </row>
    <row r="23" ht="12.75" customHeight="1">
      <c r="G23" s="2035"/>
      <c r="H23" s="2035"/>
      <c r="I23" s="2035"/>
      <c r="J23" s="2035"/>
      <c r="K23" s="2035"/>
      <c r="L23" s="2035"/>
      <c r="M23" s="2035"/>
      <c r="N23" s="2035"/>
      <c r="O23" s="2035"/>
      <c r="P23" s="2035"/>
      <c r="Q23" s="2035"/>
      <c r="R23" s="2035"/>
      <c r="S23" s="2035"/>
      <c r="T23" s="2035"/>
      <c r="U23" s="2035"/>
      <c r="V23" s="2035"/>
      <c r="W23" s="2035"/>
      <c r="X23" s="2035"/>
      <c r="Y23" s="2035"/>
      <c r="Z23" s="2035"/>
    </row>
    <row r="24" ht="12.75" customHeight="1">
      <c r="G24" s="2035"/>
      <c r="H24" s="2035"/>
      <c r="I24" s="2035"/>
      <c r="J24" s="2035"/>
      <c r="K24" s="2035"/>
      <c r="L24" s="2035"/>
      <c r="M24" s="2035"/>
      <c r="N24" s="2035"/>
      <c r="O24" s="2035"/>
      <c r="P24" s="2035"/>
      <c r="Q24" s="2035"/>
      <c r="R24" s="2035"/>
      <c r="S24" s="2035"/>
      <c r="T24" s="2035"/>
      <c r="U24" s="2035"/>
      <c r="V24" s="2035"/>
      <c r="W24" s="2035"/>
      <c r="X24" s="2035"/>
      <c r="Y24" s="2035"/>
      <c r="Z24" s="2035"/>
    </row>
    <row r="25" ht="12.75" customHeight="1">
      <c r="G25" s="2035"/>
      <c r="H25" s="2035"/>
      <c r="I25" s="2035"/>
      <c r="J25" s="2035"/>
      <c r="K25" s="2035"/>
      <c r="L25" s="2035"/>
      <c r="M25" s="2035"/>
      <c r="N25" s="2035"/>
      <c r="O25" s="2035"/>
      <c r="P25" s="2035"/>
      <c r="Q25" s="2035"/>
      <c r="R25" s="2035"/>
      <c r="S25" s="2035"/>
      <c r="T25" s="2035"/>
      <c r="U25" s="2035"/>
      <c r="V25" s="2035"/>
      <c r="W25" s="2035"/>
      <c r="X25" s="2035"/>
      <c r="Y25" s="2035"/>
      <c r="Z25" s="2035"/>
    </row>
    <row r="26" ht="12.75" customHeight="1">
      <c r="G26" s="2035"/>
      <c r="H26" s="2035"/>
      <c r="I26" s="2035"/>
      <c r="J26" s="2035"/>
      <c r="K26" s="2035"/>
      <c r="L26" s="2035"/>
      <c r="M26" s="2035"/>
      <c r="N26" s="2035"/>
      <c r="O26" s="2035"/>
      <c r="P26" s="2035"/>
      <c r="Q26" s="2035"/>
      <c r="R26" s="2035"/>
      <c r="S26" s="2035"/>
      <c r="T26" s="2035"/>
      <c r="U26" s="2035"/>
      <c r="V26" s="2035"/>
      <c r="W26" s="2035"/>
      <c r="X26" s="2035"/>
      <c r="Y26" s="2035"/>
      <c r="Z26" s="2035"/>
    </row>
    <row r="27" ht="12.75" customHeight="1">
      <c r="G27" s="2035"/>
      <c r="H27" s="2035"/>
      <c r="I27" s="2035"/>
      <c r="J27" s="2035"/>
      <c r="K27" s="2035"/>
      <c r="L27" s="2035"/>
      <c r="M27" s="2035"/>
      <c r="N27" s="2035"/>
      <c r="O27" s="2035"/>
      <c r="P27" s="2035"/>
      <c r="Q27" s="2035"/>
      <c r="R27" s="2035"/>
      <c r="S27" s="2035"/>
      <c r="T27" s="2035"/>
      <c r="U27" s="2035"/>
      <c r="V27" s="2035"/>
      <c r="W27" s="2035"/>
      <c r="X27" s="2035"/>
      <c r="Y27" s="2035"/>
      <c r="Z27" s="2035"/>
    </row>
    <row r="28" ht="12.75" customHeight="1">
      <c r="G28" s="2035"/>
      <c r="H28" s="2035"/>
      <c r="I28" s="2035"/>
      <c r="J28" s="2035"/>
      <c r="K28" s="2035"/>
      <c r="L28" s="2035"/>
      <c r="M28" s="2035"/>
      <c r="N28" s="2035"/>
      <c r="O28" s="2035"/>
      <c r="P28" s="2035"/>
      <c r="Q28" s="2035"/>
      <c r="R28" s="2035"/>
      <c r="S28" s="2035"/>
      <c r="T28" s="2035"/>
      <c r="U28" s="2035"/>
      <c r="V28" s="2035"/>
      <c r="W28" s="2035"/>
      <c r="X28" s="2035"/>
      <c r="Y28" s="2035"/>
      <c r="Z28" s="2035"/>
    </row>
    <row r="29" ht="12.75" customHeight="1">
      <c r="G29" s="2035"/>
      <c r="H29" s="2035"/>
      <c r="I29" s="2035"/>
      <c r="J29" s="2035"/>
      <c r="K29" s="2035"/>
      <c r="L29" s="2035"/>
      <c r="M29" s="2035"/>
      <c r="N29" s="2035"/>
      <c r="O29" s="2035"/>
      <c r="P29" s="2035"/>
      <c r="Q29" s="2035"/>
      <c r="R29" s="2035"/>
      <c r="S29" s="2035"/>
      <c r="T29" s="2035"/>
      <c r="U29" s="2035"/>
      <c r="V29" s="2035"/>
      <c r="W29" s="2035"/>
      <c r="X29" s="2035"/>
      <c r="Y29" s="2035"/>
      <c r="Z29" s="2035"/>
    </row>
    <row r="30" ht="12.75" customHeight="1">
      <c r="G30" s="2035"/>
      <c r="H30" s="2035"/>
      <c r="I30" s="2035"/>
      <c r="J30" s="2035"/>
      <c r="K30" s="2035"/>
      <c r="L30" s="2035"/>
      <c r="M30" s="2035"/>
      <c r="N30" s="2035"/>
      <c r="O30" s="2035"/>
      <c r="P30" s="2035"/>
      <c r="Q30" s="2035"/>
      <c r="R30" s="2035"/>
      <c r="S30" s="2035"/>
      <c r="T30" s="2035"/>
      <c r="U30" s="2035"/>
      <c r="V30" s="2035"/>
      <c r="W30" s="2035"/>
      <c r="X30" s="2035"/>
      <c r="Y30" s="2035"/>
      <c r="Z30" s="2035"/>
    </row>
    <row r="31" ht="12.75" customHeight="1"/>
    <row r="32" ht="12.75" customHeight="1"/>
    <row r="33" ht="12.75" customHeight="1">
      <c r="F33" s="410" t="s">
        <v>2526</v>
      </c>
      <c r="I33" s="2034">
        <v>0.03</v>
      </c>
    </row>
    <row r="34" ht="12.75" customHeight="1">
      <c r="G34" s="2032"/>
      <c r="H34" s="2032"/>
      <c r="I34" s="2032"/>
      <c r="J34" s="2032"/>
      <c r="K34" s="2032"/>
      <c r="L34" s="2032"/>
      <c r="M34" s="2032"/>
      <c r="N34" s="2032"/>
      <c r="O34" s="2032"/>
      <c r="P34" s="2032"/>
      <c r="Q34" s="2032"/>
      <c r="R34" s="2032"/>
      <c r="S34" s="2032"/>
      <c r="T34" s="2032"/>
      <c r="U34" s="2032"/>
      <c r="V34" s="2032"/>
      <c r="W34" s="2032"/>
      <c r="X34" s="2032"/>
      <c r="Y34" s="2032"/>
      <c r="Z34" s="2034"/>
    </row>
    <row r="35" ht="12.75" customHeight="1">
      <c r="G35" s="2036" t="s">
        <v>57</v>
      </c>
    </row>
    <row r="36" ht="12.75" customHeight="1">
      <c r="G36" s="36">
        <v>1.0</v>
      </c>
      <c r="H36" s="36">
        <v>2.0</v>
      </c>
      <c r="I36" s="36">
        <v>3.0</v>
      </c>
      <c r="J36" s="36">
        <v>4.0</v>
      </c>
      <c r="K36" s="36">
        <v>5.0</v>
      </c>
      <c r="L36" s="36">
        <v>6.0</v>
      </c>
      <c r="M36" s="36">
        <v>7.0</v>
      </c>
      <c r="N36" s="36">
        <v>8.0</v>
      </c>
      <c r="O36" s="36">
        <v>9.0</v>
      </c>
      <c r="P36" s="36">
        <v>10.0</v>
      </c>
      <c r="Q36" s="36">
        <v>11.0</v>
      </c>
      <c r="R36" s="36">
        <v>12.0</v>
      </c>
      <c r="S36" s="36">
        <v>13.0</v>
      </c>
      <c r="T36" s="36">
        <v>14.0</v>
      </c>
      <c r="U36" s="36">
        <v>15.0</v>
      </c>
      <c r="V36" s="36">
        <v>16.0</v>
      </c>
      <c r="W36" s="36">
        <v>17.0</v>
      </c>
      <c r="X36" s="36">
        <v>18.0</v>
      </c>
      <c r="Y36" s="36">
        <v>19.0</v>
      </c>
      <c r="Z36" s="36">
        <v>20.0</v>
      </c>
    </row>
    <row r="37" ht="12.75" customHeight="1">
      <c r="F37" s="410" t="s">
        <v>2527</v>
      </c>
      <c r="G37" s="2032">
        <f t="shared" ref="G37:Z37" si="1">G36*$I$33</f>
        <v>0.03</v>
      </c>
      <c r="H37" s="2032">
        <f t="shared" si="1"/>
        <v>0.06</v>
      </c>
      <c r="I37" s="2032">
        <f t="shared" si="1"/>
        <v>0.09</v>
      </c>
      <c r="J37" s="2032">
        <f t="shared" si="1"/>
        <v>0.12</v>
      </c>
      <c r="K37" s="2032">
        <f t="shared" si="1"/>
        <v>0.15</v>
      </c>
      <c r="L37" s="2032">
        <f t="shared" si="1"/>
        <v>0.18</v>
      </c>
      <c r="M37" s="2032">
        <f t="shared" si="1"/>
        <v>0.21</v>
      </c>
      <c r="N37" s="2032">
        <f t="shared" si="1"/>
        <v>0.24</v>
      </c>
      <c r="O37" s="2032">
        <f t="shared" si="1"/>
        <v>0.27</v>
      </c>
      <c r="P37" s="2032">
        <f t="shared" si="1"/>
        <v>0.3</v>
      </c>
      <c r="Q37" s="2032">
        <f t="shared" si="1"/>
        <v>0.33</v>
      </c>
      <c r="R37" s="2032">
        <f t="shared" si="1"/>
        <v>0.36</v>
      </c>
      <c r="S37" s="2032">
        <f t="shared" si="1"/>
        <v>0.39</v>
      </c>
      <c r="T37" s="2032">
        <f t="shared" si="1"/>
        <v>0.42</v>
      </c>
      <c r="U37" s="2032">
        <f t="shared" si="1"/>
        <v>0.45</v>
      </c>
      <c r="V37" s="2032">
        <f t="shared" si="1"/>
        <v>0.48</v>
      </c>
      <c r="W37" s="2032">
        <f t="shared" si="1"/>
        <v>0.51</v>
      </c>
      <c r="X37" s="2032">
        <f t="shared" si="1"/>
        <v>0.54</v>
      </c>
      <c r="Y37" s="2032">
        <f t="shared" si="1"/>
        <v>0.57</v>
      </c>
      <c r="Z37" s="2032">
        <f t="shared" si="1"/>
        <v>0.6</v>
      </c>
    </row>
    <row r="38" ht="12.75" customHeight="1">
      <c r="F38" s="2037">
        <v>1.0</v>
      </c>
      <c r="G38" s="2037">
        <f t="shared" ref="G38:Z38" si="2">$F38-$F38*G$37</f>
        <v>0.97</v>
      </c>
      <c r="H38" s="2037">
        <f t="shared" si="2"/>
        <v>0.94</v>
      </c>
      <c r="I38" s="2037">
        <f t="shared" si="2"/>
        <v>0.91</v>
      </c>
      <c r="J38" s="2037">
        <f t="shared" si="2"/>
        <v>0.88</v>
      </c>
      <c r="K38" s="2037">
        <f t="shared" si="2"/>
        <v>0.85</v>
      </c>
      <c r="L38" s="2037">
        <f t="shared" si="2"/>
        <v>0.82</v>
      </c>
      <c r="M38" s="2037">
        <f t="shared" si="2"/>
        <v>0.79</v>
      </c>
      <c r="N38" s="2037">
        <f t="shared" si="2"/>
        <v>0.76</v>
      </c>
      <c r="O38" s="2037">
        <f t="shared" si="2"/>
        <v>0.73</v>
      </c>
      <c r="P38" s="2037">
        <f t="shared" si="2"/>
        <v>0.7</v>
      </c>
      <c r="Q38" s="2037">
        <f t="shared" si="2"/>
        <v>0.67</v>
      </c>
      <c r="R38" s="2037">
        <f t="shared" si="2"/>
        <v>0.64</v>
      </c>
      <c r="S38" s="2037">
        <f t="shared" si="2"/>
        <v>0.61</v>
      </c>
      <c r="T38" s="2037">
        <f t="shared" si="2"/>
        <v>0.58</v>
      </c>
      <c r="U38" s="2038">
        <f t="shared" si="2"/>
        <v>0.55</v>
      </c>
      <c r="V38" s="2038">
        <f t="shared" si="2"/>
        <v>0.52</v>
      </c>
      <c r="W38" s="2038">
        <f t="shared" si="2"/>
        <v>0.49</v>
      </c>
      <c r="X38" s="2038">
        <f t="shared" si="2"/>
        <v>0.46</v>
      </c>
      <c r="Y38" s="2038">
        <f t="shared" si="2"/>
        <v>0.43</v>
      </c>
      <c r="Z38" s="2038">
        <f t="shared" si="2"/>
        <v>0.4</v>
      </c>
    </row>
    <row r="39" ht="12.75" customHeight="1">
      <c r="E39" s="2039" t="s">
        <v>2528</v>
      </c>
      <c r="F39" s="36">
        <v>2.0</v>
      </c>
      <c r="G39" s="36">
        <f t="shared" ref="G39:Z39" si="3">ROUNDUP($F39-$F39*G$37,0)</f>
        <v>2</v>
      </c>
      <c r="H39" s="36">
        <f t="shared" si="3"/>
        <v>2</v>
      </c>
      <c r="I39" s="36">
        <f t="shared" si="3"/>
        <v>2</v>
      </c>
      <c r="J39" s="36">
        <f t="shared" si="3"/>
        <v>2</v>
      </c>
      <c r="K39" s="36">
        <f t="shared" si="3"/>
        <v>2</v>
      </c>
      <c r="L39" s="36">
        <f t="shared" si="3"/>
        <v>2</v>
      </c>
      <c r="M39" s="36">
        <f t="shared" si="3"/>
        <v>2</v>
      </c>
      <c r="N39" s="36">
        <f t="shared" si="3"/>
        <v>2</v>
      </c>
      <c r="O39" s="36">
        <f t="shared" si="3"/>
        <v>2</v>
      </c>
      <c r="P39" s="36">
        <f t="shared" si="3"/>
        <v>2</v>
      </c>
      <c r="Q39" s="36">
        <f t="shared" si="3"/>
        <v>2</v>
      </c>
      <c r="R39" s="36">
        <f t="shared" si="3"/>
        <v>2</v>
      </c>
      <c r="S39" s="36">
        <f t="shared" si="3"/>
        <v>2</v>
      </c>
      <c r="T39" s="36">
        <f t="shared" si="3"/>
        <v>2</v>
      </c>
      <c r="U39" s="36">
        <f t="shared" si="3"/>
        <v>2</v>
      </c>
      <c r="V39" s="36">
        <f t="shared" si="3"/>
        <v>2</v>
      </c>
      <c r="W39" s="36">
        <f t="shared" si="3"/>
        <v>1</v>
      </c>
      <c r="X39" s="36">
        <f t="shared" si="3"/>
        <v>1</v>
      </c>
      <c r="Y39" s="36">
        <f t="shared" si="3"/>
        <v>1</v>
      </c>
      <c r="Z39" s="36">
        <f t="shared" si="3"/>
        <v>1</v>
      </c>
    </row>
    <row r="40" ht="12.75" customHeight="1">
      <c r="F40" s="36">
        <v>3.0</v>
      </c>
      <c r="G40" s="36">
        <f t="shared" ref="G40:Z40" si="4">ROUNDUP($F40-$F40*G$37,0)</f>
        <v>3</v>
      </c>
      <c r="H40" s="36">
        <f t="shared" si="4"/>
        <v>3</v>
      </c>
      <c r="I40" s="36">
        <f t="shared" si="4"/>
        <v>3</v>
      </c>
      <c r="J40" s="36">
        <f t="shared" si="4"/>
        <v>3</v>
      </c>
      <c r="K40" s="36">
        <f t="shared" si="4"/>
        <v>3</v>
      </c>
      <c r="L40" s="36">
        <f t="shared" si="4"/>
        <v>3</v>
      </c>
      <c r="M40" s="36">
        <f t="shared" si="4"/>
        <v>3</v>
      </c>
      <c r="N40" s="36">
        <f t="shared" si="4"/>
        <v>3</v>
      </c>
      <c r="O40" s="36">
        <f t="shared" si="4"/>
        <v>3</v>
      </c>
      <c r="P40" s="36">
        <f t="shared" si="4"/>
        <v>3</v>
      </c>
      <c r="Q40" s="36">
        <f t="shared" si="4"/>
        <v>3</v>
      </c>
      <c r="R40" s="36">
        <f t="shared" si="4"/>
        <v>2</v>
      </c>
      <c r="S40" s="36">
        <f t="shared" si="4"/>
        <v>2</v>
      </c>
      <c r="T40" s="36">
        <f t="shared" si="4"/>
        <v>2</v>
      </c>
      <c r="U40" s="36">
        <f t="shared" si="4"/>
        <v>2</v>
      </c>
      <c r="V40" s="36">
        <f t="shared" si="4"/>
        <v>2</v>
      </c>
      <c r="W40" s="36">
        <f t="shared" si="4"/>
        <v>2</v>
      </c>
      <c r="X40" s="36">
        <f t="shared" si="4"/>
        <v>2</v>
      </c>
      <c r="Y40" s="36">
        <f t="shared" si="4"/>
        <v>2</v>
      </c>
      <c r="Z40" s="36">
        <f t="shared" si="4"/>
        <v>2</v>
      </c>
    </row>
    <row r="41" ht="12.75" customHeight="1">
      <c r="F41" s="36">
        <v>4.0</v>
      </c>
      <c r="G41" s="36">
        <f t="shared" ref="G41:Z41" si="5">ROUNDUP($F41-$F41*G$37,0)</f>
        <v>4</v>
      </c>
      <c r="H41" s="36">
        <f t="shared" si="5"/>
        <v>4</v>
      </c>
      <c r="I41" s="36">
        <f t="shared" si="5"/>
        <v>4</v>
      </c>
      <c r="J41" s="36">
        <f t="shared" si="5"/>
        <v>4</v>
      </c>
      <c r="K41" s="36">
        <f t="shared" si="5"/>
        <v>4</v>
      </c>
      <c r="L41" s="36">
        <f t="shared" si="5"/>
        <v>4</v>
      </c>
      <c r="M41" s="36">
        <f t="shared" si="5"/>
        <v>4</v>
      </c>
      <c r="N41" s="36">
        <f t="shared" si="5"/>
        <v>4</v>
      </c>
      <c r="O41" s="36">
        <f t="shared" si="5"/>
        <v>3</v>
      </c>
      <c r="P41" s="36">
        <f t="shared" si="5"/>
        <v>3</v>
      </c>
      <c r="Q41" s="36">
        <f t="shared" si="5"/>
        <v>3</v>
      </c>
      <c r="R41" s="36">
        <f t="shared" si="5"/>
        <v>3</v>
      </c>
      <c r="S41" s="36">
        <f t="shared" si="5"/>
        <v>3</v>
      </c>
      <c r="T41" s="36">
        <f t="shared" si="5"/>
        <v>3</v>
      </c>
      <c r="U41" s="36">
        <f t="shared" si="5"/>
        <v>3</v>
      </c>
      <c r="V41" s="36">
        <f t="shared" si="5"/>
        <v>3</v>
      </c>
      <c r="W41" s="36">
        <f t="shared" si="5"/>
        <v>2</v>
      </c>
      <c r="X41" s="36">
        <f t="shared" si="5"/>
        <v>2</v>
      </c>
      <c r="Y41" s="36">
        <f t="shared" si="5"/>
        <v>2</v>
      </c>
      <c r="Z41" s="36">
        <f t="shared" si="5"/>
        <v>2</v>
      </c>
    </row>
    <row r="42" ht="12.75" customHeight="1">
      <c r="F42" s="36">
        <v>5.0</v>
      </c>
      <c r="G42" s="36">
        <f t="shared" ref="G42:Z42" si="6">ROUNDUP($F42-$F42*G$37,0)</f>
        <v>5</v>
      </c>
      <c r="H42" s="36">
        <f t="shared" si="6"/>
        <v>5</v>
      </c>
      <c r="I42" s="36">
        <f t="shared" si="6"/>
        <v>5</v>
      </c>
      <c r="J42" s="36">
        <f t="shared" si="6"/>
        <v>5</v>
      </c>
      <c r="K42" s="36">
        <f t="shared" si="6"/>
        <v>5</v>
      </c>
      <c r="L42" s="36">
        <f t="shared" si="6"/>
        <v>5</v>
      </c>
      <c r="M42" s="36">
        <f t="shared" si="6"/>
        <v>4</v>
      </c>
      <c r="N42" s="36">
        <f t="shared" si="6"/>
        <v>4</v>
      </c>
      <c r="O42" s="36">
        <f t="shared" si="6"/>
        <v>4</v>
      </c>
      <c r="P42" s="36">
        <f t="shared" si="6"/>
        <v>4</v>
      </c>
      <c r="Q42" s="36">
        <f t="shared" si="6"/>
        <v>4</v>
      </c>
      <c r="R42" s="36">
        <f t="shared" si="6"/>
        <v>4</v>
      </c>
      <c r="S42" s="36">
        <f t="shared" si="6"/>
        <v>4</v>
      </c>
      <c r="T42" s="36">
        <f t="shared" si="6"/>
        <v>3</v>
      </c>
      <c r="U42" s="36">
        <f t="shared" si="6"/>
        <v>3</v>
      </c>
      <c r="V42" s="36">
        <f t="shared" si="6"/>
        <v>3</v>
      </c>
      <c r="W42" s="36">
        <f t="shared" si="6"/>
        <v>3</v>
      </c>
      <c r="X42" s="36">
        <f t="shared" si="6"/>
        <v>3</v>
      </c>
      <c r="Y42" s="36">
        <f t="shared" si="6"/>
        <v>3</v>
      </c>
      <c r="Z42" s="36">
        <f t="shared" si="6"/>
        <v>2</v>
      </c>
    </row>
    <row r="43" ht="12.75" customHeight="1">
      <c r="F43" s="36">
        <v>6.0</v>
      </c>
      <c r="G43" s="36">
        <f t="shared" ref="G43:Z43" si="7">ROUNDUP($F43-$F43*G$37,0)</f>
        <v>6</v>
      </c>
      <c r="H43" s="36">
        <f t="shared" si="7"/>
        <v>6</v>
      </c>
      <c r="I43" s="36">
        <f t="shared" si="7"/>
        <v>6</v>
      </c>
      <c r="J43" s="36">
        <f t="shared" si="7"/>
        <v>6</v>
      </c>
      <c r="K43" s="36">
        <f t="shared" si="7"/>
        <v>6</v>
      </c>
      <c r="L43" s="36">
        <f t="shared" si="7"/>
        <v>5</v>
      </c>
      <c r="M43" s="36">
        <f t="shared" si="7"/>
        <v>5</v>
      </c>
      <c r="N43" s="36">
        <f t="shared" si="7"/>
        <v>5</v>
      </c>
      <c r="O43" s="36">
        <f t="shared" si="7"/>
        <v>5</v>
      </c>
      <c r="P43" s="36">
        <f t="shared" si="7"/>
        <v>5</v>
      </c>
      <c r="Q43" s="36">
        <f t="shared" si="7"/>
        <v>5</v>
      </c>
      <c r="R43" s="36">
        <f t="shared" si="7"/>
        <v>4</v>
      </c>
      <c r="S43" s="36">
        <f t="shared" si="7"/>
        <v>4</v>
      </c>
      <c r="T43" s="36">
        <f t="shared" si="7"/>
        <v>4</v>
      </c>
      <c r="U43" s="36">
        <f t="shared" si="7"/>
        <v>4</v>
      </c>
      <c r="V43" s="36">
        <f t="shared" si="7"/>
        <v>4</v>
      </c>
      <c r="W43" s="36">
        <f t="shared" si="7"/>
        <v>3</v>
      </c>
      <c r="X43" s="36">
        <f t="shared" si="7"/>
        <v>3</v>
      </c>
      <c r="Y43" s="36">
        <f t="shared" si="7"/>
        <v>3</v>
      </c>
      <c r="Z43" s="36">
        <f t="shared" si="7"/>
        <v>3</v>
      </c>
    </row>
    <row r="44" ht="12.75" customHeight="1">
      <c r="F44" s="36">
        <v>7.0</v>
      </c>
      <c r="G44" s="36">
        <f t="shared" ref="G44:Z44" si="8">ROUNDUP($F44-$F44*G$37,0)</f>
        <v>7</v>
      </c>
      <c r="H44" s="36">
        <f t="shared" si="8"/>
        <v>7</v>
      </c>
      <c r="I44" s="36">
        <f t="shared" si="8"/>
        <v>7</v>
      </c>
      <c r="J44" s="36">
        <f t="shared" si="8"/>
        <v>7</v>
      </c>
      <c r="K44" s="36">
        <f t="shared" si="8"/>
        <v>6</v>
      </c>
      <c r="L44" s="36">
        <f t="shared" si="8"/>
        <v>6</v>
      </c>
      <c r="M44" s="36">
        <f t="shared" si="8"/>
        <v>6</v>
      </c>
      <c r="N44" s="36">
        <f t="shared" si="8"/>
        <v>6</v>
      </c>
      <c r="O44" s="36">
        <f t="shared" si="8"/>
        <v>6</v>
      </c>
      <c r="P44" s="36">
        <f t="shared" si="8"/>
        <v>5</v>
      </c>
      <c r="Q44" s="36">
        <f t="shared" si="8"/>
        <v>5</v>
      </c>
      <c r="R44" s="36">
        <f t="shared" si="8"/>
        <v>5</v>
      </c>
      <c r="S44" s="36">
        <f t="shared" si="8"/>
        <v>5</v>
      </c>
      <c r="T44" s="36">
        <f t="shared" si="8"/>
        <v>5</v>
      </c>
      <c r="U44" s="36">
        <f t="shared" si="8"/>
        <v>4</v>
      </c>
      <c r="V44" s="36">
        <f t="shared" si="8"/>
        <v>4</v>
      </c>
      <c r="W44" s="36">
        <f t="shared" si="8"/>
        <v>4</v>
      </c>
      <c r="X44" s="36">
        <f t="shared" si="8"/>
        <v>4</v>
      </c>
      <c r="Y44" s="36">
        <f t="shared" si="8"/>
        <v>4</v>
      </c>
      <c r="Z44" s="36">
        <f t="shared" si="8"/>
        <v>3</v>
      </c>
    </row>
    <row r="45" ht="12.75" customHeight="1">
      <c r="F45" s="36">
        <v>8.0</v>
      </c>
      <c r="G45" s="36">
        <f t="shared" ref="G45:Z45" si="9">ROUNDUP($F45-$F45*G$37,0)</f>
        <v>8</v>
      </c>
      <c r="H45" s="36">
        <f t="shared" si="9"/>
        <v>8</v>
      </c>
      <c r="I45" s="36">
        <f t="shared" si="9"/>
        <v>8</v>
      </c>
      <c r="J45" s="36">
        <f t="shared" si="9"/>
        <v>8</v>
      </c>
      <c r="K45" s="36">
        <f t="shared" si="9"/>
        <v>7</v>
      </c>
      <c r="L45" s="36">
        <f t="shared" si="9"/>
        <v>7</v>
      </c>
      <c r="M45" s="36">
        <f t="shared" si="9"/>
        <v>7</v>
      </c>
      <c r="N45" s="36">
        <f t="shared" si="9"/>
        <v>7</v>
      </c>
      <c r="O45" s="36">
        <f t="shared" si="9"/>
        <v>6</v>
      </c>
      <c r="P45" s="36">
        <f t="shared" si="9"/>
        <v>6</v>
      </c>
      <c r="Q45" s="36">
        <f t="shared" si="9"/>
        <v>6</v>
      </c>
      <c r="R45" s="36">
        <f t="shared" si="9"/>
        <v>6</v>
      </c>
      <c r="S45" s="36">
        <f t="shared" si="9"/>
        <v>5</v>
      </c>
      <c r="T45" s="36">
        <f t="shared" si="9"/>
        <v>5</v>
      </c>
      <c r="U45" s="36">
        <f t="shared" si="9"/>
        <v>5</v>
      </c>
      <c r="V45" s="36">
        <f t="shared" si="9"/>
        <v>5</v>
      </c>
      <c r="W45" s="36">
        <f t="shared" si="9"/>
        <v>4</v>
      </c>
      <c r="X45" s="36">
        <f t="shared" si="9"/>
        <v>4</v>
      </c>
      <c r="Y45" s="36">
        <f t="shared" si="9"/>
        <v>4</v>
      </c>
      <c r="Z45" s="36">
        <f t="shared" si="9"/>
        <v>4</v>
      </c>
    </row>
    <row r="46" ht="12.75" customHeight="1">
      <c r="F46" s="36">
        <v>9.0</v>
      </c>
      <c r="G46" s="36">
        <f t="shared" ref="G46:Z46" si="10">ROUNDUP($F46-$F46*G$37,0)</f>
        <v>9</v>
      </c>
      <c r="H46" s="36">
        <f t="shared" si="10"/>
        <v>9</v>
      </c>
      <c r="I46" s="36">
        <f t="shared" si="10"/>
        <v>9</v>
      </c>
      <c r="J46" s="36">
        <f t="shared" si="10"/>
        <v>8</v>
      </c>
      <c r="K46" s="36">
        <f t="shared" si="10"/>
        <v>8</v>
      </c>
      <c r="L46" s="36">
        <f t="shared" si="10"/>
        <v>8</v>
      </c>
      <c r="M46" s="36">
        <f t="shared" si="10"/>
        <v>8</v>
      </c>
      <c r="N46" s="36">
        <f t="shared" si="10"/>
        <v>7</v>
      </c>
      <c r="O46" s="36">
        <f t="shared" si="10"/>
        <v>7</v>
      </c>
      <c r="P46" s="36">
        <f t="shared" si="10"/>
        <v>7</v>
      </c>
      <c r="Q46" s="36">
        <f t="shared" si="10"/>
        <v>7</v>
      </c>
      <c r="R46" s="36">
        <f t="shared" si="10"/>
        <v>6</v>
      </c>
      <c r="S46" s="36">
        <f t="shared" si="10"/>
        <v>6</v>
      </c>
      <c r="T46" s="36">
        <f t="shared" si="10"/>
        <v>6</v>
      </c>
      <c r="U46" s="36">
        <f t="shared" si="10"/>
        <v>5</v>
      </c>
      <c r="V46" s="36">
        <f t="shared" si="10"/>
        <v>5</v>
      </c>
      <c r="W46" s="36">
        <f t="shared" si="10"/>
        <v>5</v>
      </c>
      <c r="X46" s="36">
        <f t="shared" si="10"/>
        <v>5</v>
      </c>
      <c r="Y46" s="36">
        <f t="shared" si="10"/>
        <v>4</v>
      </c>
      <c r="Z46" s="36">
        <f t="shared" si="10"/>
        <v>4</v>
      </c>
    </row>
    <row r="47" ht="12.75" customHeight="1">
      <c r="F47" s="36">
        <v>10.0</v>
      </c>
      <c r="G47" s="36">
        <f t="shared" ref="G47:Z47" si="11">ROUNDUP($F47-$F47*G$37,0)</f>
        <v>10</v>
      </c>
      <c r="H47" s="36">
        <f t="shared" si="11"/>
        <v>10</v>
      </c>
      <c r="I47" s="36">
        <f t="shared" si="11"/>
        <v>10</v>
      </c>
      <c r="J47" s="36">
        <f t="shared" si="11"/>
        <v>9</v>
      </c>
      <c r="K47" s="36">
        <f t="shared" si="11"/>
        <v>9</v>
      </c>
      <c r="L47" s="36">
        <f t="shared" si="11"/>
        <v>9</v>
      </c>
      <c r="M47" s="36">
        <f t="shared" si="11"/>
        <v>8</v>
      </c>
      <c r="N47" s="36">
        <f t="shared" si="11"/>
        <v>8</v>
      </c>
      <c r="O47" s="36">
        <f t="shared" si="11"/>
        <v>8</v>
      </c>
      <c r="P47" s="36">
        <f t="shared" si="11"/>
        <v>7</v>
      </c>
      <c r="Q47" s="36">
        <f t="shared" si="11"/>
        <v>7</v>
      </c>
      <c r="R47" s="36">
        <f t="shared" si="11"/>
        <v>7</v>
      </c>
      <c r="S47" s="36">
        <f t="shared" si="11"/>
        <v>7</v>
      </c>
      <c r="T47" s="36">
        <f t="shared" si="11"/>
        <v>6</v>
      </c>
      <c r="U47" s="36">
        <f t="shared" si="11"/>
        <v>6</v>
      </c>
      <c r="V47" s="36">
        <f t="shared" si="11"/>
        <v>6</v>
      </c>
      <c r="W47" s="36">
        <f t="shared" si="11"/>
        <v>5</v>
      </c>
      <c r="X47" s="36">
        <f t="shared" si="11"/>
        <v>5</v>
      </c>
      <c r="Y47" s="36">
        <f t="shared" si="11"/>
        <v>5</v>
      </c>
      <c r="Z47" s="36">
        <f t="shared" si="11"/>
        <v>4</v>
      </c>
    </row>
    <row r="48" ht="12.75" customHeight="1">
      <c r="F48" s="36">
        <v>11.0</v>
      </c>
      <c r="G48" s="36">
        <f t="shared" ref="G48:Z48" si="12">ROUNDUP($F48-$F48*G$37,0)</f>
        <v>11</v>
      </c>
      <c r="H48" s="36">
        <f t="shared" si="12"/>
        <v>11</v>
      </c>
      <c r="I48" s="36">
        <f t="shared" si="12"/>
        <v>11</v>
      </c>
      <c r="J48" s="36">
        <f t="shared" si="12"/>
        <v>10</v>
      </c>
      <c r="K48" s="36">
        <f t="shared" si="12"/>
        <v>10</v>
      </c>
      <c r="L48" s="36">
        <f t="shared" si="12"/>
        <v>10</v>
      </c>
      <c r="M48" s="36">
        <f t="shared" si="12"/>
        <v>9</v>
      </c>
      <c r="N48" s="36">
        <f t="shared" si="12"/>
        <v>9</v>
      </c>
      <c r="O48" s="36">
        <f t="shared" si="12"/>
        <v>9</v>
      </c>
      <c r="P48" s="36">
        <f t="shared" si="12"/>
        <v>8</v>
      </c>
      <c r="Q48" s="36">
        <f t="shared" si="12"/>
        <v>8</v>
      </c>
      <c r="R48" s="36">
        <f t="shared" si="12"/>
        <v>8</v>
      </c>
      <c r="S48" s="36">
        <f t="shared" si="12"/>
        <v>7</v>
      </c>
      <c r="T48" s="36">
        <f t="shared" si="12"/>
        <v>7</v>
      </c>
      <c r="U48" s="36">
        <f t="shared" si="12"/>
        <v>7</v>
      </c>
      <c r="V48" s="36">
        <f t="shared" si="12"/>
        <v>6</v>
      </c>
      <c r="W48" s="36">
        <f t="shared" si="12"/>
        <v>6</v>
      </c>
      <c r="X48" s="36">
        <f t="shared" si="12"/>
        <v>6</v>
      </c>
      <c r="Y48" s="36">
        <f t="shared" si="12"/>
        <v>5</v>
      </c>
      <c r="Z48" s="36">
        <f t="shared" si="12"/>
        <v>5</v>
      </c>
    </row>
    <row r="49" ht="12.75" customHeight="1">
      <c r="F49" s="36">
        <v>12.0</v>
      </c>
      <c r="G49" s="36">
        <f t="shared" ref="G49:Z49" si="13">ROUNDUP($F49-$F49*G$37,0)</f>
        <v>12</v>
      </c>
      <c r="H49" s="36">
        <f t="shared" si="13"/>
        <v>12</v>
      </c>
      <c r="I49" s="36">
        <f t="shared" si="13"/>
        <v>11</v>
      </c>
      <c r="J49" s="36">
        <f t="shared" si="13"/>
        <v>11</v>
      </c>
      <c r="K49" s="36">
        <f t="shared" si="13"/>
        <v>11</v>
      </c>
      <c r="L49" s="36">
        <f t="shared" si="13"/>
        <v>10</v>
      </c>
      <c r="M49" s="36">
        <f t="shared" si="13"/>
        <v>10</v>
      </c>
      <c r="N49" s="36">
        <f t="shared" si="13"/>
        <v>10</v>
      </c>
      <c r="O49" s="36">
        <f t="shared" si="13"/>
        <v>9</v>
      </c>
      <c r="P49" s="36">
        <f t="shared" si="13"/>
        <v>9</v>
      </c>
      <c r="Q49" s="36">
        <f t="shared" si="13"/>
        <v>9</v>
      </c>
      <c r="R49" s="36">
        <f t="shared" si="13"/>
        <v>8</v>
      </c>
      <c r="S49" s="36">
        <f t="shared" si="13"/>
        <v>8</v>
      </c>
      <c r="T49" s="36">
        <f t="shared" si="13"/>
        <v>7</v>
      </c>
      <c r="U49" s="36">
        <f t="shared" si="13"/>
        <v>7</v>
      </c>
      <c r="V49" s="36">
        <f t="shared" si="13"/>
        <v>7</v>
      </c>
      <c r="W49" s="36">
        <f t="shared" si="13"/>
        <v>6</v>
      </c>
      <c r="X49" s="36">
        <f t="shared" si="13"/>
        <v>6</v>
      </c>
      <c r="Y49" s="36">
        <f t="shared" si="13"/>
        <v>6</v>
      </c>
      <c r="Z49" s="36">
        <f t="shared" si="13"/>
        <v>5</v>
      </c>
    </row>
    <row r="50" ht="12.75" customHeight="1">
      <c r="F50" s="36">
        <v>13.0</v>
      </c>
      <c r="G50" s="36">
        <f t="shared" ref="G50:Z50" si="14">ROUNDUP($F50-$F50*G$37,0)</f>
        <v>13</v>
      </c>
      <c r="H50" s="36">
        <f t="shared" si="14"/>
        <v>13</v>
      </c>
      <c r="I50" s="36">
        <f t="shared" si="14"/>
        <v>12</v>
      </c>
      <c r="J50" s="36">
        <f t="shared" si="14"/>
        <v>12</v>
      </c>
      <c r="K50" s="36">
        <f t="shared" si="14"/>
        <v>12</v>
      </c>
      <c r="L50" s="36">
        <f t="shared" si="14"/>
        <v>11</v>
      </c>
      <c r="M50" s="36">
        <f t="shared" si="14"/>
        <v>11</v>
      </c>
      <c r="N50" s="36">
        <f t="shared" si="14"/>
        <v>10</v>
      </c>
      <c r="O50" s="36">
        <f t="shared" si="14"/>
        <v>10</v>
      </c>
      <c r="P50" s="36">
        <f t="shared" si="14"/>
        <v>10</v>
      </c>
      <c r="Q50" s="36">
        <f t="shared" si="14"/>
        <v>9</v>
      </c>
      <c r="R50" s="36">
        <f t="shared" si="14"/>
        <v>9</v>
      </c>
      <c r="S50" s="36">
        <f t="shared" si="14"/>
        <v>8</v>
      </c>
      <c r="T50" s="36">
        <f t="shared" si="14"/>
        <v>8</v>
      </c>
      <c r="U50" s="36">
        <f t="shared" si="14"/>
        <v>8</v>
      </c>
      <c r="V50" s="36">
        <f t="shared" si="14"/>
        <v>7</v>
      </c>
      <c r="W50" s="36">
        <f t="shared" si="14"/>
        <v>7</v>
      </c>
      <c r="X50" s="36">
        <f t="shared" si="14"/>
        <v>6</v>
      </c>
      <c r="Y50" s="36">
        <f t="shared" si="14"/>
        <v>6</v>
      </c>
      <c r="Z50" s="36">
        <f t="shared" si="14"/>
        <v>6</v>
      </c>
    </row>
    <row r="51" ht="12.75" customHeight="1">
      <c r="F51" s="36">
        <v>14.0</v>
      </c>
      <c r="G51" s="36">
        <f t="shared" ref="G51:Z51" si="15">ROUNDUP($F51-$F51*G$37,0)</f>
        <v>14</v>
      </c>
      <c r="H51" s="36">
        <f t="shared" si="15"/>
        <v>14</v>
      </c>
      <c r="I51" s="36">
        <f t="shared" si="15"/>
        <v>13</v>
      </c>
      <c r="J51" s="36">
        <f t="shared" si="15"/>
        <v>13</v>
      </c>
      <c r="K51" s="36">
        <f t="shared" si="15"/>
        <v>12</v>
      </c>
      <c r="L51" s="36">
        <f t="shared" si="15"/>
        <v>12</v>
      </c>
      <c r="M51" s="36">
        <f t="shared" si="15"/>
        <v>12</v>
      </c>
      <c r="N51" s="36">
        <f t="shared" si="15"/>
        <v>11</v>
      </c>
      <c r="O51" s="36">
        <f t="shared" si="15"/>
        <v>11</v>
      </c>
      <c r="P51" s="36">
        <f t="shared" si="15"/>
        <v>10</v>
      </c>
      <c r="Q51" s="36">
        <f t="shared" si="15"/>
        <v>10</v>
      </c>
      <c r="R51" s="36">
        <f t="shared" si="15"/>
        <v>9</v>
      </c>
      <c r="S51" s="36">
        <f t="shared" si="15"/>
        <v>9</v>
      </c>
      <c r="T51" s="36">
        <f t="shared" si="15"/>
        <v>9</v>
      </c>
      <c r="U51" s="36">
        <f t="shared" si="15"/>
        <v>8</v>
      </c>
      <c r="V51" s="36">
        <f t="shared" si="15"/>
        <v>8</v>
      </c>
      <c r="W51" s="36">
        <f t="shared" si="15"/>
        <v>7</v>
      </c>
      <c r="X51" s="36">
        <f t="shared" si="15"/>
        <v>7</v>
      </c>
      <c r="Y51" s="36">
        <f t="shared" si="15"/>
        <v>7</v>
      </c>
      <c r="Z51" s="36">
        <f t="shared" si="15"/>
        <v>6</v>
      </c>
    </row>
    <row r="52" ht="12.75" customHeight="1">
      <c r="F52" s="36">
        <v>15.0</v>
      </c>
      <c r="G52" s="36">
        <f t="shared" ref="G52:Z52" si="16">ROUNDUP($F52-$F52*G$37,0)</f>
        <v>15</v>
      </c>
      <c r="H52" s="36">
        <f t="shared" si="16"/>
        <v>15</v>
      </c>
      <c r="I52" s="36">
        <f t="shared" si="16"/>
        <v>14</v>
      </c>
      <c r="J52" s="36">
        <f t="shared" si="16"/>
        <v>14</v>
      </c>
      <c r="K52" s="36">
        <f t="shared" si="16"/>
        <v>13</v>
      </c>
      <c r="L52" s="36">
        <f t="shared" si="16"/>
        <v>13</v>
      </c>
      <c r="M52" s="36">
        <f t="shared" si="16"/>
        <v>12</v>
      </c>
      <c r="N52" s="36">
        <f t="shared" si="16"/>
        <v>12</v>
      </c>
      <c r="O52" s="36">
        <f t="shared" si="16"/>
        <v>11</v>
      </c>
      <c r="P52" s="36">
        <f t="shared" si="16"/>
        <v>11</v>
      </c>
      <c r="Q52" s="36">
        <f t="shared" si="16"/>
        <v>11</v>
      </c>
      <c r="R52" s="36">
        <f t="shared" si="16"/>
        <v>10</v>
      </c>
      <c r="S52" s="36">
        <f t="shared" si="16"/>
        <v>10</v>
      </c>
      <c r="T52" s="36">
        <f t="shared" si="16"/>
        <v>9</v>
      </c>
      <c r="U52" s="36">
        <f t="shared" si="16"/>
        <v>9</v>
      </c>
      <c r="V52" s="36">
        <f t="shared" si="16"/>
        <v>8</v>
      </c>
      <c r="W52" s="36">
        <f t="shared" si="16"/>
        <v>8</v>
      </c>
      <c r="X52" s="36">
        <f t="shared" si="16"/>
        <v>7</v>
      </c>
      <c r="Y52" s="36">
        <f t="shared" si="16"/>
        <v>7</v>
      </c>
      <c r="Z52" s="36">
        <f t="shared" si="16"/>
        <v>6</v>
      </c>
    </row>
    <row r="53" ht="12.75" customHeight="1">
      <c r="F53" s="36">
        <v>16.0</v>
      </c>
      <c r="G53" s="36">
        <f t="shared" ref="G53:Z53" si="17">ROUNDUP($F53-$F53*G$37,0)</f>
        <v>16</v>
      </c>
      <c r="H53" s="36">
        <f t="shared" si="17"/>
        <v>16</v>
      </c>
      <c r="I53" s="36">
        <f t="shared" si="17"/>
        <v>15</v>
      </c>
      <c r="J53" s="36">
        <f t="shared" si="17"/>
        <v>15</v>
      </c>
      <c r="K53" s="36">
        <f t="shared" si="17"/>
        <v>14</v>
      </c>
      <c r="L53" s="36">
        <f t="shared" si="17"/>
        <v>14</v>
      </c>
      <c r="M53" s="36">
        <f t="shared" si="17"/>
        <v>13</v>
      </c>
      <c r="N53" s="36">
        <f t="shared" si="17"/>
        <v>13</v>
      </c>
      <c r="O53" s="36">
        <f t="shared" si="17"/>
        <v>12</v>
      </c>
      <c r="P53" s="36">
        <f t="shared" si="17"/>
        <v>12</v>
      </c>
      <c r="Q53" s="36">
        <f t="shared" si="17"/>
        <v>11</v>
      </c>
      <c r="R53" s="36">
        <f t="shared" si="17"/>
        <v>11</v>
      </c>
      <c r="S53" s="36">
        <f t="shared" si="17"/>
        <v>10</v>
      </c>
      <c r="T53" s="36">
        <f t="shared" si="17"/>
        <v>10</v>
      </c>
      <c r="U53" s="36">
        <f t="shared" si="17"/>
        <v>9</v>
      </c>
      <c r="V53" s="36">
        <f t="shared" si="17"/>
        <v>9</v>
      </c>
      <c r="W53" s="36">
        <f t="shared" si="17"/>
        <v>8</v>
      </c>
      <c r="X53" s="36">
        <f t="shared" si="17"/>
        <v>8</v>
      </c>
      <c r="Y53" s="36">
        <f t="shared" si="17"/>
        <v>7</v>
      </c>
      <c r="Z53" s="36">
        <f t="shared" si="17"/>
        <v>7</v>
      </c>
    </row>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G35:Z35"/>
    <mergeCell ref="E39:E53"/>
  </mergeCells>
  <printOptions/>
  <pageMargins bottom="0.75" footer="0.0" header="0.0" left="0.7" right="0.7" top="0.75"/>
  <pageSetup orientation="landscape"/>
  <drawing r:id="rId1"/>
</worksheet>
</file>